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1"/>
  <bookViews>
    <workbookView xWindow="150" yWindow="15" windowWidth="23625" windowHeight="11190" firstSheet="3" activeTab="3"/>
  </bookViews>
  <sheets>
    <sheet name="MW-Cache" sheetId="385" state="veryHidden" r:id="rId1"/>
    <sheet name="MainCode" sheetId="19" state="veryHidden" r:id=""/>
    <sheet name="mStartup" sheetId="20" state="veryHidden" r:id=""/>
    <sheet name="ImportantDisclosures" sheetId="460" r:id="rId2"/>
    <sheet name="Model" sheetId="431" r:id="rId3"/>
    <sheet name="DCF" sheetId="455" r:id="rId4"/>
    <sheet name="Fuel On-highway" sheetId="433" r:id="rId5"/>
    <sheet name="Fuel WTI" sheetId="434" r:id="rId6"/>
    <sheet name="MarketData" sheetId="435" r:id="rId7"/>
    <sheet name="Pension" sheetId="453" r:id="rId8"/>
    <sheet name="OPEB" sheetId="451" r:id="rId9"/>
    <sheet name="IndexInformation" sheetId="461" r:id="rId10"/>
    <sheet name="ModPubIndex" sheetId="462" r:id="rId11"/>
    <sheet name="__FDSCACHE__" sheetId="404" state="veryHidden" r:id="rId12"/>
  </sheets>
  <functionGroups builtInGroupCount="17"/>
  <externalReferences>
    <externalReference r:id="rId13"/>
    <externalReference r:id="rId14"/>
    <externalReference r:id="rId15"/>
    <externalReference r:id="rId16"/>
    <externalReference r:id="rId17"/>
    <externalReference r:id="rId18"/>
    <externalReference r:id="rId19"/>
  </externalReferences>
  <definedNames>
    <definedName name="__FDS_HYPERLINK_TOGGLE_STATE__" hidden="1">"ON"</definedName>
    <definedName name="__FDS_UNIQUE_RANGE_ID_GENERATOR_COUNTER" localSheetId="5" hidden="1">171</definedName>
    <definedName name="__FDS_UNIQUE_RANGE_ID_GENERATOR_COUNTER" hidden="1">1</definedName>
    <definedName name="_1__FDSAUDITLINK__" localSheetId="5" hidden="1">{"fdsup://directions/FAT Viewer?action=UPDATE&amp;creator=factset&amp;DYN_ARGS=TRUE&amp;DOC_NAME=FAT:FQL_AUDITING_CLIENT_TEMPLATE.FAT&amp;display_string=Audit&amp;VAR:KEY=BULWZYFAPI&amp;VAR:QUERY=RkZfTkVUX0lOQyhBTk4sMjAxMCk=&amp;WINDOW=FIRST_POPUP&amp;HEIGHT=450&amp;WIDTH=450&amp;START_MAXIMIZED=","FALSE&amp;VAR:CALENDAR=US&amp;VAR:SYMBOL=UNP&amp;VAR:INDEX=0"}</definedName>
    <definedName name="_1__FDSAUDITLINK__" localSheetId="7" hidden="1">{"fdsup://Directions/FactSet Auditing Viewer?action=AUDIT_VALUE&amp;DB=129&amp;ID1=90781810&amp;VALUEID=01401&amp;SDATE=2009&amp;PERIODTYPE=ANN_STD&amp;window=popup_no_bar&amp;width=385&amp;height=120&amp;START_MAXIMIZED=FALSE&amp;creator=factset&amp;display_string=Audit"}</definedName>
    <definedName name="_1__FDSAUDITLINK__" hidden="1">{"fdsup://Directions/FactSet Auditing Viewer?action=AUDIT_VALUE&amp;DB=129&amp;ID1=90781810&amp;VALUEID=01401&amp;SDATE=2009&amp;PERIODTYPE=ANN_STD&amp;window=popup_no_bar&amp;width=385&amp;height=120&amp;START_MAXIMIZED=FALSE&amp;creator=factset&amp;display_string=Audit"}</definedName>
    <definedName name="_10__FDSAUDITLINK__" localSheetId="5" hidden="1">{"fdsup://Directions/FactSet Auditing Viewer?action=AUDIT_VALUE&amp;DB=129&amp;ID1=75075340&amp;VALUEID=01401&amp;SDATE=2010&amp;PERIODTYPE=ANN_STD&amp;SCFT=3&amp;window=popup_no_bar&amp;width=385&amp;height=120&amp;START_MAXIMIZED=FALSE&amp;creator=factset&amp;display_string=Audit"}</definedName>
    <definedName name="_10__FDSAUDITLINK__" localSheetId="7" hidden="1">{"fdsup://Directions/FactSet Auditing Viewer?action=AUDIT_VALUE&amp;DB=129&amp;ID1=48517030&amp;VALUEID=01401&amp;SDATE=2009&amp;PERIODTYPE=ANN_STD&amp;window=popup_no_bar&amp;width=385&amp;height=120&amp;START_MAXIMIZED=FALSE&amp;creator=factset&amp;display_string=Audit"}</definedName>
    <definedName name="_10__FDSAUDITLINK__" hidden="1">{"fdsup://Directions/FactSet Auditing Viewer?action=AUDIT_VALUE&amp;DB=129&amp;ID1=48517030&amp;VALUEID=01401&amp;SDATE=2009&amp;PERIODTYPE=ANN_STD&amp;window=popup_no_bar&amp;width=385&amp;height=120&amp;START_MAXIMIZED=FALSE&amp;creator=factset&amp;display_string=Audit"}</definedName>
    <definedName name="_100__FDSAUDITLINK__" localSheetId="5" hidden="1">{"fdsup://directions/FAT Viewer?action=UPDATE&amp;creator=factset&amp;DYN_ARGS=TRUE&amp;DOC_NAME=FAT:FQL_AUDITING_CLIENT_TEMPLATE.FAT&amp;display_string=Audit&amp;VAR:KEY=BWFKTENKVI&amp;VAR:QUERY=RkZfRUJJVChBTk4sMjAxMCk=&amp;WINDOW=FIRST_POPUP&amp;HEIGHT=450&amp;WIDTH=450&amp;START_MAXIMIZED=FALS","E&amp;VAR:CALENDAR=US&amp;VAR:SYMBOL=RA&amp;VAR:INDEX=0"}</definedName>
    <definedName name="_100__FDSAUDITLINK__" localSheetId="7"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00__FDSAUDITLINK__"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01__FDSAUDITLINK__" localSheetId="5" hidden="1">{"fdsup://directions/FAT Viewer?action=UPDATE&amp;creator=factset&amp;DYN_ARGS=TRUE&amp;DOC_NAME=FAT:FQL_AUDITING_CLIENT_TEMPLATE.FAT&amp;display_string=Audit&amp;VAR:KEY=PEFOLQPGXG&amp;VAR:QUERY=RkZfRUJJVChBTk4sMjAxMCk=&amp;WINDOW=FIRST_POPUP&amp;HEIGHT=450&amp;WIDTH=450&amp;START_MAXIMIZED=FALS","E&amp;VAR:CALENDAR=US&amp;VAR:SYMBOL=NSC&amp;VAR:INDEX=0"}</definedName>
    <definedName name="_101__FDSAUDITLINK__" localSheetId="7"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01__FDSAUDITLINK__"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02__FDSAUDITLINK__" localSheetId="5" hidden="1">{"fdsup://directions/FAT Viewer?action=UPDATE&amp;creator=factset&amp;DYN_ARGS=TRUE&amp;DOC_NAME=FAT:FQL_AUDITING_CLIENT_TEMPLATE.FAT&amp;display_string=Audit&amp;VAR:KEY=HMBWBGJGHA&amp;VAR:QUERY=RkZfRUJJVChBTk4sMjAxMCk=&amp;WINDOW=FIRST_POPUP&amp;HEIGHT=450&amp;WIDTH=450&amp;START_MAXIMIZED=FALS","E&amp;VAR:CALENDAR=US&amp;VAR:SYMBOL=KSU&amp;VAR:INDEX=0"}</definedName>
    <definedName name="_102__FDSAUDITLINK__" localSheetId="7"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02__FDSAUDITLINK__"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03__FDSAUDITLINK__" localSheetId="5" hidden="1">{"fdsup://directions/FAT Viewer?action=UPDATE&amp;creator=factset&amp;DYN_ARGS=TRUE&amp;DOC_NAME=FAT:FQL_AUDITING_CLIENT_TEMPLATE.FAT&amp;display_string=Audit&amp;VAR:KEY=BWJSJEHOHW&amp;VAR:QUERY=RkZfRUJJVChBTk4sMjAxMCk=&amp;WINDOW=FIRST_POPUP&amp;HEIGHT=450&amp;WIDTH=450&amp;START_MAXIMIZED=FALS","E&amp;VAR:CALENDAR=US&amp;VAR:SYMBOL=GWR&amp;VAR:INDEX=0"}</definedName>
    <definedName name="_103__FDSAUDITLINK__" localSheetId="7"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03__FDSAUDITLINK__"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04__FDSAUDITLINK__" localSheetId="5" hidden="1">{"fdsup://directions/FAT Viewer?action=UPDATE&amp;creator=factset&amp;DYN_ARGS=TRUE&amp;DOC_NAME=FAT:FQL_AUDITING_CLIENT_TEMPLATE.FAT&amp;display_string=Audit&amp;VAR:KEY=PINYZCPSJM&amp;VAR:QUERY=RkZfRUJJVChBTk4sMjAxMCk=&amp;WINDOW=FIRST_POPUP&amp;HEIGHT=450&amp;WIDTH=450&amp;START_MAXIMIZED=FALS","E&amp;VAR:CALENDAR=US&amp;VAR:SYMBOL=CSX&amp;VAR:INDEX=0"}</definedName>
    <definedName name="_104__FDSAUDITLINK__" localSheetId="7"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04__FDSAUDITLINK__"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05__FDSAUDITLINK__" localSheetId="5" hidden="1">{"fdsup://directions/FAT Viewer?action=UPDATE&amp;creator=factset&amp;DYN_ARGS=TRUE&amp;DOC_NAME=FAT:FQL_AUDITING_CLIENT_TEMPLATE.FAT&amp;display_string=Audit&amp;VAR:KEY=LITSLAHYFA&amp;VAR:QUERY=RkZfRUJJVChBTk4sMjAxMCk=&amp;WINDOW=FIRST_POPUP&amp;HEIGHT=450&amp;WIDTH=450&amp;START_MAXIMIZED=FALS","E&amp;VAR:CALENDAR=US&amp;VAR:SYMBOL=CP&amp;VAR:INDEX=0"}</definedName>
    <definedName name="_105__FDSAUDITLINK__" localSheetId="7"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05__FDSAUDITLINK__"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06__FDSAUDITLINK__" localSheetId="5" hidden="1">{"fdsup://directions/FAT Viewer?action=UPDATE&amp;creator=factset&amp;DYN_ARGS=TRUE&amp;DOC_NAME=FAT:FQL_AUDITING_CLIENT_TEMPLATE.FAT&amp;display_string=Audit&amp;VAR:KEY=HCVORMPWTM&amp;VAR:QUERY=RkZfRUJJVChBTk4sMjAxMCk=&amp;WINDOW=FIRST_POPUP&amp;HEIGHT=450&amp;WIDTH=450&amp;START_MAXIMIZED=FALS","E&amp;VAR:CALENDAR=US&amp;VAR:SYMBOL=CNI&amp;VAR:INDEX=0"}</definedName>
    <definedName name="_106__FDSAUDITLINK__" localSheetId="7"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06__FDSAUDITLINK__"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07__FDSAUDITLINK__" localSheetId="5" hidden="1">{"fdsup://directions/FAT Viewer?action=UPDATE&amp;creator=factset&amp;DYN_ARGS=TRUE&amp;DOC_NAME=FAT:FQL_AUDITING_CLIENT_TEMPLATE.FAT&amp;display_string=Audit&amp;VAR:KEY=XMLYTOPQXO&amp;VAR:QUERY=RkZfRUJJVERBKEFOTiwyMDEwKQ==&amp;WINDOW=FIRST_POPUP&amp;HEIGHT=450&amp;WIDTH=450&amp;START_MAXIMIZED=","FALSE&amp;VAR:CALENDAR=US&amp;VAR:SYMBOL=UNP&amp;VAR:INDEX=0"}</definedName>
    <definedName name="_107__FDSAUDITLINK__" localSheetId="7"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07__FDSAUDITLINK__"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08__FDSAUDITLINK__" localSheetId="5" hidden="1">{"fdsup://directions/FAT Viewer?action=UPDATE&amp;creator=factset&amp;DYN_ARGS=TRUE&amp;DOC_NAME=FAT:FQL_AUDITING_CLIENT_TEMPLATE.FAT&amp;display_string=Audit&amp;VAR:KEY=JATKRKDKLA&amp;VAR:QUERY=RkZfRUJJVERBKEFOTiwyMDEwKQ==&amp;WINDOW=FIRST_POPUP&amp;HEIGHT=450&amp;WIDTH=450&amp;START_MAXIMIZED=","FALSE&amp;VAR:CALENDAR=US&amp;VAR:SYMBOL=RA&amp;VAR:INDEX=0"}</definedName>
    <definedName name="_108__FDSAUDITLINK__" localSheetId="7"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08__FDSAUDITLINK__"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09__FDSAUDITLINK__" localSheetId="5" hidden="1">{"fdsup://directions/FAT Viewer?action=UPDATE&amp;creator=factset&amp;DYN_ARGS=TRUE&amp;DOC_NAME=FAT:FQL_AUDITING_CLIENT_TEMPLATE.FAT&amp;display_string=Audit&amp;VAR:KEY=JOTCFIXQPW&amp;VAR:QUERY=RkZfRUJJVERBKEFOTiwyMDEwKQ==&amp;WINDOW=FIRST_POPUP&amp;HEIGHT=450&amp;WIDTH=450&amp;START_MAXIMIZED=","FALSE&amp;VAR:CALENDAR=US&amp;VAR:SYMBOL=NSC&amp;VAR:INDEX=0"}</definedName>
    <definedName name="_109__FDSAUDITLINK__" localSheetId="7" hidden="1">{"fdsup://Directions/FactSet Auditing Viewer?action=AUDIT_VALUE&amp;DB=129&amp;ID1=90781810&amp;VALUEID=01250&amp;SDATE=2009&amp;PERIODTYPE=ANN_STD&amp;window=popup_no_bar&amp;width=385&amp;height=120&amp;START_MAXIMIZED=FALSE&amp;creator=factset&amp;display_string=Audit"}</definedName>
    <definedName name="_109__FDSAUDITLINK__" hidden="1">{"fdsup://Directions/FactSet Auditing Viewer?action=AUDIT_VALUE&amp;DB=129&amp;ID1=90781810&amp;VALUEID=01250&amp;SDATE=2009&amp;PERIODTYPE=ANN_STD&amp;window=popup_no_bar&amp;width=385&amp;height=120&amp;START_MAXIMIZED=FALSE&amp;creator=factset&amp;display_string=Audit"}</definedName>
    <definedName name="_11__FDSAUDITLINK__" localSheetId="5" hidden="1">{"fdsup://Directions/FactSet Auditing Viewer?action=AUDIT_VALUE&amp;DB=129&amp;ID1=65584410&amp;VALUEID=01401&amp;SDATE=2010&amp;PERIODTYPE=ANN_STD&amp;SCFT=3&amp;window=popup_no_bar&amp;width=385&amp;height=120&amp;START_MAXIMIZED=FALSE&amp;creator=factset&amp;display_string=Audit"}</definedName>
    <definedName name="_11__FDSAUDITLINK__" localSheetId="7" hidden="1">{"fdsup://Directions/FactSet Auditing Viewer?action=AUDIT_VALUE&amp;DB=129&amp;ID1=37155910&amp;VALUEID=01401&amp;SDATE=2009&amp;PERIODTYPE=ANN_STD&amp;window=popup_no_bar&amp;width=385&amp;height=120&amp;START_MAXIMIZED=FALSE&amp;creator=factset&amp;display_string=Audit"}</definedName>
    <definedName name="_11__FDSAUDITLINK__" hidden="1">{"fdsup://Directions/FactSet Auditing Viewer?action=AUDIT_VALUE&amp;DB=129&amp;ID1=37155910&amp;VALUEID=01401&amp;SDATE=2009&amp;PERIODTYPE=ANN_STD&amp;window=popup_no_bar&amp;width=385&amp;height=120&amp;START_MAXIMIZED=FALSE&amp;creator=factset&amp;display_string=Audit"}</definedName>
    <definedName name="_110__FDSAUDITLINK__" localSheetId="5" hidden="1">{"fdsup://directions/FAT Viewer?action=UPDATE&amp;creator=factset&amp;DYN_ARGS=TRUE&amp;DOC_NAME=FAT:FQL_AUDITING_CLIENT_TEMPLATE.FAT&amp;display_string=Audit&amp;VAR:KEY=XWBUVOTWJI&amp;VAR:QUERY=RkZfRUJJVERBKEFOTiwyMDEwKQ==&amp;WINDOW=FIRST_POPUP&amp;HEIGHT=450&amp;WIDTH=450&amp;START_MAXIMIZED=","FALSE&amp;VAR:CALENDAR=US&amp;VAR:SYMBOL=KSU&amp;VAR:INDEX=0"}</definedName>
    <definedName name="_110__FDSAUDITLINK__" localSheetId="7" hidden="1">{"fdsup://Directions/FactSet Auditing Viewer?action=AUDIT_VALUE&amp;DB=129&amp;ID1=75075340&amp;VALUEID=01250&amp;SDATE=2009&amp;PERIODTYPE=ANN_STD&amp;window=popup_no_bar&amp;width=385&amp;height=120&amp;START_MAXIMIZED=FALSE&amp;creator=factset&amp;display_string=Audit"}</definedName>
    <definedName name="_110__FDSAUDITLINK__" hidden="1">{"fdsup://Directions/FactSet Auditing Viewer?action=AUDIT_VALUE&amp;DB=129&amp;ID1=75075340&amp;VALUEID=01250&amp;SDATE=2009&amp;PERIODTYPE=ANN_STD&amp;window=popup_no_bar&amp;width=385&amp;height=120&amp;START_MAXIMIZED=FALSE&amp;creator=factset&amp;display_string=Audit"}</definedName>
    <definedName name="_111__FDSAUDITLINK__" localSheetId="5" hidden="1">{"fdsup://directions/FAT Viewer?action=UPDATE&amp;creator=factset&amp;DYN_ARGS=TRUE&amp;DOC_NAME=FAT:FQL_AUDITING_CLIENT_TEMPLATE.FAT&amp;display_string=Audit&amp;VAR:KEY=TMBAPSLEDO&amp;VAR:QUERY=RkZfRUJJVERBKEFOTiwyMDEwKQ==&amp;WINDOW=FIRST_POPUP&amp;HEIGHT=450&amp;WIDTH=450&amp;START_MAXIMIZED=","FALSE&amp;VAR:CALENDAR=US&amp;VAR:SYMBOL=GWR&amp;VAR:INDEX=0"}</definedName>
    <definedName name="_111__FDSAUDITLINK__" localSheetId="7" hidden="1">{"fdsup://Directions/FactSet Auditing Viewer?action=AUDIT_VALUE&amp;DB=129&amp;ID1=65584410&amp;VALUEID=01250&amp;SDATE=2009&amp;PERIODTYPE=ANN_STD&amp;window=popup_no_bar&amp;width=385&amp;height=120&amp;START_MAXIMIZED=FALSE&amp;creator=factset&amp;display_string=Audit"}</definedName>
    <definedName name="_111__FDSAUDITLINK__" hidden="1">{"fdsup://Directions/FactSet Auditing Viewer?action=AUDIT_VALUE&amp;DB=129&amp;ID1=65584410&amp;VALUEID=01250&amp;SDATE=2009&amp;PERIODTYPE=ANN_STD&amp;window=popup_no_bar&amp;width=385&amp;height=120&amp;START_MAXIMIZED=FALSE&amp;creator=factset&amp;display_string=Audit"}</definedName>
    <definedName name="_112__FDSAUDITLINK__" localSheetId="5" hidden="1">{"fdsup://directions/FAT Viewer?action=UPDATE&amp;creator=factset&amp;DYN_ARGS=TRUE&amp;DOC_NAME=FAT:FQL_AUDITING_CLIENT_TEMPLATE.FAT&amp;display_string=Audit&amp;VAR:KEY=JIPMRIVITU&amp;VAR:QUERY=RkZfRUJJVERBKEFOTiwyMDEwKQ==&amp;WINDOW=FIRST_POPUP&amp;HEIGHT=450&amp;WIDTH=450&amp;START_MAXIMIZED=","FALSE&amp;VAR:CALENDAR=US&amp;VAR:SYMBOL=CSX&amp;VAR:INDEX=0"}</definedName>
    <definedName name="_112__FDSAUDITLINK__" localSheetId="7" hidden="1">{"fdsup://Directions/FactSet Auditing Viewer?action=AUDIT_VALUE&amp;DB=129&amp;ID1=48517030&amp;VALUEID=01250&amp;SDATE=2009&amp;PERIODTYPE=ANN_STD&amp;window=popup_no_bar&amp;width=385&amp;height=120&amp;START_MAXIMIZED=FALSE&amp;creator=factset&amp;display_string=Audit"}</definedName>
    <definedName name="_112__FDSAUDITLINK__" hidden="1">{"fdsup://Directions/FactSet Auditing Viewer?action=AUDIT_VALUE&amp;DB=129&amp;ID1=48517030&amp;VALUEID=01250&amp;SDATE=2009&amp;PERIODTYPE=ANN_STD&amp;window=popup_no_bar&amp;width=385&amp;height=120&amp;START_MAXIMIZED=FALSE&amp;creator=factset&amp;display_string=Audit"}</definedName>
    <definedName name="_113__FDSAUDITLINK__" localSheetId="5" hidden="1">{"fdsup://directions/FAT Viewer?action=UPDATE&amp;creator=factset&amp;DYN_ARGS=TRUE&amp;DOC_NAME=FAT:FQL_AUDITING_CLIENT_TEMPLATE.FAT&amp;display_string=Audit&amp;VAR:KEY=DGFYZAREXG&amp;VAR:QUERY=RkZfRUJJVERBKEFOTiwyMDEwKQ==&amp;WINDOW=FIRST_POPUP&amp;HEIGHT=450&amp;WIDTH=450&amp;START_MAXIMIZED=","FALSE&amp;VAR:CALENDAR=US&amp;VAR:SYMBOL=CP&amp;VAR:INDEX=0"}</definedName>
    <definedName name="_113__FDSAUDITLINK__" localSheetId="7" hidden="1">{"fdsup://Directions/FactSet Auditing Viewer?action=AUDIT_VALUE&amp;DB=129&amp;ID1=37155910&amp;VALUEID=01250&amp;SDATE=2009&amp;PERIODTYPE=ANN_STD&amp;window=popup_no_bar&amp;width=385&amp;height=120&amp;START_MAXIMIZED=FALSE&amp;creator=factset&amp;display_string=Audit"}</definedName>
    <definedName name="_113__FDSAUDITLINK__" hidden="1">{"fdsup://Directions/FactSet Auditing Viewer?action=AUDIT_VALUE&amp;DB=129&amp;ID1=37155910&amp;VALUEID=01250&amp;SDATE=2009&amp;PERIODTYPE=ANN_STD&amp;window=popup_no_bar&amp;width=385&amp;height=120&amp;START_MAXIMIZED=FALSE&amp;creator=factset&amp;display_string=Audit"}</definedName>
    <definedName name="_114__FDSAUDITLINK__" localSheetId="5" hidden="1">{"fdsup://directions/FAT Viewer?action=UPDATE&amp;creator=factset&amp;DYN_ARGS=TRUE&amp;DOC_NAME=FAT:FQL_AUDITING_CLIENT_TEMPLATE.FAT&amp;display_string=Audit&amp;VAR:KEY=XMTYZCPUDC&amp;VAR:QUERY=RkZfRUJJVERBKEFOTiwyMDEwKQ==&amp;WINDOW=FIRST_POPUP&amp;HEIGHT=450&amp;WIDTH=450&amp;START_MAXIMIZED=","FALSE&amp;VAR:CALENDAR=US&amp;VAR:SYMBOL=CNI&amp;VAR:INDEX=0"}</definedName>
    <definedName name="_114__FDSAUDITLINK__" localSheetId="7" hidden="1">{"fdsup://Directions/FactSet Auditing Viewer?action=AUDIT_VALUE&amp;DB=129&amp;ID1=12640810&amp;VALUEID=01250&amp;SDATE=2009&amp;PERIODTYPE=ANN_STD&amp;window=popup_no_bar&amp;width=385&amp;height=120&amp;START_MAXIMIZED=FALSE&amp;creator=factset&amp;display_string=Audit"}</definedName>
    <definedName name="_114__FDSAUDITLINK__" hidden="1">{"fdsup://Directions/FactSet Auditing Viewer?action=AUDIT_VALUE&amp;DB=129&amp;ID1=12640810&amp;VALUEID=01250&amp;SDATE=2009&amp;PERIODTYPE=ANN_STD&amp;window=popup_no_bar&amp;width=385&amp;height=120&amp;START_MAXIMIZED=FALSE&amp;creator=factset&amp;display_string=Audit"}</definedName>
    <definedName name="_115__FDSAUDITLINK__" localSheetId="5" hidden="1">{"fdsup://Directions/FactSet Auditing Viewer?action=AUDIT_VALUE&amp;DB=129&amp;ID1=90781810&amp;VALUEID=01250&amp;SDATE=2010&amp;PERIODTYPE=ANN_STD&amp;SCFT=3&amp;window=popup_no_bar&amp;width=385&amp;height=120&amp;START_MAXIMIZED=FALSE&amp;creator=factset&amp;display_string=Audit"}</definedName>
    <definedName name="_115__FDSAUDITLINK__" localSheetId="7" hidden="1">{"fdsup://Directions/FactSet Auditing Viewer?action=AUDIT_VALUE&amp;DB=129&amp;ID1=90781810&amp;VALUEID=01001&amp;SDATE=2009&amp;PERIODTYPE=ANN_STD&amp;window=popup_no_bar&amp;width=385&amp;height=120&amp;START_MAXIMIZED=FALSE&amp;creator=factset&amp;display_string=Audit"}</definedName>
    <definedName name="_115__FDSAUDITLINK__" hidden="1">{"fdsup://Directions/FactSet Auditing Viewer?action=AUDIT_VALUE&amp;DB=129&amp;ID1=90781810&amp;VALUEID=01001&amp;SDATE=2009&amp;PERIODTYPE=ANN_STD&amp;window=popup_no_bar&amp;width=385&amp;height=120&amp;START_MAXIMIZED=FALSE&amp;creator=factset&amp;display_string=Audit"}</definedName>
    <definedName name="_116__FDSAUDITLINK__" localSheetId="5" hidden="1">{"fdsup://Directions/FactSet Auditing Viewer?action=AUDIT_VALUE&amp;DB=129&amp;ID1=75075340&amp;VALUEID=01250&amp;SDATE=2010&amp;PERIODTYPE=ANN_STD&amp;SCFT=3&amp;window=popup_no_bar&amp;width=385&amp;height=120&amp;START_MAXIMIZED=FALSE&amp;creator=factset&amp;display_string=Audit"}</definedName>
    <definedName name="_116__FDSAUDITLINK__" localSheetId="7" hidden="1">{"fdsup://Directions/FactSet Auditing Viewer?action=AUDIT_VALUE&amp;DB=129&amp;ID1=75075340&amp;VALUEID=01001&amp;SDATE=2009&amp;PERIODTYPE=ANN_STD&amp;window=popup_no_bar&amp;width=385&amp;height=120&amp;START_MAXIMIZED=FALSE&amp;creator=factset&amp;display_string=Audit"}</definedName>
    <definedName name="_116__FDSAUDITLINK__" hidden="1">{"fdsup://Directions/FactSet Auditing Viewer?action=AUDIT_VALUE&amp;DB=129&amp;ID1=75075340&amp;VALUEID=01001&amp;SDATE=2009&amp;PERIODTYPE=ANN_STD&amp;window=popup_no_bar&amp;width=385&amp;height=120&amp;START_MAXIMIZED=FALSE&amp;creator=factset&amp;display_string=Audit"}</definedName>
    <definedName name="_117__FDSAUDITLINK__" localSheetId="5" hidden="1">{"fdsup://Directions/FactSet Auditing Viewer?action=AUDIT_VALUE&amp;DB=129&amp;ID1=65584410&amp;VALUEID=01250&amp;SDATE=2010&amp;PERIODTYPE=ANN_STD&amp;SCFT=3&amp;window=popup_no_bar&amp;width=385&amp;height=120&amp;START_MAXIMIZED=FALSE&amp;creator=factset&amp;display_string=Audit"}</definedName>
    <definedName name="_117__FDSAUDITLINK__" localSheetId="7" hidden="1">{"fdsup://Directions/FactSet Auditing Viewer?action=AUDIT_VALUE&amp;DB=129&amp;ID1=65584410&amp;VALUEID=01001&amp;SDATE=2009&amp;PERIODTYPE=ANN_STD&amp;window=popup_no_bar&amp;width=385&amp;height=120&amp;START_MAXIMIZED=FALSE&amp;creator=factset&amp;display_string=Audit"}</definedName>
    <definedName name="_117__FDSAUDITLINK__" hidden="1">{"fdsup://Directions/FactSet Auditing Viewer?action=AUDIT_VALUE&amp;DB=129&amp;ID1=65584410&amp;VALUEID=01001&amp;SDATE=2009&amp;PERIODTYPE=ANN_STD&amp;window=popup_no_bar&amp;width=385&amp;height=120&amp;START_MAXIMIZED=FALSE&amp;creator=factset&amp;display_string=Audit"}</definedName>
    <definedName name="_118__FDSAUDITLINK__" localSheetId="5" hidden="1">{"fdsup://Directions/FactSet Auditing Viewer?action=AUDIT_VALUE&amp;DB=129&amp;ID1=48517030&amp;VALUEID=01250&amp;SDATE=2010&amp;PERIODTYPE=ANN_STD&amp;SCFT=3&amp;window=popup_no_bar&amp;width=385&amp;height=120&amp;START_MAXIMIZED=FALSE&amp;creator=factset&amp;display_string=Audit"}</definedName>
    <definedName name="_118__FDSAUDITLINK__" localSheetId="7" hidden="1">{"fdsup://Directions/FactSet Auditing Viewer?action=AUDIT_VALUE&amp;DB=129&amp;ID1=48517030&amp;VALUEID=01001&amp;SDATE=2009&amp;PERIODTYPE=ANN_STD&amp;window=popup_no_bar&amp;width=385&amp;height=120&amp;START_MAXIMIZED=FALSE&amp;creator=factset&amp;display_string=Audit"}</definedName>
    <definedName name="_118__FDSAUDITLINK__" hidden="1">{"fdsup://Directions/FactSet Auditing Viewer?action=AUDIT_VALUE&amp;DB=129&amp;ID1=48517030&amp;VALUEID=01001&amp;SDATE=2009&amp;PERIODTYPE=ANN_STD&amp;window=popup_no_bar&amp;width=385&amp;height=120&amp;START_MAXIMIZED=FALSE&amp;creator=factset&amp;display_string=Audit"}</definedName>
    <definedName name="_119__FDSAUDITLINK__" localSheetId="5" hidden="1">{"fdsup://Directions/FactSet Auditing Viewer?action=AUDIT_VALUE&amp;DB=129&amp;ID1=37155910&amp;VALUEID=01250&amp;SDATE=2010&amp;PERIODTYPE=ANN_STD&amp;SCFT=3&amp;window=popup_no_bar&amp;width=385&amp;height=120&amp;START_MAXIMIZED=FALSE&amp;creator=factset&amp;display_string=Audit"}</definedName>
    <definedName name="_119__FDSAUDITLINK__" localSheetId="7" hidden="1">{"fdsup://Directions/FactSet Auditing Viewer?action=AUDIT_VALUE&amp;DB=129&amp;ID1=37155910&amp;VALUEID=01001&amp;SDATE=2009&amp;PERIODTYPE=ANN_STD&amp;window=popup_no_bar&amp;width=385&amp;height=120&amp;START_MAXIMIZED=FALSE&amp;creator=factset&amp;display_string=Audit"}</definedName>
    <definedName name="_119__FDSAUDITLINK__" hidden="1">{"fdsup://Directions/FactSet Auditing Viewer?action=AUDIT_VALUE&amp;DB=129&amp;ID1=37155910&amp;VALUEID=01001&amp;SDATE=2009&amp;PERIODTYPE=ANN_STD&amp;window=popup_no_bar&amp;width=385&amp;height=120&amp;START_MAXIMIZED=FALSE&amp;creator=factset&amp;display_string=Audit"}</definedName>
    <definedName name="_12__FDSAUDITLINK__" localSheetId="5" hidden="1">{"fdsup://Directions/FactSet Auditing Viewer?action=AUDIT_VALUE&amp;DB=129&amp;ID1=48517030&amp;VALUEID=01401&amp;SDATE=2010&amp;PERIODTYPE=ANN_STD&amp;SCFT=3&amp;window=popup_no_bar&amp;width=385&amp;height=120&amp;START_MAXIMIZED=FALSE&amp;creator=factset&amp;display_string=Audit"}</definedName>
    <definedName name="_12__FDSAUDITLINK__" localSheetId="7" hidden="1">{"fdsup://Directions/FactSet Auditing Viewer?action=AUDIT_VALUE&amp;DB=129&amp;ID1=12640810&amp;VALUEID=01401&amp;SDATE=2009&amp;PERIODTYPE=ANN_STD&amp;window=popup_no_bar&amp;width=385&amp;height=120&amp;START_MAXIMIZED=FALSE&amp;creator=factset&amp;display_string=Audit"}</definedName>
    <definedName name="_12__FDSAUDITLINK__" hidden="1">{"fdsup://Directions/FactSet Auditing Viewer?action=AUDIT_VALUE&amp;DB=129&amp;ID1=12640810&amp;VALUEID=01401&amp;SDATE=2009&amp;PERIODTYPE=ANN_STD&amp;window=popup_no_bar&amp;width=385&amp;height=120&amp;START_MAXIMIZED=FALSE&amp;creator=factset&amp;display_string=Audit"}</definedName>
    <definedName name="_120__FDSAUDITLINK__" localSheetId="5" hidden="1">{"fdsup://Directions/FactSet Auditing Viewer?action=AUDIT_VALUE&amp;DB=129&amp;ID1=12640810&amp;VALUEID=01250&amp;SDATE=2010&amp;PERIODTYPE=ANN_STD&amp;SCFT=3&amp;window=popup_no_bar&amp;width=385&amp;height=120&amp;START_MAXIMIZED=FALSE&amp;creator=factset&amp;display_string=Audit"}</definedName>
    <definedName name="_120__FDSAUDITLINK__" localSheetId="7" hidden="1">{"fdsup://Directions/FactSet Auditing Viewer?action=AUDIT_VALUE&amp;DB=129&amp;ID1=12640810&amp;VALUEID=01001&amp;SDATE=2009&amp;PERIODTYPE=ANN_STD&amp;window=popup_no_bar&amp;width=385&amp;height=120&amp;START_MAXIMIZED=FALSE&amp;creator=factset&amp;display_string=Audit"}</definedName>
    <definedName name="_120__FDSAUDITLINK__" hidden="1">{"fdsup://Directions/FactSet Auditing Viewer?action=AUDIT_VALUE&amp;DB=129&amp;ID1=12640810&amp;VALUEID=01001&amp;SDATE=2009&amp;PERIODTYPE=ANN_STD&amp;window=popup_no_bar&amp;width=385&amp;height=120&amp;START_MAXIMIZED=FALSE&amp;creator=factset&amp;display_string=Audit"}</definedName>
    <definedName name="_121__FDSAUDITLINK__" localSheetId="5" hidden="1">{"fdsup://Directions/FactSet Auditing Viewer?action=AUDIT_VALUE&amp;DB=129&amp;ID1=90781810&amp;VALUEID=01001&amp;SDATE=2010&amp;PERIODTYPE=ANN_STD&amp;SCFT=3&amp;window=popup_no_bar&amp;width=385&amp;height=120&amp;START_MAXIMIZED=FALSE&amp;creator=factset&amp;display_string=Audit"}</definedName>
    <definedName name="_121__FDSAUDITLINK__" localSheetId="7"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21__FDSAUDITLINK__"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22__FDSAUDITLINK__" localSheetId="5" hidden="1">{"fdsup://Directions/FactSet Auditing Viewer?action=AUDIT_VALUE&amp;DB=129&amp;ID1=75075340&amp;VALUEID=01001&amp;SDATE=2010&amp;PERIODTYPE=ANN_STD&amp;SCFT=3&amp;window=popup_no_bar&amp;width=385&amp;height=120&amp;START_MAXIMIZED=FALSE&amp;creator=factset&amp;display_string=Audit"}</definedName>
    <definedName name="_122__FDSAUDITLINK__" localSheetId="7"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22__FDSAUDITLINK__"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23__FDSAUDITLINK__" localSheetId="5" hidden="1">{"fdsup://Directions/FactSet Auditing Viewer?action=AUDIT_VALUE&amp;DB=129&amp;ID1=65584410&amp;VALUEID=01001&amp;SDATE=2010&amp;PERIODTYPE=ANN_STD&amp;SCFT=3&amp;window=popup_no_bar&amp;width=385&amp;height=120&amp;START_MAXIMIZED=FALSE&amp;creator=factset&amp;display_string=Audit"}</definedName>
    <definedName name="_123__FDSAUDITLINK__" localSheetId="7"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23__FDSAUDITLINK__"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24__FDSAUDITLINK__" localSheetId="5" hidden="1">{"fdsup://Directions/FactSet Auditing Viewer?action=AUDIT_VALUE&amp;DB=129&amp;ID1=48517030&amp;VALUEID=01001&amp;SDATE=2010&amp;PERIODTYPE=ANN_STD&amp;SCFT=3&amp;window=popup_no_bar&amp;width=385&amp;height=120&amp;START_MAXIMIZED=FALSE&amp;creator=factset&amp;display_string=Audit"}</definedName>
    <definedName name="_124__FDSAUDITLINK__" localSheetId="7"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24__FDSAUDITLINK__"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25__FDSAUDITLINK__" localSheetId="5" hidden="1">{"fdsup://Directions/FactSet Auditing Viewer?action=AUDIT_VALUE&amp;DB=129&amp;ID1=37155910&amp;VALUEID=01001&amp;SDATE=2010&amp;PERIODTYPE=ANN_STD&amp;SCFT=3&amp;window=popup_no_bar&amp;width=385&amp;height=120&amp;START_MAXIMIZED=FALSE&amp;creator=factset&amp;display_string=Audit"}</definedName>
    <definedName name="_125__FDSAUDITLINK__" localSheetId="7"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25__FDSAUDITLINK__"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26__FDSAUDITLINK__" localSheetId="5" hidden="1">{"fdsup://Directions/FactSet Auditing Viewer?action=AUDIT_VALUE&amp;DB=129&amp;ID1=12640810&amp;VALUEID=01001&amp;SDATE=2010&amp;PERIODTYPE=ANN_STD&amp;SCFT=3&amp;window=popup_no_bar&amp;width=385&amp;height=120&amp;START_MAXIMIZED=FALSE&amp;creator=factset&amp;display_string=Audit"}</definedName>
    <definedName name="_126__FDSAUDITLINK__" localSheetId="7"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26__FDSAUDITLINK__"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27__FDSAUDITLINK__" localSheetId="5" hidden="1">{"fdsup://Directions/FactSet Auditing Viewer?action=AUDIT_VALUE&amp;DB=129&amp;ID1=90781810&amp;VALUEID=01401&amp;SDATE=2010&amp;PERIODTYPE=ANN_STD&amp;SCFT=3&amp;window=popup_no_bar&amp;width=385&amp;height=120&amp;START_MAXIMIZED=FALSE&amp;creator=factset&amp;display_string=Audit"}</definedName>
    <definedName name="_127__FDSAUDITLINK__" localSheetId="7"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27__FDSAUDITLINK__"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28__FDSAUDITLINK__" localSheetId="5" hidden="1">{"fdsup://Directions/FactSet Auditing Viewer?action=AUDIT_VALUE&amp;DB=129&amp;ID1=75075340&amp;VALUEID=01401&amp;SDATE=2010&amp;PERIODTYPE=ANN_STD&amp;SCFT=3&amp;window=popup_no_bar&amp;width=385&amp;height=120&amp;START_MAXIMIZED=FALSE&amp;creator=factset&amp;display_string=Audit"}</definedName>
    <definedName name="_128__FDSAUDITLINK__" localSheetId="7"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28__FDSAUDITLINK__"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29__FDSAUDITLINK__" localSheetId="5" hidden="1">{"fdsup://Directions/FactSet Auditing Viewer?action=AUDIT_VALUE&amp;DB=129&amp;ID1=65584410&amp;VALUEID=01401&amp;SDATE=2010&amp;PERIODTYPE=ANN_STD&amp;SCFT=3&amp;window=popup_no_bar&amp;width=385&amp;height=120&amp;START_MAXIMIZED=FALSE&amp;creator=factset&amp;display_string=Audit"}</definedName>
    <definedName name="_129__FDSAUDITLINK__" localSheetId="7"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129__FDSAUDITLINK__"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13__FDSAUDITLINK__" localSheetId="5" hidden="1">{"fdsup://Directions/FactSet Auditing Viewer?action=AUDIT_VALUE&amp;DB=129&amp;ID1=37155910&amp;VALUEID=01401&amp;SDATE=2010&amp;PERIODTYPE=ANN_STD&amp;SCFT=3&amp;window=popup_no_bar&amp;width=385&amp;height=120&amp;START_MAXIMIZED=FALSE&amp;creator=factset&amp;display_string=Audit"}</definedName>
    <definedName name="_13__FDSAUDITLINK__" localSheetId="7" hidden="1">{"fdsup://Directions/FactSet Auditing Viewer?action=AUDIT_VALUE&amp;DB=129&amp;ID1=90781810&amp;VALUEID=01401&amp;SDATE=2009&amp;PERIODTYPE=ANN_STD&amp;window=popup_no_bar&amp;width=385&amp;height=120&amp;START_MAXIMIZED=FALSE&amp;creator=factset&amp;display_string=Audit"}</definedName>
    <definedName name="_13__FDSAUDITLINK__" hidden="1">{"fdsup://Directions/FactSet Auditing Viewer?action=AUDIT_VALUE&amp;DB=129&amp;ID1=90781810&amp;VALUEID=01401&amp;SDATE=2009&amp;PERIODTYPE=ANN_STD&amp;window=popup_no_bar&amp;width=385&amp;height=120&amp;START_MAXIMIZED=FALSE&amp;creator=factset&amp;display_string=Audit"}</definedName>
    <definedName name="_130__FDSAUDITLINK__" localSheetId="5" hidden="1">{"fdsup://Directions/FactSet Auditing Viewer?action=AUDIT_VALUE&amp;DB=129&amp;ID1=48517030&amp;VALUEID=01401&amp;SDATE=2010&amp;PERIODTYPE=ANN_STD&amp;SCFT=3&amp;window=popup_no_bar&amp;width=385&amp;height=120&amp;START_MAXIMIZED=FALSE&amp;creator=factset&amp;display_string=Audit"}</definedName>
    <definedName name="_130__FDSAUDITLINK__" localSheetId="7"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130__FDSAUDITLINK__"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131__FDSAUDITLINK__" localSheetId="5" hidden="1">{"fdsup://Directions/FactSet Auditing Viewer?action=AUDIT_VALUE&amp;DB=129&amp;ID1=37155910&amp;VALUEID=01401&amp;SDATE=2010&amp;PERIODTYPE=ANN_STD&amp;SCFT=3&amp;window=popup_no_bar&amp;width=385&amp;height=120&amp;START_MAXIMIZED=FALSE&amp;creator=factset&amp;display_string=Audit"}</definedName>
    <definedName name="_131__FDSAUDITLINK__" localSheetId="7"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131__FDSAUDITLINK__"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132__FDSAUDITLINK__" localSheetId="5" hidden="1">{"fdsup://Directions/FactSet Auditing Viewer?action=AUDIT_VALUE&amp;DB=129&amp;ID1=12640810&amp;VALUEID=01401&amp;SDATE=2010&amp;PERIODTYPE=ANN_STD&amp;SCFT=3&amp;window=popup_no_bar&amp;width=385&amp;height=120&amp;START_MAXIMIZED=FALSE&amp;creator=factset&amp;display_string=Audit"}</definedName>
    <definedName name="_132__FDSAUDITLINK__" localSheetId="7"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132__FDSAUDITLINK__"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133__FDSAUDITLINK__" localSheetId="5" hidden="1">{"fdsup://directions/FAT Viewer?action=UPDATE&amp;creator=factset&amp;DYN_ARGS=TRUE&amp;DOC_NAME=FAT:FQL_AUDITING_CLIENT_TEMPLATE.FAT&amp;display_string=Audit&amp;VAR:KEY=BULWZYFAPI&amp;VAR:QUERY=RkZfTkVUX0lOQyhBTk4sMjAxMCk=&amp;WINDOW=FIRST_POPUP&amp;HEIGHT=450&amp;WIDTH=450&amp;START_MAXIMIZED=","FALSE&amp;VAR:CALENDAR=US&amp;VAR:SYMBOL=UNP&amp;VAR:INDEX=0"}</definedName>
    <definedName name="_133__FDSAUDITLINK__" localSheetId="7"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133__FDSAUDITLINK__"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134__FDSAUDITLINK__" localSheetId="5" hidden="1">{"fdsup://directions/FAT Viewer?action=UPDATE&amp;creator=factset&amp;DYN_ARGS=TRUE&amp;DOC_NAME=FAT:FQL_AUDITING_CLIENT_TEMPLATE.FAT&amp;display_string=Audit&amp;VAR:KEY=JSDALMBKVE&amp;VAR:QUERY=RkZfTkVUX0lOQyhBTk4sMjAxMCk=&amp;WINDOW=FIRST_POPUP&amp;HEIGHT=450&amp;WIDTH=450&amp;START_MAXIMIZED=","FALSE&amp;VAR:CALENDAR=US&amp;VAR:SYMBOL=RA&amp;VAR:INDEX=0"}</definedName>
    <definedName name="_134__FDSAUDITLINK__" localSheetId="7"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134__FDSAUDITLINK__"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135__FDSAUDITLINK__" localSheetId="5" hidden="1">{"fdsup://directions/FAT Viewer?action=UPDATE&amp;creator=factset&amp;DYN_ARGS=TRUE&amp;DOC_NAME=FAT:FQL_AUDITING_CLIENT_TEMPLATE.FAT&amp;display_string=Audit&amp;VAR:KEY=VGFIRWPCJU&amp;VAR:QUERY=RkZfTkVUX0lOQyhBTk4sMjAxMCk=&amp;WINDOW=FIRST_POPUP&amp;HEIGHT=450&amp;WIDTH=450&amp;START_MAXIMIZED=","FALSE&amp;VAR:CALENDAR=US&amp;VAR:SYMBOL=NSC&amp;VAR:INDEX=0"}</definedName>
    <definedName name="_135__FDSAUDITLINK__" localSheetId="7"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135__FDSAUDITLINK__"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136__FDSAUDITLINK__" localSheetId="5" hidden="1">{"fdsup://directions/FAT Viewer?action=UPDATE&amp;creator=factset&amp;DYN_ARGS=TRUE&amp;DOC_NAME=FAT:FQL_AUDITING_CLIENT_TEMPLATE.FAT&amp;display_string=Audit&amp;VAR:KEY=XWFGFGVSHK&amp;VAR:QUERY=RkZfTkVUX0lOQyhBTk4sMjAxMCk=&amp;WINDOW=FIRST_POPUP&amp;HEIGHT=450&amp;WIDTH=450&amp;START_MAXIMIZED=","FALSE&amp;VAR:CALENDAR=US&amp;VAR:SYMBOL=KSU&amp;VAR:INDEX=0"}</definedName>
    <definedName name="_136__FDSAUDITLINK__" localSheetId="7"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36__FDSAUDITLINK__"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37__FDSAUDITLINK__" localSheetId="5" hidden="1">{"fdsup://directions/FAT Viewer?action=UPDATE&amp;creator=factset&amp;DYN_ARGS=TRUE&amp;DOC_NAME=FAT:FQL_AUDITING_CLIENT_TEMPLATE.FAT&amp;display_string=Audit&amp;VAR:KEY=PEFOBCHMJG&amp;VAR:QUERY=RkZfTkVUX0lOQyhBTk4sMjAxMCk=&amp;WINDOW=FIRST_POPUP&amp;HEIGHT=450&amp;WIDTH=450&amp;START_MAXIMIZED=","FALSE&amp;VAR:CALENDAR=US&amp;VAR:SYMBOL=GWR&amp;VAR:INDEX=0"}</definedName>
    <definedName name="_137__FDSAUDITLINK__" localSheetId="7"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37__FDSAUDITLINK__"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38__FDSAUDITLINK__" localSheetId="5" hidden="1">{"fdsup://directions/FAT Viewer?action=UPDATE&amp;creator=factset&amp;DYN_ARGS=TRUE&amp;DOC_NAME=FAT:FQL_AUDITING_CLIENT_TEMPLATE.FAT&amp;display_string=Audit&amp;VAR:KEY=ZYBGBQNIPW&amp;VAR:QUERY=RkZfTkVUX0lOQyhBTk4sMjAxMCk=&amp;WINDOW=FIRST_POPUP&amp;HEIGHT=450&amp;WIDTH=450&amp;START_MAXIMIZED=","FALSE&amp;VAR:CALENDAR=US&amp;VAR:SYMBOL=CSX&amp;VAR:INDEX=0"}</definedName>
    <definedName name="_138__FDSAUDITLINK__" localSheetId="7"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38__FDSAUDITLINK__"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39__FDSAUDITLINK__" localSheetId="5" hidden="1">{"fdsup://directions/FAT Viewer?action=UPDATE&amp;creator=factset&amp;DYN_ARGS=TRUE&amp;DOC_NAME=FAT:FQL_AUDITING_CLIENT_TEMPLATE.FAT&amp;display_string=Audit&amp;VAR:KEY=LWXCBKXSLK&amp;VAR:QUERY=RkZfTkVUX0lOQyhBTk4sMjAxMCk=&amp;WINDOW=FIRST_POPUP&amp;HEIGHT=450&amp;WIDTH=450&amp;START_MAXIMIZED=","FALSE&amp;VAR:CALENDAR=US&amp;VAR:SYMBOL=CP&amp;VAR:INDEX=0"}</definedName>
    <definedName name="_139__FDSAUDITLINK__" localSheetId="7"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39__FDSAUDITLINK__"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4__FDSAUDITLINK__" localSheetId="5" hidden="1">{"fdsup://Directions/FactSet Auditing Viewer?action=AUDIT_VALUE&amp;DB=129&amp;ID1=12640810&amp;VALUEID=01401&amp;SDATE=2010&amp;PERIODTYPE=ANN_STD&amp;SCFT=3&amp;window=popup_no_bar&amp;width=385&amp;height=120&amp;START_MAXIMIZED=FALSE&amp;creator=factset&amp;display_string=Audit"}</definedName>
    <definedName name="_14__FDSAUDITLINK__" localSheetId="7" hidden="1">{"fdsup://Directions/FactSet Auditing Viewer?action=AUDIT_VALUE&amp;DB=129&amp;ID1=75075340&amp;VALUEID=01401&amp;SDATE=2009&amp;PERIODTYPE=ANN_STD&amp;window=popup_no_bar&amp;width=385&amp;height=120&amp;START_MAXIMIZED=FALSE&amp;creator=factset&amp;display_string=Audit"}</definedName>
    <definedName name="_14__FDSAUDITLINK__" hidden="1">{"fdsup://Directions/FactSet Auditing Viewer?action=AUDIT_VALUE&amp;DB=129&amp;ID1=75075340&amp;VALUEID=01401&amp;SDATE=2009&amp;PERIODTYPE=ANN_STD&amp;window=popup_no_bar&amp;width=385&amp;height=120&amp;START_MAXIMIZED=FALSE&amp;creator=factset&amp;display_string=Audit"}</definedName>
    <definedName name="_140__FDSAUDITLINK__" localSheetId="5" hidden="1">{"fdsup://directions/FAT Viewer?action=UPDATE&amp;creator=factset&amp;DYN_ARGS=TRUE&amp;DOC_NAME=FAT:FQL_AUDITING_CLIENT_TEMPLATE.FAT&amp;display_string=Audit&amp;VAR:KEY=POVWTQFONY&amp;VAR:QUERY=RkZfTkVUX0lOQyhBTk4sMjAxMCk=&amp;WINDOW=FIRST_POPUP&amp;HEIGHT=450&amp;WIDTH=450&amp;START_MAXIMIZED=","FALSE&amp;VAR:CALENDAR=US&amp;VAR:SYMBOL=CNI&amp;VAR:INDEX=0"}</definedName>
    <definedName name="_140__FDSAUDITLINK__" localSheetId="7"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40__FDSAUDITLINK__"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41__FDSAUDITLINK__" localSheetId="5" hidden="1">{"fdsup://Directions/FactSet Auditing Viewer?action=AUDIT_VALUE&amp;DB=129&amp;ID1=90781810&amp;VALUEID=01250&amp;SDATE=2010&amp;PERIODTYPE=ANN_STD&amp;SCFT=3&amp;window=popup_no_bar&amp;width=385&amp;height=120&amp;START_MAXIMIZED=FALSE&amp;creator=factset&amp;display_string=Audit"}</definedName>
    <definedName name="_141__FDSAUDITLINK__" localSheetId="7"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41__FDSAUDITLINK__"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42__FDSAUDITLINK__" localSheetId="5" hidden="1">{"fdsup://Directions/FactSet Auditing Viewer?action=AUDIT_VALUE&amp;DB=129&amp;ID1=75075340&amp;VALUEID=01250&amp;SDATE=2010&amp;PERIODTYPE=ANN_STD&amp;SCFT=3&amp;window=popup_no_bar&amp;width=385&amp;height=120&amp;START_MAXIMIZED=FALSE&amp;creator=factset&amp;display_string=Audit"}</definedName>
    <definedName name="_142__FDSAUDITLINK__" localSheetId="7"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42__FDSAUDITLINK__"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43__FDSAUDITLINK__" localSheetId="5" hidden="1">{"fdsup://Directions/FactSet Auditing Viewer?action=AUDIT_VALUE&amp;DB=129&amp;ID1=65584410&amp;VALUEID=01250&amp;SDATE=2010&amp;PERIODTYPE=ANN_STD&amp;SCFT=3&amp;window=popup_no_bar&amp;width=385&amp;height=120&amp;START_MAXIMIZED=FALSE&amp;creator=factset&amp;display_string=Audit"}</definedName>
    <definedName name="_143__FDSAUDITLINK__" localSheetId="7"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43__FDSAUDITLINK__"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44__FDSAUDITLINK__" localSheetId="5" hidden="1">{"fdsup://Directions/FactSet Auditing Viewer?action=AUDIT_VALUE&amp;DB=129&amp;ID1=48517030&amp;VALUEID=01250&amp;SDATE=2010&amp;PERIODTYPE=ANN_STD&amp;SCFT=3&amp;window=popup_no_bar&amp;width=385&amp;height=120&amp;START_MAXIMIZED=FALSE&amp;creator=factset&amp;display_string=Audit"}</definedName>
    <definedName name="_144__FDSAUDITLINK__" localSheetId="7"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44__FDSAUDITLINK__"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45__FDSAUDITLINK__" localSheetId="5" hidden="1">{"fdsup://Directions/FactSet Auditing Viewer?action=AUDIT_VALUE&amp;DB=129&amp;ID1=37155910&amp;VALUEID=01250&amp;SDATE=2010&amp;PERIODTYPE=ANN_STD&amp;SCFT=3&amp;window=popup_no_bar&amp;width=385&amp;height=120&amp;START_MAXIMIZED=FALSE&amp;creator=factset&amp;display_string=Audit"}</definedName>
    <definedName name="_145__FDSAUDITLINK__" localSheetId="7" hidden="1">{"fdsup://Directions/FactSet Auditing Viewer?action=AUDIT_VALUE&amp;DB=129&amp;ID1=90781810&amp;VALUEID=01250&amp;SDATE=2009&amp;PERIODTYPE=ANN_STD&amp;window=popup_no_bar&amp;width=385&amp;height=120&amp;START_MAXIMIZED=FALSE&amp;creator=factset&amp;display_string=Audit"}</definedName>
    <definedName name="_145__FDSAUDITLINK__" hidden="1">{"fdsup://Directions/FactSet Auditing Viewer?action=AUDIT_VALUE&amp;DB=129&amp;ID1=90781810&amp;VALUEID=01250&amp;SDATE=2009&amp;PERIODTYPE=ANN_STD&amp;window=popup_no_bar&amp;width=385&amp;height=120&amp;START_MAXIMIZED=FALSE&amp;creator=factset&amp;display_string=Audit"}</definedName>
    <definedName name="_146__FDSAUDITLINK__" localSheetId="5" hidden="1">{"fdsup://Directions/FactSet Auditing Viewer?action=AUDIT_VALUE&amp;DB=129&amp;ID1=12640810&amp;VALUEID=01250&amp;SDATE=2010&amp;PERIODTYPE=ANN_STD&amp;SCFT=3&amp;window=popup_no_bar&amp;width=385&amp;height=120&amp;START_MAXIMIZED=FALSE&amp;creator=factset&amp;display_string=Audit"}</definedName>
    <definedName name="_146__FDSAUDITLINK__" localSheetId="7" hidden="1">{"fdsup://Directions/FactSet Auditing Viewer?action=AUDIT_VALUE&amp;DB=129&amp;ID1=75075340&amp;VALUEID=01250&amp;SDATE=2009&amp;PERIODTYPE=ANN_STD&amp;window=popup_no_bar&amp;width=385&amp;height=120&amp;START_MAXIMIZED=FALSE&amp;creator=factset&amp;display_string=Audit"}</definedName>
    <definedName name="_146__FDSAUDITLINK__" hidden="1">{"fdsup://Directions/FactSet Auditing Viewer?action=AUDIT_VALUE&amp;DB=129&amp;ID1=75075340&amp;VALUEID=01250&amp;SDATE=2009&amp;PERIODTYPE=ANN_STD&amp;window=popup_no_bar&amp;width=385&amp;height=120&amp;START_MAXIMIZED=FALSE&amp;creator=factset&amp;display_string=Audit"}</definedName>
    <definedName name="_147__FDSAUDITLINK__" localSheetId="5" hidden="1">{"fdsup://Directions/FactSet Auditing Viewer?action=AUDIT_VALUE&amp;DB=129&amp;ID1=90781810&amp;VALUEID=01001&amp;SDATE=2010&amp;PERIODTYPE=ANN_STD&amp;SCFT=3&amp;window=popup_no_bar&amp;width=385&amp;height=120&amp;START_MAXIMIZED=FALSE&amp;creator=factset&amp;display_string=Audit"}</definedName>
    <definedName name="_147__FDSAUDITLINK__" localSheetId="7" hidden="1">{"fdsup://Directions/FactSet Auditing Viewer?action=AUDIT_VALUE&amp;DB=129&amp;ID1=65584410&amp;VALUEID=01250&amp;SDATE=2009&amp;PERIODTYPE=ANN_STD&amp;window=popup_no_bar&amp;width=385&amp;height=120&amp;START_MAXIMIZED=FALSE&amp;creator=factset&amp;display_string=Audit"}</definedName>
    <definedName name="_147__FDSAUDITLINK__" hidden="1">{"fdsup://Directions/FactSet Auditing Viewer?action=AUDIT_VALUE&amp;DB=129&amp;ID1=65584410&amp;VALUEID=01250&amp;SDATE=2009&amp;PERIODTYPE=ANN_STD&amp;window=popup_no_bar&amp;width=385&amp;height=120&amp;START_MAXIMIZED=FALSE&amp;creator=factset&amp;display_string=Audit"}</definedName>
    <definedName name="_148__FDSAUDITLINK__" localSheetId="5" hidden="1">{"fdsup://Directions/FactSet Auditing Viewer?action=AUDIT_VALUE&amp;DB=129&amp;ID1=75075340&amp;VALUEID=01001&amp;SDATE=2010&amp;PERIODTYPE=ANN_STD&amp;SCFT=3&amp;window=popup_no_bar&amp;width=385&amp;height=120&amp;START_MAXIMIZED=FALSE&amp;creator=factset&amp;display_string=Audit"}</definedName>
    <definedName name="_148__FDSAUDITLINK__" localSheetId="7" hidden="1">{"fdsup://Directions/FactSet Auditing Viewer?action=AUDIT_VALUE&amp;DB=129&amp;ID1=48517030&amp;VALUEID=01250&amp;SDATE=2009&amp;PERIODTYPE=ANN_STD&amp;window=popup_no_bar&amp;width=385&amp;height=120&amp;START_MAXIMIZED=FALSE&amp;creator=factset&amp;display_string=Audit"}</definedName>
    <definedName name="_148__FDSAUDITLINK__" hidden="1">{"fdsup://Directions/FactSet Auditing Viewer?action=AUDIT_VALUE&amp;DB=129&amp;ID1=48517030&amp;VALUEID=01250&amp;SDATE=2009&amp;PERIODTYPE=ANN_STD&amp;window=popup_no_bar&amp;width=385&amp;height=120&amp;START_MAXIMIZED=FALSE&amp;creator=factset&amp;display_string=Audit"}</definedName>
    <definedName name="_149__FDSAUDITLINK__" localSheetId="5" hidden="1">{"fdsup://Directions/FactSet Auditing Viewer?action=AUDIT_VALUE&amp;DB=129&amp;ID1=65584410&amp;VALUEID=01001&amp;SDATE=2010&amp;PERIODTYPE=ANN_STD&amp;SCFT=3&amp;window=popup_no_bar&amp;width=385&amp;height=120&amp;START_MAXIMIZED=FALSE&amp;creator=factset&amp;display_string=Audit"}</definedName>
    <definedName name="_149__FDSAUDITLINK__" localSheetId="7" hidden="1">{"fdsup://Directions/FactSet Auditing Viewer?action=AUDIT_VALUE&amp;DB=129&amp;ID1=37155910&amp;VALUEID=01250&amp;SDATE=2009&amp;PERIODTYPE=ANN_STD&amp;window=popup_no_bar&amp;width=385&amp;height=120&amp;START_MAXIMIZED=FALSE&amp;creator=factset&amp;display_string=Audit"}</definedName>
    <definedName name="_149__FDSAUDITLINK__" hidden="1">{"fdsup://Directions/FactSet Auditing Viewer?action=AUDIT_VALUE&amp;DB=129&amp;ID1=37155910&amp;VALUEID=01250&amp;SDATE=2009&amp;PERIODTYPE=ANN_STD&amp;window=popup_no_bar&amp;width=385&amp;height=120&amp;START_MAXIMIZED=FALSE&amp;creator=factset&amp;display_string=Audit"}</definedName>
    <definedName name="_15__FDSAUDITLINK__" localSheetId="5" hidden="1">{"fdsup://directions/FAT Viewer?action=UPDATE&amp;creator=factset&amp;DYN_ARGS=TRUE&amp;DOC_NAME=FAT:FQL_AUDITING_CLIENT_TEMPLATE.FAT&amp;display_string=Audit&amp;VAR:KEY=DGNCPSHQDS&amp;VAR:QUERY=RkZfRUJJVChBTk4sMjAxMCk=&amp;WINDOW=FIRST_POPUP&amp;HEIGHT=450&amp;WIDTH=450&amp;START_MAXIMIZED=FALS","E&amp;VAR:CALENDAR=US&amp;VAR:SYMBOL=UNP&amp;VAR:INDEX=0"}</definedName>
    <definedName name="_15__FDSAUDITLINK__" localSheetId="7" hidden="1">{"fdsup://Directions/FactSet Auditing Viewer?action=AUDIT_VALUE&amp;DB=129&amp;ID1=65584410&amp;VALUEID=01401&amp;SDATE=2009&amp;PERIODTYPE=ANN_STD&amp;window=popup_no_bar&amp;width=385&amp;height=120&amp;START_MAXIMIZED=FALSE&amp;creator=factset&amp;display_string=Audit"}</definedName>
    <definedName name="_15__FDSAUDITLINK__" hidden="1">{"fdsup://Directions/FactSet Auditing Viewer?action=AUDIT_VALUE&amp;DB=129&amp;ID1=65584410&amp;VALUEID=01401&amp;SDATE=2009&amp;PERIODTYPE=ANN_STD&amp;window=popup_no_bar&amp;width=385&amp;height=120&amp;START_MAXIMIZED=FALSE&amp;creator=factset&amp;display_string=Audit"}</definedName>
    <definedName name="_150__FDSAUDITLINK__" localSheetId="5" hidden="1">{"fdsup://Directions/FactSet Auditing Viewer?action=AUDIT_VALUE&amp;DB=129&amp;ID1=48517030&amp;VALUEID=01001&amp;SDATE=2010&amp;PERIODTYPE=ANN_STD&amp;SCFT=3&amp;window=popup_no_bar&amp;width=385&amp;height=120&amp;START_MAXIMIZED=FALSE&amp;creator=factset&amp;display_string=Audit"}</definedName>
    <definedName name="_150__FDSAUDITLINK__" localSheetId="7" hidden="1">{"fdsup://Directions/FactSet Auditing Viewer?action=AUDIT_VALUE&amp;DB=129&amp;ID1=12640810&amp;VALUEID=01250&amp;SDATE=2009&amp;PERIODTYPE=ANN_STD&amp;window=popup_no_bar&amp;width=385&amp;height=120&amp;START_MAXIMIZED=FALSE&amp;creator=factset&amp;display_string=Audit"}</definedName>
    <definedName name="_150__FDSAUDITLINK__" hidden="1">{"fdsup://Directions/FactSet Auditing Viewer?action=AUDIT_VALUE&amp;DB=129&amp;ID1=12640810&amp;VALUEID=01250&amp;SDATE=2009&amp;PERIODTYPE=ANN_STD&amp;window=popup_no_bar&amp;width=385&amp;height=120&amp;START_MAXIMIZED=FALSE&amp;creator=factset&amp;display_string=Audit"}</definedName>
    <definedName name="_151__FDSAUDITLINK__" localSheetId="5" hidden="1">{"fdsup://Directions/FactSet Auditing Viewer?action=AUDIT_VALUE&amp;DB=129&amp;ID1=37155910&amp;VALUEID=01001&amp;SDATE=2010&amp;PERIODTYPE=ANN_STD&amp;SCFT=3&amp;window=popup_no_bar&amp;width=385&amp;height=120&amp;START_MAXIMIZED=FALSE&amp;creator=factset&amp;display_string=Audit"}</definedName>
    <definedName name="_151__FDSAUDITLINK__" localSheetId="7" hidden="1">{"fdsup://Directions/FactSet Auditing Viewer?action=AUDIT_VALUE&amp;DB=129&amp;ID1=90781810&amp;VALUEID=01001&amp;SDATE=2009&amp;PERIODTYPE=ANN_STD&amp;window=popup_no_bar&amp;width=385&amp;height=120&amp;START_MAXIMIZED=FALSE&amp;creator=factset&amp;display_string=Audit"}</definedName>
    <definedName name="_151__FDSAUDITLINK__" hidden="1">{"fdsup://Directions/FactSet Auditing Viewer?action=AUDIT_VALUE&amp;DB=129&amp;ID1=90781810&amp;VALUEID=01001&amp;SDATE=2009&amp;PERIODTYPE=ANN_STD&amp;window=popup_no_bar&amp;width=385&amp;height=120&amp;START_MAXIMIZED=FALSE&amp;creator=factset&amp;display_string=Audit"}</definedName>
    <definedName name="_152__FDSAUDITLINK__" localSheetId="5" hidden="1">{"fdsup://Directions/FactSet Auditing Viewer?action=AUDIT_VALUE&amp;DB=129&amp;ID1=12640810&amp;VALUEID=01001&amp;SDATE=2010&amp;PERIODTYPE=ANN_STD&amp;SCFT=3&amp;window=popup_no_bar&amp;width=385&amp;height=120&amp;START_MAXIMIZED=FALSE&amp;creator=factset&amp;display_string=Audit"}</definedName>
    <definedName name="_152__FDSAUDITLINK__" localSheetId="7" hidden="1">{"fdsup://Directions/FactSet Auditing Viewer?action=AUDIT_VALUE&amp;DB=129&amp;ID1=75075340&amp;VALUEID=01001&amp;SDATE=2009&amp;PERIODTYPE=ANN_STD&amp;window=popup_no_bar&amp;width=385&amp;height=120&amp;START_MAXIMIZED=FALSE&amp;creator=factset&amp;display_string=Audit"}</definedName>
    <definedName name="_152__FDSAUDITLINK__" hidden="1">{"fdsup://Directions/FactSet Auditing Viewer?action=AUDIT_VALUE&amp;DB=129&amp;ID1=75075340&amp;VALUEID=01001&amp;SDATE=2009&amp;PERIODTYPE=ANN_STD&amp;window=popup_no_bar&amp;width=385&amp;height=120&amp;START_MAXIMIZED=FALSE&amp;creator=factset&amp;display_string=Audit"}</definedName>
    <definedName name="_153__FDSAUDITLINK__" localSheetId="5" hidden="1">{"fdsup://directions/FAT Viewer?action=UPDATE&amp;creator=factset&amp;DYN_ARGS=TRUE&amp;DOC_NAME=FAT:FQL_AUDITING_CLIENT_TEMPLATE.FAT&amp;display_string=Audit&amp;VAR:KEY=BULWZYFAPI&amp;VAR:QUERY=RkZfTkVUX0lOQyhBTk4sMjAxMCk=&amp;WINDOW=FIRST_POPUP&amp;HEIGHT=450&amp;WIDTH=450&amp;START_MAXIMIZED=","FALSE&amp;VAR:CALENDAR=US&amp;VAR:SYMBOL=UNP&amp;VAR:INDEX=0"}</definedName>
    <definedName name="_153__FDSAUDITLINK__" localSheetId="7" hidden="1">{"fdsup://Directions/FactSet Auditing Viewer?action=AUDIT_VALUE&amp;DB=129&amp;ID1=65584410&amp;VALUEID=01001&amp;SDATE=2009&amp;PERIODTYPE=ANN_STD&amp;window=popup_no_bar&amp;width=385&amp;height=120&amp;START_MAXIMIZED=FALSE&amp;creator=factset&amp;display_string=Audit"}</definedName>
    <definedName name="_153__FDSAUDITLINK__" hidden="1">{"fdsup://Directions/FactSet Auditing Viewer?action=AUDIT_VALUE&amp;DB=129&amp;ID1=65584410&amp;VALUEID=01001&amp;SDATE=2009&amp;PERIODTYPE=ANN_STD&amp;window=popup_no_bar&amp;width=385&amp;height=120&amp;START_MAXIMIZED=FALSE&amp;creator=factset&amp;display_string=Audit"}</definedName>
    <definedName name="_154__FDSAUDITLINK__" localSheetId="5" hidden="1">{"fdsup://directions/FAT Viewer?action=UPDATE&amp;creator=factset&amp;DYN_ARGS=TRUE&amp;DOC_NAME=FAT:FQL_AUDITING_CLIENT_TEMPLATE.FAT&amp;display_string=Audit&amp;VAR:KEY=JSDALMBKVE&amp;VAR:QUERY=RkZfTkVUX0lOQyhBTk4sMjAxMCk=&amp;WINDOW=FIRST_POPUP&amp;HEIGHT=450&amp;WIDTH=450&amp;START_MAXIMIZED=","FALSE&amp;VAR:CALENDAR=US&amp;VAR:SYMBOL=RA&amp;VAR:INDEX=0"}</definedName>
    <definedName name="_154__FDSAUDITLINK__" localSheetId="7" hidden="1">{"fdsup://Directions/FactSet Auditing Viewer?action=AUDIT_VALUE&amp;DB=129&amp;ID1=48517030&amp;VALUEID=01001&amp;SDATE=2009&amp;PERIODTYPE=ANN_STD&amp;window=popup_no_bar&amp;width=385&amp;height=120&amp;START_MAXIMIZED=FALSE&amp;creator=factset&amp;display_string=Audit"}</definedName>
    <definedName name="_154__FDSAUDITLINK__" hidden="1">{"fdsup://Directions/FactSet Auditing Viewer?action=AUDIT_VALUE&amp;DB=129&amp;ID1=48517030&amp;VALUEID=01001&amp;SDATE=2009&amp;PERIODTYPE=ANN_STD&amp;window=popup_no_bar&amp;width=385&amp;height=120&amp;START_MAXIMIZED=FALSE&amp;creator=factset&amp;display_string=Audit"}</definedName>
    <definedName name="_155__FDSAUDITLINK__" localSheetId="5" hidden="1">{"fdsup://directions/FAT Viewer?action=UPDATE&amp;creator=factset&amp;DYN_ARGS=TRUE&amp;DOC_NAME=FAT:FQL_AUDITING_CLIENT_TEMPLATE.FAT&amp;display_string=Audit&amp;VAR:KEY=VGFIRWPCJU&amp;VAR:QUERY=RkZfTkVUX0lOQyhBTk4sMjAxMCk=&amp;WINDOW=FIRST_POPUP&amp;HEIGHT=450&amp;WIDTH=450&amp;START_MAXIMIZED=","FALSE&amp;VAR:CALENDAR=US&amp;VAR:SYMBOL=NSC&amp;VAR:INDEX=0"}</definedName>
    <definedName name="_155__FDSAUDITLINK__" localSheetId="7" hidden="1">{"fdsup://Directions/FactSet Auditing Viewer?action=AUDIT_VALUE&amp;DB=129&amp;ID1=37155910&amp;VALUEID=01001&amp;SDATE=2009&amp;PERIODTYPE=ANN_STD&amp;window=popup_no_bar&amp;width=385&amp;height=120&amp;START_MAXIMIZED=FALSE&amp;creator=factset&amp;display_string=Audit"}</definedName>
    <definedName name="_155__FDSAUDITLINK__" hidden="1">{"fdsup://Directions/FactSet Auditing Viewer?action=AUDIT_VALUE&amp;DB=129&amp;ID1=37155910&amp;VALUEID=01001&amp;SDATE=2009&amp;PERIODTYPE=ANN_STD&amp;window=popup_no_bar&amp;width=385&amp;height=120&amp;START_MAXIMIZED=FALSE&amp;creator=factset&amp;display_string=Audit"}</definedName>
    <definedName name="_156__FDSAUDITLINK__" localSheetId="5" hidden="1">{"fdsup://directions/FAT Viewer?action=UPDATE&amp;creator=factset&amp;DYN_ARGS=TRUE&amp;DOC_NAME=FAT:FQL_AUDITING_CLIENT_TEMPLATE.FAT&amp;display_string=Audit&amp;VAR:KEY=XWFGFGVSHK&amp;VAR:QUERY=RkZfTkVUX0lOQyhBTk4sMjAxMCk=&amp;WINDOW=FIRST_POPUP&amp;HEIGHT=450&amp;WIDTH=450&amp;START_MAXIMIZED=","FALSE&amp;VAR:CALENDAR=US&amp;VAR:SYMBOL=KSU&amp;VAR:INDEX=0"}</definedName>
    <definedName name="_156__FDSAUDITLINK__" localSheetId="7" hidden="1">{"fdsup://Directions/FactSet Auditing Viewer?action=AUDIT_VALUE&amp;DB=129&amp;ID1=12640810&amp;VALUEID=01001&amp;SDATE=2009&amp;PERIODTYPE=ANN_STD&amp;window=popup_no_bar&amp;width=385&amp;height=120&amp;START_MAXIMIZED=FALSE&amp;creator=factset&amp;display_string=Audit"}</definedName>
    <definedName name="_156__FDSAUDITLINK__" hidden="1">{"fdsup://Directions/FactSet Auditing Viewer?action=AUDIT_VALUE&amp;DB=129&amp;ID1=12640810&amp;VALUEID=01001&amp;SDATE=2009&amp;PERIODTYPE=ANN_STD&amp;window=popup_no_bar&amp;width=385&amp;height=120&amp;START_MAXIMIZED=FALSE&amp;creator=factset&amp;display_string=Audit"}</definedName>
    <definedName name="_157__FDSAUDITLINK__" localSheetId="5" hidden="1">{"fdsup://directions/FAT Viewer?action=UPDATE&amp;creator=factset&amp;DYN_ARGS=TRUE&amp;DOC_NAME=FAT:FQL_AUDITING_CLIENT_TEMPLATE.FAT&amp;display_string=Audit&amp;VAR:KEY=PEFOBCHMJG&amp;VAR:QUERY=RkZfTkVUX0lOQyhBTk4sMjAxMCk=&amp;WINDOW=FIRST_POPUP&amp;HEIGHT=450&amp;WIDTH=450&amp;START_MAXIMIZED=","FALSE&amp;VAR:CALENDAR=US&amp;VAR:SYMBOL=GWR&amp;VAR:INDEX=0"}</definedName>
    <definedName name="_157__FDSAUDITLINK__" localSheetId="7"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57__FDSAUDITLINK__"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58__FDSAUDITLINK__" localSheetId="5" hidden="1">{"fdsup://directions/FAT Viewer?action=UPDATE&amp;creator=factset&amp;DYN_ARGS=TRUE&amp;DOC_NAME=FAT:FQL_AUDITING_CLIENT_TEMPLATE.FAT&amp;display_string=Audit&amp;VAR:KEY=ZYBGBQNIPW&amp;VAR:QUERY=RkZfTkVUX0lOQyhBTk4sMjAxMCk=&amp;WINDOW=FIRST_POPUP&amp;HEIGHT=450&amp;WIDTH=450&amp;START_MAXIMIZED=","FALSE&amp;VAR:CALENDAR=US&amp;VAR:SYMBOL=CSX&amp;VAR:INDEX=0"}</definedName>
    <definedName name="_158__FDSAUDITLINK__" localSheetId="7"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58__FDSAUDITLINK__"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59__FDSAUDITLINK__" localSheetId="5" hidden="1">{"fdsup://directions/FAT Viewer?action=UPDATE&amp;creator=factset&amp;DYN_ARGS=TRUE&amp;DOC_NAME=FAT:FQL_AUDITING_CLIENT_TEMPLATE.FAT&amp;display_string=Audit&amp;VAR:KEY=LWXCBKXSLK&amp;VAR:QUERY=RkZfTkVUX0lOQyhBTk4sMjAxMCk=&amp;WINDOW=FIRST_POPUP&amp;HEIGHT=450&amp;WIDTH=450&amp;START_MAXIMIZED=","FALSE&amp;VAR:CALENDAR=US&amp;VAR:SYMBOL=CP&amp;VAR:INDEX=0"}</definedName>
    <definedName name="_159__FDSAUDITLINK__" localSheetId="7"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59__FDSAUDITLINK__"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6__FDSAUDITLINK__" localSheetId="5" hidden="1">{"fdsup://directions/FAT Viewer?action=UPDATE&amp;creator=factset&amp;DYN_ARGS=TRUE&amp;DOC_NAME=FAT:FQL_AUDITING_CLIENT_TEMPLATE.FAT&amp;display_string=Audit&amp;VAR:KEY=BWFKTENKVI&amp;VAR:QUERY=RkZfRUJJVChBTk4sMjAxMCk=&amp;WINDOW=FIRST_POPUP&amp;HEIGHT=450&amp;WIDTH=450&amp;START_MAXIMIZED=FALS","E&amp;VAR:CALENDAR=US&amp;VAR:SYMBOL=RA&amp;VAR:INDEX=0"}</definedName>
    <definedName name="_16__FDSAUDITLINK__" localSheetId="7" hidden="1">{"fdsup://Directions/FactSet Auditing Viewer?action=AUDIT_VALUE&amp;DB=129&amp;ID1=48517030&amp;VALUEID=01401&amp;SDATE=2009&amp;PERIODTYPE=ANN_STD&amp;window=popup_no_bar&amp;width=385&amp;height=120&amp;START_MAXIMIZED=FALSE&amp;creator=factset&amp;display_string=Audit"}</definedName>
    <definedName name="_16__FDSAUDITLINK__" hidden="1">{"fdsup://Directions/FactSet Auditing Viewer?action=AUDIT_VALUE&amp;DB=129&amp;ID1=48517030&amp;VALUEID=01401&amp;SDATE=2009&amp;PERIODTYPE=ANN_STD&amp;window=popup_no_bar&amp;width=385&amp;height=120&amp;START_MAXIMIZED=FALSE&amp;creator=factset&amp;display_string=Audit"}</definedName>
    <definedName name="_160__FDSAUDITLINK__" localSheetId="5" hidden="1">{"fdsup://directions/FAT Viewer?action=UPDATE&amp;creator=factset&amp;DYN_ARGS=TRUE&amp;DOC_NAME=FAT:FQL_AUDITING_CLIENT_TEMPLATE.FAT&amp;display_string=Audit&amp;VAR:KEY=POVWTQFONY&amp;VAR:QUERY=RkZfTkVUX0lOQyhBTk4sMjAxMCk=&amp;WINDOW=FIRST_POPUP&amp;HEIGHT=450&amp;WIDTH=450&amp;START_MAXIMIZED=","FALSE&amp;VAR:CALENDAR=US&amp;VAR:SYMBOL=CNI&amp;VAR:INDEX=0"}</definedName>
    <definedName name="_160__FDSAUDITLINK__" localSheetId="7"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60__FDSAUDITLINK__"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61__FDSAUDITLINK__" localSheetId="5" hidden="1">{"fdsup://Directions/FactSet Auditing Viewer?action=AUDIT_VALUE&amp;DB=129&amp;ID1=90781810&amp;VALUEID=01401&amp;SDATE=2010&amp;PERIODTYPE=ANN_STD&amp;SCFT=3&amp;window=popup_no_bar&amp;width=385&amp;height=120&amp;START_MAXIMIZED=FALSE&amp;creator=factset&amp;display_string=Audit"}</definedName>
    <definedName name="_161__FDSAUDITLINK__" localSheetId="7"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61__FDSAUDITLINK__"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62__FDSAUDITLINK__" localSheetId="5" hidden="1">{"fdsup://Directions/FactSet Auditing Viewer?action=AUDIT_VALUE&amp;DB=129&amp;ID1=75075340&amp;VALUEID=01401&amp;SDATE=2010&amp;PERIODTYPE=ANN_STD&amp;SCFT=3&amp;window=popup_no_bar&amp;width=385&amp;height=120&amp;START_MAXIMIZED=FALSE&amp;creator=factset&amp;display_string=Audit"}</definedName>
    <definedName name="_162__FDSAUDITLINK__" localSheetId="7"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62__FDSAUDITLINK__"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63__FDSAUDITLINK__" localSheetId="5" hidden="1">{"fdsup://Directions/FactSet Auditing Viewer?action=AUDIT_VALUE&amp;DB=129&amp;ID1=65584410&amp;VALUEID=01401&amp;SDATE=2010&amp;PERIODTYPE=ANN_STD&amp;SCFT=3&amp;window=popup_no_bar&amp;width=385&amp;height=120&amp;START_MAXIMIZED=FALSE&amp;creator=factset&amp;display_string=Audit"}</definedName>
    <definedName name="_163__FDSAUDITLINK__" localSheetId="7"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63__FDSAUDITLINK__"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64__FDSAUDITLINK__" localSheetId="5" hidden="1">{"fdsup://Directions/FactSet Auditing Viewer?action=AUDIT_VALUE&amp;DB=129&amp;ID1=48517030&amp;VALUEID=01401&amp;SDATE=2010&amp;PERIODTYPE=ANN_STD&amp;SCFT=3&amp;window=popup_no_bar&amp;width=385&amp;height=120&amp;START_MAXIMIZED=FALSE&amp;creator=factset&amp;display_string=Audit"}</definedName>
    <definedName name="_164__FDSAUDITLINK__" localSheetId="7"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64__FDSAUDITLINK__"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65__FDSAUDITLINK__" localSheetId="5" hidden="1">{"fdsup://Directions/FactSet Auditing Viewer?action=AUDIT_VALUE&amp;DB=129&amp;ID1=37155910&amp;VALUEID=01401&amp;SDATE=2010&amp;PERIODTYPE=ANN_STD&amp;SCFT=3&amp;window=popup_no_bar&amp;width=385&amp;height=120&amp;START_MAXIMIZED=FALSE&amp;creator=factset&amp;display_string=Audit"}</definedName>
    <definedName name="_165__FDSAUDITLINK__" localSheetId="7" hidden="1">{"fdsup://Directions/FactSet Auditing Viewer?action=AUDIT_VALUE&amp;DB=129&amp;ID1=90781810&amp;VALUEID=01250&amp;SDATE=2009&amp;PERIODTYPE=ANN_STD&amp;window=popup_no_bar&amp;width=385&amp;height=120&amp;START_MAXIMIZED=FALSE&amp;creator=factset&amp;display_string=Audit"}</definedName>
    <definedName name="_165__FDSAUDITLINK__" hidden="1">{"fdsup://Directions/FactSet Auditing Viewer?action=AUDIT_VALUE&amp;DB=129&amp;ID1=90781810&amp;VALUEID=01250&amp;SDATE=2009&amp;PERIODTYPE=ANN_STD&amp;window=popup_no_bar&amp;width=385&amp;height=120&amp;START_MAXIMIZED=FALSE&amp;creator=factset&amp;display_string=Audit"}</definedName>
    <definedName name="_166__FDSAUDITLINK__" localSheetId="5" hidden="1">{"fdsup://Directions/FactSet Auditing Viewer?action=AUDIT_VALUE&amp;DB=129&amp;ID1=12640810&amp;VALUEID=01401&amp;SDATE=2010&amp;PERIODTYPE=ANN_STD&amp;SCFT=3&amp;window=popup_no_bar&amp;width=385&amp;height=120&amp;START_MAXIMIZED=FALSE&amp;creator=factset&amp;display_string=Audit"}</definedName>
    <definedName name="_166__FDSAUDITLINK__" localSheetId="7" hidden="1">{"fdsup://Directions/FactSet Auditing Viewer?action=AUDIT_VALUE&amp;DB=129&amp;ID1=75075340&amp;VALUEID=01250&amp;SDATE=2009&amp;PERIODTYPE=ANN_STD&amp;window=popup_no_bar&amp;width=385&amp;height=120&amp;START_MAXIMIZED=FALSE&amp;creator=factset&amp;display_string=Audit"}</definedName>
    <definedName name="_166__FDSAUDITLINK__" hidden="1">{"fdsup://Directions/FactSet Auditing Viewer?action=AUDIT_VALUE&amp;DB=129&amp;ID1=75075340&amp;VALUEID=01250&amp;SDATE=2009&amp;PERIODTYPE=ANN_STD&amp;window=popup_no_bar&amp;width=385&amp;height=120&amp;START_MAXIMIZED=FALSE&amp;creator=factset&amp;display_string=Audit"}</definedName>
    <definedName name="_167__FDSAUDITLINK__" localSheetId="5" hidden="1">{"fdsup://directions/FAT Viewer?action=UPDATE&amp;creator=factset&amp;DYN_ARGS=TRUE&amp;DOC_NAME=FAT:FQL_AUDITING_CLIENT_TEMPLATE.FAT&amp;display_string=Audit&amp;VAR:KEY=EFKXMZOJWV&amp;VAR:QUERY=RkZfRVBTKENBTCwyMDEwLDIwMTAp&amp;WINDOW=FIRST_POPUP&amp;HEIGHT=450&amp;WIDTH=450&amp;START_MAXIMIZED=","FALSE&amp;VAR:CALENDAR=US&amp;VAR:SYMBOL=UTIW&amp;VAR:INDEX=0"}</definedName>
    <definedName name="_167__FDSAUDITLINK__" localSheetId="7" hidden="1">{"fdsup://Directions/FactSet Auditing Viewer?action=AUDIT_VALUE&amp;DB=129&amp;ID1=65584410&amp;VALUEID=01250&amp;SDATE=2009&amp;PERIODTYPE=ANN_STD&amp;window=popup_no_bar&amp;width=385&amp;height=120&amp;START_MAXIMIZED=FALSE&amp;creator=factset&amp;display_string=Audit"}</definedName>
    <definedName name="_167__FDSAUDITLINK__" hidden="1">{"fdsup://Directions/FactSet Auditing Viewer?action=AUDIT_VALUE&amp;DB=129&amp;ID1=65584410&amp;VALUEID=01250&amp;SDATE=2009&amp;PERIODTYPE=ANN_STD&amp;window=popup_no_bar&amp;width=385&amp;height=120&amp;START_MAXIMIZED=FALSE&amp;creator=factset&amp;display_string=Audit"}</definedName>
    <definedName name="_168__FDSAUDITLINK__" localSheetId="5" hidden="1">{"fdsup://directions/FAT Viewer?action=UPDATE&amp;creator=factset&amp;DYN_ARGS=TRUE&amp;DOC_NAME=FAT:FQL_AUDITING_CLIENT_TEMPLATE.FAT&amp;display_string=Audit&amp;VAR:KEY=EFKXMZOJWV&amp;VAR:QUERY=RkZfRVBTKENBTCwyMDEwLDIwMTAp&amp;WINDOW=FIRST_POPUP&amp;HEIGHT=450&amp;WIDTH=450&amp;START_MAXIMIZED=","FALSE&amp;VAR:CALENDAR=US&amp;VAR:SYMBOL=UTIW&amp;VAR:INDEX=0"}</definedName>
    <definedName name="_168__FDSAUDITLINK__" localSheetId="7" hidden="1">{"fdsup://Directions/FactSet Auditing Viewer?action=AUDIT_VALUE&amp;DB=129&amp;ID1=48517030&amp;VALUEID=01250&amp;SDATE=2009&amp;PERIODTYPE=ANN_STD&amp;window=popup_no_bar&amp;width=385&amp;height=120&amp;START_MAXIMIZED=FALSE&amp;creator=factset&amp;display_string=Audit"}</definedName>
    <definedName name="_168__FDSAUDITLINK__" hidden="1">{"fdsup://Directions/FactSet Auditing Viewer?action=AUDIT_VALUE&amp;DB=129&amp;ID1=48517030&amp;VALUEID=01250&amp;SDATE=2009&amp;PERIODTYPE=ANN_STD&amp;window=popup_no_bar&amp;width=385&amp;height=120&amp;START_MAXIMIZED=FALSE&amp;creator=factset&amp;display_string=Audit"}</definedName>
    <definedName name="_169__FDSAUDITLINK__" localSheetId="5" hidden="1">{"fdsup://directions/FAT Viewer?action=UPDATE&amp;creator=factset&amp;DYN_ARGS=TRUE&amp;DOC_NAME=FAT:FQL_AUDITING_CLIENT_TEMPLATE.FAT&amp;display_string=Audit&amp;VAR:KEY=EFKXMZOJWV&amp;VAR:QUERY=RkZfRVBTKENBTCwyMDEwLDIwMTAp&amp;WINDOW=FIRST_POPUP&amp;HEIGHT=450&amp;WIDTH=450&amp;START_MAXIMIZED=","FALSE&amp;VAR:CALENDAR=US&amp;VAR:SYMBOL=UTIW&amp;VAR:INDEX=0"}</definedName>
    <definedName name="_169__FDSAUDITLINK__" localSheetId="7" hidden="1">{"fdsup://Directions/FactSet Auditing Viewer?action=AUDIT_VALUE&amp;DB=129&amp;ID1=37155910&amp;VALUEID=01250&amp;SDATE=2009&amp;PERIODTYPE=ANN_STD&amp;window=popup_no_bar&amp;width=385&amp;height=120&amp;START_MAXIMIZED=FALSE&amp;creator=factset&amp;display_string=Audit"}</definedName>
    <definedName name="_169__FDSAUDITLINK__" hidden="1">{"fdsup://Directions/FactSet Auditing Viewer?action=AUDIT_VALUE&amp;DB=129&amp;ID1=37155910&amp;VALUEID=01250&amp;SDATE=2009&amp;PERIODTYPE=ANN_STD&amp;window=popup_no_bar&amp;width=385&amp;height=120&amp;START_MAXIMIZED=FALSE&amp;creator=factset&amp;display_string=Audit"}</definedName>
    <definedName name="_17__FDSAUDITLINK__" localSheetId="5" hidden="1">{"fdsup://directions/FAT Viewer?action=UPDATE&amp;creator=factset&amp;DYN_ARGS=TRUE&amp;DOC_NAME=FAT:FQL_AUDITING_CLIENT_TEMPLATE.FAT&amp;display_string=Audit&amp;VAR:KEY=PEFOLQPGXG&amp;VAR:QUERY=RkZfRUJJVChBTk4sMjAxMCk=&amp;WINDOW=FIRST_POPUP&amp;HEIGHT=450&amp;WIDTH=450&amp;START_MAXIMIZED=FALS","E&amp;VAR:CALENDAR=US&amp;VAR:SYMBOL=NSC&amp;VAR:INDEX=0"}</definedName>
    <definedName name="_17__FDSAUDITLINK__" localSheetId="7" hidden="1">{"fdsup://Directions/FactSet Auditing Viewer?action=AUDIT_VALUE&amp;DB=129&amp;ID1=37155910&amp;VALUEID=01401&amp;SDATE=2009&amp;PERIODTYPE=ANN_STD&amp;window=popup_no_bar&amp;width=385&amp;height=120&amp;START_MAXIMIZED=FALSE&amp;creator=factset&amp;display_string=Audit"}</definedName>
    <definedName name="_17__FDSAUDITLINK__" hidden="1">{"fdsup://Directions/FactSet Auditing Viewer?action=AUDIT_VALUE&amp;DB=129&amp;ID1=37155910&amp;VALUEID=01401&amp;SDATE=2009&amp;PERIODTYPE=ANN_STD&amp;window=popup_no_bar&amp;width=385&amp;height=120&amp;START_MAXIMIZED=FALSE&amp;creator=factset&amp;display_string=Audit"}</definedName>
    <definedName name="_170__FDSAUDITLINK__" localSheetId="5" hidden="1">{"fdsup://directions/FAT Viewer?action=UPDATE&amp;creator=factset&amp;DYN_ARGS=TRUE&amp;DOC_NAME=FAT:FQL_AUDITING_CLIENT_TEMPLATE.FAT&amp;display_string=Audit&amp;VAR:KEY=EFKXMZOJWV&amp;VAR:QUERY=RkZfRVBTKENBTCwyMDEwLDIwMTAp&amp;WINDOW=FIRST_POPUP&amp;HEIGHT=450&amp;WIDTH=450&amp;START_MAXIMIZED=","FALSE&amp;VAR:CALENDAR=US&amp;VAR:SYMBOL=UTIW&amp;VAR:INDEX=0"}</definedName>
    <definedName name="_170__FDSAUDITLINK__" localSheetId="7" hidden="1">{"fdsup://Directions/FactSet Auditing Viewer?action=AUDIT_VALUE&amp;DB=129&amp;ID1=12640810&amp;VALUEID=01250&amp;SDATE=2009&amp;PERIODTYPE=ANN_STD&amp;window=popup_no_bar&amp;width=385&amp;height=120&amp;START_MAXIMIZED=FALSE&amp;creator=factset&amp;display_string=Audit"}</definedName>
    <definedName name="_170__FDSAUDITLINK__" hidden="1">{"fdsup://Directions/FactSet Auditing Viewer?action=AUDIT_VALUE&amp;DB=129&amp;ID1=12640810&amp;VALUEID=01250&amp;SDATE=2009&amp;PERIODTYPE=ANN_STD&amp;window=popup_no_bar&amp;width=385&amp;height=120&amp;START_MAXIMIZED=FALSE&amp;creator=factset&amp;display_string=Audit"}</definedName>
    <definedName name="_171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171__FDSAUDITLINK__" localSheetId="7" hidden="1">{"fdsup://Directions/FactSet Auditing Viewer?action=AUDIT_VALUE&amp;DB=129&amp;ID1=90781810&amp;VALUEID=01001&amp;SDATE=2009&amp;PERIODTYPE=ANN_STD&amp;window=popup_no_bar&amp;width=385&amp;height=120&amp;START_MAXIMIZED=FALSE&amp;creator=factset&amp;display_string=Audit"}</definedName>
    <definedName name="_171__FDSAUDITLINK__" hidden="1">{"fdsup://Directions/FactSet Auditing Viewer?action=AUDIT_VALUE&amp;DB=129&amp;ID1=90781810&amp;VALUEID=01001&amp;SDATE=2009&amp;PERIODTYPE=ANN_STD&amp;window=popup_no_bar&amp;width=385&amp;height=120&amp;START_MAXIMIZED=FALSE&amp;creator=factset&amp;display_string=Audit"}</definedName>
    <definedName name="_172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172__FDSAUDITLINK__" localSheetId="7" hidden="1">{"fdsup://Directions/FactSet Auditing Viewer?action=AUDIT_VALUE&amp;DB=129&amp;ID1=75075340&amp;VALUEID=01001&amp;SDATE=2009&amp;PERIODTYPE=ANN_STD&amp;window=popup_no_bar&amp;width=385&amp;height=120&amp;START_MAXIMIZED=FALSE&amp;creator=factset&amp;display_string=Audit"}</definedName>
    <definedName name="_172__FDSAUDITLINK__" hidden="1">{"fdsup://Directions/FactSet Auditing Viewer?action=AUDIT_VALUE&amp;DB=129&amp;ID1=75075340&amp;VALUEID=01001&amp;SDATE=2009&amp;PERIODTYPE=ANN_STD&amp;window=popup_no_bar&amp;width=385&amp;height=120&amp;START_MAXIMIZED=FALSE&amp;creator=factset&amp;display_string=Audit"}</definedName>
    <definedName name="_173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173__FDSAUDITLINK__" localSheetId="7" hidden="1">{"fdsup://Directions/FactSet Auditing Viewer?action=AUDIT_VALUE&amp;DB=129&amp;ID1=65584410&amp;VALUEID=01001&amp;SDATE=2009&amp;PERIODTYPE=ANN_STD&amp;window=popup_no_bar&amp;width=385&amp;height=120&amp;START_MAXIMIZED=FALSE&amp;creator=factset&amp;display_string=Audit"}</definedName>
    <definedName name="_173__FDSAUDITLINK__" hidden="1">{"fdsup://Directions/FactSet Auditing Viewer?action=AUDIT_VALUE&amp;DB=129&amp;ID1=65584410&amp;VALUEID=01001&amp;SDATE=2009&amp;PERIODTYPE=ANN_STD&amp;window=popup_no_bar&amp;width=385&amp;height=120&amp;START_MAXIMIZED=FALSE&amp;creator=factset&amp;display_string=Audit"}</definedName>
    <definedName name="_174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174__FDSAUDITLINK__" localSheetId="7" hidden="1">{"fdsup://Directions/FactSet Auditing Viewer?action=AUDIT_VALUE&amp;DB=129&amp;ID1=48517030&amp;VALUEID=01001&amp;SDATE=2009&amp;PERIODTYPE=ANN_STD&amp;window=popup_no_bar&amp;width=385&amp;height=120&amp;START_MAXIMIZED=FALSE&amp;creator=factset&amp;display_string=Audit"}</definedName>
    <definedName name="_174__FDSAUDITLINK__" hidden="1">{"fdsup://Directions/FactSet Auditing Viewer?action=AUDIT_VALUE&amp;DB=129&amp;ID1=48517030&amp;VALUEID=01001&amp;SDATE=2009&amp;PERIODTYPE=ANN_STD&amp;window=popup_no_bar&amp;width=385&amp;height=120&amp;START_MAXIMIZED=FALSE&amp;creator=factset&amp;display_string=Audit"}</definedName>
    <definedName name="_175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175__FDSAUDITLINK__" localSheetId="7" hidden="1">{"fdsup://Directions/FactSet Auditing Viewer?action=AUDIT_VALUE&amp;DB=129&amp;ID1=37155910&amp;VALUEID=01001&amp;SDATE=2009&amp;PERIODTYPE=ANN_STD&amp;window=popup_no_bar&amp;width=385&amp;height=120&amp;START_MAXIMIZED=FALSE&amp;creator=factset&amp;display_string=Audit"}</definedName>
    <definedName name="_175__FDSAUDITLINK__" hidden="1">{"fdsup://Directions/FactSet Auditing Viewer?action=AUDIT_VALUE&amp;DB=129&amp;ID1=37155910&amp;VALUEID=01001&amp;SDATE=2009&amp;PERIODTYPE=ANN_STD&amp;window=popup_no_bar&amp;width=385&amp;height=120&amp;START_MAXIMIZED=FALSE&amp;creator=factset&amp;display_string=Audit"}</definedName>
    <definedName name="_176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176__FDSAUDITLINK__" localSheetId="7" hidden="1">{"fdsup://Directions/FactSet Auditing Viewer?action=AUDIT_VALUE&amp;DB=129&amp;ID1=12640810&amp;VALUEID=01001&amp;SDATE=2009&amp;PERIODTYPE=ANN_STD&amp;window=popup_no_bar&amp;width=385&amp;height=120&amp;START_MAXIMIZED=FALSE&amp;creator=factset&amp;display_string=Audit"}</definedName>
    <definedName name="_176__FDSAUDITLINK__" hidden="1">{"fdsup://Directions/FactSet Auditing Viewer?action=AUDIT_VALUE&amp;DB=129&amp;ID1=12640810&amp;VALUEID=01001&amp;SDATE=2009&amp;PERIODTYPE=ANN_STD&amp;window=popup_no_bar&amp;width=385&amp;height=120&amp;START_MAXIMIZED=FALSE&amp;creator=factset&amp;display_string=Audit"}</definedName>
    <definedName name="_177__FDSAUDITLINK__" localSheetId="5"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77__FDSAUDITLINK__" localSheetId="7"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77__FDSAUDITLINK__"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78__FDSAUDITLINK__" localSheetId="5"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78__FDSAUDITLINK__" localSheetId="7"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78__FDSAUDITLINK__"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79__FDSAUDITLINK__" localSheetId="5"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79__FDSAUDITLINK__" localSheetId="7"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79__FDSAUDITLINK__"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8__FDSAUDITLINK__" localSheetId="5" hidden="1">{"fdsup://directions/FAT Viewer?action=UPDATE&amp;creator=factset&amp;DYN_ARGS=TRUE&amp;DOC_NAME=FAT:FQL_AUDITING_CLIENT_TEMPLATE.FAT&amp;display_string=Audit&amp;VAR:KEY=HMBWBGJGHA&amp;VAR:QUERY=RkZfRUJJVChBTk4sMjAxMCk=&amp;WINDOW=FIRST_POPUP&amp;HEIGHT=450&amp;WIDTH=450&amp;START_MAXIMIZED=FALS","E&amp;VAR:CALENDAR=US&amp;VAR:SYMBOL=KSU&amp;VAR:INDEX=0"}</definedName>
    <definedName name="_18__FDSAUDITLINK__" localSheetId="7" hidden="1">{"fdsup://Directions/FactSet Auditing Viewer?action=AUDIT_VALUE&amp;DB=129&amp;ID1=12640810&amp;VALUEID=01401&amp;SDATE=2009&amp;PERIODTYPE=ANN_STD&amp;window=popup_no_bar&amp;width=385&amp;height=120&amp;START_MAXIMIZED=FALSE&amp;creator=factset&amp;display_string=Audit"}</definedName>
    <definedName name="_18__FDSAUDITLINK__" hidden="1">{"fdsup://Directions/FactSet Auditing Viewer?action=AUDIT_VALUE&amp;DB=129&amp;ID1=12640810&amp;VALUEID=01401&amp;SDATE=2009&amp;PERIODTYPE=ANN_STD&amp;window=popup_no_bar&amp;width=385&amp;height=120&amp;START_MAXIMIZED=FALSE&amp;creator=factset&amp;display_string=Audit"}</definedName>
    <definedName name="_180__FDSAUDITLINK__" localSheetId="5"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80__FDSAUDITLINK__" localSheetId="7"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80__FDSAUDITLINK__"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81__FDSAUDITLINK__" localSheetId="5"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81__FDSAUDITLINK__" localSheetId="7"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81__FDSAUDITLINK__"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82__FDSAUDITLINK__" localSheetId="5"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82__FDSAUDITLINK__" localSheetId="7"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82__FDSAUDITLINK__"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83__FDSAUDITLINK__" localSheetId="5"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83__FDSAUDITLINK__" localSheetId="7"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83__FDSAUDITLINK__"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84__FDSAUDITLINK__" localSheetId="5"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84__FDSAUDITLINK__" localSheetId="7"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84__FDSAUDITLINK__"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85__123Graph_XLIQUIDS" hidden="1">[1]P!$R$29:$AK$29</definedName>
    <definedName name="_19__FDSAUDITLINK__" localSheetId="5" hidden="1">{"fdsup://directions/FAT Viewer?action=UPDATE&amp;creator=factset&amp;DYN_ARGS=TRUE&amp;DOC_NAME=FAT:FQL_AUDITING_CLIENT_TEMPLATE.FAT&amp;display_string=Audit&amp;VAR:KEY=BWJSJEHOHW&amp;VAR:QUERY=RkZfRUJJVChBTk4sMjAxMCk=&amp;WINDOW=FIRST_POPUP&amp;HEIGHT=450&amp;WIDTH=450&amp;START_MAXIMIZED=FALS","E&amp;VAR:CALENDAR=US&amp;VAR:SYMBOL=GWR&amp;VAR:INDEX=0"}</definedName>
    <definedName name="_19__FDSAUDITLINK__" localSheetId="7" hidden="1">{"fdsup://Directions/FactSet Auditing Viewer?action=AUDIT_VALUE&amp;DB=129&amp;ID1=90781810&amp;VALUEID=01401&amp;SDATE=2009&amp;PERIODTYPE=ANN_STD&amp;window=popup_no_bar&amp;width=385&amp;height=120&amp;START_MAXIMIZED=FALSE&amp;creator=factset&amp;display_string=Audit"}</definedName>
    <definedName name="_19__FDSAUDITLINK__" hidden="1">{"fdsup://Directions/FactSet Auditing Viewer?action=AUDIT_VALUE&amp;DB=129&amp;ID1=90781810&amp;VALUEID=01401&amp;SDATE=2009&amp;PERIODTYPE=ANN_STD&amp;window=popup_no_bar&amp;width=385&amp;height=120&amp;START_MAXIMIZED=FALSE&amp;creator=factset&amp;display_string=Audit"}</definedName>
    <definedName name="_194__123Graph_XR_M_MARG" hidden="1">[1]P!$R$29:$AK$29</definedName>
    <definedName name="_2__FDSAUDITLINK__" localSheetId="5" hidden="1">{"fdsup://directions/FAT Viewer?action=UPDATE&amp;creator=factset&amp;DYN_ARGS=TRUE&amp;DOC_NAME=FAT:FQL_AUDITING_CLIENT_TEMPLATE.FAT&amp;display_string=Audit&amp;VAR:KEY=JSDALMBKVE&amp;VAR:QUERY=RkZfTkVUX0lOQyhBTk4sMjAxMCk=&amp;WINDOW=FIRST_POPUP&amp;HEIGHT=450&amp;WIDTH=450&amp;START_MAXIMIZED=","FALSE&amp;VAR:CALENDAR=US&amp;VAR:SYMBOL=RA&amp;VAR:INDEX=0"}</definedName>
    <definedName name="_2__FDSAUDITLINK__" localSheetId="7" hidden="1">{"fdsup://Directions/FactSet Auditing Viewer?action=AUDIT_VALUE&amp;DB=129&amp;ID1=75075340&amp;VALUEID=01401&amp;SDATE=2009&amp;PERIODTYPE=ANN_STD&amp;window=popup_no_bar&amp;width=385&amp;height=120&amp;START_MAXIMIZED=FALSE&amp;creator=factset&amp;display_string=Audit"}</definedName>
    <definedName name="_2__FDSAUDITLINK__" hidden="1">{"fdsup://Directions/FactSet Auditing Viewer?action=AUDIT_VALUE&amp;DB=129&amp;ID1=75075340&amp;VALUEID=01401&amp;SDATE=2009&amp;PERIODTYPE=ANN_STD&amp;window=popup_no_bar&amp;width=385&amp;height=120&amp;START_MAXIMIZED=FALSE&amp;creator=factset&amp;display_string=Audit"}</definedName>
    <definedName name="_20__FDSAUDITLINK__" localSheetId="5" hidden="1">{"fdsup://directions/FAT Viewer?action=UPDATE&amp;creator=factset&amp;DYN_ARGS=TRUE&amp;DOC_NAME=FAT:FQL_AUDITING_CLIENT_TEMPLATE.FAT&amp;display_string=Audit&amp;VAR:KEY=PINYZCPSJM&amp;VAR:QUERY=RkZfRUJJVChBTk4sMjAxMCk=&amp;WINDOW=FIRST_POPUP&amp;HEIGHT=450&amp;WIDTH=450&amp;START_MAXIMIZED=FALS","E&amp;VAR:CALENDAR=US&amp;VAR:SYMBOL=CSX&amp;VAR:INDEX=0"}</definedName>
    <definedName name="_20__FDSAUDITLINK__" localSheetId="7" hidden="1">{"fdsup://Directions/FactSet Auditing Viewer?action=AUDIT_VALUE&amp;DB=129&amp;ID1=75075340&amp;VALUEID=01401&amp;SDATE=2009&amp;PERIODTYPE=ANN_STD&amp;window=popup_no_bar&amp;width=385&amp;height=120&amp;START_MAXIMIZED=FALSE&amp;creator=factset&amp;display_string=Audit"}</definedName>
    <definedName name="_20__FDSAUDITLINK__" hidden="1">{"fdsup://Directions/FactSet Auditing Viewer?action=AUDIT_VALUE&amp;DB=129&amp;ID1=75075340&amp;VALUEID=01401&amp;SDATE=2009&amp;PERIODTYPE=ANN_STD&amp;window=popup_no_bar&amp;width=385&amp;height=120&amp;START_MAXIMIZED=FALSE&amp;creator=factset&amp;display_string=Audit"}</definedName>
    <definedName name="_21__FDSAUDITLINK__" localSheetId="5" hidden="1">{"fdsup://directions/FAT Viewer?action=UPDATE&amp;creator=factset&amp;DYN_ARGS=TRUE&amp;DOC_NAME=FAT:FQL_AUDITING_CLIENT_TEMPLATE.FAT&amp;display_string=Audit&amp;VAR:KEY=LITSLAHYFA&amp;VAR:QUERY=RkZfRUJJVChBTk4sMjAxMCk=&amp;WINDOW=FIRST_POPUP&amp;HEIGHT=450&amp;WIDTH=450&amp;START_MAXIMIZED=FALS","E&amp;VAR:CALENDAR=US&amp;VAR:SYMBOL=CP&amp;VAR:INDEX=0"}</definedName>
    <definedName name="_21__FDSAUDITLINK__" localSheetId="7" hidden="1">{"fdsup://Directions/FactSet Auditing Viewer?action=AUDIT_VALUE&amp;DB=129&amp;ID1=65584410&amp;VALUEID=01401&amp;SDATE=2009&amp;PERIODTYPE=ANN_STD&amp;window=popup_no_bar&amp;width=385&amp;height=120&amp;START_MAXIMIZED=FALSE&amp;creator=factset&amp;display_string=Audit"}</definedName>
    <definedName name="_21__FDSAUDITLINK__" hidden="1">{"fdsup://Directions/FactSet Auditing Viewer?action=AUDIT_VALUE&amp;DB=129&amp;ID1=65584410&amp;VALUEID=01401&amp;SDATE=2009&amp;PERIODTYPE=ANN_STD&amp;window=popup_no_bar&amp;width=385&amp;height=120&amp;START_MAXIMIZED=FALSE&amp;creator=factset&amp;display_string=Audit"}</definedName>
    <definedName name="_22__FDSAUDITLINK__" localSheetId="5" hidden="1">{"fdsup://directions/FAT Viewer?action=UPDATE&amp;creator=factset&amp;DYN_ARGS=TRUE&amp;DOC_NAME=FAT:FQL_AUDITING_CLIENT_TEMPLATE.FAT&amp;display_string=Audit&amp;VAR:KEY=HCVORMPWTM&amp;VAR:QUERY=RkZfRUJJVChBTk4sMjAxMCk=&amp;WINDOW=FIRST_POPUP&amp;HEIGHT=450&amp;WIDTH=450&amp;START_MAXIMIZED=FALS","E&amp;VAR:CALENDAR=US&amp;VAR:SYMBOL=CNI&amp;VAR:INDEX=0"}</definedName>
    <definedName name="_22__FDSAUDITLINK__" localSheetId="7" hidden="1">{"fdsup://Directions/FactSet Auditing Viewer?action=AUDIT_VALUE&amp;DB=129&amp;ID1=48517030&amp;VALUEID=01401&amp;SDATE=2009&amp;PERIODTYPE=ANN_STD&amp;window=popup_no_bar&amp;width=385&amp;height=120&amp;START_MAXIMIZED=FALSE&amp;creator=factset&amp;display_string=Audit"}</definedName>
    <definedName name="_22__FDSAUDITLINK__" hidden="1">{"fdsup://Directions/FactSet Auditing Viewer?action=AUDIT_VALUE&amp;DB=129&amp;ID1=48517030&amp;VALUEID=01401&amp;SDATE=2009&amp;PERIODTYPE=ANN_STD&amp;window=popup_no_bar&amp;width=385&amp;height=120&amp;START_MAXIMIZED=FALSE&amp;creator=factset&amp;display_string=Audit"}</definedName>
    <definedName name="_23__FDSAUDITLINK__" localSheetId="5" hidden="1">{"fdsup://directions/FAT Viewer?action=UPDATE&amp;creator=factset&amp;DYN_ARGS=TRUE&amp;DOC_NAME=FAT:FQL_AUDITING_CLIENT_TEMPLATE.FAT&amp;display_string=Audit&amp;VAR:KEY=XMLYTOPQXO&amp;VAR:QUERY=RkZfRUJJVERBKEFOTiwyMDEwKQ==&amp;WINDOW=FIRST_POPUP&amp;HEIGHT=450&amp;WIDTH=450&amp;START_MAXIMIZED=","FALSE&amp;VAR:CALENDAR=US&amp;VAR:SYMBOL=UNP&amp;VAR:INDEX=0"}</definedName>
    <definedName name="_23__FDSAUDITLINK__" localSheetId="7" hidden="1">{"fdsup://Directions/FactSet Auditing Viewer?action=AUDIT_VALUE&amp;DB=129&amp;ID1=37155910&amp;VALUEID=01401&amp;SDATE=2009&amp;PERIODTYPE=ANN_STD&amp;window=popup_no_bar&amp;width=385&amp;height=120&amp;START_MAXIMIZED=FALSE&amp;creator=factset&amp;display_string=Audit"}</definedName>
    <definedName name="_23__FDSAUDITLINK__" hidden="1">{"fdsup://Directions/FactSet Auditing Viewer?action=AUDIT_VALUE&amp;DB=129&amp;ID1=37155910&amp;VALUEID=01401&amp;SDATE=2009&amp;PERIODTYPE=ANN_STD&amp;window=popup_no_bar&amp;width=385&amp;height=120&amp;START_MAXIMIZED=FALSE&amp;creator=factset&amp;display_string=Audit"}</definedName>
    <definedName name="_24__123Graph_XLIQUIDS" hidden="1">[2]P!$R$29:$AK$29</definedName>
    <definedName name="_24__FDSAUDITLINK__" localSheetId="5" hidden="1">{"fdsup://directions/FAT Viewer?action=UPDATE&amp;creator=factset&amp;DYN_ARGS=TRUE&amp;DOC_NAME=FAT:FQL_AUDITING_CLIENT_TEMPLATE.FAT&amp;display_string=Audit&amp;VAR:KEY=JATKRKDKLA&amp;VAR:QUERY=RkZfRUJJVERBKEFOTiwyMDEwKQ==&amp;WINDOW=FIRST_POPUP&amp;HEIGHT=450&amp;WIDTH=450&amp;START_MAXIMIZED=","FALSE&amp;VAR:CALENDAR=US&amp;VAR:SYMBOL=RA&amp;VAR:INDEX=0"}</definedName>
    <definedName name="_24__FDSAUDITLINK__" localSheetId="7" hidden="1">{"fdsup://Directions/FactSet Auditing Viewer?action=AUDIT_VALUE&amp;DB=129&amp;ID1=12640810&amp;VALUEID=01401&amp;SDATE=2009&amp;PERIODTYPE=ANN_STD&amp;window=popup_no_bar&amp;width=385&amp;height=120&amp;START_MAXIMIZED=FALSE&amp;creator=factset&amp;display_string=Audit"}</definedName>
    <definedName name="_24__FDSAUDITLINK__" hidden="1">{"fdsup://Directions/FactSet Auditing Viewer?action=AUDIT_VALUE&amp;DB=129&amp;ID1=12640810&amp;VALUEID=01401&amp;SDATE=2009&amp;PERIODTYPE=ANN_STD&amp;window=popup_no_bar&amp;width=385&amp;height=120&amp;START_MAXIMIZED=FALSE&amp;creator=factset&amp;display_string=Audit"}</definedName>
    <definedName name="_25__FDSAUDITLINK__" localSheetId="5" hidden="1">{"fdsup://directions/FAT Viewer?action=UPDATE&amp;creator=factset&amp;DYN_ARGS=TRUE&amp;DOC_NAME=FAT:FQL_AUDITING_CLIENT_TEMPLATE.FAT&amp;display_string=Audit&amp;VAR:KEY=JOTCFIXQPW&amp;VAR:QUERY=RkZfRUJJVERBKEFOTiwyMDEwKQ==&amp;WINDOW=FIRST_POPUP&amp;HEIGHT=450&amp;WIDTH=450&amp;START_MAXIMIZED=","FALSE&amp;VAR:CALENDAR=US&amp;VAR:SYMBOL=NSC&amp;VAR:INDEX=0"}</definedName>
    <definedName name="_25__FDSAUDITLINK__" localSheetId="7" hidden="1">{"fdsup://Directions/FactSet Auditing Viewer?action=AUDIT_VALUE&amp;DB=129&amp;ID1=90781810&amp;VALUEID=01401&amp;SDATE=2009&amp;PERIODTYPE=ANN_STD&amp;window=popup_no_bar&amp;width=385&amp;height=120&amp;START_MAXIMIZED=FALSE&amp;creator=factset&amp;display_string=Audit"}</definedName>
    <definedName name="_25__FDSAUDITLINK__" hidden="1">{"fdsup://Directions/FactSet Auditing Viewer?action=AUDIT_VALUE&amp;DB=129&amp;ID1=90781810&amp;VALUEID=01401&amp;SDATE=2009&amp;PERIODTYPE=ANN_STD&amp;window=popup_no_bar&amp;width=385&amp;height=120&amp;START_MAXIMIZED=FALSE&amp;creator=factset&amp;display_string=Audit"}</definedName>
    <definedName name="_26__123Graph_XR_M_MARG" hidden="1">[2]P!$R$29:$AK$29</definedName>
    <definedName name="_26__FDSAUDITLINK__" localSheetId="5" hidden="1">{"fdsup://directions/FAT Viewer?action=UPDATE&amp;creator=factset&amp;DYN_ARGS=TRUE&amp;DOC_NAME=FAT:FQL_AUDITING_CLIENT_TEMPLATE.FAT&amp;display_string=Audit&amp;VAR:KEY=XWBUVOTWJI&amp;VAR:QUERY=RkZfRUJJVERBKEFOTiwyMDEwKQ==&amp;WINDOW=FIRST_POPUP&amp;HEIGHT=450&amp;WIDTH=450&amp;START_MAXIMIZED=","FALSE&amp;VAR:CALENDAR=US&amp;VAR:SYMBOL=KSU&amp;VAR:INDEX=0"}</definedName>
    <definedName name="_26__FDSAUDITLINK__" localSheetId="7" hidden="1">{"fdsup://Directions/FactSet Auditing Viewer?action=AUDIT_VALUE&amp;DB=129&amp;ID1=75075340&amp;VALUEID=01401&amp;SDATE=2009&amp;PERIODTYPE=ANN_STD&amp;window=popup_no_bar&amp;width=385&amp;height=120&amp;START_MAXIMIZED=FALSE&amp;creator=factset&amp;display_string=Audit"}</definedName>
    <definedName name="_26__FDSAUDITLINK__" hidden="1">{"fdsup://Directions/FactSet Auditing Viewer?action=AUDIT_VALUE&amp;DB=129&amp;ID1=75075340&amp;VALUEID=01401&amp;SDATE=2009&amp;PERIODTYPE=ANN_STD&amp;window=popup_no_bar&amp;width=385&amp;height=120&amp;START_MAXIMIZED=FALSE&amp;creator=factset&amp;display_string=Audit"}</definedName>
    <definedName name="_27__FDSAUDITLINK__" localSheetId="5" hidden="1">{"fdsup://directions/FAT Viewer?action=UPDATE&amp;creator=factset&amp;DYN_ARGS=TRUE&amp;DOC_NAME=FAT:FQL_AUDITING_CLIENT_TEMPLATE.FAT&amp;display_string=Audit&amp;VAR:KEY=TMBAPSLEDO&amp;VAR:QUERY=RkZfRUJJVERBKEFOTiwyMDEwKQ==&amp;WINDOW=FIRST_POPUP&amp;HEIGHT=450&amp;WIDTH=450&amp;START_MAXIMIZED=","FALSE&amp;VAR:CALENDAR=US&amp;VAR:SYMBOL=GWR&amp;VAR:INDEX=0"}</definedName>
    <definedName name="_27__FDSAUDITLINK__" localSheetId="7" hidden="1">{"fdsup://Directions/FactSet Auditing Viewer?action=AUDIT_VALUE&amp;DB=129&amp;ID1=65584410&amp;VALUEID=01401&amp;SDATE=2009&amp;PERIODTYPE=ANN_STD&amp;window=popup_no_bar&amp;width=385&amp;height=120&amp;START_MAXIMIZED=FALSE&amp;creator=factset&amp;display_string=Audit"}</definedName>
    <definedName name="_27__FDSAUDITLINK__" hidden="1">{"fdsup://Directions/FactSet Auditing Viewer?action=AUDIT_VALUE&amp;DB=129&amp;ID1=65584410&amp;VALUEID=01401&amp;SDATE=2009&amp;PERIODTYPE=ANN_STD&amp;window=popup_no_bar&amp;width=385&amp;height=120&amp;START_MAXIMIZED=FALSE&amp;creator=factset&amp;display_string=Audit"}</definedName>
    <definedName name="_28__FDSAUDITLINK__" localSheetId="5" hidden="1">{"fdsup://directions/FAT Viewer?action=UPDATE&amp;creator=factset&amp;DYN_ARGS=TRUE&amp;DOC_NAME=FAT:FQL_AUDITING_CLIENT_TEMPLATE.FAT&amp;display_string=Audit&amp;VAR:KEY=JIPMRIVITU&amp;VAR:QUERY=RkZfRUJJVERBKEFOTiwyMDEwKQ==&amp;WINDOW=FIRST_POPUP&amp;HEIGHT=450&amp;WIDTH=450&amp;START_MAXIMIZED=","FALSE&amp;VAR:CALENDAR=US&amp;VAR:SYMBOL=CSX&amp;VAR:INDEX=0"}</definedName>
    <definedName name="_28__FDSAUDITLINK__" localSheetId="7" hidden="1">{"fdsup://Directions/FactSet Auditing Viewer?action=AUDIT_VALUE&amp;DB=129&amp;ID1=48517030&amp;VALUEID=01401&amp;SDATE=2009&amp;PERIODTYPE=ANN_STD&amp;window=popup_no_bar&amp;width=385&amp;height=120&amp;START_MAXIMIZED=FALSE&amp;creator=factset&amp;display_string=Audit"}</definedName>
    <definedName name="_28__FDSAUDITLINK__" hidden="1">{"fdsup://Directions/FactSet Auditing Viewer?action=AUDIT_VALUE&amp;DB=129&amp;ID1=48517030&amp;VALUEID=01401&amp;SDATE=2009&amp;PERIODTYPE=ANN_STD&amp;window=popup_no_bar&amp;width=385&amp;height=120&amp;START_MAXIMIZED=FALSE&amp;creator=factset&amp;display_string=Audit"}</definedName>
    <definedName name="_29__FDSAUDITLINK__" localSheetId="5" hidden="1">{"fdsup://directions/FAT Viewer?action=UPDATE&amp;creator=factset&amp;DYN_ARGS=TRUE&amp;DOC_NAME=FAT:FQL_AUDITING_CLIENT_TEMPLATE.FAT&amp;display_string=Audit&amp;VAR:KEY=DGFYZAREXG&amp;VAR:QUERY=RkZfRUJJVERBKEFOTiwyMDEwKQ==&amp;WINDOW=FIRST_POPUP&amp;HEIGHT=450&amp;WIDTH=450&amp;START_MAXIMIZED=","FALSE&amp;VAR:CALENDAR=US&amp;VAR:SYMBOL=CP&amp;VAR:INDEX=0"}</definedName>
    <definedName name="_29__FDSAUDITLINK__" localSheetId="7" hidden="1">{"fdsup://Directions/FactSet Auditing Viewer?action=AUDIT_VALUE&amp;DB=129&amp;ID1=37155910&amp;VALUEID=01401&amp;SDATE=2009&amp;PERIODTYPE=ANN_STD&amp;window=popup_no_bar&amp;width=385&amp;height=120&amp;START_MAXIMIZED=FALSE&amp;creator=factset&amp;display_string=Audit"}</definedName>
    <definedName name="_29__FDSAUDITLINK__" hidden="1">{"fdsup://Directions/FactSet Auditing Viewer?action=AUDIT_VALUE&amp;DB=129&amp;ID1=37155910&amp;VALUEID=01401&amp;SDATE=2009&amp;PERIODTYPE=ANN_STD&amp;window=popup_no_bar&amp;width=385&amp;height=120&amp;START_MAXIMIZED=FALSE&amp;creator=factset&amp;display_string=Audit"}</definedName>
    <definedName name="_3__FDSAUDITLINK__" localSheetId="5" hidden="1">{"fdsup://directions/FAT Viewer?action=UPDATE&amp;creator=factset&amp;DYN_ARGS=TRUE&amp;DOC_NAME=FAT:FQL_AUDITING_CLIENT_TEMPLATE.FAT&amp;display_string=Audit&amp;VAR:KEY=VGFIRWPCJU&amp;VAR:QUERY=RkZfTkVUX0lOQyhBTk4sMjAxMCk=&amp;WINDOW=FIRST_POPUP&amp;HEIGHT=450&amp;WIDTH=450&amp;START_MAXIMIZED=","FALSE&amp;VAR:CALENDAR=US&amp;VAR:SYMBOL=NSC&amp;VAR:INDEX=0"}</definedName>
    <definedName name="_3__FDSAUDITLINK__" localSheetId="7" hidden="1">{"fdsup://Directions/FactSet Auditing Viewer?action=AUDIT_VALUE&amp;DB=129&amp;ID1=65584410&amp;VALUEID=01401&amp;SDATE=2009&amp;PERIODTYPE=ANN_STD&amp;window=popup_no_bar&amp;width=385&amp;height=120&amp;START_MAXIMIZED=FALSE&amp;creator=factset&amp;display_string=Audit"}</definedName>
    <definedName name="_3__FDSAUDITLINK__" hidden="1">{"fdsup://Directions/FactSet Auditing Viewer?action=AUDIT_VALUE&amp;DB=129&amp;ID1=65584410&amp;VALUEID=01401&amp;SDATE=2009&amp;PERIODTYPE=ANN_STD&amp;window=popup_no_bar&amp;width=385&amp;height=120&amp;START_MAXIMIZED=FALSE&amp;creator=factset&amp;display_string=Audit"}</definedName>
    <definedName name="_30__FDSAUDITLINK__" localSheetId="5" hidden="1">{"fdsup://directions/FAT Viewer?action=UPDATE&amp;creator=factset&amp;DYN_ARGS=TRUE&amp;DOC_NAME=FAT:FQL_AUDITING_CLIENT_TEMPLATE.FAT&amp;display_string=Audit&amp;VAR:KEY=XMTYZCPUDC&amp;VAR:QUERY=RkZfRUJJVERBKEFOTiwyMDEwKQ==&amp;WINDOW=FIRST_POPUP&amp;HEIGHT=450&amp;WIDTH=450&amp;START_MAXIMIZED=","FALSE&amp;VAR:CALENDAR=US&amp;VAR:SYMBOL=CNI&amp;VAR:INDEX=0"}</definedName>
    <definedName name="_30__FDSAUDITLINK__" localSheetId="7" hidden="1">{"fdsup://Directions/FactSet Auditing Viewer?action=AUDIT_VALUE&amp;DB=129&amp;ID1=12640810&amp;VALUEID=01401&amp;SDATE=2009&amp;PERIODTYPE=ANN_STD&amp;window=popup_no_bar&amp;width=385&amp;height=120&amp;START_MAXIMIZED=FALSE&amp;creator=factset&amp;display_string=Audit"}</definedName>
    <definedName name="_30__FDSAUDITLINK__" hidden="1">{"fdsup://Directions/FactSet Auditing Viewer?action=AUDIT_VALUE&amp;DB=129&amp;ID1=12640810&amp;VALUEID=01401&amp;SDATE=2009&amp;PERIODTYPE=ANN_STD&amp;window=popup_no_bar&amp;width=385&amp;height=120&amp;START_MAXIMIZED=FALSE&amp;creator=factset&amp;display_string=Audit"}</definedName>
    <definedName name="_31__FDSAUDITLINK__" localSheetId="5" hidden="1">{"fdsup://Directions/FactSet Auditing Viewer?action=AUDIT_VALUE&amp;DB=129&amp;ID1=90781810&amp;VALUEID=01250&amp;SDATE=2010&amp;PERIODTYPE=ANN_STD&amp;SCFT=3&amp;window=popup_no_bar&amp;width=385&amp;height=120&amp;START_MAXIMIZED=FALSE&amp;creator=factset&amp;display_string=Audit"}</definedName>
    <definedName name="_31__FDSAUDITLINK__" localSheetId="7" hidden="1">{"fdsup://Directions/FactSet Auditing Viewer?action=AUDIT_VALUE&amp;DB=129&amp;ID1=90781810&amp;VALUEID=01001&amp;SDATE=2009&amp;PERIODTYPE=ANN_STD&amp;window=popup_no_bar&amp;width=385&amp;height=120&amp;START_MAXIMIZED=FALSE&amp;creator=factset&amp;display_string=Audit"}</definedName>
    <definedName name="_31__FDSAUDITLINK__" hidden="1">{"fdsup://Directions/FactSet Auditing Viewer?action=AUDIT_VALUE&amp;DB=129&amp;ID1=90781810&amp;VALUEID=01001&amp;SDATE=2009&amp;PERIODTYPE=ANN_STD&amp;window=popup_no_bar&amp;width=385&amp;height=120&amp;START_MAXIMIZED=FALSE&amp;creator=factset&amp;display_string=Audit"}</definedName>
    <definedName name="_32__FDSAUDITLINK__" localSheetId="5" hidden="1">{"fdsup://Directions/FactSet Auditing Viewer?action=AUDIT_VALUE&amp;DB=129&amp;ID1=75075340&amp;VALUEID=01250&amp;SDATE=2010&amp;PERIODTYPE=ANN_STD&amp;SCFT=3&amp;window=popup_no_bar&amp;width=385&amp;height=120&amp;START_MAXIMIZED=FALSE&amp;creator=factset&amp;display_string=Audit"}</definedName>
    <definedName name="_32__FDSAUDITLINK__" localSheetId="7" hidden="1">{"fdsup://Directions/FactSet Auditing Viewer?action=AUDIT_VALUE&amp;DB=129&amp;ID1=75075340&amp;VALUEID=01001&amp;SDATE=2009&amp;PERIODTYPE=ANN_STD&amp;window=popup_no_bar&amp;width=385&amp;height=120&amp;START_MAXIMIZED=FALSE&amp;creator=factset&amp;display_string=Audit"}</definedName>
    <definedName name="_32__FDSAUDITLINK__" hidden="1">{"fdsup://Directions/FactSet Auditing Viewer?action=AUDIT_VALUE&amp;DB=129&amp;ID1=75075340&amp;VALUEID=01001&amp;SDATE=2009&amp;PERIODTYPE=ANN_STD&amp;window=popup_no_bar&amp;width=385&amp;height=120&amp;START_MAXIMIZED=FALSE&amp;creator=factset&amp;display_string=Audit"}</definedName>
    <definedName name="_33__FDSAUDITLINK__" localSheetId="5" hidden="1">{"fdsup://Directions/FactSet Auditing Viewer?action=AUDIT_VALUE&amp;DB=129&amp;ID1=65584410&amp;VALUEID=01250&amp;SDATE=2010&amp;PERIODTYPE=ANN_STD&amp;SCFT=3&amp;window=popup_no_bar&amp;width=385&amp;height=120&amp;START_MAXIMIZED=FALSE&amp;creator=factset&amp;display_string=Audit"}</definedName>
    <definedName name="_33__FDSAUDITLINK__" localSheetId="7" hidden="1">{"fdsup://Directions/FactSet Auditing Viewer?action=AUDIT_VALUE&amp;DB=129&amp;ID1=65584410&amp;VALUEID=01001&amp;SDATE=2009&amp;PERIODTYPE=ANN_STD&amp;window=popup_no_bar&amp;width=385&amp;height=120&amp;START_MAXIMIZED=FALSE&amp;creator=factset&amp;display_string=Audit"}</definedName>
    <definedName name="_33__FDSAUDITLINK__" hidden="1">{"fdsup://Directions/FactSet Auditing Viewer?action=AUDIT_VALUE&amp;DB=129&amp;ID1=65584410&amp;VALUEID=01001&amp;SDATE=2009&amp;PERIODTYPE=ANN_STD&amp;window=popup_no_bar&amp;width=385&amp;height=120&amp;START_MAXIMIZED=FALSE&amp;creator=factset&amp;display_string=Audit"}</definedName>
    <definedName name="_34__FDSAUDITLINK__" localSheetId="5" hidden="1">{"fdsup://Directions/FactSet Auditing Viewer?action=AUDIT_VALUE&amp;DB=129&amp;ID1=48517030&amp;VALUEID=01250&amp;SDATE=2010&amp;PERIODTYPE=ANN_STD&amp;SCFT=3&amp;window=popup_no_bar&amp;width=385&amp;height=120&amp;START_MAXIMIZED=FALSE&amp;creator=factset&amp;display_string=Audit"}</definedName>
    <definedName name="_34__FDSAUDITLINK__" localSheetId="7" hidden="1">{"fdsup://Directions/FactSet Auditing Viewer?action=AUDIT_VALUE&amp;DB=129&amp;ID1=48517030&amp;VALUEID=01001&amp;SDATE=2009&amp;PERIODTYPE=ANN_STD&amp;window=popup_no_bar&amp;width=385&amp;height=120&amp;START_MAXIMIZED=FALSE&amp;creator=factset&amp;display_string=Audit"}</definedName>
    <definedName name="_34__FDSAUDITLINK__" hidden="1">{"fdsup://Directions/FactSet Auditing Viewer?action=AUDIT_VALUE&amp;DB=129&amp;ID1=48517030&amp;VALUEID=01001&amp;SDATE=2009&amp;PERIODTYPE=ANN_STD&amp;window=popup_no_bar&amp;width=385&amp;height=120&amp;START_MAXIMIZED=FALSE&amp;creator=factset&amp;display_string=Audit"}</definedName>
    <definedName name="_35__FDSAUDITLINK__" localSheetId="5" hidden="1">{"fdsup://Directions/FactSet Auditing Viewer?action=AUDIT_VALUE&amp;DB=129&amp;ID1=37155910&amp;VALUEID=01250&amp;SDATE=2010&amp;PERIODTYPE=ANN_STD&amp;SCFT=3&amp;window=popup_no_bar&amp;width=385&amp;height=120&amp;START_MAXIMIZED=FALSE&amp;creator=factset&amp;display_string=Audit"}</definedName>
    <definedName name="_35__FDSAUDITLINK__" localSheetId="7" hidden="1">{"fdsup://Directions/FactSet Auditing Viewer?action=AUDIT_VALUE&amp;DB=129&amp;ID1=37155910&amp;VALUEID=01001&amp;SDATE=2009&amp;PERIODTYPE=ANN_STD&amp;window=popup_no_bar&amp;width=385&amp;height=120&amp;START_MAXIMIZED=FALSE&amp;creator=factset&amp;display_string=Audit"}</definedName>
    <definedName name="_35__FDSAUDITLINK__" hidden="1">{"fdsup://Directions/FactSet Auditing Viewer?action=AUDIT_VALUE&amp;DB=129&amp;ID1=37155910&amp;VALUEID=01001&amp;SDATE=2009&amp;PERIODTYPE=ANN_STD&amp;window=popup_no_bar&amp;width=385&amp;height=120&amp;START_MAXIMIZED=FALSE&amp;creator=factset&amp;display_string=Audit"}</definedName>
    <definedName name="_36__FDSAUDITLINK__" localSheetId="5" hidden="1">{"fdsup://Directions/FactSet Auditing Viewer?action=AUDIT_VALUE&amp;DB=129&amp;ID1=12640810&amp;VALUEID=01250&amp;SDATE=2010&amp;PERIODTYPE=ANN_STD&amp;SCFT=3&amp;window=popup_no_bar&amp;width=385&amp;height=120&amp;START_MAXIMIZED=FALSE&amp;creator=factset&amp;display_string=Audit"}</definedName>
    <definedName name="_36__FDSAUDITLINK__" localSheetId="7" hidden="1">{"fdsup://Directions/FactSet Auditing Viewer?action=AUDIT_VALUE&amp;DB=129&amp;ID1=12640810&amp;VALUEID=01001&amp;SDATE=2009&amp;PERIODTYPE=ANN_STD&amp;window=popup_no_bar&amp;width=385&amp;height=120&amp;START_MAXIMIZED=FALSE&amp;creator=factset&amp;display_string=Audit"}</definedName>
    <definedName name="_36__FDSAUDITLINK__" hidden="1">{"fdsup://Directions/FactSet Auditing Viewer?action=AUDIT_VALUE&amp;DB=129&amp;ID1=12640810&amp;VALUEID=01001&amp;SDATE=2009&amp;PERIODTYPE=ANN_STD&amp;window=popup_no_bar&amp;width=385&amp;height=120&amp;START_MAXIMIZED=FALSE&amp;creator=factset&amp;display_string=Audit"}</definedName>
    <definedName name="_37__FDSAUDITLINK__" localSheetId="5" hidden="1">{"fdsup://Directions/FactSet Auditing Viewer?action=AUDIT_VALUE&amp;DB=129&amp;ID1=90781810&amp;VALUEID=01001&amp;SDATE=2010&amp;PERIODTYPE=ANN_STD&amp;SCFT=3&amp;window=popup_no_bar&amp;width=385&amp;height=120&amp;START_MAXIMIZED=FALSE&amp;creator=factset&amp;display_string=Audit"}</definedName>
    <definedName name="_37__FDSAUDITLINK__" localSheetId="7" hidden="1">{"fdsup://Directions/FactSet Auditing Viewer?action=AUDIT_VALUE&amp;DB=129&amp;ID1=90781810&amp;VALUEID=01250&amp;SDATE=2009&amp;PERIODTYPE=ANN_STD&amp;window=popup_no_bar&amp;width=385&amp;height=120&amp;START_MAXIMIZED=FALSE&amp;creator=factset&amp;display_string=Audit"}</definedName>
    <definedName name="_37__FDSAUDITLINK__" hidden="1">{"fdsup://Directions/FactSet Auditing Viewer?action=AUDIT_VALUE&amp;DB=129&amp;ID1=90781810&amp;VALUEID=01250&amp;SDATE=2009&amp;PERIODTYPE=ANN_STD&amp;window=popup_no_bar&amp;width=385&amp;height=120&amp;START_MAXIMIZED=FALSE&amp;creator=factset&amp;display_string=Audit"}</definedName>
    <definedName name="_38__FDSAUDITLINK__" localSheetId="5" hidden="1">{"fdsup://Directions/FactSet Auditing Viewer?action=AUDIT_VALUE&amp;DB=129&amp;ID1=75075340&amp;VALUEID=01001&amp;SDATE=2010&amp;PERIODTYPE=ANN_STD&amp;SCFT=3&amp;window=popup_no_bar&amp;width=385&amp;height=120&amp;START_MAXIMIZED=FALSE&amp;creator=factset&amp;display_string=Audit"}</definedName>
    <definedName name="_38__FDSAUDITLINK__" localSheetId="7" hidden="1">{"fdsup://Directions/FactSet Auditing Viewer?action=AUDIT_VALUE&amp;DB=129&amp;ID1=75075340&amp;VALUEID=01250&amp;SDATE=2009&amp;PERIODTYPE=ANN_STD&amp;window=popup_no_bar&amp;width=385&amp;height=120&amp;START_MAXIMIZED=FALSE&amp;creator=factset&amp;display_string=Audit"}</definedName>
    <definedName name="_38__FDSAUDITLINK__" hidden="1">{"fdsup://Directions/FactSet Auditing Viewer?action=AUDIT_VALUE&amp;DB=129&amp;ID1=75075340&amp;VALUEID=01250&amp;SDATE=2009&amp;PERIODTYPE=ANN_STD&amp;window=popup_no_bar&amp;width=385&amp;height=120&amp;START_MAXIMIZED=FALSE&amp;creator=factset&amp;display_string=Audit"}</definedName>
    <definedName name="_39__FDSAUDITLINK__" localSheetId="5" hidden="1">{"fdsup://Directions/FactSet Auditing Viewer?action=AUDIT_VALUE&amp;DB=129&amp;ID1=65584410&amp;VALUEID=01001&amp;SDATE=2010&amp;PERIODTYPE=ANN_STD&amp;SCFT=3&amp;window=popup_no_bar&amp;width=385&amp;height=120&amp;START_MAXIMIZED=FALSE&amp;creator=factset&amp;display_string=Audit"}</definedName>
    <definedName name="_39__FDSAUDITLINK__" localSheetId="7" hidden="1">{"fdsup://Directions/FactSet Auditing Viewer?action=AUDIT_VALUE&amp;DB=129&amp;ID1=65584410&amp;VALUEID=01250&amp;SDATE=2009&amp;PERIODTYPE=ANN_STD&amp;window=popup_no_bar&amp;width=385&amp;height=120&amp;START_MAXIMIZED=FALSE&amp;creator=factset&amp;display_string=Audit"}</definedName>
    <definedName name="_39__FDSAUDITLINK__" hidden="1">{"fdsup://Directions/FactSet Auditing Viewer?action=AUDIT_VALUE&amp;DB=129&amp;ID1=65584410&amp;VALUEID=01250&amp;SDATE=2009&amp;PERIODTYPE=ANN_STD&amp;window=popup_no_bar&amp;width=385&amp;height=120&amp;START_MAXIMIZED=FALSE&amp;creator=factset&amp;display_string=Audit"}</definedName>
    <definedName name="_4__FDSAUDITLINK__" localSheetId="5" hidden="1">{"fdsup://directions/FAT Viewer?action=UPDATE&amp;creator=factset&amp;DYN_ARGS=TRUE&amp;DOC_NAME=FAT:FQL_AUDITING_CLIENT_TEMPLATE.FAT&amp;display_string=Audit&amp;VAR:KEY=XWFGFGVSHK&amp;VAR:QUERY=RkZfTkVUX0lOQyhBTk4sMjAxMCk=&amp;WINDOW=FIRST_POPUP&amp;HEIGHT=450&amp;WIDTH=450&amp;START_MAXIMIZED=","FALSE&amp;VAR:CALENDAR=US&amp;VAR:SYMBOL=KSU&amp;VAR:INDEX=0"}</definedName>
    <definedName name="_4__FDSAUDITLINK__" localSheetId="7" hidden="1">{"fdsup://Directions/FactSet Auditing Viewer?action=AUDIT_VALUE&amp;DB=129&amp;ID1=48517030&amp;VALUEID=01401&amp;SDATE=2009&amp;PERIODTYPE=ANN_STD&amp;window=popup_no_bar&amp;width=385&amp;height=120&amp;START_MAXIMIZED=FALSE&amp;creator=factset&amp;display_string=Audit"}</definedName>
    <definedName name="_4__FDSAUDITLINK__" hidden="1">{"fdsup://Directions/FactSet Auditing Viewer?action=AUDIT_VALUE&amp;DB=129&amp;ID1=48517030&amp;VALUEID=01401&amp;SDATE=2009&amp;PERIODTYPE=ANN_STD&amp;window=popup_no_bar&amp;width=385&amp;height=120&amp;START_MAXIMIZED=FALSE&amp;creator=factset&amp;display_string=Audit"}</definedName>
    <definedName name="_40__FDSAUDITLINK__" localSheetId="5" hidden="1">{"fdsup://Directions/FactSet Auditing Viewer?action=AUDIT_VALUE&amp;DB=129&amp;ID1=48517030&amp;VALUEID=01001&amp;SDATE=2010&amp;PERIODTYPE=ANN_STD&amp;SCFT=3&amp;window=popup_no_bar&amp;width=385&amp;height=120&amp;START_MAXIMIZED=FALSE&amp;creator=factset&amp;display_string=Audit"}</definedName>
    <definedName name="_40__FDSAUDITLINK__" localSheetId="7" hidden="1">{"fdsup://Directions/FactSet Auditing Viewer?action=AUDIT_VALUE&amp;DB=129&amp;ID1=48517030&amp;VALUEID=01250&amp;SDATE=2009&amp;PERIODTYPE=ANN_STD&amp;window=popup_no_bar&amp;width=385&amp;height=120&amp;START_MAXIMIZED=FALSE&amp;creator=factset&amp;display_string=Audit"}</definedName>
    <definedName name="_40__FDSAUDITLINK__" hidden="1">{"fdsup://Directions/FactSet Auditing Viewer?action=AUDIT_VALUE&amp;DB=129&amp;ID1=48517030&amp;VALUEID=01250&amp;SDATE=2009&amp;PERIODTYPE=ANN_STD&amp;window=popup_no_bar&amp;width=385&amp;height=120&amp;START_MAXIMIZED=FALSE&amp;creator=factset&amp;display_string=Audit"}</definedName>
    <definedName name="_41__FDSAUDITLINK__" localSheetId="5" hidden="1">{"fdsup://Directions/FactSet Auditing Viewer?action=AUDIT_VALUE&amp;DB=129&amp;ID1=37155910&amp;VALUEID=01001&amp;SDATE=2010&amp;PERIODTYPE=ANN_STD&amp;SCFT=3&amp;window=popup_no_bar&amp;width=385&amp;height=120&amp;START_MAXIMIZED=FALSE&amp;creator=factset&amp;display_string=Audit"}</definedName>
    <definedName name="_41__FDSAUDITLINK__" localSheetId="7" hidden="1">{"fdsup://Directions/FactSet Auditing Viewer?action=AUDIT_VALUE&amp;DB=129&amp;ID1=37155910&amp;VALUEID=01250&amp;SDATE=2009&amp;PERIODTYPE=ANN_STD&amp;window=popup_no_bar&amp;width=385&amp;height=120&amp;START_MAXIMIZED=FALSE&amp;creator=factset&amp;display_string=Audit"}</definedName>
    <definedName name="_41__FDSAUDITLINK__" hidden="1">{"fdsup://Directions/FactSet Auditing Viewer?action=AUDIT_VALUE&amp;DB=129&amp;ID1=37155910&amp;VALUEID=01250&amp;SDATE=2009&amp;PERIODTYPE=ANN_STD&amp;window=popup_no_bar&amp;width=385&amp;height=120&amp;START_MAXIMIZED=FALSE&amp;creator=factset&amp;display_string=Audit"}</definedName>
    <definedName name="_42__FDSAUDITLINK__" localSheetId="5" hidden="1">{"fdsup://Directions/FactSet Auditing Viewer?action=AUDIT_VALUE&amp;DB=129&amp;ID1=12640810&amp;VALUEID=01001&amp;SDATE=2010&amp;PERIODTYPE=ANN_STD&amp;SCFT=3&amp;window=popup_no_bar&amp;width=385&amp;height=120&amp;START_MAXIMIZED=FALSE&amp;creator=factset&amp;display_string=Audit"}</definedName>
    <definedName name="_42__FDSAUDITLINK__" localSheetId="7" hidden="1">{"fdsup://Directions/FactSet Auditing Viewer?action=AUDIT_VALUE&amp;DB=129&amp;ID1=12640810&amp;VALUEID=01250&amp;SDATE=2009&amp;PERIODTYPE=ANN_STD&amp;window=popup_no_bar&amp;width=385&amp;height=120&amp;START_MAXIMIZED=FALSE&amp;creator=factset&amp;display_string=Audit"}</definedName>
    <definedName name="_42__FDSAUDITLINK__" hidden="1">{"fdsup://Directions/FactSet Auditing Viewer?action=AUDIT_VALUE&amp;DB=129&amp;ID1=12640810&amp;VALUEID=01250&amp;SDATE=2009&amp;PERIODTYPE=ANN_STD&amp;window=popup_no_bar&amp;width=385&amp;height=120&amp;START_MAXIMIZED=FALSE&amp;creator=factset&amp;display_string=Audit"}</definedName>
    <definedName name="_43__FDSAUDITLINK__" localSheetId="5" hidden="1">{"fdsup://directions/FAT Viewer?action=UPDATE&amp;creator=factset&amp;DYN_ARGS=TRUE&amp;DOC_NAME=FAT:FQL_AUDITING_CLIENT_TEMPLATE.FAT&amp;display_string=Audit&amp;VAR:KEY=BULWZYFAPI&amp;VAR:QUERY=RkZfTkVUX0lOQyhBTk4sMjAxMCk=&amp;WINDOW=FIRST_POPUP&amp;HEIGHT=450&amp;WIDTH=450&amp;START_MAXIMIZED=","FALSE&amp;VAR:CALENDAR=US&amp;VAR:SYMBOL=UNP&amp;VAR:INDEX=0"}</definedName>
    <definedName name="_43__FDSAUDITLINK__" localSheetId="7" hidden="1">{"fdsup://Directions/FactSet Auditing Viewer?action=AUDIT_VALUE&amp;DB=129&amp;ID1=90781810&amp;VALUEID=01001&amp;SDATE=2009&amp;PERIODTYPE=ANN_STD&amp;window=popup_no_bar&amp;width=385&amp;height=120&amp;START_MAXIMIZED=FALSE&amp;creator=factset&amp;display_string=Audit"}</definedName>
    <definedName name="_43__FDSAUDITLINK__" hidden="1">{"fdsup://Directions/FactSet Auditing Viewer?action=AUDIT_VALUE&amp;DB=129&amp;ID1=90781810&amp;VALUEID=01001&amp;SDATE=2009&amp;PERIODTYPE=ANN_STD&amp;window=popup_no_bar&amp;width=385&amp;height=120&amp;START_MAXIMIZED=FALSE&amp;creator=factset&amp;display_string=Audit"}</definedName>
    <definedName name="_44__FDSAUDITLINK__" localSheetId="5" hidden="1">{"fdsup://directions/FAT Viewer?action=UPDATE&amp;creator=factset&amp;DYN_ARGS=TRUE&amp;DOC_NAME=FAT:FQL_AUDITING_CLIENT_TEMPLATE.FAT&amp;display_string=Audit&amp;VAR:KEY=JSDALMBKVE&amp;VAR:QUERY=RkZfTkVUX0lOQyhBTk4sMjAxMCk=&amp;WINDOW=FIRST_POPUP&amp;HEIGHT=450&amp;WIDTH=450&amp;START_MAXIMIZED=","FALSE&amp;VAR:CALENDAR=US&amp;VAR:SYMBOL=RA&amp;VAR:INDEX=0"}</definedName>
    <definedName name="_44__FDSAUDITLINK__" localSheetId="7" hidden="1">{"fdsup://Directions/FactSet Auditing Viewer?action=AUDIT_VALUE&amp;DB=129&amp;ID1=75075340&amp;VALUEID=01001&amp;SDATE=2009&amp;PERIODTYPE=ANN_STD&amp;window=popup_no_bar&amp;width=385&amp;height=120&amp;START_MAXIMIZED=FALSE&amp;creator=factset&amp;display_string=Audit"}</definedName>
    <definedName name="_44__FDSAUDITLINK__" hidden="1">{"fdsup://Directions/FactSet Auditing Viewer?action=AUDIT_VALUE&amp;DB=129&amp;ID1=75075340&amp;VALUEID=01001&amp;SDATE=2009&amp;PERIODTYPE=ANN_STD&amp;window=popup_no_bar&amp;width=385&amp;height=120&amp;START_MAXIMIZED=FALSE&amp;creator=factset&amp;display_string=Audit"}</definedName>
    <definedName name="_45__FDSAUDITLINK__" localSheetId="5" hidden="1">{"fdsup://directions/FAT Viewer?action=UPDATE&amp;creator=factset&amp;DYN_ARGS=TRUE&amp;DOC_NAME=FAT:FQL_AUDITING_CLIENT_TEMPLATE.FAT&amp;display_string=Audit&amp;VAR:KEY=VGFIRWPCJU&amp;VAR:QUERY=RkZfTkVUX0lOQyhBTk4sMjAxMCk=&amp;WINDOW=FIRST_POPUP&amp;HEIGHT=450&amp;WIDTH=450&amp;START_MAXIMIZED=","FALSE&amp;VAR:CALENDAR=US&amp;VAR:SYMBOL=NSC&amp;VAR:INDEX=0"}</definedName>
    <definedName name="_45__FDSAUDITLINK__" localSheetId="7" hidden="1">{"fdsup://Directions/FactSet Auditing Viewer?action=AUDIT_VALUE&amp;DB=129&amp;ID1=65584410&amp;VALUEID=01001&amp;SDATE=2009&amp;PERIODTYPE=ANN_STD&amp;window=popup_no_bar&amp;width=385&amp;height=120&amp;START_MAXIMIZED=FALSE&amp;creator=factset&amp;display_string=Audit"}</definedName>
    <definedName name="_45__FDSAUDITLINK__" hidden="1">{"fdsup://Directions/FactSet Auditing Viewer?action=AUDIT_VALUE&amp;DB=129&amp;ID1=65584410&amp;VALUEID=01001&amp;SDATE=2009&amp;PERIODTYPE=ANN_STD&amp;window=popup_no_bar&amp;width=385&amp;height=120&amp;START_MAXIMIZED=FALSE&amp;creator=factset&amp;display_string=Audit"}</definedName>
    <definedName name="_46__FDSAUDITLINK__" localSheetId="5" hidden="1">{"fdsup://directions/FAT Viewer?action=UPDATE&amp;creator=factset&amp;DYN_ARGS=TRUE&amp;DOC_NAME=FAT:FQL_AUDITING_CLIENT_TEMPLATE.FAT&amp;display_string=Audit&amp;VAR:KEY=XWFGFGVSHK&amp;VAR:QUERY=RkZfTkVUX0lOQyhBTk4sMjAxMCk=&amp;WINDOW=FIRST_POPUP&amp;HEIGHT=450&amp;WIDTH=450&amp;START_MAXIMIZED=","FALSE&amp;VAR:CALENDAR=US&amp;VAR:SYMBOL=KSU&amp;VAR:INDEX=0"}</definedName>
    <definedName name="_46__FDSAUDITLINK__" localSheetId="7" hidden="1">{"fdsup://Directions/FactSet Auditing Viewer?action=AUDIT_VALUE&amp;DB=129&amp;ID1=48517030&amp;VALUEID=01001&amp;SDATE=2009&amp;PERIODTYPE=ANN_STD&amp;window=popup_no_bar&amp;width=385&amp;height=120&amp;START_MAXIMIZED=FALSE&amp;creator=factset&amp;display_string=Audit"}</definedName>
    <definedName name="_46__FDSAUDITLINK__" hidden="1">{"fdsup://Directions/FactSet Auditing Viewer?action=AUDIT_VALUE&amp;DB=129&amp;ID1=48517030&amp;VALUEID=01001&amp;SDATE=2009&amp;PERIODTYPE=ANN_STD&amp;window=popup_no_bar&amp;width=385&amp;height=120&amp;START_MAXIMIZED=FALSE&amp;creator=factset&amp;display_string=Audit"}</definedName>
    <definedName name="_47__FDSAUDITLINK__" localSheetId="5" hidden="1">{"fdsup://directions/FAT Viewer?action=UPDATE&amp;creator=factset&amp;DYN_ARGS=TRUE&amp;DOC_NAME=FAT:FQL_AUDITING_CLIENT_TEMPLATE.FAT&amp;display_string=Audit&amp;VAR:KEY=PEFOBCHMJG&amp;VAR:QUERY=RkZfTkVUX0lOQyhBTk4sMjAxMCk=&amp;WINDOW=FIRST_POPUP&amp;HEIGHT=450&amp;WIDTH=450&amp;START_MAXIMIZED=","FALSE&amp;VAR:CALENDAR=US&amp;VAR:SYMBOL=GWR&amp;VAR:INDEX=0"}</definedName>
    <definedName name="_47__FDSAUDITLINK__" localSheetId="7" hidden="1">{"fdsup://Directions/FactSet Auditing Viewer?action=AUDIT_VALUE&amp;DB=129&amp;ID1=37155910&amp;VALUEID=01001&amp;SDATE=2009&amp;PERIODTYPE=ANN_STD&amp;window=popup_no_bar&amp;width=385&amp;height=120&amp;START_MAXIMIZED=FALSE&amp;creator=factset&amp;display_string=Audit"}</definedName>
    <definedName name="_47__FDSAUDITLINK__" hidden="1">{"fdsup://Directions/FactSet Auditing Viewer?action=AUDIT_VALUE&amp;DB=129&amp;ID1=37155910&amp;VALUEID=01001&amp;SDATE=2009&amp;PERIODTYPE=ANN_STD&amp;window=popup_no_bar&amp;width=385&amp;height=120&amp;START_MAXIMIZED=FALSE&amp;creator=factset&amp;display_string=Audit"}</definedName>
    <definedName name="_48__FDSAUDITLINK__" localSheetId="5" hidden="1">{"fdsup://directions/FAT Viewer?action=UPDATE&amp;creator=factset&amp;DYN_ARGS=TRUE&amp;DOC_NAME=FAT:FQL_AUDITING_CLIENT_TEMPLATE.FAT&amp;display_string=Audit&amp;VAR:KEY=ZYBGBQNIPW&amp;VAR:QUERY=RkZfTkVUX0lOQyhBTk4sMjAxMCk=&amp;WINDOW=FIRST_POPUP&amp;HEIGHT=450&amp;WIDTH=450&amp;START_MAXIMIZED=","FALSE&amp;VAR:CALENDAR=US&amp;VAR:SYMBOL=CSX&amp;VAR:INDEX=0"}</definedName>
    <definedName name="_48__FDSAUDITLINK__" localSheetId="7" hidden="1">{"fdsup://Directions/FactSet Auditing Viewer?action=AUDIT_VALUE&amp;DB=129&amp;ID1=12640810&amp;VALUEID=01001&amp;SDATE=2009&amp;PERIODTYPE=ANN_STD&amp;window=popup_no_bar&amp;width=385&amp;height=120&amp;START_MAXIMIZED=FALSE&amp;creator=factset&amp;display_string=Audit"}</definedName>
    <definedName name="_48__FDSAUDITLINK__" hidden="1">{"fdsup://Directions/FactSet Auditing Viewer?action=AUDIT_VALUE&amp;DB=129&amp;ID1=12640810&amp;VALUEID=01001&amp;SDATE=2009&amp;PERIODTYPE=ANN_STD&amp;window=popup_no_bar&amp;width=385&amp;height=120&amp;START_MAXIMIZED=FALSE&amp;creator=factset&amp;display_string=Audit"}</definedName>
    <definedName name="_49__FDSAUDITLINK__" localSheetId="5" hidden="1">{"fdsup://directions/FAT Viewer?action=UPDATE&amp;creator=factset&amp;DYN_ARGS=TRUE&amp;DOC_NAME=FAT:FQL_AUDITING_CLIENT_TEMPLATE.FAT&amp;display_string=Audit&amp;VAR:KEY=LWXCBKXSLK&amp;VAR:QUERY=RkZfTkVUX0lOQyhBTk4sMjAxMCk=&amp;WINDOW=FIRST_POPUP&amp;HEIGHT=450&amp;WIDTH=450&amp;START_MAXIMIZED=","FALSE&amp;VAR:CALENDAR=US&amp;VAR:SYMBOL=CP&amp;VAR:INDEX=0"}</definedName>
    <definedName name="_49__FDSAUDITLINK__" localSheetId="7"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49__FDSAUDITLINK__"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5__FDSAUDITLINK__" localSheetId="5" hidden="1">{"fdsup://directions/FAT Viewer?action=UPDATE&amp;creator=factset&amp;DYN_ARGS=TRUE&amp;DOC_NAME=FAT:FQL_AUDITING_CLIENT_TEMPLATE.FAT&amp;display_string=Audit&amp;VAR:KEY=PEFOBCHMJG&amp;VAR:QUERY=RkZfTkVUX0lOQyhBTk4sMjAxMCk=&amp;WINDOW=FIRST_POPUP&amp;HEIGHT=450&amp;WIDTH=450&amp;START_MAXIMIZED=","FALSE&amp;VAR:CALENDAR=US&amp;VAR:SYMBOL=GWR&amp;VAR:INDEX=0"}</definedName>
    <definedName name="_5__FDSAUDITLINK__" localSheetId="7" hidden="1">{"fdsup://Directions/FactSet Auditing Viewer?action=AUDIT_VALUE&amp;DB=129&amp;ID1=37155910&amp;VALUEID=01401&amp;SDATE=2009&amp;PERIODTYPE=ANN_STD&amp;window=popup_no_bar&amp;width=385&amp;height=120&amp;START_MAXIMIZED=FALSE&amp;creator=factset&amp;display_string=Audit"}</definedName>
    <definedName name="_5__FDSAUDITLINK__" hidden="1">{"fdsup://Directions/FactSet Auditing Viewer?action=AUDIT_VALUE&amp;DB=129&amp;ID1=37155910&amp;VALUEID=01401&amp;SDATE=2009&amp;PERIODTYPE=ANN_STD&amp;window=popup_no_bar&amp;width=385&amp;height=120&amp;START_MAXIMIZED=FALSE&amp;creator=factset&amp;display_string=Audit"}</definedName>
    <definedName name="_50__FDSAUDITLINK__" localSheetId="5" hidden="1">{"fdsup://directions/FAT Viewer?action=UPDATE&amp;creator=factset&amp;DYN_ARGS=TRUE&amp;DOC_NAME=FAT:FQL_AUDITING_CLIENT_TEMPLATE.FAT&amp;display_string=Audit&amp;VAR:KEY=POVWTQFONY&amp;VAR:QUERY=RkZfTkVUX0lOQyhBTk4sMjAxMCk=&amp;WINDOW=FIRST_POPUP&amp;HEIGHT=450&amp;WIDTH=450&amp;START_MAXIMIZED=","FALSE&amp;VAR:CALENDAR=US&amp;VAR:SYMBOL=CNI&amp;VAR:INDEX=0"}</definedName>
    <definedName name="_50__FDSAUDITLINK__" localSheetId="7"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50__FDSAUDITLINK__"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51__FDSAUDITLINK__" localSheetId="5" hidden="1">{"fdsup://Directions/FactSet Auditing Viewer?action=AUDIT_VALUE&amp;DB=129&amp;ID1=90781810&amp;VALUEID=01401&amp;SDATE=2010&amp;PERIODTYPE=ANN_STD&amp;SCFT=3&amp;window=popup_no_bar&amp;width=385&amp;height=120&amp;START_MAXIMIZED=FALSE&amp;creator=factset&amp;display_string=Audit"}</definedName>
    <definedName name="_51__FDSAUDITLINK__" localSheetId="7"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51__FDSAUDITLINK__"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52__FDSAUDITLINK__" localSheetId="5" hidden="1">{"fdsup://Directions/FactSet Auditing Viewer?action=AUDIT_VALUE&amp;DB=129&amp;ID1=75075340&amp;VALUEID=01401&amp;SDATE=2010&amp;PERIODTYPE=ANN_STD&amp;SCFT=3&amp;window=popup_no_bar&amp;width=385&amp;height=120&amp;START_MAXIMIZED=FALSE&amp;creator=factset&amp;display_string=Audit"}</definedName>
    <definedName name="_52__FDSAUDITLINK__" localSheetId="7"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52__FDSAUDITLINK__"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53__FDSAUDITLINK__" localSheetId="5" hidden="1">{"fdsup://Directions/FactSet Auditing Viewer?action=AUDIT_VALUE&amp;DB=129&amp;ID1=65584410&amp;VALUEID=01401&amp;SDATE=2010&amp;PERIODTYPE=ANN_STD&amp;SCFT=3&amp;window=popup_no_bar&amp;width=385&amp;height=120&amp;START_MAXIMIZED=FALSE&amp;creator=factset&amp;display_string=Audit"}</definedName>
    <definedName name="_53__FDSAUDITLINK__" localSheetId="7"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53__FDSAUDITLINK__"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54__FDSAUDITLINK__" localSheetId="5" hidden="1">{"fdsup://Directions/FactSet Auditing Viewer?action=AUDIT_VALUE&amp;DB=129&amp;ID1=48517030&amp;VALUEID=01401&amp;SDATE=2010&amp;PERIODTYPE=ANN_STD&amp;SCFT=3&amp;window=popup_no_bar&amp;width=385&amp;height=120&amp;START_MAXIMIZED=FALSE&amp;creator=factset&amp;display_string=Audit"}</definedName>
    <definedName name="_54__FDSAUDITLINK__" localSheetId="7"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54__FDSAUDITLINK__"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55__FDSAUDITLINK__" localSheetId="5" hidden="1">{"fdsup://Directions/FactSet Auditing Viewer?action=AUDIT_VALUE&amp;DB=129&amp;ID1=37155910&amp;VALUEID=01401&amp;SDATE=2010&amp;PERIODTYPE=ANN_STD&amp;SCFT=3&amp;window=popup_no_bar&amp;width=385&amp;height=120&amp;START_MAXIMIZED=FALSE&amp;creator=factset&amp;display_string=Audit"}</definedName>
    <definedName name="_55__FDSAUDITLINK__" localSheetId="7"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55__FDSAUDITLINK__"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56__FDSAUDITLINK__" localSheetId="5" hidden="1">{"fdsup://Directions/FactSet Auditing Viewer?action=AUDIT_VALUE&amp;DB=129&amp;ID1=12640810&amp;VALUEID=01401&amp;SDATE=2010&amp;PERIODTYPE=ANN_STD&amp;SCFT=3&amp;window=popup_no_bar&amp;width=385&amp;height=120&amp;START_MAXIMIZED=FALSE&amp;creator=factset&amp;display_string=Audit"}</definedName>
    <definedName name="_56__FDSAUDITLINK__" localSheetId="7"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56__FDSAUDITLINK__"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57__FDSAUDITLINK__" localSheetId="5" hidden="1">{"fdsup://directions/FAT Viewer?action=UPDATE&amp;creator=factset&amp;DYN_ARGS=TRUE&amp;DOC_NAME=FAT:FQL_AUDITING_CLIENT_TEMPLATE.FAT&amp;display_string=Audit&amp;VAR:KEY=DGNCPSHQDS&amp;VAR:QUERY=RkZfRUJJVChBTk4sMjAxMCk=&amp;WINDOW=FIRST_POPUP&amp;HEIGHT=450&amp;WIDTH=450&amp;START_MAXIMIZED=FALS","E&amp;VAR:CALENDAR=US&amp;VAR:SYMBOL=UNP&amp;VAR:INDEX=0"}</definedName>
    <definedName name="_57__FDSAUDITLINK__" localSheetId="7"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57__FDSAUDITLINK__"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58__FDSAUDITLINK__" localSheetId="5" hidden="1">{"fdsup://directions/FAT Viewer?action=UPDATE&amp;creator=factset&amp;DYN_ARGS=TRUE&amp;DOC_NAME=FAT:FQL_AUDITING_CLIENT_TEMPLATE.FAT&amp;display_string=Audit&amp;VAR:KEY=BWFKTENKVI&amp;VAR:QUERY=RkZfRUJJVChBTk4sMjAxMCk=&amp;WINDOW=FIRST_POPUP&amp;HEIGHT=450&amp;WIDTH=450&amp;START_MAXIMIZED=FALS","E&amp;VAR:CALENDAR=US&amp;VAR:SYMBOL=RA&amp;VAR:INDEX=0"}</definedName>
    <definedName name="_58__FDSAUDITLINK__" localSheetId="7"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58__FDSAUDITLINK__"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59__FDSAUDITLINK__" localSheetId="5" hidden="1">{"fdsup://directions/FAT Viewer?action=UPDATE&amp;creator=factset&amp;DYN_ARGS=TRUE&amp;DOC_NAME=FAT:FQL_AUDITING_CLIENT_TEMPLATE.FAT&amp;display_string=Audit&amp;VAR:KEY=PEFOLQPGXG&amp;VAR:QUERY=RkZfRUJJVChBTk4sMjAxMCk=&amp;WINDOW=FIRST_POPUP&amp;HEIGHT=450&amp;WIDTH=450&amp;START_MAXIMIZED=FALS","E&amp;VAR:CALENDAR=US&amp;VAR:SYMBOL=NSC&amp;VAR:INDEX=0"}</definedName>
    <definedName name="_59__FDSAUDITLINK__" localSheetId="7"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59__FDSAUDITLINK__"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6__FDSAUDITLINK__" localSheetId="5" hidden="1">{"fdsup://directions/FAT Viewer?action=UPDATE&amp;creator=factset&amp;DYN_ARGS=TRUE&amp;DOC_NAME=FAT:FQL_AUDITING_CLIENT_TEMPLATE.FAT&amp;display_string=Audit&amp;VAR:KEY=ZYBGBQNIPW&amp;VAR:QUERY=RkZfTkVUX0lOQyhBTk4sMjAxMCk=&amp;WINDOW=FIRST_POPUP&amp;HEIGHT=450&amp;WIDTH=450&amp;START_MAXIMIZED=","FALSE&amp;VAR:CALENDAR=US&amp;VAR:SYMBOL=CSX&amp;VAR:INDEX=0"}</definedName>
    <definedName name="_6__FDSAUDITLINK__" localSheetId="7" hidden="1">{"fdsup://Directions/FactSet Auditing Viewer?action=AUDIT_VALUE&amp;DB=129&amp;ID1=12640810&amp;VALUEID=01401&amp;SDATE=2009&amp;PERIODTYPE=ANN_STD&amp;window=popup_no_bar&amp;width=385&amp;height=120&amp;START_MAXIMIZED=FALSE&amp;creator=factset&amp;display_string=Audit"}</definedName>
    <definedName name="_6__FDSAUDITLINK__" hidden="1">{"fdsup://Directions/FactSet Auditing Viewer?action=AUDIT_VALUE&amp;DB=129&amp;ID1=12640810&amp;VALUEID=01401&amp;SDATE=2009&amp;PERIODTYPE=ANN_STD&amp;window=popup_no_bar&amp;width=385&amp;height=120&amp;START_MAXIMIZED=FALSE&amp;creator=factset&amp;display_string=Audit"}</definedName>
    <definedName name="_60__FDSAUDITLINK__" localSheetId="5" hidden="1">{"fdsup://directions/FAT Viewer?action=UPDATE&amp;creator=factset&amp;DYN_ARGS=TRUE&amp;DOC_NAME=FAT:FQL_AUDITING_CLIENT_TEMPLATE.FAT&amp;display_string=Audit&amp;VAR:KEY=HMBWBGJGHA&amp;VAR:QUERY=RkZfRUJJVChBTk4sMjAxMCk=&amp;WINDOW=FIRST_POPUP&amp;HEIGHT=450&amp;WIDTH=450&amp;START_MAXIMIZED=FALS","E&amp;VAR:CALENDAR=US&amp;VAR:SYMBOL=KSU&amp;VAR:INDEX=0"}</definedName>
    <definedName name="_60__FDSAUDITLINK__" localSheetId="7"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60__FDSAUDITLINK__"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61__FDSAUDITLINK__" localSheetId="5" hidden="1">{"fdsup://directions/FAT Viewer?action=UPDATE&amp;creator=factset&amp;DYN_ARGS=TRUE&amp;DOC_NAME=FAT:FQL_AUDITING_CLIENT_TEMPLATE.FAT&amp;display_string=Audit&amp;VAR:KEY=BWJSJEHOHW&amp;VAR:QUERY=RkZfRUJJVChBTk4sMjAxMCk=&amp;WINDOW=FIRST_POPUP&amp;HEIGHT=450&amp;WIDTH=450&amp;START_MAXIMIZED=FALS","E&amp;VAR:CALENDAR=US&amp;VAR:SYMBOL=GWR&amp;VAR:INDEX=0"}</definedName>
    <definedName name="_61__FDSAUDITLINK__" localSheetId="7"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61__FDSAUDITLINK__"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62__FDSAUDITLINK__" localSheetId="5" hidden="1">{"fdsup://directions/FAT Viewer?action=UPDATE&amp;creator=factset&amp;DYN_ARGS=TRUE&amp;DOC_NAME=FAT:FQL_AUDITING_CLIENT_TEMPLATE.FAT&amp;display_string=Audit&amp;VAR:KEY=PINYZCPSJM&amp;VAR:QUERY=RkZfRUJJVChBTk4sMjAxMCk=&amp;WINDOW=FIRST_POPUP&amp;HEIGHT=450&amp;WIDTH=450&amp;START_MAXIMIZED=FALS","E&amp;VAR:CALENDAR=US&amp;VAR:SYMBOL=CSX&amp;VAR:INDEX=0"}</definedName>
    <definedName name="_62__FDSAUDITLINK__" localSheetId="7"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62__FDSAUDITLINK__"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63__FDSAUDITLINK__" localSheetId="5" hidden="1">{"fdsup://directions/FAT Viewer?action=UPDATE&amp;creator=factset&amp;DYN_ARGS=TRUE&amp;DOC_NAME=FAT:FQL_AUDITING_CLIENT_TEMPLATE.FAT&amp;display_string=Audit&amp;VAR:KEY=LITSLAHYFA&amp;VAR:QUERY=RkZfRUJJVChBTk4sMjAxMCk=&amp;WINDOW=FIRST_POPUP&amp;HEIGHT=450&amp;WIDTH=450&amp;START_MAXIMIZED=FALS","E&amp;VAR:CALENDAR=US&amp;VAR:SYMBOL=CP&amp;VAR:INDEX=0"}</definedName>
    <definedName name="_63__FDSAUDITLINK__" localSheetId="7"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63__FDSAUDITLINK__"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64__FDSAUDITLINK__" localSheetId="5" hidden="1">{"fdsup://directions/FAT Viewer?action=UPDATE&amp;creator=factset&amp;DYN_ARGS=TRUE&amp;DOC_NAME=FAT:FQL_AUDITING_CLIENT_TEMPLATE.FAT&amp;display_string=Audit&amp;VAR:KEY=HCVORMPWTM&amp;VAR:QUERY=RkZfRUJJVChBTk4sMjAxMCk=&amp;WINDOW=FIRST_POPUP&amp;HEIGHT=450&amp;WIDTH=450&amp;START_MAXIMIZED=FALS","E&amp;VAR:CALENDAR=US&amp;VAR:SYMBOL=CNI&amp;VAR:INDEX=0"}</definedName>
    <definedName name="_64__FDSAUDITLINK__" localSheetId="7"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64__FDSAUDITLINK__"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65__FDSAUDITLINK__" localSheetId="5" hidden="1">{"fdsup://directions/FAT Viewer?action=UPDATE&amp;creator=factset&amp;DYN_ARGS=TRUE&amp;DOC_NAME=FAT:FQL_AUDITING_CLIENT_TEMPLATE.FAT&amp;display_string=Audit&amp;VAR:KEY=XMLYTOPQXO&amp;VAR:QUERY=RkZfRUJJVERBKEFOTiwyMDEwKQ==&amp;WINDOW=FIRST_POPUP&amp;HEIGHT=450&amp;WIDTH=450&amp;START_MAXIMIZED=","FALSE&amp;VAR:CALENDAR=US&amp;VAR:SYMBOL=UNP&amp;VAR:INDEX=0"}</definedName>
    <definedName name="_65__FDSAUDITLINK__" localSheetId="7"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65__FDSAUDITLINK__"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66__FDSAUDITLINK__" localSheetId="5" hidden="1">{"fdsup://directions/FAT Viewer?action=UPDATE&amp;creator=factset&amp;DYN_ARGS=TRUE&amp;DOC_NAME=FAT:FQL_AUDITING_CLIENT_TEMPLATE.FAT&amp;display_string=Audit&amp;VAR:KEY=JATKRKDKLA&amp;VAR:QUERY=RkZfRUJJVERBKEFOTiwyMDEwKQ==&amp;WINDOW=FIRST_POPUP&amp;HEIGHT=450&amp;WIDTH=450&amp;START_MAXIMIZED=","FALSE&amp;VAR:CALENDAR=US&amp;VAR:SYMBOL=RA&amp;VAR:INDEX=0"}</definedName>
    <definedName name="_66__FDSAUDITLINK__" localSheetId="7"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66__FDSAUDITLINK__"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67__FDSAUDITLINK__" localSheetId="5" hidden="1">{"fdsup://directions/FAT Viewer?action=UPDATE&amp;creator=factset&amp;DYN_ARGS=TRUE&amp;DOC_NAME=FAT:FQL_AUDITING_CLIENT_TEMPLATE.FAT&amp;display_string=Audit&amp;VAR:KEY=JOTCFIXQPW&amp;VAR:QUERY=RkZfRUJJVERBKEFOTiwyMDEwKQ==&amp;WINDOW=FIRST_POPUP&amp;HEIGHT=450&amp;WIDTH=450&amp;START_MAXIMIZED=","FALSE&amp;VAR:CALENDAR=US&amp;VAR:SYMBOL=NSC&amp;VAR:INDEX=0"}</definedName>
    <definedName name="_67__FDSAUDITLINK__" localSheetId="7"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67__FDSAUDITLINK__"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68__FDSAUDITLINK__" localSheetId="5" hidden="1">{"fdsup://directions/FAT Viewer?action=UPDATE&amp;creator=factset&amp;DYN_ARGS=TRUE&amp;DOC_NAME=FAT:FQL_AUDITING_CLIENT_TEMPLATE.FAT&amp;display_string=Audit&amp;VAR:KEY=XWBUVOTWJI&amp;VAR:QUERY=RkZfRUJJVERBKEFOTiwyMDEwKQ==&amp;WINDOW=FIRST_POPUP&amp;HEIGHT=450&amp;WIDTH=450&amp;START_MAXIMIZED=","FALSE&amp;VAR:CALENDAR=US&amp;VAR:SYMBOL=KSU&amp;VAR:INDEX=0"}</definedName>
    <definedName name="_68__FDSAUDITLINK__" localSheetId="7"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68__FDSAUDITLINK__"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69__FDSAUDITLINK__" localSheetId="5" hidden="1">{"fdsup://directions/FAT Viewer?action=UPDATE&amp;creator=factset&amp;DYN_ARGS=TRUE&amp;DOC_NAME=FAT:FQL_AUDITING_CLIENT_TEMPLATE.FAT&amp;display_string=Audit&amp;VAR:KEY=TMBAPSLEDO&amp;VAR:QUERY=RkZfRUJJVERBKEFOTiwyMDEwKQ==&amp;WINDOW=FIRST_POPUP&amp;HEIGHT=450&amp;WIDTH=450&amp;START_MAXIMIZED=","FALSE&amp;VAR:CALENDAR=US&amp;VAR:SYMBOL=GWR&amp;VAR:INDEX=0"}</definedName>
    <definedName name="_69__FDSAUDITLINK__" localSheetId="7"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69__FDSAUDITLINK__"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7__FDSAUDITLINK__" localSheetId="5" hidden="1">{"fdsup://directions/FAT Viewer?action=UPDATE&amp;creator=factset&amp;DYN_ARGS=TRUE&amp;DOC_NAME=FAT:FQL_AUDITING_CLIENT_TEMPLATE.FAT&amp;display_string=Audit&amp;VAR:KEY=LWXCBKXSLK&amp;VAR:QUERY=RkZfTkVUX0lOQyhBTk4sMjAxMCk=&amp;WINDOW=FIRST_POPUP&amp;HEIGHT=450&amp;WIDTH=450&amp;START_MAXIMIZED=","FALSE&amp;VAR:CALENDAR=US&amp;VAR:SYMBOL=CP&amp;VAR:INDEX=0"}</definedName>
    <definedName name="_7__FDSAUDITLINK__" localSheetId="7" hidden="1">{"fdsup://Directions/FactSet Auditing Viewer?action=AUDIT_VALUE&amp;DB=129&amp;ID1=90781810&amp;VALUEID=01401&amp;SDATE=2009&amp;PERIODTYPE=ANN_STD&amp;window=popup_no_bar&amp;width=385&amp;height=120&amp;START_MAXIMIZED=FALSE&amp;creator=factset&amp;display_string=Audit"}</definedName>
    <definedName name="_7__FDSAUDITLINK__" hidden="1">{"fdsup://Directions/FactSet Auditing Viewer?action=AUDIT_VALUE&amp;DB=129&amp;ID1=90781810&amp;VALUEID=01401&amp;SDATE=2009&amp;PERIODTYPE=ANN_STD&amp;window=popup_no_bar&amp;width=385&amp;height=120&amp;START_MAXIMIZED=FALSE&amp;creator=factset&amp;display_string=Audit"}</definedName>
    <definedName name="_70__FDSAUDITLINK__" localSheetId="5" hidden="1">{"fdsup://directions/FAT Viewer?action=UPDATE&amp;creator=factset&amp;DYN_ARGS=TRUE&amp;DOC_NAME=FAT:FQL_AUDITING_CLIENT_TEMPLATE.FAT&amp;display_string=Audit&amp;VAR:KEY=JIPMRIVITU&amp;VAR:QUERY=RkZfRUJJVERBKEFOTiwyMDEwKQ==&amp;WINDOW=FIRST_POPUP&amp;HEIGHT=450&amp;WIDTH=450&amp;START_MAXIMIZED=","FALSE&amp;VAR:CALENDAR=US&amp;VAR:SYMBOL=CSX&amp;VAR:INDEX=0"}</definedName>
    <definedName name="_70__FDSAUDITLINK__" localSheetId="7"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70__FDSAUDITLINK__"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71__FDSAUDITLINK__" localSheetId="5" hidden="1">{"fdsup://directions/FAT Viewer?action=UPDATE&amp;creator=factset&amp;DYN_ARGS=TRUE&amp;DOC_NAME=FAT:FQL_AUDITING_CLIENT_TEMPLATE.FAT&amp;display_string=Audit&amp;VAR:KEY=DGFYZAREXG&amp;VAR:QUERY=RkZfRUJJVERBKEFOTiwyMDEwKQ==&amp;WINDOW=FIRST_POPUP&amp;HEIGHT=450&amp;WIDTH=450&amp;START_MAXIMIZED=","FALSE&amp;VAR:CALENDAR=US&amp;VAR:SYMBOL=CP&amp;VAR:INDEX=0"}</definedName>
    <definedName name="_71__FDSAUDITLINK__" localSheetId="7"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71__FDSAUDITLINK__"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72__FDSAUDITLINK__" localSheetId="5" hidden="1">{"fdsup://directions/FAT Viewer?action=UPDATE&amp;creator=factset&amp;DYN_ARGS=TRUE&amp;DOC_NAME=FAT:FQL_AUDITING_CLIENT_TEMPLATE.FAT&amp;display_string=Audit&amp;VAR:KEY=XMTYZCPUDC&amp;VAR:QUERY=RkZfRUJJVERBKEFOTiwyMDEwKQ==&amp;WINDOW=FIRST_POPUP&amp;HEIGHT=450&amp;WIDTH=450&amp;START_MAXIMIZED=","FALSE&amp;VAR:CALENDAR=US&amp;VAR:SYMBOL=CNI&amp;VAR:INDEX=0"}</definedName>
    <definedName name="_72__FDSAUDITLINK__" localSheetId="7"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72__FDSAUDITLINK__"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73__FDSAUDITLINK__" localSheetId="5" hidden="1">{"fdsup://Directions/FactSet Auditing Viewer?action=AUDIT_VALUE&amp;DB=129&amp;ID1=90781810&amp;VALUEID=01250&amp;SDATE=2010&amp;PERIODTYPE=ANN_STD&amp;SCFT=3&amp;window=popup_no_bar&amp;width=385&amp;height=120&amp;START_MAXIMIZED=FALSE&amp;creator=factset&amp;display_string=Audit"}</definedName>
    <definedName name="_73__FDSAUDITLINK__" localSheetId="7" hidden="1">{"fdsup://Directions/FactSet Auditing Viewer?action=AUDIT_VALUE&amp;DB=129&amp;ID1=90781810&amp;VALUEID=01250&amp;SDATE=2009&amp;PERIODTYPE=ANN_STD&amp;window=popup_no_bar&amp;width=385&amp;height=120&amp;START_MAXIMIZED=FALSE&amp;creator=factset&amp;display_string=Audit"}</definedName>
    <definedName name="_73__FDSAUDITLINK__" hidden="1">{"fdsup://Directions/FactSet Auditing Viewer?action=AUDIT_VALUE&amp;DB=129&amp;ID1=90781810&amp;VALUEID=01250&amp;SDATE=2009&amp;PERIODTYPE=ANN_STD&amp;window=popup_no_bar&amp;width=385&amp;height=120&amp;START_MAXIMIZED=FALSE&amp;creator=factset&amp;display_string=Audit"}</definedName>
    <definedName name="_74__FDSAUDITLINK__" localSheetId="5" hidden="1">{"fdsup://Directions/FactSet Auditing Viewer?action=AUDIT_VALUE&amp;DB=129&amp;ID1=75075340&amp;VALUEID=01250&amp;SDATE=2010&amp;PERIODTYPE=ANN_STD&amp;SCFT=3&amp;window=popup_no_bar&amp;width=385&amp;height=120&amp;START_MAXIMIZED=FALSE&amp;creator=factset&amp;display_string=Audit"}</definedName>
    <definedName name="_74__FDSAUDITLINK__" localSheetId="7" hidden="1">{"fdsup://Directions/FactSet Auditing Viewer?action=AUDIT_VALUE&amp;DB=129&amp;ID1=75075340&amp;VALUEID=01250&amp;SDATE=2009&amp;PERIODTYPE=ANN_STD&amp;window=popup_no_bar&amp;width=385&amp;height=120&amp;START_MAXIMIZED=FALSE&amp;creator=factset&amp;display_string=Audit"}</definedName>
    <definedName name="_74__FDSAUDITLINK__" hidden="1">{"fdsup://Directions/FactSet Auditing Viewer?action=AUDIT_VALUE&amp;DB=129&amp;ID1=75075340&amp;VALUEID=01250&amp;SDATE=2009&amp;PERIODTYPE=ANN_STD&amp;window=popup_no_bar&amp;width=385&amp;height=120&amp;START_MAXIMIZED=FALSE&amp;creator=factset&amp;display_string=Audit"}</definedName>
    <definedName name="_75__FDSAUDITLINK__" localSheetId="5" hidden="1">{"fdsup://Directions/FactSet Auditing Viewer?action=AUDIT_VALUE&amp;DB=129&amp;ID1=65584410&amp;VALUEID=01250&amp;SDATE=2010&amp;PERIODTYPE=ANN_STD&amp;SCFT=3&amp;window=popup_no_bar&amp;width=385&amp;height=120&amp;START_MAXIMIZED=FALSE&amp;creator=factset&amp;display_string=Audit"}</definedName>
    <definedName name="_75__FDSAUDITLINK__" localSheetId="7" hidden="1">{"fdsup://Directions/FactSet Auditing Viewer?action=AUDIT_VALUE&amp;DB=129&amp;ID1=65584410&amp;VALUEID=01250&amp;SDATE=2009&amp;PERIODTYPE=ANN_STD&amp;window=popup_no_bar&amp;width=385&amp;height=120&amp;START_MAXIMIZED=FALSE&amp;creator=factset&amp;display_string=Audit"}</definedName>
    <definedName name="_75__FDSAUDITLINK__" hidden="1">{"fdsup://Directions/FactSet Auditing Viewer?action=AUDIT_VALUE&amp;DB=129&amp;ID1=65584410&amp;VALUEID=01250&amp;SDATE=2009&amp;PERIODTYPE=ANN_STD&amp;window=popup_no_bar&amp;width=385&amp;height=120&amp;START_MAXIMIZED=FALSE&amp;creator=factset&amp;display_string=Audit"}</definedName>
    <definedName name="_76__FDSAUDITLINK__" localSheetId="5" hidden="1">{"fdsup://Directions/FactSet Auditing Viewer?action=AUDIT_VALUE&amp;DB=129&amp;ID1=48517030&amp;VALUEID=01250&amp;SDATE=2010&amp;PERIODTYPE=ANN_STD&amp;SCFT=3&amp;window=popup_no_bar&amp;width=385&amp;height=120&amp;START_MAXIMIZED=FALSE&amp;creator=factset&amp;display_string=Audit"}</definedName>
    <definedName name="_76__FDSAUDITLINK__" localSheetId="7" hidden="1">{"fdsup://Directions/FactSet Auditing Viewer?action=AUDIT_VALUE&amp;DB=129&amp;ID1=48517030&amp;VALUEID=01250&amp;SDATE=2009&amp;PERIODTYPE=ANN_STD&amp;window=popup_no_bar&amp;width=385&amp;height=120&amp;START_MAXIMIZED=FALSE&amp;creator=factset&amp;display_string=Audit"}</definedName>
    <definedName name="_76__FDSAUDITLINK__" hidden="1">{"fdsup://Directions/FactSet Auditing Viewer?action=AUDIT_VALUE&amp;DB=129&amp;ID1=48517030&amp;VALUEID=01250&amp;SDATE=2009&amp;PERIODTYPE=ANN_STD&amp;window=popup_no_bar&amp;width=385&amp;height=120&amp;START_MAXIMIZED=FALSE&amp;creator=factset&amp;display_string=Audit"}</definedName>
    <definedName name="_77__FDSAUDITLINK__" localSheetId="5" hidden="1">{"fdsup://Directions/FactSet Auditing Viewer?action=AUDIT_VALUE&amp;DB=129&amp;ID1=37155910&amp;VALUEID=01250&amp;SDATE=2010&amp;PERIODTYPE=ANN_STD&amp;SCFT=3&amp;window=popup_no_bar&amp;width=385&amp;height=120&amp;START_MAXIMIZED=FALSE&amp;creator=factset&amp;display_string=Audit"}</definedName>
    <definedName name="_77__FDSAUDITLINK__" localSheetId="7" hidden="1">{"fdsup://Directions/FactSet Auditing Viewer?action=AUDIT_VALUE&amp;DB=129&amp;ID1=37155910&amp;VALUEID=01250&amp;SDATE=2009&amp;PERIODTYPE=ANN_STD&amp;window=popup_no_bar&amp;width=385&amp;height=120&amp;START_MAXIMIZED=FALSE&amp;creator=factset&amp;display_string=Audit"}</definedName>
    <definedName name="_77__FDSAUDITLINK__" hidden="1">{"fdsup://Directions/FactSet Auditing Viewer?action=AUDIT_VALUE&amp;DB=129&amp;ID1=37155910&amp;VALUEID=01250&amp;SDATE=2009&amp;PERIODTYPE=ANN_STD&amp;window=popup_no_bar&amp;width=385&amp;height=120&amp;START_MAXIMIZED=FALSE&amp;creator=factset&amp;display_string=Audit"}</definedName>
    <definedName name="_78__FDSAUDITLINK__" localSheetId="5" hidden="1">{"fdsup://Directions/FactSet Auditing Viewer?action=AUDIT_VALUE&amp;DB=129&amp;ID1=12640810&amp;VALUEID=01250&amp;SDATE=2010&amp;PERIODTYPE=ANN_STD&amp;SCFT=3&amp;window=popup_no_bar&amp;width=385&amp;height=120&amp;START_MAXIMIZED=FALSE&amp;creator=factset&amp;display_string=Audit"}</definedName>
    <definedName name="_78__FDSAUDITLINK__" localSheetId="7" hidden="1">{"fdsup://Directions/FactSet Auditing Viewer?action=AUDIT_VALUE&amp;DB=129&amp;ID1=12640810&amp;VALUEID=01250&amp;SDATE=2009&amp;PERIODTYPE=ANN_STD&amp;window=popup_no_bar&amp;width=385&amp;height=120&amp;START_MAXIMIZED=FALSE&amp;creator=factset&amp;display_string=Audit"}</definedName>
    <definedName name="_78__FDSAUDITLINK__" hidden="1">{"fdsup://Directions/FactSet Auditing Viewer?action=AUDIT_VALUE&amp;DB=129&amp;ID1=12640810&amp;VALUEID=01250&amp;SDATE=2009&amp;PERIODTYPE=ANN_STD&amp;window=popup_no_bar&amp;width=385&amp;height=120&amp;START_MAXIMIZED=FALSE&amp;creator=factset&amp;display_string=Audit"}</definedName>
    <definedName name="_79__FDSAUDITLINK__" localSheetId="5" hidden="1">{"fdsup://Directions/FactSet Auditing Viewer?action=AUDIT_VALUE&amp;DB=129&amp;ID1=90781810&amp;VALUEID=01001&amp;SDATE=2010&amp;PERIODTYPE=ANN_STD&amp;SCFT=3&amp;window=popup_no_bar&amp;width=385&amp;height=120&amp;START_MAXIMIZED=FALSE&amp;creator=factset&amp;display_string=Audit"}</definedName>
    <definedName name="_79__FDSAUDITLINK__" localSheetId="7" hidden="1">{"fdsup://Directions/FactSet Auditing Viewer?action=AUDIT_VALUE&amp;DB=129&amp;ID1=90781810&amp;VALUEID=01001&amp;SDATE=2009&amp;PERIODTYPE=ANN_STD&amp;window=popup_no_bar&amp;width=385&amp;height=120&amp;START_MAXIMIZED=FALSE&amp;creator=factset&amp;display_string=Audit"}</definedName>
    <definedName name="_79__FDSAUDITLINK__" hidden="1">{"fdsup://Directions/FactSet Auditing Viewer?action=AUDIT_VALUE&amp;DB=129&amp;ID1=90781810&amp;VALUEID=01001&amp;SDATE=2009&amp;PERIODTYPE=ANN_STD&amp;window=popup_no_bar&amp;width=385&amp;height=120&amp;START_MAXIMIZED=FALSE&amp;creator=factset&amp;display_string=Audit"}</definedName>
    <definedName name="_8__FDSAUDITLINK__" localSheetId="5" hidden="1">{"fdsup://directions/FAT Viewer?action=UPDATE&amp;creator=factset&amp;DYN_ARGS=TRUE&amp;DOC_NAME=FAT:FQL_AUDITING_CLIENT_TEMPLATE.FAT&amp;display_string=Audit&amp;VAR:KEY=POVWTQFONY&amp;VAR:QUERY=RkZfTkVUX0lOQyhBTk4sMjAxMCk=&amp;WINDOW=FIRST_POPUP&amp;HEIGHT=450&amp;WIDTH=450&amp;START_MAXIMIZED=","FALSE&amp;VAR:CALENDAR=US&amp;VAR:SYMBOL=CNI&amp;VAR:INDEX=0"}</definedName>
    <definedName name="_8__FDSAUDITLINK__" localSheetId="7" hidden="1">{"fdsup://Directions/FactSet Auditing Viewer?action=AUDIT_VALUE&amp;DB=129&amp;ID1=75075340&amp;VALUEID=01401&amp;SDATE=2009&amp;PERIODTYPE=ANN_STD&amp;window=popup_no_bar&amp;width=385&amp;height=120&amp;START_MAXIMIZED=FALSE&amp;creator=factset&amp;display_string=Audit"}</definedName>
    <definedName name="_8__FDSAUDITLINK__" hidden="1">{"fdsup://Directions/FactSet Auditing Viewer?action=AUDIT_VALUE&amp;DB=129&amp;ID1=75075340&amp;VALUEID=01401&amp;SDATE=2009&amp;PERIODTYPE=ANN_STD&amp;window=popup_no_bar&amp;width=385&amp;height=120&amp;START_MAXIMIZED=FALSE&amp;creator=factset&amp;display_string=Audit"}</definedName>
    <definedName name="_80__FDSAUDITLINK__" localSheetId="5" hidden="1">{"fdsup://Directions/FactSet Auditing Viewer?action=AUDIT_VALUE&amp;DB=129&amp;ID1=75075340&amp;VALUEID=01001&amp;SDATE=2010&amp;PERIODTYPE=ANN_STD&amp;SCFT=3&amp;window=popup_no_bar&amp;width=385&amp;height=120&amp;START_MAXIMIZED=FALSE&amp;creator=factset&amp;display_string=Audit"}</definedName>
    <definedName name="_80__FDSAUDITLINK__" localSheetId="7" hidden="1">{"fdsup://Directions/FactSet Auditing Viewer?action=AUDIT_VALUE&amp;DB=129&amp;ID1=75075340&amp;VALUEID=01001&amp;SDATE=2009&amp;PERIODTYPE=ANN_STD&amp;window=popup_no_bar&amp;width=385&amp;height=120&amp;START_MAXIMIZED=FALSE&amp;creator=factset&amp;display_string=Audit"}</definedName>
    <definedName name="_80__FDSAUDITLINK__" hidden="1">{"fdsup://Directions/FactSet Auditing Viewer?action=AUDIT_VALUE&amp;DB=129&amp;ID1=75075340&amp;VALUEID=01001&amp;SDATE=2009&amp;PERIODTYPE=ANN_STD&amp;window=popup_no_bar&amp;width=385&amp;height=120&amp;START_MAXIMIZED=FALSE&amp;creator=factset&amp;display_string=Audit"}</definedName>
    <definedName name="_81__FDSAUDITLINK__" localSheetId="5" hidden="1">{"fdsup://Directions/FactSet Auditing Viewer?action=AUDIT_VALUE&amp;DB=129&amp;ID1=65584410&amp;VALUEID=01001&amp;SDATE=2010&amp;PERIODTYPE=ANN_STD&amp;SCFT=3&amp;window=popup_no_bar&amp;width=385&amp;height=120&amp;START_MAXIMIZED=FALSE&amp;creator=factset&amp;display_string=Audit"}</definedName>
    <definedName name="_81__FDSAUDITLINK__" localSheetId="7" hidden="1">{"fdsup://Directions/FactSet Auditing Viewer?action=AUDIT_VALUE&amp;DB=129&amp;ID1=65584410&amp;VALUEID=01001&amp;SDATE=2009&amp;PERIODTYPE=ANN_STD&amp;window=popup_no_bar&amp;width=385&amp;height=120&amp;START_MAXIMIZED=FALSE&amp;creator=factset&amp;display_string=Audit"}</definedName>
    <definedName name="_81__FDSAUDITLINK__" hidden="1">{"fdsup://Directions/FactSet Auditing Viewer?action=AUDIT_VALUE&amp;DB=129&amp;ID1=65584410&amp;VALUEID=01001&amp;SDATE=2009&amp;PERIODTYPE=ANN_STD&amp;window=popup_no_bar&amp;width=385&amp;height=120&amp;START_MAXIMIZED=FALSE&amp;creator=factset&amp;display_string=Audit"}</definedName>
    <definedName name="_82__FDSAUDITLINK__" localSheetId="5" hidden="1">{"fdsup://Directions/FactSet Auditing Viewer?action=AUDIT_VALUE&amp;DB=129&amp;ID1=48517030&amp;VALUEID=01001&amp;SDATE=2010&amp;PERIODTYPE=ANN_STD&amp;SCFT=3&amp;window=popup_no_bar&amp;width=385&amp;height=120&amp;START_MAXIMIZED=FALSE&amp;creator=factset&amp;display_string=Audit"}</definedName>
    <definedName name="_82__FDSAUDITLINK__" localSheetId="7" hidden="1">{"fdsup://Directions/FactSet Auditing Viewer?action=AUDIT_VALUE&amp;DB=129&amp;ID1=48517030&amp;VALUEID=01001&amp;SDATE=2009&amp;PERIODTYPE=ANN_STD&amp;window=popup_no_bar&amp;width=385&amp;height=120&amp;START_MAXIMIZED=FALSE&amp;creator=factset&amp;display_string=Audit"}</definedName>
    <definedName name="_82__FDSAUDITLINK__" hidden="1">{"fdsup://Directions/FactSet Auditing Viewer?action=AUDIT_VALUE&amp;DB=129&amp;ID1=48517030&amp;VALUEID=01001&amp;SDATE=2009&amp;PERIODTYPE=ANN_STD&amp;window=popup_no_bar&amp;width=385&amp;height=120&amp;START_MAXIMIZED=FALSE&amp;creator=factset&amp;display_string=Audit"}</definedName>
    <definedName name="_83__FDSAUDITLINK__" localSheetId="5" hidden="1">{"fdsup://Directions/FactSet Auditing Viewer?action=AUDIT_VALUE&amp;DB=129&amp;ID1=37155910&amp;VALUEID=01001&amp;SDATE=2010&amp;PERIODTYPE=ANN_STD&amp;SCFT=3&amp;window=popup_no_bar&amp;width=385&amp;height=120&amp;START_MAXIMIZED=FALSE&amp;creator=factset&amp;display_string=Audit"}</definedName>
    <definedName name="_83__FDSAUDITLINK__" localSheetId="7" hidden="1">{"fdsup://Directions/FactSet Auditing Viewer?action=AUDIT_VALUE&amp;DB=129&amp;ID1=37155910&amp;VALUEID=01001&amp;SDATE=2009&amp;PERIODTYPE=ANN_STD&amp;window=popup_no_bar&amp;width=385&amp;height=120&amp;START_MAXIMIZED=FALSE&amp;creator=factset&amp;display_string=Audit"}</definedName>
    <definedName name="_83__FDSAUDITLINK__" hidden="1">{"fdsup://Directions/FactSet Auditing Viewer?action=AUDIT_VALUE&amp;DB=129&amp;ID1=37155910&amp;VALUEID=01001&amp;SDATE=2009&amp;PERIODTYPE=ANN_STD&amp;window=popup_no_bar&amp;width=385&amp;height=120&amp;START_MAXIMIZED=FALSE&amp;creator=factset&amp;display_string=Audit"}</definedName>
    <definedName name="_84__FDSAUDITLINK__" localSheetId="5" hidden="1">{"fdsup://Directions/FactSet Auditing Viewer?action=AUDIT_VALUE&amp;DB=129&amp;ID1=12640810&amp;VALUEID=01001&amp;SDATE=2010&amp;PERIODTYPE=ANN_STD&amp;SCFT=3&amp;window=popup_no_bar&amp;width=385&amp;height=120&amp;START_MAXIMIZED=FALSE&amp;creator=factset&amp;display_string=Audit"}</definedName>
    <definedName name="_84__FDSAUDITLINK__" localSheetId="7" hidden="1">{"fdsup://Directions/FactSet Auditing Viewer?action=AUDIT_VALUE&amp;DB=129&amp;ID1=12640810&amp;VALUEID=01001&amp;SDATE=2009&amp;PERIODTYPE=ANN_STD&amp;window=popup_no_bar&amp;width=385&amp;height=120&amp;START_MAXIMIZED=FALSE&amp;creator=factset&amp;display_string=Audit"}</definedName>
    <definedName name="_84__FDSAUDITLINK__" hidden="1">{"fdsup://Directions/FactSet Auditing Viewer?action=AUDIT_VALUE&amp;DB=129&amp;ID1=12640810&amp;VALUEID=01001&amp;SDATE=2009&amp;PERIODTYPE=ANN_STD&amp;window=popup_no_bar&amp;width=385&amp;height=120&amp;START_MAXIMIZED=FALSE&amp;creator=factset&amp;display_string=Audit"}</definedName>
    <definedName name="_85__FDSAUDITLINK__" localSheetId="5" hidden="1">{"fdsup://directions/FAT Viewer?action=UPDATE&amp;creator=factset&amp;DYN_ARGS=TRUE&amp;DOC_NAME=FAT:FQL_AUDITING_CLIENT_TEMPLATE.FAT&amp;display_string=Audit&amp;VAR:KEY=BULWZYFAPI&amp;VAR:QUERY=RkZfTkVUX0lOQyhBTk4sMjAxMCk=&amp;WINDOW=FIRST_POPUP&amp;HEIGHT=450&amp;WIDTH=450&amp;START_MAXIMIZED=","FALSE&amp;VAR:CALENDAR=US&amp;VAR:SYMBOL=UNP&amp;VAR:INDEX=0"}</definedName>
    <definedName name="_85__FDSAUDITLINK__" localSheetId="7"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85__FDSAUDITLINK__"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86__FDSAUDITLINK__" localSheetId="5" hidden="1">{"fdsup://directions/FAT Viewer?action=UPDATE&amp;creator=factset&amp;DYN_ARGS=TRUE&amp;DOC_NAME=FAT:FQL_AUDITING_CLIENT_TEMPLATE.FAT&amp;display_string=Audit&amp;VAR:KEY=JSDALMBKVE&amp;VAR:QUERY=RkZfTkVUX0lOQyhBTk4sMjAxMCk=&amp;WINDOW=FIRST_POPUP&amp;HEIGHT=450&amp;WIDTH=450&amp;START_MAXIMIZED=","FALSE&amp;VAR:CALENDAR=US&amp;VAR:SYMBOL=RA&amp;VAR:INDEX=0"}</definedName>
    <definedName name="_86__FDSAUDITLINK__" localSheetId="7"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86__FDSAUDITLINK__"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87__FDSAUDITLINK__" localSheetId="5" hidden="1">{"fdsup://directions/FAT Viewer?action=UPDATE&amp;creator=factset&amp;DYN_ARGS=TRUE&amp;DOC_NAME=FAT:FQL_AUDITING_CLIENT_TEMPLATE.FAT&amp;display_string=Audit&amp;VAR:KEY=VGFIRWPCJU&amp;VAR:QUERY=RkZfTkVUX0lOQyhBTk4sMjAxMCk=&amp;WINDOW=FIRST_POPUP&amp;HEIGHT=450&amp;WIDTH=450&amp;START_MAXIMIZED=","FALSE&amp;VAR:CALENDAR=US&amp;VAR:SYMBOL=NSC&amp;VAR:INDEX=0"}</definedName>
    <definedName name="_87__FDSAUDITLINK__" localSheetId="7"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87__FDSAUDITLINK__"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88__FDSAUDITLINK__" localSheetId="5" hidden="1">{"fdsup://directions/FAT Viewer?action=UPDATE&amp;creator=factset&amp;DYN_ARGS=TRUE&amp;DOC_NAME=FAT:FQL_AUDITING_CLIENT_TEMPLATE.FAT&amp;display_string=Audit&amp;VAR:KEY=XWFGFGVSHK&amp;VAR:QUERY=RkZfTkVUX0lOQyhBTk4sMjAxMCk=&amp;WINDOW=FIRST_POPUP&amp;HEIGHT=450&amp;WIDTH=450&amp;START_MAXIMIZED=","FALSE&amp;VAR:CALENDAR=US&amp;VAR:SYMBOL=KSU&amp;VAR:INDEX=0"}</definedName>
    <definedName name="_88__FDSAUDITLINK__" localSheetId="7"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88__FDSAUDITLINK__"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89__FDSAUDITLINK__" localSheetId="5" hidden="1">{"fdsup://directions/FAT Viewer?action=UPDATE&amp;creator=factset&amp;DYN_ARGS=TRUE&amp;DOC_NAME=FAT:FQL_AUDITING_CLIENT_TEMPLATE.FAT&amp;display_string=Audit&amp;VAR:KEY=PEFOBCHMJG&amp;VAR:QUERY=RkZfTkVUX0lOQyhBTk4sMjAxMCk=&amp;WINDOW=FIRST_POPUP&amp;HEIGHT=450&amp;WIDTH=450&amp;START_MAXIMIZED=","FALSE&amp;VAR:CALENDAR=US&amp;VAR:SYMBOL=GWR&amp;VAR:INDEX=0"}</definedName>
    <definedName name="_89__FDSAUDITLINK__" localSheetId="7"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89__FDSAUDITLINK__"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9__FDSAUDITLINK__" localSheetId="5" hidden="1">{"fdsup://Directions/FactSet Auditing Viewer?action=AUDIT_VALUE&amp;DB=129&amp;ID1=90781810&amp;VALUEID=01401&amp;SDATE=2010&amp;PERIODTYPE=ANN_STD&amp;SCFT=3&amp;window=popup_no_bar&amp;width=385&amp;height=120&amp;START_MAXIMIZED=FALSE&amp;creator=factset&amp;display_string=Audit"}</definedName>
    <definedName name="_9__FDSAUDITLINK__" localSheetId="7" hidden="1">{"fdsup://Directions/FactSet Auditing Viewer?action=AUDIT_VALUE&amp;DB=129&amp;ID1=65584410&amp;VALUEID=01401&amp;SDATE=2009&amp;PERIODTYPE=ANN_STD&amp;window=popup_no_bar&amp;width=385&amp;height=120&amp;START_MAXIMIZED=FALSE&amp;creator=factset&amp;display_string=Audit"}</definedName>
    <definedName name="_9__FDSAUDITLINK__" hidden="1">{"fdsup://Directions/FactSet Auditing Viewer?action=AUDIT_VALUE&amp;DB=129&amp;ID1=65584410&amp;VALUEID=01401&amp;SDATE=2009&amp;PERIODTYPE=ANN_STD&amp;window=popup_no_bar&amp;width=385&amp;height=120&amp;START_MAXIMIZED=FALSE&amp;creator=factset&amp;display_string=Audit"}</definedName>
    <definedName name="_90__FDSAUDITLINK__" localSheetId="5" hidden="1">{"fdsup://directions/FAT Viewer?action=UPDATE&amp;creator=factset&amp;DYN_ARGS=TRUE&amp;DOC_NAME=FAT:FQL_AUDITING_CLIENT_TEMPLATE.FAT&amp;display_string=Audit&amp;VAR:KEY=ZYBGBQNIPW&amp;VAR:QUERY=RkZfTkVUX0lOQyhBTk4sMjAxMCk=&amp;WINDOW=FIRST_POPUP&amp;HEIGHT=450&amp;WIDTH=450&amp;START_MAXIMIZED=","FALSE&amp;VAR:CALENDAR=US&amp;VAR:SYMBOL=CSX&amp;VAR:INDEX=0"}</definedName>
    <definedName name="_90__FDSAUDITLINK__" localSheetId="7"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90__FDSAUDITLINK__"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91__FDSAUDITLINK__" localSheetId="5" hidden="1">{"fdsup://directions/FAT Viewer?action=UPDATE&amp;creator=factset&amp;DYN_ARGS=TRUE&amp;DOC_NAME=FAT:FQL_AUDITING_CLIENT_TEMPLATE.FAT&amp;display_string=Audit&amp;VAR:KEY=LWXCBKXSLK&amp;VAR:QUERY=RkZfTkVUX0lOQyhBTk4sMjAxMCk=&amp;WINDOW=FIRST_POPUP&amp;HEIGHT=450&amp;WIDTH=450&amp;START_MAXIMIZED=","FALSE&amp;VAR:CALENDAR=US&amp;VAR:SYMBOL=CP&amp;VAR:INDEX=0"}</definedName>
    <definedName name="_91__FDSAUDITLINK__" localSheetId="7"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91__FDSAUDITLINK__"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92__FDSAUDITLINK__" localSheetId="5" hidden="1">{"fdsup://directions/FAT Viewer?action=UPDATE&amp;creator=factset&amp;DYN_ARGS=TRUE&amp;DOC_NAME=FAT:FQL_AUDITING_CLIENT_TEMPLATE.FAT&amp;display_string=Audit&amp;VAR:KEY=POVWTQFONY&amp;VAR:QUERY=RkZfTkVUX0lOQyhBTk4sMjAxMCk=&amp;WINDOW=FIRST_POPUP&amp;HEIGHT=450&amp;WIDTH=450&amp;START_MAXIMIZED=","FALSE&amp;VAR:CALENDAR=US&amp;VAR:SYMBOL=CNI&amp;VAR:INDEX=0"}</definedName>
    <definedName name="_92__FDSAUDITLINK__" localSheetId="7"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92__FDSAUDITLINK__"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93__FDSAUDITLINK__" localSheetId="5" hidden="1">{"fdsup://Directions/FactSet Auditing Viewer?action=AUDIT_VALUE&amp;DB=129&amp;ID1=90781810&amp;VALUEID=01401&amp;SDATE=2010&amp;PERIODTYPE=ANN_STD&amp;SCFT=3&amp;window=popup_no_bar&amp;width=385&amp;height=120&amp;START_MAXIMIZED=FALSE&amp;creator=factset&amp;display_string=Audit"}</definedName>
    <definedName name="_93__FDSAUDITLINK__" localSheetId="7"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93__FDSAUDITLINK__"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94__FDSAUDITLINK__" localSheetId="5" hidden="1">{"fdsup://Directions/FactSet Auditing Viewer?action=AUDIT_VALUE&amp;DB=129&amp;ID1=75075340&amp;VALUEID=01401&amp;SDATE=2010&amp;PERIODTYPE=ANN_STD&amp;SCFT=3&amp;window=popup_no_bar&amp;width=385&amp;height=120&amp;START_MAXIMIZED=FALSE&amp;creator=factset&amp;display_string=Audit"}</definedName>
    <definedName name="_94__FDSAUDITLINK__" localSheetId="7"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94__FDSAUDITLINK__"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95__FDSAUDITLINK__" localSheetId="5" hidden="1">{"fdsup://Directions/FactSet Auditing Viewer?action=AUDIT_VALUE&amp;DB=129&amp;ID1=65584410&amp;VALUEID=01401&amp;SDATE=2010&amp;PERIODTYPE=ANN_STD&amp;SCFT=3&amp;window=popup_no_bar&amp;width=385&amp;height=120&amp;START_MAXIMIZED=FALSE&amp;creator=factset&amp;display_string=Audit"}</definedName>
    <definedName name="_95__FDSAUDITLINK__" localSheetId="7"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95__FDSAUDITLINK__"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96__FDSAUDITLINK__" localSheetId="5" hidden="1">{"fdsup://Directions/FactSet Auditing Viewer?action=AUDIT_VALUE&amp;DB=129&amp;ID1=48517030&amp;VALUEID=01401&amp;SDATE=2010&amp;PERIODTYPE=ANN_STD&amp;SCFT=3&amp;window=popup_no_bar&amp;width=385&amp;height=120&amp;START_MAXIMIZED=FALSE&amp;creator=factset&amp;display_string=Audit"}</definedName>
    <definedName name="_96__FDSAUDITLINK__" localSheetId="7"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96__FDSAUDITLINK__"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97__FDSAUDITLINK__" localSheetId="5" hidden="1">{"fdsup://Directions/FactSet Auditing Viewer?action=AUDIT_VALUE&amp;DB=129&amp;ID1=37155910&amp;VALUEID=01401&amp;SDATE=2010&amp;PERIODTYPE=ANN_STD&amp;SCFT=3&amp;window=popup_no_bar&amp;width=385&amp;height=120&amp;START_MAXIMIZED=FALSE&amp;creator=factset&amp;display_string=Audit"}</definedName>
    <definedName name="_97__FDSAUDITLINK__" localSheetId="7"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97__FDSAUDITLINK__"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98__FDSAUDITLINK__" localSheetId="5" hidden="1">{"fdsup://Directions/FactSet Auditing Viewer?action=AUDIT_VALUE&amp;DB=129&amp;ID1=12640810&amp;VALUEID=01401&amp;SDATE=2010&amp;PERIODTYPE=ANN_STD&amp;SCFT=3&amp;window=popup_no_bar&amp;width=385&amp;height=120&amp;START_MAXIMIZED=FALSE&amp;creator=factset&amp;display_string=Audit"}</definedName>
    <definedName name="_98__FDSAUDITLINK__" localSheetId="7"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98__FDSAUDITLINK__"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99__FDSAUDITLINK__" localSheetId="5" hidden="1">{"fdsup://directions/FAT Viewer?action=UPDATE&amp;creator=factset&amp;DYN_ARGS=TRUE&amp;DOC_NAME=FAT:FQL_AUDITING_CLIENT_TEMPLATE.FAT&amp;display_string=Audit&amp;VAR:KEY=DGNCPSHQDS&amp;VAR:QUERY=RkZfRUJJVChBTk4sMjAxMCk=&amp;WINDOW=FIRST_POPUP&amp;HEIGHT=450&amp;WIDTH=450&amp;START_MAXIMIZED=FALS","E&amp;VAR:CALENDAR=US&amp;VAR:SYMBOL=UNP&amp;VAR:INDEX=0"}</definedName>
    <definedName name="_99__FDSAUDITLINK__" localSheetId="7"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99__FDSAUDITLINK__"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bdm.02E29E7B1053433EA3CCCBE4E5141596.edm" localSheetId="5" hidden="1">[3]Sheet1!$A:$IV</definedName>
    <definedName name="_bdm.02E29E7B1053433EA3CCCBE4E5141596.edm" hidden="1">[4]Sheet1!$A:$IV</definedName>
    <definedName name="_bdm.11EB72ACE3374B1CB252FDD683429D59.edm" hidden="1">[3]C1500!$A:$IV</definedName>
    <definedName name="_bdm.3813F386668D4752AAF7FAF8750591E7.edm" localSheetId="4" hidden="1">Model!$CX$43</definedName>
    <definedName name="_bdm.3A7C800EFC5C4F118491A27F2F399A0C.edm" hidden="1">#REF!</definedName>
    <definedName name="_bdm.8B624F7BCBE84F26AA678C46E0A9F45E.edm" localSheetId="4" hidden="1">Model!$CX$10:$CY$12</definedName>
    <definedName name="_Order1" hidden="1">255</definedName>
    <definedName name="AdditionalInstructions">IndexInformation!$B$42</definedName>
    <definedName name="Address" localSheetId="3">ImportantDisclosures!$A$2:$A$2</definedName>
    <definedName name="ANA" localSheetId="12">ModPubIndex!$A$7</definedName>
    <definedName name="anscount" localSheetId="8" hidden="1">2</definedName>
    <definedName name="anscount" hidden="1">1</definedName>
    <definedName name="Authors" localSheetId="3">ImportantDisclosures!$A$7</definedName>
    <definedName name="Authors" localSheetId="11">IndexInformation!$B$18</definedName>
    <definedName name="BRO" localSheetId="12">ModPubIndex!$A$1</definedName>
    <definedName name="CopyrightStamp">ImportantDisclosures!$A$27</definedName>
    <definedName name="COU" localSheetId="12">ModPubIndex!$A$5</definedName>
    <definedName name="CQEnd" localSheetId="11">IndexInformation!$B$31</definedName>
    <definedName name="Currency" localSheetId="11">IndexInformation!$B$24</definedName>
    <definedName name="Currency_ISOcode" localSheetId="10">OPEB!$AM$174</definedName>
    <definedName name="Currency_ISOcode" localSheetId="9">Pension!$AM$186</definedName>
    <definedName name="currentFY" localSheetId="9">Pension!$AV$18</definedName>
    <definedName name="CurrentStockPrice" localSheetId="11">IndexInformation!$B$23</definedName>
    <definedName name="CurrQtrEPS" localSheetId="11">IndexInformation!$B$29</definedName>
    <definedName name="CurrYearEPS" localSheetId="11">IndexInformation!$B$11</definedName>
    <definedName name="CurrYearTotalRevenue" localSheetId="11">IndexInformation!$B$10</definedName>
    <definedName name="CurrYearTotalRevenueActual" localSheetId="11">IndexInformation!$B$32</definedName>
    <definedName name="CUSIP" localSheetId="11">IndexInformation!$B$20</definedName>
    <definedName name="CYEnd" localSheetId="11">IndexInformation!$B$30</definedName>
    <definedName name="Date" localSheetId="3">ImportantDisclosures!$A$8</definedName>
    <definedName name="Deleted" localSheetId="11">IndexInformation!$B$27</definedName>
    <definedName name="Description" localSheetId="11">IndexInformation!$B$7</definedName>
    <definedName name="DEVELOPMENT">5</definedName>
    <definedName name="Discipline" localSheetId="11">IndexInformation!$B$3</definedName>
    <definedName name="DISCIPLINE" localSheetId="12">ModPubIndex!$A$12</definedName>
    <definedName name="DisclosuresText">ImportantDisclosures!$A$22</definedName>
    <definedName name="Distribution" localSheetId="11">IndexInformation!$B$26</definedName>
    <definedName name="DistTable" localSheetId="3">ImportantDisclosures!#REF!</definedName>
    <definedName name="DistTablePreamble" localSheetId="3">ImportantDisclosures!#REF!</definedName>
    <definedName name="DOCDAT" localSheetId="12">ModPubIndex!$A$2</definedName>
    <definedName name="DOCTIME" localSheetId="12">ModPubIndex!$A$3</definedName>
    <definedName name="DocType" localSheetId="11">IndexInformation!$B$5</definedName>
    <definedName name="Download_series" localSheetId="5">[5]!Download_series</definedName>
    <definedName name="Download_series" localSheetId="6">[2]!Download_series</definedName>
    <definedName name="Download_series" localSheetId="7">[2]!Download_series</definedName>
    <definedName name="Download_series" localSheetId="8">[2]!Download_series</definedName>
    <definedName name="Download_series" localSheetId="4">[2]!Download_series</definedName>
    <definedName name="Download_series">[2]!Download_series</definedName>
    <definedName name="dropDown" localSheetId="9">Pension!$AV$21</definedName>
    <definedName name="dropDown2" localSheetId="10">OPEB!$AV$21</definedName>
    <definedName name="dropDown2" localSheetId="9">[6]OPEB!$AZ$21</definedName>
    <definedName name="EMAIL_ALERT" localSheetId="12">ModPubIndex!$A$10</definedName>
    <definedName name="EmailAlert" localSheetId="11">IndexInformation!$B$28</definedName>
    <definedName name="fair_value">DCF!$E$37</definedName>
    <definedName name="FiveYearGrowthRate" localSheetId="11">IndexInformation!$B$16</definedName>
    <definedName name="FollowingYearEPS" localSheetId="11">IndexInformation!$B$15</definedName>
    <definedName name="FollowingYearTotalRevenue" localSheetId="11">IndexInformation!$B$14</definedName>
    <definedName name="FollowingYearTotalRevenueActual" localSheetId="11">IndexInformation!$B$34</definedName>
    <definedName name="HL" localSheetId="12">ModPubIndex!$A$8</definedName>
    <definedName name="IND" localSheetId="12">ModPubIndex!$A$9</definedName>
    <definedName name="Industry" localSheetId="3">ImportantDisclosures!$A$12</definedName>
    <definedName name="IndustryId">IndexInformation!$B$40</definedName>
    <definedName name="IndustryRating" localSheetId="3">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6">"c3460"</definedName>
    <definedName name="IQ_CAPITALIZED_INTEREST" localSheetId="7">"c3460"</definedName>
    <definedName name="IQ_CAPITALIZED_INTEREST" localSheetId="8" hidden="1">"c3460"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6">"c2895"</definedName>
    <definedName name="IQ_RETAIL_ACQUIRED_FRANCHISE_STORES" localSheetId="7">"c2895"</definedName>
    <definedName name="IQ_RETAIL_ACQUIRED_FRANCHISE_STORES" localSheetId="8" hidden="1">"c2895"</definedName>
    <definedName name="IQ_RETAIL_ACQUIRED_FRANCHISE_STORES" hidden="1">"c2903"</definedName>
    <definedName name="IQ_RETAIL_ACQUIRED_OWNED_STORES" localSheetId="6">"c2903"</definedName>
    <definedName name="IQ_RETAIL_ACQUIRED_OWNED_STORES" localSheetId="7">"c2903"</definedName>
    <definedName name="IQ_RETAIL_ACQUIRED_OWNED_STORES" localSheetId="8"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5" hidden="1">39177.5491319444</definedName>
    <definedName name="IQ_REVISION_DATE_" localSheetId="6">39489.6256597222</definedName>
    <definedName name="IQ_REVISION_DATE_" localSheetId="7">39489.6256597222</definedName>
    <definedName name="IQ_REVISION_DATE_" localSheetId="8" hidden="1">39465.3762152778</definedName>
    <definedName name="IQ_REVISION_DATE_" hidden="1">39177.5491319444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11">IndexInformation!$B$8</definedName>
    <definedName name="LanguageCode">IndexInformation!$B$38</definedName>
    <definedName name="LastCell" localSheetId="3">ImportantDisclosures!$A$22</definedName>
    <definedName name="limcount" hidden="1">2</definedName>
    <definedName name="MacroVersion" localSheetId="11">IndexInformation!$B$1</definedName>
    <definedName name="ModelPrice" localSheetId="3">ImportantDisclosures!$A$14</definedName>
    <definedName name="mstagrange" localSheetId="10">OPEB!$AR$25:$AV$25</definedName>
    <definedName name="mstagrange1" localSheetId="9">Pension!$AR$25:$AV$25</definedName>
    <definedName name="Multiplier" localSheetId="11">IndexInformation!$B$35</definedName>
    <definedName name="NextYearEPS" localSheetId="11">IndexInformation!$B$13</definedName>
    <definedName name="NextYearTotalRevenue" localSheetId="11">IndexInformation!$B$12</definedName>
    <definedName name="NextYearTotalRevenueActual" localSheetId="11">IndexInformation!$B$33</definedName>
    <definedName name="ObjectType">IndexInformation!$B$37</definedName>
    <definedName name="OPEB_Guide" localSheetId="10">OPEB!$A$1</definedName>
    <definedName name="PANA" localSheetId="12">ModPubIndex!$A$11</definedName>
    <definedName name="PathName" localSheetId="11">IndexInformation!$B$25</definedName>
    <definedName name="Pension_Guide" localSheetId="9">Pension!$A$1</definedName>
    <definedName name="_xlnm.Print_Area" localSheetId="4">Model!$A$1:$FZ$348</definedName>
    <definedName name="_xlnm.Print_Area" localSheetId="9">Pension!$A$1:$U$85</definedName>
    <definedName name="_xlnm.Print_Area">#REF!</definedName>
    <definedName name="_xlnm.Print_Titles" localSheetId="4">Model!$A:$A,Model!$1:$2</definedName>
    <definedName name="_xlnm.Print_Titles">#REF!</definedName>
    <definedName name="PRODUCT" localSheetId="12">ModPubIndex!$A$6</definedName>
    <definedName name="ProjectName" localSheetId="5">{"Client Name or Project Name"}</definedName>
    <definedName name="ProjectName" localSheetId="7">{"Client Name or Project Name"}</definedName>
    <definedName name="ProjectName" localSheetId="8">{"Client Name or Project Name"}</definedName>
    <definedName name="ProjectName" localSheetId="4">{"Client Name or Project Name"}</definedName>
    <definedName name="ProjectName">{"Client Name or Project Name"}</definedName>
    <definedName name="Provision_For_Taxes" localSheetId="4">Model!$249:$249</definedName>
    <definedName name="PSYM" localSheetId="12">ModPubIndex!$A$4</definedName>
    <definedName name="PublishDate" localSheetId="11">IndexInformation!$B$2</definedName>
    <definedName name="Rating" localSheetId="11">IndexInformation!$B$9</definedName>
    <definedName name="RatingsDefined" localSheetId="3">ImportantDisclosures!$A$21</definedName>
    <definedName name="RatingsDefs" localSheetId="3">ImportantDisclosures!#REF!</definedName>
    <definedName name="RegACDisclosure" localSheetId="3">ImportantDisclosures!#REF!</definedName>
    <definedName name="Rem_Bus_ROIC" localSheetId="8">OFFSET(MarketData!XRange,11,0)</definedName>
    <definedName name="Rem_Bus_ROIC" localSheetId="4">OFFSET(Model!XRange,11,0)</definedName>
    <definedName name="ResearchTopic" localSheetId="11">IndexInformation!$B$4</definedName>
    <definedName name="RIC" localSheetId="11">IndexInformation!$B$21</definedName>
    <definedName name="rngStartYear" localSheetId="9">Pension!$AY$11</definedName>
    <definedName name="rngTicker" localSheetId="10">[7]Pension!$H$1</definedName>
    <definedName name="rngTicker" localSheetId="9">Pension!$H$1</definedName>
    <definedName name="Rwvu.FULL." localSheetId="4" hidden="1">Model!$B:$AD,Model!$AU:$AX</definedName>
    <definedName name="SECSettlement" localSheetId="3">ImportantDisclosures!#REF!</definedName>
    <definedName name="SEDOL" localSheetId="11">IndexInformation!$B$22</definedName>
    <definedName name="Sedol" localSheetId="10">[7]Pension!$H$3</definedName>
    <definedName name="Sedol" localSheetId="9">Pension!$H$3</definedName>
    <definedName name="sencount" hidden="1">2</definedName>
    <definedName name="solver_adj" localSheetId="4" hidden="1">Model!$AT$223</definedName>
    <definedName name="solver_lin" localSheetId="4" hidden="1">0</definedName>
    <definedName name="solver_lin" hidden="1">0</definedName>
    <definedName name="solver_num" localSheetId="4" hidden="1">0</definedName>
    <definedName name="solver_num" hidden="1">0</definedName>
    <definedName name="solver_opt" localSheetId="4" hidden="1">Model!$AT$235</definedName>
    <definedName name="solver_typ" localSheetId="4" hidden="1">3</definedName>
    <definedName name="solver_typ" hidden="1">3</definedName>
    <definedName name="solver_val" localSheetId="4" hidden="1">0</definedName>
    <definedName name="solver_val" hidden="1">3729</definedName>
    <definedName name="SourceDefined" localSheetId="3">ImportantDisclosures!$A$19</definedName>
    <definedName name="Statement" localSheetId="5">DCF!Statement</definedName>
    <definedName name="Statement" localSheetId="7">'Fuel WTI'!Statement</definedName>
    <definedName name="Statement" localSheetId="8">MarketData!Statement</definedName>
    <definedName name="Statement" localSheetId="4">Model!Statement</definedName>
    <definedName name="Statement">DCF!Statement</definedName>
    <definedName name="StockRating" localSheetId="3">ImportantDisclosures!$A$11</definedName>
    <definedName name="SubjectCode" localSheetId="11">IndexInformation!$B$6</definedName>
    <definedName name="SubmitterUserId">IndexInformation!$B$39</definedName>
    <definedName name="SUPPRESSED" localSheetId="12">ModPubIndex!$A$13</definedName>
    <definedName name="TargetPrice" localSheetId="3">ImportantDisclosures!$A$15</definedName>
    <definedName name="TemplateRegion">IndexInformation!$B$36</definedName>
    <definedName name="Ticker" localSheetId="3">ImportantDisclosures!$A$10</definedName>
    <definedName name="TickerRegion">IndexInformation!$B$41</definedName>
    <definedName name="Tickers" localSheetId="11">IndexInformation!$B$19</definedName>
    <definedName name="Total_Bus_ROIC" localSheetId="8">OFFSET(MarketData!XRange,12,0)</definedName>
    <definedName name="Total_Bus_ROIC" localSheetId="4">OFFSET(Model!XRange,12,0)</definedName>
    <definedName name="trEdate" localSheetId="10">[7]Pension!$AZ$13</definedName>
    <definedName name="trEdate" localSheetId="9">Pension!$AV$13</definedName>
    <definedName name="trSdate" localSheetId="10">[7]Pension!$AZ$12</definedName>
    <definedName name="trSdate" localSheetId="9">Pension!$AV$12</definedName>
    <definedName name="Update_This" localSheetId="5">[5]!Update_This</definedName>
    <definedName name="Update_This" localSheetId="6">[2]!Update_This</definedName>
    <definedName name="Update_This" localSheetId="7">[2]!Update_This</definedName>
    <definedName name="Update_This" localSheetId="8">[2]!Update_This</definedName>
    <definedName name="Update_This" localSheetId="4">[2]!Update_This</definedName>
    <definedName name="Update_This">[2]!Update_This</definedName>
    <definedName name="UpdateReason" localSheetId="11">IndexInformation!$B$17</definedName>
    <definedName name="USRegDisclosures" localSheetId="3">ImportantDisclosures!#REF!</definedName>
    <definedName name="Version">"June 29, 2004"</definedName>
    <definedName name="WACC" localSheetId="8">OFFSET(MarketData!XRange,13,0)</definedName>
    <definedName name="WACC" localSheetId="4">OFFSET(Model!XRange,13,0)</definedName>
    <definedName name="YearRow" localSheetId="9">Pension!$D$6:$P$6</definedName>
    <definedName name="Z_13645292_BF4D_11D1_BD96_00805F0F908D_.wvu.Cols" localSheetId="4" hidden="1">Model!$B:$AD,Model!$AU:$AX</definedName>
    <definedName name="Z_13645292_BF4D_11D1_BD96_00805F0F908D_.wvu.PrintArea" localSheetId="4" hidden="1">Model!$AF$49:$AY$348</definedName>
    <definedName name="Z_13645292_BF4D_11D1_BD96_00805F0F908D_.wvu.PrintTitles" localSheetId="4" hidden="1">Model!$A:$A,Model!$1:$2</definedName>
    <definedName name="Z_5345F5AA_A976_11D1_BD75_00805F0F908D_.wvu.Cols" localSheetId="4" hidden="1">Model!$B:$AD,Model!$AU:$AX</definedName>
    <definedName name="Z_5345F5AA_A976_11D1_BD75_00805F0F908D_.wvu.PrintArea" localSheetId="4" hidden="1">Model!$AF$49:$AY$348</definedName>
    <definedName name="Z_5345F5AA_A976_11D1_BD75_00805F0F908D_.wvu.PrintTitles" localSheetId="4" hidden="1">Model!$A:$A,Model!$1:$2</definedName>
    <definedName name="Z_CD034DB7_E59E_11D1_BDCD_00805F0F908D_.wvu.Cols" localSheetId="4" hidden="1">Model!$B:$AD,Model!$AU:$AX</definedName>
    <definedName name="Z_CD034DB7_E59E_11D1_BDCD_00805F0F908D_.wvu.PrintArea" localSheetId="4" hidden="1">Model!$AF$48:$AY$348</definedName>
    <definedName name="Z_CD034DB7_E59E_11D1_BDCD_00805F0F908D_.wvu.PrintTitles" localSheetId="4" hidden="1">Model!$A:$A,Model!$1:$2</definedName>
    <definedName name="Z_EBA35019_E147_11D1_BDC8_00805F0F908D_.wvu.Cols" localSheetId="4" hidden="1">Model!$B:$AD,Model!$AU:$AX</definedName>
    <definedName name="Z_EBA35019_E147_11D1_BDC8_00805F0F908D_.wvu.PrintArea" localSheetId="4" hidden="1">Model!$AF$49:$AY$348</definedName>
    <definedName name="Z_EBA35019_E147_11D1_BDC8_00805F0F908D_.wvu.PrintTitles" localSheetId="4" hidden="1">Model!$A:$A,Model!$1:$2</definedName>
  </definedNames>
  <calcPr calcId="145621" iterate="1"/>
  <customWorkbookViews>
    <customWorkbookView name="IS (model) (8)" guid="{925678B4-C03D-11D2-BE16-00805F0F908D}" maximized="1" xWindow="2" yWindow="2" windowWidth="1020" windowHeight="632" activeSheetId="3"/>
    <customWorkbookView name="CFBS (model) (8)" guid="{925678B3-C03D-11D2-BE16-00805F0F908D}" maximized="1" xWindow="2" yWindow="2" windowWidth="1020" windowHeight="632" activeSheetId="3"/>
    <customWorkbookView name="IS (model) (5)" guid="{E5C665E6-24D6-11D2-BDE0-00805F0F908D}" maximized="1" xWindow="2" yWindow="2" windowWidth="1020" windowHeight="632" activeSheetId="3"/>
    <customWorkbookView name="CFBS (model) (5)" guid="{E5C665E5-24D6-11D2-BDE0-00805F0F908D}" maximized="1" xWindow="2" yWindow="2" windowWidth="1020" windowHeight="632" activeSheetId="3"/>
    <customWorkbookView name="IS (model) (2)" guid="{E5C665CF-24D6-11D2-BDE0-00805F0F908D}" maximized="1" xWindow="2" yWindow="2" windowWidth="1020" windowHeight="632" activeSheetId="3"/>
    <customWorkbookView name="CFBS (model) (2)" guid="{E5C665CE-24D6-11D2-BDE0-00805F0F908D}" maximized="1" xWindow="2" yWindow="2" windowWidth="1020" windowHeight="632" activeSheetId="3"/>
    <customWorkbookView name="CFBS (model)" guid="{0FC9679D-AE21-11D1-BD7A-00805F0F908D}" maximized="1" xWindow="2" yWindow="2" windowWidth="1020" windowHeight="632" activeSheetId="3"/>
    <customWorkbookView name="IS (model)" guid="{0FC9679E-AE21-11D1-BD7A-00805F0F908D}" maximized="1" xWindow="2" yWindow="2" windowWidth="1020" windowHeight="632" activeSheetId="3"/>
    <customWorkbookView name="CFBS (model) (3)" guid="{E5C665DB-24D6-11D2-BDE0-00805F0F908D}" maximized="1" xWindow="2" yWindow="2" windowWidth="1020" windowHeight="632" activeSheetId="3"/>
    <customWorkbookView name="IS (model) (3)" guid="{E5C665DC-24D6-11D2-BDE0-00805F0F908D}" maximized="1" xWindow="2" yWindow="2" windowWidth="1020" windowHeight="632" activeSheetId="3"/>
    <customWorkbookView name="CFBS (model) (4)" guid="{E5C665E1-24D6-11D2-BDE0-00805F0F908D}" maximized="1" xWindow="2" yWindow="2" windowWidth="1020" windowHeight="632" activeSheetId="3"/>
    <customWorkbookView name="IS (model) (4)" guid="{E5C665E2-24D6-11D2-BDE0-00805F0F908D}" maximized="1" xWindow="2" yWindow="2" windowWidth="1020" windowHeight="632" activeSheetId="3"/>
    <customWorkbookView name="CFBS (model) (6)" guid="{0261A837-2AC3-11D2-BDE2-00805F0F908D}" maximized="1" xWindow="2" yWindow="2" windowWidth="1020" windowHeight="632" activeSheetId="3"/>
    <customWorkbookView name="IS (model) (6)" guid="{0261A838-2AC3-11D2-BDE2-00805F0F908D}" maximized="1" xWindow="2" yWindow="2" windowWidth="1020" windowHeight="632" activeSheetId="3"/>
    <customWorkbookView name="CFBS (model) (7)" guid="{2E9CF5AB-3758-11D2-BDEC-00805F0F908D}" maximized="1" xWindow="2" yWindow="2" windowWidth="1020" windowHeight="632" activeSheetId="3"/>
    <customWorkbookView name="IS (model) (7)" guid="{2E9CF5AC-3758-11D2-BDEC-00805F0F908D}" maximized="1" xWindow="2" yWindow="2" windowWidth="1020" windowHeight="632" activeSheetId="3"/>
  </customWorkbookViews>
</workbook>
</file>

<file path=xl/calcChain.xml><?xml version="1.0" encoding="utf-8"?>
<calcChain xmlns="http://schemas.openxmlformats.org/spreadsheetml/2006/main">
  <c r="ER200" i="431" l="1"/>
  <c r="ES200" i="431"/>
  <c r="ET200" i="431"/>
  <c r="ER207" i="431"/>
  <c r="ES207" i="431" s="1"/>
  <c r="ET207" i="431" s="1"/>
  <c r="E33" i="455" l="1"/>
  <c r="FH138" i="431"/>
  <c r="ET137" i="431"/>
  <c r="ES137" i="431"/>
  <c r="ER137" i="431"/>
  <c r="EL137" i="431"/>
  <c r="FD121" i="431"/>
  <c r="FC121" i="431"/>
  <c r="FB121" i="431"/>
  <c r="FA121" i="431"/>
  <c r="EY121" i="431"/>
  <c r="EX121" i="431"/>
  <c r="EW121" i="431"/>
  <c r="EV121" i="431"/>
  <c r="FH245" i="431"/>
  <c r="EO245" i="431"/>
  <c r="FK245" i="431" s="1"/>
  <c r="EN245" i="431"/>
  <c r="FJ245" i="431" s="1"/>
  <c r="EM245" i="431"/>
  <c r="EL245" i="431"/>
  <c r="FI245" i="431"/>
  <c r="FK200" i="431"/>
  <c r="FJ200" i="431"/>
  <c r="FI200" i="431"/>
  <c r="FH200" i="431"/>
  <c r="EQ244" i="431" l="1"/>
  <c r="FE260" i="431"/>
  <c r="EQ302" i="431"/>
  <c r="EO347" i="431" l="1"/>
  <c r="EO346" i="431"/>
  <c r="EO345" i="431"/>
  <c r="EO344" i="431"/>
  <c r="EO343" i="431"/>
  <c r="EO341" i="431"/>
  <c r="EO340" i="431"/>
  <c r="EO339" i="431"/>
  <c r="EO338" i="431"/>
  <c r="EO337" i="431"/>
  <c r="EO335" i="431"/>
  <c r="EO333" i="431"/>
  <c r="EO332" i="431"/>
  <c r="EO330" i="431"/>
  <c r="EO329" i="431"/>
  <c r="EO328" i="431"/>
  <c r="EO327" i="431"/>
  <c r="EO326" i="431"/>
  <c r="EO325" i="431"/>
  <c r="EO324" i="431"/>
  <c r="EO323" i="431"/>
  <c r="EO322" i="431"/>
  <c r="EO321" i="431"/>
  <c r="EO320" i="431"/>
  <c r="EO319" i="431"/>
  <c r="EO318" i="431"/>
  <c r="EO317" i="431"/>
  <c r="EJ347" i="431"/>
  <c r="EJ346" i="431"/>
  <c r="EJ345" i="431"/>
  <c r="EJ344" i="431"/>
  <c r="EJ343" i="431"/>
  <c r="EJ341" i="431"/>
  <c r="EJ340" i="431"/>
  <c r="EJ339" i="431"/>
  <c r="EJ338" i="431"/>
  <c r="EJ337" i="431"/>
  <c r="EJ336" i="431"/>
  <c r="EJ335" i="431"/>
  <c r="EJ334" i="431"/>
  <c r="EJ333" i="431"/>
  <c r="EJ332" i="431"/>
  <c r="EJ330" i="431"/>
  <c r="EJ329" i="431"/>
  <c r="EJ328" i="431"/>
  <c r="EJ327" i="431"/>
  <c r="EJ326" i="431"/>
  <c r="EJ325" i="431"/>
  <c r="EJ324" i="431"/>
  <c r="EJ323" i="431"/>
  <c r="EJ322" i="431"/>
  <c r="EJ321" i="431"/>
  <c r="EJ320" i="431"/>
  <c r="EJ319" i="431"/>
  <c r="EJ318" i="431"/>
  <c r="EJ317" i="431"/>
  <c r="EO309" i="431"/>
  <c r="EO305" i="431"/>
  <c r="EO307" i="431" s="1"/>
  <c r="EO302" i="431"/>
  <c r="EO304" i="431" s="1"/>
  <c r="EO301" i="431"/>
  <c r="EO299" i="431"/>
  <c r="EO297" i="431"/>
  <c r="EO294" i="431"/>
  <c r="EO295" i="431" s="1"/>
  <c r="EO292" i="431"/>
  <c r="EO296" i="431" s="1"/>
  <c r="EO288" i="431"/>
  <c r="EO289" i="431" s="1"/>
  <c r="EO287" i="431"/>
  <c r="EO285" i="431"/>
  <c r="EJ309" i="431"/>
  <c r="EJ305" i="431"/>
  <c r="EJ307" i="431" s="1"/>
  <c r="EJ304" i="431"/>
  <c r="EJ302" i="431"/>
  <c r="EJ301" i="431"/>
  <c r="EJ299" i="431"/>
  <c r="EJ297" i="431"/>
  <c r="EJ294" i="431"/>
  <c r="EJ296" i="431" s="1"/>
  <c r="EJ292" i="431"/>
  <c r="EJ288" i="431"/>
  <c r="EJ285" i="431"/>
  <c r="EJ287" i="431" s="1"/>
  <c r="EJ284" i="431"/>
  <c r="EO298" i="431" l="1"/>
  <c r="EJ291" i="431"/>
  <c r="EJ298" i="431"/>
  <c r="EJ289" i="431"/>
  <c r="EJ295" i="431"/>
  <c r="FN272" i="431" l="1"/>
  <c r="FN271" i="431"/>
  <c r="FN260" i="431"/>
  <c r="FN259" i="431"/>
  <c r="FN258" i="431"/>
  <c r="FN257" i="431"/>
  <c r="FN249" i="431"/>
  <c r="FN245" i="431"/>
  <c r="FN244" i="431"/>
  <c r="FN240" i="431"/>
  <c r="FN222" i="431"/>
  <c r="FN221" i="431"/>
  <c r="FN211" i="431"/>
  <c r="FN209" i="431"/>
  <c r="FN208" i="431"/>
  <c r="FN207" i="431"/>
  <c r="FN206" i="431"/>
  <c r="FN205" i="431"/>
  <c r="FN204" i="431"/>
  <c r="FN203" i="431"/>
  <c r="FN201" i="431"/>
  <c r="FN200" i="431"/>
  <c r="FN199" i="431"/>
  <c r="FN198" i="431"/>
  <c r="FN197" i="431"/>
  <c r="FN196" i="431"/>
  <c r="FN194" i="431"/>
  <c r="FN193" i="431"/>
  <c r="FN192" i="431"/>
  <c r="FN191" i="431"/>
  <c r="FN190" i="431"/>
  <c r="FN189" i="431"/>
  <c r="FN188" i="431"/>
  <c r="FN187" i="431"/>
  <c r="FN186" i="431"/>
  <c r="FN185" i="431"/>
  <c r="FN184" i="431"/>
  <c r="FN182" i="431"/>
  <c r="FN181" i="431"/>
  <c r="FN180" i="431"/>
  <c r="FN179" i="431"/>
  <c r="FN178" i="431"/>
  <c r="FN177" i="431"/>
  <c r="FN175" i="431"/>
  <c r="FN174" i="431"/>
  <c r="FN173" i="431"/>
  <c r="FN172" i="431"/>
  <c r="FN171" i="431"/>
  <c r="FN170" i="431"/>
  <c r="FN168" i="431"/>
  <c r="FN167" i="431"/>
  <c r="FN166" i="431"/>
  <c r="FN165" i="431"/>
  <c r="FN164" i="431"/>
  <c r="FN163" i="431"/>
  <c r="FN162" i="431"/>
  <c r="FN161" i="431"/>
  <c r="FN160" i="431"/>
  <c r="FN159" i="431"/>
  <c r="FN156" i="431"/>
  <c r="FN154" i="431"/>
  <c r="FN153" i="431"/>
  <c r="FN149" i="431"/>
  <c r="FN146" i="431"/>
  <c r="FN145" i="431"/>
  <c r="FN144" i="431"/>
  <c r="FN143" i="431"/>
  <c r="FN142" i="431"/>
  <c r="FN138" i="431"/>
  <c r="FN136" i="431"/>
  <c r="FN135" i="431"/>
  <c r="FN134" i="431"/>
  <c r="FN133" i="431"/>
  <c r="FN132" i="431"/>
  <c r="FN131" i="431"/>
  <c r="FN130" i="431"/>
  <c r="FN129" i="431"/>
  <c r="FN128" i="431"/>
  <c r="FN127" i="431"/>
  <c r="FN126" i="431"/>
  <c r="FN125" i="431"/>
  <c r="FN124" i="431"/>
  <c r="FN123" i="431"/>
  <c r="FN120" i="431"/>
  <c r="FN118" i="431"/>
  <c r="FN117" i="431"/>
  <c r="FN116" i="431"/>
  <c r="FN115" i="431"/>
  <c r="FN114" i="431"/>
  <c r="FN113" i="431"/>
  <c r="FN112" i="431"/>
  <c r="FN111" i="431"/>
  <c r="FN110" i="431"/>
  <c r="FN109" i="431"/>
  <c r="FN108" i="431"/>
  <c r="FN107" i="431"/>
  <c r="FN106" i="431"/>
  <c r="FN105" i="431"/>
  <c r="FN104" i="431"/>
  <c r="FN103" i="431"/>
  <c r="FN102" i="431"/>
  <c r="FN101" i="431"/>
  <c r="FN100" i="431"/>
  <c r="FN99" i="431"/>
  <c r="FN98" i="431"/>
  <c r="FN97" i="431"/>
  <c r="FN96" i="431"/>
  <c r="FN95" i="431"/>
  <c r="FN94" i="431"/>
  <c r="FN93" i="431"/>
  <c r="FN92" i="431"/>
  <c r="FN91" i="431"/>
  <c r="FN90" i="431"/>
  <c r="FN88" i="431"/>
  <c r="FN87" i="431"/>
  <c r="FN86" i="431"/>
  <c r="FN85" i="431"/>
  <c r="FN84" i="431"/>
  <c r="FN83" i="431"/>
  <c r="FN82" i="431"/>
  <c r="FN81" i="431"/>
  <c r="FN80" i="431"/>
  <c r="FN79" i="431"/>
  <c r="FN78" i="431"/>
  <c r="FN77" i="431"/>
  <c r="FN76" i="431"/>
  <c r="FN75" i="431"/>
  <c r="FN74" i="431"/>
  <c r="FN73" i="431"/>
  <c r="FN72" i="431"/>
  <c r="FN71" i="431"/>
  <c r="FN70" i="431"/>
  <c r="FN69" i="431"/>
  <c r="FN68" i="431"/>
  <c r="FN66" i="431"/>
  <c r="FN65" i="431"/>
  <c r="FN64" i="431"/>
  <c r="FN63" i="431"/>
  <c r="FN62" i="431"/>
  <c r="FN61" i="431"/>
  <c r="FN60" i="431"/>
  <c r="FN59" i="431"/>
  <c r="FN58" i="431"/>
  <c r="FN57" i="431"/>
  <c r="FN56" i="431"/>
  <c r="FN55" i="431"/>
  <c r="FN54" i="431"/>
  <c r="FN53" i="431"/>
  <c r="FN52" i="431"/>
  <c r="FN51" i="431"/>
  <c r="FN50" i="431"/>
  <c r="FN49" i="431"/>
  <c r="FN46" i="431"/>
  <c r="FN45" i="431"/>
  <c r="FN44" i="431"/>
  <c r="FN43" i="431"/>
  <c r="FN42" i="431"/>
  <c r="FN41" i="431"/>
  <c r="FN40" i="431"/>
  <c r="FN39" i="431"/>
  <c r="FN38" i="431"/>
  <c r="FN37" i="431"/>
  <c r="FN36" i="431"/>
  <c r="FN35" i="431"/>
  <c r="FN34" i="431"/>
  <c r="FN33" i="431"/>
  <c r="FN32" i="431"/>
  <c r="FN31" i="431"/>
  <c r="FN30" i="431"/>
  <c r="FN29" i="431"/>
  <c r="FN27" i="431"/>
  <c r="FN26" i="431"/>
  <c r="FN25" i="431"/>
  <c r="FN24" i="431"/>
  <c r="FN23" i="431"/>
  <c r="FN22" i="431"/>
  <c r="FN21" i="431"/>
  <c r="FN20" i="431"/>
  <c r="FN19" i="431"/>
  <c r="FN18" i="431"/>
  <c r="FN16" i="431"/>
  <c r="FN15" i="431"/>
  <c r="FN14" i="431"/>
  <c r="FN13" i="431"/>
  <c r="FN12" i="431"/>
  <c r="FN11" i="431"/>
  <c r="FN10" i="431"/>
  <c r="FN9" i="431"/>
  <c r="FN8" i="431"/>
  <c r="FN7" i="431"/>
  <c r="FN6" i="431"/>
  <c r="FN5" i="431"/>
  <c r="FM244" i="431"/>
  <c r="FM192" i="431"/>
  <c r="FM191" i="431"/>
  <c r="FM190" i="431"/>
  <c r="FM189" i="431"/>
  <c r="FM188" i="431"/>
  <c r="FM149" i="431"/>
  <c r="FM134" i="431"/>
  <c r="FM133" i="431"/>
  <c r="FM132" i="431"/>
  <c r="FM131" i="431"/>
  <c r="FM117" i="431"/>
  <c r="FM112" i="431"/>
  <c r="EQ36" i="431" l="1"/>
  <c r="FM36" i="431" s="1"/>
  <c r="FM160" i="431"/>
  <c r="FM142" i="431"/>
  <c r="FM37" i="431"/>
  <c r="FM41" i="431"/>
  <c r="FM39" i="431"/>
  <c r="FM43" i="431"/>
  <c r="FM76" i="431"/>
  <c r="FM74" i="431"/>
  <c r="FM72" i="431"/>
  <c r="FM271" i="431"/>
  <c r="FM259" i="431"/>
  <c r="FM257" i="431"/>
  <c r="FM249" i="431"/>
  <c r="FM240" i="431"/>
  <c r="FM200" i="431"/>
  <c r="FM193" i="431"/>
  <c r="FM167" i="431"/>
  <c r="FM153" i="431"/>
  <c r="FM181" i="431"/>
  <c r="FM174" i="431"/>
  <c r="FM138" i="431"/>
  <c r="FM94" i="431"/>
  <c r="FM93" i="431"/>
  <c r="FM91" i="431"/>
  <c r="FM92" i="431"/>
  <c r="FM49" i="431"/>
  <c r="FM58" i="431"/>
  <c r="FM9" i="431"/>
  <c r="FM7" i="431"/>
  <c r="EQ25" i="431"/>
  <c r="FM25" i="431" s="1"/>
  <c r="FM10" i="431"/>
  <c r="FM11" i="431"/>
  <c r="FM8" i="431"/>
  <c r="FM6" i="431"/>
  <c r="EQ239" i="431"/>
  <c r="FM239" i="431" s="1"/>
  <c r="EQ79" i="431"/>
  <c r="FM79" i="431" s="1"/>
  <c r="EQ77" i="431"/>
  <c r="FM77" i="431" s="1"/>
  <c r="EQ73" i="431"/>
  <c r="FM73" i="431" s="1"/>
  <c r="EQ38" i="431"/>
  <c r="EQ24" i="431" l="1"/>
  <c r="FM24" i="431" s="1"/>
  <c r="EQ201" i="431"/>
  <c r="FM201" i="431" s="1"/>
  <c r="EQ208" i="431"/>
  <c r="FM208" i="431" s="1"/>
  <c r="FM245" i="431"/>
  <c r="ET245" i="431"/>
  <c r="EQ23" i="431"/>
  <c r="FM23" i="431" s="1"/>
  <c r="EQ272" i="431"/>
  <c r="FM272" i="431" s="1"/>
  <c r="FM78" i="431"/>
  <c r="ER78" i="431"/>
  <c r="ES78" i="431" s="1"/>
  <c r="ET78" i="431" s="1"/>
  <c r="EQ95" i="431"/>
  <c r="FM95" i="431" s="1"/>
  <c r="EQ97" i="431"/>
  <c r="EQ98" i="431" s="1"/>
  <c r="FM98" i="431" s="1"/>
  <c r="EQ143" i="431"/>
  <c r="EQ137" i="431" s="1"/>
  <c r="EQ161" i="431"/>
  <c r="FM161" i="431" s="1"/>
  <c r="EQ59" i="431"/>
  <c r="FM59" i="431" s="1"/>
  <c r="EQ175" i="431"/>
  <c r="FM175" i="431" s="1"/>
  <c r="EQ13" i="431"/>
  <c r="EQ144" i="431" s="1"/>
  <c r="FM144" i="431" s="1"/>
  <c r="EQ147" i="431"/>
  <c r="EQ150" i="431"/>
  <c r="FM150" i="431" s="1"/>
  <c r="EQ258" i="431"/>
  <c r="FM258" i="431" s="1"/>
  <c r="EQ154" i="431"/>
  <c r="FM154" i="431" s="1"/>
  <c r="FM38" i="431"/>
  <c r="EQ61" i="431"/>
  <c r="EQ20" i="431"/>
  <c r="FM20" i="431" s="1"/>
  <c r="EQ40" i="431"/>
  <c r="EQ162" i="431"/>
  <c r="EQ209" i="431"/>
  <c r="FM207" i="431"/>
  <c r="EQ21" i="431"/>
  <c r="FM21" i="431" s="1"/>
  <c r="EQ42" i="431"/>
  <c r="EQ22" i="431"/>
  <c r="FM22" i="431" s="1"/>
  <c r="EQ44" i="431"/>
  <c r="FM44" i="431" s="1"/>
  <c r="EQ70" i="431"/>
  <c r="EQ71" i="431" s="1"/>
  <c r="FM71" i="431" s="1"/>
  <c r="EQ139" i="431"/>
  <c r="FM139" i="431" s="1"/>
  <c r="EQ168" i="431"/>
  <c r="FM168" i="431" s="1"/>
  <c r="EQ83" i="431"/>
  <c r="FM83" i="431" s="1"/>
  <c r="FM12" i="431"/>
  <c r="EQ80" i="431"/>
  <c r="FM90" i="431"/>
  <c r="EQ50" i="431"/>
  <c r="FM50" i="431" s="1"/>
  <c r="EQ52" i="431"/>
  <c r="EQ55" i="431" s="1"/>
  <c r="EQ75" i="431"/>
  <c r="FM75" i="431" s="1"/>
  <c r="EQ182" i="431"/>
  <c r="FM182" i="431" s="1"/>
  <c r="EQ260" i="431"/>
  <c r="FM260" i="431" s="1"/>
  <c r="EQ19" i="431"/>
  <c r="FM19" i="431" s="1"/>
  <c r="EQ156" i="431"/>
  <c r="FM159" i="431"/>
  <c r="EQ5" i="431"/>
  <c r="EQ214" i="431"/>
  <c r="FM214" i="431" s="1"/>
  <c r="EQ45" i="431"/>
  <c r="FM35" i="431"/>
  <c r="EQ118" i="431"/>
  <c r="FM118" i="431" s="1"/>
  <c r="EQ115" i="431"/>
  <c r="FM115" i="431" s="1"/>
  <c r="EQ194" i="431"/>
  <c r="FM194" i="431" s="1"/>
  <c r="EQ105" i="431" l="1"/>
  <c r="EQ155" i="431"/>
  <c r="FM155" i="431" s="1"/>
  <c r="FM143" i="431"/>
  <c r="FM97" i="431"/>
  <c r="EQ169" i="431"/>
  <c r="FM169" i="431" s="1"/>
  <c r="EQ100" i="431"/>
  <c r="EQ140" i="431"/>
  <c r="FM140" i="431" s="1"/>
  <c r="EQ210" i="431"/>
  <c r="FM210" i="431" s="1"/>
  <c r="EQ223" i="431"/>
  <c r="FM223" i="431" s="1"/>
  <c r="FM147" i="431"/>
  <c r="EQ183" i="431"/>
  <c r="FM183" i="431" s="1"/>
  <c r="EQ26" i="431"/>
  <c r="FM26" i="431" s="1"/>
  <c r="EQ204" i="431"/>
  <c r="EQ206" i="431" s="1"/>
  <c r="EQ202" i="431"/>
  <c r="FM202" i="431" s="1"/>
  <c r="EQ32" i="431"/>
  <c r="FM32" i="431" s="1"/>
  <c r="EQ176" i="431"/>
  <c r="FM176" i="431" s="1"/>
  <c r="EQ216" i="431"/>
  <c r="FM216" i="431" s="1"/>
  <c r="EQ178" i="431"/>
  <c r="FM178" i="431" s="1"/>
  <c r="EQ15" i="431"/>
  <c r="EQ16" i="431" s="1"/>
  <c r="EQ195" i="431"/>
  <c r="FM195" i="431" s="1"/>
  <c r="EQ99" i="431"/>
  <c r="FM99" i="431" s="1"/>
  <c r="EQ197" i="431"/>
  <c r="FM197" i="431" s="1"/>
  <c r="EQ218" i="431"/>
  <c r="FM218" i="431" s="1"/>
  <c r="EQ84" i="431"/>
  <c r="FM84" i="431" s="1"/>
  <c r="EQ171" i="431"/>
  <c r="FM171" i="431" s="1"/>
  <c r="EQ54" i="431"/>
  <c r="FM54" i="431" s="1"/>
  <c r="FM13" i="431"/>
  <c r="EQ14" i="431"/>
  <c r="FH14" i="431" s="1"/>
  <c r="EQ29" i="431"/>
  <c r="EQ30" i="431" s="1"/>
  <c r="FM30" i="431" s="1"/>
  <c r="EQ185" i="431"/>
  <c r="EQ102" i="431"/>
  <c r="FM100" i="431"/>
  <c r="EQ56" i="431"/>
  <c r="FM56" i="431" s="1"/>
  <c r="FM55" i="431"/>
  <c r="EQ103" i="431"/>
  <c r="FM80" i="431"/>
  <c r="FM40" i="431"/>
  <c r="EQ86" i="431"/>
  <c r="FH38" i="431"/>
  <c r="EQ46" i="431"/>
  <c r="FM46" i="431" s="1"/>
  <c r="FM45" i="431"/>
  <c r="FH209" i="431"/>
  <c r="FM209" i="431"/>
  <c r="FI38" i="431"/>
  <c r="EQ85" i="431"/>
  <c r="FM85" i="431" s="1"/>
  <c r="EQ68" i="431"/>
  <c r="FM70" i="431"/>
  <c r="EQ163" i="431"/>
  <c r="FM163" i="431" s="1"/>
  <c r="FM162" i="431"/>
  <c r="EQ164" i="431"/>
  <c r="FJ38" i="431"/>
  <c r="EQ106" i="431"/>
  <c r="FM106" i="431" s="1"/>
  <c r="FM105" i="431"/>
  <c r="EQ18" i="431"/>
  <c r="FM18" i="431" s="1"/>
  <c r="FM5" i="431"/>
  <c r="EQ101" i="431"/>
  <c r="FM101" i="431" s="1"/>
  <c r="FH42" i="431"/>
  <c r="FM42" i="431"/>
  <c r="FI42" i="431"/>
  <c r="FJ42" i="431"/>
  <c r="EQ165" i="431"/>
  <c r="FM156" i="431"/>
  <c r="FM61" i="431"/>
  <c r="EQ64" i="431"/>
  <c r="EQ62" i="431"/>
  <c r="FM62" i="431" s="1"/>
  <c r="FM52" i="431"/>
  <c r="EQ53" i="431"/>
  <c r="FM53" i="431" s="1"/>
  <c r="EQ63" i="431"/>
  <c r="FM63" i="431" s="1"/>
  <c r="EQ81" i="431"/>
  <c r="FM81" i="431" s="1"/>
  <c r="EQ27" i="431"/>
  <c r="FM27" i="431" s="1"/>
  <c r="FM15" i="431"/>
  <c r="EQ57" i="431"/>
  <c r="EQ146" i="431"/>
  <c r="EQ145" i="431"/>
  <c r="FM145" i="431" s="1"/>
  <c r="EQ116" i="431"/>
  <c r="EQ114" i="431"/>
  <c r="FM114" i="431" s="1"/>
  <c r="EQ179" i="431"/>
  <c r="FM179" i="431" s="1"/>
  <c r="EQ107" i="431" l="1"/>
  <c r="FM107" i="431" s="1"/>
  <c r="FM29" i="431"/>
  <c r="EQ172" i="431"/>
  <c r="FM172" i="431" s="1"/>
  <c r="EQ34" i="431"/>
  <c r="FM34" i="431" s="1"/>
  <c r="FM116" i="431"/>
  <c r="DB11" i="434"/>
  <c r="EQ33" i="431"/>
  <c r="FM33" i="431" s="1"/>
  <c r="EQ180" i="431"/>
  <c r="FM180" i="431" s="1"/>
  <c r="EQ199" i="431"/>
  <c r="FM199" i="431" s="1"/>
  <c r="EQ198" i="431"/>
  <c r="FM198" i="431" s="1"/>
  <c r="EQ31" i="431"/>
  <c r="FH31" i="431" s="1"/>
  <c r="EQ126" i="431"/>
  <c r="EQ127" i="431" s="1"/>
  <c r="FM127" i="431" s="1"/>
  <c r="EQ205" i="431"/>
  <c r="FM205" i="431" s="1"/>
  <c r="FM14" i="431"/>
  <c r="FM204" i="431"/>
  <c r="EQ173" i="431"/>
  <c r="FM173" i="431" s="1"/>
  <c r="EQ130" i="431"/>
  <c r="FM130" i="431" s="1"/>
  <c r="FM185" i="431"/>
  <c r="EQ187" i="431"/>
  <c r="EQ186" i="431"/>
  <c r="FM186" i="431" s="1"/>
  <c r="FH16" i="431"/>
  <c r="FM16" i="431"/>
  <c r="FM57" i="431"/>
  <c r="FH57" i="431"/>
  <c r="FH40" i="431"/>
  <c r="FI40" i="431"/>
  <c r="FH206" i="431"/>
  <c r="FM206" i="431"/>
  <c r="FM103" i="431"/>
  <c r="EQ135" i="431"/>
  <c r="EQ104" i="431"/>
  <c r="FM104" i="431" s="1"/>
  <c r="EQ120" i="431"/>
  <c r="EQ166" i="431"/>
  <c r="FM166" i="431" s="1"/>
  <c r="FM165" i="431"/>
  <c r="FM164" i="431"/>
  <c r="FH164" i="431"/>
  <c r="FM146" i="431"/>
  <c r="FH146" i="431"/>
  <c r="EQ65" i="431"/>
  <c r="FM65" i="431" s="1"/>
  <c r="FM64" i="431"/>
  <c r="EQ66" i="431"/>
  <c r="FM68" i="431"/>
  <c r="EQ69" i="431"/>
  <c r="FM69" i="431" s="1"/>
  <c r="EQ67" i="431"/>
  <c r="EQ88" i="431"/>
  <c r="FM86" i="431"/>
  <c r="EQ87" i="431"/>
  <c r="FM87" i="431" s="1"/>
  <c r="FJ40" i="431"/>
  <c r="FM102" i="431"/>
  <c r="FH102" i="431"/>
  <c r="EQ108" i="431"/>
  <c r="EQ109" i="431"/>
  <c r="FM126" i="431" l="1"/>
  <c r="FM31" i="431"/>
  <c r="FH199" i="431"/>
  <c r="FH180" i="431"/>
  <c r="FM120" i="431"/>
  <c r="DB13" i="434"/>
  <c r="EQ124" i="431"/>
  <c r="FM124" i="431" s="1"/>
  <c r="EQ129" i="431"/>
  <c r="EQ128" i="431" s="1"/>
  <c r="FH173" i="431"/>
  <c r="FM187" i="431"/>
  <c r="FH187" i="431"/>
  <c r="FH88" i="431"/>
  <c r="FM88" i="431"/>
  <c r="FM135" i="431"/>
  <c r="EQ51" i="431"/>
  <c r="FM51" i="431" s="1"/>
  <c r="EQ82" i="431"/>
  <c r="FM82" i="431" s="1"/>
  <c r="EQ136" i="431"/>
  <c r="FM136" i="431" s="1"/>
  <c r="EQ60" i="431"/>
  <c r="FM60" i="431" s="1"/>
  <c r="EQ221" i="431"/>
  <c r="EQ96" i="431"/>
  <c r="FM96" i="431" s="1"/>
  <c r="FH66" i="431"/>
  <c r="FM66" i="431"/>
  <c r="EQ111" i="431"/>
  <c r="FM109" i="431"/>
  <c r="EQ110" i="431"/>
  <c r="FM108" i="431"/>
  <c r="FH225" i="431"/>
  <c r="EO137" i="431"/>
  <c r="FM129" i="431" l="1"/>
  <c r="EQ125" i="431"/>
  <c r="FM125" i="431" s="1"/>
  <c r="EQ225" i="431"/>
  <c r="FM225" i="431" s="1"/>
  <c r="FM221" i="431"/>
  <c r="EQ234" i="431"/>
  <c r="FM111" i="431"/>
  <c r="FH111" i="431"/>
  <c r="FM110" i="431"/>
  <c r="EQ123" i="431"/>
  <c r="FM123" i="431" s="1"/>
  <c r="FM128" i="431"/>
  <c r="EP5" i="431"/>
  <c r="FM234" i="431" l="1"/>
  <c r="EQ236" i="431"/>
  <c r="FM236" i="431" s="1"/>
  <c r="EQ247" i="431"/>
  <c r="EQ229" i="431"/>
  <c r="EQ113" i="431"/>
  <c r="FM113" i="431" s="1"/>
  <c r="E47" i="455"/>
  <c r="FM229" i="431" l="1"/>
  <c r="EQ233" i="431"/>
  <c r="FM233" i="431" s="1"/>
  <c r="FM247" i="431"/>
  <c r="EQ248" i="431"/>
  <c r="EQ250" i="431"/>
  <c r="EN200" i="431"/>
  <c r="EO200" i="431"/>
  <c r="FM250" i="431" l="1"/>
  <c r="EQ265" i="431"/>
  <c r="FM248" i="431"/>
  <c r="EQ267" i="431" l="1"/>
  <c r="FM267" i="431" s="1"/>
  <c r="FM265" i="431"/>
  <c r="EQ266" i="431"/>
  <c r="FM266" i="431" s="1"/>
  <c r="EP305" i="431" l="1"/>
  <c r="EP307" i="431" s="1"/>
  <c r="EP302" i="431"/>
  <c r="EP304" i="431" s="1"/>
  <c r="EP298" i="431"/>
  <c r="EP296" i="431"/>
  <c r="EP343" i="431"/>
  <c r="EP347" i="431"/>
  <c r="EP345" i="431"/>
  <c r="EP340" i="431"/>
  <c r="EP335" i="431"/>
  <c r="EP329" i="431"/>
  <c r="EP308" i="431" l="1"/>
  <c r="ES248" i="431" l="1"/>
  <c r="ET248" i="431" s="1"/>
  <c r="EO117" i="431" l="1"/>
  <c r="EO156" i="431" l="1"/>
  <c r="EO143" i="431"/>
  <c r="EO36" i="431"/>
  <c r="EO40" i="431"/>
  <c r="EO45" i="431"/>
  <c r="EO79" i="431"/>
  <c r="EO77" i="431"/>
  <c r="EO75" i="431"/>
  <c r="EO73" i="431"/>
  <c r="EO194" i="431"/>
  <c r="EO168" i="431"/>
  <c r="EO154" i="431"/>
  <c r="EO175" i="431"/>
  <c r="EO20" i="431"/>
  <c r="EO25" i="431"/>
  <c r="EO24" i="431"/>
  <c r="EO52" i="431"/>
  <c r="EO61" i="431"/>
  <c r="EO272" i="431"/>
  <c r="EP264" i="431"/>
  <c r="EP263" i="431"/>
  <c r="EP262" i="431"/>
  <c r="EO244" i="431"/>
  <c r="EQ243" i="431" s="1"/>
  <c r="EO208" i="431"/>
  <c r="EP149" i="431"/>
  <c r="EP131" i="431"/>
  <c r="EP112" i="431"/>
  <c r="EO97" i="431"/>
  <c r="EO59" i="431"/>
  <c r="EO38" i="431"/>
  <c r="EO21" i="431"/>
  <c r="Y4" i="455"/>
  <c r="Y24" i="455" s="1"/>
  <c r="Y2" i="455"/>
  <c r="EQ242" i="431" l="1"/>
  <c r="FM242" i="431" s="1"/>
  <c r="FM243" i="431"/>
  <c r="EO239" i="431"/>
  <c r="EO22" i="431"/>
  <c r="EO147" i="431"/>
  <c r="EO50" i="431"/>
  <c r="EP285" i="431"/>
  <c r="EP287" i="431" s="1"/>
  <c r="EO95" i="431"/>
  <c r="EO139" i="431"/>
  <c r="EO162" i="431"/>
  <c r="EO19" i="431"/>
  <c r="EO42" i="431"/>
  <c r="EO150" i="431"/>
  <c r="EQ152" i="431" s="1"/>
  <c r="FM152" i="431" s="1"/>
  <c r="EO80" i="431"/>
  <c r="EO44" i="431"/>
  <c r="EO161" i="431"/>
  <c r="EO64" i="431"/>
  <c r="EO100" i="431"/>
  <c r="EO70" i="431"/>
  <c r="EO258" i="431"/>
  <c r="EO201" i="431"/>
  <c r="EO165" i="431"/>
  <c r="EO214" i="431"/>
  <c r="EO155" i="431" s="1"/>
  <c r="EO182" i="431"/>
  <c r="EO5" i="431"/>
  <c r="EO13" i="431"/>
  <c r="EO83" i="431"/>
  <c r="EO23" i="431"/>
  <c r="EO55" i="431"/>
  <c r="EO105" i="431"/>
  <c r="EO171" i="431"/>
  <c r="EO29" i="431"/>
  <c r="EO210" i="431" l="1"/>
  <c r="EO86" i="431"/>
  <c r="EO32" i="431"/>
  <c r="EO197" i="431"/>
  <c r="EO144" i="431"/>
  <c r="EO63" i="431"/>
  <c r="EO103" i="431"/>
  <c r="EO99" i="431"/>
  <c r="EO54" i="431"/>
  <c r="EO15" i="431"/>
  <c r="EO204" i="431"/>
  <c r="EO185" i="431"/>
  <c r="EO178" i="431"/>
  <c r="EO85" i="431"/>
  <c r="EO166" i="431"/>
  <c r="EO68" i="431"/>
  <c r="EO218" i="431"/>
  <c r="EO183" i="431"/>
  <c r="EO176" i="431"/>
  <c r="EO223" i="431"/>
  <c r="EO216" i="431"/>
  <c r="EO169" i="431"/>
  <c r="EO202" i="431"/>
  <c r="EO195" i="431"/>
  <c r="EO140" i="431"/>
  <c r="EO135" i="431"/>
  <c r="EO60" i="431"/>
  <c r="EO126" i="431"/>
  <c r="EO107" i="431" l="1"/>
  <c r="EO82" i="431"/>
  <c r="EO67" i="431"/>
  <c r="EO51" i="431"/>
  <c r="EO96" i="431"/>
  <c r="EO221" i="431"/>
  <c r="EO234" i="431" s="1"/>
  <c r="EO124" i="431"/>
  <c r="EO225" i="431" l="1"/>
  <c r="EQ227" i="431" s="1"/>
  <c r="EO247" i="431"/>
  <c r="EO236" i="431"/>
  <c r="FM227" i="431" l="1"/>
  <c r="EO250" i="431"/>
  <c r="EO248" i="431"/>
  <c r="EO265" i="431" l="1"/>
  <c r="EO253" i="431"/>
  <c r="EO266" i="431" l="1"/>
  <c r="EO284" i="431" s="1"/>
  <c r="EO291" i="431" s="1"/>
  <c r="EO267" i="431"/>
  <c r="EO273" i="431"/>
  <c r="EO268" i="431" l="1"/>
  <c r="EN343" i="431" l="1"/>
  <c r="EN347" i="431"/>
  <c r="EN345" i="431"/>
  <c r="EN340" i="431"/>
  <c r="EN335" i="431"/>
  <c r="EN329" i="431"/>
  <c r="EN325" i="431"/>
  <c r="ES260" i="431"/>
  <c r="ET260" i="431" s="1"/>
  <c r="EP200" i="431"/>
  <c r="EP249" i="431"/>
  <c r="EP289" i="431" s="1"/>
  <c r="EO203" i="431" l="1"/>
  <c r="EP271" i="431" l="1"/>
  <c r="EP259" i="431"/>
  <c r="EP245" i="431"/>
  <c r="EP240" i="431"/>
  <c r="EP193" i="431"/>
  <c r="EP181" i="431"/>
  <c r="EP174" i="431"/>
  <c r="EP167" i="431"/>
  <c r="EP153" i="431"/>
  <c r="EP138" i="431"/>
  <c r="EP78" i="431"/>
  <c r="EP76" i="431"/>
  <c r="EP74" i="431"/>
  <c r="EP72" i="431"/>
  <c r="EP160" i="431"/>
  <c r="EP142" i="431"/>
  <c r="EP43" i="431"/>
  <c r="EP41" i="431"/>
  <c r="EP39" i="431"/>
  <c r="EP37" i="431"/>
  <c r="EP35" i="431"/>
  <c r="EP94" i="431"/>
  <c r="EP93" i="431"/>
  <c r="EP92" i="431"/>
  <c r="EP91" i="431"/>
  <c r="EP90" i="431"/>
  <c r="EP58" i="431"/>
  <c r="EP49" i="431"/>
  <c r="EP12" i="431"/>
  <c r="EP11" i="431"/>
  <c r="EP10" i="431"/>
  <c r="EP9" i="431"/>
  <c r="EP97" i="431" s="1"/>
  <c r="EP8" i="431"/>
  <c r="EP7" i="431"/>
  <c r="EP6" i="431"/>
  <c r="EP61" i="431" s="1"/>
  <c r="EP239" i="431" l="1"/>
  <c r="EP45" i="431"/>
  <c r="EP70" i="431"/>
  <c r="EO141" i="431"/>
  <c r="EP147" i="431"/>
  <c r="EP150" i="431"/>
  <c r="EO170" i="431"/>
  <c r="EO184" i="431"/>
  <c r="EN285" i="431"/>
  <c r="EN287" i="431" s="1"/>
  <c r="EO209" i="431"/>
  <c r="EP207" i="431"/>
  <c r="EP52" i="431"/>
  <c r="EP13" i="431"/>
  <c r="EP32" i="431" s="1"/>
  <c r="EP83" i="431"/>
  <c r="EP85" i="431" s="1"/>
  <c r="EP159" i="431"/>
  <c r="EP156" i="431" s="1"/>
  <c r="EP165" i="431" s="1"/>
  <c r="EP166" i="431" s="1"/>
  <c r="EP162" i="431"/>
  <c r="EO177" i="431"/>
  <c r="EP178" i="431"/>
  <c r="EO196" i="431"/>
  <c r="EP197" i="431"/>
  <c r="EP257" i="431"/>
  <c r="EP258" i="431" s="1"/>
  <c r="EO260" i="431"/>
  <c r="EP99" i="431" l="1"/>
  <c r="EP54" i="431"/>
  <c r="EO211" i="431"/>
  <c r="EP214" i="431"/>
  <c r="EP29" i="431"/>
  <c r="EP126" i="431" s="1"/>
  <c r="EP15" i="431"/>
  <c r="EP105" i="431"/>
  <c r="EP144" i="431"/>
  <c r="EP204" i="431"/>
  <c r="EP185" i="431"/>
  <c r="EP171" i="431"/>
  <c r="EP63" i="431"/>
  <c r="EU245" i="431"/>
  <c r="EU240" i="431"/>
  <c r="EU207" i="431"/>
  <c r="EQ211" i="431" s="1"/>
  <c r="FM211" i="431" s="1"/>
  <c r="EU193" i="431"/>
  <c r="EQ196" i="431" s="1"/>
  <c r="FM196" i="431" s="1"/>
  <c r="EU149" i="431"/>
  <c r="EU131" i="431"/>
  <c r="EU117" i="431"/>
  <c r="EU78" i="431"/>
  <c r="EU76" i="431"/>
  <c r="EU74" i="431"/>
  <c r="EP183" i="431" l="1"/>
  <c r="EP223" i="431"/>
  <c r="EP216" i="431"/>
  <c r="EP218" i="431"/>
  <c r="EP202" i="431"/>
  <c r="EP195" i="431"/>
  <c r="EP140" i="431"/>
  <c r="EP169" i="431"/>
  <c r="EP155" i="431"/>
  <c r="EP176" i="431"/>
  <c r="EP210" i="431"/>
  <c r="EU239" i="431"/>
  <c r="EP334" i="431" l="1"/>
  <c r="EO334" i="431" s="1"/>
  <c r="EP336" i="431"/>
  <c r="EO336" i="431" s="1"/>
  <c r="ER209" i="431"/>
  <c r="ER208" i="431"/>
  <c r="ER194" i="431"/>
  <c r="ER142" i="431"/>
  <c r="ER79" i="431"/>
  <c r="ER77" i="431"/>
  <c r="ER75" i="431"/>
  <c r="ER12" i="431"/>
  <c r="ER11" i="431"/>
  <c r="ER10" i="431"/>
  <c r="ER9" i="431"/>
  <c r="ER97" i="431" s="1"/>
  <c r="ER8" i="431"/>
  <c r="ER52" i="431" s="1"/>
  <c r="ER7" i="431"/>
  <c r="ER6" i="431"/>
  <c r="ET239" i="431"/>
  <c r="ES239" i="431"/>
  <c r="ET209" i="431"/>
  <c r="ES209" i="431"/>
  <c r="ET208" i="431"/>
  <c r="ET194" i="431"/>
  <c r="ET79" i="431"/>
  <c r="ET77" i="431"/>
  <c r="ET75" i="431"/>
  <c r="ES142" i="431"/>
  <c r="ES77" i="431"/>
  <c r="ES194" i="431"/>
  <c r="ES9" i="431"/>
  <c r="ES97" i="431" s="1"/>
  <c r="ES11" i="431"/>
  <c r="ES6" i="431"/>
  <c r="EN214" i="431"/>
  <c r="EN272" i="431"/>
  <c r="EN260" i="431"/>
  <c r="EN258" i="431"/>
  <c r="EN244" i="431"/>
  <c r="EO243" i="431" s="1"/>
  <c r="EN239" i="431"/>
  <c r="EN209" i="431"/>
  <c r="EN208" i="431"/>
  <c r="EN194" i="431"/>
  <c r="EN182" i="431"/>
  <c r="EN175" i="431"/>
  <c r="EN168" i="431"/>
  <c r="EN162" i="431"/>
  <c r="EO164" i="431" s="1"/>
  <c r="EN156" i="431"/>
  <c r="EN165" i="431" s="1"/>
  <c r="EN166" i="431" s="1"/>
  <c r="EN154" i="431"/>
  <c r="EN143" i="431"/>
  <c r="EN137" i="431" s="1"/>
  <c r="EN97" i="431"/>
  <c r="EN95" i="431"/>
  <c r="EN79" i="431"/>
  <c r="EN77" i="431"/>
  <c r="EN75" i="431"/>
  <c r="EN73" i="431"/>
  <c r="EN70" i="431"/>
  <c r="EN61" i="431"/>
  <c r="EN59" i="431"/>
  <c r="EN52" i="431"/>
  <c r="EN50" i="431"/>
  <c r="EN45" i="431"/>
  <c r="EN44" i="431"/>
  <c r="EN42" i="431"/>
  <c r="EN40" i="431"/>
  <c r="EN38" i="431"/>
  <c r="EN36" i="431"/>
  <c r="EN24" i="431"/>
  <c r="EN23" i="431"/>
  <c r="EN22" i="431"/>
  <c r="EN21" i="431"/>
  <c r="EN19" i="431"/>
  <c r="EO242" i="431" l="1"/>
  <c r="ER5" i="431"/>
  <c r="ER83" i="431"/>
  <c r="ES7" i="431"/>
  <c r="ES8" i="431"/>
  <c r="ES10" i="431"/>
  <c r="ES12" i="431"/>
  <c r="ES75" i="431"/>
  <c r="ES79" i="431"/>
  <c r="ES162" i="431"/>
  <c r="ES208" i="431"/>
  <c r="ES211" i="431"/>
  <c r="ER211" i="431"/>
  <c r="ET211" i="431"/>
  <c r="ER196" i="431"/>
  <c r="ET196" i="431"/>
  <c r="ES196" i="431"/>
  <c r="ER239" i="431"/>
  <c r="ER61" i="431"/>
  <c r="ER13" i="431"/>
  <c r="ER54" i="431" s="1"/>
  <c r="ES98" i="431"/>
  <c r="ES61" i="431"/>
  <c r="EN161" i="431"/>
  <c r="EN68" i="431"/>
  <c r="EN201" i="431"/>
  <c r="EN20" i="431"/>
  <c r="EN25" i="431"/>
  <c r="EN83" i="431"/>
  <c r="EN5" i="431"/>
  <c r="EN13" i="431"/>
  <c r="EN80" i="431"/>
  <c r="EN223" i="431"/>
  <c r="EN140" i="431"/>
  <c r="EN202" i="431"/>
  <c r="EN195" i="431"/>
  <c r="EN183" i="431"/>
  <c r="EN176" i="431"/>
  <c r="EN169" i="431"/>
  <c r="EN210" i="431"/>
  <c r="EN155" i="431"/>
  <c r="EN139" i="431"/>
  <c r="EN147" i="431"/>
  <c r="EN150" i="431"/>
  <c r="EO152" i="431" s="1"/>
  <c r="EN55" i="431"/>
  <c r="EO57" i="431" s="1"/>
  <c r="EN64" i="431"/>
  <c r="EO66" i="431" s="1"/>
  <c r="EN100" i="431"/>
  <c r="EO102" i="431" s="1"/>
  <c r="EN29" i="431" l="1"/>
  <c r="EO31" i="431" s="1"/>
  <c r="EO14" i="431"/>
  <c r="EN334" i="431"/>
  <c r="EN336" i="431"/>
  <c r="EN86" i="431"/>
  <c r="EO88" i="431" s="1"/>
  <c r="EN99" i="431"/>
  <c r="ES13" i="431"/>
  <c r="ES14" i="431" s="1"/>
  <c r="EN218" i="431"/>
  <c r="EN103" i="431"/>
  <c r="ES52" i="431"/>
  <c r="ES53" i="431" s="1"/>
  <c r="EN185" i="431"/>
  <c r="ES83" i="431"/>
  <c r="ES5" i="431"/>
  <c r="ES18" i="431" s="1"/>
  <c r="ES64" i="431"/>
  <c r="ES58" i="431" s="1"/>
  <c r="ES55" i="431"/>
  <c r="ES150" i="431"/>
  <c r="EN178" i="431"/>
  <c r="ER197" i="431"/>
  <c r="ER144" i="431"/>
  <c r="ER105" i="431"/>
  <c r="ER15" i="431"/>
  <c r="ER14" i="431"/>
  <c r="ER99" i="431"/>
  <c r="ER85" i="431"/>
  <c r="ER63" i="431"/>
  <c r="ES62" i="431"/>
  <c r="EN67" i="431"/>
  <c r="EN216" i="431"/>
  <c r="EN15" i="431"/>
  <c r="EO16" i="431" s="1"/>
  <c r="EN144" i="431"/>
  <c r="EO146" i="431" s="1"/>
  <c r="EN32" i="431"/>
  <c r="EO34" i="431" s="1"/>
  <c r="EN85" i="431"/>
  <c r="EN204" i="431"/>
  <c r="EO206" i="431" s="1"/>
  <c r="EN171" i="431"/>
  <c r="EO173" i="431" s="1"/>
  <c r="EN63" i="431"/>
  <c r="EN197" i="431"/>
  <c r="EO199" i="431" s="1"/>
  <c r="EN105" i="431"/>
  <c r="EN54" i="431"/>
  <c r="ES185" i="431" l="1"/>
  <c r="EO187" i="431"/>
  <c r="EN126" i="431"/>
  <c r="ES178" i="431"/>
  <c r="ES174" i="431" s="1"/>
  <c r="ES175" i="431" s="1"/>
  <c r="EO180" i="431"/>
  <c r="ES86" i="431"/>
  <c r="ES80" i="431" s="1"/>
  <c r="ES63" i="431"/>
  <c r="ES85" i="431"/>
  <c r="ES105" i="431"/>
  <c r="ES106" i="431" s="1"/>
  <c r="ES26" i="431"/>
  <c r="ES181" i="431"/>
  <c r="ES182" i="431" s="1"/>
  <c r="ES15" i="431"/>
  <c r="ES27" i="431" s="1"/>
  <c r="ES197" i="431"/>
  <c r="ES198" i="431" s="1"/>
  <c r="EN135" i="431"/>
  <c r="EN51" i="431" s="1"/>
  <c r="ES99" i="431"/>
  <c r="ES144" i="431"/>
  <c r="ES145" i="431" s="1"/>
  <c r="EN107" i="431"/>
  <c r="ES54" i="431"/>
  <c r="ES171" i="431"/>
  <c r="ES84" i="431"/>
  <c r="ES204" i="431"/>
  <c r="ES147" i="431"/>
  <c r="ES49" i="431"/>
  <c r="ES50" i="431" s="1"/>
  <c r="ER16" i="431"/>
  <c r="ER146" i="431"/>
  <c r="ER199" i="431"/>
  <c r="ES59" i="431"/>
  <c r="EN82" i="431" l="1"/>
  <c r="ES199" i="431"/>
  <c r="EN124" i="431"/>
  <c r="ES146" i="431"/>
  <c r="ES16" i="431"/>
  <c r="ES130" i="431"/>
  <c r="EN96" i="431"/>
  <c r="EN221" i="431"/>
  <c r="EN60" i="431"/>
  <c r="ES148" i="431"/>
  <c r="ES138" i="431"/>
  <c r="ES139" i="431" s="1"/>
  <c r="ES201" i="431"/>
  <c r="ES81" i="431"/>
  <c r="ES167" i="431"/>
  <c r="ES168" i="431" s="1"/>
  <c r="EN324" i="431" l="1"/>
  <c r="EN322" i="431"/>
  <c r="EN320" i="431"/>
  <c r="EN318" i="431"/>
  <c r="EN326" i="431"/>
  <c r="EN225" i="431"/>
  <c r="EO227" i="431" s="1"/>
  <c r="EN234" i="431"/>
  <c r="EN236" i="431" l="1"/>
  <c r="EN247" i="431"/>
  <c r="EN248" i="431" l="1"/>
  <c r="EN250" i="431"/>
  <c r="EN253" i="431" l="1"/>
  <c r="EO255" i="431" s="1"/>
  <c r="EN265" i="431"/>
  <c r="EN267" i="431" l="1"/>
  <c r="EN266" i="431"/>
  <c r="EN273" i="431"/>
  <c r="EN284" i="431" l="1"/>
  <c r="EN268" i="431"/>
  <c r="EM309" i="431" l="1"/>
  <c r="EN309" i="431" s="1"/>
  <c r="EM305" i="431"/>
  <c r="EM301" i="431"/>
  <c r="EN301" i="431" s="1"/>
  <c r="EM299" i="431"/>
  <c r="EN299" i="431" s="1"/>
  <c r="EM297" i="431"/>
  <c r="EN297" i="431" s="1"/>
  <c r="EM294" i="431"/>
  <c r="EN294" i="431" s="1"/>
  <c r="EN295" i="431" s="1"/>
  <c r="EM292" i="431"/>
  <c r="EN292" i="431" s="1"/>
  <c r="EM288" i="431"/>
  <c r="EN288" i="431" s="1"/>
  <c r="EN289" i="431" s="1"/>
  <c r="EM343" i="431"/>
  <c r="EM347" i="431"/>
  <c r="EM345" i="431"/>
  <c r="EM340" i="431"/>
  <c r="EM335" i="431"/>
  <c r="EM329" i="431"/>
  <c r="EM325" i="431"/>
  <c r="EN296" i="431" l="1"/>
  <c r="EN291" i="431"/>
  <c r="EN298" i="431"/>
  <c r="EM307" i="431"/>
  <c r="EN305" i="431"/>
  <c r="EN307" i="431" s="1"/>
  <c r="EM296" i="431"/>
  <c r="EM298" i="431"/>
  <c r="EL343" i="431" l="1"/>
  <c r="EL347" i="431"/>
  <c r="EL345" i="431"/>
  <c r="EL335" i="431"/>
  <c r="EL329" i="431"/>
  <c r="EL325" i="431"/>
  <c r="EL302" i="431"/>
  <c r="EM302" i="431" s="1"/>
  <c r="EL307" i="431"/>
  <c r="EL298" i="431"/>
  <c r="EL296" i="431"/>
  <c r="EL289" i="431"/>
  <c r="EL287" i="431"/>
  <c r="EM304" i="431" l="1"/>
  <c r="EN302" i="431"/>
  <c r="EN304" i="431" s="1"/>
  <c r="EL304" i="431"/>
  <c r="EM42" i="431"/>
  <c r="EM40" i="431"/>
  <c r="EM22" i="431"/>
  <c r="EM20" i="431"/>
  <c r="EM24" i="431"/>
  <c r="EM244" i="431"/>
  <c r="EN243" i="431" s="1"/>
  <c r="EM194" i="431"/>
  <c r="EM168" i="431"/>
  <c r="EM154" i="431"/>
  <c r="EN242" i="431" l="1"/>
  <c r="EM260" i="431"/>
  <c r="EM95" i="431"/>
  <c r="EM208" i="431"/>
  <c r="EM285" i="431"/>
  <c r="EM287" i="431" s="1"/>
  <c r="EM289" i="431"/>
  <c r="EM23" i="431"/>
  <c r="EM97" i="431"/>
  <c r="ER98" i="431" s="1"/>
  <c r="EM143" i="431"/>
  <c r="EM137" i="431" s="1"/>
  <c r="EM139" i="431"/>
  <c r="EM25" i="431"/>
  <c r="EM36" i="431"/>
  <c r="EM156" i="431"/>
  <c r="EM52" i="431"/>
  <c r="ER53" i="431" s="1"/>
  <c r="EM21" i="431"/>
  <c r="EM38" i="431"/>
  <c r="EM44" i="431"/>
  <c r="EM61" i="431"/>
  <c r="ER62" i="431" s="1"/>
  <c r="EM50" i="431"/>
  <c r="EM258" i="431"/>
  <c r="EM59" i="431"/>
  <c r="EM182" i="431"/>
  <c r="EM209" i="431"/>
  <c r="EM239" i="431"/>
  <c r="EM73" i="431"/>
  <c r="EM77" i="431"/>
  <c r="EM175" i="431"/>
  <c r="EM201" i="431"/>
  <c r="EM272" i="431"/>
  <c r="EM75" i="431"/>
  <c r="EM79" i="431"/>
  <c r="EM161" i="431"/>
  <c r="EM45" i="431"/>
  <c r="EM162" i="431"/>
  <c r="EM70" i="431"/>
  <c r="EM214" i="431"/>
  <c r="EM147" i="431"/>
  <c r="EM150" i="431"/>
  <c r="EM5" i="431"/>
  <c r="ER18" i="431" s="1"/>
  <c r="EM83" i="431"/>
  <c r="ER84" i="431" s="1"/>
  <c r="EM13" i="431"/>
  <c r="EM19" i="431"/>
  <c r="EM80" i="431"/>
  <c r="EL193" i="431"/>
  <c r="EM15" i="431" l="1"/>
  <c r="ER26" i="431"/>
  <c r="EN14" i="431"/>
  <c r="ER150" i="431"/>
  <c r="EN152" i="431"/>
  <c r="ER162" i="431"/>
  <c r="EN164" i="431"/>
  <c r="EM165" i="431"/>
  <c r="EM166" i="431" s="1"/>
  <c r="EM100" i="431"/>
  <c r="EN102" i="431" s="1"/>
  <c r="EM55" i="431"/>
  <c r="EM64" i="431"/>
  <c r="EM86" i="431"/>
  <c r="EM103" i="431"/>
  <c r="EM63" i="431"/>
  <c r="EM223" i="431"/>
  <c r="EM68" i="431"/>
  <c r="EM216" i="431"/>
  <c r="EM155" i="431"/>
  <c r="EM169" i="431"/>
  <c r="EM183" i="431"/>
  <c r="EM202" i="431"/>
  <c r="EM218" i="431"/>
  <c r="EM140" i="431"/>
  <c r="EM210" i="431"/>
  <c r="EM176" i="431"/>
  <c r="EM195" i="431"/>
  <c r="EM29" i="431"/>
  <c r="EN31" i="431" s="1"/>
  <c r="EM204" i="431"/>
  <c r="EM197" i="431"/>
  <c r="EM185" i="431"/>
  <c r="EM178" i="431"/>
  <c r="EM171" i="431"/>
  <c r="EM144" i="431"/>
  <c r="EM99" i="431"/>
  <c r="EM54" i="431"/>
  <c r="EM105" i="431"/>
  <c r="ER106" i="431" s="1"/>
  <c r="EM85" i="431"/>
  <c r="EM32" i="431"/>
  <c r="EN34" i="431" s="1"/>
  <c r="ER86" i="431" l="1"/>
  <c r="EN88" i="431"/>
  <c r="ER64" i="431"/>
  <c r="EN66" i="431"/>
  <c r="ER55" i="431"/>
  <c r="EN57" i="431"/>
  <c r="ER178" i="431"/>
  <c r="EN180" i="431"/>
  <c r="ER130" i="431"/>
  <c r="ER171" i="431"/>
  <c r="EN173" i="431"/>
  <c r="ER185" i="431"/>
  <c r="EN187" i="431"/>
  <c r="ER204" i="431"/>
  <c r="EN206" i="431"/>
  <c r="EN146" i="431"/>
  <c r="ER145" i="431"/>
  <c r="EN199" i="431"/>
  <c r="ER198" i="431"/>
  <c r="ES164" i="431"/>
  <c r="ER147" i="431"/>
  <c r="ES152" i="431"/>
  <c r="EN16" i="431"/>
  <c r="ER27" i="431"/>
  <c r="EM334" i="431"/>
  <c r="EM336" i="431"/>
  <c r="EM135" i="431"/>
  <c r="EM67" i="431"/>
  <c r="EM107" i="431"/>
  <c r="EM126" i="431"/>
  <c r="P6" i="453"/>
  <c r="ER49" i="431" l="1"/>
  <c r="ER50" i="431" s="1"/>
  <c r="ES57" i="431"/>
  <c r="ER58" i="431"/>
  <c r="ER59" i="431" s="1"/>
  <c r="ES66" i="431"/>
  <c r="ER80" i="431"/>
  <c r="ER81" i="431" s="1"/>
  <c r="ES88" i="431"/>
  <c r="ES206" i="431"/>
  <c r="ES187" i="431"/>
  <c r="ER181" i="431"/>
  <c r="ER167" i="431"/>
  <c r="ES173" i="431"/>
  <c r="ER148" i="431"/>
  <c r="ER138" i="431"/>
  <c r="ER174" i="431"/>
  <c r="ES180" i="431"/>
  <c r="EM221" i="431"/>
  <c r="EM96" i="431"/>
  <c r="EM60" i="431"/>
  <c r="EM51" i="431"/>
  <c r="EM82" i="431"/>
  <c r="EM124" i="431"/>
  <c r="ER168" i="431" l="1"/>
  <c r="ER182" i="431"/>
  <c r="ER201" i="431"/>
  <c r="ER139" i="431"/>
  <c r="ER175" i="431"/>
  <c r="EM320" i="431"/>
  <c r="EM324" i="431"/>
  <c r="EM322" i="431"/>
  <c r="EM318" i="431"/>
  <c r="EM295" i="431"/>
  <c r="EM326" i="431"/>
  <c r="EM234" i="431"/>
  <c r="EM225" i="431"/>
  <c r="EN227" i="431" s="1"/>
  <c r="EM247" i="431" l="1"/>
  <c r="EM236" i="431"/>
  <c r="EM248" i="431" l="1"/>
  <c r="EM250" i="431"/>
  <c r="EM253" i="431" l="1"/>
  <c r="EN255" i="431" s="1"/>
  <c r="EM265" i="431"/>
  <c r="FK225" i="431"/>
  <c r="FJ225" i="431"/>
  <c r="FI225" i="431"/>
  <c r="EM267" i="431" l="1"/>
  <c r="EM273" i="431"/>
  <c r="EM266" i="431"/>
  <c r="H6" i="453"/>
  <c r="I6" i="453"/>
  <c r="J6" i="453"/>
  <c r="M6" i="453"/>
  <c r="N6" i="453" s="1"/>
  <c r="O6" i="453" s="1"/>
  <c r="L6" i="453"/>
  <c r="DP1" i="433"/>
  <c r="DO1" i="433"/>
  <c r="DN1" i="433"/>
  <c r="DM1" i="433"/>
  <c r="DL1" i="433"/>
  <c r="CT30" i="435"/>
  <c r="Z25" i="435"/>
  <c r="Z27" i="435"/>
  <c r="CB20" i="435"/>
  <c r="CC20" i="435" s="1"/>
  <c r="CB19" i="435"/>
  <c r="CC19" i="435" s="1"/>
  <c r="CD19" i="435" s="1"/>
  <c r="CE19" i="435" s="1"/>
  <c r="CT14" i="435"/>
  <c r="CU14" i="435" s="1"/>
  <c r="Z9" i="435"/>
  <c r="CB4" i="435"/>
  <c r="CC4" i="435" s="1"/>
  <c r="CD4" i="435" s="1"/>
  <c r="CE4" i="435" s="1"/>
  <c r="A555" i="435"/>
  <c r="C555" i="435"/>
  <c r="B555" i="435" s="1"/>
  <c r="A556" i="435"/>
  <c r="B556" i="435"/>
  <c r="C556" i="435"/>
  <c r="C557" i="435" s="1"/>
  <c r="A557" i="435"/>
  <c r="A558" i="435"/>
  <c r="A559" i="435"/>
  <c r="A560" i="435"/>
  <c r="A561" i="435"/>
  <c r="A562" i="435"/>
  <c r="A563" i="435"/>
  <c r="A564" i="435"/>
  <c r="A565" i="435"/>
  <c r="A566" i="435"/>
  <c r="A567" i="435"/>
  <c r="A568" i="435"/>
  <c r="A569" i="435"/>
  <c r="A570" i="435"/>
  <c r="A571" i="435"/>
  <c r="A572" i="435"/>
  <c r="A573" i="435"/>
  <c r="A574" i="435"/>
  <c r="A575" i="435"/>
  <c r="A576" i="435"/>
  <c r="A577" i="435"/>
  <c r="A578" i="435"/>
  <c r="A579" i="435"/>
  <c r="A580" i="435"/>
  <c r="A581" i="435"/>
  <c r="A582" i="435"/>
  <c r="A583" i="435"/>
  <c r="A584" i="435"/>
  <c r="A585" i="435"/>
  <c r="A586" i="435"/>
  <c r="A587" i="435"/>
  <c r="A588" i="435"/>
  <c r="A589" i="435"/>
  <c r="A590" i="435"/>
  <c r="A591" i="435"/>
  <c r="A592" i="435"/>
  <c r="A593" i="435"/>
  <c r="A594" i="435"/>
  <c r="A595" i="435"/>
  <c r="A596" i="435"/>
  <c r="A597" i="435"/>
  <c r="A598" i="435"/>
  <c r="A599" i="435"/>
  <c r="A600" i="435"/>
  <c r="A601" i="435"/>
  <c r="A602" i="435"/>
  <c r="A603" i="435"/>
  <c r="A604" i="435"/>
  <c r="A605" i="435"/>
  <c r="A606" i="435"/>
  <c r="A607" i="435"/>
  <c r="A608" i="435"/>
  <c r="A609" i="435"/>
  <c r="A611" i="435"/>
  <c r="A612" i="435"/>
  <c r="A613" i="435"/>
  <c r="A614" i="435"/>
  <c r="DO2" i="434"/>
  <c r="DN2" i="434"/>
  <c r="DM2" i="434"/>
  <c r="DL2" i="434"/>
  <c r="DP1" i="434"/>
  <c r="DO1" i="434"/>
  <c r="DN1" i="434"/>
  <c r="DM1" i="434"/>
  <c r="DL1" i="434"/>
  <c r="EM284" i="431" l="1"/>
  <c r="EM291" i="431" s="1"/>
  <c r="EM268" i="431"/>
  <c r="CU30" i="435"/>
  <c r="CD20" i="435"/>
  <c r="CV14" i="435"/>
  <c r="D556" i="435"/>
  <c r="A610" i="435"/>
  <c r="D555" i="435"/>
  <c r="D557" i="435"/>
  <c r="C558" i="435"/>
  <c r="B557" i="435"/>
  <c r="FE382" i="431"/>
  <c r="FE307" i="431"/>
  <c r="FD244" i="431"/>
  <c r="FC244" i="431"/>
  <c r="FB244" i="431"/>
  <c r="FA244" i="431"/>
  <c r="FD135" i="431"/>
  <c r="FC135" i="431"/>
  <c r="FB135" i="431"/>
  <c r="FA135" i="431"/>
  <c r="FE79" i="431"/>
  <c r="FE77" i="431"/>
  <c r="FE75" i="431"/>
  <c r="FD42" i="431"/>
  <c r="FC42" i="431"/>
  <c r="FB42" i="431"/>
  <c r="FA42" i="431"/>
  <c r="FD40" i="431"/>
  <c r="FC40" i="431"/>
  <c r="FB40" i="431"/>
  <c r="FA40" i="431"/>
  <c r="FD38" i="431"/>
  <c r="FC38" i="431"/>
  <c r="FB38" i="431"/>
  <c r="FA38" i="431"/>
  <c r="FD13" i="431"/>
  <c r="FC13" i="431"/>
  <c r="FB13" i="431"/>
  <c r="FA13" i="431"/>
  <c r="FD5" i="431"/>
  <c r="FC5" i="431"/>
  <c r="FB5" i="431"/>
  <c r="FA5" i="431"/>
  <c r="EL244" i="431"/>
  <c r="EM243" i="431" s="1"/>
  <c r="EM242" i="431" l="1"/>
  <c r="CV30" i="435"/>
  <c r="CE20" i="435"/>
  <c r="CW14" i="435"/>
  <c r="B558" i="435"/>
  <c r="D558" i="435" s="1"/>
  <c r="C559" i="435"/>
  <c r="CW30" i="435" l="1"/>
  <c r="CX14" i="435"/>
  <c r="C560" i="435"/>
  <c r="B559" i="435"/>
  <c r="D559" i="435" s="1"/>
  <c r="CX30" i="435" l="1"/>
  <c r="C561" i="435"/>
  <c r="B560" i="435"/>
  <c r="D560" i="435" s="1"/>
  <c r="FQ149" i="431"/>
  <c r="EL161" i="431"/>
  <c r="FQ161" i="431" s="1"/>
  <c r="FQ142" i="431"/>
  <c r="EL36" i="431"/>
  <c r="EL38" i="431"/>
  <c r="EU79" i="431"/>
  <c r="FP76" i="431"/>
  <c r="FQ249" i="431"/>
  <c r="FP240" i="431"/>
  <c r="EL194" i="431"/>
  <c r="FQ207" i="431"/>
  <c r="FP153" i="431"/>
  <c r="EL182" i="431"/>
  <c r="FQ182" i="431" s="1"/>
  <c r="EL23" i="431"/>
  <c r="EL24" i="431"/>
  <c r="FQ92" i="431"/>
  <c r="FP58" i="431"/>
  <c r="EL272" i="431"/>
  <c r="EL260" i="431"/>
  <c r="EL154" i="431"/>
  <c r="EL44" i="431"/>
  <c r="FQ44" i="431" s="1"/>
  <c r="EL25" i="431"/>
  <c r="FQ25" i="431" s="1"/>
  <c r="EL22" i="431"/>
  <c r="EL20" i="431"/>
  <c r="EK347" i="431"/>
  <c r="EK343" i="431"/>
  <c r="EK345" i="431" s="1"/>
  <c r="EK340" i="431"/>
  <c r="EK335" i="431"/>
  <c r="EK329" i="431"/>
  <c r="EK305" i="431"/>
  <c r="EK307" i="431" s="1"/>
  <c r="EF302" i="431"/>
  <c r="EF304" i="431" s="1"/>
  <c r="EK302" i="431"/>
  <c r="EK304" i="431" s="1"/>
  <c r="EK308" i="431" s="1"/>
  <c r="EK298" i="431"/>
  <c r="K45" i="451"/>
  <c r="J45" i="451"/>
  <c r="I45" i="451"/>
  <c r="H45" i="451"/>
  <c r="G45" i="451"/>
  <c r="F45" i="451"/>
  <c r="E45" i="451"/>
  <c r="D45" i="451"/>
  <c r="K44" i="451"/>
  <c r="J44" i="451"/>
  <c r="I44" i="451"/>
  <c r="H44" i="451"/>
  <c r="G44" i="451"/>
  <c r="F44" i="451"/>
  <c r="E44" i="451"/>
  <c r="D44" i="451"/>
  <c r="K40" i="451"/>
  <c r="J40" i="451"/>
  <c r="I40" i="451"/>
  <c r="H40" i="451"/>
  <c r="G40" i="451"/>
  <c r="F40" i="451"/>
  <c r="E40" i="451"/>
  <c r="D40" i="451"/>
  <c r="D41" i="451"/>
  <c r="L37" i="451"/>
  <c r="K37" i="451"/>
  <c r="K41" i="451" s="1"/>
  <c r="J37" i="451"/>
  <c r="J41" i="451" s="1"/>
  <c r="I37" i="451"/>
  <c r="I41" i="451"/>
  <c r="H37" i="451"/>
  <c r="H41" i="451" s="1"/>
  <c r="G37" i="451"/>
  <c r="G41" i="451" s="1"/>
  <c r="F37" i="451"/>
  <c r="F12" i="451" s="1"/>
  <c r="E37" i="451"/>
  <c r="L33" i="451"/>
  <c r="M33" i="451"/>
  <c r="N33" i="451" s="1"/>
  <c r="O33" i="451" s="1"/>
  <c r="K31" i="451"/>
  <c r="J31" i="451"/>
  <c r="I31" i="451"/>
  <c r="H31" i="451"/>
  <c r="G31" i="451"/>
  <c r="F31" i="451"/>
  <c r="E31" i="451"/>
  <c r="D31" i="451"/>
  <c r="K30" i="451"/>
  <c r="J30" i="451"/>
  <c r="I30" i="451"/>
  <c r="H30" i="451"/>
  <c r="G30" i="451"/>
  <c r="F30" i="451"/>
  <c r="E30" i="451"/>
  <c r="D30" i="451"/>
  <c r="L29" i="451"/>
  <c r="K29" i="451"/>
  <c r="J29" i="451"/>
  <c r="J34" i="451"/>
  <c r="I29" i="451"/>
  <c r="I34" i="451"/>
  <c r="H29" i="451"/>
  <c r="H34" i="451"/>
  <c r="G29" i="451"/>
  <c r="G34" i="451"/>
  <c r="F29" i="451"/>
  <c r="E29" i="451"/>
  <c r="E34" i="451" s="1"/>
  <c r="K24" i="451"/>
  <c r="J24" i="451"/>
  <c r="I24" i="451"/>
  <c r="H24" i="451"/>
  <c r="G24" i="451"/>
  <c r="F24" i="451"/>
  <c r="E24" i="451"/>
  <c r="D24" i="451"/>
  <c r="K23" i="451"/>
  <c r="J23" i="451"/>
  <c r="I23" i="451"/>
  <c r="H23" i="451"/>
  <c r="G23" i="451"/>
  <c r="F23" i="451"/>
  <c r="E23" i="451"/>
  <c r="D23" i="451"/>
  <c r="L21" i="451"/>
  <c r="L31" i="451"/>
  <c r="L20" i="451"/>
  <c r="M20" i="451"/>
  <c r="N20" i="451" s="1"/>
  <c r="O20" i="451" s="1"/>
  <c r="P20" i="451" s="1"/>
  <c r="P13" i="451"/>
  <c r="P59" i="451" s="1"/>
  <c r="O13" i="451"/>
  <c r="O52" i="451" s="1"/>
  <c r="N13" i="451"/>
  <c r="N59" i="451" s="1"/>
  <c r="M13" i="451"/>
  <c r="M59" i="451" s="1"/>
  <c r="L13" i="451"/>
  <c r="L52" i="451" s="1"/>
  <c r="K13" i="451"/>
  <c r="K52" i="451" s="1"/>
  <c r="J13" i="451"/>
  <c r="J52" i="451" s="1"/>
  <c r="I13" i="451"/>
  <c r="I52" i="451" s="1"/>
  <c r="H13" i="451"/>
  <c r="G13" i="451"/>
  <c r="F13" i="451"/>
  <c r="E13" i="451"/>
  <c r="E52" i="451" s="1"/>
  <c r="D13" i="451"/>
  <c r="D47" i="451" s="1"/>
  <c r="J12" i="451"/>
  <c r="I12" i="451"/>
  <c r="H12" i="451"/>
  <c r="D12" i="451"/>
  <c r="L11" i="451"/>
  <c r="K10" i="451"/>
  <c r="J10" i="451"/>
  <c r="I10" i="451"/>
  <c r="H10" i="451"/>
  <c r="G10" i="451"/>
  <c r="F10" i="451"/>
  <c r="E10" i="451"/>
  <c r="D10" i="451"/>
  <c r="K9" i="451"/>
  <c r="J9" i="451"/>
  <c r="I9" i="451"/>
  <c r="H9" i="451"/>
  <c r="G9" i="451"/>
  <c r="F9" i="451"/>
  <c r="E9" i="451"/>
  <c r="D9" i="451"/>
  <c r="L8" i="451"/>
  <c r="M8" i="451"/>
  <c r="N8" i="451" s="1"/>
  <c r="O8" i="451" s="1"/>
  <c r="P8" i="451" s="1"/>
  <c r="K6" i="451"/>
  <c r="H2" i="451"/>
  <c r="H1" i="451"/>
  <c r="AN245" i="453"/>
  <c r="AN244" i="453"/>
  <c r="AN243" i="453"/>
  <c r="AN242" i="453"/>
  <c r="AN241" i="453"/>
  <c r="AN240" i="453"/>
  <c r="AN239" i="453"/>
  <c r="AN238" i="453"/>
  <c r="AN237" i="453"/>
  <c r="AN236" i="453"/>
  <c r="AN235" i="453"/>
  <c r="AN234" i="453"/>
  <c r="AN233" i="453"/>
  <c r="AN232" i="453"/>
  <c r="AN231" i="453"/>
  <c r="AN230" i="453"/>
  <c r="AN229" i="453"/>
  <c r="AN228" i="453"/>
  <c r="AN227" i="453"/>
  <c r="AN226" i="453"/>
  <c r="AN225" i="453"/>
  <c r="AN224" i="453"/>
  <c r="AN223" i="453"/>
  <c r="AN222" i="453"/>
  <c r="AN221" i="453"/>
  <c r="AN220" i="453"/>
  <c r="AN219" i="453"/>
  <c r="AN218" i="453"/>
  <c r="AN217" i="453"/>
  <c r="AN216" i="453"/>
  <c r="AN215" i="453"/>
  <c r="AN214" i="453"/>
  <c r="AN213" i="453"/>
  <c r="AN212" i="453"/>
  <c r="AN211" i="453"/>
  <c r="AN210" i="453"/>
  <c r="AN209" i="453"/>
  <c r="AN208" i="453"/>
  <c r="AN207" i="453"/>
  <c r="AN206" i="453"/>
  <c r="AN205" i="453"/>
  <c r="AN204" i="453"/>
  <c r="AN203" i="453"/>
  <c r="AN202" i="453"/>
  <c r="AN201" i="453"/>
  <c r="AN200" i="453"/>
  <c r="AN199" i="453"/>
  <c r="AN198" i="453"/>
  <c r="AN197" i="453"/>
  <c r="AN196" i="453"/>
  <c r="AN195" i="453"/>
  <c r="AN194" i="453"/>
  <c r="AN193" i="453"/>
  <c r="AN192" i="453"/>
  <c r="AN191" i="453"/>
  <c r="AN190" i="453"/>
  <c r="AM189" i="453"/>
  <c r="AM186" i="453"/>
  <c r="AN186" i="453"/>
  <c r="AO186" i="453" s="1"/>
  <c r="AM182" i="453"/>
  <c r="AL189" i="453" s="1"/>
  <c r="C93" i="453"/>
  <c r="K89" i="453"/>
  <c r="J89" i="453"/>
  <c r="I89" i="453"/>
  <c r="H89" i="453"/>
  <c r="G89" i="453"/>
  <c r="F89" i="453"/>
  <c r="E89" i="453"/>
  <c r="D89" i="453"/>
  <c r="D91" i="453" s="1"/>
  <c r="K87" i="453"/>
  <c r="M52" i="453"/>
  <c r="M59" i="453"/>
  <c r="L52" i="453"/>
  <c r="L59" i="453"/>
  <c r="K52" i="453"/>
  <c r="J52" i="453"/>
  <c r="I52" i="453"/>
  <c r="H52" i="453"/>
  <c r="G52" i="453"/>
  <c r="F52" i="453"/>
  <c r="E52" i="453"/>
  <c r="D52" i="453"/>
  <c r="K45" i="453"/>
  <c r="J45" i="453"/>
  <c r="CB43" i="453"/>
  <c r="I45" i="453"/>
  <c r="CA43" i="453"/>
  <c r="H45" i="453"/>
  <c r="G45" i="453"/>
  <c r="F45" i="453"/>
  <c r="E45" i="453"/>
  <c r="D45" i="453"/>
  <c r="K44" i="453"/>
  <c r="J44" i="453"/>
  <c r="I44" i="453"/>
  <c r="J90" i="453" s="1"/>
  <c r="J91" i="453" s="1"/>
  <c r="H44" i="453"/>
  <c r="I90" i="453"/>
  <c r="I91" i="453" s="1"/>
  <c r="G44" i="453"/>
  <c r="H90" i="453" s="1"/>
  <c r="F44" i="453"/>
  <c r="G90" i="453"/>
  <c r="E44" i="453"/>
  <c r="F90" i="453"/>
  <c r="D44" i="453"/>
  <c r="E90" i="453"/>
  <c r="D47" i="453"/>
  <c r="E47" i="453"/>
  <c r="F47" i="453" s="1"/>
  <c r="G47" i="453" s="1"/>
  <c r="H47" i="453" s="1"/>
  <c r="I47" i="453" s="1"/>
  <c r="J47" i="453" s="1"/>
  <c r="K47" i="453" s="1"/>
  <c r="F91" i="453"/>
  <c r="CC43" i="453"/>
  <c r="BZ43" i="453"/>
  <c r="BZ41" i="453"/>
  <c r="BZ42" i="453" s="1"/>
  <c r="K40" i="453"/>
  <c r="J40" i="453"/>
  <c r="I40" i="453"/>
  <c r="H40" i="453"/>
  <c r="G40" i="453"/>
  <c r="F40" i="453"/>
  <c r="E40" i="453"/>
  <c r="D40" i="453"/>
  <c r="D41" i="453"/>
  <c r="CC38" i="453"/>
  <c r="CC26" i="453" s="1"/>
  <c r="N39" i="453"/>
  <c r="N52" i="453" s="1"/>
  <c r="N59" i="453" s="1"/>
  <c r="L37" i="453"/>
  <c r="K37" i="453"/>
  <c r="J37" i="453"/>
  <c r="J41" i="453"/>
  <c r="I37" i="453"/>
  <c r="I41" i="453"/>
  <c r="H37" i="453"/>
  <c r="H41" i="453" s="1"/>
  <c r="G37" i="453"/>
  <c r="G12" i="453" s="1"/>
  <c r="F37" i="453"/>
  <c r="E37" i="453"/>
  <c r="E12" i="453" s="1"/>
  <c r="F41" i="453"/>
  <c r="CC31" i="453"/>
  <c r="CB31" i="453"/>
  <c r="CA31" i="453"/>
  <c r="BZ31" i="453"/>
  <c r="K31" i="453"/>
  <c r="J31" i="453"/>
  <c r="I31" i="453"/>
  <c r="H31" i="453"/>
  <c r="G31" i="453"/>
  <c r="F31" i="453"/>
  <c r="E31" i="453"/>
  <c r="D31" i="453"/>
  <c r="K30" i="453"/>
  <c r="J30" i="453"/>
  <c r="I30" i="453"/>
  <c r="H30" i="453"/>
  <c r="G30" i="453"/>
  <c r="F30" i="453"/>
  <c r="E30" i="453"/>
  <c r="D30" i="453"/>
  <c r="D34" i="453"/>
  <c r="L33" i="453"/>
  <c r="L40" i="453"/>
  <c r="L29" i="453"/>
  <c r="K29" i="453"/>
  <c r="J29" i="453"/>
  <c r="J34" i="453"/>
  <c r="I29" i="453"/>
  <c r="I34" i="453"/>
  <c r="H29" i="453"/>
  <c r="H34" i="453"/>
  <c r="G29" i="453"/>
  <c r="G34" i="453"/>
  <c r="F29" i="453"/>
  <c r="E29" i="453"/>
  <c r="M33" i="453"/>
  <c r="N33" i="453" s="1"/>
  <c r="AT25" i="453"/>
  <c r="AD24" i="453"/>
  <c r="K24" i="453"/>
  <c r="J24" i="453"/>
  <c r="I24" i="453"/>
  <c r="H24" i="453"/>
  <c r="G24" i="453"/>
  <c r="F24" i="453"/>
  <c r="E24" i="453"/>
  <c r="D24" i="453"/>
  <c r="K23" i="453"/>
  <c r="J23" i="453"/>
  <c r="I23" i="453"/>
  <c r="H23" i="453"/>
  <c r="G23" i="453"/>
  <c r="F23" i="453"/>
  <c r="E23" i="453"/>
  <c r="D23" i="453"/>
  <c r="AV21" i="453"/>
  <c r="H25" i="453" s="1"/>
  <c r="H93" i="453" s="1"/>
  <c r="I25" i="453"/>
  <c r="I51" i="453" s="1"/>
  <c r="G25" i="453"/>
  <c r="G51" i="453" s="1"/>
  <c r="L21" i="453"/>
  <c r="L31" i="453" s="1"/>
  <c r="L20" i="453"/>
  <c r="M20" i="453" s="1"/>
  <c r="N20" i="453" s="1"/>
  <c r="O20" i="453" s="1"/>
  <c r="P20" i="453" s="1"/>
  <c r="L19" i="453"/>
  <c r="L30" i="453"/>
  <c r="AV15" i="453"/>
  <c r="AV16" i="453"/>
  <c r="AV11" i="453" s="1"/>
  <c r="K15" i="453"/>
  <c r="K54" i="453" s="1"/>
  <c r="J12" i="453"/>
  <c r="I12" i="453"/>
  <c r="H12" i="453"/>
  <c r="F12" i="453"/>
  <c r="D12" i="453"/>
  <c r="BC7" i="453"/>
  <c r="L11" i="453"/>
  <c r="M11" i="453" s="1"/>
  <c r="L10" i="453"/>
  <c r="M10" i="453" s="1"/>
  <c r="N10" i="453" s="1"/>
  <c r="O10" i="453" s="1"/>
  <c r="P10" i="453" s="1"/>
  <c r="L9" i="453"/>
  <c r="L8" i="453"/>
  <c r="L32" i="453" s="1"/>
  <c r="J87" i="453"/>
  <c r="CB38" i="453"/>
  <c r="CB26" i="453" s="1"/>
  <c r="J15" i="453"/>
  <c r="J54" i="453" s="1"/>
  <c r="M87" i="453"/>
  <c r="CE38" i="453"/>
  <c r="M15" i="453"/>
  <c r="M54" i="453" s="1"/>
  <c r="L87" i="453"/>
  <c r="CD38" i="453"/>
  <c r="L15" i="453"/>
  <c r="L54" i="453" s="1"/>
  <c r="L12" i="453"/>
  <c r="L38" i="453" s="1"/>
  <c r="L42" i="453" s="1"/>
  <c r="N87" i="453"/>
  <c r="CF38" i="453"/>
  <c r="N15" i="453"/>
  <c r="N54" i="453" s="1"/>
  <c r="I87" i="453"/>
  <c r="CA38" i="453"/>
  <c r="CA26" i="453" s="1"/>
  <c r="I15" i="453"/>
  <c r="I54" i="453" s="1"/>
  <c r="CE3" i="453"/>
  <c r="EJ40" i="431"/>
  <c r="EJ44" i="431"/>
  <c r="EK72" i="431"/>
  <c r="EP73" i="431" s="1"/>
  <c r="EK240" i="431"/>
  <c r="EK167" i="431"/>
  <c r="EP168" i="431" s="1"/>
  <c r="EK10" i="431"/>
  <c r="EP23" i="431" s="1"/>
  <c r="EK11" i="431"/>
  <c r="EP24" i="431" s="1"/>
  <c r="EK8" i="431"/>
  <c r="EK264" i="431"/>
  <c r="EK263" i="431"/>
  <c r="EK262" i="431"/>
  <c r="EJ168" i="431"/>
  <c r="EK149" i="431"/>
  <c r="EK131" i="431"/>
  <c r="EK112" i="431"/>
  <c r="AM174" i="451"/>
  <c r="CC42" i="451"/>
  <c r="CB42" i="451"/>
  <c r="CA42" i="451"/>
  <c r="BZ42" i="451"/>
  <c r="CF40" i="451"/>
  <c r="CE40" i="451"/>
  <c r="CD40" i="451"/>
  <c r="CC40" i="451"/>
  <c r="CC41" i="451" s="1"/>
  <c r="CB40" i="451"/>
  <c r="CB41" i="451" s="1"/>
  <c r="CA40" i="451"/>
  <c r="CA41" i="451" s="1"/>
  <c r="BZ40" i="451"/>
  <c r="BZ41" i="451" s="1"/>
  <c r="BY40" i="451"/>
  <c r="AV21" i="451"/>
  <c r="E25" i="451"/>
  <c r="BC10" i="451"/>
  <c r="A227" i="435"/>
  <c r="A279" i="435" s="1"/>
  <c r="A331" i="435" s="1"/>
  <c r="A226" i="435"/>
  <c r="A278" i="435"/>
  <c r="A330" i="435" s="1"/>
  <c r="A382" i="435" s="1"/>
  <c r="A434" i="435" s="1"/>
  <c r="A486" i="435" s="1"/>
  <c r="A538" i="435" s="1"/>
  <c r="A225" i="435"/>
  <c r="A277" i="435" s="1"/>
  <c r="A329" i="435" s="1"/>
  <c r="A381" i="435" s="1"/>
  <c r="A433" i="435" s="1"/>
  <c r="A485" i="435" s="1"/>
  <c r="A537" i="435" s="1"/>
  <c r="A224" i="435"/>
  <c r="A276" i="435" s="1"/>
  <c r="A328" i="435" s="1"/>
  <c r="A380" i="435" s="1"/>
  <c r="A223" i="435"/>
  <c r="A275" i="435" s="1"/>
  <c r="A327" i="435" s="1"/>
  <c r="A222" i="435"/>
  <c r="A274" i="435" s="1"/>
  <c r="A221" i="435"/>
  <c r="A220" i="435"/>
  <c r="A219" i="435"/>
  <c r="A271" i="435" s="1"/>
  <c r="A218" i="435"/>
  <c r="A270" i="435"/>
  <c r="A322" i="435" s="1"/>
  <c r="A374" i="435" s="1"/>
  <c r="A426" i="435" s="1"/>
  <c r="A478" i="435" s="1"/>
  <c r="A530" i="435" s="1"/>
  <c r="A217" i="435"/>
  <c r="A216" i="435"/>
  <c r="A215" i="435"/>
  <c r="A267" i="435"/>
  <c r="A319" i="435" s="1"/>
  <c r="A214" i="435"/>
  <c r="A266" i="435"/>
  <c r="A318" i="435" s="1"/>
  <c r="A213" i="435"/>
  <c r="A212" i="435"/>
  <c r="A211" i="435"/>
  <c r="A263" i="435" s="1"/>
  <c r="A315" i="435" s="1"/>
  <c r="A367" i="435" s="1"/>
  <c r="A419" i="435" s="1"/>
  <c r="A471" i="435" s="1"/>
  <c r="A523" i="435" s="1"/>
  <c r="A210" i="435"/>
  <c r="A262" i="435" s="1"/>
  <c r="A209" i="435"/>
  <c r="A261" i="435" s="1"/>
  <c r="A313" i="435" s="1"/>
  <c r="A208" i="435"/>
  <c r="A207" i="435"/>
  <c r="A259" i="435" s="1"/>
  <c r="A206" i="435"/>
  <c r="A258" i="435" s="1"/>
  <c r="A310" i="435" s="1"/>
  <c r="A205" i="435"/>
  <c r="A204" i="435"/>
  <c r="A256" i="435" s="1"/>
  <c r="A308" i="435" s="1"/>
  <c r="A203" i="435"/>
  <c r="A255" i="435"/>
  <c r="A202" i="435"/>
  <c r="A254" i="435"/>
  <c r="A197" i="435"/>
  <c r="A249" i="435"/>
  <c r="A301" i="435" s="1"/>
  <c r="A196" i="435"/>
  <c r="A248" i="435"/>
  <c r="A195" i="435"/>
  <c r="A247" i="435"/>
  <c r="A299" i="435" s="1"/>
  <c r="A194" i="435"/>
  <c r="A193" i="435"/>
  <c r="A245" i="435" s="1"/>
  <c r="A297" i="435" s="1"/>
  <c r="A192" i="435"/>
  <c r="A244" i="435" s="1"/>
  <c r="A296" i="435" s="1"/>
  <c r="A348" i="435" s="1"/>
  <c r="A191" i="435"/>
  <c r="A243" i="435" s="1"/>
  <c r="A295" i="435" s="1"/>
  <c r="A190" i="435"/>
  <c r="A242" i="435"/>
  <c r="A189" i="435"/>
  <c r="A241" i="435" s="1"/>
  <c r="A293" i="435" s="1"/>
  <c r="A188" i="435"/>
  <c r="A240" i="435" s="1"/>
  <c r="A292" i="435" s="1"/>
  <c r="A344" i="435" s="1"/>
  <c r="A396" i="435" s="1"/>
  <c r="A448" i="435" s="1"/>
  <c r="A500" i="435" s="1"/>
  <c r="A552" i="435" s="1"/>
  <c r="A187" i="435"/>
  <c r="A239" i="435"/>
  <c r="A291" i="435" s="1"/>
  <c r="A343" i="435" s="1"/>
  <c r="A395" i="435" s="1"/>
  <c r="A447" i="435" s="1"/>
  <c r="A186" i="435"/>
  <c r="A238" i="435"/>
  <c r="A290" i="435" s="1"/>
  <c r="A342" i="435" s="1"/>
  <c r="A185" i="435"/>
  <c r="A237" i="435" s="1"/>
  <c r="A289" i="435" s="1"/>
  <c r="A341" i="435" s="1"/>
  <c r="A393" i="435" s="1"/>
  <c r="A445" i="435" s="1"/>
  <c r="A497" i="435" s="1"/>
  <c r="A549" i="435" s="1"/>
  <c r="A184" i="435"/>
  <c r="A236" i="435" s="1"/>
  <c r="A288" i="435" s="1"/>
  <c r="A340" i="435" s="1"/>
  <c r="A183" i="435"/>
  <c r="A235" i="435" s="1"/>
  <c r="A287" i="435" s="1"/>
  <c r="A339" i="435" s="1"/>
  <c r="A182" i="435"/>
  <c r="A234" i="435"/>
  <c r="A181" i="435"/>
  <c r="A233" i="435"/>
  <c r="A285" i="435" s="1"/>
  <c r="A337" i="435" s="1"/>
  <c r="A389" i="435" s="1"/>
  <c r="A180" i="435"/>
  <c r="A232" i="435" s="1"/>
  <c r="A284" i="435" s="1"/>
  <c r="A179" i="435"/>
  <c r="A178" i="435"/>
  <c r="A230" i="435" s="1"/>
  <c r="A282" i="435" s="1"/>
  <c r="A334" i="435" s="1"/>
  <c r="A177" i="435"/>
  <c r="C176" i="435"/>
  <c r="A176" i="435"/>
  <c r="A228" i="435" s="1"/>
  <c r="A149" i="435"/>
  <c r="A201" i="435" s="1"/>
  <c r="A148" i="435"/>
  <c r="A147" i="435"/>
  <c r="A199" i="435"/>
  <c r="A251" i="435" s="1"/>
  <c r="C146" i="435"/>
  <c r="A146" i="435"/>
  <c r="I30" i="435"/>
  <c r="J30" i="435" s="1"/>
  <c r="K30" i="435"/>
  <c r="L30" i="435" s="1"/>
  <c r="M30" i="435" s="1"/>
  <c r="N30" i="435" s="1"/>
  <c r="O30" i="435" s="1"/>
  <c r="P30" i="435" s="1"/>
  <c r="Q30" i="435" s="1"/>
  <c r="R30" i="435" s="1"/>
  <c r="S30" i="435" s="1"/>
  <c r="T30" i="435" s="1"/>
  <c r="U30" i="435" s="1"/>
  <c r="V30" i="435" s="1"/>
  <c r="W30" i="435" s="1"/>
  <c r="X30" i="435" s="1"/>
  <c r="Y30" i="435" s="1"/>
  <c r="Z30" i="435" s="1"/>
  <c r="AA30" i="435" s="1"/>
  <c r="AB30" i="435" s="1"/>
  <c r="AC30" i="435" s="1"/>
  <c r="AD30" i="435" s="1"/>
  <c r="AE30" i="435" s="1"/>
  <c r="AF30" i="435" s="1"/>
  <c r="AG30" i="435" s="1"/>
  <c r="AH30" i="435" s="1"/>
  <c r="AI30" i="435" s="1"/>
  <c r="AJ30" i="435" s="1"/>
  <c r="AK30" i="435" s="1"/>
  <c r="AL30" i="435" s="1"/>
  <c r="AM30" i="435" s="1"/>
  <c r="AN30" i="435" s="1"/>
  <c r="AO30" i="435" s="1"/>
  <c r="AP30" i="435" s="1"/>
  <c r="AQ30" i="435" s="1"/>
  <c r="AR30" i="435" s="1"/>
  <c r="AS30" i="435" s="1"/>
  <c r="AT30" i="435" s="1"/>
  <c r="AU30" i="435" s="1"/>
  <c r="AV30" i="435" s="1"/>
  <c r="AW30" i="435" s="1"/>
  <c r="AX30" i="435" s="1"/>
  <c r="AY30" i="435" s="1"/>
  <c r="AZ30" i="435" s="1"/>
  <c r="BA30" i="435" s="1"/>
  <c r="BB30" i="435" s="1"/>
  <c r="BC30" i="435" s="1"/>
  <c r="BD30" i="435" s="1"/>
  <c r="BE30" i="435" s="1"/>
  <c r="BF30" i="435" s="1"/>
  <c r="BG30" i="435" s="1"/>
  <c r="BH30" i="435" s="1"/>
  <c r="BI30" i="435" s="1"/>
  <c r="BJ30" i="435" s="1"/>
  <c r="BK30" i="435" s="1"/>
  <c r="BL30" i="435" s="1"/>
  <c r="BM30" i="435" s="1"/>
  <c r="BN30" i="435" s="1"/>
  <c r="BO30" i="435" s="1"/>
  <c r="BP30" i="435" s="1"/>
  <c r="BQ30" i="435" s="1"/>
  <c r="BR30" i="435" s="1"/>
  <c r="BS30" i="435" s="1"/>
  <c r="BT30" i="435" s="1"/>
  <c r="BU30" i="435" s="1"/>
  <c r="BV30" i="435" s="1"/>
  <c r="BW30" i="435" s="1"/>
  <c r="BX30" i="435" s="1"/>
  <c r="BY30" i="435" s="1"/>
  <c r="BZ30" i="435" s="1"/>
  <c r="CA30" i="435" s="1"/>
  <c r="CB30" i="435" s="1"/>
  <c r="CC30" i="435" s="1"/>
  <c r="CD30" i="435" s="1"/>
  <c r="CE30" i="435" s="1"/>
  <c r="CF30" i="435" s="1"/>
  <c r="CG30" i="435" s="1"/>
  <c r="CH30" i="435" s="1"/>
  <c r="CI30" i="435" s="1"/>
  <c r="CJ30" i="435" s="1"/>
  <c r="CK30" i="435" s="1"/>
  <c r="H27" i="435"/>
  <c r="G27" i="435"/>
  <c r="G32" i="435" s="1"/>
  <c r="H26" i="435"/>
  <c r="I25" i="435"/>
  <c r="I27" i="435"/>
  <c r="H22" i="435"/>
  <c r="H32" i="435" s="1"/>
  <c r="BO278" i="431" s="1"/>
  <c r="BO279" i="431" s="1"/>
  <c r="H21" i="435"/>
  <c r="H31" i="435" s="1"/>
  <c r="I20" i="435"/>
  <c r="I22" i="435" s="1"/>
  <c r="I32" i="435" s="1"/>
  <c r="BP278" i="431" s="1"/>
  <c r="AV19" i="435"/>
  <c r="AW19" i="435" s="1"/>
  <c r="AX19" i="435" s="1"/>
  <c r="AY19" i="435" s="1"/>
  <c r="AZ19" i="435" s="1"/>
  <c r="BA19" i="435" s="1"/>
  <c r="BB19" i="435" s="1"/>
  <c r="BC19" i="435" s="1"/>
  <c r="BD19" i="435" s="1"/>
  <c r="BE19" i="435" s="1"/>
  <c r="BF19" i="435" s="1"/>
  <c r="BG19" i="435" s="1"/>
  <c r="BH19" i="435" s="1"/>
  <c r="BI19" i="435" s="1"/>
  <c r="BJ19" i="435" s="1"/>
  <c r="BK19" i="435" s="1"/>
  <c r="BL19" i="435" s="1"/>
  <c r="BM19" i="435" s="1"/>
  <c r="BN19" i="435" s="1"/>
  <c r="BO19" i="435" s="1"/>
  <c r="BP19" i="435" s="1"/>
  <c r="BQ19" i="435" s="1"/>
  <c r="BR19" i="435" s="1"/>
  <c r="BS19" i="435" s="1"/>
  <c r="BT19" i="435" s="1"/>
  <c r="BU19" i="435" s="1"/>
  <c r="BV19" i="435" s="1"/>
  <c r="BW19" i="435" s="1"/>
  <c r="BX19" i="435" s="1"/>
  <c r="BY19" i="435" s="1"/>
  <c r="BZ19" i="435" s="1"/>
  <c r="CA19" i="435" s="1"/>
  <c r="I14" i="435"/>
  <c r="J14" i="435" s="1"/>
  <c r="K14" i="435" s="1"/>
  <c r="L14" i="435" s="1"/>
  <c r="M14" i="435" s="1"/>
  <c r="N14" i="435" s="1"/>
  <c r="O14" i="435" s="1"/>
  <c r="P14" i="435" s="1"/>
  <c r="Q14" i="435" s="1"/>
  <c r="R14" i="435" s="1"/>
  <c r="S14" i="435" s="1"/>
  <c r="T14" i="435" s="1"/>
  <c r="U14" i="435" s="1"/>
  <c r="V14" i="435" s="1"/>
  <c r="W14" i="435" s="1"/>
  <c r="X14" i="435" s="1"/>
  <c r="Y14" i="435" s="1"/>
  <c r="Z14" i="435" s="1"/>
  <c r="AA14" i="435" s="1"/>
  <c r="AB14" i="435" s="1"/>
  <c r="AC14" i="435" s="1"/>
  <c r="AD14" i="435" s="1"/>
  <c r="AE14" i="435" s="1"/>
  <c r="AF14" i="435" s="1"/>
  <c r="AG14" i="435" s="1"/>
  <c r="AH14" i="435" s="1"/>
  <c r="AI14" i="435" s="1"/>
  <c r="AJ14" i="435" s="1"/>
  <c r="AK14" i="435" s="1"/>
  <c r="AL14" i="435" s="1"/>
  <c r="AM14" i="435" s="1"/>
  <c r="AN14" i="435" s="1"/>
  <c r="AO14" i="435" s="1"/>
  <c r="AP14" i="435" s="1"/>
  <c r="AQ14" i="435" s="1"/>
  <c r="AR14" i="435" s="1"/>
  <c r="AS14" i="435" s="1"/>
  <c r="AT14" i="435" s="1"/>
  <c r="AU14" i="435" s="1"/>
  <c r="AV14" i="435" s="1"/>
  <c r="AW14" i="435" s="1"/>
  <c r="AX14" i="435" s="1"/>
  <c r="AY14" i="435" s="1"/>
  <c r="AZ14" i="435" s="1"/>
  <c r="BA14" i="435" s="1"/>
  <c r="BB14" i="435" s="1"/>
  <c r="BC14" i="435" s="1"/>
  <c r="BD14" i="435" s="1"/>
  <c r="BE14" i="435" s="1"/>
  <c r="BF14" i="435" s="1"/>
  <c r="BG14" i="435" s="1"/>
  <c r="BH14" i="435" s="1"/>
  <c r="BI14" i="435" s="1"/>
  <c r="BJ14" i="435" s="1"/>
  <c r="BK14" i="435" s="1"/>
  <c r="BL14" i="435" s="1"/>
  <c r="BM14" i="435" s="1"/>
  <c r="BN14" i="435" s="1"/>
  <c r="BO14" i="435" s="1"/>
  <c r="BP14" i="435" s="1"/>
  <c r="BQ14" i="435" s="1"/>
  <c r="BR14" i="435" s="1"/>
  <c r="BS14" i="435" s="1"/>
  <c r="BT14" i="435" s="1"/>
  <c r="BU14" i="435" s="1"/>
  <c r="BV14" i="435" s="1"/>
  <c r="BW14" i="435" s="1"/>
  <c r="BX14" i="435" s="1"/>
  <c r="BY14" i="435" s="1"/>
  <c r="BZ14" i="435" s="1"/>
  <c r="CA14" i="435" s="1"/>
  <c r="CB14" i="435" s="1"/>
  <c r="CC14" i="435" s="1"/>
  <c r="CD14" i="435" s="1"/>
  <c r="CE14" i="435" s="1"/>
  <c r="CF14" i="435" s="1"/>
  <c r="CG14" i="435" s="1"/>
  <c r="CH14" i="435" s="1"/>
  <c r="CI14" i="435" s="1"/>
  <c r="CJ14" i="435" s="1"/>
  <c r="CK14" i="435" s="1"/>
  <c r="CL14" i="435" s="1"/>
  <c r="CM14" i="435" s="1"/>
  <c r="CN14" i="435" s="1"/>
  <c r="CO14" i="435" s="1"/>
  <c r="CP14" i="435" s="1"/>
  <c r="CQ14" i="435" s="1"/>
  <c r="CR14" i="435" s="1"/>
  <c r="CS14" i="435" s="1"/>
  <c r="G11" i="435"/>
  <c r="G16" i="435" s="1"/>
  <c r="H10" i="435"/>
  <c r="I9" i="435"/>
  <c r="B122" i="435"/>
  <c r="B121" i="435"/>
  <c r="B120" i="435"/>
  <c r="B119" i="435"/>
  <c r="B118" i="435"/>
  <c r="B117" i="435"/>
  <c r="B116" i="435"/>
  <c r="B115" i="435"/>
  <c r="B114" i="435"/>
  <c r="B113" i="435"/>
  <c r="B112" i="435"/>
  <c r="B111" i="435"/>
  <c r="B110" i="435"/>
  <c r="B109" i="435"/>
  <c r="B108" i="435"/>
  <c r="B107" i="435"/>
  <c r="B106" i="435"/>
  <c r="B105" i="435"/>
  <c r="B104" i="435"/>
  <c r="B103" i="435"/>
  <c r="B102" i="435"/>
  <c r="B101" i="435"/>
  <c r="B100" i="435"/>
  <c r="B99" i="435"/>
  <c r="B98" i="435"/>
  <c r="B97" i="435"/>
  <c r="B96" i="435"/>
  <c r="B95" i="435"/>
  <c r="B94" i="435"/>
  <c r="B93" i="435"/>
  <c r="B92" i="435"/>
  <c r="B91" i="435"/>
  <c r="B90" i="435"/>
  <c r="B89" i="435"/>
  <c r="B88" i="435"/>
  <c r="B87" i="435"/>
  <c r="B86" i="435"/>
  <c r="B85" i="435"/>
  <c r="B84" i="435"/>
  <c r="B83" i="435"/>
  <c r="B82" i="435"/>
  <c r="B81" i="435"/>
  <c r="B80" i="435"/>
  <c r="B79" i="435"/>
  <c r="B78" i="435"/>
  <c r="B77" i="435"/>
  <c r="B76" i="435"/>
  <c r="B75" i="435"/>
  <c r="B74" i="435"/>
  <c r="B73" i="435"/>
  <c r="B72" i="435"/>
  <c r="B71" i="435"/>
  <c r="B70" i="435"/>
  <c r="B69" i="435"/>
  <c r="B68" i="435"/>
  <c r="B67" i="435"/>
  <c r="B66" i="435"/>
  <c r="B65" i="435"/>
  <c r="B64" i="435"/>
  <c r="B63" i="435"/>
  <c r="B62" i="435"/>
  <c r="B61" i="435"/>
  <c r="B60" i="435"/>
  <c r="B59" i="435"/>
  <c r="B58" i="435"/>
  <c r="B57" i="435"/>
  <c r="B56" i="435"/>
  <c r="B55" i="435"/>
  <c r="B54" i="435"/>
  <c r="B53" i="435"/>
  <c r="B52" i="435"/>
  <c r="B51" i="435"/>
  <c r="B50" i="435"/>
  <c r="B49" i="435"/>
  <c r="B48" i="435"/>
  <c r="B47" i="435"/>
  <c r="B46" i="435"/>
  <c r="B45" i="435"/>
  <c r="B44" i="435"/>
  <c r="B43" i="435"/>
  <c r="B42" i="435"/>
  <c r="B41" i="435"/>
  <c r="B40" i="435"/>
  <c r="B39" i="435"/>
  <c r="B38" i="435"/>
  <c r="B37" i="435"/>
  <c r="B36" i="435"/>
  <c r="B35" i="435"/>
  <c r="B34" i="435"/>
  <c r="B33" i="435"/>
  <c r="B32" i="435"/>
  <c r="B31" i="435"/>
  <c r="B30" i="435"/>
  <c r="B29" i="435"/>
  <c r="B28" i="435"/>
  <c r="B27" i="435"/>
  <c r="B26" i="435"/>
  <c r="B25" i="435"/>
  <c r="B24" i="435"/>
  <c r="B23" i="435"/>
  <c r="B22" i="435"/>
  <c r="B21" i="435"/>
  <c r="B20" i="435"/>
  <c r="B19" i="435"/>
  <c r="B18" i="435"/>
  <c r="B17" i="435"/>
  <c r="A17" i="435"/>
  <c r="B16" i="435"/>
  <c r="A16" i="435"/>
  <c r="B15" i="435"/>
  <c r="A15" i="435"/>
  <c r="D15" i="435" s="1"/>
  <c r="B14" i="435"/>
  <c r="B13" i="435"/>
  <c r="B12" i="435"/>
  <c r="B11" i="435"/>
  <c r="B10" i="435"/>
  <c r="B9" i="435"/>
  <c r="B8" i="435"/>
  <c r="A8" i="435"/>
  <c r="A11" i="435" s="1"/>
  <c r="B7" i="435"/>
  <c r="D7" i="435" s="1"/>
  <c r="A7" i="435"/>
  <c r="B6" i="435"/>
  <c r="A6" i="435"/>
  <c r="H5" i="435"/>
  <c r="B5" i="435"/>
  <c r="D5" i="435"/>
  <c r="B4" i="435"/>
  <c r="D4" i="435" s="1"/>
  <c r="B3" i="435"/>
  <c r="D3" i="435" s="1"/>
  <c r="I4" i="435"/>
  <c r="N15" i="434"/>
  <c r="N16" i="434"/>
  <c r="N5" i="434"/>
  <c r="N6" i="434"/>
  <c r="N7" i="434" s="1"/>
  <c r="N8" i="434" s="1"/>
  <c r="N9" i="434" s="1"/>
  <c r="N10" i="434" s="1"/>
  <c r="N11" i="434" s="1"/>
  <c r="N12" i="434" s="1"/>
  <c r="K6" i="434"/>
  <c r="K7" i="434"/>
  <c r="K8" i="434" s="1"/>
  <c r="K9" i="434" s="1"/>
  <c r="K10" i="434" s="1"/>
  <c r="K11" i="434" s="1"/>
  <c r="K12" i="434" s="1"/>
  <c r="K13" i="434" s="1"/>
  <c r="K14" i="434" s="1"/>
  <c r="K15" i="434" s="1"/>
  <c r="K16" i="434" s="1"/>
  <c r="K17" i="434" s="1"/>
  <c r="K18" i="434" s="1"/>
  <c r="K19" i="434" s="1"/>
  <c r="K20" i="434" s="1"/>
  <c r="K21" i="434" s="1"/>
  <c r="K22" i="434" s="1"/>
  <c r="K23" i="434" s="1"/>
  <c r="K24" i="434" s="1"/>
  <c r="K25" i="434" s="1"/>
  <c r="K26" i="434" s="1"/>
  <c r="K27" i="434" s="1"/>
  <c r="K28" i="434" s="1"/>
  <c r="K29" i="434" s="1"/>
  <c r="K30" i="434" s="1"/>
  <c r="K31" i="434" s="1"/>
  <c r="K32" i="434" s="1"/>
  <c r="K33" i="434" s="1"/>
  <c r="K34" i="434" s="1"/>
  <c r="K35" i="434" s="1"/>
  <c r="K36" i="434" s="1"/>
  <c r="K37" i="434" s="1"/>
  <c r="K38" i="434" s="1"/>
  <c r="K39" i="434" s="1"/>
  <c r="K40" i="434" s="1"/>
  <c r="K41" i="434" s="1"/>
  <c r="K42" i="434" s="1"/>
  <c r="K43" i="434" s="1"/>
  <c r="K44" i="434" s="1"/>
  <c r="K45" i="434" s="1"/>
  <c r="K46" i="434" s="1"/>
  <c r="K47" i="434" s="1"/>
  <c r="K48" i="434" s="1"/>
  <c r="K49" i="434" s="1"/>
  <c r="K50" i="434" s="1"/>
  <c r="K51" i="434" s="1"/>
  <c r="K52" i="434" s="1"/>
  <c r="K53" i="434" s="1"/>
  <c r="K54" i="434" s="1"/>
  <c r="K55" i="434" s="1"/>
  <c r="K56" i="434" s="1"/>
  <c r="K57" i="434" s="1"/>
  <c r="K58" i="434" s="1"/>
  <c r="K59" i="434" s="1"/>
  <c r="K60" i="434" s="1"/>
  <c r="K61" i="434" s="1"/>
  <c r="K62" i="434" s="1"/>
  <c r="K63" i="434" s="1"/>
  <c r="K64" i="434" s="1"/>
  <c r="K65" i="434" s="1"/>
  <c r="K66" i="434" s="1"/>
  <c r="K67" i="434" s="1"/>
  <c r="K68" i="434" s="1"/>
  <c r="K69" i="434" s="1"/>
  <c r="K70" i="434" s="1"/>
  <c r="K71" i="434" s="1"/>
  <c r="K72" i="434" s="1"/>
  <c r="K73" i="434" s="1"/>
  <c r="K74" i="434" s="1"/>
  <c r="K75" i="434" s="1"/>
  <c r="K76" i="434" s="1"/>
  <c r="K77" i="434" s="1"/>
  <c r="K78" i="434" s="1"/>
  <c r="K79" i="434" s="1"/>
  <c r="K80" i="434" s="1"/>
  <c r="K81" i="434" s="1"/>
  <c r="K82" i="434" s="1"/>
  <c r="K83" i="434" s="1"/>
  <c r="K84" i="434" s="1"/>
  <c r="K85" i="434" s="1"/>
  <c r="K86" i="434" s="1"/>
  <c r="K87" i="434" s="1"/>
  <c r="K88" i="434" s="1"/>
  <c r="K89" i="434" s="1"/>
  <c r="K90" i="434" s="1"/>
  <c r="K91" i="434" s="1"/>
  <c r="K92" i="434" s="1"/>
  <c r="K93" i="434" s="1"/>
  <c r="K94" i="434" s="1"/>
  <c r="K95" i="434" s="1"/>
  <c r="K96" i="434" s="1"/>
  <c r="K97" i="434" s="1"/>
  <c r="K98" i="434" s="1"/>
  <c r="K99" i="434" s="1"/>
  <c r="K100" i="434" s="1"/>
  <c r="K101" i="434" s="1"/>
  <c r="K102" i="434" s="1"/>
  <c r="K103" i="434" s="1"/>
  <c r="K104" i="434" s="1"/>
  <c r="K105" i="434" s="1"/>
  <c r="K106" i="434" s="1"/>
  <c r="K107" i="434" s="1"/>
  <c r="K108" i="434" s="1"/>
  <c r="K109" i="434" s="1"/>
  <c r="K110" i="434" s="1"/>
  <c r="K111" i="434" s="1"/>
  <c r="K112" i="434" s="1"/>
  <c r="K113" i="434" s="1"/>
  <c r="K114" i="434" s="1"/>
  <c r="K115" i="434" s="1"/>
  <c r="K116" i="434" s="1"/>
  <c r="K117" i="434" s="1"/>
  <c r="K118" i="434" s="1"/>
  <c r="K119" i="434" s="1"/>
  <c r="K120" i="434" s="1"/>
  <c r="K121" i="434" s="1"/>
  <c r="K122" i="434" s="1"/>
  <c r="K123" i="434" s="1"/>
  <c r="K124" i="434" s="1"/>
  <c r="K125" i="434" s="1"/>
  <c r="K126" i="434" s="1"/>
  <c r="K127" i="434" s="1"/>
  <c r="K128" i="434" s="1"/>
  <c r="K129" i="434" s="1"/>
  <c r="K130" i="434" s="1"/>
  <c r="K131" i="434" s="1"/>
  <c r="K132" i="434" s="1"/>
  <c r="K133" i="434" s="1"/>
  <c r="K134" i="434" s="1"/>
  <c r="K135" i="434" s="1"/>
  <c r="K136" i="434" s="1"/>
  <c r="K137" i="434" s="1"/>
  <c r="K138" i="434" s="1"/>
  <c r="K139" i="434" s="1"/>
  <c r="K140" i="434" s="1"/>
  <c r="K141" i="434" s="1"/>
  <c r="K142" i="434" s="1"/>
  <c r="K143" i="434" s="1"/>
  <c r="K144" i="434" s="1"/>
  <c r="K145" i="434" s="1"/>
  <c r="K146" i="434" s="1"/>
  <c r="K147" i="434" s="1"/>
  <c r="K148" i="434" s="1"/>
  <c r="K149" i="434" s="1"/>
  <c r="K150" i="434" s="1"/>
  <c r="K151" i="434" s="1"/>
  <c r="K152" i="434" s="1"/>
  <c r="K153" i="434" s="1"/>
  <c r="J5" i="434"/>
  <c r="J6" i="434"/>
  <c r="J7" i="434" s="1"/>
  <c r="J8" i="434" s="1"/>
  <c r="J9" i="434" s="1"/>
  <c r="J10" i="434" s="1"/>
  <c r="J11" i="434" s="1"/>
  <c r="J12" i="434" s="1"/>
  <c r="J13" i="434" s="1"/>
  <c r="J14" i="434" s="1"/>
  <c r="J15" i="434" s="1"/>
  <c r="J16" i="434" s="1"/>
  <c r="J17" i="434" s="1"/>
  <c r="J18" i="434" s="1"/>
  <c r="J19" i="434" s="1"/>
  <c r="J20" i="434" s="1"/>
  <c r="J21" i="434" s="1"/>
  <c r="J22" i="434" s="1"/>
  <c r="J23" i="434" s="1"/>
  <c r="J24" i="434" s="1"/>
  <c r="J25" i="434" s="1"/>
  <c r="J26" i="434" s="1"/>
  <c r="J27" i="434" s="1"/>
  <c r="J28" i="434" s="1"/>
  <c r="J29" i="434" s="1"/>
  <c r="J30" i="434" s="1"/>
  <c r="J31" i="434" s="1"/>
  <c r="J32" i="434" s="1"/>
  <c r="J33" i="434" s="1"/>
  <c r="J34" i="434" s="1"/>
  <c r="J35" i="434" s="1"/>
  <c r="J36" i="434" s="1"/>
  <c r="J37" i="434" s="1"/>
  <c r="J38" i="434" s="1"/>
  <c r="J39" i="434" s="1"/>
  <c r="J40" i="434" s="1"/>
  <c r="J41" i="434" s="1"/>
  <c r="J42" i="434" s="1"/>
  <c r="J43" i="434" s="1"/>
  <c r="J44" i="434" s="1"/>
  <c r="J45" i="434" s="1"/>
  <c r="J46" i="434" s="1"/>
  <c r="J47" i="434" s="1"/>
  <c r="J48" i="434" s="1"/>
  <c r="J49" i="434" s="1"/>
  <c r="J50" i="434" s="1"/>
  <c r="J51" i="434" s="1"/>
  <c r="J52" i="434" s="1"/>
  <c r="J53" i="434" s="1"/>
  <c r="J54" i="434" s="1"/>
  <c r="J55" i="434" s="1"/>
  <c r="J56" i="434" s="1"/>
  <c r="J57" i="434" s="1"/>
  <c r="J58" i="434" s="1"/>
  <c r="J59" i="434" s="1"/>
  <c r="J60" i="434" s="1"/>
  <c r="J61" i="434" s="1"/>
  <c r="J62" i="434" s="1"/>
  <c r="J63" i="434" s="1"/>
  <c r="J64" i="434" s="1"/>
  <c r="J65" i="434" s="1"/>
  <c r="J66" i="434" s="1"/>
  <c r="J67" i="434" s="1"/>
  <c r="J68" i="434" s="1"/>
  <c r="J69" i="434" s="1"/>
  <c r="J70" i="434" s="1"/>
  <c r="J71" i="434" s="1"/>
  <c r="J72" i="434" s="1"/>
  <c r="J73" i="434" s="1"/>
  <c r="J74" i="434" s="1"/>
  <c r="J75" i="434" s="1"/>
  <c r="J76" i="434" s="1"/>
  <c r="J77" i="434" s="1"/>
  <c r="J78" i="434" s="1"/>
  <c r="J79" i="434" s="1"/>
  <c r="J80" i="434" s="1"/>
  <c r="J81" i="434" s="1"/>
  <c r="J82" i="434" s="1"/>
  <c r="J83" i="434" s="1"/>
  <c r="J84" i="434" s="1"/>
  <c r="J85" i="434" s="1"/>
  <c r="J86" i="434" s="1"/>
  <c r="J87" i="434" s="1"/>
  <c r="J88" i="434" s="1"/>
  <c r="J89" i="434" s="1"/>
  <c r="J90" i="434" s="1"/>
  <c r="J91" i="434" s="1"/>
  <c r="J92" i="434" s="1"/>
  <c r="J93" i="434" s="1"/>
  <c r="J94" i="434" s="1"/>
  <c r="J95" i="434" s="1"/>
  <c r="J96" i="434" s="1"/>
  <c r="J97" i="434" s="1"/>
  <c r="J98" i="434" s="1"/>
  <c r="J99" i="434" s="1"/>
  <c r="J100" i="434" s="1"/>
  <c r="J101" i="434" s="1"/>
  <c r="J102" i="434" s="1"/>
  <c r="J103" i="434" s="1"/>
  <c r="J104" i="434" s="1"/>
  <c r="J105" i="434" s="1"/>
  <c r="J106" i="434" s="1"/>
  <c r="J107" i="434" s="1"/>
  <c r="J108" i="434" s="1"/>
  <c r="J109" i="434" s="1"/>
  <c r="J110" i="434" s="1"/>
  <c r="J111" i="434" s="1"/>
  <c r="J112" i="434" s="1"/>
  <c r="J113" i="434" s="1"/>
  <c r="J114" i="434" s="1"/>
  <c r="J115" i="434" s="1"/>
  <c r="J116" i="434" s="1"/>
  <c r="J117" i="434" s="1"/>
  <c r="J118" i="434" s="1"/>
  <c r="J119" i="434" s="1"/>
  <c r="J120" i="434" s="1"/>
  <c r="J121" i="434" s="1"/>
  <c r="J122" i="434" s="1"/>
  <c r="J123" i="434" s="1"/>
  <c r="J124" i="434" s="1"/>
  <c r="J125" i="434" s="1"/>
  <c r="J126" i="434" s="1"/>
  <c r="J127" i="434" s="1"/>
  <c r="J128" i="434" s="1"/>
  <c r="J129" i="434" s="1"/>
  <c r="J130" i="434" s="1"/>
  <c r="J131" i="434" s="1"/>
  <c r="J132" i="434" s="1"/>
  <c r="J133" i="434" s="1"/>
  <c r="J134" i="434" s="1"/>
  <c r="J135" i="434" s="1"/>
  <c r="J136" i="434" s="1"/>
  <c r="J137" i="434" s="1"/>
  <c r="J138" i="434" s="1"/>
  <c r="J139" i="434" s="1"/>
  <c r="J140" i="434" s="1"/>
  <c r="J141" i="434" s="1"/>
  <c r="J142" i="434" s="1"/>
  <c r="J143" i="434" s="1"/>
  <c r="J144" i="434" s="1"/>
  <c r="J145" i="434" s="1"/>
  <c r="J146" i="434" s="1"/>
  <c r="J147" i="434" s="1"/>
  <c r="J148" i="434" s="1"/>
  <c r="J149" i="434" s="1"/>
  <c r="J150" i="434" s="1"/>
  <c r="J151" i="434" s="1"/>
  <c r="J152" i="434" s="1"/>
  <c r="J153" i="434" s="1"/>
  <c r="I5" i="434"/>
  <c r="I6" i="434" s="1"/>
  <c r="I7" i="434" s="1"/>
  <c r="I8" i="434" s="1"/>
  <c r="I9" i="434" s="1"/>
  <c r="I10" i="434" s="1"/>
  <c r="I11" i="434" s="1"/>
  <c r="I12" i="434" s="1"/>
  <c r="I13" i="434" s="1"/>
  <c r="I14" i="434" s="1"/>
  <c r="I15" i="434" s="1"/>
  <c r="I16" i="434" s="1"/>
  <c r="I17" i="434" s="1"/>
  <c r="I18" i="434" s="1"/>
  <c r="I19" i="434" s="1"/>
  <c r="I20" i="434" s="1"/>
  <c r="I21" i="434" s="1"/>
  <c r="I22" i="434" s="1"/>
  <c r="I23" i="434" s="1"/>
  <c r="I24" i="434" s="1"/>
  <c r="I25" i="434" s="1"/>
  <c r="I26" i="434" s="1"/>
  <c r="I27" i="434" s="1"/>
  <c r="I28" i="434" s="1"/>
  <c r="I29" i="434" s="1"/>
  <c r="I30" i="434" s="1"/>
  <c r="I31" i="434" s="1"/>
  <c r="I32" i="434" s="1"/>
  <c r="I33" i="434" s="1"/>
  <c r="I34" i="434" s="1"/>
  <c r="I35" i="434" s="1"/>
  <c r="I36" i="434" s="1"/>
  <c r="I37" i="434" s="1"/>
  <c r="I38" i="434" s="1"/>
  <c r="I39" i="434" s="1"/>
  <c r="I40" i="434" s="1"/>
  <c r="I41" i="434" s="1"/>
  <c r="I42" i="434" s="1"/>
  <c r="I43" i="434" s="1"/>
  <c r="I44" i="434" s="1"/>
  <c r="I45" i="434" s="1"/>
  <c r="I46" i="434" s="1"/>
  <c r="I47" i="434" s="1"/>
  <c r="I48" i="434" s="1"/>
  <c r="I49" i="434" s="1"/>
  <c r="I50" i="434" s="1"/>
  <c r="I51" i="434" s="1"/>
  <c r="I52" i="434" s="1"/>
  <c r="I53" i="434" s="1"/>
  <c r="I54" i="434" s="1"/>
  <c r="I55" i="434" s="1"/>
  <c r="I56" i="434" s="1"/>
  <c r="I57" i="434" s="1"/>
  <c r="I58" i="434" s="1"/>
  <c r="I59" i="434" s="1"/>
  <c r="I60" i="434" s="1"/>
  <c r="I61" i="434" s="1"/>
  <c r="I62" i="434" s="1"/>
  <c r="I63" i="434" s="1"/>
  <c r="I64" i="434" s="1"/>
  <c r="I65" i="434" s="1"/>
  <c r="I66" i="434" s="1"/>
  <c r="I67" i="434" s="1"/>
  <c r="I68" i="434" s="1"/>
  <c r="I69" i="434" s="1"/>
  <c r="I70" i="434" s="1"/>
  <c r="I71" i="434" s="1"/>
  <c r="I72" i="434" s="1"/>
  <c r="I73" i="434" s="1"/>
  <c r="I74" i="434" s="1"/>
  <c r="I75" i="434" s="1"/>
  <c r="I76" i="434" s="1"/>
  <c r="I77" i="434" s="1"/>
  <c r="I78" i="434" s="1"/>
  <c r="A4" i="434"/>
  <c r="CU2" i="434"/>
  <c r="CZ2" i="434" s="1"/>
  <c r="DE2" i="434" s="1"/>
  <c r="DJ2" i="434" s="1"/>
  <c r="CT2" i="434"/>
  <c r="CY2" i="434" s="1"/>
  <c r="DD2" i="434" s="1"/>
  <c r="DI2" i="434" s="1"/>
  <c r="CS2" i="434"/>
  <c r="CX2" i="434" s="1"/>
  <c r="DC2" i="434" s="1"/>
  <c r="DH2" i="434" s="1"/>
  <c r="CR2" i="434"/>
  <c r="CW2" i="434" s="1"/>
  <c r="DB2" i="434" s="1"/>
  <c r="DG2" i="434" s="1"/>
  <c r="CI2" i="434"/>
  <c r="CH2" i="434"/>
  <c r="DK1" i="434"/>
  <c r="DJ1" i="434"/>
  <c r="DI1" i="434"/>
  <c r="DH1" i="434"/>
  <c r="DG1" i="434"/>
  <c r="DF1" i="434"/>
  <c r="DE1" i="434"/>
  <c r="DD1" i="434"/>
  <c r="DC1" i="434"/>
  <c r="DB1" i="434"/>
  <c r="DA1" i="434"/>
  <c r="CZ1" i="434"/>
  <c r="CY1" i="434"/>
  <c r="CX1" i="434"/>
  <c r="CW1" i="434"/>
  <c r="CV1" i="434"/>
  <c r="CU1" i="434"/>
  <c r="CT1" i="434"/>
  <c r="CS1" i="434"/>
  <c r="CR1" i="434"/>
  <c r="CQ1" i="434"/>
  <c r="CP1" i="434"/>
  <c r="CO1" i="434"/>
  <c r="CN1" i="434"/>
  <c r="CM1" i="434"/>
  <c r="CL1" i="434"/>
  <c r="CK1" i="434"/>
  <c r="CJ1" i="434"/>
  <c r="CI1" i="434"/>
  <c r="CH1" i="434"/>
  <c r="CG1" i="434"/>
  <c r="CF1" i="434"/>
  <c r="CE1" i="434"/>
  <c r="CD1" i="434"/>
  <c r="CC1" i="434"/>
  <c r="CB1" i="434"/>
  <c r="CA1" i="434"/>
  <c r="BZ1" i="434"/>
  <c r="BY1" i="434"/>
  <c r="BX1" i="434"/>
  <c r="BW1" i="434"/>
  <c r="BV1" i="434"/>
  <c r="BU1" i="434"/>
  <c r="BT1" i="434"/>
  <c r="BS1" i="434"/>
  <c r="BR1" i="434"/>
  <c r="BQ1" i="434"/>
  <c r="BP1" i="434"/>
  <c r="BO1" i="434"/>
  <c r="BN1" i="434"/>
  <c r="BM1" i="434"/>
  <c r="BL1" i="434"/>
  <c r="BK1" i="434"/>
  <c r="BJ1" i="434"/>
  <c r="BI1" i="434"/>
  <c r="BH1" i="434"/>
  <c r="BG1" i="434"/>
  <c r="BF1" i="434"/>
  <c r="BE1" i="434"/>
  <c r="BD1" i="434"/>
  <c r="BC1" i="434"/>
  <c r="BB1" i="434"/>
  <c r="BA1" i="434"/>
  <c r="AZ1" i="434"/>
  <c r="AY1" i="434"/>
  <c r="AX1" i="434"/>
  <c r="AW1" i="434"/>
  <c r="AV1" i="434"/>
  <c r="AU1" i="434"/>
  <c r="AT1" i="434"/>
  <c r="AS1" i="434"/>
  <c r="AR1" i="434"/>
  <c r="AQ1" i="434"/>
  <c r="AP1" i="434"/>
  <c r="AO1" i="434"/>
  <c r="AN1" i="434"/>
  <c r="AM1" i="434"/>
  <c r="AL1" i="434"/>
  <c r="AK1" i="434"/>
  <c r="AJ1" i="434"/>
  <c r="AI1" i="434"/>
  <c r="AH1" i="434"/>
  <c r="AG1" i="434"/>
  <c r="AF1" i="434"/>
  <c r="AE1" i="434"/>
  <c r="AD1" i="434"/>
  <c r="AC1" i="434"/>
  <c r="AB1" i="434"/>
  <c r="AA1" i="434"/>
  <c r="Z1" i="434"/>
  <c r="Y1" i="434"/>
  <c r="X1" i="434"/>
  <c r="W1" i="434"/>
  <c r="V1" i="434"/>
  <c r="U1" i="434"/>
  <c r="T1" i="434"/>
  <c r="S1" i="434"/>
  <c r="R1" i="434"/>
  <c r="Q1" i="434"/>
  <c r="P1" i="434"/>
  <c r="N15" i="433"/>
  <c r="N16" i="433" s="1"/>
  <c r="N5" i="433"/>
  <c r="N6" i="433" s="1"/>
  <c r="N7" i="433" s="1"/>
  <c r="N8" i="433" s="1"/>
  <c r="N9" i="433" s="1"/>
  <c r="N10" i="433" s="1"/>
  <c r="N11" i="433" s="1"/>
  <c r="N12" i="433" s="1"/>
  <c r="K6" i="433"/>
  <c r="K7" i="433"/>
  <c r="K8" i="433" s="1"/>
  <c r="K9" i="433" s="1"/>
  <c r="K10" i="433" s="1"/>
  <c r="K11" i="433" s="1"/>
  <c r="K12" i="433" s="1"/>
  <c r="K13" i="433" s="1"/>
  <c r="K14" i="433" s="1"/>
  <c r="K15" i="433" s="1"/>
  <c r="K16" i="433" s="1"/>
  <c r="K17" i="433" s="1"/>
  <c r="K18" i="433" s="1"/>
  <c r="K19" i="433" s="1"/>
  <c r="K20" i="433" s="1"/>
  <c r="K21" i="433" s="1"/>
  <c r="K22" i="433" s="1"/>
  <c r="K23" i="433" s="1"/>
  <c r="K24" i="433" s="1"/>
  <c r="K25" i="433" s="1"/>
  <c r="K26" i="433" s="1"/>
  <c r="K27" i="433" s="1"/>
  <c r="K28" i="433" s="1"/>
  <c r="K29" i="433" s="1"/>
  <c r="K30" i="433" s="1"/>
  <c r="K31" i="433" s="1"/>
  <c r="K32" i="433" s="1"/>
  <c r="K33" i="433" s="1"/>
  <c r="K34" i="433" s="1"/>
  <c r="K35" i="433" s="1"/>
  <c r="K36" i="433" s="1"/>
  <c r="K37" i="433" s="1"/>
  <c r="K38" i="433" s="1"/>
  <c r="K39" i="433" s="1"/>
  <c r="K40" i="433" s="1"/>
  <c r="K41" i="433" s="1"/>
  <c r="K42" i="433" s="1"/>
  <c r="K43" i="433" s="1"/>
  <c r="K44" i="433" s="1"/>
  <c r="K45" i="433" s="1"/>
  <c r="K46" i="433" s="1"/>
  <c r="K47" i="433" s="1"/>
  <c r="K48" i="433" s="1"/>
  <c r="K49" i="433" s="1"/>
  <c r="K50" i="433" s="1"/>
  <c r="K51" i="433" s="1"/>
  <c r="K52" i="433" s="1"/>
  <c r="K53" i="433" s="1"/>
  <c r="K54" i="433" s="1"/>
  <c r="K55" i="433" s="1"/>
  <c r="K56" i="433" s="1"/>
  <c r="K57" i="433" s="1"/>
  <c r="K58" i="433" s="1"/>
  <c r="K59" i="433" s="1"/>
  <c r="K60" i="433" s="1"/>
  <c r="K61" i="433" s="1"/>
  <c r="K62" i="433" s="1"/>
  <c r="K63" i="433" s="1"/>
  <c r="K64" i="433" s="1"/>
  <c r="K65" i="433" s="1"/>
  <c r="K66" i="433" s="1"/>
  <c r="K67" i="433" s="1"/>
  <c r="K68" i="433" s="1"/>
  <c r="K69" i="433" s="1"/>
  <c r="K70" i="433" s="1"/>
  <c r="K71" i="433" s="1"/>
  <c r="K72" i="433" s="1"/>
  <c r="K73" i="433" s="1"/>
  <c r="K74" i="433" s="1"/>
  <c r="K75" i="433" s="1"/>
  <c r="K76" i="433" s="1"/>
  <c r="K77" i="433" s="1"/>
  <c r="K78" i="433" s="1"/>
  <c r="K79" i="433" s="1"/>
  <c r="K80" i="433" s="1"/>
  <c r="K81" i="433" s="1"/>
  <c r="K82" i="433" s="1"/>
  <c r="K83" i="433" s="1"/>
  <c r="K84" i="433" s="1"/>
  <c r="K85" i="433" s="1"/>
  <c r="K86" i="433" s="1"/>
  <c r="K87" i="433" s="1"/>
  <c r="K88" i="433" s="1"/>
  <c r="K89" i="433" s="1"/>
  <c r="K90" i="433" s="1"/>
  <c r="K91" i="433" s="1"/>
  <c r="K92" i="433" s="1"/>
  <c r="K93" i="433" s="1"/>
  <c r="K94" i="433" s="1"/>
  <c r="K95" i="433" s="1"/>
  <c r="K96" i="433" s="1"/>
  <c r="K97" i="433" s="1"/>
  <c r="K98" i="433" s="1"/>
  <c r="K99" i="433" s="1"/>
  <c r="K100" i="433" s="1"/>
  <c r="K101" i="433" s="1"/>
  <c r="K102" i="433" s="1"/>
  <c r="K103" i="433" s="1"/>
  <c r="K104" i="433" s="1"/>
  <c r="K105" i="433" s="1"/>
  <c r="K106" i="433" s="1"/>
  <c r="K107" i="433" s="1"/>
  <c r="K108" i="433" s="1"/>
  <c r="K109" i="433" s="1"/>
  <c r="K110" i="433" s="1"/>
  <c r="K111" i="433" s="1"/>
  <c r="K112" i="433" s="1"/>
  <c r="K113" i="433" s="1"/>
  <c r="K114" i="433" s="1"/>
  <c r="K115" i="433" s="1"/>
  <c r="K116" i="433" s="1"/>
  <c r="K117" i="433" s="1"/>
  <c r="K118" i="433" s="1"/>
  <c r="K119" i="433" s="1"/>
  <c r="K120" i="433" s="1"/>
  <c r="K121" i="433" s="1"/>
  <c r="K122" i="433" s="1"/>
  <c r="K123" i="433" s="1"/>
  <c r="K124" i="433" s="1"/>
  <c r="K125" i="433" s="1"/>
  <c r="K126" i="433" s="1"/>
  <c r="K127" i="433" s="1"/>
  <c r="K128" i="433" s="1"/>
  <c r="K129" i="433" s="1"/>
  <c r="K130" i="433" s="1"/>
  <c r="K131" i="433" s="1"/>
  <c r="K132" i="433" s="1"/>
  <c r="K133" i="433" s="1"/>
  <c r="K134" i="433" s="1"/>
  <c r="K135" i="433" s="1"/>
  <c r="K136" i="433" s="1"/>
  <c r="K137" i="433" s="1"/>
  <c r="K138" i="433" s="1"/>
  <c r="K139" i="433" s="1"/>
  <c r="K140" i="433" s="1"/>
  <c r="K141" i="433" s="1"/>
  <c r="K142" i="433" s="1"/>
  <c r="K143" i="433" s="1"/>
  <c r="K144" i="433" s="1"/>
  <c r="K145" i="433" s="1"/>
  <c r="K146" i="433" s="1"/>
  <c r="K147" i="433" s="1"/>
  <c r="K148" i="433" s="1"/>
  <c r="K149" i="433" s="1"/>
  <c r="K150" i="433" s="1"/>
  <c r="K151" i="433" s="1"/>
  <c r="K152" i="433" s="1"/>
  <c r="K153" i="433" s="1"/>
  <c r="J5" i="433"/>
  <c r="J6" i="433" s="1"/>
  <c r="J7" i="433" s="1"/>
  <c r="J8" i="433" s="1"/>
  <c r="J9" i="433" s="1"/>
  <c r="J10" i="433" s="1"/>
  <c r="J11" i="433" s="1"/>
  <c r="J12" i="433" s="1"/>
  <c r="J13" i="433" s="1"/>
  <c r="J14" i="433" s="1"/>
  <c r="J15" i="433" s="1"/>
  <c r="J16" i="433" s="1"/>
  <c r="J17" i="433" s="1"/>
  <c r="J18" i="433" s="1"/>
  <c r="J19" i="433" s="1"/>
  <c r="J20" i="433" s="1"/>
  <c r="J21" i="433" s="1"/>
  <c r="J22" i="433" s="1"/>
  <c r="J23" i="433" s="1"/>
  <c r="J24" i="433" s="1"/>
  <c r="J25" i="433" s="1"/>
  <c r="J26" i="433" s="1"/>
  <c r="J27" i="433" s="1"/>
  <c r="J28" i="433" s="1"/>
  <c r="J29" i="433" s="1"/>
  <c r="J30" i="433" s="1"/>
  <c r="J31" i="433" s="1"/>
  <c r="J32" i="433" s="1"/>
  <c r="J33" i="433" s="1"/>
  <c r="J34" i="433" s="1"/>
  <c r="J35" i="433" s="1"/>
  <c r="J36" i="433" s="1"/>
  <c r="J37" i="433" s="1"/>
  <c r="J38" i="433" s="1"/>
  <c r="J39" i="433" s="1"/>
  <c r="J40" i="433" s="1"/>
  <c r="J41" i="433" s="1"/>
  <c r="J42" i="433" s="1"/>
  <c r="J43" i="433" s="1"/>
  <c r="J44" i="433" s="1"/>
  <c r="J45" i="433" s="1"/>
  <c r="J46" i="433" s="1"/>
  <c r="J47" i="433" s="1"/>
  <c r="J48" i="433" s="1"/>
  <c r="J49" i="433" s="1"/>
  <c r="J50" i="433" s="1"/>
  <c r="J51" i="433" s="1"/>
  <c r="J52" i="433" s="1"/>
  <c r="J53" i="433" s="1"/>
  <c r="J54" i="433" s="1"/>
  <c r="J55" i="433" s="1"/>
  <c r="J56" i="433" s="1"/>
  <c r="J57" i="433" s="1"/>
  <c r="J58" i="433" s="1"/>
  <c r="J59" i="433" s="1"/>
  <c r="J60" i="433" s="1"/>
  <c r="J61" i="433" s="1"/>
  <c r="J62" i="433" s="1"/>
  <c r="J63" i="433" s="1"/>
  <c r="J64" i="433" s="1"/>
  <c r="J65" i="433" s="1"/>
  <c r="J66" i="433" s="1"/>
  <c r="J67" i="433" s="1"/>
  <c r="J68" i="433" s="1"/>
  <c r="J69" i="433" s="1"/>
  <c r="J70" i="433" s="1"/>
  <c r="J71" i="433" s="1"/>
  <c r="J72" i="433" s="1"/>
  <c r="J73" i="433" s="1"/>
  <c r="J74" i="433" s="1"/>
  <c r="J75" i="433" s="1"/>
  <c r="J76" i="433" s="1"/>
  <c r="J77" i="433" s="1"/>
  <c r="J78" i="433" s="1"/>
  <c r="J79" i="433" s="1"/>
  <c r="J80" i="433" s="1"/>
  <c r="J81" i="433" s="1"/>
  <c r="J82" i="433" s="1"/>
  <c r="J83" i="433" s="1"/>
  <c r="J84" i="433" s="1"/>
  <c r="J85" i="433" s="1"/>
  <c r="J86" i="433" s="1"/>
  <c r="J87" i="433" s="1"/>
  <c r="J88" i="433" s="1"/>
  <c r="J89" i="433" s="1"/>
  <c r="J90" i="433" s="1"/>
  <c r="J91" i="433" s="1"/>
  <c r="J92" i="433" s="1"/>
  <c r="J93" i="433" s="1"/>
  <c r="J94" i="433" s="1"/>
  <c r="J95" i="433" s="1"/>
  <c r="J96" i="433" s="1"/>
  <c r="J97" i="433" s="1"/>
  <c r="J98" i="433" s="1"/>
  <c r="J99" i="433" s="1"/>
  <c r="J100" i="433" s="1"/>
  <c r="J101" i="433" s="1"/>
  <c r="J102" i="433" s="1"/>
  <c r="J103" i="433" s="1"/>
  <c r="J104" i="433" s="1"/>
  <c r="J105" i="433" s="1"/>
  <c r="J106" i="433" s="1"/>
  <c r="J107" i="433" s="1"/>
  <c r="J108" i="433" s="1"/>
  <c r="J109" i="433" s="1"/>
  <c r="J110" i="433" s="1"/>
  <c r="J111" i="433" s="1"/>
  <c r="J112" i="433" s="1"/>
  <c r="J113" i="433" s="1"/>
  <c r="J114" i="433" s="1"/>
  <c r="J115" i="433" s="1"/>
  <c r="J116" i="433" s="1"/>
  <c r="J117" i="433" s="1"/>
  <c r="J118" i="433" s="1"/>
  <c r="J119" i="433" s="1"/>
  <c r="J120" i="433" s="1"/>
  <c r="J121" i="433" s="1"/>
  <c r="J122" i="433" s="1"/>
  <c r="J123" i="433" s="1"/>
  <c r="J124" i="433" s="1"/>
  <c r="J125" i="433" s="1"/>
  <c r="J126" i="433" s="1"/>
  <c r="J127" i="433" s="1"/>
  <c r="J128" i="433" s="1"/>
  <c r="J129" i="433" s="1"/>
  <c r="J130" i="433" s="1"/>
  <c r="J131" i="433" s="1"/>
  <c r="J132" i="433" s="1"/>
  <c r="J133" i="433" s="1"/>
  <c r="J134" i="433" s="1"/>
  <c r="J135" i="433" s="1"/>
  <c r="J136" i="433" s="1"/>
  <c r="J137" i="433" s="1"/>
  <c r="J138" i="433" s="1"/>
  <c r="J139" i="433" s="1"/>
  <c r="J140" i="433" s="1"/>
  <c r="J141" i="433" s="1"/>
  <c r="J142" i="433" s="1"/>
  <c r="J143" i="433" s="1"/>
  <c r="J144" i="433" s="1"/>
  <c r="J145" i="433" s="1"/>
  <c r="J146" i="433" s="1"/>
  <c r="J147" i="433" s="1"/>
  <c r="J148" i="433" s="1"/>
  <c r="J149" i="433" s="1"/>
  <c r="J150" i="433" s="1"/>
  <c r="J151" i="433" s="1"/>
  <c r="J152" i="433" s="1"/>
  <c r="J153" i="433" s="1"/>
  <c r="I5" i="433"/>
  <c r="I6" i="433"/>
  <c r="I7" i="433" s="1"/>
  <c r="I8" i="433" s="1"/>
  <c r="I9" i="433" s="1"/>
  <c r="I10" i="433" s="1"/>
  <c r="I11" i="433" s="1"/>
  <c r="I12" i="433" s="1"/>
  <c r="I13" i="433" s="1"/>
  <c r="I14" i="433" s="1"/>
  <c r="I15" i="433" s="1"/>
  <c r="I16" i="433" s="1"/>
  <c r="I17" i="433" s="1"/>
  <c r="I18" i="433" s="1"/>
  <c r="I19" i="433" s="1"/>
  <c r="I20" i="433" s="1"/>
  <c r="I21" i="433" s="1"/>
  <c r="I22" i="433" s="1"/>
  <c r="I23" i="433" s="1"/>
  <c r="I24" i="433" s="1"/>
  <c r="I25" i="433" s="1"/>
  <c r="I26" i="433" s="1"/>
  <c r="I27" i="433" s="1"/>
  <c r="I28" i="433" s="1"/>
  <c r="I29" i="433" s="1"/>
  <c r="I30" i="433" s="1"/>
  <c r="I31" i="433" s="1"/>
  <c r="I32" i="433" s="1"/>
  <c r="I33" i="433" s="1"/>
  <c r="I34" i="433" s="1"/>
  <c r="I35" i="433" s="1"/>
  <c r="I36" i="433" s="1"/>
  <c r="I37" i="433" s="1"/>
  <c r="I38" i="433" s="1"/>
  <c r="I39" i="433" s="1"/>
  <c r="I40" i="433" s="1"/>
  <c r="I41" i="433" s="1"/>
  <c r="I42" i="433" s="1"/>
  <c r="I43" i="433" s="1"/>
  <c r="I44" i="433" s="1"/>
  <c r="I45" i="433" s="1"/>
  <c r="I46" i="433" s="1"/>
  <c r="I47" i="433" s="1"/>
  <c r="I48" i="433" s="1"/>
  <c r="I49" i="433" s="1"/>
  <c r="I50" i="433" s="1"/>
  <c r="I51" i="433" s="1"/>
  <c r="I52" i="433" s="1"/>
  <c r="I53" i="433" s="1"/>
  <c r="I54" i="433" s="1"/>
  <c r="I55" i="433" s="1"/>
  <c r="I56" i="433" s="1"/>
  <c r="I57" i="433" s="1"/>
  <c r="I58" i="433" s="1"/>
  <c r="I59" i="433" s="1"/>
  <c r="I60" i="433" s="1"/>
  <c r="I61" i="433" s="1"/>
  <c r="I62" i="433" s="1"/>
  <c r="I63" i="433" s="1"/>
  <c r="I64" i="433" s="1"/>
  <c r="I65" i="433" s="1"/>
  <c r="I66" i="433" s="1"/>
  <c r="I67" i="433" s="1"/>
  <c r="I68" i="433" s="1"/>
  <c r="I69" i="433" s="1"/>
  <c r="I70" i="433" s="1"/>
  <c r="I71" i="433" s="1"/>
  <c r="I72" i="433" s="1"/>
  <c r="I73" i="433" s="1"/>
  <c r="I74" i="433" s="1"/>
  <c r="I75" i="433" s="1"/>
  <c r="I76" i="433" s="1"/>
  <c r="I77" i="433" s="1"/>
  <c r="I78" i="433" s="1"/>
  <c r="D4" i="433"/>
  <c r="CR2" i="433"/>
  <c r="CW2" i="433" s="1"/>
  <c r="DB2" i="433" s="1"/>
  <c r="DG2" i="433" s="1"/>
  <c r="DL2" i="433" s="1"/>
  <c r="CK2" i="433"/>
  <c r="CP2" i="433" s="1"/>
  <c r="CU2" i="433" s="1"/>
  <c r="CZ2" i="433" s="1"/>
  <c r="DE2" i="433" s="1"/>
  <c r="DJ2" i="433" s="1"/>
  <c r="DO2" i="433" s="1"/>
  <c r="CJ2" i="433"/>
  <c r="CO2" i="433" s="1"/>
  <c r="CT2" i="433" s="1"/>
  <c r="CY2" i="433" s="1"/>
  <c r="DD2" i="433" s="1"/>
  <c r="DI2" i="433" s="1"/>
  <c r="DN2" i="433" s="1"/>
  <c r="CI2" i="433"/>
  <c r="CN2" i="433" s="1"/>
  <c r="CS2" i="433" s="1"/>
  <c r="CX2" i="433" s="1"/>
  <c r="DC2" i="433" s="1"/>
  <c r="DH2" i="433" s="1"/>
  <c r="DM2" i="433" s="1"/>
  <c r="CC1" i="433"/>
  <c r="CA2" i="433"/>
  <c r="BZ2" i="433"/>
  <c r="BY2" i="433"/>
  <c r="BX2" i="433"/>
  <c r="CC2" i="433" s="1"/>
  <c r="CH2" i="433" s="1"/>
  <c r="DK1" i="433"/>
  <c r="DJ1" i="433"/>
  <c r="DI1" i="433"/>
  <c r="DH1" i="433"/>
  <c r="DG1" i="433"/>
  <c r="DF1" i="433"/>
  <c r="DE1" i="433"/>
  <c r="DD1" i="433"/>
  <c r="DC1" i="433"/>
  <c r="DB1" i="433"/>
  <c r="DA1" i="433"/>
  <c r="CZ1" i="433"/>
  <c r="CY1" i="433"/>
  <c r="CX1" i="433"/>
  <c r="CW1" i="433"/>
  <c r="CV1" i="433"/>
  <c r="CU1" i="433"/>
  <c r="CT1" i="433"/>
  <c r="CS1" i="433"/>
  <c r="CR1" i="433"/>
  <c r="CQ1" i="433"/>
  <c r="CP1" i="433"/>
  <c r="CO1" i="433"/>
  <c r="CN1" i="433"/>
  <c r="CM1" i="433"/>
  <c r="CL1" i="433"/>
  <c r="CK1" i="433"/>
  <c r="CJ1" i="433"/>
  <c r="CI1" i="433"/>
  <c r="CH1" i="433"/>
  <c r="CG1" i="433"/>
  <c r="CF1" i="433"/>
  <c r="CE1" i="433"/>
  <c r="CD1" i="433"/>
  <c r="CB1" i="433"/>
  <c r="CA1" i="433"/>
  <c r="BZ1" i="433"/>
  <c r="BY1" i="433"/>
  <c r="BX1" i="433"/>
  <c r="BW1" i="433"/>
  <c r="BV1" i="433"/>
  <c r="BU1" i="433"/>
  <c r="BT1" i="433"/>
  <c r="BS1" i="433"/>
  <c r="BR1" i="433"/>
  <c r="BQ1" i="433"/>
  <c r="BP1" i="433"/>
  <c r="BO1" i="433"/>
  <c r="BN1" i="433"/>
  <c r="BM1" i="433"/>
  <c r="BL1" i="433"/>
  <c r="BK1" i="433"/>
  <c r="BJ1" i="433"/>
  <c r="BI1" i="433"/>
  <c r="BH1" i="433"/>
  <c r="BG1" i="433"/>
  <c r="BF1" i="433"/>
  <c r="BE1" i="433"/>
  <c r="BD1" i="433"/>
  <c r="BC1" i="433"/>
  <c r="BB1" i="433"/>
  <c r="BA1" i="433"/>
  <c r="AZ1" i="433"/>
  <c r="AY1" i="433"/>
  <c r="AX1" i="433"/>
  <c r="AW1" i="433"/>
  <c r="AV1" i="433"/>
  <c r="AU1" i="433"/>
  <c r="AT1" i="433"/>
  <c r="AS1" i="433"/>
  <c r="AR1" i="433"/>
  <c r="AQ1" i="433"/>
  <c r="AP1" i="433"/>
  <c r="AO1" i="433"/>
  <c r="AN1" i="433"/>
  <c r="AM1" i="433"/>
  <c r="AL1" i="433"/>
  <c r="AK1" i="433"/>
  <c r="AJ1" i="433"/>
  <c r="AI1" i="433"/>
  <c r="AH1" i="433"/>
  <c r="AG1" i="433"/>
  <c r="AF1" i="433"/>
  <c r="AE1" i="433"/>
  <c r="AD1" i="433"/>
  <c r="AC1" i="433"/>
  <c r="AB1" i="433"/>
  <c r="AA1" i="433"/>
  <c r="Z1" i="433"/>
  <c r="Y1" i="433"/>
  <c r="X1" i="433"/>
  <c r="W1" i="433"/>
  <c r="V1" i="433"/>
  <c r="U1" i="433"/>
  <c r="T1" i="433"/>
  <c r="S1" i="433"/>
  <c r="R1" i="433"/>
  <c r="Q1" i="433"/>
  <c r="P1" i="433"/>
  <c r="E51" i="455"/>
  <c r="J33" i="455" s="1"/>
  <c r="E45" i="455"/>
  <c r="E50" i="455" s="1"/>
  <c r="M31" i="455" s="1"/>
  <c r="P25" i="455"/>
  <c r="Q25" i="455" s="1"/>
  <c r="R25" i="455" s="1"/>
  <c r="S25" i="455" s="1"/>
  <c r="T25" i="455" s="1"/>
  <c r="U25" i="455" s="1"/>
  <c r="V25" i="455" s="1"/>
  <c r="W25" i="455" s="1"/>
  <c r="X25" i="455" s="1"/>
  <c r="Y25" i="455" s="1"/>
  <c r="M15" i="455"/>
  <c r="L15" i="455"/>
  <c r="K15" i="455"/>
  <c r="J15" i="455"/>
  <c r="I15" i="455"/>
  <c r="H15" i="455"/>
  <c r="G15" i="455"/>
  <c r="F15" i="455"/>
  <c r="G4" i="455"/>
  <c r="H4" i="455" s="1"/>
  <c r="I4" i="455" s="1"/>
  <c r="J4" i="455" s="1"/>
  <c r="K4" i="455" s="1"/>
  <c r="L4" i="455" s="1"/>
  <c r="M4" i="455" s="1"/>
  <c r="N4" i="455" s="1"/>
  <c r="O4" i="455" s="1"/>
  <c r="G2" i="455"/>
  <c r="H2" i="455"/>
  <c r="I2" i="455" s="1"/>
  <c r="J2" i="455" s="1"/>
  <c r="K2" i="455" s="1"/>
  <c r="L2" i="455" s="1"/>
  <c r="M2" i="455" s="1"/>
  <c r="N2" i="455" s="1"/>
  <c r="O2" i="455" s="1"/>
  <c r="P2" i="455" s="1"/>
  <c r="Q2" i="455" s="1"/>
  <c r="R2" i="455" s="1"/>
  <c r="S2" i="455" s="1"/>
  <c r="T2" i="455" s="1"/>
  <c r="U2" i="455" s="1"/>
  <c r="V2" i="455" s="1"/>
  <c r="W2" i="455" s="1"/>
  <c r="X2" i="455" s="1"/>
  <c r="DG386" i="431"/>
  <c r="DB386" i="431"/>
  <c r="CW386" i="431"/>
  <c r="CR386" i="431"/>
  <c r="CM386" i="431"/>
  <c r="CH386" i="431"/>
  <c r="CC386" i="431"/>
  <c r="EZ382" i="431"/>
  <c r="EU382" i="431"/>
  <c r="EP382" i="431"/>
  <c r="EK382" i="431"/>
  <c r="EF383" i="431"/>
  <c r="EF382" i="431"/>
  <c r="EA383" i="431"/>
  <c r="EA382" i="431"/>
  <c r="DV383" i="431"/>
  <c r="DV382" i="431"/>
  <c r="DQ383" i="431"/>
  <c r="DQ382" i="431"/>
  <c r="DL383" i="431"/>
  <c r="DL382" i="431"/>
  <c r="DG383" i="431"/>
  <c r="DG382" i="431"/>
  <c r="DB383" i="431"/>
  <c r="CW383" i="431"/>
  <c r="CR383" i="431"/>
  <c r="CM383" i="431"/>
  <c r="CH383" i="431"/>
  <c r="CH382" i="431"/>
  <c r="CC383" i="431"/>
  <c r="EF353" i="431"/>
  <c r="EF352" i="431"/>
  <c r="EF351" i="431"/>
  <c r="EF365" i="431" s="1"/>
  <c r="EA353" i="431"/>
  <c r="EA352" i="431"/>
  <c r="EA351" i="431"/>
  <c r="DV353" i="431"/>
  <c r="DV352" i="431"/>
  <c r="DV351" i="431"/>
  <c r="DV365" i="431" s="1"/>
  <c r="DQ353" i="431"/>
  <c r="DQ352" i="431"/>
  <c r="DQ351" i="431"/>
  <c r="DQ365" i="431" s="1"/>
  <c r="DL353" i="431"/>
  <c r="DL352" i="431"/>
  <c r="DL351" i="431"/>
  <c r="DG353" i="431"/>
  <c r="DB353" i="431"/>
  <c r="CW353" i="431"/>
  <c r="CW352" i="431"/>
  <c r="CR353" i="431"/>
  <c r="CR352" i="431"/>
  <c r="CM353" i="431"/>
  <c r="CM352" i="431"/>
  <c r="CH353" i="431"/>
  <c r="CH352" i="431"/>
  <c r="CC353" i="431"/>
  <c r="CC352" i="431"/>
  <c r="BX353" i="431"/>
  <c r="BX352" i="431"/>
  <c r="BS353" i="431"/>
  <c r="BS352" i="431"/>
  <c r="BN353" i="431"/>
  <c r="BN352" i="431"/>
  <c r="BI353" i="431"/>
  <c r="BI352" i="431"/>
  <c r="BD353" i="431"/>
  <c r="BD352" i="431"/>
  <c r="AY353" i="431"/>
  <c r="AY352" i="431"/>
  <c r="EF347" i="431"/>
  <c r="EE347" i="431" s="1"/>
  <c r="EA347" i="431"/>
  <c r="DV347" i="431"/>
  <c r="DU347" i="431" s="1"/>
  <c r="DQ347" i="431"/>
  <c r="DQ348" i="431" s="1"/>
  <c r="DL347" i="431"/>
  <c r="DL348" i="431" s="1"/>
  <c r="EI347" i="431"/>
  <c r="EH347" i="431"/>
  <c r="EG347" i="431"/>
  <c r="ED347" i="431"/>
  <c r="EC347" i="431"/>
  <c r="EB347" i="431"/>
  <c r="DY347" i="431"/>
  <c r="DX347" i="431"/>
  <c r="DW347" i="431"/>
  <c r="DT347" i="431"/>
  <c r="DS347" i="431"/>
  <c r="DR347" i="431"/>
  <c r="EE346" i="431"/>
  <c r="EE344" i="431"/>
  <c r="DZ346" i="431"/>
  <c r="DZ344" i="431"/>
  <c r="DU346" i="431"/>
  <c r="DU344" i="431"/>
  <c r="CW345" i="431"/>
  <c r="CR345" i="431"/>
  <c r="CM345" i="431"/>
  <c r="CH345" i="431"/>
  <c r="CC345" i="431"/>
  <c r="BX345" i="431"/>
  <c r="BS345" i="431"/>
  <c r="BN345" i="431"/>
  <c r="BI345" i="431"/>
  <c r="BD345" i="431"/>
  <c r="AY345" i="431"/>
  <c r="AT345" i="431"/>
  <c r="EI343" i="431"/>
  <c r="EI345" i="431" s="1"/>
  <c r="EH343" i="431"/>
  <c r="EH345" i="431" s="1"/>
  <c r="EG343" i="431"/>
  <c r="EG345" i="431" s="1"/>
  <c r="EF343" i="431"/>
  <c r="EE343" i="431" s="1"/>
  <c r="ED343" i="431"/>
  <c r="ED345" i="431" s="1"/>
  <c r="EC343" i="431"/>
  <c r="EC345" i="431" s="1"/>
  <c r="EB343" i="431"/>
  <c r="EB345" i="431" s="1"/>
  <c r="EA343" i="431"/>
  <c r="DY343" i="431"/>
  <c r="DY345" i="431" s="1"/>
  <c r="DX343" i="431"/>
  <c r="DX345" i="431" s="1"/>
  <c r="DW343" i="431"/>
  <c r="DW345" i="431" s="1"/>
  <c r="DV343" i="431"/>
  <c r="DV345" i="431" s="1"/>
  <c r="DU345" i="431" s="1"/>
  <c r="DT343" i="431"/>
  <c r="DT345" i="431" s="1"/>
  <c r="DS343" i="431"/>
  <c r="DS345" i="431" s="1"/>
  <c r="DR343" i="431"/>
  <c r="DR345" i="431" s="1"/>
  <c r="DQ343" i="431"/>
  <c r="DQ345" i="431" s="1"/>
  <c r="DL343" i="431"/>
  <c r="DL345" i="431" s="1"/>
  <c r="DG343" i="431"/>
  <c r="DG345" i="431" s="1"/>
  <c r="DB343" i="431"/>
  <c r="DB345" i="431" s="1"/>
  <c r="EE341" i="431"/>
  <c r="EE339" i="431"/>
  <c r="EE338" i="431"/>
  <c r="EE337" i="431"/>
  <c r="EE333" i="431"/>
  <c r="EE332" i="431"/>
  <c r="DZ341" i="431"/>
  <c r="DZ339" i="431"/>
  <c r="DZ338" i="431"/>
  <c r="DZ337" i="431"/>
  <c r="DZ333" i="431"/>
  <c r="DZ332" i="431"/>
  <c r="DU341" i="431"/>
  <c r="DU339" i="431"/>
  <c r="DU338" i="431"/>
  <c r="DU337" i="431"/>
  <c r="DU333" i="431"/>
  <c r="DU332" i="431"/>
  <c r="DG341" i="431"/>
  <c r="DG347" i="431" s="1"/>
  <c r="DB341" i="431"/>
  <c r="DB347" i="431" s="1"/>
  <c r="CW341" i="431"/>
  <c r="CW347" i="431" s="1"/>
  <c r="CR341" i="431"/>
  <c r="CR347" i="431" s="1"/>
  <c r="CM341" i="431"/>
  <c r="CM347" i="431" s="1"/>
  <c r="CH341" i="431"/>
  <c r="CH347" i="431" s="1"/>
  <c r="CC341" i="431"/>
  <c r="CC347" i="431" s="1"/>
  <c r="BX341" i="431"/>
  <c r="BX347" i="431" s="1"/>
  <c r="BS341" i="431"/>
  <c r="BS347" i="431" s="1"/>
  <c r="BN341" i="431"/>
  <c r="BN347" i="431" s="1"/>
  <c r="BI341" i="431"/>
  <c r="BI347" i="431" s="1"/>
  <c r="BD341" i="431"/>
  <c r="BD347" i="431" s="1"/>
  <c r="AY341" i="431"/>
  <c r="AY347" i="431" s="1"/>
  <c r="AT341" i="431"/>
  <c r="AT347" i="431" s="1"/>
  <c r="EI340" i="431"/>
  <c r="EH340" i="431"/>
  <c r="EG340" i="431"/>
  <c r="EF340" i="431"/>
  <c r="EE340" i="431" s="1"/>
  <c r="ED340" i="431"/>
  <c r="EC340" i="431"/>
  <c r="EB340" i="431"/>
  <c r="EA340" i="431"/>
  <c r="DZ340" i="431" s="1"/>
  <c r="DY340" i="431"/>
  <c r="DX340" i="431"/>
  <c r="DW340" i="431"/>
  <c r="DV340" i="431"/>
  <c r="DU340" i="431" s="1"/>
  <c r="DT340" i="431"/>
  <c r="DS340" i="431"/>
  <c r="DR340" i="431"/>
  <c r="DQ340" i="431"/>
  <c r="DL340" i="431"/>
  <c r="DK338" i="431"/>
  <c r="DK244" i="431" s="1"/>
  <c r="DL335" i="431"/>
  <c r="CW335" i="431"/>
  <c r="CR335" i="431"/>
  <c r="CM335" i="431"/>
  <c r="CH335" i="431"/>
  <c r="CC335" i="431"/>
  <c r="BX335" i="431"/>
  <c r="BS335" i="431"/>
  <c r="BN335" i="431"/>
  <c r="BI335" i="431"/>
  <c r="BD335" i="431"/>
  <c r="AY335" i="431"/>
  <c r="EI335" i="431"/>
  <c r="EH335" i="431"/>
  <c r="EG335" i="431"/>
  <c r="EF335" i="431"/>
  <c r="EE335" i="431" s="1"/>
  <c r="ED335" i="431"/>
  <c r="EC335" i="431"/>
  <c r="EB335" i="431"/>
  <c r="EA335" i="431"/>
  <c r="DZ335" i="431" s="1"/>
  <c r="DY335" i="431"/>
  <c r="DX335" i="431"/>
  <c r="DW335" i="431"/>
  <c r="DV335" i="431"/>
  <c r="DU335" i="431" s="1"/>
  <c r="DT335" i="431"/>
  <c r="DS335" i="431"/>
  <c r="DR335" i="431"/>
  <c r="DQ335" i="431"/>
  <c r="DG332" i="431"/>
  <c r="DB332" i="431"/>
  <c r="AT332" i="431"/>
  <c r="AT335" i="431" s="1"/>
  <c r="EE330" i="431"/>
  <c r="EE328" i="431"/>
  <c r="EE327" i="431"/>
  <c r="EE323" i="431"/>
  <c r="EE321" i="431"/>
  <c r="EE319" i="431"/>
  <c r="DZ330" i="431"/>
  <c r="DZ328" i="431"/>
  <c r="DZ327" i="431"/>
  <c r="DZ323" i="431"/>
  <c r="DZ321" i="431"/>
  <c r="DZ319" i="431"/>
  <c r="DU330" i="431"/>
  <c r="DU328" i="431"/>
  <c r="DU327" i="431"/>
  <c r="DU323" i="431"/>
  <c r="DU321" i="431"/>
  <c r="DU319" i="431"/>
  <c r="DG329" i="431"/>
  <c r="DB329" i="431"/>
  <c r="EI329" i="431"/>
  <c r="EH329" i="431"/>
  <c r="EG329" i="431"/>
  <c r="EF329" i="431"/>
  <c r="EE329" i="431" s="1"/>
  <c r="ED329" i="431"/>
  <c r="EC329" i="431"/>
  <c r="EB329" i="431"/>
  <c r="EA329" i="431"/>
  <c r="DZ329" i="431" s="1"/>
  <c r="DY329" i="431"/>
  <c r="DX329" i="431"/>
  <c r="DW329" i="431"/>
  <c r="DV329" i="431"/>
  <c r="DU329" i="431" s="1"/>
  <c r="DT329" i="431"/>
  <c r="DS329" i="431"/>
  <c r="DR329" i="431"/>
  <c r="DQ329" i="431"/>
  <c r="DL329" i="431"/>
  <c r="EC325" i="431"/>
  <c r="EB325" i="431"/>
  <c r="EI325" i="431"/>
  <c r="EH325" i="431"/>
  <c r="EG325" i="431"/>
  <c r="DY325" i="431"/>
  <c r="DX325" i="431"/>
  <c r="DW325" i="431"/>
  <c r="DT325" i="431"/>
  <c r="DS325" i="431"/>
  <c r="DR325" i="431"/>
  <c r="CW319" i="431"/>
  <c r="CR319" i="431"/>
  <c r="EF311" i="431"/>
  <c r="EA311" i="431"/>
  <c r="DV311" i="431"/>
  <c r="EH309" i="431"/>
  <c r="EI309" i="431" s="1"/>
  <c r="EC309" i="431"/>
  <c r="ED309" i="431" s="1"/>
  <c r="EE309" i="431" s="1"/>
  <c r="DX309" i="431"/>
  <c r="DY309" i="431" s="1"/>
  <c r="DZ309" i="431" s="1"/>
  <c r="DS309" i="431"/>
  <c r="DT309" i="431" s="1"/>
  <c r="DU309" i="431" s="1"/>
  <c r="DN309" i="431"/>
  <c r="EZ307" i="431"/>
  <c r="EU307" i="431"/>
  <c r="EG307" i="431"/>
  <c r="EB307" i="431"/>
  <c r="DW307" i="431"/>
  <c r="EF305" i="431"/>
  <c r="EF307" i="431" s="1"/>
  <c r="EC305" i="431"/>
  <c r="EA305" i="431"/>
  <c r="EA307" i="431" s="1"/>
  <c r="DX305" i="431"/>
  <c r="DV305" i="431"/>
  <c r="DV307" i="431" s="1"/>
  <c r="DR305" i="431"/>
  <c r="DQ305" i="431"/>
  <c r="DQ307" i="431" s="1"/>
  <c r="DG305" i="431"/>
  <c r="DG307" i="431" s="1"/>
  <c r="DB305" i="431"/>
  <c r="DB307" i="431" s="1"/>
  <c r="DB304" i="431"/>
  <c r="CW305" i="431"/>
  <c r="CW307" i="431" s="1"/>
  <c r="CR305" i="431"/>
  <c r="CR307" i="431" s="1"/>
  <c r="CM305" i="431"/>
  <c r="CM307" i="431" s="1"/>
  <c r="CH305" i="431"/>
  <c r="CH307" i="431" s="1"/>
  <c r="CH304" i="431"/>
  <c r="CC305" i="431"/>
  <c r="CC307" i="431" s="1"/>
  <c r="CC304" i="431"/>
  <c r="BX305" i="431"/>
  <c r="BX307" i="431" s="1"/>
  <c r="BX304" i="431"/>
  <c r="BS305" i="431"/>
  <c r="BS307" i="431"/>
  <c r="BS304" i="431"/>
  <c r="BN305" i="431"/>
  <c r="BN307" i="431" s="1"/>
  <c r="BN304" i="431"/>
  <c r="BI305" i="431"/>
  <c r="BI307" i="431" s="1"/>
  <c r="BI304" i="431"/>
  <c r="BD305" i="431"/>
  <c r="BD307" i="431"/>
  <c r="BD304" i="431"/>
  <c r="AY305" i="431"/>
  <c r="AY307" i="431" s="1"/>
  <c r="AY304" i="431"/>
  <c r="AT305" i="431"/>
  <c r="AT307" i="431" s="1"/>
  <c r="EH305" i="431"/>
  <c r="DM305" i="431"/>
  <c r="DL305" i="431"/>
  <c r="DL307" i="431" s="1"/>
  <c r="EG302" i="431"/>
  <c r="EB302" i="431"/>
  <c r="EA302" i="431"/>
  <c r="EA304" i="431" s="1"/>
  <c r="DW302" i="431"/>
  <c r="DV302" i="431"/>
  <c r="DV304" i="431" s="1"/>
  <c r="DR302" i="431"/>
  <c r="DQ302" i="431"/>
  <c r="DQ304" i="431" s="1"/>
  <c r="DM302" i="431"/>
  <c r="DL302" i="431"/>
  <c r="DL304" i="431" s="1"/>
  <c r="DG302" i="431"/>
  <c r="DG304" i="431" s="1"/>
  <c r="CW302" i="431"/>
  <c r="CW304" i="431" s="1"/>
  <c r="CR302" i="431"/>
  <c r="CR304" i="431" s="1"/>
  <c r="CM302" i="431"/>
  <c r="CM304" i="431" s="1"/>
  <c r="AT302" i="431"/>
  <c r="AT304" i="431" s="1"/>
  <c r="EH301" i="431"/>
  <c r="EI301" i="431" s="1"/>
  <c r="EC301" i="431"/>
  <c r="DX301" i="431"/>
  <c r="DS301" i="431"/>
  <c r="DN301" i="431"/>
  <c r="EC299" i="431"/>
  <c r="ED299" i="431" s="1"/>
  <c r="DX299" i="431"/>
  <c r="DS299" i="431"/>
  <c r="DN299" i="431"/>
  <c r="DN297" i="431"/>
  <c r="DB298" i="431"/>
  <c r="DB299" i="431"/>
  <c r="CW298" i="431"/>
  <c r="CW299" i="431" s="1"/>
  <c r="CR298" i="431"/>
  <c r="CR299" i="431" s="1"/>
  <c r="CM298" i="431"/>
  <c r="CM299" i="431" s="1"/>
  <c r="CH298" i="431"/>
  <c r="CH299" i="431" s="1"/>
  <c r="CC298" i="431"/>
  <c r="CC299" i="431" s="1"/>
  <c r="BX298" i="431"/>
  <c r="BX299" i="431" s="1"/>
  <c r="BS298" i="431"/>
  <c r="BS299" i="431"/>
  <c r="BN298" i="431"/>
  <c r="BN299" i="431" s="1"/>
  <c r="BI298" i="431"/>
  <c r="BI299" i="431" s="1"/>
  <c r="BD298" i="431"/>
  <c r="BD299" i="431" s="1"/>
  <c r="EG298" i="431"/>
  <c r="EF298" i="431"/>
  <c r="EB298" i="431"/>
  <c r="EA298" i="431"/>
  <c r="DW298" i="431"/>
  <c r="DV298" i="431"/>
  <c r="DR298" i="431"/>
  <c r="DQ298" i="431"/>
  <c r="DM298" i="431"/>
  <c r="DG298" i="431"/>
  <c r="EC297" i="431"/>
  <c r="ED297" i="431" s="1"/>
  <c r="DX297" i="431"/>
  <c r="DS297" i="431"/>
  <c r="DT297" i="431" s="1"/>
  <c r="DL297" i="431"/>
  <c r="DL298" i="431" s="1"/>
  <c r="DL296" i="431"/>
  <c r="AY297" i="431"/>
  <c r="AY299" i="431" s="1"/>
  <c r="AY296" i="431"/>
  <c r="AT297" i="431"/>
  <c r="AT299" i="431" s="1"/>
  <c r="AT296" i="431"/>
  <c r="DM296" i="431"/>
  <c r="DG296" i="431"/>
  <c r="DB296" i="431"/>
  <c r="CW296" i="431"/>
  <c r="CR296" i="431"/>
  <c r="CM296" i="431"/>
  <c r="CH296" i="431"/>
  <c r="CC296" i="431"/>
  <c r="BX296" i="431"/>
  <c r="BS296" i="431"/>
  <c r="BN296" i="431"/>
  <c r="BI296" i="431"/>
  <c r="BD296" i="431"/>
  <c r="EG296" i="431"/>
  <c r="EF296" i="431"/>
  <c r="EB296" i="431"/>
  <c r="EA296" i="431"/>
  <c r="DW296" i="431"/>
  <c r="DV296" i="431"/>
  <c r="DR296" i="431"/>
  <c r="DQ296" i="431"/>
  <c r="EH299" i="431"/>
  <c r="EI299" i="431" s="1"/>
  <c r="EH297" i="431"/>
  <c r="EH294" i="431"/>
  <c r="EC294" i="431"/>
  <c r="DX294" i="431"/>
  <c r="DS294" i="431"/>
  <c r="DN294" i="431"/>
  <c r="EC292" i="431"/>
  <c r="DX292" i="431"/>
  <c r="DS292" i="431"/>
  <c r="DN292" i="431"/>
  <c r="DN296" i="431" s="1"/>
  <c r="EH292" i="431"/>
  <c r="EI292" i="431" s="1"/>
  <c r="AT290" i="431"/>
  <c r="EG289" i="431"/>
  <c r="EB289" i="431"/>
  <c r="DW289" i="431"/>
  <c r="DR289" i="431"/>
  <c r="DM289" i="431"/>
  <c r="EC288" i="431"/>
  <c r="DX288" i="431"/>
  <c r="DS288" i="431"/>
  <c r="DS289" i="431" s="1"/>
  <c r="DN288" i="431"/>
  <c r="DN289" i="431" s="1"/>
  <c r="EH288" i="431"/>
  <c r="EG287" i="431"/>
  <c r="EF287" i="431"/>
  <c r="EA287" i="431"/>
  <c r="EA291" i="431" s="1"/>
  <c r="K14" i="455" s="1"/>
  <c r="DV287" i="431"/>
  <c r="DV291" i="431" s="1"/>
  <c r="J14" i="455" s="1"/>
  <c r="DL287" i="431"/>
  <c r="DL291" i="431" s="1"/>
  <c r="H14" i="455" s="1"/>
  <c r="DG287" i="431"/>
  <c r="DG291" i="431" s="1"/>
  <c r="G14" i="455" s="1"/>
  <c r="DB287" i="431"/>
  <c r="DB291" i="431" s="1"/>
  <c r="F14" i="455" s="1"/>
  <c r="CW287" i="431"/>
  <c r="CW291" i="431" s="1"/>
  <c r="CR287" i="431"/>
  <c r="CR291" i="431" s="1"/>
  <c r="CM287" i="431"/>
  <c r="CM291" i="431" s="1"/>
  <c r="CH287" i="431"/>
  <c r="CH291" i="431" s="1"/>
  <c r="CC287" i="431"/>
  <c r="CC291" i="431" s="1"/>
  <c r="BX287" i="431"/>
  <c r="BX291" i="431" s="1"/>
  <c r="BS287" i="431"/>
  <c r="BS291" i="431" s="1"/>
  <c r="BN287" i="431"/>
  <c r="BN291" i="431" s="1"/>
  <c r="BI287" i="431"/>
  <c r="BI291" i="431" s="1"/>
  <c r="BD287" i="431"/>
  <c r="BD291" i="431" s="1"/>
  <c r="AY287" i="431"/>
  <c r="AY291" i="431" s="1"/>
  <c r="AT287" i="431"/>
  <c r="AT291" i="431" s="1"/>
  <c r="EE285" i="431"/>
  <c r="EE287" i="431" s="1"/>
  <c r="ED285" i="431"/>
  <c r="ED287" i="431" s="1"/>
  <c r="EC285" i="431"/>
  <c r="EC287" i="431" s="1"/>
  <c r="EB285" i="431"/>
  <c r="EB287" i="431" s="1"/>
  <c r="DU285" i="431"/>
  <c r="DU287" i="431" s="1"/>
  <c r="DT285" i="431"/>
  <c r="DT287" i="431" s="1"/>
  <c r="DS285" i="431"/>
  <c r="DS287" i="431" s="1"/>
  <c r="DR285" i="431"/>
  <c r="DR287" i="431" s="1"/>
  <c r="DR291" i="431" s="1"/>
  <c r="EI285" i="431"/>
  <c r="EI287" i="431" s="1"/>
  <c r="EH285" i="431"/>
  <c r="DZ285" i="431"/>
  <c r="DZ287" i="431" s="1"/>
  <c r="DY285" i="431"/>
  <c r="DY287" i="431" s="1"/>
  <c r="DX285" i="431"/>
  <c r="DX287" i="431" s="1"/>
  <c r="DW285" i="431"/>
  <c r="DW287" i="431" s="1"/>
  <c r="DN285" i="431"/>
  <c r="DN287" i="431" s="1"/>
  <c r="DM285" i="431"/>
  <c r="DM287" i="431" s="1"/>
  <c r="EI272" i="431"/>
  <c r="EH272" i="431"/>
  <c r="EG272" i="431"/>
  <c r="EE272" i="431"/>
  <c r="ED272" i="431"/>
  <c r="EC272" i="431"/>
  <c r="EB272" i="431"/>
  <c r="DZ272" i="431"/>
  <c r="DY272" i="431"/>
  <c r="DX272" i="431"/>
  <c r="DW272" i="431"/>
  <c r="DU272" i="431"/>
  <c r="DT272" i="431"/>
  <c r="DS272" i="431"/>
  <c r="DR272" i="431"/>
  <c r="DP272" i="431"/>
  <c r="DO272" i="431"/>
  <c r="DN272" i="431"/>
  <c r="DM272" i="431"/>
  <c r="DK272" i="431"/>
  <c r="DJ272" i="431"/>
  <c r="DI272" i="431"/>
  <c r="DH272" i="431"/>
  <c r="DE272" i="431"/>
  <c r="DD272" i="431"/>
  <c r="DC272" i="431"/>
  <c r="CY272" i="431"/>
  <c r="CX272" i="431"/>
  <c r="CT272" i="431"/>
  <c r="CS272" i="431"/>
  <c r="CP272" i="431"/>
  <c r="CO272" i="431"/>
  <c r="CN272" i="431"/>
  <c r="CL272" i="431"/>
  <c r="CK272" i="431"/>
  <c r="CJ272" i="431"/>
  <c r="CI272" i="431"/>
  <c r="CG272" i="431"/>
  <c r="CF272" i="431"/>
  <c r="CE272" i="431"/>
  <c r="CD272" i="431"/>
  <c r="BX271" i="431"/>
  <c r="EF271" i="431"/>
  <c r="EA271" i="431"/>
  <c r="DV271" i="431"/>
  <c r="DQ271" i="431"/>
  <c r="DL271" i="431"/>
  <c r="DG271" i="431"/>
  <c r="DA271" i="431"/>
  <c r="CU271" i="431"/>
  <c r="CQ271" i="431"/>
  <c r="CM271" i="431"/>
  <c r="CH271" i="431"/>
  <c r="CC271" i="431"/>
  <c r="CH272" i="431" s="1"/>
  <c r="BS271" i="431"/>
  <c r="BN271" i="431"/>
  <c r="AS271" i="431"/>
  <c r="AT271" i="431" s="1"/>
  <c r="AN271" i="431"/>
  <c r="AO271" i="431" s="1"/>
  <c r="AI271" i="431"/>
  <c r="AJ271" i="431" s="1"/>
  <c r="AH271" i="431"/>
  <c r="AG271" i="431"/>
  <c r="AF271" i="431"/>
  <c r="BT265" i="431"/>
  <c r="BC267" i="431"/>
  <c r="BB267" i="431"/>
  <c r="BA267" i="431"/>
  <c r="AZ267" i="431"/>
  <c r="AX267" i="431"/>
  <c r="AW267" i="431"/>
  <c r="AV267" i="431"/>
  <c r="AU267" i="431"/>
  <c r="AS267" i="431"/>
  <c r="AR267" i="431"/>
  <c r="AQ267" i="431"/>
  <c r="AP267" i="431"/>
  <c r="DC267" i="431"/>
  <c r="CQ267" i="431"/>
  <c r="CP267" i="431"/>
  <c r="CO267" i="431"/>
  <c r="CN267" i="431"/>
  <c r="CL267" i="431"/>
  <c r="CK267" i="431"/>
  <c r="CJ267" i="431"/>
  <c r="CI267" i="431"/>
  <c r="CG267" i="431"/>
  <c r="CF267" i="431"/>
  <c r="CD267" i="431"/>
  <c r="CB267" i="431"/>
  <c r="CA267" i="431"/>
  <c r="BZ267" i="431"/>
  <c r="BY267" i="431"/>
  <c r="CR265" i="431"/>
  <c r="CM265" i="431"/>
  <c r="CM264" i="431"/>
  <c r="CM263" i="431"/>
  <c r="CM262" i="431"/>
  <c r="CH264" i="431"/>
  <c r="CH263" i="431"/>
  <c r="CH262" i="431"/>
  <c r="CE265" i="431"/>
  <c r="CH265" i="431" s="1"/>
  <c r="CC265" i="431"/>
  <c r="CC264" i="431"/>
  <c r="CC263" i="431"/>
  <c r="CC262" i="431"/>
  <c r="BW265" i="431"/>
  <c r="BS265" i="431"/>
  <c r="BS264" i="431"/>
  <c r="BS263" i="431"/>
  <c r="BS262" i="431"/>
  <c r="BN265" i="431"/>
  <c r="BN264" i="431"/>
  <c r="BN263" i="431"/>
  <c r="BD265" i="431"/>
  <c r="AY265" i="431"/>
  <c r="AT265" i="431"/>
  <c r="EF264" i="431"/>
  <c r="EF263" i="431"/>
  <c r="EF262" i="431"/>
  <c r="EA264" i="431"/>
  <c r="EA263" i="431"/>
  <c r="EA262" i="431"/>
  <c r="DV264" i="431"/>
  <c r="DV263" i="431"/>
  <c r="DV262" i="431"/>
  <c r="DQ264" i="431"/>
  <c r="DQ263" i="431"/>
  <c r="DQ262" i="431"/>
  <c r="DL264" i="431"/>
  <c r="DL263" i="431"/>
  <c r="DL262" i="431"/>
  <c r="DG264" i="431"/>
  <c r="DG263" i="431"/>
  <c r="DG262" i="431"/>
  <c r="DB264" i="431"/>
  <c r="DB263" i="431"/>
  <c r="DB262" i="431"/>
  <c r="CW264" i="431"/>
  <c r="CW263" i="431"/>
  <c r="CW262" i="431"/>
  <c r="CR264" i="431"/>
  <c r="CR263" i="431"/>
  <c r="CR262" i="431"/>
  <c r="BX264" i="431"/>
  <c r="BI264" i="431"/>
  <c r="BI263" i="431"/>
  <c r="BI262" i="431"/>
  <c r="EI260" i="431"/>
  <c r="EH260" i="431"/>
  <c r="EG260" i="431"/>
  <c r="EE260" i="431"/>
  <c r="ED260" i="431"/>
  <c r="EC260" i="431"/>
  <c r="EB260" i="431"/>
  <c r="DZ260" i="431"/>
  <c r="DY260" i="431"/>
  <c r="DX260" i="431"/>
  <c r="DW260" i="431"/>
  <c r="DU260" i="431"/>
  <c r="DT260" i="431"/>
  <c r="DS260" i="431"/>
  <c r="DR260" i="431"/>
  <c r="DP260" i="431"/>
  <c r="DO260" i="431"/>
  <c r="DN260" i="431"/>
  <c r="DM260" i="431"/>
  <c r="DK260" i="431"/>
  <c r="DJ260" i="431"/>
  <c r="DI260" i="431"/>
  <c r="DH260" i="431"/>
  <c r="DF260" i="431"/>
  <c r="DE260" i="431"/>
  <c r="DD260" i="431"/>
  <c r="DC260" i="431"/>
  <c r="DA260" i="431"/>
  <c r="CZ260" i="431"/>
  <c r="CY260" i="431"/>
  <c r="CX260" i="431"/>
  <c r="CV260" i="431"/>
  <c r="CU260" i="431"/>
  <c r="CT260" i="431"/>
  <c r="CS260" i="431"/>
  <c r="CQ260" i="431"/>
  <c r="CP260" i="431"/>
  <c r="CO260" i="431"/>
  <c r="CN260" i="431"/>
  <c r="CL260" i="431"/>
  <c r="CK260" i="431"/>
  <c r="CJ260" i="431"/>
  <c r="CI260" i="431"/>
  <c r="CG260" i="431"/>
  <c r="CF260" i="431"/>
  <c r="CE260" i="431"/>
  <c r="CD260" i="431"/>
  <c r="CB260" i="431"/>
  <c r="CA260" i="431"/>
  <c r="BZ260" i="431"/>
  <c r="EF259" i="431"/>
  <c r="EF257" i="431"/>
  <c r="EF386" i="431" s="1"/>
  <c r="EA259" i="431"/>
  <c r="EF260" i="431" s="1"/>
  <c r="EA257" i="431"/>
  <c r="DV259" i="431"/>
  <c r="DV257" i="431"/>
  <c r="DQ259" i="431"/>
  <c r="DQ257" i="431"/>
  <c r="DQ386" i="431" s="1"/>
  <c r="DL259" i="431"/>
  <c r="DL257" i="431"/>
  <c r="DL386" i="431" s="1"/>
  <c r="DG259" i="431"/>
  <c r="DG257" i="431"/>
  <c r="DB259" i="431"/>
  <c r="DB257" i="431"/>
  <c r="DB258" i="431" s="1"/>
  <c r="CW259" i="431"/>
  <c r="CW257" i="431"/>
  <c r="CR259" i="431"/>
  <c r="CR257" i="431"/>
  <c r="CM259" i="431"/>
  <c r="CR260" i="431" s="1"/>
  <c r="CM257" i="431"/>
  <c r="CH259" i="431"/>
  <c r="CH257" i="431"/>
  <c r="CH258" i="431" s="1"/>
  <c r="CC259" i="431"/>
  <c r="CC257" i="431"/>
  <c r="BW259" i="431"/>
  <c r="BW258" i="431" s="1"/>
  <c r="BV259" i="431"/>
  <c r="BV258" i="431" s="1"/>
  <c r="BU259" i="431"/>
  <c r="BU258" i="431" s="1"/>
  <c r="BT259" i="431"/>
  <c r="BR259" i="431"/>
  <c r="BR258" i="431" s="1"/>
  <c r="BQ259" i="431"/>
  <c r="BQ258" i="431" s="1"/>
  <c r="BP259" i="431"/>
  <c r="BP258" i="431" s="1"/>
  <c r="BO259" i="431"/>
  <c r="BO258" i="431" s="1"/>
  <c r="BM259" i="431"/>
  <c r="BM258" i="431" s="1"/>
  <c r="BL259" i="431"/>
  <c r="BL258" i="431" s="1"/>
  <c r="BK259" i="431"/>
  <c r="BK258" i="431" s="1"/>
  <c r="BJ259" i="431"/>
  <c r="BJ258" i="431" s="1"/>
  <c r="BH259" i="431"/>
  <c r="BG259" i="431"/>
  <c r="BF259" i="431"/>
  <c r="BE259" i="431"/>
  <c r="BD259" i="431"/>
  <c r="BD258" i="431" s="1"/>
  <c r="BC259" i="431"/>
  <c r="BC258" i="431" s="1"/>
  <c r="BB259" i="431"/>
  <c r="BB258" i="431" s="1"/>
  <c r="BA259" i="431"/>
  <c r="BA258" i="431" s="1"/>
  <c r="AZ259" i="431"/>
  <c r="AZ258" i="431" s="1"/>
  <c r="AY259" i="431"/>
  <c r="AY258" i="431" s="1"/>
  <c r="AX259" i="431"/>
  <c r="AX258" i="431" s="1"/>
  <c r="AW259" i="431"/>
  <c r="AW258" i="431" s="1"/>
  <c r="AV259" i="431"/>
  <c r="AV258" i="431" s="1"/>
  <c r="AU259" i="431"/>
  <c r="AU258" i="431" s="1"/>
  <c r="AT259" i="431"/>
  <c r="AS259" i="431"/>
  <c r="AS258" i="431" s="1"/>
  <c r="AR259" i="431"/>
  <c r="AR258" i="431" s="1"/>
  <c r="AQ259" i="431"/>
  <c r="AQ258" i="431" s="1"/>
  <c r="AP259" i="431"/>
  <c r="AP258" i="431" s="1"/>
  <c r="AO259" i="431"/>
  <c r="AO258" i="431" s="1"/>
  <c r="AN259" i="431"/>
  <c r="AN258" i="431" s="1"/>
  <c r="AM259" i="431"/>
  <c r="AM258" i="431" s="1"/>
  <c r="AL259" i="431"/>
  <c r="AL258" i="431" s="1"/>
  <c r="AK259" i="431"/>
  <c r="AK258" i="431" s="1"/>
  <c r="AJ259" i="431"/>
  <c r="AJ258" i="431" s="1"/>
  <c r="AI259" i="431"/>
  <c r="AI258" i="431" s="1"/>
  <c r="AH259" i="431"/>
  <c r="AH258" i="431" s="1"/>
  <c r="AG259" i="431"/>
  <c r="AG258" i="431" s="1"/>
  <c r="AF259" i="431"/>
  <c r="AF258" i="431" s="1"/>
  <c r="AE259" i="431"/>
  <c r="AE258" i="431" s="1"/>
  <c r="AD259" i="431"/>
  <c r="AD258" i="431" s="1"/>
  <c r="AC259" i="431"/>
  <c r="AC258" i="431" s="1"/>
  <c r="AB259" i="431"/>
  <c r="AB258" i="431" s="1"/>
  <c r="AA259" i="431"/>
  <c r="AA258" i="431" s="1"/>
  <c r="Z259" i="431"/>
  <c r="Z258" i="431" s="1"/>
  <c r="Y259" i="431"/>
  <c r="Y258" i="431" s="1"/>
  <c r="X259" i="431"/>
  <c r="X258" i="431" s="1"/>
  <c r="W259" i="431"/>
  <c r="W258" i="431" s="1"/>
  <c r="V259" i="431"/>
  <c r="V258" i="431" s="1"/>
  <c r="U259" i="431"/>
  <c r="U258" i="431" s="1"/>
  <c r="T259" i="431"/>
  <c r="T258" i="431" s="1"/>
  <c r="S259" i="431"/>
  <c r="S258" i="431" s="1"/>
  <c r="R259" i="431"/>
  <c r="R258" i="431" s="1"/>
  <c r="Q259" i="431"/>
  <c r="Q258" i="431" s="1"/>
  <c r="P259" i="431"/>
  <c r="P258" i="431" s="1"/>
  <c r="O259" i="431"/>
  <c r="O258" i="431" s="1"/>
  <c r="N259" i="431"/>
  <c r="N258" i="431" s="1"/>
  <c r="M259" i="431"/>
  <c r="M258" i="431" s="1"/>
  <c r="L259" i="431"/>
  <c r="L258" i="431" s="1"/>
  <c r="K259" i="431"/>
  <c r="K258" i="431" s="1"/>
  <c r="J259" i="431"/>
  <c r="J258" i="431" s="1"/>
  <c r="I259" i="431"/>
  <c r="I258" i="431" s="1"/>
  <c r="H259" i="431"/>
  <c r="H258" i="431" s="1"/>
  <c r="G259" i="431"/>
  <c r="G258" i="431" s="1"/>
  <c r="F259" i="431"/>
  <c r="F258" i="431" s="1"/>
  <c r="EI258" i="431"/>
  <c r="EH258" i="431"/>
  <c r="EG258" i="431"/>
  <c r="EE258" i="431"/>
  <c r="ED258" i="431"/>
  <c r="EC258" i="431"/>
  <c r="EB258" i="431"/>
  <c r="DZ258" i="431"/>
  <c r="DY258" i="431"/>
  <c r="DX258" i="431"/>
  <c r="DW258" i="431"/>
  <c r="DU258" i="431"/>
  <c r="DT258" i="431"/>
  <c r="DS258" i="431"/>
  <c r="DR258" i="431"/>
  <c r="DP258" i="431"/>
  <c r="DO258" i="431"/>
  <c r="DN258" i="431"/>
  <c r="DM258" i="431"/>
  <c r="DK258" i="431"/>
  <c r="DJ258" i="431"/>
  <c r="DI258" i="431"/>
  <c r="DH258" i="431"/>
  <c r="DF258" i="431"/>
  <c r="DE258" i="431"/>
  <c r="DD258" i="431"/>
  <c r="DC258" i="431"/>
  <c r="DA258" i="431"/>
  <c r="CZ258" i="431"/>
  <c r="CY258" i="431"/>
  <c r="CX258" i="431"/>
  <c r="CV258" i="431"/>
  <c r="CU258" i="431"/>
  <c r="CT258" i="431"/>
  <c r="CS258" i="431"/>
  <c r="CQ258" i="431"/>
  <c r="CP258" i="431"/>
  <c r="CO258" i="431"/>
  <c r="CN258" i="431"/>
  <c r="CL258" i="431"/>
  <c r="CK258" i="431"/>
  <c r="CJ258" i="431"/>
  <c r="CI258" i="431"/>
  <c r="CG258" i="431"/>
  <c r="CF258" i="431"/>
  <c r="CE258" i="431"/>
  <c r="CD258" i="431"/>
  <c r="CB258" i="431"/>
  <c r="CA258" i="431"/>
  <c r="BZ258" i="431"/>
  <c r="BY258" i="431"/>
  <c r="BX257" i="431"/>
  <c r="BI257" i="431"/>
  <c r="DG252" i="431"/>
  <c r="DB252" i="431"/>
  <c r="CW252" i="431"/>
  <c r="CR252" i="431"/>
  <c r="CM252" i="431"/>
  <c r="CH252" i="431"/>
  <c r="CC252" i="431"/>
  <c r="BX252" i="431"/>
  <c r="EF249" i="431"/>
  <c r="EF289" i="431" s="1"/>
  <c r="EA249" i="431"/>
  <c r="EA289" i="431" s="1"/>
  <c r="DV249" i="431"/>
  <c r="DV289" i="431" s="1"/>
  <c r="DQ249" i="431"/>
  <c r="DQ289" i="431" s="1"/>
  <c r="DL249" i="431"/>
  <c r="DL289" i="431" s="1"/>
  <c r="DG249" i="431"/>
  <c r="DG289" i="431" s="1"/>
  <c r="DB249" i="431"/>
  <c r="DB289" i="431" s="1"/>
  <c r="CW249" i="431"/>
  <c r="CW289" i="431" s="1"/>
  <c r="CR249" i="431"/>
  <c r="CR289" i="431" s="1"/>
  <c r="CM249" i="431"/>
  <c r="CM289" i="431" s="1"/>
  <c r="CH249" i="431"/>
  <c r="CH289" i="431" s="1"/>
  <c r="CC249" i="431"/>
  <c r="CC289" i="431" s="1"/>
  <c r="BX249" i="431"/>
  <c r="BX289" i="431" s="1"/>
  <c r="BS249" i="431"/>
  <c r="BS289" i="431" s="1"/>
  <c r="BN249" i="431"/>
  <c r="BN289" i="431" s="1"/>
  <c r="BI249" i="431"/>
  <c r="BI289" i="431" s="1"/>
  <c r="BD249" i="431"/>
  <c r="AY249" i="431"/>
  <c r="AT249" i="431"/>
  <c r="AO249" i="431"/>
  <c r="AJ249" i="431"/>
  <c r="AE249" i="431"/>
  <c r="Z249" i="431"/>
  <c r="U249" i="431"/>
  <c r="P249" i="431"/>
  <c r="K249" i="431"/>
  <c r="F249" i="431"/>
  <c r="EF245" i="431"/>
  <c r="EF244" i="431"/>
  <c r="EA245" i="431"/>
  <c r="EA244" i="431"/>
  <c r="EF243" i="431" s="1"/>
  <c r="DV245" i="431"/>
  <c r="DV239" i="431" s="1"/>
  <c r="DV244" i="431"/>
  <c r="DQ245" i="431"/>
  <c r="DQ244" i="431"/>
  <c r="DL245" i="431"/>
  <c r="DG245" i="431"/>
  <c r="DB245" i="431"/>
  <c r="CW245" i="431"/>
  <c r="CW244" i="431"/>
  <c r="CR245" i="431"/>
  <c r="CR244" i="431"/>
  <c r="CM245" i="431"/>
  <c r="CM244" i="431"/>
  <c r="CH245" i="431"/>
  <c r="CH244" i="431"/>
  <c r="CC245" i="431"/>
  <c r="CC244" i="431"/>
  <c r="BX245" i="431"/>
  <c r="BX244" i="431"/>
  <c r="BS245" i="431"/>
  <c r="BN245" i="431"/>
  <c r="BI245" i="431"/>
  <c r="BD245" i="431"/>
  <c r="AY245" i="431"/>
  <c r="AT245" i="431"/>
  <c r="AO245" i="431"/>
  <c r="AJ245" i="431"/>
  <c r="AE245" i="431"/>
  <c r="Z245" i="431"/>
  <c r="U245" i="431"/>
  <c r="P245" i="431"/>
  <c r="K245" i="431"/>
  <c r="C245" i="431"/>
  <c r="DA244" i="431"/>
  <c r="DB244" i="431" s="1"/>
  <c r="EY244" i="431"/>
  <c r="FD243" i="431" s="1"/>
  <c r="FD242" i="431" s="1"/>
  <c r="EX244" i="431"/>
  <c r="FC243" i="431" s="1"/>
  <c r="FC242" i="431" s="1"/>
  <c r="EW244" i="431"/>
  <c r="FB243" i="431" s="1"/>
  <c r="FB242" i="431" s="1"/>
  <c r="EV244" i="431"/>
  <c r="FA243" i="431" s="1"/>
  <c r="FA242" i="431" s="1"/>
  <c r="EI244" i="431"/>
  <c r="EH244" i="431"/>
  <c r="EG244" i="431"/>
  <c r="ED244" i="431"/>
  <c r="EC244" i="431"/>
  <c r="EB244" i="431"/>
  <c r="DY244" i="431"/>
  <c r="DX244" i="431"/>
  <c r="DW244" i="431"/>
  <c r="DX243" i="431" s="1"/>
  <c r="DX242" i="431" s="1"/>
  <c r="DT244" i="431"/>
  <c r="DS244" i="431"/>
  <c r="DR244" i="431"/>
  <c r="DP244" i="431"/>
  <c r="DR243" i="431" s="1"/>
  <c r="DR242" i="431" s="1"/>
  <c r="DO244" i="431"/>
  <c r="DN244" i="431"/>
  <c r="DO243" i="431" s="1"/>
  <c r="DO242" i="431" s="1"/>
  <c r="DM244" i="431"/>
  <c r="DJ244" i="431"/>
  <c r="DI244" i="431"/>
  <c r="DH244" i="431"/>
  <c r="DF244" i="431"/>
  <c r="DE244" i="431"/>
  <c r="DF243" i="431" s="1"/>
  <c r="DD244" i="431"/>
  <c r="DD243" i="431" s="1"/>
  <c r="DD242" i="431" s="1"/>
  <c r="DC244" i="431"/>
  <c r="CZ243" i="431"/>
  <c r="CZ242" i="431" s="1"/>
  <c r="CY243" i="431"/>
  <c r="CY242" i="431" s="1"/>
  <c r="CX243" i="431"/>
  <c r="CX242" i="431" s="1"/>
  <c r="CV243" i="431"/>
  <c r="CW243" i="431" s="1"/>
  <c r="CU243" i="431"/>
  <c r="CU242" i="431" s="1"/>
  <c r="CT243" i="431"/>
  <c r="CT242" i="431" s="1"/>
  <c r="CS243" i="431"/>
  <c r="CS242" i="431" s="1"/>
  <c r="CQ243" i="431"/>
  <c r="CR243" i="431" s="1"/>
  <c r="CP243" i="431"/>
  <c r="CP242" i="431" s="1"/>
  <c r="CO243" i="431"/>
  <c r="CO242" i="431" s="1"/>
  <c r="CN243" i="431"/>
  <c r="CN242" i="431" s="1"/>
  <c r="CL243" i="431"/>
  <c r="CK243" i="431"/>
  <c r="CK242" i="431" s="1"/>
  <c r="CJ243" i="431"/>
  <c r="CJ242" i="431" s="1"/>
  <c r="CI243" i="431"/>
  <c r="CI242" i="431" s="1"/>
  <c r="CG243" i="431"/>
  <c r="CF243" i="431"/>
  <c r="CF242" i="431" s="1"/>
  <c r="CE243" i="431"/>
  <c r="CE242" i="431" s="1"/>
  <c r="CD243" i="431"/>
  <c r="CD242" i="431" s="1"/>
  <c r="CB243" i="431"/>
  <c r="CA243" i="431"/>
  <c r="CA242" i="431" s="1"/>
  <c r="BZ243" i="431"/>
  <c r="BZ242" i="431" s="1"/>
  <c r="BY243" i="431"/>
  <c r="BY242" i="431" s="1"/>
  <c r="BW243" i="431"/>
  <c r="BX243" i="431" s="1"/>
  <c r="BV243" i="431"/>
  <c r="BV242" i="431" s="1"/>
  <c r="BU243" i="431"/>
  <c r="BU242" i="431" s="1"/>
  <c r="BT243" i="431"/>
  <c r="BT242" i="431" s="1"/>
  <c r="EF240" i="431"/>
  <c r="EA240" i="431"/>
  <c r="DV240" i="431"/>
  <c r="DQ240" i="431"/>
  <c r="DL240" i="431"/>
  <c r="DL239" i="431" s="1"/>
  <c r="DG240" i="431"/>
  <c r="DB240" i="431"/>
  <c r="CW240" i="431"/>
  <c r="CR240" i="431"/>
  <c r="CR242" i="431" s="1"/>
  <c r="CM240" i="431"/>
  <c r="CH240" i="431"/>
  <c r="CC240" i="431"/>
  <c r="BX240" i="431"/>
  <c r="BS240" i="431"/>
  <c r="BN240" i="431"/>
  <c r="BN239" i="431" s="1"/>
  <c r="BI240" i="431"/>
  <c r="BD240" i="431"/>
  <c r="AY240" i="431"/>
  <c r="AT240" i="431"/>
  <c r="AO240" i="431"/>
  <c r="AJ240" i="431"/>
  <c r="AJ239" i="431" s="1"/>
  <c r="AE240" i="431"/>
  <c r="Z240" i="431"/>
  <c r="U240" i="431"/>
  <c r="P240" i="431"/>
  <c r="K240" i="431"/>
  <c r="EI239" i="431"/>
  <c r="EH239" i="431"/>
  <c r="EG239" i="431"/>
  <c r="EE239" i="431"/>
  <c r="ED239" i="431"/>
  <c r="EC239" i="431"/>
  <c r="EB239" i="431"/>
  <c r="DZ239" i="431"/>
  <c r="DY239" i="431"/>
  <c r="DX239" i="431"/>
  <c r="DW239" i="431"/>
  <c r="DU239" i="431"/>
  <c r="DT239" i="431"/>
  <c r="DS239" i="431"/>
  <c r="DR239" i="431"/>
  <c r="DP239" i="431"/>
  <c r="DO239" i="431"/>
  <c r="DN239" i="431"/>
  <c r="DM239" i="431"/>
  <c r="DK239" i="431"/>
  <c r="DJ239" i="431"/>
  <c r="DI239" i="431"/>
  <c r="DH239" i="431"/>
  <c r="DF239" i="431"/>
  <c r="DE239" i="431"/>
  <c r="DD239" i="431"/>
  <c r="DC239" i="431"/>
  <c r="DA239" i="431"/>
  <c r="CZ239" i="431"/>
  <c r="CY239" i="431"/>
  <c r="CX239" i="431"/>
  <c r="CV239" i="431"/>
  <c r="CU239" i="431"/>
  <c r="CT239" i="431"/>
  <c r="CS239" i="431"/>
  <c r="CQ239" i="431"/>
  <c r="CP239" i="431"/>
  <c r="CO239" i="431"/>
  <c r="CN239" i="431"/>
  <c r="CL239" i="431"/>
  <c r="CK239" i="431"/>
  <c r="CJ239" i="431"/>
  <c r="CI239" i="431"/>
  <c r="CG239" i="431"/>
  <c r="CF239" i="431"/>
  <c r="CE239" i="431"/>
  <c r="CD239" i="431"/>
  <c r="CB239" i="431"/>
  <c r="CA239" i="431"/>
  <c r="BZ239" i="431"/>
  <c r="BY239" i="431"/>
  <c r="BW239" i="431"/>
  <c r="BV239" i="431"/>
  <c r="BU239" i="431"/>
  <c r="BT239" i="431"/>
  <c r="BR239" i="431"/>
  <c r="BQ239" i="431"/>
  <c r="BP239" i="431"/>
  <c r="BO239" i="431"/>
  <c r="BM239" i="431"/>
  <c r="BL239" i="431"/>
  <c r="BK239" i="431"/>
  <c r="BJ239" i="431"/>
  <c r="BH239" i="431"/>
  <c r="BG239" i="431"/>
  <c r="BF239" i="431"/>
  <c r="BE239" i="431"/>
  <c r="BC239" i="431"/>
  <c r="BB239" i="431"/>
  <c r="BA239" i="431"/>
  <c r="AZ239" i="431"/>
  <c r="AX239" i="431"/>
  <c r="AW239" i="431"/>
  <c r="AV239" i="431"/>
  <c r="AU239" i="431"/>
  <c r="AS239" i="431"/>
  <c r="AR239" i="431"/>
  <c r="AQ239" i="431"/>
  <c r="AP239" i="431"/>
  <c r="AN239" i="431"/>
  <c r="AM239" i="431"/>
  <c r="AL239" i="431"/>
  <c r="AK239" i="431"/>
  <c r="AI239" i="431"/>
  <c r="AH239" i="431"/>
  <c r="AG239" i="431"/>
  <c r="AF239" i="431"/>
  <c r="AD239" i="431"/>
  <c r="AC239" i="431"/>
  <c r="AB239" i="431"/>
  <c r="AA239" i="431"/>
  <c r="Y239" i="431"/>
  <c r="X239" i="431"/>
  <c r="W239" i="431"/>
  <c r="V239" i="431"/>
  <c r="T239" i="431"/>
  <c r="S239" i="431"/>
  <c r="R239" i="431"/>
  <c r="Q239" i="431"/>
  <c r="O239" i="431"/>
  <c r="N239" i="431"/>
  <c r="M239" i="431"/>
  <c r="L239" i="431"/>
  <c r="J239" i="431"/>
  <c r="I239" i="431"/>
  <c r="H239" i="431"/>
  <c r="G239" i="431"/>
  <c r="E239" i="431"/>
  <c r="D239" i="431"/>
  <c r="B239" i="431"/>
  <c r="EI214" i="431"/>
  <c r="EH214" i="431"/>
  <c r="EG214" i="431"/>
  <c r="EE214" i="431"/>
  <c r="ED214" i="431"/>
  <c r="EC214" i="431"/>
  <c r="EC169" i="431" s="1"/>
  <c r="EB214" i="431"/>
  <c r="DZ214" i="431"/>
  <c r="DY214" i="431"/>
  <c r="DX214" i="431"/>
  <c r="DX183" i="431" s="1"/>
  <c r="DW214" i="431"/>
  <c r="DU214" i="431"/>
  <c r="DU155" i="431" s="1"/>
  <c r="DT214" i="431"/>
  <c r="DS214" i="431"/>
  <c r="DR214" i="431"/>
  <c r="DP214" i="431"/>
  <c r="DO214" i="431"/>
  <c r="DN214" i="431"/>
  <c r="DM214" i="431"/>
  <c r="DM140" i="431" s="1"/>
  <c r="DK214" i="431"/>
  <c r="DK195" i="431" s="1"/>
  <c r="DJ214" i="431"/>
  <c r="DI214" i="431"/>
  <c r="DH214" i="431"/>
  <c r="DF214" i="431"/>
  <c r="DF176" i="431" s="1"/>
  <c r="DE214" i="431"/>
  <c r="DD214" i="431"/>
  <c r="DD183" i="431" s="1"/>
  <c r="DC214" i="431"/>
  <c r="DA214" i="431"/>
  <c r="DA169" i="431" s="1"/>
  <c r="CZ214" i="431"/>
  <c r="CY214" i="431"/>
  <c r="CY169" i="431" s="1"/>
  <c r="CX214" i="431"/>
  <c r="CV214" i="431"/>
  <c r="CU214" i="431"/>
  <c r="CU215" i="431" s="1"/>
  <c r="CP214" i="431"/>
  <c r="CO214" i="431"/>
  <c r="CL214" i="431"/>
  <c r="CL169" i="431" s="1"/>
  <c r="CK214" i="431"/>
  <c r="CK215" i="431" s="1"/>
  <c r="CJ214" i="431"/>
  <c r="CJ176" i="431" s="1"/>
  <c r="CG214" i="431"/>
  <c r="CF214" i="431"/>
  <c r="CB214" i="431"/>
  <c r="BZ214" i="431"/>
  <c r="BY214" i="431"/>
  <c r="BV214" i="431"/>
  <c r="BU214" i="431"/>
  <c r="BU223" i="431" s="1"/>
  <c r="BT214" i="431"/>
  <c r="BR214" i="431"/>
  <c r="BR223" i="431" s="1"/>
  <c r="BQ214" i="431"/>
  <c r="BP214" i="431"/>
  <c r="BO214" i="431"/>
  <c r="BM214" i="431"/>
  <c r="BL214" i="431"/>
  <c r="BK214" i="431"/>
  <c r="BJ214" i="431"/>
  <c r="BJ176" i="431" s="1"/>
  <c r="BH214" i="431"/>
  <c r="BH215" i="431" s="1"/>
  <c r="BG214" i="431"/>
  <c r="BG195" i="431" s="1"/>
  <c r="BF214" i="431"/>
  <c r="BC214" i="431"/>
  <c r="BC169" i="431" s="1"/>
  <c r="BB214" i="431"/>
  <c r="BB155" i="431" s="1"/>
  <c r="BA214" i="431"/>
  <c r="AX214" i="431"/>
  <c r="AW214" i="431"/>
  <c r="AV214" i="431"/>
  <c r="AU214" i="431"/>
  <c r="AS214" i="431"/>
  <c r="AR214" i="431"/>
  <c r="AQ214" i="431"/>
  <c r="AQ210" i="431" s="1"/>
  <c r="AP214" i="431"/>
  <c r="AN214" i="431"/>
  <c r="AN176" i="431" s="1"/>
  <c r="AM214" i="431"/>
  <c r="AL214" i="431"/>
  <c r="AK214" i="431"/>
  <c r="AK223" i="431" s="1"/>
  <c r="AI214" i="431"/>
  <c r="AH214" i="431"/>
  <c r="AF214" i="431"/>
  <c r="AF183" i="431" s="1"/>
  <c r="AD214" i="431"/>
  <c r="AD195" i="431" s="1"/>
  <c r="AC214" i="431"/>
  <c r="AB214" i="431"/>
  <c r="AB223" i="431" s="1"/>
  <c r="AA214" i="431"/>
  <c r="Y214" i="431"/>
  <c r="Y210" i="431" s="1"/>
  <c r="W214" i="431"/>
  <c r="W140" i="431" s="1"/>
  <c r="V214" i="431"/>
  <c r="Q214" i="431"/>
  <c r="L214" i="431"/>
  <c r="G214" i="431"/>
  <c r="B214" i="431"/>
  <c r="EI209" i="431"/>
  <c r="EH209" i="431"/>
  <c r="EG209" i="431"/>
  <c r="EE209" i="431"/>
  <c r="ED209" i="431"/>
  <c r="EC209" i="431"/>
  <c r="EB209" i="431"/>
  <c r="DZ209" i="431"/>
  <c r="DY209" i="431"/>
  <c r="DX209" i="431"/>
  <c r="DW209" i="431"/>
  <c r="DU209" i="431"/>
  <c r="DT209" i="431"/>
  <c r="DS209" i="431"/>
  <c r="DR209" i="431"/>
  <c r="DP209" i="431"/>
  <c r="DO209" i="431"/>
  <c r="DN209" i="431"/>
  <c r="DM209" i="431"/>
  <c r="DK209" i="431"/>
  <c r="DJ209" i="431"/>
  <c r="DI209" i="431"/>
  <c r="DH209" i="431"/>
  <c r="DF209" i="431"/>
  <c r="DE209" i="431"/>
  <c r="DD209" i="431"/>
  <c r="DC209" i="431"/>
  <c r="DA209" i="431"/>
  <c r="CZ209" i="431"/>
  <c r="CY209" i="431"/>
  <c r="CX209" i="431"/>
  <c r="CV209" i="431"/>
  <c r="CU209" i="431"/>
  <c r="CT209" i="431"/>
  <c r="CS209" i="431"/>
  <c r="CQ209" i="431"/>
  <c r="CP209" i="431"/>
  <c r="CO209" i="431"/>
  <c r="CN209" i="431"/>
  <c r="CL209" i="431"/>
  <c r="CK209" i="431"/>
  <c r="FJ209" i="431" s="1"/>
  <c r="CJ209" i="431"/>
  <c r="FI209" i="431" s="1"/>
  <c r="CI209" i="431"/>
  <c r="CG209" i="431"/>
  <c r="CF209" i="431"/>
  <c r="CE209" i="431"/>
  <c r="CD209" i="431"/>
  <c r="CB209" i="431"/>
  <c r="CA209" i="431"/>
  <c r="BZ209" i="431"/>
  <c r="BY209" i="431"/>
  <c r="BW209" i="431"/>
  <c r="BV209" i="431"/>
  <c r="BU209" i="431"/>
  <c r="EI208" i="431"/>
  <c r="EH208" i="431"/>
  <c r="EG208" i="431"/>
  <c r="EE208" i="431"/>
  <c r="ED208" i="431"/>
  <c r="EC208" i="431"/>
  <c r="EB208" i="431"/>
  <c r="DZ208" i="431"/>
  <c r="DY208" i="431"/>
  <c r="DX208" i="431"/>
  <c r="DW208" i="431"/>
  <c r="DU208" i="431"/>
  <c r="DT208" i="431"/>
  <c r="DS208" i="431"/>
  <c r="DR208" i="431"/>
  <c r="DP208" i="431"/>
  <c r="DO208" i="431"/>
  <c r="DN208" i="431"/>
  <c r="DM208" i="431"/>
  <c r="DK208" i="431"/>
  <c r="DJ208" i="431"/>
  <c r="DI208" i="431"/>
  <c r="DH208" i="431"/>
  <c r="DF208" i="431"/>
  <c r="DE208" i="431"/>
  <c r="DD208" i="431"/>
  <c r="DC208" i="431"/>
  <c r="DA208" i="431"/>
  <c r="CZ208" i="431"/>
  <c r="CY208" i="431"/>
  <c r="CX208" i="431"/>
  <c r="CV208" i="431"/>
  <c r="CU208" i="431"/>
  <c r="CT208" i="431"/>
  <c r="CS208" i="431"/>
  <c r="CQ208" i="431"/>
  <c r="CP208" i="431"/>
  <c r="CO208" i="431"/>
  <c r="CN208" i="431"/>
  <c r="CL208" i="431"/>
  <c r="CK208" i="431"/>
  <c r="CJ208" i="431"/>
  <c r="CI208" i="431"/>
  <c r="CG208" i="431"/>
  <c r="CF208" i="431"/>
  <c r="CE208" i="431"/>
  <c r="CD208" i="431"/>
  <c r="CB208" i="431"/>
  <c r="CA208" i="431"/>
  <c r="BZ208" i="431"/>
  <c r="BY208" i="431"/>
  <c r="BW208" i="431"/>
  <c r="BV208" i="431"/>
  <c r="BU208" i="431"/>
  <c r="BT208" i="431"/>
  <c r="BR208" i="431"/>
  <c r="BQ208" i="431"/>
  <c r="BP208" i="431"/>
  <c r="BO208" i="431"/>
  <c r="BM208" i="431"/>
  <c r="BL208" i="431"/>
  <c r="BK208" i="431"/>
  <c r="BJ208" i="431"/>
  <c r="BH208" i="431"/>
  <c r="BG208" i="431"/>
  <c r="BF208" i="431"/>
  <c r="BE208" i="431"/>
  <c r="BC208" i="431"/>
  <c r="BB208" i="431"/>
  <c r="BA208" i="431"/>
  <c r="AZ208" i="431"/>
  <c r="AX208" i="431"/>
  <c r="AW208" i="431"/>
  <c r="AV208" i="431"/>
  <c r="AU208" i="431"/>
  <c r="AS208" i="431"/>
  <c r="AR208" i="431"/>
  <c r="AQ208" i="431"/>
  <c r="AP208" i="431"/>
  <c r="AN208" i="431"/>
  <c r="AM208" i="431"/>
  <c r="AL208" i="431"/>
  <c r="AK208" i="431"/>
  <c r="AI208" i="431"/>
  <c r="AH208" i="431"/>
  <c r="AG208" i="431"/>
  <c r="AF208" i="431"/>
  <c r="AD208" i="431"/>
  <c r="AC208" i="431"/>
  <c r="AB208" i="431"/>
  <c r="AA208" i="431"/>
  <c r="W208" i="431"/>
  <c r="V208" i="431"/>
  <c r="Q208" i="431"/>
  <c r="L208" i="431"/>
  <c r="G208" i="431"/>
  <c r="EF207" i="431"/>
  <c r="EA207" i="431"/>
  <c r="K11" i="455" s="1"/>
  <c r="DV207" i="431"/>
  <c r="DQ207" i="431"/>
  <c r="I11" i="455" s="1"/>
  <c r="DL207" i="431"/>
  <c r="DG207" i="431"/>
  <c r="G11" i="455" s="1"/>
  <c r="DB207" i="431"/>
  <c r="CW207" i="431"/>
  <c r="CR207" i="431"/>
  <c r="CM207" i="431"/>
  <c r="CH207" i="431"/>
  <c r="CC207" i="431"/>
  <c r="BX207" i="431"/>
  <c r="BS207" i="431"/>
  <c r="BN207" i="431"/>
  <c r="BM211" i="431" s="1"/>
  <c r="BI207" i="431"/>
  <c r="BD207" i="431"/>
  <c r="AY207" i="431"/>
  <c r="AT207" i="431"/>
  <c r="AO207" i="431"/>
  <c r="AJ207" i="431"/>
  <c r="AE207" i="431"/>
  <c r="AA211" i="431" s="1"/>
  <c r="Z207" i="431"/>
  <c r="T207" i="431"/>
  <c r="S207" i="431"/>
  <c r="O207" i="431"/>
  <c r="N207" i="431"/>
  <c r="S208" i="431" s="1"/>
  <c r="M207" i="431"/>
  <c r="R208" i="431" s="1"/>
  <c r="J207" i="431"/>
  <c r="I207" i="431"/>
  <c r="N208" i="431" s="1"/>
  <c r="H207" i="431"/>
  <c r="E207" i="431"/>
  <c r="F207" i="431" s="1"/>
  <c r="D207" i="431"/>
  <c r="C207" i="431"/>
  <c r="A204" i="431"/>
  <c r="EI201" i="431"/>
  <c r="EH201" i="431"/>
  <c r="EG201" i="431"/>
  <c r="EE201" i="431"/>
  <c r="ED201" i="431"/>
  <c r="EC201" i="431"/>
  <c r="EB201" i="431"/>
  <c r="DZ201" i="431"/>
  <c r="DY201" i="431"/>
  <c r="DX201" i="431"/>
  <c r="DW201" i="431"/>
  <c r="DU201" i="431"/>
  <c r="DT201" i="431"/>
  <c r="DS201" i="431"/>
  <c r="DR201" i="431"/>
  <c r="DP201" i="431"/>
  <c r="DO201" i="431"/>
  <c r="DN201" i="431"/>
  <c r="DM201" i="431"/>
  <c r="DK201" i="431"/>
  <c r="DJ201" i="431"/>
  <c r="DI201" i="431"/>
  <c r="DH201" i="431"/>
  <c r="DF201" i="431"/>
  <c r="DE201" i="431"/>
  <c r="DD201" i="431"/>
  <c r="DC201" i="431"/>
  <c r="DA201" i="431"/>
  <c r="CZ201" i="431"/>
  <c r="CY201" i="431"/>
  <c r="CX201" i="431"/>
  <c r="CV201" i="431"/>
  <c r="CU201" i="431"/>
  <c r="CT201" i="431"/>
  <c r="CS201" i="431"/>
  <c r="CQ201" i="431"/>
  <c r="CP201" i="431"/>
  <c r="CO201" i="431"/>
  <c r="CN201" i="431"/>
  <c r="CL201" i="431"/>
  <c r="CK201" i="431"/>
  <c r="CJ201" i="431"/>
  <c r="CI201" i="431"/>
  <c r="CG201" i="431"/>
  <c r="CF201" i="431"/>
  <c r="CE201" i="431"/>
  <c r="CD201" i="431"/>
  <c r="CB201" i="431"/>
  <c r="CA201" i="431"/>
  <c r="BZ201" i="431"/>
  <c r="BY201" i="431"/>
  <c r="BW201" i="431"/>
  <c r="BV201" i="431"/>
  <c r="BU201" i="431"/>
  <c r="BT201" i="431"/>
  <c r="BR201" i="431"/>
  <c r="BQ201" i="431"/>
  <c r="BP201" i="431"/>
  <c r="BO201" i="431"/>
  <c r="BM201" i="431"/>
  <c r="BL201" i="431"/>
  <c r="BK201" i="431"/>
  <c r="BJ201" i="431"/>
  <c r="BH201" i="431"/>
  <c r="BG201" i="431"/>
  <c r="BF201" i="431"/>
  <c r="BE201" i="431"/>
  <c r="BC201" i="431"/>
  <c r="BB201" i="431"/>
  <c r="BA201" i="431"/>
  <c r="AZ201" i="431"/>
  <c r="AX201" i="431"/>
  <c r="AW201" i="431"/>
  <c r="AV201" i="431"/>
  <c r="AU201" i="431"/>
  <c r="AS201" i="431"/>
  <c r="AR201" i="431"/>
  <c r="AQ201" i="431"/>
  <c r="AP201" i="431"/>
  <c r="AN201" i="431"/>
  <c r="AM201" i="431"/>
  <c r="AK201" i="431"/>
  <c r="AI201" i="431"/>
  <c r="AH201" i="431"/>
  <c r="AF201" i="431"/>
  <c r="AD201" i="431"/>
  <c r="AC201" i="431"/>
  <c r="AB201" i="431"/>
  <c r="AA201" i="431"/>
  <c r="V201" i="431"/>
  <c r="Q201" i="431"/>
  <c r="L201" i="431"/>
  <c r="G201" i="431"/>
  <c r="EF200" i="431"/>
  <c r="EA200" i="431"/>
  <c r="DV200" i="431"/>
  <c r="DQ200" i="431"/>
  <c r="DL200" i="431"/>
  <c r="DJ203" i="431" s="1"/>
  <c r="DG200" i="431"/>
  <c r="DB200" i="431"/>
  <c r="CW200" i="431"/>
  <c r="CS203" i="431" s="1"/>
  <c r="CR200" i="431"/>
  <c r="CM200" i="431"/>
  <c r="CH200" i="431"/>
  <c r="CE203" i="431" s="1"/>
  <c r="CC200" i="431"/>
  <c r="BX200" i="431"/>
  <c r="BU203" i="431" s="1"/>
  <c r="BS200" i="431"/>
  <c r="BN200" i="431"/>
  <c r="BI200" i="431"/>
  <c r="BE203" i="431" s="1"/>
  <c r="BD200" i="431"/>
  <c r="AY200" i="431"/>
  <c r="AT200" i="431"/>
  <c r="AO200" i="431"/>
  <c r="AG200" i="431"/>
  <c r="AE200" i="431"/>
  <c r="Z200" i="431"/>
  <c r="T200" i="431"/>
  <c r="Y201" i="431" s="1"/>
  <c r="S200" i="431"/>
  <c r="R200" i="431"/>
  <c r="O200" i="431"/>
  <c r="N200" i="431"/>
  <c r="M200" i="431"/>
  <c r="J200" i="431"/>
  <c r="J201" i="431" s="1"/>
  <c r="I200" i="431"/>
  <c r="I201" i="431" s="1"/>
  <c r="H200" i="431"/>
  <c r="E200" i="431"/>
  <c r="D200" i="431"/>
  <c r="C200" i="431"/>
  <c r="A197" i="431"/>
  <c r="EI194" i="431"/>
  <c r="EH194" i="431"/>
  <c r="EG194" i="431"/>
  <c r="EE194" i="431"/>
  <c r="ED194" i="431"/>
  <c r="EC194" i="431"/>
  <c r="EB194" i="431"/>
  <c r="DZ194" i="431"/>
  <c r="DY194" i="431"/>
  <c r="DX194" i="431"/>
  <c r="DW194" i="431"/>
  <c r="DU194" i="431"/>
  <c r="DT194" i="431"/>
  <c r="DS194" i="431"/>
  <c r="DR194" i="431"/>
  <c r="DP194" i="431"/>
  <c r="DO194" i="431"/>
  <c r="DN194" i="431"/>
  <c r="DM194" i="431"/>
  <c r="DK194" i="431"/>
  <c r="DJ194" i="431"/>
  <c r="DI194" i="431"/>
  <c r="DH194" i="431"/>
  <c r="DF194" i="431"/>
  <c r="DE194" i="431"/>
  <c r="DD194" i="431"/>
  <c r="DC194" i="431"/>
  <c r="DA194" i="431"/>
  <c r="CZ194" i="431"/>
  <c r="CV194" i="431"/>
  <c r="CU194" i="431"/>
  <c r="CQ194" i="431"/>
  <c r="CP194" i="431"/>
  <c r="CO194" i="431"/>
  <c r="CN194" i="431"/>
  <c r="CL194" i="431"/>
  <c r="CK194" i="431"/>
  <c r="CJ194" i="431"/>
  <c r="CG194" i="431"/>
  <c r="CF194" i="431"/>
  <c r="CE194" i="431"/>
  <c r="CB194" i="431"/>
  <c r="CA194" i="431"/>
  <c r="BZ194" i="431"/>
  <c r="BY194" i="431"/>
  <c r="BW194" i="431"/>
  <c r="BV194" i="431"/>
  <c r="BU194" i="431"/>
  <c r="BT194" i="431"/>
  <c r="BR194" i="431"/>
  <c r="BQ194" i="431"/>
  <c r="BP194" i="431"/>
  <c r="BO194" i="431"/>
  <c r="BM194" i="431"/>
  <c r="BL194" i="431"/>
  <c r="BK194" i="431"/>
  <c r="BJ194" i="431"/>
  <c r="BH194" i="431"/>
  <c r="BG194" i="431"/>
  <c r="BF194" i="431"/>
  <c r="BE194" i="431"/>
  <c r="BC194" i="431"/>
  <c r="BB194" i="431"/>
  <c r="BA194" i="431"/>
  <c r="AZ194" i="431"/>
  <c r="AX194" i="431"/>
  <c r="AW194" i="431"/>
  <c r="AV194" i="431"/>
  <c r="AU194" i="431"/>
  <c r="AS194" i="431"/>
  <c r="AR194" i="431"/>
  <c r="AQ194" i="431"/>
  <c r="AP194" i="431"/>
  <c r="AN194" i="431"/>
  <c r="AM194" i="431"/>
  <c r="AL194" i="431"/>
  <c r="AK194" i="431"/>
  <c r="AI194" i="431"/>
  <c r="AH194" i="431"/>
  <c r="AG194" i="431"/>
  <c r="AF194" i="431"/>
  <c r="AD194" i="431"/>
  <c r="AC194" i="431"/>
  <c r="AB194" i="431"/>
  <c r="AA194" i="431"/>
  <c r="V194" i="431"/>
  <c r="Q194" i="431"/>
  <c r="L194" i="431"/>
  <c r="G194" i="431"/>
  <c r="EF193" i="431"/>
  <c r="EA193" i="431"/>
  <c r="DV193" i="431"/>
  <c r="DQ193" i="431"/>
  <c r="DL193" i="431"/>
  <c r="DI196" i="431" s="1"/>
  <c r="DG193" i="431"/>
  <c r="DF196" i="431" s="1"/>
  <c r="DB193" i="431"/>
  <c r="CT193" i="431"/>
  <c r="CS193" i="431"/>
  <c r="CR193" i="431"/>
  <c r="CM193" i="431"/>
  <c r="CK196" i="431" s="1"/>
  <c r="CD193" i="431"/>
  <c r="CH193" i="431" s="1"/>
  <c r="CF196" i="431" s="1"/>
  <c r="CC193" i="431"/>
  <c r="CB196" i="431" s="1"/>
  <c r="BX193" i="431"/>
  <c r="BU196" i="431" s="1"/>
  <c r="BX188" i="431"/>
  <c r="BS193" i="431"/>
  <c r="BS188" i="431"/>
  <c r="BN193" i="431"/>
  <c r="BN188" i="431"/>
  <c r="BI193" i="431"/>
  <c r="BI188" i="431"/>
  <c r="BD193" i="431"/>
  <c r="BA196" i="431" s="1"/>
  <c r="AY193" i="431"/>
  <c r="AX196" i="431" s="1"/>
  <c r="AT193" i="431"/>
  <c r="AO193" i="431"/>
  <c r="AJ193" i="431"/>
  <c r="AE193" i="431"/>
  <c r="Z193" i="431"/>
  <c r="T193" i="431"/>
  <c r="S193" i="431"/>
  <c r="R193" i="431"/>
  <c r="O193" i="431"/>
  <c r="N193" i="431"/>
  <c r="S194" i="431" s="1"/>
  <c r="M193" i="431"/>
  <c r="J193" i="431"/>
  <c r="I193" i="431"/>
  <c r="H193" i="431"/>
  <c r="E193" i="431"/>
  <c r="D193" i="431"/>
  <c r="C193" i="431"/>
  <c r="A191" i="431"/>
  <c r="CB189" i="431"/>
  <c r="CA189" i="431"/>
  <c r="BZ189" i="431"/>
  <c r="BY189" i="431"/>
  <c r="BW189" i="431"/>
  <c r="BV189" i="431"/>
  <c r="BU189" i="431"/>
  <c r="BT189" i="431"/>
  <c r="BR189" i="431"/>
  <c r="BQ189" i="431"/>
  <c r="BP189" i="431"/>
  <c r="BO189" i="431"/>
  <c r="BM189" i="431"/>
  <c r="BL189" i="431"/>
  <c r="BK189" i="431"/>
  <c r="BJ189" i="431"/>
  <c r="BH189" i="431"/>
  <c r="BG189" i="431"/>
  <c r="BF189" i="431"/>
  <c r="BD188" i="431"/>
  <c r="BI189" i="431" s="1"/>
  <c r="A185" i="431"/>
  <c r="EI182" i="431"/>
  <c r="EH182" i="431"/>
  <c r="EG182" i="431"/>
  <c r="EE182" i="431"/>
  <c r="ED182" i="431"/>
  <c r="EC182" i="431"/>
  <c r="EB182" i="431"/>
  <c r="DZ182" i="431"/>
  <c r="DY182" i="431"/>
  <c r="DX182" i="431"/>
  <c r="DW182" i="431"/>
  <c r="DU182" i="431"/>
  <c r="DT182" i="431"/>
  <c r="DS182" i="431"/>
  <c r="DR182" i="431"/>
  <c r="DP182" i="431"/>
  <c r="DO182" i="431"/>
  <c r="DN182" i="431"/>
  <c r="DM182" i="431"/>
  <c r="DK182" i="431"/>
  <c r="DJ182" i="431"/>
  <c r="DI182" i="431"/>
  <c r="DH182" i="431"/>
  <c r="DF182" i="431"/>
  <c r="DE182" i="431"/>
  <c r="DD182" i="431"/>
  <c r="DC182" i="431"/>
  <c r="DA182" i="431"/>
  <c r="CZ182" i="431"/>
  <c r="CY182" i="431"/>
  <c r="CX182" i="431"/>
  <c r="CV182" i="431"/>
  <c r="CU182" i="431"/>
  <c r="CT182" i="431"/>
  <c r="CS182" i="431"/>
  <c r="CQ182" i="431"/>
  <c r="CP182" i="431"/>
  <c r="CO182" i="431"/>
  <c r="CN182" i="431"/>
  <c r="CL182" i="431"/>
  <c r="CK182" i="431"/>
  <c r="CJ182" i="431"/>
  <c r="CI182" i="431"/>
  <c r="CG182" i="431"/>
  <c r="CF182" i="431"/>
  <c r="CE182" i="431"/>
  <c r="CD182" i="431"/>
  <c r="CB182" i="431"/>
  <c r="CA182" i="431"/>
  <c r="BZ182" i="431"/>
  <c r="BY182" i="431"/>
  <c r="BW182" i="431"/>
  <c r="BV182" i="431"/>
  <c r="BU182" i="431"/>
  <c r="BT182" i="431"/>
  <c r="BR182" i="431"/>
  <c r="BQ182" i="431"/>
  <c r="BP182" i="431"/>
  <c r="BO182" i="431"/>
  <c r="BM182" i="431"/>
  <c r="BL182" i="431"/>
  <c r="BK182" i="431"/>
  <c r="BJ182" i="431"/>
  <c r="BH182" i="431"/>
  <c r="BG182" i="431"/>
  <c r="BF182" i="431"/>
  <c r="BE182" i="431"/>
  <c r="BC182" i="431"/>
  <c r="BB182" i="431"/>
  <c r="BA182" i="431"/>
  <c r="AZ182" i="431"/>
  <c r="AX182" i="431"/>
  <c r="AW182" i="431"/>
  <c r="AV182" i="431"/>
  <c r="AU182" i="431"/>
  <c r="AS182" i="431"/>
  <c r="AR182" i="431"/>
  <c r="AQ182" i="431"/>
  <c r="AP182" i="431"/>
  <c r="AN182" i="431"/>
  <c r="AM182" i="431"/>
  <c r="AL182" i="431"/>
  <c r="AK182" i="431"/>
  <c r="AI182" i="431"/>
  <c r="AH182" i="431"/>
  <c r="AG182" i="431"/>
  <c r="AF182" i="431"/>
  <c r="AD182" i="431"/>
  <c r="AC182" i="431"/>
  <c r="AB182" i="431"/>
  <c r="AA182" i="431"/>
  <c r="V182" i="431"/>
  <c r="Q182" i="431"/>
  <c r="L182" i="431"/>
  <c r="G182" i="431"/>
  <c r="EF181" i="431"/>
  <c r="ED184" i="431" s="1"/>
  <c r="EA181" i="431"/>
  <c r="DV181" i="431"/>
  <c r="DQ181" i="431"/>
  <c r="DL181" i="431"/>
  <c r="DG181" i="431"/>
  <c r="DE184" i="431" s="1"/>
  <c r="DB181" i="431"/>
  <c r="CW181" i="431"/>
  <c r="CR181" i="431"/>
  <c r="CM181" i="431"/>
  <c r="CH181" i="431"/>
  <c r="CC181" i="431"/>
  <c r="BZ184" i="431" s="1"/>
  <c r="BX181" i="431"/>
  <c r="BS181" i="431"/>
  <c r="BN181" i="431"/>
  <c r="BI181" i="431"/>
  <c r="BD181" i="431"/>
  <c r="BB184" i="431" s="1"/>
  <c r="AY181" i="431"/>
  <c r="AT181" i="431"/>
  <c r="AO181" i="431"/>
  <c r="AJ181" i="431"/>
  <c r="AH184" i="431" s="1"/>
  <c r="AE181" i="431"/>
  <c r="Z181" i="431"/>
  <c r="T181" i="431"/>
  <c r="Y182" i="431" s="1"/>
  <c r="S181" i="431"/>
  <c r="R181" i="431"/>
  <c r="R182" i="431" s="1"/>
  <c r="O181" i="431"/>
  <c r="N181" i="431"/>
  <c r="M181" i="431"/>
  <c r="J181" i="431"/>
  <c r="I181" i="431"/>
  <c r="H181" i="431"/>
  <c r="E181" i="431"/>
  <c r="D181" i="431"/>
  <c r="C181" i="431"/>
  <c r="FV178" i="431"/>
  <c r="FU178" i="431"/>
  <c r="A178" i="431"/>
  <c r="EI175" i="431"/>
  <c r="EH175" i="431"/>
  <c r="EG175" i="431"/>
  <c r="EE175" i="431"/>
  <c r="ED175" i="431"/>
  <c r="EC175" i="431"/>
  <c r="EB175" i="431"/>
  <c r="DZ175" i="431"/>
  <c r="DY175" i="431"/>
  <c r="DX175" i="431"/>
  <c r="DW175" i="431"/>
  <c r="DU175" i="431"/>
  <c r="DT175" i="431"/>
  <c r="DS175" i="431"/>
  <c r="DR175" i="431"/>
  <c r="DP175" i="431"/>
  <c r="DO175" i="431"/>
  <c r="DN175" i="431"/>
  <c r="DM175" i="431"/>
  <c r="DK175" i="431"/>
  <c r="DJ175" i="431"/>
  <c r="DI175" i="431"/>
  <c r="DH175" i="431"/>
  <c r="DF175" i="431"/>
  <c r="DE175" i="431"/>
  <c r="DD175" i="431"/>
  <c r="DC175" i="431"/>
  <c r="DA175" i="431"/>
  <c r="CZ175" i="431"/>
  <c r="CY175" i="431"/>
  <c r="CX175" i="431"/>
  <c r="CV175" i="431"/>
  <c r="CU175" i="431"/>
  <c r="CT175" i="431"/>
  <c r="CS175" i="431"/>
  <c r="CQ175" i="431"/>
  <c r="CP175" i="431"/>
  <c r="CO175" i="431"/>
  <c r="CN175" i="431"/>
  <c r="CL175" i="431"/>
  <c r="CK175" i="431"/>
  <c r="CJ175" i="431"/>
  <c r="CI175" i="431"/>
  <c r="CG175" i="431"/>
  <c r="CF175" i="431"/>
  <c r="CE175" i="431"/>
  <c r="CD175" i="431"/>
  <c r="CB175" i="431"/>
  <c r="CA175" i="431"/>
  <c r="BZ175" i="431"/>
  <c r="BY175" i="431"/>
  <c r="BW175" i="431"/>
  <c r="BV175" i="431"/>
  <c r="BU175" i="431"/>
  <c r="BT175" i="431"/>
  <c r="BR175" i="431"/>
  <c r="BQ175" i="431"/>
  <c r="BP175" i="431"/>
  <c r="BO175" i="431"/>
  <c r="BM175" i="431"/>
  <c r="BL175" i="431"/>
  <c r="BK175" i="431"/>
  <c r="BJ175" i="431"/>
  <c r="BH175" i="431"/>
  <c r="BG175" i="431"/>
  <c r="BF175" i="431"/>
  <c r="BE175" i="431"/>
  <c r="BC175" i="431"/>
  <c r="BB175" i="431"/>
  <c r="BA175" i="431"/>
  <c r="AZ175" i="431"/>
  <c r="AX175" i="431"/>
  <c r="AW175" i="431"/>
  <c r="AV175" i="431"/>
  <c r="AU175" i="431"/>
  <c r="AS175" i="431"/>
  <c r="AR175" i="431"/>
  <c r="AQ175" i="431"/>
  <c r="AP175" i="431"/>
  <c r="AN175" i="431"/>
  <c r="AM175" i="431"/>
  <c r="AL175" i="431"/>
  <c r="AK175" i="431"/>
  <c r="AI175" i="431"/>
  <c r="AH175" i="431"/>
  <c r="AG175" i="431"/>
  <c r="AF175" i="431"/>
  <c r="AD175" i="431"/>
  <c r="AC175" i="431"/>
  <c r="AB175" i="431"/>
  <c r="AA175" i="431"/>
  <c r="V175" i="431"/>
  <c r="Q175" i="431"/>
  <c r="L175" i="431"/>
  <c r="G175" i="431"/>
  <c r="EF174" i="431"/>
  <c r="EA174" i="431"/>
  <c r="DV174" i="431"/>
  <c r="DT177" i="431" s="1"/>
  <c r="DQ174" i="431"/>
  <c r="DL174" i="431"/>
  <c r="DG174" i="431"/>
  <c r="DB174" i="431"/>
  <c r="CW174" i="431"/>
  <c r="CS177" i="431" s="1"/>
  <c r="CR174" i="431"/>
  <c r="CN177" i="431" s="1"/>
  <c r="CM174" i="431"/>
  <c r="CH174" i="431"/>
  <c r="CC174" i="431"/>
  <c r="BX174" i="431"/>
  <c r="BS174" i="431"/>
  <c r="BP177" i="431" s="1"/>
  <c r="BN174" i="431"/>
  <c r="BI174" i="431"/>
  <c r="BD174" i="431"/>
  <c r="BA177" i="431" s="1"/>
  <c r="AY174" i="431"/>
  <c r="AT174" i="431"/>
  <c r="AO174" i="431"/>
  <c r="AK177" i="431" s="1"/>
  <c r="AJ174" i="431"/>
  <c r="AE174" i="431"/>
  <c r="Z174" i="431"/>
  <c r="T174" i="431"/>
  <c r="Y175" i="431" s="1"/>
  <c r="S174" i="431"/>
  <c r="X175" i="431" s="1"/>
  <c r="R174" i="431"/>
  <c r="U174" i="431" s="1"/>
  <c r="O174" i="431"/>
  <c r="T175" i="431" s="1"/>
  <c r="N174" i="431"/>
  <c r="M174" i="431"/>
  <c r="J174" i="431"/>
  <c r="I174" i="431"/>
  <c r="H174" i="431"/>
  <c r="E174" i="431"/>
  <c r="D174" i="431"/>
  <c r="C174" i="431"/>
  <c r="H175" i="431" s="1"/>
  <c r="A171" i="431"/>
  <c r="EI168" i="431"/>
  <c r="EH168" i="431"/>
  <c r="EG168" i="431"/>
  <c r="EE168" i="431"/>
  <c r="ED168" i="431"/>
  <c r="EC168" i="431"/>
  <c r="EB168" i="431"/>
  <c r="DZ168" i="431"/>
  <c r="DY168" i="431"/>
  <c r="DX168" i="431"/>
  <c r="DW168" i="431"/>
  <c r="DU168" i="431"/>
  <c r="DT168" i="431"/>
  <c r="DS168" i="431"/>
  <c r="DR168" i="431"/>
  <c r="DP168" i="431"/>
  <c r="DO168" i="431"/>
  <c r="DN168" i="431"/>
  <c r="DM168" i="431"/>
  <c r="DK168" i="431"/>
  <c r="DJ168" i="431"/>
  <c r="DI168" i="431"/>
  <c r="DH168" i="431"/>
  <c r="DF168" i="431"/>
  <c r="DE168" i="431"/>
  <c r="DD168" i="431"/>
  <c r="DC168" i="431"/>
  <c r="DA168" i="431"/>
  <c r="CZ168" i="431"/>
  <c r="CY168" i="431"/>
  <c r="CX168" i="431"/>
  <c r="CV168" i="431"/>
  <c r="CU168" i="431"/>
  <c r="CT168" i="431"/>
  <c r="CS168" i="431"/>
  <c r="CQ168" i="431"/>
  <c r="CP168" i="431"/>
  <c r="CO168" i="431"/>
  <c r="CN168" i="431"/>
  <c r="CL168" i="431"/>
  <c r="CK168" i="431"/>
  <c r="CJ168" i="431"/>
  <c r="CI168" i="431"/>
  <c r="CG168" i="431"/>
  <c r="CF168" i="431"/>
  <c r="CE168" i="431"/>
  <c r="CD168" i="431"/>
  <c r="CB168" i="431"/>
  <c r="CA168" i="431"/>
  <c r="BZ168" i="431"/>
  <c r="BY168" i="431"/>
  <c r="BW168" i="431"/>
  <c r="BV168" i="431"/>
  <c r="BU168" i="431"/>
  <c r="BT168" i="431"/>
  <c r="BR168" i="431"/>
  <c r="BQ168" i="431"/>
  <c r="BP168" i="431"/>
  <c r="BO168" i="431"/>
  <c r="BM168" i="431"/>
  <c r="BL168" i="431"/>
  <c r="BK168" i="431"/>
  <c r="BJ168" i="431"/>
  <c r="BH168" i="431"/>
  <c r="BG168" i="431"/>
  <c r="BF168" i="431"/>
  <c r="BE168" i="431"/>
  <c r="BC168" i="431"/>
  <c r="BB168" i="431"/>
  <c r="BA168" i="431"/>
  <c r="AZ168" i="431"/>
  <c r="AX168" i="431"/>
  <c r="AW168" i="431"/>
  <c r="AV168" i="431"/>
  <c r="AU168" i="431"/>
  <c r="AS168" i="431"/>
  <c r="AR168" i="431"/>
  <c r="AQ168" i="431"/>
  <c r="AP168" i="431"/>
  <c r="AN168" i="431"/>
  <c r="AM168" i="431"/>
  <c r="AL168" i="431"/>
  <c r="AK168" i="431"/>
  <c r="AI168" i="431"/>
  <c r="AH168" i="431"/>
  <c r="AG168" i="431"/>
  <c r="AF168" i="431"/>
  <c r="AD168" i="431"/>
  <c r="AC168" i="431"/>
  <c r="AB168" i="431"/>
  <c r="AA168" i="431"/>
  <c r="V168" i="431"/>
  <c r="Q168" i="431"/>
  <c r="L168" i="431"/>
  <c r="G168" i="431"/>
  <c r="EF167" i="431"/>
  <c r="EB170" i="431" s="1"/>
  <c r="EA167" i="431"/>
  <c r="DV167" i="431"/>
  <c r="DQ167" i="431"/>
  <c r="DL167" i="431"/>
  <c r="DG167" i="431"/>
  <c r="DB167" i="431"/>
  <c r="CY170" i="431" s="1"/>
  <c r="CW167" i="431"/>
  <c r="CR167" i="431"/>
  <c r="CM167" i="431"/>
  <c r="CH167" i="431"/>
  <c r="CC167" i="431"/>
  <c r="BY170" i="431" s="1"/>
  <c r="BX167" i="431"/>
  <c r="BS167" i="431"/>
  <c r="BN167" i="431"/>
  <c r="BI167" i="431"/>
  <c r="BH170" i="431" s="1"/>
  <c r="BD167" i="431"/>
  <c r="AY167" i="431"/>
  <c r="AT167" i="431"/>
  <c r="AO167" i="431"/>
  <c r="AJ167" i="431"/>
  <c r="AE167" i="431"/>
  <c r="AB170" i="431" s="1"/>
  <c r="Z167" i="431"/>
  <c r="X170" i="431" s="1"/>
  <c r="T167" i="431"/>
  <c r="S167" i="431"/>
  <c r="X168" i="431" s="1"/>
  <c r="R167" i="431"/>
  <c r="W168" i="431" s="1"/>
  <c r="O167" i="431"/>
  <c r="N167" i="431"/>
  <c r="M167" i="431"/>
  <c r="J167" i="431"/>
  <c r="I167" i="431"/>
  <c r="H167" i="431"/>
  <c r="E167" i="431"/>
  <c r="D167" i="431"/>
  <c r="I168" i="431" s="1"/>
  <c r="C167" i="431"/>
  <c r="H168" i="431" s="1"/>
  <c r="EI162" i="431"/>
  <c r="EH162" i="431"/>
  <c r="EG162" i="431"/>
  <c r="EE162" i="431"/>
  <c r="ED162" i="431"/>
  <c r="EC162" i="431"/>
  <c r="EB162" i="431"/>
  <c r="DZ162" i="431"/>
  <c r="DY162" i="431"/>
  <c r="DX162" i="431"/>
  <c r="DW162" i="431"/>
  <c r="DU162" i="431"/>
  <c r="DT162" i="431"/>
  <c r="DS162" i="431"/>
  <c r="DR162" i="431"/>
  <c r="DP162" i="431"/>
  <c r="DO162" i="431"/>
  <c r="DN162" i="431"/>
  <c r="DM162" i="431"/>
  <c r="DK162" i="431"/>
  <c r="DJ162" i="431"/>
  <c r="DI162" i="431"/>
  <c r="DH162" i="431"/>
  <c r="DF162" i="431"/>
  <c r="DE162" i="431"/>
  <c r="DD162" i="431"/>
  <c r="DC162" i="431"/>
  <c r="DA162" i="431"/>
  <c r="CZ162" i="431"/>
  <c r="CY162" i="431"/>
  <c r="CX162" i="431"/>
  <c r="CV162" i="431"/>
  <c r="CU162" i="431"/>
  <c r="CT162" i="431"/>
  <c r="CS162" i="431"/>
  <c r="CQ162" i="431"/>
  <c r="CP162" i="431"/>
  <c r="CP164" i="431" s="1"/>
  <c r="CO162" i="431"/>
  <c r="CN162" i="431"/>
  <c r="CL162" i="431"/>
  <c r="CK162" i="431"/>
  <c r="CP163" i="431" s="1"/>
  <c r="CJ162" i="431"/>
  <c r="CI162" i="431"/>
  <c r="CG162" i="431"/>
  <c r="CF162" i="431"/>
  <c r="CE162" i="431"/>
  <c r="CD162" i="431"/>
  <c r="CB162" i="431"/>
  <c r="CA162" i="431"/>
  <c r="CF163" i="431" s="1"/>
  <c r="BZ162" i="431"/>
  <c r="BY162" i="431"/>
  <c r="EI161" i="431"/>
  <c r="EH161" i="431"/>
  <c r="EG161" i="431"/>
  <c r="EE161" i="431"/>
  <c r="ED161" i="431"/>
  <c r="EC161" i="431"/>
  <c r="EB161" i="431"/>
  <c r="DZ161" i="431"/>
  <c r="DY161" i="431"/>
  <c r="DX161" i="431"/>
  <c r="DW161" i="431"/>
  <c r="DU161" i="431"/>
  <c r="DT161" i="431"/>
  <c r="DS161" i="431"/>
  <c r="DR161" i="431"/>
  <c r="DP161" i="431"/>
  <c r="DO161" i="431"/>
  <c r="DN161" i="431"/>
  <c r="DM161" i="431"/>
  <c r="DK161" i="431"/>
  <c r="DJ161" i="431"/>
  <c r="DI161" i="431"/>
  <c r="DH161" i="431"/>
  <c r="DF161" i="431"/>
  <c r="DE161" i="431"/>
  <c r="DD161" i="431"/>
  <c r="DC161" i="431"/>
  <c r="DA161" i="431"/>
  <c r="CZ161" i="431"/>
  <c r="CY161" i="431"/>
  <c r="CX161" i="431"/>
  <c r="CV161" i="431"/>
  <c r="CU161" i="431"/>
  <c r="CT161" i="431"/>
  <c r="CS161" i="431"/>
  <c r="CQ161" i="431"/>
  <c r="CP161" i="431"/>
  <c r="CO161" i="431"/>
  <c r="CN161" i="431"/>
  <c r="CL161" i="431"/>
  <c r="CK161" i="431"/>
  <c r="CJ161" i="431"/>
  <c r="CI161" i="431"/>
  <c r="CG161" i="431"/>
  <c r="CF161" i="431"/>
  <c r="CE161" i="431"/>
  <c r="CD161" i="431"/>
  <c r="CB161" i="431"/>
  <c r="CA161" i="431"/>
  <c r="BZ161" i="431"/>
  <c r="BY161" i="431"/>
  <c r="BW161" i="431"/>
  <c r="BV161" i="431"/>
  <c r="BU161" i="431"/>
  <c r="BT161" i="431"/>
  <c r="BR161" i="431"/>
  <c r="BQ161" i="431"/>
  <c r="BP161" i="431"/>
  <c r="BO161" i="431"/>
  <c r="BM161" i="431"/>
  <c r="BL161" i="431"/>
  <c r="BK161" i="431"/>
  <c r="BJ161" i="431"/>
  <c r="BH161" i="431"/>
  <c r="BG161" i="431"/>
  <c r="BF161" i="431"/>
  <c r="BE161" i="431"/>
  <c r="BC161" i="431"/>
  <c r="BB161" i="431"/>
  <c r="BA161" i="431"/>
  <c r="AZ161" i="431"/>
  <c r="AX161" i="431"/>
  <c r="AW161" i="431"/>
  <c r="AV161" i="431"/>
  <c r="AU161" i="431"/>
  <c r="EF160" i="431"/>
  <c r="EF153" i="431"/>
  <c r="EA160" i="431"/>
  <c r="EA153" i="431"/>
  <c r="DV160" i="431"/>
  <c r="DV159" i="431" s="1"/>
  <c r="DV156" i="431" s="1"/>
  <c r="DV165" i="431" s="1"/>
  <c r="DV166" i="431" s="1"/>
  <c r="DV153" i="431"/>
  <c r="EA154" i="431" s="1"/>
  <c r="DQ160" i="431"/>
  <c r="DQ153" i="431"/>
  <c r="DL160" i="431"/>
  <c r="DL159" i="431" s="1"/>
  <c r="DL156" i="431" s="1"/>
  <c r="DL153" i="431"/>
  <c r="DG160" i="431"/>
  <c r="DG153" i="431"/>
  <c r="DB160" i="431"/>
  <c r="DB153" i="431"/>
  <c r="CW160" i="431"/>
  <c r="CW153" i="431"/>
  <c r="CR160" i="431"/>
  <c r="CR153" i="431"/>
  <c r="CM160" i="431"/>
  <c r="CM153" i="431"/>
  <c r="CH160" i="431"/>
  <c r="CH159" i="431" s="1"/>
  <c r="CH156" i="431" s="1"/>
  <c r="CH165" i="431" s="1"/>
  <c r="CH153" i="431"/>
  <c r="CC160" i="431"/>
  <c r="CC159" i="431" s="1"/>
  <c r="CC156" i="431" s="1"/>
  <c r="BX160" i="431"/>
  <c r="BX153" i="431"/>
  <c r="BS160" i="431"/>
  <c r="BS153" i="431"/>
  <c r="BN160" i="431"/>
  <c r="BI160" i="431"/>
  <c r="BI159" i="431" s="1"/>
  <c r="BI156" i="431" s="1"/>
  <c r="BD160" i="431"/>
  <c r="BD159" i="431" s="1"/>
  <c r="BD156" i="431" s="1"/>
  <c r="AY160" i="431"/>
  <c r="AT160" i="431"/>
  <c r="EI156" i="431"/>
  <c r="EH156" i="431"/>
  <c r="EG156" i="431"/>
  <c r="EI154" i="431"/>
  <c r="EH154" i="431"/>
  <c r="EG154" i="431"/>
  <c r="EE156" i="431"/>
  <c r="EE165" i="431" s="1"/>
  <c r="EE166" i="431" s="1"/>
  <c r="ED156" i="431"/>
  <c r="ED165" i="431" s="1"/>
  <c r="ED166" i="431" s="1"/>
  <c r="EC156" i="431"/>
  <c r="EC165" i="431" s="1"/>
  <c r="EC166" i="431" s="1"/>
  <c r="EB156" i="431"/>
  <c r="EB165" i="431" s="1"/>
  <c r="EB166" i="431" s="1"/>
  <c r="EE154" i="431"/>
  <c r="ED154" i="431"/>
  <c r="EC154" i="431"/>
  <c r="EB154" i="431"/>
  <c r="DZ156" i="431"/>
  <c r="DZ165" i="431" s="1"/>
  <c r="DZ166" i="431" s="1"/>
  <c r="DY156" i="431"/>
  <c r="DY165" i="431" s="1"/>
  <c r="DY166" i="431" s="1"/>
  <c r="DX156" i="431"/>
  <c r="DX165" i="431" s="1"/>
  <c r="DX166" i="431" s="1"/>
  <c r="DW156" i="431"/>
  <c r="DW165" i="431" s="1"/>
  <c r="DW166" i="431" s="1"/>
  <c r="DZ154" i="431"/>
  <c r="DY154" i="431"/>
  <c r="DX154" i="431"/>
  <c r="DW154" i="431"/>
  <c r="DU156" i="431"/>
  <c r="DU165" i="431" s="1"/>
  <c r="DU166" i="431" s="1"/>
  <c r="DT156" i="431"/>
  <c r="DT165" i="431" s="1"/>
  <c r="DT166" i="431" s="1"/>
  <c r="DS156" i="431"/>
  <c r="DS165" i="431" s="1"/>
  <c r="DS166" i="431" s="1"/>
  <c r="DR156" i="431"/>
  <c r="DR165" i="431" s="1"/>
  <c r="DR166" i="431" s="1"/>
  <c r="DU154" i="431"/>
  <c r="DT154" i="431"/>
  <c r="DS154" i="431"/>
  <c r="DR154" i="431"/>
  <c r="DP156" i="431"/>
  <c r="DP165" i="431" s="1"/>
  <c r="DP166" i="431" s="1"/>
  <c r="DO156" i="431"/>
  <c r="DO165" i="431" s="1"/>
  <c r="DO166" i="431" s="1"/>
  <c r="DN156" i="431"/>
  <c r="DN165" i="431" s="1"/>
  <c r="DN166" i="431" s="1"/>
  <c r="DM156" i="431"/>
  <c r="DM165" i="431" s="1"/>
  <c r="DM166" i="431" s="1"/>
  <c r="DP154" i="431"/>
  <c r="DO154" i="431"/>
  <c r="DN154" i="431"/>
  <c r="DM154" i="431"/>
  <c r="DK156" i="431"/>
  <c r="DK165" i="431" s="1"/>
  <c r="DK166" i="431" s="1"/>
  <c r="DJ156" i="431"/>
  <c r="DJ165" i="431" s="1"/>
  <c r="DJ166" i="431" s="1"/>
  <c r="DI156" i="431"/>
  <c r="DI165" i="431" s="1"/>
  <c r="DI166" i="431" s="1"/>
  <c r="DH156" i="431"/>
  <c r="DH165" i="431" s="1"/>
  <c r="DH166" i="431" s="1"/>
  <c r="DK154" i="431"/>
  <c r="DJ154" i="431"/>
  <c r="DI154" i="431"/>
  <c r="DH154" i="431"/>
  <c r="DF156" i="431"/>
  <c r="DF165" i="431" s="1"/>
  <c r="DF166" i="431" s="1"/>
  <c r="DE156" i="431"/>
  <c r="DE165" i="431" s="1"/>
  <c r="DE166" i="431" s="1"/>
  <c r="DD156" i="431"/>
  <c r="DD165" i="431" s="1"/>
  <c r="DD166" i="431" s="1"/>
  <c r="DC156" i="431"/>
  <c r="DC165" i="431" s="1"/>
  <c r="DC166" i="431" s="1"/>
  <c r="DF154" i="431"/>
  <c r="DE154" i="431"/>
  <c r="DD154" i="431"/>
  <c r="DC154" i="431"/>
  <c r="DA156" i="431"/>
  <c r="DA165" i="431" s="1"/>
  <c r="DA166" i="431" s="1"/>
  <c r="CZ156" i="431"/>
  <c r="CZ165" i="431" s="1"/>
  <c r="CZ166" i="431" s="1"/>
  <c r="CY156" i="431"/>
  <c r="CY165" i="431" s="1"/>
  <c r="CY166" i="431" s="1"/>
  <c r="CX156" i="431"/>
  <c r="CX165" i="431" s="1"/>
  <c r="CX166" i="431" s="1"/>
  <c r="DA154" i="431"/>
  <c r="CZ154" i="431"/>
  <c r="CY154" i="431"/>
  <c r="CX154" i="431"/>
  <c r="CV156" i="431"/>
  <c r="CV165" i="431" s="1"/>
  <c r="CV166" i="431" s="1"/>
  <c r="CU156" i="431"/>
  <c r="CU165" i="431" s="1"/>
  <c r="CU166" i="431" s="1"/>
  <c r="CT156" i="431"/>
  <c r="CT165" i="431" s="1"/>
  <c r="CT166" i="431" s="1"/>
  <c r="CS156" i="431"/>
  <c r="CS165" i="431" s="1"/>
  <c r="CS166" i="431" s="1"/>
  <c r="CV154" i="431"/>
  <c r="CU154" i="431"/>
  <c r="CT154" i="431"/>
  <c r="CS154" i="431"/>
  <c r="CQ156" i="431"/>
  <c r="CQ165" i="431" s="1"/>
  <c r="CQ166" i="431" s="1"/>
  <c r="CP156" i="431"/>
  <c r="CP165" i="431" s="1"/>
  <c r="CP166" i="431" s="1"/>
  <c r="CO156" i="431"/>
  <c r="CO165" i="431" s="1"/>
  <c r="CO166" i="431" s="1"/>
  <c r="CN156" i="431"/>
  <c r="CN165" i="431" s="1"/>
  <c r="CN166" i="431" s="1"/>
  <c r="CQ154" i="431"/>
  <c r="CP154" i="431"/>
  <c r="CO154" i="431"/>
  <c r="CN154" i="431"/>
  <c r="CL156" i="431"/>
  <c r="CL165" i="431" s="1"/>
  <c r="CL166" i="431" s="1"/>
  <c r="CK156" i="431"/>
  <c r="CK165" i="431" s="1"/>
  <c r="CK166" i="431" s="1"/>
  <c r="CJ156" i="431"/>
  <c r="CJ165" i="431" s="1"/>
  <c r="CJ166" i="431" s="1"/>
  <c r="CI156" i="431"/>
  <c r="CI165" i="431" s="1"/>
  <c r="CI166" i="431" s="1"/>
  <c r="CL154" i="431"/>
  <c r="CK154" i="431"/>
  <c r="CJ154" i="431"/>
  <c r="CI154" i="431"/>
  <c r="CG156" i="431"/>
  <c r="CG165" i="431" s="1"/>
  <c r="CF156" i="431"/>
  <c r="CF165" i="431" s="1"/>
  <c r="CE156" i="431"/>
  <c r="CE165" i="431" s="1"/>
  <c r="CD156" i="431"/>
  <c r="CD165" i="431" s="1"/>
  <c r="CG154" i="431"/>
  <c r="CE154" i="431"/>
  <c r="CD154" i="431"/>
  <c r="CB156" i="431"/>
  <c r="CA156" i="431"/>
  <c r="BZ156" i="431"/>
  <c r="BY156" i="431"/>
  <c r="CB154" i="431"/>
  <c r="BZ154" i="431"/>
  <c r="BY154" i="431"/>
  <c r="BW156" i="431"/>
  <c r="BV156" i="431"/>
  <c r="BU156" i="431"/>
  <c r="BT156" i="431"/>
  <c r="BW154" i="431"/>
  <c r="BV154" i="431"/>
  <c r="BU154" i="431"/>
  <c r="BT154" i="431"/>
  <c r="BR156" i="431"/>
  <c r="BQ156" i="431"/>
  <c r="BP156" i="431"/>
  <c r="BO156" i="431"/>
  <c r="BR154" i="431"/>
  <c r="BQ154" i="431"/>
  <c r="BP154" i="431"/>
  <c r="BO154" i="431"/>
  <c r="BM156" i="431"/>
  <c r="BL156" i="431"/>
  <c r="BK156" i="431"/>
  <c r="BJ156" i="431"/>
  <c r="BH156" i="431"/>
  <c r="BG156" i="431"/>
  <c r="BF156" i="431"/>
  <c r="BE156" i="431"/>
  <c r="BC156" i="431"/>
  <c r="BB156" i="431"/>
  <c r="BA156" i="431"/>
  <c r="AZ156" i="431"/>
  <c r="AX156" i="431"/>
  <c r="AW156" i="431"/>
  <c r="AV156" i="431"/>
  <c r="AU156" i="431"/>
  <c r="AS156" i="431"/>
  <c r="AR156" i="431"/>
  <c r="AQ156" i="431"/>
  <c r="AP156" i="431"/>
  <c r="AO156" i="431"/>
  <c r="BM154" i="431"/>
  <c r="BL154" i="431"/>
  <c r="BK154" i="431"/>
  <c r="BJ154" i="431"/>
  <c r="BH154" i="431"/>
  <c r="BG154" i="431"/>
  <c r="BF154" i="431"/>
  <c r="BE154" i="431"/>
  <c r="BC154" i="431"/>
  <c r="BB154" i="431"/>
  <c r="BA154" i="431"/>
  <c r="AZ154" i="431"/>
  <c r="AX154" i="431"/>
  <c r="AW154" i="431"/>
  <c r="AV154" i="431"/>
  <c r="AU154" i="431"/>
  <c r="AS154" i="431"/>
  <c r="AR154" i="431"/>
  <c r="AQ154" i="431"/>
  <c r="AP154" i="431"/>
  <c r="AN154" i="431"/>
  <c r="AM154" i="431"/>
  <c r="AL154" i="431"/>
  <c r="AK154" i="431"/>
  <c r="CA153" i="431"/>
  <c r="CA150" i="431"/>
  <c r="BN153" i="431"/>
  <c r="BI153" i="431"/>
  <c r="BD153" i="431"/>
  <c r="AY153" i="431"/>
  <c r="AT153" i="431"/>
  <c r="AO153" i="431"/>
  <c r="AJ153" i="431"/>
  <c r="AE153" i="431"/>
  <c r="Z153" i="431"/>
  <c r="T153" i="431"/>
  <c r="S153" i="431"/>
  <c r="R153" i="431"/>
  <c r="O153" i="431"/>
  <c r="N153" i="431"/>
  <c r="M153" i="431"/>
  <c r="J153" i="431"/>
  <c r="I153" i="431"/>
  <c r="H153" i="431"/>
  <c r="E153" i="431"/>
  <c r="D153" i="431"/>
  <c r="C153" i="431"/>
  <c r="CB150" i="431"/>
  <c r="EI150" i="431"/>
  <c r="EH150" i="431"/>
  <c r="EG150" i="431"/>
  <c r="EE150" i="431"/>
  <c r="ED150" i="431"/>
  <c r="EC150" i="431"/>
  <c r="EB150" i="431"/>
  <c r="DZ150" i="431"/>
  <c r="DY150" i="431"/>
  <c r="DX150" i="431"/>
  <c r="DW150" i="431"/>
  <c r="DU150" i="431"/>
  <c r="DT150" i="431"/>
  <c r="DS150" i="431"/>
  <c r="DR150" i="431"/>
  <c r="DR152" i="431" s="1"/>
  <c r="DP150" i="431"/>
  <c r="DO150" i="431"/>
  <c r="DN150" i="431"/>
  <c r="DM150" i="431"/>
  <c r="DK150" i="431"/>
  <c r="DP151" i="431" s="1"/>
  <c r="DJ150" i="431"/>
  <c r="DI150" i="431"/>
  <c r="DH150" i="431"/>
  <c r="DH152" i="431" s="1"/>
  <c r="DF150" i="431"/>
  <c r="DE150" i="431"/>
  <c r="DD150" i="431"/>
  <c r="DC150" i="431"/>
  <c r="DA150" i="431"/>
  <c r="CZ150" i="431"/>
  <c r="CY150" i="431"/>
  <c r="CX150" i="431"/>
  <c r="CX152" i="431" s="1"/>
  <c r="CV150" i="431"/>
  <c r="CU150" i="431"/>
  <c r="CT150" i="431"/>
  <c r="CP150" i="431"/>
  <c r="CP151" i="431" s="1"/>
  <c r="CO150" i="431"/>
  <c r="CL150" i="431"/>
  <c r="CK150" i="431"/>
  <c r="CJ150" i="431"/>
  <c r="CG150" i="431"/>
  <c r="CF150" i="431"/>
  <c r="CD150" i="431"/>
  <c r="BZ150" i="431"/>
  <c r="BY150" i="431"/>
  <c r="BV150" i="431"/>
  <c r="BU150" i="431"/>
  <c r="BT150" i="431"/>
  <c r="BT152" i="431" s="1"/>
  <c r="BR150" i="431"/>
  <c r="BQ150" i="431"/>
  <c r="BP150" i="431"/>
  <c r="BO150" i="431"/>
  <c r="BM150" i="431"/>
  <c r="BL150" i="431"/>
  <c r="BK150" i="431"/>
  <c r="BJ150" i="431"/>
  <c r="BJ152" i="431" s="1"/>
  <c r="BH150" i="431"/>
  <c r="BG150" i="431"/>
  <c r="BF150" i="431"/>
  <c r="BC150" i="431"/>
  <c r="BB150" i="431"/>
  <c r="BA150" i="431"/>
  <c r="AX150" i="431"/>
  <c r="AW150" i="431"/>
  <c r="AW152" i="431" s="1"/>
  <c r="AV150" i="431"/>
  <c r="AU150" i="431"/>
  <c r="AS150" i="431"/>
  <c r="AR150" i="431"/>
  <c r="AQ150" i="431"/>
  <c r="AP150" i="431"/>
  <c r="AP152" i="431" s="1"/>
  <c r="AN150" i="431"/>
  <c r="AM150" i="431"/>
  <c r="AL150" i="431"/>
  <c r="AK150" i="431"/>
  <c r="EF149" i="431"/>
  <c r="EA149" i="431"/>
  <c r="DV149" i="431"/>
  <c r="DQ149" i="431"/>
  <c r="DL149" i="431"/>
  <c r="DG149" i="431"/>
  <c r="DB149" i="431"/>
  <c r="CW149" i="431"/>
  <c r="CR149" i="431"/>
  <c r="CM149" i="431"/>
  <c r="CH149" i="431"/>
  <c r="CC149" i="431"/>
  <c r="BX149" i="431"/>
  <c r="BV147" i="431"/>
  <c r="BU147" i="431"/>
  <c r="BT147" i="431"/>
  <c r="BR147" i="431"/>
  <c r="BQ147" i="431"/>
  <c r="BQ148" i="431" s="1"/>
  <c r="BP147" i="431"/>
  <c r="BO147" i="431"/>
  <c r="BM147" i="431"/>
  <c r="BL147" i="431"/>
  <c r="BK147" i="431"/>
  <c r="BJ147" i="431"/>
  <c r="BH147" i="431"/>
  <c r="BG147" i="431"/>
  <c r="BG148" i="431" s="1"/>
  <c r="BF147" i="431"/>
  <c r="BK148" i="431" s="1"/>
  <c r="BC147" i="431"/>
  <c r="BB147" i="431"/>
  <c r="BA147" i="431"/>
  <c r="AX147" i="431"/>
  <c r="AW147" i="431"/>
  <c r="AV147" i="431"/>
  <c r="AU147" i="431"/>
  <c r="AS147" i="431"/>
  <c r="AR147" i="431"/>
  <c r="AQ147" i="431"/>
  <c r="AP147" i="431"/>
  <c r="AN147" i="431"/>
  <c r="AM147" i="431"/>
  <c r="AL147" i="431"/>
  <c r="AK147" i="431"/>
  <c r="EI147" i="431"/>
  <c r="EH147" i="431"/>
  <c r="EG147" i="431"/>
  <c r="EE147" i="431"/>
  <c r="ED147" i="431"/>
  <c r="EC147" i="431"/>
  <c r="EB147" i="431"/>
  <c r="DZ147" i="431"/>
  <c r="DY147" i="431"/>
  <c r="DX147" i="431"/>
  <c r="DW147" i="431"/>
  <c r="DU147" i="431"/>
  <c r="DT147" i="431"/>
  <c r="DS147" i="431"/>
  <c r="DR147" i="431"/>
  <c r="DP147" i="431"/>
  <c r="DU148" i="431" s="1"/>
  <c r="DO147" i="431"/>
  <c r="DN147" i="431"/>
  <c r="DM147" i="431"/>
  <c r="DK147" i="431"/>
  <c r="DK148" i="431" s="1"/>
  <c r="DJ147" i="431"/>
  <c r="DI147" i="431"/>
  <c r="DH147" i="431"/>
  <c r="DF147" i="431"/>
  <c r="DE147" i="431"/>
  <c r="DD147" i="431"/>
  <c r="DC147" i="431"/>
  <c r="DA147" i="431"/>
  <c r="DA148" i="431" s="1"/>
  <c r="CZ147" i="431"/>
  <c r="CY147" i="431"/>
  <c r="CX147" i="431"/>
  <c r="CV147" i="431"/>
  <c r="CU147" i="431"/>
  <c r="CT147" i="431"/>
  <c r="CP147" i="431"/>
  <c r="CO147" i="431"/>
  <c r="CL147" i="431"/>
  <c r="CK147" i="431"/>
  <c r="CJ147" i="431"/>
  <c r="CG147" i="431"/>
  <c r="CF147" i="431"/>
  <c r="CD147" i="431"/>
  <c r="CB147" i="431"/>
  <c r="CA147" i="431"/>
  <c r="BZ147" i="431"/>
  <c r="BY147" i="431"/>
  <c r="AJ143" i="431"/>
  <c r="AE143" i="431"/>
  <c r="Z143" i="431"/>
  <c r="U143" i="431"/>
  <c r="P143" i="431"/>
  <c r="K144" i="431"/>
  <c r="K143" i="431"/>
  <c r="EI143" i="431"/>
  <c r="EH143" i="431"/>
  <c r="EG143" i="431"/>
  <c r="EE143" i="431"/>
  <c r="ED143" i="431"/>
  <c r="EC143" i="431"/>
  <c r="EB143" i="431"/>
  <c r="DZ143" i="431"/>
  <c r="DY143" i="431"/>
  <c r="DX143" i="431"/>
  <c r="DW143" i="431"/>
  <c r="DU143" i="431"/>
  <c r="DT143" i="431"/>
  <c r="DS143" i="431"/>
  <c r="DR143" i="431"/>
  <c r="DP143" i="431"/>
  <c r="DO143" i="431"/>
  <c r="DN143" i="431"/>
  <c r="DM143" i="431"/>
  <c r="DK143" i="431"/>
  <c r="DJ143" i="431"/>
  <c r="DI143" i="431"/>
  <c r="DH143" i="431"/>
  <c r="DF143" i="431"/>
  <c r="DE143" i="431"/>
  <c r="DD143" i="431"/>
  <c r="DC143" i="431"/>
  <c r="DA143" i="431"/>
  <c r="CZ143" i="431"/>
  <c r="CY143" i="431"/>
  <c r="CX143" i="431"/>
  <c r="CV143" i="431"/>
  <c r="CU143" i="431"/>
  <c r="CT143" i="431"/>
  <c r="CS143" i="431"/>
  <c r="CQ143" i="431"/>
  <c r="CP143" i="431"/>
  <c r="CO143" i="431"/>
  <c r="CN143" i="431"/>
  <c r="CL143" i="431"/>
  <c r="CK143" i="431"/>
  <c r="CJ143" i="431"/>
  <c r="CI143" i="431"/>
  <c r="CG143" i="431"/>
  <c r="CF143" i="431"/>
  <c r="CE143" i="431"/>
  <c r="CD143" i="431"/>
  <c r="CB143" i="431"/>
  <c r="CA143" i="431"/>
  <c r="BZ143" i="431"/>
  <c r="BY143" i="431"/>
  <c r="BW143" i="431"/>
  <c r="BV143" i="431"/>
  <c r="BU143" i="431"/>
  <c r="BT143" i="431"/>
  <c r="BR143" i="431"/>
  <c r="BQ143" i="431"/>
  <c r="BP143" i="431"/>
  <c r="BO143" i="431"/>
  <c r="BM143" i="431"/>
  <c r="BL143" i="431"/>
  <c r="BK143" i="431"/>
  <c r="BJ143" i="431"/>
  <c r="BH143" i="431"/>
  <c r="BG143" i="431"/>
  <c r="BF143" i="431"/>
  <c r="BE143" i="431"/>
  <c r="BC143" i="431"/>
  <c r="BB143" i="431"/>
  <c r="BA143" i="431"/>
  <c r="AZ143" i="431"/>
  <c r="AX143" i="431"/>
  <c r="AW143" i="431"/>
  <c r="AV143" i="431"/>
  <c r="AU143" i="431"/>
  <c r="AS143" i="431"/>
  <c r="AR143" i="431"/>
  <c r="AQ143" i="431"/>
  <c r="AP143" i="431"/>
  <c r="EF142" i="431"/>
  <c r="EA142" i="431"/>
  <c r="DV142" i="431"/>
  <c r="DQ142" i="431"/>
  <c r="DV143" i="431" s="1"/>
  <c r="DL142" i="431"/>
  <c r="DG142" i="431"/>
  <c r="DB142" i="431"/>
  <c r="CW142" i="431"/>
  <c r="CR142" i="431"/>
  <c r="CM142" i="431"/>
  <c r="CH142" i="431"/>
  <c r="CC142" i="431"/>
  <c r="CH143" i="431" s="1"/>
  <c r="BX142" i="431"/>
  <c r="BS142" i="431"/>
  <c r="BN142" i="431"/>
  <c r="BI142" i="431"/>
  <c r="BD142" i="431"/>
  <c r="AY142" i="431"/>
  <c r="AT142" i="431"/>
  <c r="AO142" i="431"/>
  <c r="AO143" i="431" s="1"/>
  <c r="EI139" i="431"/>
  <c r="EH139" i="431"/>
  <c r="EG139" i="431"/>
  <c r="EE139" i="431"/>
  <c r="ED139" i="431"/>
  <c r="EC139" i="431"/>
  <c r="EB139" i="431"/>
  <c r="DZ139" i="431"/>
  <c r="DY139" i="431"/>
  <c r="DX139" i="431"/>
  <c r="DW139" i="431"/>
  <c r="DU139" i="431"/>
  <c r="DT139" i="431"/>
  <c r="DS139" i="431"/>
  <c r="DR139" i="431"/>
  <c r="DP139" i="431"/>
  <c r="DO139" i="431"/>
  <c r="DN139" i="431"/>
  <c r="DM139" i="431"/>
  <c r="DK139" i="431"/>
  <c r="DJ139" i="431"/>
  <c r="DI139" i="431"/>
  <c r="DH139" i="431"/>
  <c r="DF139" i="431"/>
  <c r="DE139" i="431"/>
  <c r="DD139" i="431"/>
  <c r="DC139" i="431"/>
  <c r="DA139" i="431"/>
  <c r="CZ139" i="431"/>
  <c r="CY139" i="431"/>
  <c r="CU139" i="431"/>
  <c r="CT139" i="431"/>
  <c r="CP139" i="431"/>
  <c r="CO139" i="431"/>
  <c r="CL139" i="431"/>
  <c r="CK139" i="431"/>
  <c r="CG139" i="431"/>
  <c r="CF139" i="431"/>
  <c r="CD139" i="431"/>
  <c r="CA139" i="431"/>
  <c r="BZ139" i="431"/>
  <c r="BY139" i="431"/>
  <c r="BV139" i="431"/>
  <c r="BU139" i="431"/>
  <c r="BT139" i="431"/>
  <c r="BR139" i="431"/>
  <c r="BQ139" i="431"/>
  <c r="BP139" i="431"/>
  <c r="BO139" i="431"/>
  <c r="BM139" i="431"/>
  <c r="BL139" i="431"/>
  <c r="BK139" i="431"/>
  <c r="BH139" i="431"/>
  <c r="BG139" i="431"/>
  <c r="BF139" i="431"/>
  <c r="BC139" i="431"/>
  <c r="BB139" i="431"/>
  <c r="BA139" i="431"/>
  <c r="AX139" i="431"/>
  <c r="AW139" i="431"/>
  <c r="AV139" i="431"/>
  <c r="AU139" i="431"/>
  <c r="AS139" i="431"/>
  <c r="AR139" i="431"/>
  <c r="AQ139" i="431"/>
  <c r="AP139" i="431"/>
  <c r="AN139" i="431"/>
  <c r="AM139" i="431"/>
  <c r="AK139" i="431"/>
  <c r="AI139" i="431"/>
  <c r="AH139" i="431"/>
  <c r="AF139" i="431"/>
  <c r="AD139" i="431"/>
  <c r="AB139" i="431"/>
  <c r="AA139" i="431"/>
  <c r="V139" i="431"/>
  <c r="Q139" i="431"/>
  <c r="L139" i="431"/>
  <c r="G139" i="431"/>
  <c r="EF138" i="431"/>
  <c r="ED141" i="431" s="1"/>
  <c r="EA138" i="431"/>
  <c r="DV138" i="431"/>
  <c r="DQ138" i="431"/>
  <c r="DL138" i="431"/>
  <c r="DG138" i="431"/>
  <c r="DB138" i="431"/>
  <c r="CY141" i="431" s="1"/>
  <c r="CS138" i="431"/>
  <c r="CQ138" i="431"/>
  <c r="CN138" i="431"/>
  <c r="CI138" i="431"/>
  <c r="CI139" i="431" s="1"/>
  <c r="CE138" i="431"/>
  <c r="CE150" i="431" s="1"/>
  <c r="CC138" i="431"/>
  <c r="BW138" i="431"/>
  <c r="BS138" i="431"/>
  <c r="BR141" i="431" s="1"/>
  <c r="BN138" i="431"/>
  <c r="BE138" i="431"/>
  <c r="AZ138" i="431"/>
  <c r="AY138" i="431"/>
  <c r="AX141" i="431" s="1"/>
  <c r="AT138" i="431"/>
  <c r="AS141" i="431" s="1"/>
  <c r="AO138" i="431"/>
  <c r="AG138" i="431"/>
  <c r="AG214" i="431" s="1"/>
  <c r="AE138" i="431"/>
  <c r="X138" i="431"/>
  <c r="T138" i="431"/>
  <c r="S138" i="431"/>
  <c r="S139" i="431" s="1"/>
  <c r="R138" i="431"/>
  <c r="O138" i="431"/>
  <c r="N138" i="431"/>
  <c r="M138" i="431"/>
  <c r="P138" i="431" s="1"/>
  <c r="J138" i="431"/>
  <c r="I138" i="431"/>
  <c r="H138" i="431"/>
  <c r="E138" i="431"/>
  <c r="J139" i="431" s="1"/>
  <c r="D138" i="431"/>
  <c r="C138" i="431"/>
  <c r="EY135" i="431"/>
  <c r="EX135" i="431"/>
  <c r="EW135" i="431"/>
  <c r="EV135" i="431"/>
  <c r="Y133" i="431"/>
  <c r="X133" i="431"/>
  <c r="W133" i="431"/>
  <c r="V133" i="431"/>
  <c r="T133" i="431"/>
  <c r="S133" i="431"/>
  <c r="R133" i="431"/>
  <c r="Q133" i="431"/>
  <c r="O133" i="431"/>
  <c r="N133" i="431"/>
  <c r="M133" i="431"/>
  <c r="L133" i="431"/>
  <c r="J133" i="431"/>
  <c r="I133" i="431"/>
  <c r="H133" i="431"/>
  <c r="G133" i="431"/>
  <c r="Z132" i="431"/>
  <c r="U132" i="431"/>
  <c r="P132" i="431"/>
  <c r="K132" i="431"/>
  <c r="F132" i="431"/>
  <c r="EF131" i="431"/>
  <c r="EF112" i="431"/>
  <c r="EA131" i="431"/>
  <c r="DV131" i="431"/>
  <c r="DQ131" i="431"/>
  <c r="DL131" i="431"/>
  <c r="DG131" i="431"/>
  <c r="DB131" i="431"/>
  <c r="CW131" i="431"/>
  <c r="CR131" i="431"/>
  <c r="CM131" i="431"/>
  <c r="CH131" i="431"/>
  <c r="ED118" i="431"/>
  <c r="EC118" i="431"/>
  <c r="DY118" i="431"/>
  <c r="DX118" i="431"/>
  <c r="DU118" i="431"/>
  <c r="DT118" i="431"/>
  <c r="DS118" i="431"/>
  <c r="DR118" i="431"/>
  <c r="DO118" i="431"/>
  <c r="DN118" i="431"/>
  <c r="DM118" i="431"/>
  <c r="DJ118" i="431"/>
  <c r="DI118" i="431"/>
  <c r="DH118" i="431"/>
  <c r="DF118" i="431"/>
  <c r="DE118" i="431"/>
  <c r="DD118" i="431"/>
  <c r="DC118" i="431"/>
  <c r="DA118" i="431"/>
  <c r="CZ118" i="431"/>
  <c r="CY118" i="431"/>
  <c r="CX118" i="431"/>
  <c r="CV118" i="431"/>
  <c r="CU118" i="431"/>
  <c r="CT118" i="431"/>
  <c r="CS118" i="431"/>
  <c r="CQ118" i="431"/>
  <c r="CP118" i="431"/>
  <c r="CO118" i="431"/>
  <c r="CN118" i="431"/>
  <c r="EI117" i="431"/>
  <c r="EH117" i="431"/>
  <c r="EH118" i="431" s="1"/>
  <c r="EG117" i="431"/>
  <c r="DZ117" i="431"/>
  <c r="EE117" i="431" s="1"/>
  <c r="DW117" i="431"/>
  <c r="DW118" i="431" s="1"/>
  <c r="DV117" i="431"/>
  <c r="DQ117" i="431"/>
  <c r="DQ112" i="431"/>
  <c r="DK117" i="431"/>
  <c r="DG117" i="431"/>
  <c r="DG112" i="431"/>
  <c r="DB117" i="431"/>
  <c r="DB112" i="431"/>
  <c r="CW117" i="431"/>
  <c r="CW112" i="431"/>
  <c r="CR117" i="431"/>
  <c r="CR118" i="431" s="1"/>
  <c r="CM117" i="431"/>
  <c r="CQ115" i="431"/>
  <c r="CQ116" i="431" s="1"/>
  <c r="CP115" i="431"/>
  <c r="CP116" i="431" s="1"/>
  <c r="CO115" i="431"/>
  <c r="CO116" i="431" s="1"/>
  <c r="CN115" i="431"/>
  <c r="ED115" i="431"/>
  <c r="ED116" i="431" s="1"/>
  <c r="CO11" i="434" s="1"/>
  <c r="EC115" i="431"/>
  <c r="EC116" i="431" s="1"/>
  <c r="CN11" i="434" s="1"/>
  <c r="DY115" i="431"/>
  <c r="DY116" i="431" s="1"/>
  <c r="CJ11" i="434" s="1"/>
  <c r="DX115" i="431"/>
  <c r="DX116" i="431" s="1"/>
  <c r="CI11" i="434" s="1"/>
  <c r="DU115" i="431"/>
  <c r="DT115" i="431"/>
  <c r="DT116" i="431" s="1"/>
  <c r="CE11" i="434" s="1"/>
  <c r="DS115" i="431"/>
  <c r="DS116" i="431" s="1"/>
  <c r="CD11" i="434" s="1"/>
  <c r="DR115" i="431"/>
  <c r="DR116" i="431" s="1"/>
  <c r="CC11" i="434" s="1"/>
  <c r="DO115" i="431"/>
  <c r="DO116" i="431" s="1"/>
  <c r="BZ11" i="434" s="1"/>
  <c r="DN115" i="431"/>
  <c r="DN116" i="431" s="1"/>
  <c r="BY11" i="434" s="1"/>
  <c r="DM115" i="431"/>
  <c r="DM116" i="431" s="1"/>
  <c r="BX11" i="434" s="1"/>
  <c r="DJ115" i="431"/>
  <c r="DJ116" i="431" s="1"/>
  <c r="BU11" i="434" s="1"/>
  <c r="DI115" i="431"/>
  <c r="DI116" i="431" s="1"/>
  <c r="BT11" i="434" s="1"/>
  <c r="DH115" i="431"/>
  <c r="DH116" i="431" s="1"/>
  <c r="BS11" i="434" s="1"/>
  <c r="DF115" i="431"/>
  <c r="DF116" i="431" s="1"/>
  <c r="DE115" i="431"/>
  <c r="DD115" i="431"/>
  <c r="DD116" i="431" s="1"/>
  <c r="DC115" i="431"/>
  <c r="DC116" i="431" s="1"/>
  <c r="DA115" i="431"/>
  <c r="DA116" i="431" s="1"/>
  <c r="CZ115" i="431"/>
  <c r="CY115" i="431"/>
  <c r="CY116" i="431" s="1"/>
  <c r="CX115" i="431"/>
  <c r="CX116" i="431" s="1"/>
  <c r="CV115" i="431"/>
  <c r="CV116" i="431" s="1"/>
  <c r="CU115" i="431"/>
  <c r="CT115" i="431"/>
  <c r="CT116" i="431" s="1"/>
  <c r="CS115" i="431"/>
  <c r="EA112" i="431"/>
  <c r="DV112" i="431"/>
  <c r="DL112" i="431"/>
  <c r="E103" i="431"/>
  <c r="E135" i="431" s="1"/>
  <c r="D103" i="431"/>
  <c r="D135" i="431" s="1"/>
  <c r="C103" i="431"/>
  <c r="C135" i="431" s="1"/>
  <c r="C134" i="431" s="1"/>
  <c r="B103" i="431"/>
  <c r="B135" i="431" s="1"/>
  <c r="EI97" i="431"/>
  <c r="EH97" i="431"/>
  <c r="EG97" i="431"/>
  <c r="EE97" i="431"/>
  <c r="ED97" i="431"/>
  <c r="EC97" i="431"/>
  <c r="EC100" i="431" s="1"/>
  <c r="EB97" i="431"/>
  <c r="DZ97" i="431"/>
  <c r="DY97" i="431"/>
  <c r="DX97" i="431"/>
  <c r="DX100" i="431" s="1"/>
  <c r="DW97" i="431"/>
  <c r="DU97" i="431"/>
  <c r="DT97" i="431"/>
  <c r="DT100" i="431" s="1"/>
  <c r="DS97" i="431"/>
  <c r="DR97" i="431"/>
  <c r="DP97" i="431"/>
  <c r="DP100" i="431" s="1"/>
  <c r="DO97" i="431"/>
  <c r="DO100" i="431" s="1"/>
  <c r="DN97" i="431"/>
  <c r="DM97" i="431"/>
  <c r="DM100" i="431" s="1"/>
  <c r="DK97" i="431"/>
  <c r="DJ97" i="431"/>
  <c r="DI97" i="431"/>
  <c r="DH97" i="431"/>
  <c r="DM98" i="431" s="1"/>
  <c r="DF97" i="431"/>
  <c r="DF99" i="431" s="1"/>
  <c r="DE97" i="431"/>
  <c r="DE100" i="431" s="1"/>
  <c r="DD97" i="431"/>
  <c r="DC97" i="431"/>
  <c r="DA97" i="431"/>
  <c r="CZ97" i="431"/>
  <c r="DE98" i="431" s="1"/>
  <c r="CY97" i="431"/>
  <c r="CY100" i="431" s="1"/>
  <c r="CX97" i="431"/>
  <c r="CV97" i="431"/>
  <c r="CU97" i="431"/>
  <c r="CT97" i="431"/>
  <c r="CS97" i="431"/>
  <c r="CQ97" i="431"/>
  <c r="CQ100" i="431" s="1"/>
  <c r="CP97" i="431"/>
  <c r="CO97" i="431"/>
  <c r="CN97" i="431"/>
  <c r="CN100" i="431" s="1"/>
  <c r="CL97" i="431"/>
  <c r="CK97" i="431"/>
  <c r="CK100" i="431" s="1"/>
  <c r="CJ97" i="431"/>
  <c r="CJ100" i="431" s="1"/>
  <c r="CI97" i="431"/>
  <c r="CI100" i="431" s="1"/>
  <c r="CG97" i="431"/>
  <c r="CF97" i="431"/>
  <c r="CE97" i="431"/>
  <c r="CE98" i="431" s="1"/>
  <c r="CD97" i="431"/>
  <c r="CB97" i="431"/>
  <c r="CA97" i="431"/>
  <c r="BZ97" i="431"/>
  <c r="BY97" i="431"/>
  <c r="BW97" i="431"/>
  <c r="BV97" i="431"/>
  <c r="BU97" i="431"/>
  <c r="BZ98" i="431" s="1"/>
  <c r="BT97" i="431"/>
  <c r="BR97" i="431"/>
  <c r="BR100" i="431" s="1"/>
  <c r="BQ97" i="431"/>
  <c r="BQ100" i="431" s="1"/>
  <c r="BP97" i="431"/>
  <c r="BP100" i="431" s="1"/>
  <c r="BO97" i="431"/>
  <c r="BM97" i="431"/>
  <c r="BR98" i="431" s="1"/>
  <c r="BL97" i="431"/>
  <c r="BK97" i="431"/>
  <c r="BP98" i="431" s="1"/>
  <c r="BJ97" i="431"/>
  <c r="BH97" i="431"/>
  <c r="BH100" i="431" s="1"/>
  <c r="BG97" i="431"/>
  <c r="BG100" i="431" s="1"/>
  <c r="BF97" i="431"/>
  <c r="BE97" i="431"/>
  <c r="BC97" i="431"/>
  <c r="BH98" i="431" s="1"/>
  <c r="BB97" i="431"/>
  <c r="BA97" i="431"/>
  <c r="BA100" i="431" s="1"/>
  <c r="AZ97" i="431"/>
  <c r="AX97" i="431"/>
  <c r="AW97" i="431"/>
  <c r="AV97" i="431"/>
  <c r="AU97" i="431"/>
  <c r="AS97" i="431"/>
  <c r="AS100" i="431" s="1"/>
  <c r="AR97" i="431"/>
  <c r="AQ97" i="431"/>
  <c r="AP97" i="431"/>
  <c r="AN97" i="431"/>
  <c r="AM97" i="431"/>
  <c r="AL97" i="431"/>
  <c r="AK97" i="431"/>
  <c r="AI97" i="431"/>
  <c r="AH97" i="431"/>
  <c r="AH100" i="431" s="1"/>
  <c r="AG97" i="431"/>
  <c r="AF97" i="431"/>
  <c r="AD97" i="431"/>
  <c r="AC97" i="431"/>
  <c r="AB97" i="431"/>
  <c r="AB100" i="431" s="1"/>
  <c r="AA97" i="431"/>
  <c r="Y97" i="431"/>
  <c r="X97" i="431"/>
  <c r="X100" i="431" s="1"/>
  <c r="W97" i="431"/>
  <c r="W100" i="431" s="1"/>
  <c r="V97" i="431"/>
  <c r="T97" i="431"/>
  <c r="T100" i="431" s="1"/>
  <c r="S97" i="431"/>
  <c r="R97" i="431"/>
  <c r="Q97" i="431"/>
  <c r="O97" i="431"/>
  <c r="N97" i="431"/>
  <c r="M97" i="431"/>
  <c r="L97" i="431"/>
  <c r="EI95" i="431"/>
  <c r="EH95" i="431"/>
  <c r="EG95" i="431"/>
  <c r="EE95" i="431"/>
  <c r="ED95" i="431"/>
  <c r="EC95" i="431"/>
  <c r="EB95" i="431"/>
  <c r="DZ95" i="431"/>
  <c r="DY95" i="431"/>
  <c r="DX95" i="431"/>
  <c r="DW95" i="431"/>
  <c r="DU95" i="431"/>
  <c r="DT95" i="431"/>
  <c r="DS95" i="431"/>
  <c r="DR95" i="431"/>
  <c r="DP95" i="431"/>
  <c r="DO95" i="431"/>
  <c r="DN95" i="431"/>
  <c r="DM95" i="431"/>
  <c r="DK95" i="431"/>
  <c r="DJ95" i="431"/>
  <c r="DI95" i="431"/>
  <c r="DH95" i="431"/>
  <c r="DF95" i="431"/>
  <c r="DE95" i="431"/>
  <c r="DD95" i="431"/>
  <c r="DC95" i="431"/>
  <c r="DA95" i="431"/>
  <c r="CZ95" i="431"/>
  <c r="CY95" i="431"/>
  <c r="CX95" i="431"/>
  <c r="CV95" i="431"/>
  <c r="CU95" i="431"/>
  <c r="CT95" i="431"/>
  <c r="CS95" i="431"/>
  <c r="CQ95" i="431"/>
  <c r="CP95" i="431"/>
  <c r="CO95" i="431"/>
  <c r="CN95" i="431"/>
  <c r="CL95" i="431"/>
  <c r="CK95" i="431"/>
  <c r="CJ95" i="431"/>
  <c r="CI95" i="431"/>
  <c r="CG95" i="431"/>
  <c r="CF95" i="431"/>
  <c r="CE95" i="431"/>
  <c r="CD95" i="431"/>
  <c r="CB95" i="431"/>
  <c r="CA95" i="431"/>
  <c r="BZ95" i="431"/>
  <c r="BY95" i="431"/>
  <c r="BW95" i="431"/>
  <c r="BV95" i="431"/>
  <c r="BU95" i="431"/>
  <c r="BT95" i="431"/>
  <c r="BR95" i="431"/>
  <c r="BQ95" i="431"/>
  <c r="BP95" i="431"/>
  <c r="BO95" i="431"/>
  <c r="BM95" i="431"/>
  <c r="BL95" i="431"/>
  <c r="BK95" i="431"/>
  <c r="BJ95" i="431"/>
  <c r="BH95" i="431"/>
  <c r="BG95" i="431"/>
  <c r="BF95" i="431"/>
  <c r="BE95" i="431"/>
  <c r="BC95" i="431"/>
  <c r="BB95" i="431"/>
  <c r="BA95" i="431"/>
  <c r="AZ95" i="431"/>
  <c r="AX95" i="431"/>
  <c r="AW95" i="431"/>
  <c r="AV95" i="431"/>
  <c r="AU95" i="431"/>
  <c r="AS95" i="431"/>
  <c r="AR95" i="431"/>
  <c r="AQ95" i="431"/>
  <c r="AP95" i="431"/>
  <c r="AN95" i="431"/>
  <c r="AM95" i="431"/>
  <c r="AL95" i="431"/>
  <c r="AK95" i="431"/>
  <c r="AI95" i="431"/>
  <c r="AH95" i="431"/>
  <c r="AG95" i="431"/>
  <c r="AF95" i="431"/>
  <c r="AD95" i="431"/>
  <c r="AC95" i="431"/>
  <c r="AB95" i="431"/>
  <c r="AA95" i="431"/>
  <c r="Y95" i="431"/>
  <c r="X95" i="431"/>
  <c r="W95" i="431"/>
  <c r="V95" i="431"/>
  <c r="T95" i="431"/>
  <c r="S95" i="431"/>
  <c r="R95" i="431"/>
  <c r="O95" i="431"/>
  <c r="N95" i="431"/>
  <c r="M95" i="431"/>
  <c r="EF94" i="431"/>
  <c r="EF93" i="431"/>
  <c r="EF92" i="431"/>
  <c r="EF91" i="431"/>
  <c r="EF90" i="431"/>
  <c r="EA94" i="431"/>
  <c r="EA93" i="431"/>
  <c r="EA92" i="431"/>
  <c r="EA91" i="431"/>
  <c r="EA90" i="431"/>
  <c r="DV94" i="431"/>
  <c r="DV93" i="431"/>
  <c r="DV92" i="431"/>
  <c r="DV91" i="431"/>
  <c r="DV90" i="431"/>
  <c r="DQ94" i="431"/>
  <c r="DQ93" i="431"/>
  <c r="DQ92" i="431"/>
  <c r="DQ91" i="431"/>
  <c r="DQ90" i="431"/>
  <c r="DL94" i="431"/>
  <c r="DL93" i="431"/>
  <c r="DL92" i="431"/>
  <c r="DL91" i="431"/>
  <c r="DL90" i="431"/>
  <c r="DG94" i="431"/>
  <c r="DG93" i="431"/>
  <c r="DG92" i="431"/>
  <c r="DG91" i="431"/>
  <c r="DG90" i="431"/>
  <c r="DB94" i="431"/>
  <c r="DB93" i="431"/>
  <c r="DB92" i="431"/>
  <c r="DB91" i="431"/>
  <c r="DB90" i="431"/>
  <c r="CW94" i="431"/>
  <c r="DB95" i="431" s="1"/>
  <c r="CW93" i="431"/>
  <c r="CW92" i="431"/>
  <c r="CW91" i="431"/>
  <c r="CW90" i="431"/>
  <c r="CR94" i="431"/>
  <c r="CR93" i="431"/>
  <c r="CR92" i="431"/>
  <c r="CR91" i="431"/>
  <c r="CM94" i="431"/>
  <c r="CM93" i="431"/>
  <c r="CM92" i="431"/>
  <c r="CM91" i="431"/>
  <c r="CM90" i="431"/>
  <c r="CH94" i="431"/>
  <c r="CH93" i="431"/>
  <c r="CH92" i="431"/>
  <c r="CH91" i="431"/>
  <c r="CH90" i="431"/>
  <c r="CC94" i="431"/>
  <c r="CC93" i="431"/>
  <c r="CC92" i="431"/>
  <c r="CC91" i="431"/>
  <c r="CC90" i="431"/>
  <c r="BX94" i="431"/>
  <c r="BX93" i="431"/>
  <c r="BX92" i="431"/>
  <c r="BX91" i="431"/>
  <c r="BX90" i="431"/>
  <c r="BS94" i="431"/>
  <c r="BS93" i="431"/>
  <c r="BS92" i="431"/>
  <c r="BS91" i="431"/>
  <c r="BS90" i="431"/>
  <c r="BN94" i="431"/>
  <c r="BN93" i="431"/>
  <c r="BN92" i="431"/>
  <c r="BN91" i="431"/>
  <c r="BN90" i="431"/>
  <c r="BI94" i="431"/>
  <c r="BI93" i="431"/>
  <c r="BI92" i="431"/>
  <c r="BI91" i="431"/>
  <c r="BI90" i="431"/>
  <c r="BD94" i="431"/>
  <c r="BD93" i="431"/>
  <c r="BD92" i="431"/>
  <c r="BD91" i="431"/>
  <c r="BD90" i="431"/>
  <c r="AY94" i="431"/>
  <c r="AY93" i="431"/>
  <c r="AY92" i="431"/>
  <c r="AY91" i="431"/>
  <c r="AY90" i="431"/>
  <c r="AT94" i="431"/>
  <c r="AT93" i="431"/>
  <c r="AT92" i="431"/>
  <c r="AT91" i="431"/>
  <c r="AT90" i="431"/>
  <c r="AO94" i="431"/>
  <c r="AO93" i="431"/>
  <c r="AO92" i="431"/>
  <c r="AO91" i="431"/>
  <c r="AO90" i="431"/>
  <c r="AJ94" i="431"/>
  <c r="AJ93" i="431"/>
  <c r="AJ92" i="431"/>
  <c r="AJ91" i="431"/>
  <c r="AJ90" i="431"/>
  <c r="AE94" i="431"/>
  <c r="AE93" i="431"/>
  <c r="AE92" i="431"/>
  <c r="AE91" i="431"/>
  <c r="AE90" i="431"/>
  <c r="Z94" i="431"/>
  <c r="Z93" i="431"/>
  <c r="Z92" i="431"/>
  <c r="Z91" i="431"/>
  <c r="Z90" i="431"/>
  <c r="U94" i="431"/>
  <c r="U93" i="431"/>
  <c r="U92" i="431"/>
  <c r="U91" i="431"/>
  <c r="U90" i="431"/>
  <c r="P93" i="431"/>
  <c r="P92" i="431"/>
  <c r="P91" i="431"/>
  <c r="P90" i="431"/>
  <c r="L94" i="431"/>
  <c r="K94" i="431"/>
  <c r="K93" i="431"/>
  <c r="K92" i="431"/>
  <c r="K91" i="431"/>
  <c r="K90" i="431"/>
  <c r="CQ90" i="431"/>
  <c r="CQ80" i="431" s="1"/>
  <c r="CR90" i="431"/>
  <c r="EZ79" i="431"/>
  <c r="EI83" i="431"/>
  <c r="EH83" i="431"/>
  <c r="EG83" i="431"/>
  <c r="EE83" i="431"/>
  <c r="ED83" i="431"/>
  <c r="EC83" i="431"/>
  <c r="EB83" i="431"/>
  <c r="DZ83" i="431"/>
  <c r="DY83" i="431"/>
  <c r="DX83" i="431"/>
  <c r="DW83" i="431"/>
  <c r="DU83" i="431"/>
  <c r="DT83" i="431"/>
  <c r="DS83" i="431"/>
  <c r="DS85" i="431" s="1"/>
  <c r="DR83" i="431"/>
  <c r="DP83" i="431"/>
  <c r="DO83" i="431"/>
  <c r="DN83" i="431"/>
  <c r="DM83" i="431"/>
  <c r="DK83" i="431"/>
  <c r="DJ83" i="431"/>
  <c r="DI83" i="431"/>
  <c r="DI86" i="431" s="1"/>
  <c r="DH83" i="431"/>
  <c r="DF83" i="431"/>
  <c r="DE83" i="431"/>
  <c r="DD83" i="431"/>
  <c r="DC83" i="431"/>
  <c r="DA83" i="431"/>
  <c r="CZ83" i="431"/>
  <c r="CY83" i="431"/>
  <c r="CX83" i="431"/>
  <c r="CV83" i="431"/>
  <c r="CU83" i="431"/>
  <c r="CT83" i="431"/>
  <c r="CT85" i="431" s="1"/>
  <c r="CS83" i="431"/>
  <c r="CQ83" i="431"/>
  <c r="CP83" i="431"/>
  <c r="CO83" i="431"/>
  <c r="CO85" i="431" s="1"/>
  <c r="CN83" i="431"/>
  <c r="CL83" i="431"/>
  <c r="CL85" i="431" s="1"/>
  <c r="CK83" i="431"/>
  <c r="CJ83" i="431"/>
  <c r="CI83" i="431"/>
  <c r="CG83" i="431"/>
  <c r="CF83" i="431"/>
  <c r="CE83" i="431"/>
  <c r="CE85" i="431" s="1"/>
  <c r="CD83" i="431"/>
  <c r="CB83" i="431"/>
  <c r="CB85" i="431" s="1"/>
  <c r="CA83" i="431"/>
  <c r="BZ83" i="431"/>
  <c r="BY83" i="431"/>
  <c r="BW83" i="431"/>
  <c r="BV83" i="431"/>
  <c r="BU83" i="431"/>
  <c r="BT83" i="431"/>
  <c r="BR83" i="431"/>
  <c r="BQ83" i="431"/>
  <c r="BP83" i="431"/>
  <c r="BP85" i="431" s="1"/>
  <c r="BO83" i="431"/>
  <c r="BM83" i="431"/>
  <c r="BL83" i="431"/>
  <c r="BK83" i="431"/>
  <c r="BJ83" i="431"/>
  <c r="BH83" i="431"/>
  <c r="BG83" i="431"/>
  <c r="BF83" i="431"/>
  <c r="BE83" i="431"/>
  <c r="BC83" i="431"/>
  <c r="BB83" i="431"/>
  <c r="BA83" i="431"/>
  <c r="AZ83" i="431"/>
  <c r="AX83" i="431"/>
  <c r="AW83" i="431"/>
  <c r="AV83" i="431"/>
  <c r="AU83" i="431"/>
  <c r="AS83" i="431"/>
  <c r="AR83" i="431"/>
  <c r="AQ83" i="431"/>
  <c r="AQ85" i="431" s="1"/>
  <c r="AP83" i="431"/>
  <c r="AN83" i="431"/>
  <c r="AM83" i="431"/>
  <c r="AL83" i="431"/>
  <c r="AK83" i="431"/>
  <c r="AI83" i="431"/>
  <c r="AH83" i="431"/>
  <c r="AG83" i="431"/>
  <c r="AG85" i="431" s="1"/>
  <c r="AF83" i="431"/>
  <c r="AD83" i="431"/>
  <c r="AC83" i="431"/>
  <c r="AB83" i="431"/>
  <c r="AB85" i="431" s="1"/>
  <c r="AA83" i="431"/>
  <c r="Y83" i="431"/>
  <c r="X83" i="431"/>
  <c r="W83" i="431"/>
  <c r="V83" i="431"/>
  <c r="T83" i="431"/>
  <c r="S83" i="431"/>
  <c r="R83" i="431"/>
  <c r="R85" i="431" s="1"/>
  <c r="Q83" i="431"/>
  <c r="EI80" i="431"/>
  <c r="EH80" i="431"/>
  <c r="EG80" i="431"/>
  <c r="EE80" i="431"/>
  <c r="EE103" i="431" s="1"/>
  <c r="ED80" i="431"/>
  <c r="EC80" i="431"/>
  <c r="EB80" i="431"/>
  <c r="DZ80" i="431"/>
  <c r="DY80" i="431"/>
  <c r="DY103" i="431" s="1"/>
  <c r="DY135" i="431" s="1"/>
  <c r="DY221" i="431" s="1"/>
  <c r="DX80" i="431"/>
  <c r="DX103" i="431" s="1"/>
  <c r="DW80" i="431"/>
  <c r="DU80" i="431"/>
  <c r="DT80" i="431"/>
  <c r="DT103" i="431" s="1"/>
  <c r="DS80" i="431"/>
  <c r="DR80" i="431"/>
  <c r="DR103" i="431" s="1"/>
  <c r="DR135" i="431" s="1"/>
  <c r="DP80" i="431"/>
  <c r="DO80" i="431"/>
  <c r="DN80" i="431"/>
  <c r="DN103" i="431" s="1"/>
  <c r="DM80" i="431"/>
  <c r="DK80" i="431"/>
  <c r="DJ80" i="431"/>
  <c r="DJ103" i="431" s="1"/>
  <c r="DJ135" i="431" s="1"/>
  <c r="DJ60" i="431" s="1"/>
  <c r="DI80" i="431"/>
  <c r="DH80" i="431"/>
  <c r="DH103" i="431" s="1"/>
  <c r="DH135" i="431" s="1"/>
  <c r="DF80" i="431"/>
  <c r="DE80" i="431"/>
  <c r="DE103" i="431" s="1"/>
  <c r="DE135" i="431" s="1"/>
  <c r="DE51" i="431" s="1"/>
  <c r="DD80" i="431"/>
  <c r="DC80" i="431"/>
  <c r="DC103" i="431" s="1"/>
  <c r="DA80" i="431"/>
  <c r="DA103" i="431" s="1"/>
  <c r="CZ80" i="431"/>
  <c r="CZ103" i="431" s="1"/>
  <c r="CY80" i="431"/>
  <c r="CX80" i="431"/>
  <c r="CV80" i="431"/>
  <c r="CU80" i="431"/>
  <c r="CU103" i="431" s="1"/>
  <c r="CT80" i="431"/>
  <c r="CS80" i="431"/>
  <c r="CS103" i="431" s="1"/>
  <c r="CP80" i="431"/>
  <c r="CO80" i="431"/>
  <c r="CN80" i="431"/>
  <c r="CL80" i="431"/>
  <c r="CK80" i="431"/>
  <c r="CJ80" i="431"/>
  <c r="CI80" i="431"/>
  <c r="CG80" i="431"/>
  <c r="CF80" i="431"/>
  <c r="CE80" i="431"/>
  <c r="CE86" i="431" s="1"/>
  <c r="CD80" i="431"/>
  <c r="CB80" i="431"/>
  <c r="CA80" i="431"/>
  <c r="BZ80" i="431"/>
  <c r="BY80" i="431"/>
  <c r="BW80" i="431"/>
  <c r="BV80" i="431"/>
  <c r="CA81" i="431" s="1"/>
  <c r="BU80" i="431"/>
  <c r="BT80" i="431"/>
  <c r="BR80" i="431"/>
  <c r="BQ80" i="431"/>
  <c r="BP80" i="431"/>
  <c r="BO80" i="431"/>
  <c r="BM80" i="431"/>
  <c r="BM103" i="431" s="1"/>
  <c r="BM135" i="431" s="1"/>
  <c r="BM96" i="431" s="1"/>
  <c r="BL80" i="431"/>
  <c r="BL103" i="431" s="1"/>
  <c r="BK80" i="431"/>
  <c r="BJ80" i="431"/>
  <c r="BH80" i="431"/>
  <c r="BG80" i="431"/>
  <c r="BF80" i="431"/>
  <c r="BE80" i="431"/>
  <c r="BE103" i="431" s="1"/>
  <c r="BE135" i="431" s="1"/>
  <c r="BC80" i="431"/>
  <c r="BB80" i="431"/>
  <c r="BA80" i="431"/>
  <c r="BA103" i="431" s="1"/>
  <c r="AZ80" i="431"/>
  <c r="AX80" i="431"/>
  <c r="AW80" i="431"/>
  <c r="AV80" i="431"/>
  <c r="AU80" i="431"/>
  <c r="AZ81" i="431" s="1"/>
  <c r="AS80" i="431"/>
  <c r="AR80" i="431"/>
  <c r="AR103" i="431" s="1"/>
  <c r="AR135" i="431" s="1"/>
  <c r="AR96" i="431" s="1"/>
  <c r="AQ80" i="431"/>
  <c r="AP80" i="431"/>
  <c r="AN80" i="431"/>
  <c r="AM80" i="431"/>
  <c r="AM103" i="431" s="1"/>
  <c r="AL80" i="431"/>
  <c r="AK80" i="431"/>
  <c r="AI80" i="431"/>
  <c r="AI103" i="431" s="1"/>
  <c r="AI135" i="431" s="1"/>
  <c r="AH80" i="431"/>
  <c r="AG80" i="431"/>
  <c r="AF80" i="431"/>
  <c r="AD80" i="431"/>
  <c r="AC80" i="431"/>
  <c r="AB80" i="431"/>
  <c r="AA80" i="431"/>
  <c r="Y80" i="431"/>
  <c r="Y103" i="431" s="1"/>
  <c r="X80" i="431"/>
  <c r="W80" i="431"/>
  <c r="W103" i="431" s="1"/>
  <c r="V80" i="431"/>
  <c r="T80" i="431"/>
  <c r="S80" i="431"/>
  <c r="R80" i="431"/>
  <c r="W81" i="431" s="1"/>
  <c r="Q80" i="431"/>
  <c r="O83" i="431"/>
  <c r="O85" i="431" s="1"/>
  <c r="N83" i="431"/>
  <c r="M83" i="431"/>
  <c r="R84" i="431" s="1"/>
  <c r="L83" i="431"/>
  <c r="O80" i="431"/>
  <c r="N80" i="431"/>
  <c r="M80" i="431"/>
  <c r="L80" i="431"/>
  <c r="J80" i="431"/>
  <c r="J103" i="431" s="1"/>
  <c r="J135" i="431" s="1"/>
  <c r="J136" i="431" s="1"/>
  <c r="I80" i="431"/>
  <c r="H80" i="431"/>
  <c r="H103" i="431" s="1"/>
  <c r="H135" i="431" s="1"/>
  <c r="G80" i="431"/>
  <c r="G103" i="431" s="1"/>
  <c r="G135" i="431" s="1"/>
  <c r="G134" i="431" s="1"/>
  <c r="EI79" i="431"/>
  <c r="EH79" i="431"/>
  <c r="EG79" i="431"/>
  <c r="EE79" i="431"/>
  <c r="ED79" i="431"/>
  <c r="EC79" i="431"/>
  <c r="EB79" i="431"/>
  <c r="DZ79" i="431"/>
  <c r="DY79" i="431"/>
  <c r="DX79" i="431"/>
  <c r="DW79" i="431"/>
  <c r="DU79" i="431"/>
  <c r="DT79" i="431"/>
  <c r="DS79" i="431"/>
  <c r="DR79" i="431"/>
  <c r="DP79" i="431"/>
  <c r="DO79" i="431"/>
  <c r="DN79" i="431"/>
  <c r="DM79" i="431"/>
  <c r="DK79" i="431"/>
  <c r="DJ79" i="431"/>
  <c r="DI79" i="431"/>
  <c r="DH79" i="431"/>
  <c r="DF79" i="431"/>
  <c r="DE79" i="431"/>
  <c r="DD79" i="431"/>
  <c r="DC79" i="431"/>
  <c r="DA79" i="431"/>
  <c r="CZ79" i="431"/>
  <c r="CY79" i="431"/>
  <c r="CX79" i="431"/>
  <c r="CV79" i="431"/>
  <c r="CU79" i="431"/>
  <c r="CT79" i="431"/>
  <c r="CS79" i="431"/>
  <c r="CQ79" i="431"/>
  <c r="CP79" i="431"/>
  <c r="CO79" i="431"/>
  <c r="CN79" i="431"/>
  <c r="CL79" i="431"/>
  <c r="CK79" i="431"/>
  <c r="CJ79" i="431"/>
  <c r="CI79" i="431"/>
  <c r="CG79" i="431"/>
  <c r="CF79" i="431"/>
  <c r="CE79" i="431"/>
  <c r="CD79" i="431"/>
  <c r="CB79" i="431"/>
  <c r="CA79" i="431"/>
  <c r="BZ79" i="431"/>
  <c r="BY79" i="431"/>
  <c r="BW79" i="431"/>
  <c r="BV79" i="431"/>
  <c r="BU79" i="431"/>
  <c r="BT79" i="431"/>
  <c r="BR79" i="431"/>
  <c r="BQ79" i="431"/>
  <c r="BP79" i="431"/>
  <c r="BO79" i="431"/>
  <c r="BM79" i="431"/>
  <c r="BL79" i="431"/>
  <c r="BK79" i="431"/>
  <c r="BJ79" i="431"/>
  <c r="BH79" i="431"/>
  <c r="BG79" i="431"/>
  <c r="BF79" i="431"/>
  <c r="BE79" i="431"/>
  <c r="BC79" i="431"/>
  <c r="BB79" i="431"/>
  <c r="BA79" i="431"/>
  <c r="AZ79" i="431"/>
  <c r="AX79" i="431"/>
  <c r="AW79" i="431"/>
  <c r="AV79" i="431"/>
  <c r="AU79" i="431"/>
  <c r="AS79" i="431"/>
  <c r="AR79" i="431"/>
  <c r="AQ79" i="431"/>
  <c r="AP79" i="431"/>
  <c r="AN79" i="431"/>
  <c r="AM79" i="431"/>
  <c r="AL79" i="431"/>
  <c r="AK79" i="431"/>
  <c r="EF78" i="431"/>
  <c r="EF76" i="431"/>
  <c r="EF74" i="431"/>
  <c r="EF72" i="431"/>
  <c r="EA78" i="431"/>
  <c r="EA76" i="431"/>
  <c r="EA74" i="431"/>
  <c r="EA72" i="431"/>
  <c r="DV78" i="431"/>
  <c r="DV76" i="431"/>
  <c r="DV74" i="431"/>
  <c r="DV72" i="431"/>
  <c r="DQ78" i="431"/>
  <c r="DQ76" i="431"/>
  <c r="DQ74" i="431"/>
  <c r="DQ72" i="431"/>
  <c r="DL78" i="431"/>
  <c r="DL76" i="431"/>
  <c r="DL74" i="431"/>
  <c r="DL72" i="431"/>
  <c r="DG78" i="431"/>
  <c r="DG76" i="431"/>
  <c r="DG74" i="431"/>
  <c r="DG72" i="431"/>
  <c r="DB78" i="431"/>
  <c r="DG79" i="431" s="1"/>
  <c r="DB76" i="431"/>
  <c r="DB74" i="431"/>
  <c r="DB72" i="431"/>
  <c r="CW78" i="431"/>
  <c r="CW76" i="431"/>
  <c r="CW74" i="431"/>
  <c r="CW72" i="431"/>
  <c r="CR78" i="431"/>
  <c r="CR76" i="431"/>
  <c r="CR74" i="431"/>
  <c r="CR72" i="431"/>
  <c r="CM78" i="431"/>
  <c r="CM76" i="431"/>
  <c r="CM74" i="431"/>
  <c r="CM72" i="431"/>
  <c r="CH78" i="431"/>
  <c r="CH76" i="431"/>
  <c r="CH74" i="431"/>
  <c r="CH72" i="431"/>
  <c r="CC78" i="431"/>
  <c r="CC76" i="431"/>
  <c r="CC74" i="431"/>
  <c r="CC72" i="431"/>
  <c r="BX78" i="431"/>
  <c r="BX76" i="431"/>
  <c r="BX74" i="431"/>
  <c r="BX72" i="431"/>
  <c r="BS78" i="431"/>
  <c r="BS76" i="431"/>
  <c r="BS74" i="431"/>
  <c r="BS72" i="431"/>
  <c r="BN78" i="431"/>
  <c r="BN76" i="431"/>
  <c r="BN74" i="431"/>
  <c r="BN72" i="431"/>
  <c r="BI78" i="431"/>
  <c r="BI76" i="431"/>
  <c r="BI74" i="431"/>
  <c r="BI72" i="431"/>
  <c r="BD78" i="431"/>
  <c r="BD76" i="431"/>
  <c r="BD74" i="431"/>
  <c r="BI75" i="431" s="1"/>
  <c r="BD72" i="431"/>
  <c r="AY78" i="431"/>
  <c r="AY76" i="431"/>
  <c r="AY74" i="431"/>
  <c r="AY72" i="431"/>
  <c r="AY70" i="431" s="1"/>
  <c r="AT78" i="431"/>
  <c r="AT76" i="431"/>
  <c r="AT74" i="431"/>
  <c r="AT72" i="431"/>
  <c r="AO78" i="431"/>
  <c r="AO76" i="431"/>
  <c r="AO74" i="431"/>
  <c r="AO72" i="431"/>
  <c r="AJ78" i="431"/>
  <c r="AO79" i="431" s="1"/>
  <c r="EZ77" i="431"/>
  <c r="EI77" i="431"/>
  <c r="EH77" i="431"/>
  <c r="EG77" i="431"/>
  <c r="EE77" i="431"/>
  <c r="ED77" i="431"/>
  <c r="EC77" i="431"/>
  <c r="EB77" i="431"/>
  <c r="DZ77" i="431"/>
  <c r="DY77" i="431"/>
  <c r="DX77" i="431"/>
  <c r="DW77" i="431"/>
  <c r="DU77" i="431"/>
  <c r="DT77" i="431"/>
  <c r="DS77" i="431"/>
  <c r="DR77" i="431"/>
  <c r="DP77" i="431"/>
  <c r="DO77" i="431"/>
  <c r="DN77" i="431"/>
  <c r="DM77" i="431"/>
  <c r="DK77" i="431"/>
  <c r="DJ77" i="431"/>
  <c r="DI77" i="431"/>
  <c r="DH77" i="431"/>
  <c r="DF77" i="431"/>
  <c r="DE77" i="431"/>
  <c r="DD77" i="431"/>
  <c r="DC77" i="431"/>
  <c r="DA77" i="431"/>
  <c r="CZ77" i="431"/>
  <c r="CY77" i="431"/>
  <c r="CX77" i="431"/>
  <c r="CV77" i="431"/>
  <c r="CU77" i="431"/>
  <c r="CT77" i="431"/>
  <c r="CS77" i="431"/>
  <c r="CQ77" i="431"/>
  <c r="CP77" i="431"/>
  <c r="CO77" i="431"/>
  <c r="CN77" i="431"/>
  <c r="CL77" i="431"/>
  <c r="CK77" i="431"/>
  <c r="CJ77" i="431"/>
  <c r="CI77" i="431"/>
  <c r="CG77" i="431"/>
  <c r="CF77" i="431"/>
  <c r="CE77" i="431"/>
  <c r="CD77" i="431"/>
  <c r="CB77" i="431"/>
  <c r="CA77" i="431"/>
  <c r="BZ77" i="431"/>
  <c r="BY77" i="431"/>
  <c r="BW77" i="431"/>
  <c r="BV77" i="431"/>
  <c r="BU77" i="431"/>
  <c r="BT77" i="431"/>
  <c r="BR77" i="431"/>
  <c r="BQ77" i="431"/>
  <c r="BP77" i="431"/>
  <c r="BO77" i="431"/>
  <c r="BM77" i="431"/>
  <c r="BL77" i="431"/>
  <c r="BK77" i="431"/>
  <c r="BJ77" i="431"/>
  <c r="BH77" i="431"/>
  <c r="BG77" i="431"/>
  <c r="BF77" i="431"/>
  <c r="BE77" i="431"/>
  <c r="BC77" i="431"/>
  <c r="BB77" i="431"/>
  <c r="BA77" i="431"/>
  <c r="AZ77" i="431"/>
  <c r="AX77" i="431"/>
  <c r="AW77" i="431"/>
  <c r="AV77" i="431"/>
  <c r="AU77" i="431"/>
  <c r="AS77" i="431"/>
  <c r="AR77" i="431"/>
  <c r="AQ77" i="431"/>
  <c r="AP77" i="431"/>
  <c r="AN77" i="431"/>
  <c r="AM77" i="431"/>
  <c r="AL77" i="431"/>
  <c r="AK77" i="431"/>
  <c r="AJ76" i="431"/>
  <c r="EZ75" i="431"/>
  <c r="EI75" i="431"/>
  <c r="EH75" i="431"/>
  <c r="EG75" i="431"/>
  <c r="EE75" i="431"/>
  <c r="ED75" i="431"/>
  <c r="EC75" i="431"/>
  <c r="EB75" i="431"/>
  <c r="DZ75" i="431"/>
  <c r="DY75" i="431"/>
  <c r="DX75" i="431"/>
  <c r="DW75" i="431"/>
  <c r="DU75" i="431"/>
  <c r="DT75" i="431"/>
  <c r="DS75" i="431"/>
  <c r="DR75" i="431"/>
  <c r="DP75" i="431"/>
  <c r="DO75" i="431"/>
  <c r="DN75" i="431"/>
  <c r="DM75" i="431"/>
  <c r="DK75" i="431"/>
  <c r="DJ75" i="431"/>
  <c r="DI75" i="431"/>
  <c r="DH75" i="431"/>
  <c r="DF75" i="431"/>
  <c r="DE75" i="431"/>
  <c r="DD75" i="431"/>
  <c r="DC75" i="431"/>
  <c r="DA75" i="431"/>
  <c r="CZ75" i="431"/>
  <c r="CY75" i="431"/>
  <c r="CX75" i="431"/>
  <c r="CV75" i="431"/>
  <c r="CU75" i="431"/>
  <c r="CT75" i="431"/>
  <c r="CS75" i="431"/>
  <c r="CQ75" i="431"/>
  <c r="CP75" i="431"/>
  <c r="CO75" i="431"/>
  <c r="CN75" i="431"/>
  <c r="CL75" i="431"/>
  <c r="CK75" i="431"/>
  <c r="CJ75" i="431"/>
  <c r="CI75" i="431"/>
  <c r="CG75" i="431"/>
  <c r="CF75" i="431"/>
  <c r="CE75" i="431"/>
  <c r="CD75" i="431"/>
  <c r="CB75" i="431"/>
  <c r="CA75" i="431"/>
  <c r="BZ75" i="431"/>
  <c r="BY75" i="431"/>
  <c r="BW75" i="431"/>
  <c r="BV75" i="431"/>
  <c r="BU75" i="431"/>
  <c r="BT75" i="431"/>
  <c r="BR75" i="431"/>
  <c r="BQ75" i="431"/>
  <c r="BP75" i="431"/>
  <c r="BO75" i="431"/>
  <c r="BM75" i="431"/>
  <c r="BL75" i="431"/>
  <c r="BK75" i="431"/>
  <c r="BJ75" i="431"/>
  <c r="BH75" i="431"/>
  <c r="BG75" i="431"/>
  <c r="BF75" i="431"/>
  <c r="BE75" i="431"/>
  <c r="BC75" i="431"/>
  <c r="BB75" i="431"/>
  <c r="BA75" i="431"/>
  <c r="AZ75" i="431"/>
  <c r="AX75" i="431"/>
  <c r="AW75" i="431"/>
  <c r="AV75" i="431"/>
  <c r="AU75" i="431"/>
  <c r="AS75" i="431"/>
  <c r="AR75" i="431"/>
  <c r="AQ75" i="431"/>
  <c r="AP75" i="431"/>
  <c r="AN75" i="431"/>
  <c r="AM75" i="431"/>
  <c r="AL75" i="431"/>
  <c r="AK75" i="431"/>
  <c r="AJ74" i="431"/>
  <c r="AO75" i="431" s="1"/>
  <c r="EI73" i="431"/>
  <c r="EH73" i="431"/>
  <c r="EG73" i="431"/>
  <c r="EE73" i="431"/>
  <c r="ED73" i="431"/>
  <c r="EC73" i="431"/>
  <c r="EB73" i="431"/>
  <c r="DZ73" i="431"/>
  <c r="DY73" i="431"/>
  <c r="DX73" i="431"/>
  <c r="DW73" i="431"/>
  <c r="DU73" i="431"/>
  <c r="DT73" i="431"/>
  <c r="DS73" i="431"/>
  <c r="DR73" i="431"/>
  <c r="DP73" i="431"/>
  <c r="DO73" i="431"/>
  <c r="DN73" i="431"/>
  <c r="DM73" i="431"/>
  <c r="DK73" i="431"/>
  <c r="DJ73" i="431"/>
  <c r="DI73" i="431"/>
  <c r="DH73" i="431"/>
  <c r="DF73" i="431"/>
  <c r="DE73" i="431"/>
  <c r="DD73" i="431"/>
  <c r="DC73" i="431"/>
  <c r="DA73" i="431"/>
  <c r="CZ73" i="431"/>
  <c r="CY73" i="431"/>
  <c r="CX73" i="431"/>
  <c r="CV73" i="431"/>
  <c r="CU73" i="431"/>
  <c r="CT73" i="431"/>
  <c r="CS73" i="431"/>
  <c r="CQ73" i="431"/>
  <c r="CP73" i="431"/>
  <c r="CO73" i="431"/>
  <c r="CN73" i="431"/>
  <c r="CL73" i="431"/>
  <c r="CK73" i="431"/>
  <c r="CJ73" i="431"/>
  <c r="CI73" i="431"/>
  <c r="CG73" i="431"/>
  <c r="CF73" i="431"/>
  <c r="CE73" i="431"/>
  <c r="CD73" i="431"/>
  <c r="CB73" i="431"/>
  <c r="CA73" i="431"/>
  <c r="BZ73" i="431"/>
  <c r="BY73" i="431"/>
  <c r="BW73" i="431"/>
  <c r="BV73" i="431"/>
  <c r="BU73" i="431"/>
  <c r="BT73" i="431"/>
  <c r="BR73" i="431"/>
  <c r="BQ73" i="431"/>
  <c r="BP73" i="431"/>
  <c r="BO73" i="431"/>
  <c r="BM73" i="431"/>
  <c r="BL73" i="431"/>
  <c r="BK73" i="431"/>
  <c r="BJ73" i="431"/>
  <c r="BH73" i="431"/>
  <c r="BG73" i="431"/>
  <c r="BF73" i="431"/>
  <c r="BE73" i="431"/>
  <c r="BC73" i="431"/>
  <c r="BB73" i="431"/>
  <c r="BA73" i="431"/>
  <c r="AZ73" i="431"/>
  <c r="AX73" i="431"/>
  <c r="AW73" i="431"/>
  <c r="AV73" i="431"/>
  <c r="AU73" i="431"/>
  <c r="AS73" i="431"/>
  <c r="AR73" i="431"/>
  <c r="AQ73" i="431"/>
  <c r="AP73" i="431"/>
  <c r="AN73" i="431"/>
  <c r="AM73" i="431"/>
  <c r="AL73" i="431"/>
  <c r="AK73" i="431"/>
  <c r="AJ72" i="431"/>
  <c r="BM70" i="431"/>
  <c r="BL70" i="431"/>
  <c r="BK70" i="431"/>
  <c r="BJ70" i="431"/>
  <c r="BH70" i="431"/>
  <c r="BG70" i="431"/>
  <c r="BG68" i="431" s="1"/>
  <c r="BF70" i="431"/>
  <c r="BE70" i="431"/>
  <c r="BE68" i="431" s="1"/>
  <c r="BC70" i="431"/>
  <c r="BC68" i="431" s="1"/>
  <c r="BB70" i="431"/>
  <c r="BA70" i="431"/>
  <c r="AZ70" i="431"/>
  <c r="AX70" i="431"/>
  <c r="AW70" i="431"/>
  <c r="AW68" i="431" s="1"/>
  <c r="AV70" i="431"/>
  <c r="AU70" i="431"/>
  <c r="AS70" i="431"/>
  <c r="AS68" i="431" s="1"/>
  <c r="AR70" i="431"/>
  <c r="AW71" i="431" s="1"/>
  <c r="AQ70" i="431"/>
  <c r="AP70" i="431"/>
  <c r="AN70" i="431"/>
  <c r="AM70" i="431"/>
  <c r="AL70" i="431"/>
  <c r="AK70" i="431"/>
  <c r="AK68" i="431" s="1"/>
  <c r="AI70" i="431"/>
  <c r="AH70" i="431"/>
  <c r="AG70" i="431"/>
  <c r="AF70" i="431"/>
  <c r="EI70" i="431"/>
  <c r="EH70" i="431"/>
  <c r="EG70" i="431"/>
  <c r="EE70" i="431"/>
  <c r="ED70" i="431"/>
  <c r="EC70" i="431"/>
  <c r="EB70" i="431"/>
  <c r="DZ70" i="431"/>
  <c r="DZ68" i="431" s="1"/>
  <c r="DY70" i="431"/>
  <c r="DY68" i="431" s="1"/>
  <c r="DX70" i="431"/>
  <c r="DW70" i="431"/>
  <c r="DW68" i="431" s="1"/>
  <c r="DU70" i="431"/>
  <c r="DT70" i="431"/>
  <c r="DS70" i="431"/>
  <c r="DR70" i="431"/>
  <c r="DR68" i="431" s="1"/>
  <c r="DP70" i="431"/>
  <c r="DP68" i="431" s="1"/>
  <c r="DO70" i="431"/>
  <c r="DN70" i="431"/>
  <c r="DM70" i="431"/>
  <c r="DK70" i="431"/>
  <c r="DJ70" i="431"/>
  <c r="DJ68" i="431" s="1"/>
  <c r="DI70" i="431"/>
  <c r="DN71" i="431" s="1"/>
  <c r="DH70" i="431"/>
  <c r="DF70" i="431"/>
  <c r="DE70" i="431"/>
  <c r="DD70" i="431"/>
  <c r="DD68" i="431" s="1"/>
  <c r="DC70" i="431"/>
  <c r="DA70" i="431"/>
  <c r="CZ70" i="431"/>
  <c r="CZ68" i="431" s="1"/>
  <c r="CY70" i="431"/>
  <c r="CX70" i="431"/>
  <c r="CV70" i="431"/>
  <c r="DA71" i="431" s="1"/>
  <c r="CU70" i="431"/>
  <c r="CU68" i="431" s="1"/>
  <c r="CT70" i="431"/>
  <c r="CT68" i="431" s="1"/>
  <c r="CS70" i="431"/>
  <c r="CQ70" i="431"/>
  <c r="CP70" i="431"/>
  <c r="CO70" i="431"/>
  <c r="CN70" i="431"/>
  <c r="CN68" i="431" s="1"/>
  <c r="CL70" i="431"/>
  <c r="CK70" i="431"/>
  <c r="CJ70" i="431"/>
  <c r="CI70" i="431"/>
  <c r="CG70" i="431"/>
  <c r="CF70" i="431"/>
  <c r="CE70" i="431"/>
  <c r="CD70" i="431"/>
  <c r="CD68" i="431" s="1"/>
  <c r="CB70" i="431"/>
  <c r="CB68" i="431" s="1"/>
  <c r="CA70" i="431"/>
  <c r="CA68" i="431" s="1"/>
  <c r="BZ70" i="431"/>
  <c r="BZ68" i="431" s="1"/>
  <c r="BY70" i="431"/>
  <c r="BW70" i="431"/>
  <c r="BV70" i="431"/>
  <c r="BV68" i="431" s="1"/>
  <c r="BU70" i="431"/>
  <c r="BT70" i="431"/>
  <c r="BT68" i="431" s="1"/>
  <c r="BR70" i="431"/>
  <c r="BQ70" i="431"/>
  <c r="BQ71" i="431" s="1"/>
  <c r="BP70" i="431"/>
  <c r="BO70" i="431"/>
  <c r="BO68" i="431" s="1"/>
  <c r="EI61" i="431"/>
  <c r="EH61" i="431"/>
  <c r="EG61" i="431"/>
  <c r="EE61" i="431"/>
  <c r="EJ62" i="431" s="1"/>
  <c r="ED61" i="431"/>
  <c r="EC61" i="431"/>
  <c r="EC64" i="431" s="1"/>
  <c r="EB61" i="431"/>
  <c r="DZ61" i="431"/>
  <c r="DY61" i="431"/>
  <c r="DY64" i="431" s="1"/>
  <c r="DX61" i="431"/>
  <c r="DX64" i="431" s="1"/>
  <c r="DW61" i="431"/>
  <c r="DW64" i="431" s="1"/>
  <c r="DU61" i="431"/>
  <c r="DT61" i="431"/>
  <c r="DS61" i="431"/>
  <c r="DR61" i="431"/>
  <c r="DR64" i="431" s="1"/>
  <c r="DP61" i="431"/>
  <c r="DP64" i="431" s="1"/>
  <c r="DO61" i="431"/>
  <c r="DN61" i="431"/>
  <c r="DM61" i="431"/>
  <c r="DK61" i="431"/>
  <c r="DP62" i="431" s="1"/>
  <c r="DJ61" i="431"/>
  <c r="DI61" i="431"/>
  <c r="DI64" i="431" s="1"/>
  <c r="DI66" i="431" s="1"/>
  <c r="DH61" i="431"/>
  <c r="DF61" i="431"/>
  <c r="DE61" i="431"/>
  <c r="DD61" i="431"/>
  <c r="DC61" i="431"/>
  <c r="DC64" i="431" s="1"/>
  <c r="DA61" i="431"/>
  <c r="CZ61" i="431"/>
  <c r="CZ64" i="431" s="1"/>
  <c r="CY61" i="431"/>
  <c r="CY63" i="431" s="1"/>
  <c r="CX61" i="431"/>
  <c r="CV61" i="431"/>
  <c r="CU61" i="431"/>
  <c r="CT61" i="431"/>
  <c r="CT64" i="431" s="1"/>
  <c r="CS61" i="431"/>
  <c r="CS64" i="431" s="1"/>
  <c r="CQ61" i="431"/>
  <c r="CP61" i="431"/>
  <c r="CP64" i="431" s="1"/>
  <c r="CO61" i="431"/>
  <c r="CN61" i="431"/>
  <c r="CL61" i="431"/>
  <c r="CK61" i="431"/>
  <c r="CK64" i="431" s="1"/>
  <c r="CJ61" i="431"/>
  <c r="CJ64" i="431" s="1"/>
  <c r="CI61" i="431"/>
  <c r="CI64" i="431" s="1"/>
  <c r="CG61" i="431"/>
  <c r="CF61" i="431"/>
  <c r="CE61" i="431"/>
  <c r="CE63" i="431" s="1"/>
  <c r="CD61" i="431"/>
  <c r="CB61" i="431"/>
  <c r="CA61" i="431"/>
  <c r="BZ61" i="431"/>
  <c r="BY61" i="431"/>
  <c r="BW61" i="431"/>
  <c r="BW63" i="431" s="1"/>
  <c r="BV61" i="431"/>
  <c r="BU61" i="431"/>
  <c r="BT61" i="431"/>
  <c r="BT64" i="431" s="1"/>
  <c r="BR61" i="431"/>
  <c r="BQ61" i="431"/>
  <c r="BP61" i="431"/>
  <c r="BO61" i="431"/>
  <c r="BM61" i="431"/>
  <c r="BL61" i="431"/>
  <c r="BK61" i="431"/>
  <c r="BJ61" i="431"/>
  <c r="BH61" i="431"/>
  <c r="BG61" i="431"/>
  <c r="BG64" i="431" s="1"/>
  <c r="BF61" i="431"/>
  <c r="BE61" i="431"/>
  <c r="BC61" i="431"/>
  <c r="BB61" i="431"/>
  <c r="BA61" i="431"/>
  <c r="AZ61" i="431"/>
  <c r="AX61" i="431"/>
  <c r="AW61" i="431"/>
  <c r="AV61" i="431"/>
  <c r="AU61" i="431"/>
  <c r="AU64" i="431" s="1"/>
  <c r="AS61" i="431"/>
  <c r="AR61" i="431"/>
  <c r="AQ61" i="431"/>
  <c r="AQ64" i="431" s="1"/>
  <c r="AP61" i="431"/>
  <c r="AN61" i="431"/>
  <c r="AN64" i="431" s="1"/>
  <c r="AM61" i="431"/>
  <c r="AL61" i="431"/>
  <c r="AK61" i="431"/>
  <c r="AI61" i="431"/>
  <c r="AH61" i="431"/>
  <c r="AG61" i="431"/>
  <c r="AF61" i="431"/>
  <c r="AD61" i="431"/>
  <c r="AC61" i="431"/>
  <c r="AB61" i="431"/>
  <c r="AB64" i="431" s="1"/>
  <c r="AA61" i="431"/>
  <c r="Y61" i="431"/>
  <c r="Y63" i="431" s="1"/>
  <c r="X61" i="431"/>
  <c r="W61" i="431"/>
  <c r="V61" i="431"/>
  <c r="T61" i="431"/>
  <c r="S61" i="431"/>
  <c r="R61" i="431"/>
  <c r="Q61" i="431"/>
  <c r="Q64" i="431" s="1"/>
  <c r="EI59" i="431"/>
  <c r="EH59" i="431"/>
  <c r="EG59" i="431"/>
  <c r="EE59" i="431"/>
  <c r="ED59" i="431"/>
  <c r="EC59" i="431"/>
  <c r="EB59" i="431"/>
  <c r="DZ59" i="431"/>
  <c r="DY59" i="431"/>
  <c r="DX59" i="431"/>
  <c r="DW59" i="431"/>
  <c r="DU59" i="431"/>
  <c r="DT59" i="431"/>
  <c r="DS59" i="431"/>
  <c r="DR59" i="431"/>
  <c r="DP59" i="431"/>
  <c r="DO59" i="431"/>
  <c r="DN59" i="431"/>
  <c r="DM59" i="431"/>
  <c r="DK59" i="431"/>
  <c r="DJ59" i="431"/>
  <c r="DI59" i="431"/>
  <c r="DH59" i="431"/>
  <c r="DF59" i="431"/>
  <c r="DE59" i="431"/>
  <c r="DD59" i="431"/>
  <c r="DC59" i="431"/>
  <c r="DA59" i="431"/>
  <c r="CY59" i="431"/>
  <c r="CX59" i="431"/>
  <c r="CV59" i="431"/>
  <c r="CT59" i="431"/>
  <c r="CS59" i="431"/>
  <c r="CQ59" i="431"/>
  <c r="CP59" i="431"/>
  <c r="CO59" i="431"/>
  <c r="CN59" i="431"/>
  <c r="CL59" i="431"/>
  <c r="CK59" i="431"/>
  <c r="CI59" i="431"/>
  <c r="CG59" i="431"/>
  <c r="CF59" i="431"/>
  <c r="CD59" i="431"/>
  <c r="CA59" i="431"/>
  <c r="BZ59" i="431"/>
  <c r="BY59" i="431"/>
  <c r="BV59" i="431"/>
  <c r="BU59" i="431"/>
  <c r="BT59" i="431"/>
  <c r="BR59" i="431"/>
  <c r="BQ59" i="431"/>
  <c r="BP59" i="431"/>
  <c r="BO59" i="431"/>
  <c r="BM59" i="431"/>
  <c r="BL59" i="431"/>
  <c r="BK59" i="431"/>
  <c r="BJ59" i="431"/>
  <c r="BH59" i="431"/>
  <c r="BG59" i="431"/>
  <c r="BF59" i="431"/>
  <c r="BE59" i="431"/>
  <c r="BC59" i="431"/>
  <c r="BB59" i="431"/>
  <c r="BA59" i="431"/>
  <c r="AZ59" i="431"/>
  <c r="AX59" i="431"/>
  <c r="AW59" i="431"/>
  <c r="AV59" i="431"/>
  <c r="AU59" i="431"/>
  <c r="AS59" i="431"/>
  <c r="AR59" i="431"/>
  <c r="AQ59" i="431"/>
  <c r="AP59" i="431"/>
  <c r="AN59" i="431"/>
  <c r="AM59" i="431"/>
  <c r="AL59" i="431"/>
  <c r="AK59" i="431"/>
  <c r="AI59" i="431"/>
  <c r="AH59" i="431"/>
  <c r="AG59" i="431"/>
  <c r="AF59" i="431"/>
  <c r="AD59" i="431"/>
  <c r="AC59" i="431"/>
  <c r="AB59" i="431"/>
  <c r="AA59" i="431"/>
  <c r="Y59" i="431"/>
  <c r="V59" i="431"/>
  <c r="Q59" i="431"/>
  <c r="O61" i="431"/>
  <c r="O63" i="431" s="1"/>
  <c r="N61" i="431"/>
  <c r="M61" i="431"/>
  <c r="M64" i="431" s="1"/>
  <c r="L61" i="431"/>
  <c r="L59" i="431"/>
  <c r="EF58" i="431"/>
  <c r="EA58" i="431"/>
  <c r="DV58" i="431"/>
  <c r="DQ58" i="431"/>
  <c r="DL58" i="431"/>
  <c r="DG58" i="431"/>
  <c r="DB58" i="431"/>
  <c r="CU58" i="431"/>
  <c r="CU52" i="431"/>
  <c r="CU50" i="431"/>
  <c r="CR58" i="431"/>
  <c r="CM58" i="431"/>
  <c r="CE58" i="431"/>
  <c r="CE59" i="431" s="1"/>
  <c r="CE52" i="431"/>
  <c r="CE50" i="431"/>
  <c r="CC58" i="431"/>
  <c r="BW58" i="431"/>
  <c r="BS58" i="431"/>
  <c r="BN58" i="431"/>
  <c r="BI58" i="431"/>
  <c r="BD58" i="431"/>
  <c r="AY58" i="431"/>
  <c r="AT58" i="431"/>
  <c r="AO58" i="431"/>
  <c r="AT59" i="431" s="1"/>
  <c r="AJ58" i="431"/>
  <c r="AE58" i="431"/>
  <c r="Z58" i="431"/>
  <c r="S58" i="431"/>
  <c r="X59" i="431" s="1"/>
  <c r="R58" i="431"/>
  <c r="O58" i="431"/>
  <c r="N58" i="431"/>
  <c r="M58" i="431"/>
  <c r="M59" i="431" s="1"/>
  <c r="K58" i="431"/>
  <c r="CV52" i="431"/>
  <c r="CV50" i="431"/>
  <c r="CD52" i="431"/>
  <c r="CD50" i="431"/>
  <c r="EI52" i="431"/>
  <c r="EI55" i="431" s="1"/>
  <c r="EH52" i="431"/>
  <c r="EH55" i="431" s="1"/>
  <c r="EG52" i="431"/>
  <c r="EE52" i="431"/>
  <c r="ED52" i="431"/>
  <c r="EC52" i="431"/>
  <c r="EB52" i="431"/>
  <c r="DZ52" i="431"/>
  <c r="DY52" i="431"/>
  <c r="DY55" i="431" s="1"/>
  <c r="DX52" i="431"/>
  <c r="DX55" i="431" s="1"/>
  <c r="DW52" i="431"/>
  <c r="DU52" i="431"/>
  <c r="DT52" i="431"/>
  <c r="DT55" i="431" s="1"/>
  <c r="DS52" i="431"/>
  <c r="DR52" i="431"/>
  <c r="DP52" i="431"/>
  <c r="DO52" i="431"/>
  <c r="DN52" i="431"/>
  <c r="DM52" i="431"/>
  <c r="DM55" i="431" s="1"/>
  <c r="DK52" i="431"/>
  <c r="DJ52" i="431"/>
  <c r="DI52" i="431"/>
  <c r="DI55" i="431" s="1"/>
  <c r="DH52" i="431"/>
  <c r="DF52" i="431"/>
  <c r="DE52" i="431"/>
  <c r="DE55" i="431" s="1"/>
  <c r="DD52" i="431"/>
  <c r="DC52" i="431"/>
  <c r="DA52" i="431"/>
  <c r="CZ52" i="431"/>
  <c r="CY52" i="431"/>
  <c r="CX52" i="431"/>
  <c r="EI50" i="431"/>
  <c r="EH50" i="431"/>
  <c r="EG50" i="431"/>
  <c r="EE50" i="431"/>
  <c r="ED50" i="431"/>
  <c r="EC50" i="431"/>
  <c r="EB50" i="431"/>
  <c r="DZ50" i="431"/>
  <c r="DY50" i="431"/>
  <c r="DX50" i="431"/>
  <c r="DW50" i="431"/>
  <c r="DU50" i="431"/>
  <c r="DT50" i="431"/>
  <c r="DS50" i="431"/>
  <c r="DR50" i="431"/>
  <c r="DP50" i="431"/>
  <c r="DO50" i="431"/>
  <c r="DN50" i="431"/>
  <c r="DM50" i="431"/>
  <c r="DK50" i="431"/>
  <c r="DJ50" i="431"/>
  <c r="DI50" i="431"/>
  <c r="DH50" i="431"/>
  <c r="DF50" i="431"/>
  <c r="DE50" i="431"/>
  <c r="DD50" i="431"/>
  <c r="DC50" i="431"/>
  <c r="DA50" i="431"/>
  <c r="CZ50" i="431"/>
  <c r="CY50" i="431"/>
  <c r="CX50" i="431"/>
  <c r="CT52" i="431"/>
  <c r="CT55" i="431" s="1"/>
  <c r="CS52" i="431"/>
  <c r="CT50" i="431"/>
  <c r="CQ52" i="431"/>
  <c r="CP52" i="431"/>
  <c r="CP55" i="431" s="1"/>
  <c r="CO52" i="431"/>
  <c r="CN52" i="431"/>
  <c r="CL52" i="431"/>
  <c r="CK52" i="431"/>
  <c r="CJ52" i="431"/>
  <c r="CI52" i="431"/>
  <c r="CG52" i="431"/>
  <c r="CF52" i="431"/>
  <c r="CQ50" i="431"/>
  <c r="CP50" i="431"/>
  <c r="CL50" i="431"/>
  <c r="CK50" i="431"/>
  <c r="CG50" i="431"/>
  <c r="CF50" i="431"/>
  <c r="CB52" i="431"/>
  <c r="CA52" i="431"/>
  <c r="CA55" i="431" s="1"/>
  <c r="BZ52" i="431"/>
  <c r="BZ55" i="431" s="1"/>
  <c r="BY52" i="431"/>
  <c r="CD53" i="431" s="1"/>
  <c r="BW52" i="431"/>
  <c r="BV52" i="431"/>
  <c r="BU52" i="431"/>
  <c r="BZ53" i="431" s="1"/>
  <c r="BT52" i="431"/>
  <c r="BT55" i="431" s="1"/>
  <c r="BR52" i="431"/>
  <c r="BR55" i="431" s="1"/>
  <c r="BQ52" i="431"/>
  <c r="BQ55" i="431" s="1"/>
  <c r="BP52" i="431"/>
  <c r="BO52" i="431"/>
  <c r="BM52" i="431"/>
  <c r="BR53" i="431" s="1"/>
  <c r="BL52" i="431"/>
  <c r="BK52" i="431"/>
  <c r="BP53" i="431" s="1"/>
  <c r="BJ52" i="431"/>
  <c r="BH52" i="431"/>
  <c r="BG52" i="431"/>
  <c r="BF52" i="431"/>
  <c r="BE52" i="431"/>
  <c r="BC52" i="431"/>
  <c r="BC55" i="431" s="1"/>
  <c r="BB52" i="431"/>
  <c r="BA52" i="431"/>
  <c r="AZ52" i="431"/>
  <c r="AX52" i="431"/>
  <c r="AW52" i="431"/>
  <c r="AV52" i="431"/>
  <c r="AU52" i="431"/>
  <c r="AS52" i="431"/>
  <c r="AR52" i="431"/>
  <c r="AR55" i="431" s="1"/>
  <c r="AQ52" i="431"/>
  <c r="AP52" i="431"/>
  <c r="AN52" i="431"/>
  <c r="AM52" i="431"/>
  <c r="AL52" i="431"/>
  <c r="AK52" i="431"/>
  <c r="AI52" i="431"/>
  <c r="AH52" i="431"/>
  <c r="AG52" i="431"/>
  <c r="AG55" i="431" s="1"/>
  <c r="AF52" i="431"/>
  <c r="AD52" i="431"/>
  <c r="AD55" i="431" s="1"/>
  <c r="AC52" i="431"/>
  <c r="AC55" i="431" s="1"/>
  <c r="AB52" i="431"/>
  <c r="AA52" i="431"/>
  <c r="AF53" i="431" s="1"/>
  <c r="Y52" i="431"/>
  <c r="X52" i="431"/>
  <c r="W52" i="431"/>
  <c r="V52" i="431"/>
  <c r="T52" i="431"/>
  <c r="S52" i="431"/>
  <c r="S55" i="431" s="1"/>
  <c r="R52" i="431"/>
  <c r="Q52" i="431"/>
  <c r="CB50" i="431"/>
  <c r="CA50" i="431"/>
  <c r="BZ50" i="431"/>
  <c r="BY50" i="431"/>
  <c r="BW50" i="431"/>
  <c r="BV50" i="431"/>
  <c r="BU50" i="431"/>
  <c r="BT50" i="431"/>
  <c r="BR50" i="431"/>
  <c r="BQ50" i="431"/>
  <c r="BP50" i="431"/>
  <c r="BO50" i="431"/>
  <c r="BM50" i="431"/>
  <c r="BL50" i="431"/>
  <c r="BK50" i="431"/>
  <c r="BJ50" i="431"/>
  <c r="BH50" i="431"/>
  <c r="BG50" i="431"/>
  <c r="BF50" i="431"/>
  <c r="BE50" i="431"/>
  <c r="BC50" i="431"/>
  <c r="BB50" i="431"/>
  <c r="BA50" i="431"/>
  <c r="AZ50" i="431"/>
  <c r="AX50" i="431"/>
  <c r="AW50" i="431"/>
  <c r="AV50" i="431"/>
  <c r="AU50" i="431"/>
  <c r="AS50" i="431"/>
  <c r="AR50" i="431"/>
  <c r="AQ50" i="431"/>
  <c r="AP50" i="431"/>
  <c r="AN50" i="431"/>
  <c r="AM50" i="431"/>
  <c r="AL50" i="431"/>
  <c r="AK50" i="431"/>
  <c r="AI50" i="431"/>
  <c r="AH50" i="431"/>
  <c r="AG50" i="431"/>
  <c r="AF50" i="431"/>
  <c r="AD50" i="431"/>
  <c r="AC50" i="431"/>
  <c r="AB50" i="431"/>
  <c r="AA50" i="431"/>
  <c r="Y50" i="431"/>
  <c r="X50" i="431"/>
  <c r="W50" i="431"/>
  <c r="V50" i="431"/>
  <c r="T50" i="431"/>
  <c r="S50" i="431"/>
  <c r="R50" i="431"/>
  <c r="Q50" i="431"/>
  <c r="O52" i="431"/>
  <c r="O55" i="431" s="1"/>
  <c r="N52" i="431"/>
  <c r="N55" i="431" s="1"/>
  <c r="M52" i="431"/>
  <c r="L52" i="431"/>
  <c r="O50" i="431"/>
  <c r="N50" i="431"/>
  <c r="M50" i="431"/>
  <c r="L50" i="431"/>
  <c r="EF49" i="431"/>
  <c r="EA49" i="431"/>
  <c r="EF50" i="431" s="1"/>
  <c r="DV49" i="431"/>
  <c r="DQ49" i="431"/>
  <c r="DL49" i="431"/>
  <c r="DG49" i="431"/>
  <c r="DB49" i="431"/>
  <c r="CW49" i="431"/>
  <c r="CN49" i="431"/>
  <c r="CJ49" i="431"/>
  <c r="CI49" i="431"/>
  <c r="CI50" i="431" s="1"/>
  <c r="CH49" i="431"/>
  <c r="CC49" i="431"/>
  <c r="BX49" i="431"/>
  <c r="BS49" i="431"/>
  <c r="BN49" i="431"/>
  <c r="BI49" i="431"/>
  <c r="BD49" i="431"/>
  <c r="AY49" i="431"/>
  <c r="AT49" i="431"/>
  <c r="AO49" i="431"/>
  <c r="AJ49" i="431"/>
  <c r="AE49" i="431"/>
  <c r="Z49" i="431"/>
  <c r="U49" i="431"/>
  <c r="P49" i="431"/>
  <c r="K49" i="431"/>
  <c r="EI45" i="431"/>
  <c r="EH45" i="431"/>
  <c r="EG45" i="431"/>
  <c r="DP45" i="431"/>
  <c r="DO45" i="431"/>
  <c r="DN45" i="431"/>
  <c r="DM45" i="431"/>
  <c r="DK45" i="431"/>
  <c r="DJ45" i="431"/>
  <c r="DI45" i="431"/>
  <c r="DH45" i="431"/>
  <c r="DF45" i="431"/>
  <c r="DE45" i="431"/>
  <c r="DD45" i="431"/>
  <c r="DC45" i="431"/>
  <c r="DA45" i="431"/>
  <c r="CZ45" i="431"/>
  <c r="CY45" i="431"/>
  <c r="CX45" i="431"/>
  <c r="CV45" i="431"/>
  <c r="CU45" i="431"/>
  <c r="CT45" i="431"/>
  <c r="CS45" i="431"/>
  <c r="CS46" i="431" s="1"/>
  <c r="EI44" i="431"/>
  <c r="EH44" i="431"/>
  <c r="EG44" i="431"/>
  <c r="EE44" i="431"/>
  <c r="ED44" i="431"/>
  <c r="EC44" i="431"/>
  <c r="EB44" i="431"/>
  <c r="DZ44" i="431"/>
  <c r="DY44" i="431"/>
  <c r="DX44" i="431"/>
  <c r="DW44" i="431"/>
  <c r="DU44" i="431"/>
  <c r="DT44" i="431"/>
  <c r="DS44" i="431"/>
  <c r="DR44" i="431"/>
  <c r="DP44" i="431"/>
  <c r="DO44" i="431"/>
  <c r="DN44" i="431"/>
  <c r="DM44" i="431"/>
  <c r="DK44" i="431"/>
  <c r="DJ44" i="431"/>
  <c r="DI44" i="431"/>
  <c r="DH44" i="431"/>
  <c r="DF44" i="431"/>
  <c r="DE44" i="431"/>
  <c r="DD44" i="431"/>
  <c r="DC44" i="431"/>
  <c r="DA44" i="431"/>
  <c r="CZ44" i="431"/>
  <c r="CY44" i="431"/>
  <c r="CX44" i="431"/>
  <c r="CV44" i="431"/>
  <c r="CU44" i="431"/>
  <c r="CT44" i="431"/>
  <c r="CS44" i="431"/>
  <c r="CQ45" i="431"/>
  <c r="CP45" i="431"/>
  <c r="CO45" i="431"/>
  <c r="CT46" i="431" s="1"/>
  <c r="CN45" i="431"/>
  <c r="CQ44" i="431"/>
  <c r="CP44" i="431"/>
  <c r="CO44" i="431"/>
  <c r="CN44" i="431"/>
  <c r="CL44" i="431"/>
  <c r="CK44" i="431"/>
  <c r="CJ44" i="431"/>
  <c r="CI44" i="431"/>
  <c r="CG44" i="431"/>
  <c r="CF44" i="431"/>
  <c r="CE44" i="431"/>
  <c r="CD44" i="431"/>
  <c r="EF43" i="431"/>
  <c r="EF41" i="431"/>
  <c r="EF39" i="431"/>
  <c r="EF37" i="431"/>
  <c r="EA43" i="431"/>
  <c r="EA41" i="431"/>
  <c r="EA39" i="431"/>
  <c r="EA37" i="431"/>
  <c r="DV43" i="431"/>
  <c r="DV41" i="431"/>
  <c r="EA42" i="431" s="1"/>
  <c r="DV39" i="431"/>
  <c r="DV37" i="431"/>
  <c r="DQ43" i="431"/>
  <c r="DQ162" i="431" s="1"/>
  <c r="DQ41" i="431"/>
  <c r="DQ39" i="431"/>
  <c r="DQ37" i="431"/>
  <c r="DQ35" i="431"/>
  <c r="DL43" i="431"/>
  <c r="DL41" i="431"/>
  <c r="DL39" i="431"/>
  <c r="DL37" i="431"/>
  <c r="DL35" i="431"/>
  <c r="DG43" i="431"/>
  <c r="DG41" i="431"/>
  <c r="DG39" i="431"/>
  <c r="DL40" i="431" s="1"/>
  <c r="DG37" i="431"/>
  <c r="DG35" i="431"/>
  <c r="DL36" i="431" s="1"/>
  <c r="DB43" i="431"/>
  <c r="DB41" i="431"/>
  <c r="DB42" i="431" s="1"/>
  <c r="DB39" i="431"/>
  <c r="DB37" i="431"/>
  <c r="DB35" i="431"/>
  <c r="DB45" i="431" s="1"/>
  <c r="CW43" i="431"/>
  <c r="CW41" i="431"/>
  <c r="CW39" i="431"/>
  <c r="CW37" i="431"/>
  <c r="CW35" i="431"/>
  <c r="DB36" i="431" s="1"/>
  <c r="CR43" i="431"/>
  <c r="CR41" i="431"/>
  <c r="CR39" i="431"/>
  <c r="CR37" i="431"/>
  <c r="CR35" i="431"/>
  <c r="CM43" i="431"/>
  <c r="CM44" i="431" s="1"/>
  <c r="CM41" i="431"/>
  <c r="CM39" i="431"/>
  <c r="CM37" i="431"/>
  <c r="CM35" i="431"/>
  <c r="CH43" i="431"/>
  <c r="CC43" i="431"/>
  <c r="CH44" i="431" s="1"/>
  <c r="EY42" i="431"/>
  <c r="EX42" i="431"/>
  <c r="EW42" i="431"/>
  <c r="EV42" i="431"/>
  <c r="EI42" i="431"/>
  <c r="EH42" i="431"/>
  <c r="EG42" i="431"/>
  <c r="EE42" i="431"/>
  <c r="ED42" i="431"/>
  <c r="EC42" i="431"/>
  <c r="EB42" i="431"/>
  <c r="DZ42" i="431"/>
  <c r="DY42" i="431"/>
  <c r="DX42" i="431"/>
  <c r="DW42" i="431"/>
  <c r="DU42" i="431"/>
  <c r="DT42" i="431"/>
  <c r="DS42" i="431"/>
  <c r="DR42" i="431"/>
  <c r="DP42" i="431"/>
  <c r="DO42" i="431"/>
  <c r="DN42" i="431"/>
  <c r="DM42" i="431"/>
  <c r="DK42" i="431"/>
  <c r="DJ42" i="431"/>
  <c r="DI42" i="431"/>
  <c r="DH42" i="431"/>
  <c r="DF42" i="431"/>
  <c r="DE42" i="431"/>
  <c r="DD42" i="431"/>
  <c r="DC42" i="431"/>
  <c r="DA42" i="431"/>
  <c r="CZ42" i="431"/>
  <c r="CY42" i="431"/>
  <c r="CX42" i="431"/>
  <c r="CV42" i="431"/>
  <c r="CU42" i="431"/>
  <c r="CT42" i="431"/>
  <c r="CS42" i="431"/>
  <c r="CQ42" i="431"/>
  <c r="CP42" i="431"/>
  <c r="CO42" i="431"/>
  <c r="CN42" i="431"/>
  <c r="CL42" i="431"/>
  <c r="CK42" i="431"/>
  <c r="CJ42" i="431"/>
  <c r="CI42" i="431"/>
  <c r="CH41" i="431"/>
  <c r="CM42" i="431" s="1"/>
  <c r="EY40" i="431"/>
  <c r="EX40" i="431"/>
  <c r="EW40" i="431"/>
  <c r="EV40" i="431"/>
  <c r="EI40" i="431"/>
  <c r="EH40" i="431"/>
  <c r="EG40" i="431"/>
  <c r="EE40" i="431"/>
  <c r="ED40" i="431"/>
  <c r="EC40" i="431"/>
  <c r="EB40" i="431"/>
  <c r="DZ40" i="431"/>
  <c r="DY40" i="431"/>
  <c r="DX40" i="431"/>
  <c r="DW40" i="431"/>
  <c r="DU40" i="431"/>
  <c r="DT40" i="431"/>
  <c r="DS40" i="431"/>
  <c r="DR40" i="431"/>
  <c r="DP40" i="431"/>
  <c r="DO40" i="431"/>
  <c r="DN40" i="431"/>
  <c r="DM40" i="431"/>
  <c r="DK40" i="431"/>
  <c r="DJ40" i="431"/>
  <c r="DI40" i="431"/>
  <c r="DH40" i="431"/>
  <c r="DF40" i="431"/>
  <c r="DE40" i="431"/>
  <c r="DD40" i="431"/>
  <c r="DC40" i="431"/>
  <c r="DA40" i="431"/>
  <c r="CZ40" i="431"/>
  <c r="CY40" i="431"/>
  <c r="CX40" i="431"/>
  <c r="CV40" i="431"/>
  <c r="CU40" i="431"/>
  <c r="CT40" i="431"/>
  <c r="CS40" i="431"/>
  <c r="CQ40" i="431"/>
  <c r="CP40" i="431"/>
  <c r="CO40" i="431"/>
  <c r="CN40" i="431"/>
  <c r="CL40" i="431"/>
  <c r="CK40" i="431"/>
  <c r="CJ40" i="431"/>
  <c r="CI40" i="431"/>
  <c r="CH39" i="431"/>
  <c r="EY38" i="431"/>
  <c r="EX38" i="431"/>
  <c r="EW38" i="431"/>
  <c r="EV38" i="431"/>
  <c r="EI38" i="431"/>
  <c r="EH38" i="431"/>
  <c r="EG38" i="431"/>
  <c r="EE38" i="431"/>
  <c r="ED38" i="431"/>
  <c r="EC38" i="431"/>
  <c r="EB38" i="431"/>
  <c r="DZ38" i="431"/>
  <c r="DY38" i="431"/>
  <c r="DX38" i="431"/>
  <c r="DW38" i="431"/>
  <c r="DU38" i="431"/>
  <c r="DT38" i="431"/>
  <c r="DS38" i="431"/>
  <c r="DR38" i="431"/>
  <c r="DP38" i="431"/>
  <c r="DO38" i="431"/>
  <c r="DN38" i="431"/>
  <c r="DM38" i="431"/>
  <c r="DK38" i="431"/>
  <c r="DJ38" i="431"/>
  <c r="DI38" i="431"/>
  <c r="DH38" i="431"/>
  <c r="DF38" i="431"/>
  <c r="DE38" i="431"/>
  <c r="DD38" i="431"/>
  <c r="DC38" i="431"/>
  <c r="DA38" i="431"/>
  <c r="CZ38" i="431"/>
  <c r="CY38" i="431"/>
  <c r="CX38" i="431"/>
  <c r="CV38" i="431"/>
  <c r="CU38" i="431"/>
  <c r="CT38" i="431"/>
  <c r="CS38" i="431"/>
  <c r="CQ38" i="431"/>
  <c r="CP38" i="431"/>
  <c r="CO38" i="431"/>
  <c r="CN38" i="431"/>
  <c r="CL38" i="431"/>
  <c r="CK38" i="431"/>
  <c r="CJ38" i="431"/>
  <c r="CI38" i="431"/>
  <c r="CH37" i="431"/>
  <c r="CH35" i="431"/>
  <c r="DP36" i="431"/>
  <c r="DO36" i="431"/>
  <c r="DN36" i="431"/>
  <c r="DM36" i="431"/>
  <c r="DK36" i="431"/>
  <c r="DJ36" i="431"/>
  <c r="DI36" i="431"/>
  <c r="DH36" i="431"/>
  <c r="DF36" i="431"/>
  <c r="DE36" i="431"/>
  <c r="DD36" i="431"/>
  <c r="DC36" i="431"/>
  <c r="DA36" i="431"/>
  <c r="CZ36" i="431"/>
  <c r="CY36" i="431"/>
  <c r="CX36" i="431"/>
  <c r="CV36" i="431"/>
  <c r="CU36" i="431"/>
  <c r="CT36" i="431"/>
  <c r="CS36" i="431"/>
  <c r="CQ36" i="431"/>
  <c r="CP36" i="431"/>
  <c r="CO36" i="431"/>
  <c r="CN36" i="431"/>
  <c r="CL36" i="431"/>
  <c r="CK36" i="431"/>
  <c r="CJ36" i="431"/>
  <c r="CI36" i="431"/>
  <c r="CG36" i="431"/>
  <c r="CF36" i="431"/>
  <c r="CE36" i="431"/>
  <c r="CD36" i="431"/>
  <c r="CB36" i="431"/>
  <c r="CA36" i="431"/>
  <c r="BZ36" i="431"/>
  <c r="BY36" i="431"/>
  <c r="CC35" i="431"/>
  <c r="BX35" i="431"/>
  <c r="EE35" i="431"/>
  <c r="ED35" i="431"/>
  <c r="EC35" i="431"/>
  <c r="EB35" i="431"/>
  <c r="DZ35" i="431"/>
  <c r="DZ45" i="431" s="1"/>
  <c r="DY35" i="431"/>
  <c r="DX35" i="431"/>
  <c r="DW35" i="431"/>
  <c r="EB36" i="431" s="1"/>
  <c r="DU35" i="431"/>
  <c r="DT35" i="431"/>
  <c r="DS35" i="431"/>
  <c r="DS45" i="431" s="1"/>
  <c r="DS46" i="431" s="1"/>
  <c r="DR35" i="431"/>
  <c r="A27" i="431"/>
  <c r="A26" i="431"/>
  <c r="A25" i="431"/>
  <c r="A24" i="431"/>
  <c r="A23" i="431"/>
  <c r="A22" i="431"/>
  <c r="A21" i="431"/>
  <c r="A20" i="431"/>
  <c r="A19" i="431"/>
  <c r="EI25" i="431"/>
  <c r="EH25" i="431"/>
  <c r="EG25" i="431"/>
  <c r="EE25" i="431"/>
  <c r="ED25" i="431"/>
  <c r="EC25" i="431"/>
  <c r="EB25" i="431"/>
  <c r="DZ25" i="431"/>
  <c r="DY25" i="431"/>
  <c r="DX25" i="431"/>
  <c r="DW25" i="431"/>
  <c r="DU25" i="431"/>
  <c r="DT25" i="431"/>
  <c r="DS25" i="431"/>
  <c r="DR25" i="431"/>
  <c r="DP25" i="431"/>
  <c r="DO25" i="431"/>
  <c r="DN25" i="431"/>
  <c r="DM25" i="431"/>
  <c r="DK25" i="431"/>
  <c r="DJ25" i="431"/>
  <c r="DI25" i="431"/>
  <c r="DH25" i="431"/>
  <c r="DF25" i="431"/>
  <c r="DE25" i="431"/>
  <c r="DD25" i="431"/>
  <c r="DC25" i="431"/>
  <c r="DA25" i="431"/>
  <c r="CZ25" i="431"/>
  <c r="CY25" i="431"/>
  <c r="CX25" i="431"/>
  <c r="CV25" i="431"/>
  <c r="CU25" i="431"/>
  <c r="CT25" i="431"/>
  <c r="CS25" i="431"/>
  <c r="CQ25" i="431"/>
  <c r="CP25" i="431"/>
  <c r="CO25" i="431"/>
  <c r="CN25" i="431"/>
  <c r="CL25" i="431"/>
  <c r="CK25" i="431"/>
  <c r="CJ25" i="431"/>
  <c r="CI25" i="431"/>
  <c r="CG25" i="431"/>
  <c r="CF25" i="431"/>
  <c r="CE25" i="431"/>
  <c r="CD25" i="431"/>
  <c r="CB25" i="431"/>
  <c r="CA25" i="431"/>
  <c r="BZ25" i="431"/>
  <c r="BY25" i="431"/>
  <c r="BW25" i="431"/>
  <c r="BV25" i="431"/>
  <c r="BU25" i="431"/>
  <c r="BT25" i="431"/>
  <c r="BR25" i="431"/>
  <c r="BQ25" i="431"/>
  <c r="BP25" i="431"/>
  <c r="BO25" i="431"/>
  <c r="BM25" i="431"/>
  <c r="BL25" i="431"/>
  <c r="BK25" i="431"/>
  <c r="BJ25" i="431"/>
  <c r="BH25" i="431"/>
  <c r="BG25" i="431"/>
  <c r="BF25" i="431"/>
  <c r="BE25" i="431"/>
  <c r="BC25" i="431"/>
  <c r="BB25" i="431"/>
  <c r="BA25" i="431"/>
  <c r="AZ25" i="431"/>
  <c r="AX25" i="431"/>
  <c r="AW25" i="431"/>
  <c r="AV25" i="431"/>
  <c r="AU25" i="431"/>
  <c r="AS25" i="431"/>
  <c r="AR25" i="431"/>
  <c r="AQ25" i="431"/>
  <c r="AP25" i="431"/>
  <c r="AN25" i="431"/>
  <c r="AM25" i="431"/>
  <c r="AL25" i="431"/>
  <c r="AK25" i="431"/>
  <c r="AI25" i="431"/>
  <c r="AH25" i="431"/>
  <c r="AG25" i="431"/>
  <c r="AF25" i="431"/>
  <c r="AD25" i="431"/>
  <c r="AC25" i="431"/>
  <c r="AB25" i="431"/>
  <c r="AA25" i="431"/>
  <c r="Y25" i="431"/>
  <c r="X25" i="431"/>
  <c r="W25" i="431"/>
  <c r="V25" i="431"/>
  <c r="T25" i="431"/>
  <c r="S25" i="431"/>
  <c r="R25" i="431"/>
  <c r="Q25" i="431"/>
  <c r="EI24" i="431"/>
  <c r="EH24" i="431"/>
  <c r="EG24" i="431"/>
  <c r="EE24" i="431"/>
  <c r="ED24" i="431"/>
  <c r="EC24" i="431"/>
  <c r="EB24" i="431"/>
  <c r="DZ24" i="431"/>
  <c r="DY24" i="431"/>
  <c r="DX24" i="431"/>
  <c r="DW24" i="431"/>
  <c r="DU24" i="431"/>
  <c r="DT24" i="431"/>
  <c r="DS24" i="431"/>
  <c r="DR24" i="431"/>
  <c r="DP24" i="431"/>
  <c r="DO24" i="431"/>
  <c r="DN24" i="431"/>
  <c r="DM24" i="431"/>
  <c r="DK24" i="431"/>
  <c r="DJ24" i="431"/>
  <c r="DI24" i="431"/>
  <c r="DH24" i="431"/>
  <c r="DF24" i="431"/>
  <c r="DE24" i="431"/>
  <c r="DD24" i="431"/>
  <c r="DC24" i="431"/>
  <c r="DA24" i="431"/>
  <c r="CZ24" i="431"/>
  <c r="CY24" i="431"/>
  <c r="CX24" i="431"/>
  <c r="CV24" i="431"/>
  <c r="CU24" i="431"/>
  <c r="CT24" i="431"/>
  <c r="CS24" i="431"/>
  <c r="CQ24" i="431"/>
  <c r="CP24" i="431"/>
  <c r="CO24" i="431"/>
  <c r="CN24" i="431"/>
  <c r="CL24" i="431"/>
  <c r="CK24" i="431"/>
  <c r="CJ24" i="431"/>
  <c r="CI24" i="431"/>
  <c r="CG24" i="431"/>
  <c r="CF24" i="431"/>
  <c r="CE24" i="431"/>
  <c r="CD24" i="431"/>
  <c r="CB24" i="431"/>
  <c r="CA24" i="431"/>
  <c r="BZ24" i="431"/>
  <c r="BY24" i="431"/>
  <c r="BW24" i="431"/>
  <c r="BV24" i="431"/>
  <c r="BU24" i="431"/>
  <c r="BT24" i="431"/>
  <c r="BR24" i="431"/>
  <c r="BQ24" i="431"/>
  <c r="BP24" i="431"/>
  <c r="BO24" i="431"/>
  <c r="BM24" i="431"/>
  <c r="BL24" i="431"/>
  <c r="BK24" i="431"/>
  <c r="BJ24" i="431"/>
  <c r="BH24" i="431"/>
  <c r="BG24" i="431"/>
  <c r="BF24" i="431"/>
  <c r="BE24" i="431"/>
  <c r="BC24" i="431"/>
  <c r="BB24" i="431"/>
  <c r="BA24" i="431"/>
  <c r="AZ24" i="431"/>
  <c r="AX24" i="431"/>
  <c r="AW24" i="431"/>
  <c r="AV24" i="431"/>
  <c r="AU24" i="431"/>
  <c r="AS24" i="431"/>
  <c r="AR24" i="431"/>
  <c r="AQ24" i="431"/>
  <c r="AP24" i="431"/>
  <c r="AN24" i="431"/>
  <c r="AM24" i="431"/>
  <c r="AL24" i="431"/>
  <c r="AK24" i="431"/>
  <c r="AI24" i="431"/>
  <c r="AH24" i="431"/>
  <c r="AG24" i="431"/>
  <c r="AF24" i="431"/>
  <c r="AD24" i="431"/>
  <c r="AC24" i="431"/>
  <c r="AB24" i="431"/>
  <c r="AA24" i="431"/>
  <c r="Y24" i="431"/>
  <c r="X24" i="431"/>
  <c r="W24" i="431"/>
  <c r="V24" i="431"/>
  <c r="T24" i="431"/>
  <c r="S24" i="431"/>
  <c r="R24" i="431"/>
  <c r="Q24" i="431"/>
  <c r="EI23" i="431"/>
  <c r="EH23" i="431"/>
  <c r="EG23" i="431"/>
  <c r="EE23" i="431"/>
  <c r="ED23" i="431"/>
  <c r="EC23" i="431"/>
  <c r="EB23" i="431"/>
  <c r="DZ23" i="431"/>
  <c r="DY23" i="431"/>
  <c r="DX23" i="431"/>
  <c r="DW23" i="431"/>
  <c r="DU23" i="431"/>
  <c r="DT23" i="431"/>
  <c r="DS23" i="431"/>
  <c r="DR23" i="431"/>
  <c r="DP23" i="431"/>
  <c r="DO23" i="431"/>
  <c r="DN23" i="431"/>
  <c r="DM23" i="431"/>
  <c r="DK23" i="431"/>
  <c r="DJ23" i="431"/>
  <c r="DI23" i="431"/>
  <c r="DH23" i="431"/>
  <c r="DF23" i="431"/>
  <c r="DE23" i="431"/>
  <c r="DD23" i="431"/>
  <c r="DC23" i="431"/>
  <c r="DA23" i="431"/>
  <c r="CZ23" i="431"/>
  <c r="CY23" i="431"/>
  <c r="CX23" i="431"/>
  <c r="CV23" i="431"/>
  <c r="CU23" i="431"/>
  <c r="CT23" i="431"/>
  <c r="CS23" i="431"/>
  <c r="CQ23" i="431"/>
  <c r="CP23" i="431"/>
  <c r="CO23" i="431"/>
  <c r="CN23" i="431"/>
  <c r="CL23" i="431"/>
  <c r="CK23" i="431"/>
  <c r="CJ23" i="431"/>
  <c r="CI23" i="431"/>
  <c r="CG23" i="431"/>
  <c r="CF23" i="431"/>
  <c r="CE23" i="431"/>
  <c r="CD23" i="431"/>
  <c r="CB23" i="431"/>
  <c r="CA23" i="431"/>
  <c r="BZ23" i="431"/>
  <c r="BY23" i="431"/>
  <c r="BW23" i="431"/>
  <c r="BV23" i="431"/>
  <c r="BU23" i="431"/>
  <c r="BT23" i="431"/>
  <c r="BR23" i="431"/>
  <c r="BQ23" i="431"/>
  <c r="BP23" i="431"/>
  <c r="BO23" i="431"/>
  <c r="BM23" i="431"/>
  <c r="BL23" i="431"/>
  <c r="BK23" i="431"/>
  <c r="BJ23" i="431"/>
  <c r="BH23" i="431"/>
  <c r="BG23" i="431"/>
  <c r="BF23" i="431"/>
  <c r="BE23" i="431"/>
  <c r="BC23" i="431"/>
  <c r="BB23" i="431"/>
  <c r="BA23" i="431"/>
  <c r="AZ23" i="431"/>
  <c r="AX23" i="431"/>
  <c r="AW23" i="431"/>
  <c r="AV23" i="431"/>
  <c r="AU23" i="431"/>
  <c r="AS23" i="431"/>
  <c r="AR23" i="431"/>
  <c r="AQ23" i="431"/>
  <c r="AP23" i="431"/>
  <c r="AN23" i="431"/>
  <c r="AM23" i="431"/>
  <c r="AL23" i="431"/>
  <c r="AK23" i="431"/>
  <c r="AI23" i="431"/>
  <c r="AH23" i="431"/>
  <c r="AG23" i="431"/>
  <c r="AF23" i="431"/>
  <c r="AD23" i="431"/>
  <c r="AC23" i="431"/>
  <c r="AB23" i="431"/>
  <c r="AA23" i="431"/>
  <c r="Y23" i="431"/>
  <c r="X23" i="431"/>
  <c r="W23" i="431"/>
  <c r="V23" i="431"/>
  <c r="T23" i="431"/>
  <c r="S23" i="431"/>
  <c r="R23" i="431"/>
  <c r="Q23" i="431"/>
  <c r="EI22" i="431"/>
  <c r="EH22" i="431"/>
  <c r="EG22" i="431"/>
  <c r="EE22" i="431"/>
  <c r="ED22" i="431"/>
  <c r="EC22" i="431"/>
  <c r="EB22" i="431"/>
  <c r="DZ22" i="431"/>
  <c r="DY22" i="431"/>
  <c r="DX22" i="431"/>
  <c r="DW22" i="431"/>
  <c r="DU22" i="431"/>
  <c r="DT22" i="431"/>
  <c r="DS22" i="431"/>
  <c r="DR22" i="431"/>
  <c r="DP22" i="431"/>
  <c r="DO22" i="431"/>
  <c r="DN22" i="431"/>
  <c r="DM22" i="431"/>
  <c r="DK22" i="431"/>
  <c r="DJ22" i="431"/>
  <c r="DI22" i="431"/>
  <c r="DH22" i="431"/>
  <c r="DF22" i="431"/>
  <c r="DE22" i="431"/>
  <c r="DD22" i="431"/>
  <c r="DC22" i="431"/>
  <c r="DA22" i="431"/>
  <c r="CZ22" i="431"/>
  <c r="CY22" i="431"/>
  <c r="CX22" i="431"/>
  <c r="CV22" i="431"/>
  <c r="CU22" i="431"/>
  <c r="CT22" i="431"/>
  <c r="CS22" i="431"/>
  <c r="CQ22" i="431"/>
  <c r="CP22" i="431"/>
  <c r="CO22" i="431"/>
  <c r="CN22" i="431"/>
  <c r="CL22" i="431"/>
  <c r="CK22" i="431"/>
  <c r="CJ22" i="431"/>
  <c r="CI22" i="431"/>
  <c r="CG22" i="431"/>
  <c r="CF22" i="431"/>
  <c r="CE22" i="431"/>
  <c r="CD22" i="431"/>
  <c r="CB22" i="431"/>
  <c r="CA22" i="431"/>
  <c r="BZ22" i="431"/>
  <c r="BY22" i="431"/>
  <c r="BW22" i="431"/>
  <c r="BV22" i="431"/>
  <c r="BU22" i="431"/>
  <c r="BT22" i="431"/>
  <c r="BR22" i="431"/>
  <c r="BQ22" i="431"/>
  <c r="BP22" i="431"/>
  <c r="BO22" i="431"/>
  <c r="BM22" i="431"/>
  <c r="BL22" i="431"/>
  <c r="BK22" i="431"/>
  <c r="BJ22" i="431"/>
  <c r="BH22" i="431"/>
  <c r="BG22" i="431"/>
  <c r="BF22" i="431"/>
  <c r="BE22" i="431"/>
  <c r="BC22" i="431"/>
  <c r="BB22" i="431"/>
  <c r="BA22" i="431"/>
  <c r="AZ22" i="431"/>
  <c r="AX22" i="431"/>
  <c r="AW22" i="431"/>
  <c r="AV22" i="431"/>
  <c r="AU22" i="431"/>
  <c r="AS22" i="431"/>
  <c r="AR22" i="431"/>
  <c r="AQ22" i="431"/>
  <c r="AP22" i="431"/>
  <c r="AN22" i="431"/>
  <c r="AM22" i="431"/>
  <c r="AL22" i="431"/>
  <c r="AK22" i="431"/>
  <c r="AI22" i="431"/>
  <c r="AH22" i="431"/>
  <c r="AG22" i="431"/>
  <c r="AF22" i="431"/>
  <c r="AD22" i="431"/>
  <c r="AC22" i="431"/>
  <c r="AB22" i="431"/>
  <c r="AA22" i="431"/>
  <c r="Y22" i="431"/>
  <c r="X22" i="431"/>
  <c r="W22" i="431"/>
  <c r="V22" i="431"/>
  <c r="T22" i="431"/>
  <c r="S22" i="431"/>
  <c r="R22" i="431"/>
  <c r="Q22" i="431"/>
  <c r="EI21" i="431"/>
  <c r="EH21" i="431"/>
  <c r="EG21" i="431"/>
  <c r="EE21" i="431"/>
  <c r="ED21" i="431"/>
  <c r="EC21" i="431"/>
  <c r="EB21" i="431"/>
  <c r="DZ21" i="431"/>
  <c r="DY21" i="431"/>
  <c r="DX21" i="431"/>
  <c r="DW21" i="431"/>
  <c r="DU21" i="431"/>
  <c r="DT21" i="431"/>
  <c r="DS21" i="431"/>
  <c r="DR21" i="431"/>
  <c r="DP21" i="431"/>
  <c r="DO21" i="431"/>
  <c r="DN21" i="431"/>
  <c r="DM21" i="431"/>
  <c r="DK21" i="431"/>
  <c r="DJ21" i="431"/>
  <c r="DI21" i="431"/>
  <c r="DH21" i="431"/>
  <c r="DF21" i="431"/>
  <c r="DE21" i="431"/>
  <c r="DD21" i="431"/>
  <c r="DC21" i="431"/>
  <c r="DA21" i="431"/>
  <c r="CZ21" i="431"/>
  <c r="CY21" i="431"/>
  <c r="CX21" i="431"/>
  <c r="CV21" i="431"/>
  <c r="CU21" i="431"/>
  <c r="CT21" i="431"/>
  <c r="CS21" i="431"/>
  <c r="CQ21" i="431"/>
  <c r="CP21" i="431"/>
  <c r="CO21" i="431"/>
  <c r="CN21" i="431"/>
  <c r="CL21" i="431"/>
  <c r="CK21" i="431"/>
  <c r="CJ21" i="431"/>
  <c r="CI21" i="431"/>
  <c r="CG21" i="431"/>
  <c r="CF21" i="431"/>
  <c r="CE21" i="431"/>
  <c r="CD21" i="431"/>
  <c r="CB21" i="431"/>
  <c r="CA21" i="431"/>
  <c r="BZ21" i="431"/>
  <c r="BY21" i="431"/>
  <c r="BW21" i="431"/>
  <c r="BV21" i="431"/>
  <c r="BU21" i="431"/>
  <c r="BT21" i="431"/>
  <c r="BR21" i="431"/>
  <c r="BQ21" i="431"/>
  <c r="BP21" i="431"/>
  <c r="BO21" i="431"/>
  <c r="BM21" i="431"/>
  <c r="BL21" i="431"/>
  <c r="BK21" i="431"/>
  <c r="BJ21" i="431"/>
  <c r="BH21" i="431"/>
  <c r="BG21" i="431"/>
  <c r="BF21" i="431"/>
  <c r="BE21" i="431"/>
  <c r="BC21" i="431"/>
  <c r="BB21" i="431"/>
  <c r="BA21" i="431"/>
  <c r="AZ21" i="431"/>
  <c r="AX21" i="431"/>
  <c r="AW21" i="431"/>
  <c r="AV21" i="431"/>
  <c r="AU21" i="431"/>
  <c r="AS21" i="431"/>
  <c r="AR21" i="431"/>
  <c r="AQ21" i="431"/>
  <c r="AP21" i="431"/>
  <c r="AN21" i="431"/>
  <c r="AM21" i="431"/>
  <c r="AL21" i="431"/>
  <c r="AK21" i="431"/>
  <c r="AI21" i="431"/>
  <c r="AH21" i="431"/>
  <c r="AG21" i="431"/>
  <c r="AF21" i="431"/>
  <c r="AD21" i="431"/>
  <c r="AC21" i="431"/>
  <c r="AB21" i="431"/>
  <c r="AA21" i="431"/>
  <c r="Y21" i="431"/>
  <c r="X21" i="431"/>
  <c r="W21" i="431"/>
  <c r="V21" i="431"/>
  <c r="T21" i="431"/>
  <c r="S21" i="431"/>
  <c r="R21" i="431"/>
  <c r="Q21" i="431"/>
  <c r="EI20" i="431"/>
  <c r="EH20" i="431"/>
  <c r="EG20" i="431"/>
  <c r="EE20" i="431"/>
  <c r="ED20" i="431"/>
  <c r="EC20" i="431"/>
  <c r="EB20" i="431"/>
  <c r="DZ20" i="431"/>
  <c r="DY20" i="431"/>
  <c r="DX20" i="431"/>
  <c r="DW20" i="431"/>
  <c r="DU20" i="431"/>
  <c r="DT20" i="431"/>
  <c r="DS20" i="431"/>
  <c r="DR20" i="431"/>
  <c r="DP20" i="431"/>
  <c r="DO20" i="431"/>
  <c r="DN20" i="431"/>
  <c r="DM20" i="431"/>
  <c r="DK20" i="431"/>
  <c r="DJ20" i="431"/>
  <c r="DI20" i="431"/>
  <c r="DH20" i="431"/>
  <c r="DF20" i="431"/>
  <c r="DE20" i="431"/>
  <c r="DD20" i="431"/>
  <c r="DC20" i="431"/>
  <c r="DA20" i="431"/>
  <c r="CZ20" i="431"/>
  <c r="CY20" i="431"/>
  <c r="CX20" i="431"/>
  <c r="CV20" i="431"/>
  <c r="CU20" i="431"/>
  <c r="CT20" i="431"/>
  <c r="CS20" i="431"/>
  <c r="CQ20" i="431"/>
  <c r="CP20" i="431"/>
  <c r="CO20" i="431"/>
  <c r="CN20" i="431"/>
  <c r="CL20" i="431"/>
  <c r="CK20" i="431"/>
  <c r="CJ20" i="431"/>
  <c r="CI20" i="431"/>
  <c r="CG20" i="431"/>
  <c r="CF20" i="431"/>
  <c r="CE20" i="431"/>
  <c r="CD20" i="431"/>
  <c r="CB20" i="431"/>
  <c r="CA20" i="431"/>
  <c r="BZ20" i="431"/>
  <c r="BY20" i="431"/>
  <c r="BW20" i="431"/>
  <c r="BV20" i="431"/>
  <c r="BU20" i="431"/>
  <c r="BT20" i="431"/>
  <c r="BR20" i="431"/>
  <c r="BQ20" i="431"/>
  <c r="BP20" i="431"/>
  <c r="BO20" i="431"/>
  <c r="BM20" i="431"/>
  <c r="BL20" i="431"/>
  <c r="BK20" i="431"/>
  <c r="BJ20" i="431"/>
  <c r="BH20" i="431"/>
  <c r="BG20" i="431"/>
  <c r="BF20" i="431"/>
  <c r="BE20" i="431"/>
  <c r="BC20" i="431"/>
  <c r="BB20" i="431"/>
  <c r="BA20" i="431"/>
  <c r="AZ20" i="431"/>
  <c r="AX20" i="431"/>
  <c r="AW20" i="431"/>
  <c r="AV20" i="431"/>
  <c r="AU20" i="431"/>
  <c r="AS20" i="431"/>
  <c r="AR20" i="431"/>
  <c r="AQ20" i="431"/>
  <c r="AP20" i="431"/>
  <c r="AN20" i="431"/>
  <c r="AM20" i="431"/>
  <c r="AL20" i="431"/>
  <c r="AK20" i="431"/>
  <c r="AI20" i="431"/>
  <c r="AH20" i="431"/>
  <c r="AG20" i="431"/>
  <c r="AF20" i="431"/>
  <c r="AD20" i="431"/>
  <c r="AC20" i="431"/>
  <c r="AB20" i="431"/>
  <c r="AA20" i="431"/>
  <c r="Y20" i="431"/>
  <c r="X20" i="431"/>
  <c r="W20" i="431"/>
  <c r="V20" i="431"/>
  <c r="T20" i="431"/>
  <c r="S20" i="431"/>
  <c r="R20" i="431"/>
  <c r="Q20" i="431"/>
  <c r="EI19" i="431"/>
  <c r="EH19" i="431"/>
  <c r="EG19" i="431"/>
  <c r="EE19" i="431"/>
  <c r="ED19" i="431"/>
  <c r="EC19" i="431"/>
  <c r="EB19" i="431"/>
  <c r="DZ19" i="431"/>
  <c r="DY19" i="431"/>
  <c r="DX19" i="431"/>
  <c r="DW19" i="431"/>
  <c r="DU19" i="431"/>
  <c r="DT19" i="431"/>
  <c r="DS19" i="431"/>
  <c r="DR19" i="431"/>
  <c r="DP19" i="431"/>
  <c r="DO19" i="431"/>
  <c r="DN19" i="431"/>
  <c r="DM19" i="431"/>
  <c r="DK19" i="431"/>
  <c r="DJ19" i="431"/>
  <c r="DI19" i="431"/>
  <c r="DH19" i="431"/>
  <c r="DF19" i="431"/>
  <c r="DE19" i="431"/>
  <c r="DD19" i="431"/>
  <c r="DC19" i="431"/>
  <c r="DA19" i="431"/>
  <c r="CZ19" i="431"/>
  <c r="CY19" i="431"/>
  <c r="CX19" i="431"/>
  <c r="CV19" i="431"/>
  <c r="CU19" i="431"/>
  <c r="CT19" i="431"/>
  <c r="CS19" i="431"/>
  <c r="CQ19" i="431"/>
  <c r="CP19" i="431"/>
  <c r="CO19" i="431"/>
  <c r="CN19" i="431"/>
  <c r="CL19" i="431"/>
  <c r="CK19" i="431"/>
  <c r="CJ19" i="431"/>
  <c r="CI19" i="431"/>
  <c r="CG19" i="431"/>
  <c r="CF19" i="431"/>
  <c r="CE19" i="431"/>
  <c r="CD19" i="431"/>
  <c r="CB19" i="431"/>
  <c r="CA19" i="431"/>
  <c r="BZ19" i="431"/>
  <c r="BY19" i="431"/>
  <c r="BW19" i="431"/>
  <c r="BV19" i="431"/>
  <c r="BU19" i="431"/>
  <c r="BT19" i="431"/>
  <c r="BR19" i="431"/>
  <c r="BQ19" i="431"/>
  <c r="BP19" i="431"/>
  <c r="BO19" i="431"/>
  <c r="BM19" i="431"/>
  <c r="BL19" i="431"/>
  <c r="BK19" i="431"/>
  <c r="BJ19" i="431"/>
  <c r="BH19" i="431"/>
  <c r="BG19" i="431"/>
  <c r="BF19" i="431"/>
  <c r="BE19" i="431"/>
  <c r="BC19" i="431"/>
  <c r="BB19" i="431"/>
  <c r="BA19" i="431"/>
  <c r="AZ19" i="431"/>
  <c r="AX19" i="431"/>
  <c r="AW19" i="431"/>
  <c r="AV19" i="431"/>
  <c r="AU19" i="431"/>
  <c r="AS19" i="431"/>
  <c r="AR19" i="431"/>
  <c r="AQ19" i="431"/>
  <c r="AP19" i="431"/>
  <c r="AN19" i="431"/>
  <c r="AM19" i="431"/>
  <c r="AL19" i="431"/>
  <c r="AK19" i="431"/>
  <c r="AI19" i="431"/>
  <c r="AH19" i="431"/>
  <c r="AG19" i="431"/>
  <c r="AF19" i="431"/>
  <c r="AD19" i="431"/>
  <c r="AC19" i="431"/>
  <c r="AB19" i="431"/>
  <c r="AA19" i="431"/>
  <c r="Y19" i="431"/>
  <c r="X19" i="431"/>
  <c r="W19" i="431"/>
  <c r="V19" i="431"/>
  <c r="T19" i="431"/>
  <c r="S19" i="431"/>
  <c r="R19" i="431"/>
  <c r="Q19" i="431"/>
  <c r="EY13" i="431"/>
  <c r="EX13" i="431"/>
  <c r="EW13" i="431"/>
  <c r="EV13" i="431"/>
  <c r="EI13" i="431"/>
  <c r="EI63" i="431" s="1"/>
  <c r="EH13" i="431"/>
  <c r="EG13" i="431"/>
  <c r="EE13" i="431"/>
  <c r="ED13" i="431"/>
  <c r="EC13" i="431"/>
  <c r="EB13" i="431"/>
  <c r="EB14" i="431" s="1"/>
  <c r="DZ13" i="431"/>
  <c r="DZ376" i="431" s="1"/>
  <c r="DY13" i="431"/>
  <c r="DX13" i="431"/>
  <c r="DX377" i="431" s="1"/>
  <c r="DW13" i="431"/>
  <c r="DW171" i="431" s="1"/>
  <c r="DU13" i="431"/>
  <c r="DT13" i="431"/>
  <c r="DS13" i="431"/>
  <c r="DS15" i="431" s="1"/>
  <c r="DR13" i="431"/>
  <c r="DR185" i="431" s="1"/>
  <c r="DP13" i="431"/>
  <c r="DO13" i="431"/>
  <c r="DN13" i="431"/>
  <c r="DM13" i="431"/>
  <c r="DK13" i="431"/>
  <c r="DJ13" i="431"/>
  <c r="DJ105" i="431" s="1"/>
  <c r="DI13" i="431"/>
  <c r="DI197" i="431" s="1"/>
  <c r="DH13" i="431"/>
  <c r="DF13" i="431"/>
  <c r="DE13" i="431"/>
  <c r="DD13" i="431"/>
  <c r="DC13" i="431"/>
  <c r="DA13" i="431"/>
  <c r="CZ13" i="431"/>
  <c r="CZ32" i="431" s="1"/>
  <c r="CY13" i="431"/>
  <c r="CX13" i="431"/>
  <c r="CV13" i="431"/>
  <c r="CU13" i="431"/>
  <c r="CT13" i="431"/>
  <c r="CT379" i="431" s="1"/>
  <c r="CS13" i="431"/>
  <c r="CQ13" i="431"/>
  <c r="CP13" i="431"/>
  <c r="CO13" i="431"/>
  <c r="CO54" i="431" s="1"/>
  <c r="CN13" i="431"/>
  <c r="CN144" i="431" s="1"/>
  <c r="CL13" i="431"/>
  <c r="CL377" i="431" s="1"/>
  <c r="CK13" i="431"/>
  <c r="CJ13" i="431"/>
  <c r="CJ171" i="431" s="1"/>
  <c r="CI13" i="431"/>
  <c r="CG13" i="431"/>
  <c r="CF13" i="431"/>
  <c r="CE13" i="431"/>
  <c r="CE197" i="431" s="1"/>
  <c r="CD13" i="431"/>
  <c r="CB13" i="431"/>
  <c r="CB15" i="431" s="1"/>
  <c r="CA13" i="431"/>
  <c r="CA379" i="431" s="1"/>
  <c r="BZ13" i="431"/>
  <c r="BZ144" i="431" s="1"/>
  <c r="BY13" i="431"/>
  <c r="BW13" i="431"/>
  <c r="BV13" i="431"/>
  <c r="BV377" i="431" s="1"/>
  <c r="BU13" i="431"/>
  <c r="BT13" i="431"/>
  <c r="BR13" i="431"/>
  <c r="BR375" i="431" s="1"/>
  <c r="BQ13" i="431"/>
  <c r="BP13" i="431"/>
  <c r="BO13" i="431"/>
  <c r="BM13" i="431"/>
  <c r="BM185" i="431" s="1"/>
  <c r="BL13" i="431"/>
  <c r="BL105" i="431" s="1"/>
  <c r="BK13" i="431"/>
  <c r="BK197" i="431" s="1"/>
  <c r="BJ13" i="431"/>
  <c r="BH13" i="431"/>
  <c r="BH380" i="431" s="1"/>
  <c r="BG13" i="431"/>
  <c r="BG204" i="431" s="1"/>
  <c r="BF13" i="431"/>
  <c r="BE13" i="431"/>
  <c r="BC13" i="431"/>
  <c r="BB13" i="431"/>
  <c r="BA13" i="431"/>
  <c r="AZ13" i="431"/>
  <c r="AX13" i="431"/>
  <c r="AW13" i="431"/>
  <c r="AW105" i="431" s="1"/>
  <c r="AV13" i="431"/>
  <c r="AU13" i="431"/>
  <c r="AS13" i="431"/>
  <c r="AR13" i="431"/>
  <c r="AQ13" i="431"/>
  <c r="AQ375" i="431" s="1"/>
  <c r="AP13" i="431"/>
  <c r="AN13" i="431"/>
  <c r="AM13" i="431"/>
  <c r="AL13" i="431"/>
  <c r="AK13" i="431"/>
  <c r="AK218" i="431" s="1"/>
  <c r="AI13" i="431"/>
  <c r="AH13" i="431"/>
  <c r="AH216" i="431" s="1"/>
  <c r="AG13" i="431"/>
  <c r="AF13" i="431"/>
  <c r="AG14" i="431" s="1"/>
  <c r="AD13" i="431"/>
  <c r="AC13" i="431"/>
  <c r="AD14" i="431" s="1"/>
  <c r="AB13" i="431"/>
  <c r="AB216" i="431" s="1"/>
  <c r="AA13" i="431"/>
  <c r="Y13" i="431"/>
  <c r="X13" i="431"/>
  <c r="W13" i="431"/>
  <c r="W171" i="431" s="1"/>
  <c r="V13" i="431"/>
  <c r="T13" i="431"/>
  <c r="S13" i="431"/>
  <c r="S178" i="431" s="1"/>
  <c r="R13" i="431"/>
  <c r="Q13" i="431"/>
  <c r="O13" i="431"/>
  <c r="O377" i="431" s="1"/>
  <c r="N13" i="431"/>
  <c r="M13" i="431"/>
  <c r="M375" i="431" s="1"/>
  <c r="L13" i="431"/>
  <c r="EF12" i="431"/>
  <c r="EF11" i="431"/>
  <c r="EF10" i="431"/>
  <c r="EF9" i="431"/>
  <c r="EF8" i="431"/>
  <c r="EF7" i="431"/>
  <c r="EF6" i="431"/>
  <c r="EF61" i="431" s="1"/>
  <c r="EA12" i="431"/>
  <c r="EA11" i="431"/>
  <c r="EA10" i="431"/>
  <c r="EA9" i="431"/>
  <c r="EA97" i="431" s="1"/>
  <c r="EA8" i="431"/>
  <c r="EA52" i="431" s="1"/>
  <c r="EA7" i="431"/>
  <c r="EA6" i="431"/>
  <c r="DV12" i="431"/>
  <c r="DV11" i="431"/>
  <c r="DV10" i="431"/>
  <c r="DV9" i="431"/>
  <c r="DV8" i="431"/>
  <c r="DV7" i="431"/>
  <c r="DV6" i="431"/>
  <c r="DV61" i="431" s="1"/>
  <c r="DQ12" i="431"/>
  <c r="DQ11" i="431"/>
  <c r="DQ10" i="431"/>
  <c r="DQ9" i="431"/>
  <c r="DQ97" i="431" s="1"/>
  <c r="DQ8" i="431"/>
  <c r="DQ7" i="431"/>
  <c r="DQ6" i="431"/>
  <c r="DQ61" i="431" s="1"/>
  <c r="DL12" i="431"/>
  <c r="DL11" i="431"/>
  <c r="DL10" i="431"/>
  <c r="DL9" i="431"/>
  <c r="DL97" i="431" s="1"/>
  <c r="DL8" i="431"/>
  <c r="DL7" i="431"/>
  <c r="DL6" i="431"/>
  <c r="DG12" i="431"/>
  <c r="DG11" i="431"/>
  <c r="DG10" i="431"/>
  <c r="DL23" i="431" s="1"/>
  <c r="DG9" i="431"/>
  <c r="DG8" i="431"/>
  <c r="DG21" i="431" s="1"/>
  <c r="DG7" i="431"/>
  <c r="DG6" i="431"/>
  <c r="DG19" i="431" s="1"/>
  <c r="DB12" i="431"/>
  <c r="DB11" i="431"/>
  <c r="DB10" i="431"/>
  <c r="DB9" i="431"/>
  <c r="DB97" i="431" s="1"/>
  <c r="DB8" i="431"/>
  <c r="DB52" i="431" s="1"/>
  <c r="DB7" i="431"/>
  <c r="DB6" i="431"/>
  <c r="DB61" i="431" s="1"/>
  <c r="CW12" i="431"/>
  <c r="CW11" i="431"/>
  <c r="CW10" i="431"/>
  <c r="CW9" i="431"/>
  <c r="CW8" i="431"/>
  <c r="CW52" i="431" s="1"/>
  <c r="CW7" i="431"/>
  <c r="CW6" i="431"/>
  <c r="CR12" i="431"/>
  <c r="CR11" i="431"/>
  <c r="CR10" i="431"/>
  <c r="CR9" i="431"/>
  <c r="CR97" i="431" s="1"/>
  <c r="CR8" i="431"/>
  <c r="CR52" i="431" s="1"/>
  <c r="CR7" i="431"/>
  <c r="CR6" i="431"/>
  <c r="CM12" i="431"/>
  <c r="CM11" i="431"/>
  <c r="CM10" i="431"/>
  <c r="CM9" i="431"/>
  <c r="CM97" i="431" s="1"/>
  <c r="CM8" i="431"/>
  <c r="CM7" i="431"/>
  <c r="CM6" i="431"/>
  <c r="CM61" i="431" s="1"/>
  <c r="CH12" i="431"/>
  <c r="CH11" i="431"/>
  <c r="CH10" i="431"/>
  <c r="CH9" i="431"/>
  <c r="CH97" i="431" s="1"/>
  <c r="CH8" i="431"/>
  <c r="CH52" i="431" s="1"/>
  <c r="CH7" i="431"/>
  <c r="CH6" i="431"/>
  <c r="CC12" i="431"/>
  <c r="CC11" i="431"/>
  <c r="CC10" i="431"/>
  <c r="CC9" i="431"/>
  <c r="CC97" i="431" s="1"/>
  <c r="CC8" i="431"/>
  <c r="CC52" i="431" s="1"/>
  <c r="CC7" i="431"/>
  <c r="CC6" i="431"/>
  <c r="CC61" i="431" s="1"/>
  <c r="CC62" i="431" s="1"/>
  <c r="BX12" i="431"/>
  <c r="BX11" i="431"/>
  <c r="BX10" i="431"/>
  <c r="BX9" i="431"/>
  <c r="BX97" i="431" s="1"/>
  <c r="BX8" i="431"/>
  <c r="BX7" i="431"/>
  <c r="BX6" i="431"/>
  <c r="BS12" i="431"/>
  <c r="BS11" i="431"/>
  <c r="BS10" i="431"/>
  <c r="BS9" i="431"/>
  <c r="BS97" i="431" s="1"/>
  <c r="BS8" i="431"/>
  <c r="BS7" i="431"/>
  <c r="BS6" i="431"/>
  <c r="BN12" i="431"/>
  <c r="BN11" i="431"/>
  <c r="BN10" i="431"/>
  <c r="BN9" i="431"/>
  <c r="BN97" i="431" s="1"/>
  <c r="BN8" i="431"/>
  <c r="BN52" i="431" s="1"/>
  <c r="BN7" i="431"/>
  <c r="BN6" i="431"/>
  <c r="BN61" i="431" s="1"/>
  <c r="BI12" i="431"/>
  <c r="BI11" i="431"/>
  <c r="BI10" i="431"/>
  <c r="BI9" i="431"/>
  <c r="BI8" i="431"/>
  <c r="BI52" i="431" s="1"/>
  <c r="BI7" i="431"/>
  <c r="BI6" i="431"/>
  <c r="BN19" i="431" s="1"/>
  <c r="BD12" i="431"/>
  <c r="BD11" i="431"/>
  <c r="BD10" i="431"/>
  <c r="BD9" i="431"/>
  <c r="BD97" i="431" s="1"/>
  <c r="BD8" i="431"/>
  <c r="BD7" i="431"/>
  <c r="BD6" i="431"/>
  <c r="BD61" i="431" s="1"/>
  <c r="AY12" i="431"/>
  <c r="AY11" i="431"/>
  <c r="AY10" i="431"/>
  <c r="AY9" i="431"/>
  <c r="AY8" i="431"/>
  <c r="AY52" i="431" s="1"/>
  <c r="AY7" i="431"/>
  <c r="AY6" i="431"/>
  <c r="AY61" i="431" s="1"/>
  <c r="AT12" i="431"/>
  <c r="AT11" i="431"/>
  <c r="AT10" i="431"/>
  <c r="AT9" i="431"/>
  <c r="AT8" i="431"/>
  <c r="AT7" i="431"/>
  <c r="AT6" i="431"/>
  <c r="AO12" i="431"/>
  <c r="AO11" i="431"/>
  <c r="AO10" i="431"/>
  <c r="AO9" i="431"/>
  <c r="AO97" i="431" s="1"/>
  <c r="AO8" i="431"/>
  <c r="AO7" i="431"/>
  <c r="AO6" i="431"/>
  <c r="AO61" i="431" s="1"/>
  <c r="AJ12" i="431"/>
  <c r="AJ11" i="431"/>
  <c r="AJ10" i="431"/>
  <c r="AJ9" i="431"/>
  <c r="AJ8" i="431"/>
  <c r="AJ7" i="431"/>
  <c r="AJ6" i="431"/>
  <c r="AE12" i="431"/>
  <c r="AE11" i="431"/>
  <c r="AE10" i="431"/>
  <c r="AE9" i="431"/>
  <c r="AE8" i="431"/>
  <c r="AE7" i="431"/>
  <c r="AE6" i="431"/>
  <c r="Z12" i="431"/>
  <c r="Z11" i="431"/>
  <c r="Z10" i="431"/>
  <c r="Z9" i="431"/>
  <c r="Z97" i="431" s="1"/>
  <c r="Z100" i="431" s="1"/>
  <c r="Z8" i="431"/>
  <c r="Z7" i="431"/>
  <c r="Z6" i="431"/>
  <c r="Z61" i="431" s="1"/>
  <c r="U12" i="431"/>
  <c r="U11" i="431"/>
  <c r="U10" i="431"/>
  <c r="U9" i="431"/>
  <c r="U8" i="431"/>
  <c r="U7" i="431"/>
  <c r="U6" i="431"/>
  <c r="U61" i="431" s="1"/>
  <c r="P12" i="431"/>
  <c r="P11" i="431"/>
  <c r="P10" i="431"/>
  <c r="P9" i="431"/>
  <c r="P97" i="431" s="1"/>
  <c r="P8" i="431"/>
  <c r="P52" i="431" s="1"/>
  <c r="P7" i="431"/>
  <c r="P6" i="431"/>
  <c r="FX8" i="431"/>
  <c r="FX7" i="431"/>
  <c r="FX6" i="431"/>
  <c r="FV9" i="431"/>
  <c r="EY5" i="431"/>
  <c r="FD18" i="431" s="1"/>
  <c r="EX5" i="431"/>
  <c r="EW5" i="431"/>
  <c r="EV5" i="431"/>
  <c r="FA18" i="431" s="1"/>
  <c r="EI5" i="431"/>
  <c r="EH5" i="431"/>
  <c r="EG5" i="431"/>
  <c r="EE5" i="431"/>
  <c r="ED5" i="431"/>
  <c r="EC5" i="431"/>
  <c r="EB5" i="431"/>
  <c r="DZ5" i="431"/>
  <c r="DY5" i="431"/>
  <c r="DX5" i="431"/>
  <c r="DW5" i="431"/>
  <c r="DU5" i="431"/>
  <c r="DT5" i="431"/>
  <c r="DS5" i="431"/>
  <c r="DR5" i="431"/>
  <c r="DP5" i="431"/>
  <c r="DO5" i="431"/>
  <c r="DN5" i="431"/>
  <c r="DM5" i="431"/>
  <c r="DK5" i="431"/>
  <c r="DJ5" i="431"/>
  <c r="DI5" i="431"/>
  <c r="DH5" i="431"/>
  <c r="DF5" i="431"/>
  <c r="DE5" i="431"/>
  <c r="DD5" i="431"/>
  <c r="DC5" i="431"/>
  <c r="DA5" i="431"/>
  <c r="CZ5" i="431"/>
  <c r="CY5" i="431"/>
  <c r="CX5" i="431"/>
  <c r="CV5" i="431"/>
  <c r="CU5" i="431"/>
  <c r="CT5" i="431"/>
  <c r="CS5" i="431"/>
  <c r="CQ5" i="431"/>
  <c r="CP5" i="431"/>
  <c r="CO5" i="431"/>
  <c r="CN5" i="431"/>
  <c r="CL5" i="431"/>
  <c r="CK5" i="431"/>
  <c r="CJ5" i="431"/>
  <c r="CI5" i="431"/>
  <c r="CG5" i="431"/>
  <c r="CF5" i="431"/>
  <c r="CE5" i="431"/>
  <c r="CD5" i="431"/>
  <c r="CB5" i="431"/>
  <c r="CA5" i="431"/>
  <c r="BZ5" i="431"/>
  <c r="BY5" i="431"/>
  <c r="CD18" i="431" s="1"/>
  <c r="BW5" i="431"/>
  <c r="BV5" i="431"/>
  <c r="BV18" i="431" s="1"/>
  <c r="BU5" i="431"/>
  <c r="BT5" i="431"/>
  <c r="BR5" i="431"/>
  <c r="BQ5" i="431"/>
  <c r="BP5" i="431"/>
  <c r="BO5" i="431"/>
  <c r="BM5" i="431"/>
  <c r="BL5" i="431"/>
  <c r="BK5" i="431"/>
  <c r="BJ5" i="431"/>
  <c r="BH5" i="431"/>
  <c r="BG5" i="431"/>
  <c r="BF5" i="431"/>
  <c r="BE5" i="431"/>
  <c r="BC5" i="431"/>
  <c r="BB5" i="431"/>
  <c r="BA5" i="431"/>
  <c r="AZ5" i="431"/>
  <c r="AX5" i="431"/>
  <c r="AW5" i="431"/>
  <c r="AV5" i="431"/>
  <c r="AU5" i="431"/>
  <c r="AS5" i="431"/>
  <c r="AR5" i="431"/>
  <c r="AQ5" i="431"/>
  <c r="AP5" i="431"/>
  <c r="AN5" i="431"/>
  <c r="AM5" i="431"/>
  <c r="AL5" i="431"/>
  <c r="AK5" i="431"/>
  <c r="AI5" i="431"/>
  <c r="AH5" i="431"/>
  <c r="AG5" i="431"/>
  <c r="AF5" i="431"/>
  <c r="AD5" i="431"/>
  <c r="AC5" i="431"/>
  <c r="AB5" i="431"/>
  <c r="AA5" i="431"/>
  <c r="Y5" i="431"/>
  <c r="X5" i="431"/>
  <c r="W5" i="431"/>
  <c r="V5" i="431"/>
  <c r="T5" i="431"/>
  <c r="S5" i="431"/>
  <c r="R5" i="431"/>
  <c r="Q5" i="431"/>
  <c r="O5" i="431"/>
  <c r="N5" i="431"/>
  <c r="M5" i="431"/>
  <c r="L5" i="431"/>
  <c r="K2" i="431"/>
  <c r="P2" i="431" s="1"/>
  <c r="U2" i="431" s="1"/>
  <c r="Z2" i="431" s="1"/>
  <c r="AE2" i="431" s="1"/>
  <c r="AJ2" i="431" s="1"/>
  <c r="AO2" i="431" s="1"/>
  <c r="AT2" i="431" s="1"/>
  <c r="AY2" i="431" s="1"/>
  <c r="BD2" i="431" s="1"/>
  <c r="BI2" i="431" s="1"/>
  <c r="BN2" i="431" s="1"/>
  <c r="BS2" i="431" s="1"/>
  <c r="BX2" i="431" s="1"/>
  <c r="CC2" i="431" s="1"/>
  <c r="CH2" i="431" s="1"/>
  <c r="CM2" i="431" s="1"/>
  <c r="CR2" i="431" s="1"/>
  <c r="CW2" i="431" s="1"/>
  <c r="DB2" i="431" s="1"/>
  <c r="DG2" i="431" s="1"/>
  <c r="DL2" i="431" s="1"/>
  <c r="DQ2" i="431" s="1"/>
  <c r="DV2" i="431" s="1"/>
  <c r="EA2" i="431" s="1"/>
  <c r="EF2" i="431" s="1"/>
  <c r="EK2" i="431" s="1"/>
  <c r="J1" i="431"/>
  <c r="O1" i="431" s="1"/>
  <c r="T1" i="431" s="1"/>
  <c r="Y1" i="431" s="1"/>
  <c r="AD1" i="431" s="1"/>
  <c r="AI1" i="431" s="1"/>
  <c r="AN1" i="431" s="1"/>
  <c r="AS1" i="431" s="1"/>
  <c r="AX1" i="431" s="1"/>
  <c r="BC1" i="431" s="1"/>
  <c r="BH1" i="431" s="1"/>
  <c r="BM1" i="431" s="1"/>
  <c r="BR1" i="431" s="1"/>
  <c r="BW1" i="431" s="1"/>
  <c r="CB1" i="431" s="1"/>
  <c r="CG1" i="431" s="1"/>
  <c r="CL1" i="431" s="1"/>
  <c r="CQ1" i="431" s="1"/>
  <c r="CV1" i="431" s="1"/>
  <c r="DA1" i="431" s="1"/>
  <c r="DF1" i="431" s="1"/>
  <c r="DK1" i="431" s="1"/>
  <c r="DP1" i="431" s="1"/>
  <c r="DU1" i="431" s="1"/>
  <c r="DZ1" i="431" s="1"/>
  <c r="I1" i="431"/>
  <c r="N1" i="431" s="1"/>
  <c r="S1" i="431" s="1"/>
  <c r="X1" i="431" s="1"/>
  <c r="AC1" i="431" s="1"/>
  <c r="AH1" i="431" s="1"/>
  <c r="AM1" i="431" s="1"/>
  <c r="AR1" i="431" s="1"/>
  <c r="AW1" i="431" s="1"/>
  <c r="BB1" i="431" s="1"/>
  <c r="BG1" i="431" s="1"/>
  <c r="BL1" i="431" s="1"/>
  <c r="BQ1" i="431" s="1"/>
  <c r="BV1" i="431" s="1"/>
  <c r="CA1" i="431" s="1"/>
  <c r="CF1" i="431" s="1"/>
  <c r="CK1" i="431" s="1"/>
  <c r="CP1" i="431" s="1"/>
  <c r="CU1" i="431" s="1"/>
  <c r="CZ1" i="431" s="1"/>
  <c r="DE1" i="431" s="1"/>
  <c r="DJ1" i="431" s="1"/>
  <c r="DO1" i="431" s="1"/>
  <c r="DT1" i="431" s="1"/>
  <c r="DY1" i="431" s="1"/>
  <c r="H1" i="431"/>
  <c r="M1" i="431" s="1"/>
  <c r="R1" i="431" s="1"/>
  <c r="W1" i="431" s="1"/>
  <c r="AB1" i="431" s="1"/>
  <c r="AG1" i="431" s="1"/>
  <c r="AL1" i="431" s="1"/>
  <c r="AQ1" i="431" s="1"/>
  <c r="AV1" i="431" s="1"/>
  <c r="BA1" i="431" s="1"/>
  <c r="BF1" i="431" s="1"/>
  <c r="BK1" i="431" s="1"/>
  <c r="BP1" i="431" s="1"/>
  <c r="BU1" i="431" s="1"/>
  <c r="BZ1" i="431" s="1"/>
  <c r="CE1" i="431" s="1"/>
  <c r="CJ1" i="431" s="1"/>
  <c r="CO1" i="431" s="1"/>
  <c r="CT1" i="431" s="1"/>
  <c r="CY1" i="431" s="1"/>
  <c r="DD1" i="431" s="1"/>
  <c r="DI1" i="431" s="1"/>
  <c r="DN1" i="431" s="1"/>
  <c r="DS1" i="431" s="1"/>
  <c r="DX1" i="431" s="1"/>
  <c r="EC1" i="431" s="1"/>
  <c r="G1" i="431"/>
  <c r="L1" i="431" s="1"/>
  <c r="Q1" i="431" s="1"/>
  <c r="V1" i="431" s="1"/>
  <c r="AA1" i="431" s="1"/>
  <c r="AF1" i="431" s="1"/>
  <c r="AK1" i="431" s="1"/>
  <c r="AP1" i="431" s="1"/>
  <c r="AU1" i="431" s="1"/>
  <c r="AZ1" i="431" s="1"/>
  <c r="BE1" i="431" s="1"/>
  <c r="BJ1" i="431" s="1"/>
  <c r="BO1" i="431" s="1"/>
  <c r="BT1" i="431" s="1"/>
  <c r="BY1" i="431" s="1"/>
  <c r="CD1" i="431" s="1"/>
  <c r="CI1" i="431" s="1"/>
  <c r="CN1" i="431" s="1"/>
  <c r="CS1" i="431" s="1"/>
  <c r="CX1" i="431" s="1"/>
  <c r="DC1" i="431" s="1"/>
  <c r="DH1" i="431" s="1"/>
  <c r="DM1" i="431" s="1"/>
  <c r="DR1" i="431" s="1"/>
  <c r="DW1" i="431" s="1"/>
  <c r="EB1" i="431" s="1"/>
  <c r="EG1" i="431" s="1"/>
  <c r="A27" i="435"/>
  <c r="A39" i="435" s="1"/>
  <c r="A28" i="435"/>
  <c r="J20" i="435"/>
  <c r="J22" i="435" s="1"/>
  <c r="J32" i="435" s="1"/>
  <c r="BQ278" i="431" s="1"/>
  <c r="A253" i="435"/>
  <c r="A305" i="435" s="1"/>
  <c r="I21" i="435"/>
  <c r="I31" i="435" s="1"/>
  <c r="A323" i="435"/>
  <c r="A375" i="435"/>
  <c r="DF376" i="431"/>
  <c r="BT379" i="431"/>
  <c r="CZ170" i="431"/>
  <c r="DA170" i="431"/>
  <c r="M168" i="431"/>
  <c r="CZ116" i="431"/>
  <c r="CX170" i="431"/>
  <c r="AZ214" i="431"/>
  <c r="AZ215" i="431" s="1"/>
  <c r="X139" i="431"/>
  <c r="BN161" i="431"/>
  <c r="BN159" i="431"/>
  <c r="BN156" i="431" s="1"/>
  <c r="K133" i="431"/>
  <c r="CS116" i="431"/>
  <c r="CH161" i="431"/>
  <c r="DB159" i="431"/>
  <c r="DB156" i="431" s="1"/>
  <c r="DB165" i="431" s="1"/>
  <c r="DB166" i="431" s="1"/>
  <c r="CF164" i="431"/>
  <c r="AD170" i="431"/>
  <c r="AI170" i="431"/>
  <c r="BR170" i="431"/>
  <c r="CQ170" i="431"/>
  <c r="EE170" i="431"/>
  <c r="S175" i="431"/>
  <c r="W175" i="431"/>
  <c r="AL177" i="431"/>
  <c r="AQ177" i="431"/>
  <c r="CT177" i="431"/>
  <c r="DN177" i="431"/>
  <c r="DS177" i="431"/>
  <c r="DX177" i="431"/>
  <c r="DC196" i="431"/>
  <c r="DE196" i="431"/>
  <c r="CC194" i="431"/>
  <c r="CI194" i="431"/>
  <c r="DD196" i="431"/>
  <c r="AU211" i="431"/>
  <c r="AX211" i="431"/>
  <c r="AV211" i="431"/>
  <c r="DW211" i="431"/>
  <c r="EA213" i="431"/>
  <c r="DZ211" i="431"/>
  <c r="DX211" i="431"/>
  <c r="AM177" i="431"/>
  <c r="CU177" i="431"/>
  <c r="AD184" i="431"/>
  <c r="AE182" i="431"/>
  <c r="X182" i="431"/>
  <c r="X196" i="431"/>
  <c r="CD214" i="431"/>
  <c r="CD202" i="431" s="1"/>
  <c r="CD194" i="431"/>
  <c r="AN203" i="431"/>
  <c r="DM203" i="431"/>
  <c r="DP203" i="431"/>
  <c r="X208" i="431"/>
  <c r="AG170" i="431"/>
  <c r="BU170" i="431"/>
  <c r="CO170" i="431"/>
  <c r="EC170" i="431"/>
  <c r="AN177" i="431"/>
  <c r="AS177" i="431"/>
  <c r="CL177" i="431"/>
  <c r="CV177" i="431"/>
  <c r="DP177" i="431"/>
  <c r="AA184" i="431"/>
  <c r="DM196" i="431"/>
  <c r="W196" i="431"/>
  <c r="AM203" i="431"/>
  <c r="AR202" i="431"/>
  <c r="DS163" i="431"/>
  <c r="DW177" i="431"/>
  <c r="AZ196" i="431"/>
  <c r="BB196" i="431"/>
  <c r="BG196" i="431"/>
  <c r="BT196" i="431"/>
  <c r="BV196" i="431"/>
  <c r="BC196" i="431"/>
  <c r="BW196" i="431"/>
  <c r="AY212" i="431"/>
  <c r="EA212" i="431"/>
  <c r="W184" i="431"/>
  <c r="AG184" i="431"/>
  <c r="BA184" i="431"/>
  <c r="BK184" i="431"/>
  <c r="BU184" i="431"/>
  <c r="CO184" i="431"/>
  <c r="EC184" i="431"/>
  <c r="X194" i="431"/>
  <c r="CA196" i="431"/>
  <c r="EA201" i="431"/>
  <c r="DX203" i="431"/>
  <c r="AG211" i="431"/>
  <c r="BX213" i="431"/>
  <c r="DK184" i="431"/>
  <c r="DV194" i="431"/>
  <c r="AA196" i="431"/>
  <c r="DP202" i="431"/>
  <c r="CG203" i="431"/>
  <c r="DZ203" i="431"/>
  <c r="EE211" i="431"/>
  <c r="BO223" i="431"/>
  <c r="DC223" i="431"/>
  <c r="O208" i="431"/>
  <c r="BC223" i="431"/>
  <c r="BG223" i="431"/>
  <c r="BM215" i="431"/>
  <c r="DF218" i="431"/>
  <c r="DC243" i="431"/>
  <c r="DC242" i="431" s="1"/>
  <c r="EU343" i="431"/>
  <c r="EZ343" i="431" s="1"/>
  <c r="FE343" i="431" s="1"/>
  <c r="J21" i="435"/>
  <c r="A383" i="435"/>
  <c r="A435" i="435" s="1"/>
  <c r="A487" i="435" s="1"/>
  <c r="A539" i="435" s="1"/>
  <c r="A303" i="435"/>
  <c r="A355" i="435" s="1"/>
  <c r="A407" i="435" s="1"/>
  <c r="A459" i="435" s="1"/>
  <c r="A511" i="435" s="1"/>
  <c r="DX120" i="431"/>
  <c r="CI13" i="434" s="1"/>
  <c r="EK35" i="431"/>
  <c r="EP36" i="431" s="1"/>
  <c r="EK193" i="431"/>
  <c r="EP194" i="431" s="1"/>
  <c r="EJ45" i="431"/>
  <c r="EO46" i="431" s="1"/>
  <c r="CD103" i="431"/>
  <c r="CD135" i="431" s="1"/>
  <c r="DO98" i="431"/>
  <c r="BQ170" i="431"/>
  <c r="BV170" i="431"/>
  <c r="ED170" i="431"/>
  <c r="ED177" i="431"/>
  <c r="AI184" i="431"/>
  <c r="BC184" i="431"/>
  <c r="CN184" i="431"/>
  <c r="BI194" i="431"/>
  <c r="AB196" i="431"/>
  <c r="CD203" i="431"/>
  <c r="CF203" i="431"/>
  <c r="AF184" i="431"/>
  <c r="AZ184" i="431"/>
  <c r="BT184" i="431"/>
  <c r="BH196" i="431"/>
  <c r="CQ196" i="431"/>
  <c r="ED203" i="431"/>
  <c r="EB203" i="431"/>
  <c r="BZ223" i="431"/>
  <c r="DY211" i="431"/>
  <c r="AO239" i="431"/>
  <c r="AV68" i="431"/>
  <c r="CU100" i="431"/>
  <c r="CZ100" i="431"/>
  <c r="EG115" i="431"/>
  <c r="BL141" i="431"/>
  <c r="BG170" i="431"/>
  <c r="CN170" i="431"/>
  <c r="CP170" i="431"/>
  <c r="BI168" i="431"/>
  <c r="AZ170" i="431"/>
  <c r="BB170" i="431"/>
  <c r="DD170" i="431"/>
  <c r="DC170" i="431"/>
  <c r="EF175" i="431"/>
  <c r="CP203" i="431"/>
  <c r="CQ203" i="431"/>
  <c r="DT203" i="431"/>
  <c r="DJ184" i="431"/>
  <c r="DH184" i="431"/>
  <c r="EE184" i="431"/>
  <c r="EB184" i="431"/>
  <c r="DP196" i="431"/>
  <c r="DN196" i="431"/>
  <c r="CQ177" i="431"/>
  <c r="BY196" i="431"/>
  <c r="DU196" i="431"/>
  <c r="BZ196" i="431"/>
  <c r="BB203" i="431"/>
  <c r="BC203" i="431"/>
  <c r="BG202" i="431"/>
  <c r="DX202" i="431"/>
  <c r="AZ203" i="431"/>
  <c r="AZ211" i="431"/>
  <c r="DH211" i="431"/>
  <c r="V195" i="431"/>
  <c r="AA202" i="431"/>
  <c r="CF183" i="431"/>
  <c r="CL210" i="431"/>
  <c r="CP202" i="431"/>
  <c r="CV183" i="431"/>
  <c r="CV176" i="431"/>
  <c r="DI176" i="431"/>
  <c r="ED210" i="431"/>
  <c r="CC208" i="431"/>
  <c r="BY211" i="431"/>
  <c r="L11" i="455"/>
  <c r="AI202" i="431"/>
  <c r="AL195" i="431"/>
  <c r="CG176" i="431"/>
  <c r="CO183" i="431"/>
  <c r="DC210" i="431"/>
  <c r="DX223" i="431"/>
  <c r="DX336" i="431" s="1"/>
  <c r="DX176" i="431"/>
  <c r="DZ223" i="431"/>
  <c r="DZ183" i="431"/>
  <c r="EH183" i="431"/>
  <c r="EF201" i="431"/>
  <c r="CR258" i="431"/>
  <c r="EH289" i="431"/>
  <c r="EI288" i="431"/>
  <c r="EI289" i="431" s="1"/>
  <c r="CF3" i="453"/>
  <c r="H87" i="453"/>
  <c r="BZ38" i="453"/>
  <c r="BZ26" i="453" s="1"/>
  <c r="H15" i="453"/>
  <c r="H54" i="453" s="1"/>
  <c r="O87" i="453"/>
  <c r="O15" i="453"/>
  <c r="O54" i="453"/>
  <c r="P87" i="453"/>
  <c r="P15" i="453"/>
  <c r="P54" i="453"/>
  <c r="Q6" i="453"/>
  <c r="R6" i="453" s="1"/>
  <c r="S6" i="453" s="1"/>
  <c r="T6" i="453" s="1"/>
  <c r="G87" i="453"/>
  <c r="G15" i="453"/>
  <c r="G54" i="453"/>
  <c r="F87" i="453"/>
  <c r="F15" i="453"/>
  <c r="F54" i="453"/>
  <c r="E87" i="453"/>
  <c r="E15" i="453"/>
  <c r="E54" i="453"/>
  <c r="D87" i="453"/>
  <c r="D15" i="453"/>
  <c r="D54" i="453"/>
  <c r="EJ38" i="431"/>
  <c r="EK37" i="431"/>
  <c r="EP38" i="431" s="1"/>
  <c r="EJ21" i="431"/>
  <c r="EK271" i="431"/>
  <c r="EP272" i="431" s="1"/>
  <c r="EJ239" i="431"/>
  <c r="ET11" i="431"/>
  <c r="EU11" i="431" s="1"/>
  <c r="EJ24" i="431"/>
  <c r="EJ19" i="431"/>
  <c r="EJ61" i="431"/>
  <c r="EJ59" i="431"/>
  <c r="EJ52" i="431"/>
  <c r="EJ75" i="431"/>
  <c r="EK142" i="431"/>
  <c r="EJ77" i="431"/>
  <c r="EJ70" i="431"/>
  <c r="EO71" i="431" s="1"/>
  <c r="EJ73" i="431"/>
  <c r="ET142" i="431"/>
  <c r="EU142" i="431" s="1"/>
  <c r="EK76" i="431"/>
  <c r="EK200" i="431"/>
  <c r="EJ162" i="431"/>
  <c r="EJ25" i="431"/>
  <c r="EJ5" i="431"/>
  <c r="EO18" i="431" s="1"/>
  <c r="ET12" i="431"/>
  <c r="EU12" i="431" s="1"/>
  <c r="EK249" i="431"/>
  <c r="EK289" i="431" s="1"/>
  <c r="EK12" i="431"/>
  <c r="EP25" i="431" s="1"/>
  <c r="EK93" i="431"/>
  <c r="EJ95" i="431"/>
  <c r="EK94" i="431"/>
  <c r="EP95" i="431" s="1"/>
  <c r="EJ50" i="431"/>
  <c r="EK78" i="431"/>
  <c r="EP79" i="431" s="1"/>
  <c r="EJ79" i="431"/>
  <c r="ET10" i="431"/>
  <c r="EU10" i="431" s="1"/>
  <c r="EJ23" i="431"/>
  <c r="EJ175" i="431"/>
  <c r="EK174" i="431"/>
  <c r="FW178" i="431"/>
  <c r="EJ272" i="431"/>
  <c r="EK6" i="431"/>
  <c r="EP19" i="431" s="1"/>
  <c r="EK43" i="431"/>
  <c r="EP44" i="431" s="1"/>
  <c r="ET6" i="431"/>
  <c r="EJ154" i="431"/>
  <c r="EJ201" i="431"/>
  <c r="EK245" i="431"/>
  <c r="EK39" i="431"/>
  <c r="EP40" i="431" s="1"/>
  <c r="EK153" i="431"/>
  <c r="EP154" i="431" s="1"/>
  <c r="EJ260" i="431"/>
  <c r="EK74" i="431"/>
  <c r="EP75" i="431" s="1"/>
  <c r="EJ161" i="431"/>
  <c r="EK91" i="431"/>
  <c r="EK257" i="431"/>
  <c r="EK386" i="431" s="1"/>
  <c r="EK160" i="431"/>
  <c r="EP161" i="431" s="1"/>
  <c r="EK383" i="431"/>
  <c r="DK170" i="431"/>
  <c r="DL168" i="431"/>
  <c r="DI170" i="431"/>
  <c r="DH170" i="431"/>
  <c r="DJ170" i="431"/>
  <c r="EJ42" i="431"/>
  <c r="EK41" i="431"/>
  <c r="EP42" i="431" s="1"/>
  <c r="BJ202" i="431"/>
  <c r="BJ183" i="431"/>
  <c r="BJ210" i="431"/>
  <c r="BJ15" i="431"/>
  <c r="AW177" i="431"/>
  <c r="AU177" i="431"/>
  <c r="DZ377" i="431"/>
  <c r="DZ15" i="431"/>
  <c r="DZ105" i="431"/>
  <c r="EI115" i="431"/>
  <c r="DN164" i="431"/>
  <c r="CB380" i="431"/>
  <c r="CB378" i="431"/>
  <c r="CB29" i="431"/>
  <c r="CB191" i="431"/>
  <c r="CB178" i="431"/>
  <c r="BX159" i="431"/>
  <c r="BX156" i="431" s="1"/>
  <c r="CC161" i="431"/>
  <c r="DA105" i="431"/>
  <c r="AH176" i="431"/>
  <c r="AH223" i="431"/>
  <c r="AH210" i="431"/>
  <c r="AH183" i="431"/>
  <c r="AH140" i="431"/>
  <c r="AH195" i="431"/>
  <c r="BA171" i="431"/>
  <c r="S201" i="431"/>
  <c r="X201" i="431"/>
  <c r="EV243" i="431"/>
  <c r="EV242" i="431" s="1"/>
  <c r="EK181" i="431"/>
  <c r="EP182" i="431" s="1"/>
  <c r="EJ182" i="431"/>
  <c r="DR177" i="431"/>
  <c r="DR223" i="431"/>
  <c r="DR202" i="431"/>
  <c r="EX243" i="431"/>
  <c r="EX242" i="431" s="1"/>
  <c r="AA183" i="431"/>
  <c r="AA170" i="431"/>
  <c r="AC170" i="431"/>
  <c r="AL169" i="431"/>
  <c r="AU210" i="431"/>
  <c r="AU169" i="431"/>
  <c r="AU155" i="431"/>
  <c r="DP115" i="431"/>
  <c r="DP116" i="431" s="1"/>
  <c r="CA11" i="434" s="1"/>
  <c r="CP184" i="431"/>
  <c r="CQ184" i="431"/>
  <c r="BC176" i="431"/>
  <c r="BC195" i="431"/>
  <c r="DK202" i="431"/>
  <c r="DK176" i="431"/>
  <c r="EB169" i="431"/>
  <c r="CO196" i="431"/>
  <c r="CN196" i="431"/>
  <c r="AV169" i="431"/>
  <c r="BV184" i="431"/>
  <c r="BO190" i="431"/>
  <c r="BO169" i="431"/>
  <c r="DF223" i="431"/>
  <c r="DF169" i="431"/>
  <c r="DF202" i="431"/>
  <c r="EJ143" i="431"/>
  <c r="EJ137" i="431" s="1"/>
  <c r="DX210" i="431"/>
  <c r="DX195" i="431"/>
  <c r="EF348" i="431"/>
  <c r="FQ7" i="431"/>
  <c r="EJ20" i="431"/>
  <c r="EK7" i="431"/>
  <c r="EP20" i="431" s="1"/>
  <c r="ET7" i="431"/>
  <c r="EJ83" i="431"/>
  <c r="EO84" i="431" s="1"/>
  <c r="EJ209" i="431"/>
  <c r="EJ208" i="431"/>
  <c r="EJ194" i="431"/>
  <c r="FQ194" i="431"/>
  <c r="EJ150" i="431"/>
  <c r="EO151" i="431" s="1"/>
  <c r="EJ214" i="431"/>
  <c r="EJ139" i="431"/>
  <c r="EJ147" i="431"/>
  <c r="EO148" i="431" s="1"/>
  <c r="EK138" i="431"/>
  <c r="FP49" i="431"/>
  <c r="EK49" i="431"/>
  <c r="EP50" i="431" s="1"/>
  <c r="EK92" i="431"/>
  <c r="EJ156" i="431"/>
  <c r="EJ165" i="431" s="1"/>
  <c r="EJ166" i="431" s="1"/>
  <c r="EK58" i="431"/>
  <c r="EP59" i="431" s="1"/>
  <c r="EK207" i="431"/>
  <c r="EK352" i="431"/>
  <c r="EK244" i="431"/>
  <c r="EK296" i="431"/>
  <c r="EK311" i="431"/>
  <c r="EK351" i="431"/>
  <c r="EK353" i="431"/>
  <c r="EK348" i="431"/>
  <c r="EK9" i="431"/>
  <c r="EJ13" i="431"/>
  <c r="EJ97" i="431"/>
  <c r="EJ22" i="431"/>
  <c r="EJ258" i="431"/>
  <c r="EK259" i="431"/>
  <c r="EJ80" i="431"/>
  <c r="EO81" i="431" s="1"/>
  <c r="EK90" i="431"/>
  <c r="FQ49" i="431"/>
  <c r="AT212" i="431"/>
  <c r="DS211" i="431"/>
  <c r="BG203" i="431"/>
  <c r="BH203" i="431"/>
  <c r="BF203" i="431"/>
  <c r="AT61" i="431"/>
  <c r="AK141" i="431"/>
  <c r="AO150" i="431"/>
  <c r="I93" i="453"/>
  <c r="I95" i="453" s="1"/>
  <c r="I99" i="453" s="1"/>
  <c r="K90" i="453"/>
  <c r="K91" i="453"/>
  <c r="CB41" i="453"/>
  <c r="CB42" i="453"/>
  <c r="CU203" i="431"/>
  <c r="CV203" i="431"/>
  <c r="CT203" i="431"/>
  <c r="A9" i="435"/>
  <c r="D6" i="435"/>
  <c r="A18" i="435"/>
  <c r="A29" i="435"/>
  <c r="D29" i="435" s="1"/>
  <c r="E41" i="453"/>
  <c r="K41" i="453"/>
  <c r="K12" i="453"/>
  <c r="L24" i="453" s="1"/>
  <c r="CA41" i="453"/>
  <c r="CA42" i="453"/>
  <c r="BK185" i="431"/>
  <c r="DQ139" i="431"/>
  <c r="A10" i="435"/>
  <c r="A19" i="435"/>
  <c r="F41" i="451"/>
  <c r="L90" i="453"/>
  <c r="CC41" i="453"/>
  <c r="CC42" i="453"/>
  <c r="CY375" i="431"/>
  <c r="BK378" i="431"/>
  <c r="L89" i="453"/>
  <c r="BK379" i="431"/>
  <c r="BU204" i="431"/>
  <c r="A198" i="435"/>
  <c r="A250" i="435" s="1"/>
  <c r="A302" i="435" s="1"/>
  <c r="BU171" i="431"/>
  <c r="BU178" i="431"/>
  <c r="BC183" i="431"/>
  <c r="BC140" i="431"/>
  <c r="BC202" i="431"/>
  <c r="DG239" i="431"/>
  <c r="BC6" i="453"/>
  <c r="BC6" i="451"/>
  <c r="BC7" i="451"/>
  <c r="EC152" i="431"/>
  <c r="M19" i="453"/>
  <c r="K34" i="453"/>
  <c r="G41" i="453"/>
  <c r="D25" i="451"/>
  <c r="BC151" i="431"/>
  <c r="M9" i="453"/>
  <c r="N9" i="453"/>
  <c r="O9" i="453" s="1"/>
  <c r="P9" i="453" s="1"/>
  <c r="AV13" i="453"/>
  <c r="D25" i="453"/>
  <c r="D93" i="453" s="1"/>
  <c r="D95" i="453" s="1"/>
  <c r="D99" i="453" s="1"/>
  <c r="K34" i="451"/>
  <c r="CA18" i="431"/>
  <c r="E34" i="453"/>
  <c r="D16" i="435"/>
  <c r="E25" i="453"/>
  <c r="E93" i="453" s="1"/>
  <c r="E95" i="453" s="1"/>
  <c r="E99" i="453" s="1"/>
  <c r="F34" i="453"/>
  <c r="F34" i="451"/>
  <c r="D34" i="451"/>
  <c r="BJ190" i="431"/>
  <c r="AL184" i="431"/>
  <c r="K167" i="431"/>
  <c r="CE214" i="431"/>
  <c r="DP141" i="431"/>
  <c r="DP223" i="431"/>
  <c r="DP195" i="431"/>
  <c r="DP183" i="431"/>
  <c r="DZ140" i="431"/>
  <c r="DZ218" i="431"/>
  <c r="I5" i="435"/>
  <c r="I15" i="435" s="1"/>
  <c r="J4" i="435"/>
  <c r="A264" i="435"/>
  <c r="G25" i="451"/>
  <c r="A200" i="435"/>
  <c r="A294" i="435"/>
  <c r="A307" i="435"/>
  <c r="A359" i="435" s="1"/>
  <c r="BO215" i="431"/>
  <c r="AS379" i="431"/>
  <c r="BJ140" i="431"/>
  <c r="BJ169" i="431"/>
  <c r="EJ36" i="431"/>
  <c r="Y170" i="431"/>
  <c r="AB105" i="431"/>
  <c r="AL171" i="431"/>
  <c r="DW197" i="431"/>
  <c r="EG100" i="431"/>
  <c r="CX169" i="431"/>
  <c r="DH202" i="431"/>
  <c r="A265" i="435"/>
  <c r="A317" i="435" s="1"/>
  <c r="A369" i="435" s="1"/>
  <c r="A421" i="435" s="1"/>
  <c r="A473" i="435" s="1"/>
  <c r="A525" i="435" s="1"/>
  <c r="A272" i="435"/>
  <c r="A300" i="435"/>
  <c r="A352" i="435" s="1"/>
  <c r="A404" i="435" s="1"/>
  <c r="A456" i="435" s="1"/>
  <c r="A508" i="435" s="1"/>
  <c r="AW64" i="431"/>
  <c r="B140" i="431"/>
  <c r="B223" i="431"/>
  <c r="B210" i="431"/>
  <c r="B202" i="431"/>
  <c r="B183" i="431"/>
  <c r="AB218" i="431"/>
  <c r="AB183" i="431"/>
  <c r="A273" i="435"/>
  <c r="AV12" i="453"/>
  <c r="B176" i="431"/>
  <c r="BJ155" i="431"/>
  <c r="DV348" i="431"/>
  <c r="O139" i="431"/>
  <c r="CZ169" i="431"/>
  <c r="A41" i="435"/>
  <c r="D41" i="435" s="1"/>
  <c r="A229" i="435"/>
  <c r="A281" i="435" s="1"/>
  <c r="A333" i="435" s="1"/>
  <c r="A385" i="435" s="1"/>
  <c r="A437" i="435" s="1"/>
  <c r="A489" i="435" s="1"/>
  <c r="A541" i="435" s="1"/>
  <c r="E41" i="451"/>
  <c r="E12" i="451"/>
  <c r="AI178" i="431"/>
  <c r="AI171" i="431"/>
  <c r="AQ141" i="431"/>
  <c r="AP141" i="431"/>
  <c r="V170" i="431"/>
  <c r="W170" i="431"/>
  <c r="B195" i="431"/>
  <c r="BJ195" i="431"/>
  <c r="DW377" i="431"/>
  <c r="BL215" i="431"/>
  <c r="DS296" i="431"/>
  <c r="A353" i="435"/>
  <c r="A405" i="435" s="1"/>
  <c r="A457" i="435" s="1"/>
  <c r="A509" i="435" s="1"/>
  <c r="A260" i="435"/>
  <c r="A312" i="435" s="1"/>
  <c r="A364" i="435" s="1"/>
  <c r="A416" i="435" s="1"/>
  <c r="A468" i="435" s="1"/>
  <c r="A520" i="435" s="1"/>
  <c r="A268" i="435"/>
  <c r="A320" i="435" s="1"/>
  <c r="E91" i="453"/>
  <c r="BJ170" i="431"/>
  <c r="BN168" i="431"/>
  <c r="BL170" i="431"/>
  <c r="FQ43" i="431"/>
  <c r="BJ223" i="431"/>
  <c r="AR141" i="431"/>
  <c r="A336" i="435"/>
  <c r="DD163" i="431"/>
  <c r="CY163" i="431"/>
  <c r="BC170" i="431"/>
  <c r="BA170" i="431"/>
  <c r="CP196" i="431"/>
  <c r="CR194" i="431"/>
  <c r="A269" i="435"/>
  <c r="A360" i="435"/>
  <c r="M11" i="451"/>
  <c r="L12" i="451"/>
  <c r="L38" i="451"/>
  <c r="L42" i="451" s="1"/>
  <c r="M22" i="451" s="1"/>
  <c r="L22" i="451"/>
  <c r="CS170" i="431"/>
  <c r="DB168" i="431"/>
  <c r="CV170" i="431"/>
  <c r="CL86" i="431"/>
  <c r="BW184" i="431"/>
  <c r="DI184" i="431"/>
  <c r="AL211" i="431"/>
  <c r="CA211" i="431"/>
  <c r="CB211" i="431"/>
  <c r="G91" i="453"/>
  <c r="CY151" i="431"/>
  <c r="P153" i="431"/>
  <c r="F25" i="453"/>
  <c r="F51" i="453" s="1"/>
  <c r="H25" i="451"/>
  <c r="I25" i="451"/>
  <c r="AW12" i="453"/>
  <c r="J25" i="453"/>
  <c r="J93" i="453" s="1"/>
  <c r="J95" i="453" s="1"/>
  <c r="J99" i="453" s="1"/>
  <c r="J25" i="451"/>
  <c r="F25" i="451"/>
  <c r="K25" i="451"/>
  <c r="AM152" i="431"/>
  <c r="DW215" i="431"/>
  <c r="DS302" i="431"/>
  <c r="DU343" i="431"/>
  <c r="FP92" i="431"/>
  <c r="BP140" i="431"/>
  <c r="EG215" i="431"/>
  <c r="AK140" i="431"/>
  <c r="AK210" i="431"/>
  <c r="AK183" i="431"/>
  <c r="DH64" i="431"/>
  <c r="DD176" i="431"/>
  <c r="DL52" i="431"/>
  <c r="BZ376" i="431"/>
  <c r="BZ197" i="431"/>
  <c r="BZ32" i="431"/>
  <c r="CJ377" i="431"/>
  <c r="CT178" i="431"/>
  <c r="CT375" i="431"/>
  <c r="DD380" i="431"/>
  <c r="DD171" i="431"/>
  <c r="DD144" i="431"/>
  <c r="DN178" i="431"/>
  <c r="DN374" i="431"/>
  <c r="DN185" i="431"/>
  <c r="DN144" i="431"/>
  <c r="DN380" i="431"/>
  <c r="DX15" i="431"/>
  <c r="DX378" i="431"/>
  <c r="DX105" i="431"/>
  <c r="DX32" i="431"/>
  <c r="DX54" i="431"/>
  <c r="BF155" i="431"/>
  <c r="DN210" i="431"/>
  <c r="DN140" i="431"/>
  <c r="DN202" i="431"/>
  <c r="DN169" i="431"/>
  <c r="DN155" i="431"/>
  <c r="DN223" i="431"/>
  <c r="DN195" i="431"/>
  <c r="Y202" i="431"/>
  <c r="Y195" i="431"/>
  <c r="Y183" i="431"/>
  <c r="Y223" i="431"/>
  <c r="Y140" i="431"/>
  <c r="Y169" i="431"/>
  <c r="BK103" i="431"/>
  <c r="FQ20" i="431"/>
  <c r="EK159" i="431"/>
  <c r="EK156" i="431" s="1"/>
  <c r="T177" i="431"/>
  <c r="AS155" i="431"/>
  <c r="AS202" i="431"/>
  <c r="DD169" i="431"/>
  <c r="DD155" i="431"/>
  <c r="DD202" i="431"/>
  <c r="DD140" i="431"/>
  <c r="DD210" i="431"/>
  <c r="DD223" i="431"/>
  <c r="DD215" i="431"/>
  <c r="DD195" i="431"/>
  <c r="DR304" i="431"/>
  <c r="EB64" i="431"/>
  <c r="BA81" i="431"/>
  <c r="Y176" i="431"/>
  <c r="CD223" i="431"/>
  <c r="AV176" i="431"/>
  <c r="BH216" i="431"/>
  <c r="EH307" i="431"/>
  <c r="EI305" i="431"/>
  <c r="EI307" i="431" s="1"/>
  <c r="CE374" i="431"/>
  <c r="CE144" i="431"/>
  <c r="CE29" i="431"/>
  <c r="CE126" i="431" s="1"/>
  <c r="CE204" i="431"/>
  <c r="CE379" i="431"/>
  <c r="CE178" i="431"/>
  <c r="CE377" i="431"/>
  <c r="CE376" i="431"/>
  <c r="CE32" i="431"/>
  <c r="CE375" i="431"/>
  <c r="CE185" i="431"/>
  <c r="CE105" i="431"/>
  <c r="CE171" i="431"/>
  <c r="CE15" i="431"/>
  <c r="EE55" i="431"/>
  <c r="CE378" i="431"/>
  <c r="AS374" i="431"/>
  <c r="AS375" i="431"/>
  <c r="BC171" i="431"/>
  <c r="BC191" i="431"/>
  <c r="BC380" i="431"/>
  <c r="BC144" i="431"/>
  <c r="BM376" i="431"/>
  <c r="BM26" i="431"/>
  <c r="BM378" i="431"/>
  <c r="BM377" i="431"/>
  <c r="ED45" i="431"/>
  <c r="EI36" i="431"/>
  <c r="ED36" i="431"/>
  <c r="CJ98" i="431"/>
  <c r="DK118" i="431"/>
  <c r="DK115" i="431"/>
  <c r="EI118" i="431"/>
  <c r="CO380" i="431"/>
  <c r="CO204" i="431"/>
  <c r="CO216" i="431"/>
  <c r="CO15" i="431"/>
  <c r="CO178" i="431"/>
  <c r="DS374" i="431"/>
  <c r="DS185" i="431"/>
  <c r="DS171" i="431"/>
  <c r="DS376" i="431"/>
  <c r="DS32" i="431"/>
  <c r="DS204" i="431"/>
  <c r="DS178" i="431"/>
  <c r="G223" i="431"/>
  <c r="CE380" i="431"/>
  <c r="AK171" i="431"/>
  <c r="BW144" i="431"/>
  <c r="BW29" i="431"/>
  <c r="BW376" i="431"/>
  <c r="CG144" i="431"/>
  <c r="CL26" i="431"/>
  <c r="CG185" i="431"/>
  <c r="CG216" i="431"/>
  <c r="CG178" i="431"/>
  <c r="CG375" i="431"/>
  <c r="CQ374" i="431"/>
  <c r="CQ375" i="431"/>
  <c r="CQ204" i="431"/>
  <c r="DA197" i="431"/>
  <c r="DA185" i="431"/>
  <c r="DA378" i="431"/>
  <c r="DA216" i="431"/>
  <c r="DA376" i="431"/>
  <c r="DA26" i="431"/>
  <c r="DU377" i="431"/>
  <c r="DU204" i="431"/>
  <c r="DU380" i="431"/>
  <c r="DU144" i="431"/>
  <c r="EE379" i="431"/>
  <c r="EE377" i="431"/>
  <c r="EE197" i="431"/>
  <c r="EE378" i="431"/>
  <c r="EE204" i="431"/>
  <c r="EE178" i="431"/>
  <c r="EE32" i="431"/>
  <c r="CR45" i="431"/>
  <c r="AV140" i="431"/>
  <c r="CH61" i="431"/>
  <c r="CY380" i="431"/>
  <c r="CY197" i="431"/>
  <c r="CY378" i="431"/>
  <c r="CY185" i="431"/>
  <c r="CY15" i="431"/>
  <c r="CY29" i="431"/>
  <c r="CY126" i="431" s="1"/>
  <c r="CY374" i="431"/>
  <c r="CY144" i="431"/>
  <c r="CY204" i="431"/>
  <c r="CY178" i="431"/>
  <c r="CY171" i="431"/>
  <c r="CY32" i="431"/>
  <c r="CY379" i="431"/>
  <c r="CY99" i="431"/>
  <c r="CY377" i="431"/>
  <c r="DC86" i="431"/>
  <c r="BI201" i="431"/>
  <c r="BA203" i="431"/>
  <c r="CN203" i="431"/>
  <c r="CO203" i="431"/>
  <c r="CW201" i="431"/>
  <c r="EE203" i="431"/>
  <c r="EC203" i="431"/>
  <c r="AB176" i="431"/>
  <c r="AB195" i="431"/>
  <c r="AB140" i="431"/>
  <c r="AB169" i="431"/>
  <c r="AB215" i="431"/>
  <c r="AB210" i="431"/>
  <c r="AB202" i="431"/>
  <c r="AR177" i="431"/>
  <c r="AT175" i="431"/>
  <c r="BR148" i="431"/>
  <c r="BM148" i="431"/>
  <c r="DX151" i="431"/>
  <c r="EH151" i="431"/>
  <c r="EC151" i="431"/>
  <c r="AR170" i="431"/>
  <c r="CA103" i="431"/>
  <c r="BH55" i="431"/>
  <c r="CB55" i="431"/>
  <c r="BR85" i="431"/>
  <c r="DY100" i="431"/>
  <c r="DY98" i="431"/>
  <c r="AR140" i="431"/>
  <c r="AR169" i="431"/>
  <c r="AR155" i="431"/>
  <c r="DA176" i="431"/>
  <c r="DT183" i="431"/>
  <c r="DD55" i="431"/>
  <c r="DK64" i="431"/>
  <c r="AR195" i="431"/>
  <c r="BC155" i="431"/>
  <c r="BC210" i="431"/>
  <c r="BC190" i="431"/>
  <c r="AL374" i="431"/>
  <c r="AL15" i="431"/>
  <c r="AL375" i="431"/>
  <c r="AL379" i="431"/>
  <c r="AL197" i="431"/>
  <c r="AZ103" i="431"/>
  <c r="AZ135" i="431" s="1"/>
  <c r="AZ221" i="431" s="1"/>
  <c r="BR379" i="431"/>
  <c r="BR197" i="431"/>
  <c r="BR376" i="431"/>
  <c r="BR178" i="431"/>
  <c r="BR378" i="431"/>
  <c r="EH178" i="431"/>
  <c r="EH144" i="431"/>
  <c r="AK64" i="431"/>
  <c r="CB59" i="431"/>
  <c r="AG197" i="431"/>
  <c r="AG105" i="431"/>
  <c r="S214" i="431"/>
  <c r="S202" i="431" s="1"/>
  <c r="CZ176" i="431"/>
  <c r="AN81" i="431"/>
  <c r="AT309" i="431"/>
  <c r="AT311" i="431" s="1"/>
  <c r="AT313" i="431" s="1"/>
  <c r="DJ164" i="431"/>
  <c r="H201" i="431"/>
  <c r="ED86" i="431"/>
  <c r="T377" i="431"/>
  <c r="T15" i="431"/>
  <c r="T178" i="431"/>
  <c r="T379" i="431"/>
  <c r="T185" i="431"/>
  <c r="T376" i="431"/>
  <c r="T374" i="431"/>
  <c r="V14" i="431"/>
  <c r="T380" i="431"/>
  <c r="T378" i="431"/>
  <c r="T105" i="431"/>
  <c r="T204" i="431"/>
  <c r="AD204" i="431"/>
  <c r="AD380" i="431"/>
  <c r="AD185" i="431"/>
  <c r="AD379" i="431"/>
  <c r="AD197" i="431"/>
  <c r="AD377" i="431"/>
  <c r="AD171" i="431"/>
  <c r="AD15" i="431"/>
  <c r="AI26" i="431"/>
  <c r="AD178" i="431"/>
  <c r="AD105" i="431"/>
  <c r="AD378" i="431"/>
  <c r="AD376" i="431"/>
  <c r="AD375" i="431"/>
  <c r="AD374" i="431"/>
  <c r="AD54" i="431"/>
  <c r="AN380" i="431"/>
  <c r="AN197" i="431"/>
  <c r="AN378" i="431"/>
  <c r="AN15" i="431"/>
  <c r="AN105" i="431"/>
  <c r="AN218" i="431"/>
  <c r="AS26" i="431"/>
  <c r="BF185" i="431"/>
  <c r="BF171" i="431"/>
  <c r="BF144" i="431"/>
  <c r="BF380" i="431"/>
  <c r="BF26" i="431"/>
  <c r="BF376" i="431"/>
  <c r="BF15" i="431"/>
  <c r="BF374" i="431"/>
  <c r="BF204" i="431"/>
  <c r="BF105" i="431"/>
  <c r="BF218" i="431"/>
  <c r="BP105" i="431"/>
  <c r="BP378" i="431"/>
  <c r="BP380" i="431"/>
  <c r="BP375" i="431"/>
  <c r="BP185" i="431"/>
  <c r="BP186" i="431" s="1"/>
  <c r="BU26" i="431"/>
  <c r="BP197" i="431"/>
  <c r="BP377" i="431"/>
  <c r="BP374" i="431"/>
  <c r="BP191" i="431"/>
  <c r="BP144" i="431"/>
  <c r="BP26" i="431"/>
  <c r="BP99" i="431"/>
  <c r="BP178" i="431"/>
  <c r="BP379" i="431"/>
  <c r="BP15" i="431"/>
  <c r="BP171" i="431"/>
  <c r="BP376" i="431"/>
  <c r="BY375" i="431"/>
  <c r="CI378" i="431"/>
  <c r="CS185" i="431"/>
  <c r="DC14" i="431"/>
  <c r="N103" i="431"/>
  <c r="N59" i="431"/>
  <c r="CZ59" i="431"/>
  <c r="CU59" i="431"/>
  <c r="CW58" i="431"/>
  <c r="CU64" i="431"/>
  <c r="AM64" i="431"/>
  <c r="CA64" i="431"/>
  <c r="CS62" i="431"/>
  <c r="CJ68" i="431"/>
  <c r="CK103" i="431"/>
  <c r="CY85" i="431"/>
  <c r="DI85" i="431"/>
  <c r="DS86" i="431"/>
  <c r="DL95" i="431"/>
  <c r="Q100" i="431"/>
  <c r="BE100" i="431"/>
  <c r="BY100" i="431"/>
  <c r="FP207" i="431"/>
  <c r="BE184" i="431"/>
  <c r="BF184" i="431"/>
  <c r="BG184" i="431"/>
  <c r="BH184" i="431"/>
  <c r="BI182" i="431"/>
  <c r="BN182" i="431"/>
  <c r="DP211" i="431"/>
  <c r="DV208" i="431"/>
  <c r="DM211" i="431"/>
  <c r="DQ213" i="431"/>
  <c r="DQ285" i="431"/>
  <c r="DQ287" i="431" s="1"/>
  <c r="DO211" i="431"/>
  <c r="DN211" i="431"/>
  <c r="DQ212" i="431"/>
  <c r="BK26" i="431"/>
  <c r="CS184" i="431"/>
  <c r="CW182" i="431"/>
  <c r="CT184" i="431"/>
  <c r="CU184" i="431"/>
  <c r="CV184" i="431"/>
  <c r="DB182" i="431"/>
  <c r="CK211" i="431"/>
  <c r="CM212" i="431"/>
  <c r="CI211" i="431"/>
  <c r="CM213" i="431"/>
  <c r="CL211" i="431"/>
  <c r="CJ211" i="431"/>
  <c r="CR208" i="431"/>
  <c r="BP204" i="431"/>
  <c r="T375" i="431"/>
  <c r="BH211" i="431"/>
  <c r="BG211" i="431"/>
  <c r="BI213" i="431"/>
  <c r="EI297" i="431"/>
  <c r="T99" i="431"/>
  <c r="DL22" i="431"/>
  <c r="DG97" i="431"/>
  <c r="DQ23" i="431"/>
  <c r="L378" i="431"/>
  <c r="L376" i="431"/>
  <c r="L377" i="431"/>
  <c r="L15" i="431"/>
  <c r="BQ223" i="431"/>
  <c r="BQ140" i="431"/>
  <c r="BQ195" i="431"/>
  <c r="BQ176" i="431"/>
  <c r="BQ169" i="431"/>
  <c r="BQ202" i="431"/>
  <c r="BQ183" i="431"/>
  <c r="BQ190" i="431"/>
  <c r="BQ155" i="431"/>
  <c r="BQ210" i="431"/>
  <c r="BZ195" i="431"/>
  <c r="BZ176" i="431"/>
  <c r="BZ183" i="431"/>
  <c r="BZ202" i="431"/>
  <c r="BZ210" i="431"/>
  <c r="BZ155" i="431"/>
  <c r="BZ169" i="431"/>
  <c r="BZ140" i="431"/>
  <c r="BZ190" i="431"/>
  <c r="CP169" i="431"/>
  <c r="CP215" i="431"/>
  <c r="CP223" i="431"/>
  <c r="CP210" i="431"/>
  <c r="DM195" i="431"/>
  <c r="DM155" i="431"/>
  <c r="DM176" i="431"/>
  <c r="DM215" i="431"/>
  <c r="DR215" i="431"/>
  <c r="DU195" i="431"/>
  <c r="DU140" i="431"/>
  <c r="DU176" i="431"/>
  <c r="DU202" i="431"/>
  <c r="EE216" i="431"/>
  <c r="BS259" i="431"/>
  <c r="BS258" i="431" s="1"/>
  <c r="DV260" i="431"/>
  <c r="M380" i="431"/>
  <c r="M378" i="431"/>
  <c r="M54" i="431"/>
  <c r="M105" i="431"/>
  <c r="M171" i="431"/>
  <c r="M85" i="431"/>
  <c r="M374" i="431"/>
  <c r="M377" i="431"/>
  <c r="M379" i="431"/>
  <c r="CK15" i="431"/>
  <c r="DE64" i="431"/>
  <c r="DQ79" i="431"/>
  <c r="DV79" i="431"/>
  <c r="AB81" i="431"/>
  <c r="DI103" i="431"/>
  <c r="DN81" i="431"/>
  <c r="DW81" i="431"/>
  <c r="AG84" i="431"/>
  <c r="CL84" i="431"/>
  <c r="CP177" i="431"/>
  <c r="CO177" i="431"/>
  <c r="CW175" i="431"/>
  <c r="CR175" i="431"/>
  <c r="EE177" i="431"/>
  <c r="EC177" i="431"/>
  <c r="EB177" i="431"/>
  <c r="CP176" i="431"/>
  <c r="BR184" i="431"/>
  <c r="BP184" i="431"/>
  <c r="BS182" i="431"/>
  <c r="BQ184" i="431"/>
  <c r="BO184" i="431"/>
  <c r="BX182" i="431"/>
  <c r="DC184" i="431"/>
  <c r="DL182" i="431"/>
  <c r="DF184" i="431"/>
  <c r="DD184" i="431"/>
  <c r="EH177" i="431"/>
  <c r="DM202" i="431"/>
  <c r="CP195" i="431"/>
  <c r="CE196" i="431"/>
  <c r="CD196" i="431"/>
  <c r="DF55" i="431"/>
  <c r="V176" i="431"/>
  <c r="V140" i="431"/>
  <c r="AF202" i="431"/>
  <c r="BA195" i="431"/>
  <c r="BA223" i="431"/>
  <c r="DX99" i="431"/>
  <c r="BH183" i="431"/>
  <c r="F245" i="431"/>
  <c r="F239" i="431" s="1"/>
  <c r="C239" i="431"/>
  <c r="BP71" i="431"/>
  <c r="BP68" i="431"/>
  <c r="AW141" i="431"/>
  <c r="AY147" i="431"/>
  <c r="CI214" i="431"/>
  <c r="CM138" i="431"/>
  <c r="CI147" i="431"/>
  <c r="DO141" i="431"/>
  <c r="DM141" i="431"/>
  <c r="DN141" i="431"/>
  <c r="EA162" i="431"/>
  <c r="L210" i="431"/>
  <c r="L202" i="431"/>
  <c r="BR202" i="431"/>
  <c r="BR140" i="431"/>
  <c r="DE169" i="431"/>
  <c r="DO183" i="431"/>
  <c r="DO140" i="431"/>
  <c r="DO155" i="431"/>
  <c r="EH202" i="431"/>
  <c r="EH210" i="431"/>
  <c r="EH155" i="431"/>
  <c r="EK239" i="431"/>
  <c r="DF152" i="431"/>
  <c r="CC153" i="431"/>
  <c r="CH154" i="431" s="1"/>
  <c r="CA154" i="431"/>
  <c r="AU103" i="431"/>
  <c r="CY55" i="431"/>
  <c r="DB335" i="431"/>
  <c r="DB352" i="431"/>
  <c r="ED178" i="431"/>
  <c r="ED144" i="431"/>
  <c r="T85" i="431"/>
  <c r="S100" i="431"/>
  <c r="BT26" i="431"/>
  <c r="BW191" i="431"/>
  <c r="CB192" i="431" s="1"/>
  <c r="BW171" i="431"/>
  <c r="CB26" i="431"/>
  <c r="BW105" i="431"/>
  <c r="BW378" i="431"/>
  <c r="BW15" i="431"/>
  <c r="CG15" i="431"/>
  <c r="CG374" i="431"/>
  <c r="CG105" i="431"/>
  <c r="CG29" i="431"/>
  <c r="CG380" i="431"/>
  <c r="CG197" i="431"/>
  <c r="CG32" i="431"/>
  <c r="CG378" i="431"/>
  <c r="CG204" i="431"/>
  <c r="CG379" i="431"/>
  <c r="CG377" i="431"/>
  <c r="CG376" i="431"/>
  <c r="CG171" i="431"/>
  <c r="CQ380" i="431"/>
  <c r="CQ197" i="431"/>
  <c r="CQ379" i="431"/>
  <c r="CQ178" i="431"/>
  <c r="CQ15" i="431"/>
  <c r="CQ378" i="431"/>
  <c r="CQ185" i="431"/>
  <c r="CQ376" i="431"/>
  <c r="CQ171" i="431"/>
  <c r="CV26" i="431"/>
  <c r="DA178" i="431"/>
  <c r="DA144" i="431"/>
  <c r="DA379" i="431"/>
  <c r="DA374" i="431"/>
  <c r="DA32" i="431"/>
  <c r="DK144" i="431"/>
  <c r="DK105" i="431"/>
  <c r="DU32" i="431"/>
  <c r="DU197" i="431"/>
  <c r="DU171" i="431"/>
  <c r="DU379" i="431"/>
  <c r="DU178" i="431"/>
  <c r="DU376" i="431"/>
  <c r="DU185" i="431"/>
  <c r="DU105" i="431"/>
  <c r="EE374" i="431"/>
  <c r="EE185" i="431"/>
  <c r="EE15" i="431"/>
  <c r="EE376" i="431"/>
  <c r="EE171" i="431"/>
  <c r="EE375" i="431"/>
  <c r="EE144" i="431"/>
  <c r="EE380" i="431"/>
  <c r="EE105" i="431"/>
  <c r="EE54" i="431"/>
  <c r="CO55" i="431"/>
  <c r="CO53" i="431"/>
  <c r="G221" i="431"/>
  <c r="G136" i="431"/>
  <c r="AN54" i="431"/>
  <c r="EC86" i="431"/>
  <c r="BT176" i="431"/>
  <c r="BT210" i="431"/>
  <c r="CG140" i="431"/>
  <c r="DB79" i="431"/>
  <c r="BM169" i="431"/>
  <c r="BM140" i="431"/>
  <c r="EY243" i="431"/>
  <c r="EY242" i="431" s="1"/>
  <c r="AI140" i="431"/>
  <c r="AI176" i="431"/>
  <c r="DI185" i="431"/>
  <c r="DI204" i="431"/>
  <c r="DI379" i="431"/>
  <c r="DI105" i="431"/>
  <c r="AC139" i="431"/>
  <c r="Z138" i="431"/>
  <c r="Y141" i="431" s="1"/>
  <c r="CO210" i="431"/>
  <c r="ED169" i="431"/>
  <c r="BH54" i="431"/>
  <c r="BZ54" i="431"/>
  <c r="F200" i="431"/>
  <c r="AX18" i="431"/>
  <c r="CB54" i="431"/>
  <c r="CG148" i="431"/>
  <c r="BC18" i="431"/>
  <c r="DD46" i="431"/>
  <c r="W84" i="431"/>
  <c r="DF85" i="431"/>
  <c r="DM148" i="431"/>
  <c r="CL18" i="431"/>
  <c r="BZ148" i="431"/>
  <c r="CI164" i="431"/>
  <c r="CG68" i="431"/>
  <c r="EA345" i="431"/>
  <c r="DZ345" i="431" s="1"/>
  <c r="DZ343" i="431"/>
  <c r="EK182" i="431"/>
  <c r="BT103" i="431"/>
  <c r="DL61" i="431"/>
  <c r="Y15" i="431"/>
  <c r="Y27" i="431" s="1"/>
  <c r="Y377" i="431"/>
  <c r="Y178" i="431"/>
  <c r="Y375" i="431"/>
  <c r="Y105" i="431"/>
  <c r="Y106" i="431" s="1"/>
  <c r="Y374" i="431"/>
  <c r="Y99" i="431"/>
  <c r="Y380" i="431"/>
  <c r="Y197" i="431"/>
  <c r="Y376" i="431"/>
  <c r="Y378" i="431"/>
  <c r="Y216" i="431"/>
  <c r="Y185" i="431"/>
  <c r="Y218" i="431"/>
  <c r="Y379" i="431"/>
  <c r="Y204" i="431"/>
  <c r="Y171" i="431"/>
  <c r="FQ93" i="431"/>
  <c r="FP93" i="431"/>
  <c r="EJ63" i="431"/>
  <c r="DN68" i="431"/>
  <c r="O54" i="431"/>
  <c r="O380" i="431"/>
  <c r="O185" i="431"/>
  <c r="O379" i="431"/>
  <c r="O105" i="431"/>
  <c r="O378" i="431"/>
  <c r="O375" i="431"/>
  <c r="O178" i="431"/>
  <c r="T26" i="431"/>
  <c r="O374" i="431"/>
  <c r="O376" i="431"/>
  <c r="O171" i="431"/>
  <c r="O15" i="431"/>
  <c r="AD26" i="431"/>
  <c r="AS103" i="431"/>
  <c r="FP12" i="431"/>
  <c r="FQ12" i="431"/>
  <c r="EK147" i="431"/>
  <c r="EP148" i="431" s="1"/>
  <c r="EJ141" i="431"/>
  <c r="AS81" i="431"/>
  <c r="DR55" i="431"/>
  <c r="L64" i="431"/>
  <c r="CV64" i="431"/>
  <c r="AJ61" i="431"/>
  <c r="AO19" i="431"/>
  <c r="CR49" i="431"/>
  <c r="CN103" i="431"/>
  <c r="CN135" i="431" s="1"/>
  <c r="CN50" i="431"/>
  <c r="AM68" i="431"/>
  <c r="AD103" i="431"/>
  <c r="AD86" i="431"/>
  <c r="BR99" i="431"/>
  <c r="DP185" i="431"/>
  <c r="DR187" i="431" s="1"/>
  <c r="DP197" i="431"/>
  <c r="DP171" i="431"/>
  <c r="DP375" i="431"/>
  <c r="DP15" i="431"/>
  <c r="DP29" i="431"/>
  <c r="FP7" i="431"/>
  <c r="CK53" i="431"/>
  <c r="EG64" i="431"/>
  <c r="CV85" i="431"/>
  <c r="AP380" i="431"/>
  <c r="AP197" i="431"/>
  <c r="AP144" i="431"/>
  <c r="AX380" i="431"/>
  <c r="AX185" i="431"/>
  <c r="BC26" i="431"/>
  <c r="AX379" i="431"/>
  <c r="AX178" i="431"/>
  <c r="AX378" i="431"/>
  <c r="AX197" i="431"/>
  <c r="AX375" i="431"/>
  <c r="AX85" i="431"/>
  <c r="AX15" i="431"/>
  <c r="AX171" i="431"/>
  <c r="AX144" i="431"/>
  <c r="AX105" i="431"/>
  <c r="AX377" i="431"/>
  <c r="BQ218" i="431"/>
  <c r="DC62" i="431"/>
  <c r="DQ19" i="431"/>
  <c r="AG379" i="431"/>
  <c r="AG171" i="431"/>
  <c r="AG376" i="431"/>
  <c r="AG15" i="431"/>
  <c r="AG378" i="431"/>
  <c r="AG178" i="431"/>
  <c r="AG374" i="431"/>
  <c r="AG26" i="431"/>
  <c r="AG380" i="431"/>
  <c r="AG375" i="431"/>
  <c r="AG377" i="431"/>
  <c r="AG185" i="431"/>
  <c r="AQ376" i="431"/>
  <c r="AQ171" i="431"/>
  <c r="AQ377" i="431"/>
  <c r="AQ105" i="431"/>
  <c r="AQ378" i="431"/>
  <c r="AQ144" i="431"/>
  <c r="AQ380" i="431"/>
  <c r="AQ197" i="431"/>
  <c r="AQ198" i="431" s="1"/>
  <c r="AQ178" i="431"/>
  <c r="AQ185" i="431"/>
  <c r="AQ379" i="431"/>
  <c r="CJ375" i="431"/>
  <c r="CJ105" i="431"/>
  <c r="CJ85" i="431"/>
  <c r="CJ26" i="431"/>
  <c r="CJ374" i="431"/>
  <c r="CJ204" i="431"/>
  <c r="CJ378" i="431"/>
  <c r="CJ197" i="431"/>
  <c r="CJ198" i="431" s="1"/>
  <c r="CT376" i="431"/>
  <c r="CT204" i="431"/>
  <c r="CT144" i="431"/>
  <c r="CT380" i="431"/>
  <c r="CT185" i="431"/>
  <c r="CT377" i="431"/>
  <c r="CT197" i="431"/>
  <c r="CT15" i="431"/>
  <c r="CT27" i="431" s="1"/>
  <c r="CT29" i="431"/>
  <c r="CT126" i="431" s="1"/>
  <c r="CT171" i="431"/>
  <c r="CT105" i="431"/>
  <c r="CT378" i="431"/>
  <c r="CT32" i="431"/>
  <c r="CT99" i="431"/>
  <c r="DM105" i="431"/>
  <c r="DM26" i="431"/>
  <c r="DM380" i="431"/>
  <c r="DM32" i="431"/>
  <c r="DM377" i="431"/>
  <c r="CG103" i="431"/>
  <c r="CZ86" i="431"/>
  <c r="CK177" i="431"/>
  <c r="CI177" i="431"/>
  <c r="CJ177" i="431"/>
  <c r="Q105" i="431"/>
  <c r="AI379" i="431"/>
  <c r="AI378" i="431"/>
  <c r="AI204" i="431"/>
  <c r="AU62" i="431"/>
  <c r="BX61" i="431"/>
  <c r="CO379" i="431"/>
  <c r="CO197" i="431"/>
  <c r="CO26" i="431"/>
  <c r="CO378" i="431"/>
  <c r="CO171" i="431"/>
  <c r="CO32" i="431"/>
  <c r="CO377" i="431"/>
  <c r="CO185" i="431"/>
  <c r="CO29" i="431"/>
  <c r="CO376" i="431"/>
  <c r="CO105" i="431"/>
  <c r="CO374" i="431"/>
  <c r="CO144" i="431"/>
  <c r="CO375" i="431"/>
  <c r="BU55" i="431"/>
  <c r="CP140" i="431"/>
  <c r="CP183" i="431"/>
  <c r="CP155" i="431"/>
  <c r="DC176" i="431"/>
  <c r="DC169" i="431"/>
  <c r="DC195" i="431"/>
  <c r="DC140" i="431"/>
  <c r="DC183" i="431"/>
  <c r="DC155" i="431"/>
  <c r="DK215" i="431"/>
  <c r="DK169" i="431"/>
  <c r="DK155" i="431"/>
  <c r="BO204" i="431"/>
  <c r="BO178" i="431"/>
  <c r="EC178" i="431"/>
  <c r="AV55" i="431"/>
  <c r="AV54" i="431"/>
  <c r="DA68" i="431"/>
  <c r="AU68" i="431"/>
  <c r="BL68" i="431"/>
  <c r="BF379" i="431"/>
  <c r="BF191" i="431"/>
  <c r="BF378" i="431"/>
  <c r="BF178" i="431"/>
  <c r="BF377" i="431"/>
  <c r="BF197" i="431"/>
  <c r="BK198" i="431" s="1"/>
  <c r="BF375" i="431"/>
  <c r="BW204" i="431"/>
  <c r="BW380" i="431"/>
  <c r="BW197" i="431"/>
  <c r="BW379" i="431"/>
  <c r="BW178" i="431"/>
  <c r="BW377" i="431"/>
  <c r="BW185" i="431"/>
  <c r="BR68" i="431"/>
  <c r="AV71" i="431"/>
  <c r="CF176" i="431"/>
  <c r="CF169" i="431"/>
  <c r="CF210" i="431"/>
  <c r="CF202" i="431"/>
  <c r="CF140" i="431"/>
  <c r="CF155" i="431"/>
  <c r="DG59" i="431"/>
  <c r="AA84" i="431"/>
  <c r="M182" i="431"/>
  <c r="M185" i="431"/>
  <c r="BK210" i="431"/>
  <c r="CB223" i="431"/>
  <c r="CB176" i="431"/>
  <c r="CB169" i="431"/>
  <c r="CB190" i="431"/>
  <c r="CB140" i="431"/>
  <c r="CB155" i="431"/>
  <c r="CU183" i="431"/>
  <c r="CU195" i="431"/>
  <c r="CU169" i="431"/>
  <c r="CU155" i="431"/>
  <c r="CU202" i="431"/>
  <c r="CU176" i="431"/>
  <c r="CM272" i="431"/>
  <c r="DU15" i="431"/>
  <c r="DZ27" i="431" s="1"/>
  <c r="DU378" i="431"/>
  <c r="DU375" i="431"/>
  <c r="DU374" i="431"/>
  <c r="DH68" i="431"/>
  <c r="CJ84" i="431"/>
  <c r="AK195" i="431"/>
  <c r="AK176" i="431"/>
  <c r="AK169" i="431"/>
  <c r="BO155" i="431"/>
  <c r="BO183" i="431"/>
  <c r="BO140" i="431"/>
  <c r="BO195" i="431"/>
  <c r="M15" i="431"/>
  <c r="M376" i="431"/>
  <c r="CS71" i="431"/>
  <c r="AI100" i="431"/>
  <c r="EB148" i="431"/>
  <c r="CZ151" i="431"/>
  <c r="F174" i="431"/>
  <c r="BN189" i="431"/>
  <c r="CG169" i="431"/>
  <c r="CG155" i="431"/>
  <c r="CG183" i="431"/>
  <c r="CX183" i="431"/>
  <c r="CX210" i="431"/>
  <c r="DE140" i="431"/>
  <c r="DE195" i="431"/>
  <c r="DE176" i="431"/>
  <c r="DE155" i="431"/>
  <c r="EH140" i="431"/>
  <c r="EH176" i="431"/>
  <c r="EH169" i="431"/>
  <c r="DV243" i="431"/>
  <c r="DV242" i="431" s="1"/>
  <c r="DV354" i="431"/>
  <c r="AD18" i="431"/>
  <c r="DZ18" i="431"/>
  <c r="BD75" i="431"/>
  <c r="DA164" i="431"/>
  <c r="AD223" i="431"/>
  <c r="AD183" i="431"/>
  <c r="BU202" i="431"/>
  <c r="BU183" i="431"/>
  <c r="BU176" i="431"/>
  <c r="CK169" i="431"/>
  <c r="CK140" i="431"/>
  <c r="DH223" i="431"/>
  <c r="DH176" i="431"/>
  <c r="DH183" i="431"/>
  <c r="DP140" i="431"/>
  <c r="DP169" i="431"/>
  <c r="FP249" i="431"/>
  <c r="CQ18" i="431"/>
  <c r="DV38" i="431"/>
  <c r="BL148" i="431"/>
  <c r="DD151" i="431"/>
  <c r="DG154" i="431"/>
  <c r="BP169" i="431"/>
  <c r="BP155" i="431"/>
  <c r="BV210" i="431"/>
  <c r="BV195" i="431"/>
  <c r="EB155" i="431"/>
  <c r="EB176" i="431"/>
  <c r="EB183" i="431"/>
  <c r="DS26" i="431"/>
  <c r="S59" i="431"/>
  <c r="AQ155" i="431"/>
  <c r="BH195" i="431"/>
  <c r="BH155" i="431"/>
  <c r="BH176" i="431"/>
  <c r="BY195" i="431"/>
  <c r="BY223" i="431"/>
  <c r="DA155" i="431"/>
  <c r="EC140" i="431"/>
  <c r="EC195" i="431"/>
  <c r="CC150" i="431"/>
  <c r="CW242" i="431"/>
  <c r="CI150" i="431"/>
  <c r="AO154" i="431"/>
  <c r="CU164" i="431"/>
  <c r="DX164" i="431"/>
  <c r="AF170" i="431"/>
  <c r="AP177" i="431"/>
  <c r="CL196" i="431"/>
  <c r="BM223" i="431"/>
  <c r="AT239" i="431"/>
  <c r="CV242" i="431"/>
  <c r="CH354" i="431"/>
  <c r="AP148" i="431"/>
  <c r="F153" i="431"/>
  <c r="DQ239" i="431"/>
  <c r="BO151" i="431"/>
  <c r="Y168" i="431"/>
  <c r="T171" i="431"/>
  <c r="T168" i="431"/>
  <c r="U167" i="431"/>
  <c r="T170" i="431" s="1"/>
  <c r="Y64" i="431"/>
  <c r="Y62" i="431"/>
  <c r="AT143" i="431"/>
  <c r="AT150" i="431"/>
  <c r="AT147" i="431"/>
  <c r="BZ164" i="431"/>
  <c r="BK152" i="431"/>
  <c r="DR120" i="431"/>
  <c r="CC13" i="434" s="1"/>
  <c r="ED164" i="431"/>
  <c r="DR148" i="431"/>
  <c r="DW148" i="431"/>
  <c r="BY151" i="431"/>
  <c r="BT151" i="431"/>
  <c r="AB55" i="431"/>
  <c r="AB54" i="431"/>
  <c r="Q62" i="431"/>
  <c r="V62" i="431"/>
  <c r="DG159" i="431"/>
  <c r="DG156" i="431" s="1"/>
  <c r="DG165" i="431" s="1"/>
  <c r="DG166" i="431" s="1"/>
  <c r="EG164" i="431"/>
  <c r="DJ120" i="431"/>
  <c r="BU13" i="434" s="1"/>
  <c r="DR334" i="431"/>
  <c r="CD71" i="431"/>
  <c r="DX68" i="431"/>
  <c r="DX71" i="431"/>
  <c r="CE152" i="431"/>
  <c r="CE151" i="431"/>
  <c r="R379" i="431"/>
  <c r="R105" i="431"/>
  <c r="R378" i="431"/>
  <c r="R375" i="431"/>
  <c r="R204" i="431"/>
  <c r="R178" i="431"/>
  <c r="DY105" i="431"/>
  <c r="DB162" i="431"/>
  <c r="DM53" i="431"/>
  <c r="T59" i="431"/>
  <c r="O103" i="431"/>
  <c r="O59" i="431"/>
  <c r="AY59" i="431"/>
  <c r="CU55" i="431"/>
  <c r="Q84" i="431"/>
  <c r="BK99" i="431"/>
  <c r="CE147" i="431"/>
  <c r="CJ148" i="431" s="1"/>
  <c r="CE139" i="431"/>
  <c r="CH138" i="431"/>
  <c r="CF141" i="431" s="1"/>
  <c r="CJ139" i="431"/>
  <c r="P61" i="431"/>
  <c r="CS375" i="431"/>
  <c r="CS380" i="431"/>
  <c r="CS14" i="431"/>
  <c r="CS85" i="431"/>
  <c r="DK375" i="431"/>
  <c r="DK171" i="431"/>
  <c r="DK29" i="431"/>
  <c r="DK26" i="431"/>
  <c r="DK204" i="431"/>
  <c r="DK63" i="431"/>
  <c r="DK380" i="431"/>
  <c r="DK197" i="431"/>
  <c r="DK378" i="431"/>
  <c r="DK185" i="431"/>
  <c r="DP26" i="431"/>
  <c r="DK374" i="431"/>
  <c r="DK32" i="431"/>
  <c r="DK178" i="431"/>
  <c r="DK376" i="431"/>
  <c r="DK216" i="431"/>
  <c r="DK379" i="431"/>
  <c r="DK15" i="431"/>
  <c r="DK377" i="431"/>
  <c r="L141" i="431"/>
  <c r="AN63" i="431"/>
  <c r="AN379" i="431"/>
  <c r="AN376" i="431"/>
  <c r="AN171" i="431"/>
  <c r="AN85" i="431"/>
  <c r="AN375" i="431"/>
  <c r="AN178" i="431"/>
  <c r="AN204" i="431"/>
  <c r="AN144" i="431"/>
  <c r="AN374" i="431"/>
  <c r="AN185" i="431"/>
  <c r="AN26" i="431"/>
  <c r="AN377" i="431"/>
  <c r="CD105" i="431"/>
  <c r="EB62" i="431"/>
  <c r="CD152" i="431"/>
  <c r="CG151" i="431"/>
  <c r="J194" i="431"/>
  <c r="AS196" i="431"/>
  <c r="AR196" i="431"/>
  <c r="AN55" i="431"/>
  <c r="CY103" i="431"/>
  <c r="CY120" i="431" s="1"/>
  <c r="BJ13" i="434" s="1"/>
  <c r="AI375" i="431"/>
  <c r="AI185" i="431"/>
  <c r="AI374" i="431"/>
  <c r="AI105" i="431"/>
  <c r="AI106" i="431" s="1"/>
  <c r="AI376" i="431"/>
  <c r="AI15" i="431"/>
  <c r="AI380" i="431"/>
  <c r="AI197" i="431"/>
  <c r="AN198" i="431" s="1"/>
  <c r="DC55" i="431"/>
  <c r="EI64" i="431"/>
  <c r="CX139" i="431"/>
  <c r="BP55" i="431"/>
  <c r="BP54" i="431"/>
  <c r="AF64" i="431"/>
  <c r="BC62" i="431"/>
  <c r="BC64" i="431"/>
  <c r="DY45" i="431"/>
  <c r="EC68" i="431"/>
  <c r="BS70" i="431"/>
  <c r="AN68" i="431"/>
  <c r="DK18" i="431"/>
  <c r="Q380" i="431"/>
  <c r="Q14" i="431"/>
  <c r="Q178" i="431"/>
  <c r="T64" i="431"/>
  <c r="BO18" i="431"/>
  <c r="T54" i="431"/>
  <c r="Y26" i="431"/>
  <c r="P58" i="431"/>
  <c r="DX169" i="431"/>
  <c r="DX140" i="431"/>
  <c r="DX155" i="431"/>
  <c r="V378" i="431"/>
  <c r="EG144" i="431"/>
  <c r="EG185" i="431"/>
  <c r="CQ68" i="431"/>
  <c r="CQ71" i="431"/>
  <c r="DB115" i="431"/>
  <c r="DB116" i="431" s="1"/>
  <c r="DY183" i="431"/>
  <c r="DY169" i="431"/>
  <c r="DY140" i="431"/>
  <c r="DY176" i="431"/>
  <c r="DY155" i="431"/>
  <c r="AG68" i="431"/>
  <c r="DW103" i="431"/>
  <c r="S86" i="431"/>
  <c r="EE140" i="431"/>
  <c r="EE210" i="431"/>
  <c r="ED243" i="431"/>
  <c r="ED242" i="431" s="1"/>
  <c r="AF140" i="431"/>
  <c r="BG176" i="431"/>
  <c r="BG169" i="431"/>
  <c r="BG140" i="431"/>
  <c r="BG155" i="431"/>
  <c r="EI202" i="431"/>
  <c r="EI176" i="431"/>
  <c r="EI210" i="431"/>
  <c r="S53" i="431"/>
  <c r="CV169" i="431"/>
  <c r="CV140" i="431"/>
  <c r="CV195" i="431"/>
  <c r="CV155" i="431"/>
  <c r="DJ183" i="431"/>
  <c r="DJ169" i="431"/>
  <c r="DJ195" i="431"/>
  <c r="DJ155" i="431"/>
  <c r="DJ140" i="431"/>
  <c r="BN59" i="431"/>
  <c r="CC147" i="431"/>
  <c r="DP148" i="431"/>
  <c r="DH81" i="431"/>
  <c r="DZ115" i="431"/>
  <c r="W139" i="431"/>
  <c r="U153" i="431"/>
  <c r="CJ195" i="431"/>
  <c r="DS169" i="431"/>
  <c r="DS215" i="431"/>
  <c r="CL242" i="431"/>
  <c r="CM243" i="431"/>
  <c r="CM242" i="431" s="1"/>
  <c r="AK155" i="431"/>
  <c r="AK202" i="431"/>
  <c r="BY190" i="431"/>
  <c r="BY210" i="431"/>
  <c r="BY140" i="431"/>
  <c r="BY176" i="431"/>
  <c r="BY169" i="431"/>
  <c r="BY155" i="431"/>
  <c r="BY202" i="431"/>
  <c r="CK202" i="431"/>
  <c r="CK195" i="431"/>
  <c r="CK155" i="431"/>
  <c r="CK210" i="431"/>
  <c r="AT139" i="431"/>
  <c r="AZ147" i="431"/>
  <c r="AZ148" i="431" s="1"/>
  <c r="AC223" i="431"/>
  <c r="AC176" i="431"/>
  <c r="BR210" i="431"/>
  <c r="BR176" i="431"/>
  <c r="BR183" i="431"/>
  <c r="BR195" i="431"/>
  <c r="BR190" i="431"/>
  <c r="X214" i="431"/>
  <c r="X140" i="431" s="1"/>
  <c r="J182" i="431"/>
  <c r="V210" i="431"/>
  <c r="V202" i="431"/>
  <c r="V169" i="431"/>
  <c r="BH267" i="431"/>
  <c r="BH258" i="431"/>
  <c r="W183" i="431"/>
  <c r="W202" i="431"/>
  <c r="W176" i="431"/>
  <c r="AD176" i="431"/>
  <c r="AD169" i="431"/>
  <c r="BF210" i="431"/>
  <c r="DW195" i="431"/>
  <c r="DW202" i="431"/>
  <c r="DW176" i="431"/>
  <c r="DW169" i="431"/>
  <c r="DW210" i="431"/>
  <c r="DW183" i="431"/>
  <c r="EF354" i="431"/>
  <c r="AA215" i="431"/>
  <c r="AX183" i="431"/>
  <c r="BH202" i="431"/>
  <c r="BH190" i="431"/>
  <c r="BH210" i="431"/>
  <c r="BH169" i="431"/>
  <c r="DZ210" i="431"/>
  <c r="DZ195" i="431"/>
  <c r="EF345" i="431"/>
  <c r="EE345" i="431" s="1"/>
  <c r="EC196" i="431"/>
  <c r="CE267" i="431"/>
  <c r="M30" i="453"/>
  <c r="M89" i="453"/>
  <c r="L91" i="453"/>
  <c r="D9" i="435"/>
  <c r="A21" i="435"/>
  <c r="D21" i="435" s="1"/>
  <c r="A12" i="435"/>
  <c r="M37" i="451"/>
  <c r="M42" i="451" s="1"/>
  <c r="A441" i="435"/>
  <c r="A493" i="435" s="1"/>
  <c r="A545" i="435" s="1"/>
  <c r="A53" i="435"/>
  <c r="A316" i="435"/>
  <c r="M12" i="451"/>
  <c r="M38" i="451"/>
  <c r="N11" i="451"/>
  <c r="A388" i="435"/>
  <c r="A440" i="435" s="1"/>
  <c r="A492" i="435" s="1"/>
  <c r="A544" i="435" s="1"/>
  <c r="A252" i="435"/>
  <c r="DH120" i="431"/>
  <c r="BS13" i="434" s="1"/>
  <c r="A391" i="435"/>
  <c r="A325" i="435"/>
  <c r="A345" i="435"/>
  <c r="A397" i="435" s="1"/>
  <c r="A449" i="435" s="1"/>
  <c r="A501" i="435" s="1"/>
  <c r="A553" i="435" s="1"/>
  <c r="A349" i="435"/>
  <c r="A401" i="435" s="1"/>
  <c r="A453" i="435" s="1"/>
  <c r="A505" i="435" s="1"/>
  <c r="CE198" i="431"/>
  <c r="A412" i="435"/>
  <c r="A464" i="435" s="1"/>
  <c r="A516" i="435" s="1"/>
  <c r="A370" i="435"/>
  <c r="A324" i="435"/>
  <c r="A376" i="435" s="1"/>
  <c r="A357" i="435"/>
  <c r="A409" i="435" s="1"/>
  <c r="A461" i="435" s="1"/>
  <c r="A513" i="435" s="1"/>
  <c r="P33" i="451"/>
  <c r="A321" i="435"/>
  <c r="A346" i="435"/>
  <c r="ET55" i="431"/>
  <c r="ET57" i="431" s="1"/>
  <c r="DT302" i="431"/>
  <c r="DU302" i="431" s="1"/>
  <c r="BP198" i="431"/>
  <c r="DB59" i="431"/>
  <c r="DD56" i="431"/>
  <c r="DI120" i="431"/>
  <c r="BT13" i="434" s="1"/>
  <c r="CK120" i="431"/>
  <c r="AV13" i="434" s="1"/>
  <c r="AS135" i="431"/>
  <c r="AS96" i="431" s="1"/>
  <c r="CT205" i="431"/>
  <c r="ET64" i="431"/>
  <c r="ET66" i="431" s="1"/>
  <c r="Y205" i="431"/>
  <c r="ED46" i="431"/>
  <c r="DY82" i="431"/>
  <c r="D12" i="435"/>
  <c r="A24" i="435"/>
  <c r="A36" i="435" s="1"/>
  <c r="A33" i="435"/>
  <c r="A45" i="435" s="1"/>
  <c r="A398" i="435"/>
  <c r="A450" i="435" s="1"/>
  <c r="A502" i="435" s="1"/>
  <c r="A554" i="435" s="1"/>
  <c r="A422" i="435"/>
  <c r="A474" i="435" s="1"/>
  <c r="A526" i="435" s="1"/>
  <c r="A377" i="435"/>
  <c r="A429" i="435" s="1"/>
  <c r="A481" i="435" s="1"/>
  <c r="A533" i="435" s="1"/>
  <c r="A432" i="435"/>
  <c r="A484" i="435" s="1"/>
  <c r="A536" i="435" s="1"/>
  <c r="A368" i="435"/>
  <c r="A304" i="435"/>
  <c r="A356" i="435" s="1"/>
  <c r="A386" i="435"/>
  <c r="A392" i="435"/>
  <c r="A444" i="435" s="1"/>
  <c r="A496" i="435" s="1"/>
  <c r="A548" i="435" s="1"/>
  <c r="A372" i="435"/>
  <c r="A411" i="435"/>
  <c r="A463" i="435" s="1"/>
  <c r="A515" i="435" s="1"/>
  <c r="A373" i="435"/>
  <c r="A425" i="435" s="1"/>
  <c r="A400" i="435"/>
  <c r="A452" i="435" s="1"/>
  <c r="A504" i="435" s="1"/>
  <c r="N12" i="451"/>
  <c r="O11" i="451"/>
  <c r="D33" i="435"/>
  <c r="D24" i="435"/>
  <c r="A420" i="435"/>
  <c r="A428" i="435"/>
  <c r="P11" i="451"/>
  <c r="P12" i="451"/>
  <c r="O12" i="451"/>
  <c r="EJ196" i="431"/>
  <c r="EH196" i="431"/>
  <c r="EI196" i="431"/>
  <c r="H51" i="453"/>
  <c r="EL209" i="431"/>
  <c r="CY127" i="431"/>
  <c r="CH194" i="431"/>
  <c r="DX135" i="431"/>
  <c r="EE64" i="431"/>
  <c r="DQ75" i="431"/>
  <c r="BQ103" i="431"/>
  <c r="BQ86" i="431"/>
  <c r="DP103" i="431"/>
  <c r="DP120" i="431" s="1"/>
  <c r="CA13" i="434" s="1"/>
  <c r="DS103" i="431"/>
  <c r="DS81" i="431"/>
  <c r="DU81" i="431"/>
  <c r="EC103" i="431"/>
  <c r="EC135" i="431" s="1"/>
  <c r="EC82" i="431" s="1"/>
  <c r="EH103" i="431"/>
  <c r="CV84" i="431"/>
  <c r="AB98" i="431"/>
  <c r="CA100" i="431"/>
  <c r="AE147" i="431"/>
  <c r="AU141" i="431"/>
  <c r="CZ141" i="431"/>
  <c r="DA141" i="431"/>
  <c r="CX141" i="431"/>
  <c r="CW143" i="431"/>
  <c r="DB143" i="431"/>
  <c r="DH148" i="431"/>
  <c r="AV148" i="431"/>
  <c r="BV148" i="431"/>
  <c r="AW151" i="431"/>
  <c r="BC152" i="431"/>
  <c r="BH151" i="431"/>
  <c r="DK152" i="431"/>
  <c r="DM152" i="431"/>
  <c r="DS151" i="431"/>
  <c r="EB152" i="431"/>
  <c r="EG151" i="431"/>
  <c r="EE151" i="431"/>
  <c r="AH170" i="431"/>
  <c r="AJ168" i="431"/>
  <c r="AO168" i="431"/>
  <c r="DV272" i="431"/>
  <c r="DQ272" i="431"/>
  <c r="DT292" i="431"/>
  <c r="DQ309" i="431"/>
  <c r="DQ311" i="431" s="1"/>
  <c r="EJ171" i="431"/>
  <c r="EO172" i="431" s="1"/>
  <c r="EJ54" i="431"/>
  <c r="EJ144" i="431"/>
  <c r="EO145" i="431" s="1"/>
  <c r="EJ197" i="431"/>
  <c r="EO198" i="431" s="1"/>
  <c r="DQ115" i="431"/>
  <c r="DQ116" i="431" s="1"/>
  <c r="CB11" i="434" s="1"/>
  <c r="EI211" i="431"/>
  <c r="EK212" i="431"/>
  <c r="O81" i="431"/>
  <c r="AN18" i="431"/>
  <c r="BH18" i="431"/>
  <c r="CG18" i="431"/>
  <c r="DP18" i="431"/>
  <c r="AE97" i="431"/>
  <c r="CW97" i="431"/>
  <c r="DG61" i="431"/>
  <c r="V216" i="431"/>
  <c r="AP218" i="431"/>
  <c r="BE204" i="431"/>
  <c r="BE105" i="431"/>
  <c r="BJ379" i="431"/>
  <c r="BJ178" i="431"/>
  <c r="BL15" i="431"/>
  <c r="BT375" i="431"/>
  <c r="BT144" i="431"/>
  <c r="BT54" i="431"/>
  <c r="CN197" i="431"/>
  <c r="CX197" i="431"/>
  <c r="CY199" i="431" s="1"/>
  <c r="DE15" i="431"/>
  <c r="DP376" i="431"/>
  <c r="DP204" i="431"/>
  <c r="DS378" i="431"/>
  <c r="DS377" i="431"/>
  <c r="DZ380" i="431"/>
  <c r="DZ204" i="431"/>
  <c r="DZ205" i="431" s="1"/>
  <c r="DZ178" i="431"/>
  <c r="DZ197" i="431"/>
  <c r="DZ171" i="431"/>
  <c r="DZ374" i="431"/>
  <c r="DZ29" i="431"/>
  <c r="DZ144" i="431"/>
  <c r="DZ145" i="431" s="1"/>
  <c r="DZ375" i="431"/>
  <c r="EH380" i="431"/>
  <c r="EH379" i="431"/>
  <c r="EH185" i="431"/>
  <c r="EH216" i="431"/>
  <c r="EH218" i="431"/>
  <c r="EH99" i="431"/>
  <c r="EH374" i="431"/>
  <c r="DR36" i="431"/>
  <c r="DR45" i="431"/>
  <c r="CC162" i="431"/>
  <c r="DG36" i="431"/>
  <c r="CY46" i="431"/>
  <c r="AF55" i="431"/>
  <c r="AP55" i="431"/>
  <c r="DN55" i="431"/>
  <c r="DN57" i="431" s="1"/>
  <c r="DN53" i="431"/>
  <c r="DU55" i="431"/>
  <c r="DU57" i="431" s="1"/>
  <c r="DU53" i="431"/>
  <c r="BA374" i="431"/>
  <c r="BA375" i="431"/>
  <c r="EE36" i="431"/>
  <c r="AX55" i="431"/>
  <c r="CA148" i="431"/>
  <c r="CM154" i="431"/>
  <c r="DV154" i="431"/>
  <c r="CG164" i="431"/>
  <c r="CY26" i="431"/>
  <c r="AO59" i="431"/>
  <c r="U133" i="431"/>
  <c r="AX151" i="431"/>
  <c r="BU151" i="431"/>
  <c r="DU164" i="431"/>
  <c r="AE168" i="431"/>
  <c r="CW168" i="431"/>
  <c r="DF183" i="431"/>
  <c r="DF210" i="431"/>
  <c r="DZ202" i="431"/>
  <c r="DZ169" i="431"/>
  <c r="CH239" i="431"/>
  <c r="BI239" i="431"/>
  <c r="EC243" i="431"/>
  <c r="EC242" i="431" s="1"/>
  <c r="BN354" i="431"/>
  <c r="S56" i="431"/>
  <c r="EJ148" i="431"/>
  <c r="DK55" i="431"/>
  <c r="EF239" i="431"/>
  <c r="DG260" i="431"/>
  <c r="DS135" i="431"/>
  <c r="J3" i="453"/>
  <c r="D51" i="453" l="1"/>
  <c r="CU18" i="431"/>
  <c r="DR18" i="431"/>
  <c r="L204" i="431"/>
  <c r="L185" i="431"/>
  <c r="L197" i="431"/>
  <c r="L375" i="431"/>
  <c r="L178" i="431"/>
  <c r="L85" i="431"/>
  <c r="L105" i="431"/>
  <c r="Q378" i="431"/>
  <c r="Q171" i="431"/>
  <c r="Q204" i="431"/>
  <c r="Q379" i="431"/>
  <c r="Q197" i="431"/>
  <c r="Q376" i="431"/>
  <c r="Q377" i="431"/>
  <c r="Q374" i="431"/>
  <c r="V380" i="431"/>
  <c r="V376" i="431"/>
  <c r="V374" i="431"/>
  <c r="V197" i="431"/>
  <c r="AP375" i="431"/>
  <c r="AP105" i="431"/>
  <c r="AP14" i="431"/>
  <c r="AP204" i="431"/>
  <c r="AP185" i="431"/>
  <c r="AQ187" i="431" s="1"/>
  <c r="AP377" i="431"/>
  <c r="AP178" i="431"/>
  <c r="AP171" i="431"/>
  <c r="AP172" i="431" s="1"/>
  <c r="AP378" i="431"/>
  <c r="AP376" i="431"/>
  <c r="AQ14" i="431"/>
  <c r="AU377" i="431"/>
  <c r="AU378" i="431"/>
  <c r="AU26" i="431"/>
  <c r="AZ185" i="431"/>
  <c r="AZ187" i="431" s="1"/>
  <c r="AZ26" i="431"/>
  <c r="BE374" i="431"/>
  <c r="BE99" i="431"/>
  <c r="BE144" i="431"/>
  <c r="BF146" i="431" s="1"/>
  <c r="BE14" i="431"/>
  <c r="BE26" i="431"/>
  <c r="BE185" i="431"/>
  <c r="BE15" i="431"/>
  <c r="BE178" i="431"/>
  <c r="BJ378" i="431"/>
  <c r="BJ105" i="431"/>
  <c r="BJ185" i="431"/>
  <c r="BJ171" i="431"/>
  <c r="BJ374" i="431"/>
  <c r="BO105" i="431"/>
  <c r="BO171" i="431"/>
  <c r="BO380" i="431"/>
  <c r="BO378" i="431"/>
  <c r="BO85" i="431"/>
  <c r="BO26" i="431"/>
  <c r="BQ379" i="431"/>
  <c r="BQ375" i="431"/>
  <c r="BT178" i="431"/>
  <c r="BT376" i="431"/>
  <c r="BT191" i="431"/>
  <c r="BT171" i="431"/>
  <c r="BT14" i="431"/>
  <c r="BU14" i="431"/>
  <c r="BY185" i="431"/>
  <c r="BY178" i="431"/>
  <c r="BY204" i="431"/>
  <c r="BY380" i="431"/>
  <c r="BY376" i="431"/>
  <c r="BY15" i="431"/>
  <c r="CD378" i="431"/>
  <c r="CD178" i="431"/>
  <c r="CD180" i="431" s="1"/>
  <c r="CI375" i="431"/>
  <c r="CI171" i="431"/>
  <c r="CJ173" i="431" s="1"/>
  <c r="CI99" i="431"/>
  <c r="CI178" i="431"/>
  <c r="CI180" i="431" s="1"/>
  <c r="CI85" i="431"/>
  <c r="CI32" i="431"/>
  <c r="CI105" i="431"/>
  <c r="CP204" i="431"/>
  <c r="CP99" i="431"/>
  <c r="CS204" i="431"/>
  <c r="CS379" i="431"/>
  <c r="CS377" i="431"/>
  <c r="CS15" i="431"/>
  <c r="CS144" i="431"/>
  <c r="CS99" i="431"/>
  <c r="CS171" i="431"/>
  <c r="CX172" i="431" s="1"/>
  <c r="CS178" i="431"/>
  <c r="CT180" i="431" s="1"/>
  <c r="CS29" i="431"/>
  <c r="CS374" i="431"/>
  <c r="CT14" i="431"/>
  <c r="CU379" i="431"/>
  <c r="CV14" i="431"/>
  <c r="CX204" i="431"/>
  <c r="CX15" i="431"/>
  <c r="DC27" i="431" s="1"/>
  <c r="CX14" i="431"/>
  <c r="CX178" i="431"/>
  <c r="CX171" i="431"/>
  <c r="DC204" i="431"/>
  <c r="DC15" i="431"/>
  <c r="DC85" i="431"/>
  <c r="DC374" i="431"/>
  <c r="DC99" i="431"/>
  <c r="DD14" i="431"/>
  <c r="DC63" i="431"/>
  <c r="DC377" i="431"/>
  <c r="DC375" i="431"/>
  <c r="DE185" i="431"/>
  <c r="DE171" i="431"/>
  <c r="DE216" i="431"/>
  <c r="DH216" i="431"/>
  <c r="DH144" i="431"/>
  <c r="DI14" i="431"/>
  <c r="DM216" i="431"/>
  <c r="DM375" i="431"/>
  <c r="DM374" i="431"/>
  <c r="DM218" i="431"/>
  <c r="DM171" i="431"/>
  <c r="DM85" i="431"/>
  <c r="DM185" i="431"/>
  <c r="DM378" i="431"/>
  <c r="DM15" i="431"/>
  <c r="DM379" i="431"/>
  <c r="DN14" i="431"/>
  <c r="DM14" i="431"/>
  <c r="DY32" i="431"/>
  <c r="DY380" i="431"/>
  <c r="ED105" i="431"/>
  <c r="ED204" i="431"/>
  <c r="ED205" i="431" s="1"/>
  <c r="ED171" i="431"/>
  <c r="ED375" i="431"/>
  <c r="EG32" i="431"/>
  <c r="EG178" i="431"/>
  <c r="EG376" i="431"/>
  <c r="EG374" i="431"/>
  <c r="EG216" i="431"/>
  <c r="EG378" i="431"/>
  <c r="EG29" i="431"/>
  <c r="DU29" i="431"/>
  <c r="DU126" i="431" s="1"/>
  <c r="DU45" i="431"/>
  <c r="DZ46" i="431" s="1"/>
  <c r="EH36" i="431"/>
  <c r="EF35" i="431"/>
  <c r="EF45" i="431" s="1"/>
  <c r="EC45" i="431"/>
  <c r="EH46" i="431" s="1"/>
  <c r="EE45" i="431"/>
  <c r="EJ46" i="431" s="1"/>
  <c r="EE29" i="431"/>
  <c r="EE126" i="431" s="1"/>
  <c r="DB44" i="431"/>
  <c r="CW44" i="431"/>
  <c r="DO46" i="431"/>
  <c r="U50" i="431"/>
  <c r="P50" i="431"/>
  <c r="V55" i="431"/>
  <c r="V54" i="431"/>
  <c r="AF54" i="431"/>
  <c r="AU54" i="431"/>
  <c r="CF55" i="431"/>
  <c r="CF56" i="431" s="1"/>
  <c r="CF53" i="431"/>
  <c r="DC54" i="431"/>
  <c r="DH55" i="431"/>
  <c r="DH53" i="431"/>
  <c r="DY56" i="431"/>
  <c r="CD55" i="431"/>
  <c r="CD54" i="431"/>
  <c r="T62" i="431"/>
  <c r="T63" i="431"/>
  <c r="AD62" i="431"/>
  <c r="BH62" i="431"/>
  <c r="CQ64" i="431"/>
  <c r="CQ63" i="431"/>
  <c r="CV62" i="431"/>
  <c r="DA63" i="431"/>
  <c r="DA62" i="431"/>
  <c r="DA64" i="431"/>
  <c r="DU62" i="431"/>
  <c r="BT69" i="431"/>
  <c r="BY68" i="431"/>
  <c r="CD69" i="431" s="1"/>
  <c r="BY71" i="431"/>
  <c r="CI69" i="431"/>
  <c r="CI68" i="431"/>
  <c r="CI71" i="431"/>
  <c r="CN69" i="431"/>
  <c r="DM68" i="431"/>
  <c r="DR69" i="431" s="1"/>
  <c r="DM71" i="431"/>
  <c r="AL68" i="431"/>
  <c r="AL71" i="431"/>
  <c r="AQ68" i="431"/>
  <c r="AQ71" i="431"/>
  <c r="BA68" i="431"/>
  <c r="BA71" i="431"/>
  <c r="BK68" i="431"/>
  <c r="BP69" i="431" s="1"/>
  <c r="BK71" i="431"/>
  <c r="AO77" i="431"/>
  <c r="BS77" i="431"/>
  <c r="CH77" i="431"/>
  <c r="CM77" i="431"/>
  <c r="DL77" i="431"/>
  <c r="EA77" i="431"/>
  <c r="T103" i="431"/>
  <c r="T135" i="431" s="1"/>
  <c r="T134" i="431" s="1"/>
  <c r="T86" i="431"/>
  <c r="AD81" i="431"/>
  <c r="AX81" i="431"/>
  <c r="BK81" i="431"/>
  <c r="BU103" i="431"/>
  <c r="BU135" i="431" s="1"/>
  <c r="BU221" i="431" s="1"/>
  <c r="BU86" i="431"/>
  <c r="BW81" i="431"/>
  <c r="CL103" i="431"/>
  <c r="CL135" i="431" s="1"/>
  <c r="CL51" i="431" s="1"/>
  <c r="CL81" i="431"/>
  <c r="CU120" i="431"/>
  <c r="BF13" i="434" s="1"/>
  <c r="CU135" i="431"/>
  <c r="CU82" i="431" s="1"/>
  <c r="CZ104" i="431"/>
  <c r="DT135" i="431"/>
  <c r="DT120" i="431"/>
  <c r="CE13" i="434" s="1"/>
  <c r="EB103" i="431"/>
  <c r="EB81" i="431"/>
  <c r="T84" i="431"/>
  <c r="BF84" i="431"/>
  <c r="CY86" i="431"/>
  <c r="CY84" i="431"/>
  <c r="DP85" i="431"/>
  <c r="DP86" i="431"/>
  <c r="DP87" i="431" s="1"/>
  <c r="EH84" i="431"/>
  <c r="EH86" i="431"/>
  <c r="CQ81" i="431"/>
  <c r="CM95" i="431"/>
  <c r="CH95" i="431"/>
  <c r="M100" i="431"/>
  <c r="M99" i="431"/>
  <c r="O100" i="431"/>
  <c r="O99" i="431"/>
  <c r="AG100" i="431"/>
  <c r="AG99" i="431"/>
  <c r="EE118" i="431"/>
  <c r="EE120" i="431"/>
  <c r="CP13" i="434" s="1"/>
  <c r="Q179" i="431"/>
  <c r="BT179" i="431"/>
  <c r="CV65" i="431"/>
  <c r="AD27" i="431"/>
  <c r="AU18" i="431"/>
  <c r="CK18" i="431"/>
  <c r="DE18" i="431"/>
  <c r="DY18" i="431"/>
  <c r="DZ14" i="431"/>
  <c r="CX54" i="431"/>
  <c r="CN29" i="431"/>
  <c r="CD29" i="431"/>
  <c r="BT216" i="431"/>
  <c r="BY217" i="431" s="1"/>
  <c r="BT185" i="431"/>
  <c r="BT378" i="431"/>
  <c r="BJ380" i="431"/>
  <c r="BJ14" i="431"/>
  <c r="BE85" i="431"/>
  <c r="BE191" i="431"/>
  <c r="BE171" i="431"/>
  <c r="AP374" i="431"/>
  <c r="V375" i="431"/>
  <c r="CH147" i="431"/>
  <c r="EG99" i="431"/>
  <c r="EG105" i="431"/>
  <c r="V379" i="431"/>
  <c r="Q185" i="431"/>
  <c r="Q186" i="431" s="1"/>
  <c r="Q26" i="431"/>
  <c r="AF63" i="431"/>
  <c r="AK14" i="431"/>
  <c r="CS378" i="431"/>
  <c r="CS32" i="431"/>
  <c r="CS376" i="431"/>
  <c r="CS105" i="431"/>
  <c r="DY178" i="431"/>
  <c r="Y172" i="431"/>
  <c r="AW375" i="431"/>
  <c r="BO197" i="431"/>
  <c r="BO376" i="431"/>
  <c r="CC19" i="431"/>
  <c r="AU63" i="431"/>
  <c r="Q15" i="431"/>
  <c r="DM197" i="431"/>
  <c r="DM54" i="431"/>
  <c r="DR26" i="431"/>
  <c r="DM204" i="431"/>
  <c r="DM144" i="431"/>
  <c r="BG374" i="431"/>
  <c r="AX14" i="431"/>
  <c r="AP15" i="431"/>
  <c r="AP216" i="431"/>
  <c r="AP379" i="431"/>
  <c r="CT54" i="431"/>
  <c r="DR14" i="431"/>
  <c r="DS14" i="431"/>
  <c r="EE146" i="431"/>
  <c r="BE378" i="431"/>
  <c r="ED32" i="431"/>
  <c r="M14" i="431"/>
  <c r="L171" i="431"/>
  <c r="L374" i="431"/>
  <c r="L379" i="431"/>
  <c r="L380" i="431"/>
  <c r="DR71" i="431"/>
  <c r="DC26" i="431"/>
  <c r="DC378" i="431"/>
  <c r="CI29" i="431"/>
  <c r="CI126" i="431" s="1"/>
  <c r="BY85" i="431"/>
  <c r="BY378" i="431"/>
  <c r="V105" i="431"/>
  <c r="V204" i="431"/>
  <c r="DR144" i="431"/>
  <c r="EK208" i="431"/>
  <c r="EJ211" i="431"/>
  <c r="EG211" i="431"/>
  <c r="M11" i="455"/>
  <c r="EP139" i="431"/>
  <c r="EI141" i="431"/>
  <c r="EK150" i="431"/>
  <c r="EP151" i="431" s="1"/>
  <c r="AZ15" i="431"/>
  <c r="BZ100" i="431"/>
  <c r="BZ99" i="431"/>
  <c r="DD98" i="431"/>
  <c r="B221" i="431"/>
  <c r="G222" i="431" s="1"/>
  <c r="B134" i="431"/>
  <c r="AL141" i="431"/>
  <c r="AO147" i="431"/>
  <c r="AN141" i="431"/>
  <c r="BZ141" i="431"/>
  <c r="BY141" i="431"/>
  <c r="CA141" i="431"/>
  <c r="DJ141" i="431"/>
  <c r="DK141" i="431"/>
  <c r="DI141" i="431"/>
  <c r="AF211" i="431"/>
  <c r="AI211" i="431"/>
  <c r="AH211" i="431"/>
  <c r="AQ211" i="431"/>
  <c r="AP211" i="431"/>
  <c r="AY208" i="431"/>
  <c r="BB211" i="431"/>
  <c r="BD208" i="431"/>
  <c r="BD213" i="431"/>
  <c r="BD212" i="431"/>
  <c r="BC211" i="431"/>
  <c r="BA211" i="431"/>
  <c r="BX212" i="431"/>
  <c r="BU211" i="431"/>
  <c r="BW211" i="431"/>
  <c r="BT211" i="431"/>
  <c r="BV211" i="431"/>
  <c r="CH213" i="431"/>
  <c r="CD211" i="431"/>
  <c r="CH212" i="431"/>
  <c r="CP211" i="431"/>
  <c r="CN211" i="431"/>
  <c r="CR213" i="431"/>
  <c r="CQ211" i="431"/>
  <c r="DJ211" i="431"/>
  <c r="DI211" i="431"/>
  <c r="DL213" i="431"/>
  <c r="H11" i="455"/>
  <c r="DK211" i="431"/>
  <c r="DU211" i="431"/>
  <c r="J11" i="455"/>
  <c r="EC211" i="431"/>
  <c r="EF212" i="431"/>
  <c r="AA176" i="431"/>
  <c r="AA210" i="431"/>
  <c r="AA195" i="431"/>
  <c r="AA169" i="431"/>
  <c r="AA140" i="431"/>
  <c r="AI183" i="431"/>
  <c r="AI210" i="431"/>
  <c r="AI218" i="431"/>
  <c r="AL176" i="431"/>
  <c r="AL223" i="431"/>
  <c r="AL202" i="431"/>
  <c r="AL183" i="431"/>
  <c r="AL140" i="431"/>
  <c r="AS140" i="431"/>
  <c r="AS183" i="431"/>
  <c r="AS169" i="431"/>
  <c r="AS195" i="431"/>
  <c r="AV210" i="431"/>
  <c r="AV195" i="431"/>
  <c r="AV155" i="431"/>
  <c r="AV216" i="431"/>
  <c r="AV183" i="431"/>
  <c r="BF223" i="431"/>
  <c r="BF215" i="431"/>
  <c r="BF183" i="431"/>
  <c r="BF176" i="431"/>
  <c r="BF202" i="431"/>
  <c r="BF216" i="431"/>
  <c r="BM183" i="431"/>
  <c r="BM195" i="431"/>
  <c r="BM210" i="431"/>
  <c r="BM202" i="431"/>
  <c r="BM190" i="431"/>
  <c r="BP176" i="431"/>
  <c r="BP195" i="431"/>
  <c r="BP218" i="431"/>
  <c r="BY183" i="431"/>
  <c r="BY218" i="431"/>
  <c r="CB202" i="431"/>
  <c r="CB210" i="431"/>
  <c r="CB195" i="431"/>
  <c r="CG195" i="431"/>
  <c r="CG223" i="431"/>
  <c r="CG202" i="431"/>
  <c r="CG215" i="431"/>
  <c r="CO202" i="431"/>
  <c r="CO223" i="431"/>
  <c r="CO169" i="431"/>
  <c r="CX176" i="431"/>
  <c r="CX202" i="431"/>
  <c r="CX223" i="431"/>
  <c r="CX140" i="431"/>
  <c r="CX155" i="431"/>
  <c r="CZ215" i="431"/>
  <c r="CZ140" i="431"/>
  <c r="CZ195" i="431"/>
  <c r="CZ183" i="431"/>
  <c r="DC215" i="431"/>
  <c r="DC202" i="431"/>
  <c r="DE183" i="431"/>
  <c r="DE215" i="431"/>
  <c r="DH195" i="431"/>
  <c r="DH140" i="431"/>
  <c r="DJ215" i="431"/>
  <c r="DO195" i="431"/>
  <c r="DO202" i="431"/>
  <c r="DO223" i="431"/>
  <c r="DR210" i="431"/>
  <c r="DR176" i="431"/>
  <c r="DR155" i="431"/>
  <c r="DT169" i="431"/>
  <c r="DT176" i="431"/>
  <c r="DW140" i="431"/>
  <c r="DW223" i="431"/>
  <c r="DW334" i="431" s="1"/>
  <c r="DW155" i="431"/>
  <c r="DY223" i="431"/>
  <c r="DY334" i="431" s="1"/>
  <c r="DY202" i="431"/>
  <c r="EB195" i="431"/>
  <c r="EB202" i="431"/>
  <c r="ED215" i="431"/>
  <c r="ED195" i="431"/>
  <c r="ED216" i="431"/>
  <c r="ED217" i="431" s="1"/>
  <c r="ED183" i="431"/>
  <c r="EG169" i="431"/>
  <c r="EG210" i="431"/>
  <c r="EG155" i="431"/>
  <c r="EG202" i="431"/>
  <c r="EI169" i="431"/>
  <c r="EI140" i="431"/>
  <c r="EI195" i="431"/>
  <c r="EI223" i="431"/>
  <c r="EI183" i="431"/>
  <c r="CC243" i="431"/>
  <c r="CB242" i="431"/>
  <c r="BE258" i="431"/>
  <c r="BE267" i="431"/>
  <c r="DT294" i="431"/>
  <c r="DU294" i="431"/>
  <c r="DY299" i="431"/>
  <c r="DZ299" i="431"/>
  <c r="DR46" i="431"/>
  <c r="DZ180" i="431"/>
  <c r="DT296" i="431"/>
  <c r="DB150" i="431"/>
  <c r="DB147" i="431"/>
  <c r="BS150" i="431"/>
  <c r="AV141" i="431"/>
  <c r="CA102" i="431"/>
  <c r="CB141" i="431"/>
  <c r="BK98" i="431"/>
  <c r="BK100" i="431"/>
  <c r="BU152" i="431"/>
  <c r="AT151" i="431"/>
  <c r="ED180" i="431"/>
  <c r="AZ16" i="431"/>
  <c r="CW50" i="431"/>
  <c r="DE243" i="431"/>
  <c r="DE242" i="431" s="1"/>
  <c r="ED140" i="431"/>
  <c r="CO140" i="431"/>
  <c r="AI169" i="431"/>
  <c r="AI223" i="431"/>
  <c r="BM176" i="431"/>
  <c r="BM155" i="431"/>
  <c r="CG218" i="431"/>
  <c r="CU210" i="431"/>
  <c r="DO210" i="431"/>
  <c r="DO169" i="431"/>
  <c r="DO176" i="431"/>
  <c r="DE210" i="431"/>
  <c r="DE202" i="431"/>
  <c r="BR155" i="431"/>
  <c r="BR169" i="431"/>
  <c r="DQ147" i="431"/>
  <c r="AY139" i="431"/>
  <c r="BH140" i="431"/>
  <c r="EC98" i="431"/>
  <c r="DM210" i="431"/>
  <c r="DM223" i="431"/>
  <c r="DR224" i="431" s="1"/>
  <c r="DM169" i="431"/>
  <c r="DM183" i="431"/>
  <c r="BZ215" i="431"/>
  <c r="DL98" i="431"/>
  <c r="CM208" i="431"/>
  <c r="DQ208" i="431"/>
  <c r="DC218" i="431"/>
  <c r="BY216" i="431"/>
  <c r="CZ155" i="431"/>
  <c r="CB183" i="431"/>
  <c r="CO218" i="431"/>
  <c r="ED155" i="431"/>
  <c r="W210" i="431"/>
  <c r="AV223" i="431"/>
  <c r="BH223" i="431"/>
  <c r="BM224" i="431" s="1"/>
  <c r="AV202" i="431"/>
  <c r="AS176" i="431"/>
  <c r="EG223" i="431"/>
  <c r="EG334" i="431" s="1"/>
  <c r="BF190" i="431"/>
  <c r="BF169" i="431"/>
  <c r="EG183" i="431"/>
  <c r="EG140" i="431"/>
  <c r="BP190" i="431"/>
  <c r="EB215" i="431"/>
  <c r="AT208" i="431"/>
  <c r="BI161" i="431"/>
  <c r="DJ176" i="431"/>
  <c r="DH169" i="431"/>
  <c r="BR215" i="431"/>
  <c r="CQ242" i="431"/>
  <c r="DH141" i="431"/>
  <c r="AM141" i="431"/>
  <c r="CY98" i="431"/>
  <c r="DV213" i="431"/>
  <c r="CG211" i="431"/>
  <c r="AT213" i="431"/>
  <c r="EB210" i="431"/>
  <c r="AL155" i="431"/>
  <c r="DT195" i="431"/>
  <c r="DR183" i="431"/>
  <c r="DO215" i="431"/>
  <c r="CX195" i="431"/>
  <c r="CK183" i="431"/>
  <c r="CG210" i="431"/>
  <c r="AL210" i="431"/>
  <c r="EB211" i="431"/>
  <c r="ED176" i="431"/>
  <c r="DY210" i="431"/>
  <c r="AA223" i="431"/>
  <c r="DL212" i="431"/>
  <c r="CR212" i="431"/>
  <c r="CZ202" i="431"/>
  <c r="DH210" i="431"/>
  <c r="DE223" i="431"/>
  <c r="CO211" i="431"/>
  <c r="DV161" i="431"/>
  <c r="DQ159" i="431"/>
  <c r="DQ156" i="431" s="1"/>
  <c r="DQ165" i="431" s="1"/>
  <c r="DQ166" i="431" s="1"/>
  <c r="BO170" i="431"/>
  <c r="BX168" i="431"/>
  <c r="BP170" i="431"/>
  <c r="DG168" i="431"/>
  <c r="DE170" i="431"/>
  <c r="DF170" i="431"/>
  <c r="AB184" i="431"/>
  <c r="AC184" i="431"/>
  <c r="AJ182" i="431"/>
  <c r="AD196" i="431"/>
  <c r="AC196" i="431"/>
  <c r="DT196" i="431"/>
  <c r="DR196" i="431"/>
  <c r="DS196" i="431"/>
  <c r="AK203" i="431"/>
  <c r="AL203" i="431"/>
  <c r="AV203" i="431"/>
  <c r="BD201" i="431"/>
  <c r="DV201" i="431"/>
  <c r="DN203" i="431"/>
  <c r="DO203" i="431"/>
  <c r="DY203" i="431"/>
  <c r="DW203" i="431"/>
  <c r="BP216" i="431"/>
  <c r="CR40" i="431"/>
  <c r="DL38" i="431"/>
  <c r="DQ38" i="431"/>
  <c r="AJ50" i="431"/>
  <c r="DG50" i="431"/>
  <c r="DL50" i="431"/>
  <c r="DV59" i="431"/>
  <c r="Z95" i="431"/>
  <c r="BN95" i="431"/>
  <c r="CF148" i="431"/>
  <c r="AX152" i="431"/>
  <c r="BZ152" i="431"/>
  <c r="EG152" i="431"/>
  <c r="BD309" i="431"/>
  <c r="EJ100" i="431"/>
  <c r="EO101" i="431" s="1"/>
  <c r="EO98" i="431"/>
  <c r="EK97" i="431"/>
  <c r="EP98" i="431" s="1"/>
  <c r="EP22" i="431"/>
  <c r="EH211" i="431"/>
  <c r="EP208" i="431"/>
  <c r="EI177" i="431"/>
  <c r="EP175" i="431"/>
  <c r="EH203" i="431"/>
  <c r="EP201" i="431"/>
  <c r="EK143" i="431"/>
  <c r="EP143" i="431"/>
  <c r="EJ55" i="431"/>
  <c r="EO53" i="431"/>
  <c r="EJ64" i="431"/>
  <c r="EO65" i="431" s="1"/>
  <c r="EO62" i="431"/>
  <c r="EP2" i="431"/>
  <c r="EU2" i="431" s="1"/>
  <c r="EZ2" i="431" s="1"/>
  <c r="FE2" i="431" s="1"/>
  <c r="FK209" i="431"/>
  <c r="EA239" i="431"/>
  <c r="EK52" i="431"/>
  <c r="EP53" i="431" s="1"/>
  <c r="EP21" i="431"/>
  <c r="EK260" i="431"/>
  <c r="EP260" i="431"/>
  <c r="EJ105" i="431"/>
  <c r="EO106" i="431" s="1"/>
  <c r="EO26" i="431"/>
  <c r="EJ176" i="431"/>
  <c r="EO215" i="431"/>
  <c r="ET162" i="431"/>
  <c r="ET164" i="431" s="1"/>
  <c r="EO163" i="431"/>
  <c r="EK77" i="431"/>
  <c r="EP77" i="431"/>
  <c r="DZ185" i="431"/>
  <c r="EE186" i="431" s="1"/>
  <c r="CH36" i="431"/>
  <c r="CM38" i="431"/>
  <c r="AY50" i="431"/>
  <c r="CC70" i="431"/>
  <c r="CC68" i="431" s="1"/>
  <c r="CM70" i="431"/>
  <c r="DG70" i="431"/>
  <c r="DW86" i="431"/>
  <c r="CW80" i="431"/>
  <c r="DQ95" i="431"/>
  <c r="DV118" i="431"/>
  <c r="CM309" i="431"/>
  <c r="CM311" i="431" s="1"/>
  <c r="DZ244" i="431"/>
  <c r="DZ243" i="431" s="1"/>
  <c r="DZ242" i="431" s="1"/>
  <c r="EU332" i="431"/>
  <c r="EZ332" i="431" s="1"/>
  <c r="FE332" i="431" s="1"/>
  <c r="EP244" i="431"/>
  <c r="EP243" i="431" s="1"/>
  <c r="EP242" i="431" s="1"/>
  <c r="DZ106" i="431"/>
  <c r="CB18" i="431"/>
  <c r="CV18" i="431"/>
  <c r="DF18" i="431"/>
  <c r="DD26" i="431"/>
  <c r="DL45" i="431"/>
  <c r="EA38" i="431"/>
  <c r="CV46" i="431"/>
  <c r="DP53" i="431"/>
  <c r="DS53" i="431"/>
  <c r="AK62" i="431"/>
  <c r="ED62" i="431"/>
  <c r="EG63" i="431"/>
  <c r="CY71" i="431"/>
  <c r="EC71" i="431"/>
  <c r="AP71" i="431"/>
  <c r="BO71" i="431"/>
  <c r="BL71" i="431"/>
  <c r="AT79" i="431"/>
  <c r="CH75" i="431"/>
  <c r="CR79" i="431"/>
  <c r="DL75" i="431"/>
  <c r="EF79" i="431"/>
  <c r="EH81" i="431"/>
  <c r="V84" i="431"/>
  <c r="AE95" i="431"/>
  <c r="EF95" i="431"/>
  <c r="L99" i="431"/>
  <c r="BJ98" i="431"/>
  <c r="CD98" i="431"/>
  <c r="CN101" i="431"/>
  <c r="CX98" i="431"/>
  <c r="BD143" i="431"/>
  <c r="BS143" i="431"/>
  <c r="CM143" i="431"/>
  <c r="CT148" i="431"/>
  <c r="BC148" i="431"/>
  <c r="DQ150" i="431"/>
  <c r="AQ152" i="431"/>
  <c r="AV152" i="431"/>
  <c r="BA151" i="431"/>
  <c r="BH152" i="431"/>
  <c r="BR152" i="431"/>
  <c r="DE152" i="431"/>
  <c r="DZ152" i="431"/>
  <c r="ED152" i="431"/>
  <c r="EI152" i="431"/>
  <c r="AY154" i="431"/>
  <c r="CA152" i="431"/>
  <c r="BS154" i="431"/>
  <c r="CM162" i="431"/>
  <c r="DG161" i="431"/>
  <c r="CD163" i="431"/>
  <c r="CZ164" i="431"/>
  <c r="DT164" i="431"/>
  <c r="EA182" i="431"/>
  <c r="BS189" i="431"/>
  <c r="CR201" i="431"/>
  <c r="AP215" i="431"/>
  <c r="DJ243" i="431"/>
  <c r="DJ242" i="431" s="1"/>
  <c r="DS243" i="431"/>
  <c r="DS242" i="431" s="1"/>
  <c r="DT243" i="431"/>
  <c r="DT242" i="431" s="1"/>
  <c r="EH243" i="431"/>
  <c r="AE239" i="431"/>
  <c r="AY239" i="431"/>
  <c r="BS239" i="431"/>
  <c r="CC239" i="431"/>
  <c r="CM239" i="431"/>
  <c r="EF242" i="431"/>
  <c r="CC258" i="431"/>
  <c r="CW258" i="431"/>
  <c r="DQ260" i="431"/>
  <c r="DL272" i="431"/>
  <c r="EA272" i="431"/>
  <c r="BD311" i="431"/>
  <c r="EK354" i="431"/>
  <c r="AK18" i="431"/>
  <c r="BE18" i="431"/>
  <c r="CI18" i="431"/>
  <c r="DC18" i="431"/>
  <c r="DW18" i="431"/>
  <c r="AJ24" i="431"/>
  <c r="AO25" i="431"/>
  <c r="BS23" i="431"/>
  <c r="BX20" i="431"/>
  <c r="DL19" i="431"/>
  <c r="DQ83" i="431"/>
  <c r="DV22" i="431"/>
  <c r="CR44" i="431"/>
  <c r="CW42" i="431"/>
  <c r="DG44" i="431"/>
  <c r="EA40" i="431"/>
  <c r="CH50" i="431"/>
  <c r="BE53" i="431"/>
  <c r="AE59" i="431"/>
  <c r="EA59" i="431"/>
  <c r="M63" i="431"/>
  <c r="R62" i="431"/>
  <c r="BP63" i="431"/>
  <c r="BT71" i="431"/>
  <c r="CN71" i="431"/>
  <c r="BM71" i="431"/>
  <c r="AY73" i="431"/>
  <c r="CM68" i="431"/>
  <c r="DQ73" i="431"/>
  <c r="AD85" i="431"/>
  <c r="AI84" i="431"/>
  <c r="AS84" i="431"/>
  <c r="AX86" i="431"/>
  <c r="BM85" i="431"/>
  <c r="CG85" i="431"/>
  <c r="CQ85" i="431"/>
  <c r="DA84" i="431"/>
  <c r="DK85" i="431"/>
  <c r="DU85" i="431"/>
  <c r="EE85" i="431"/>
  <c r="BD95" i="431"/>
  <c r="BX80" i="431"/>
  <c r="AI98" i="431"/>
  <c r="BW98" i="431"/>
  <c r="DU98" i="431"/>
  <c r="CW118" i="431"/>
  <c r="DE148" i="431"/>
  <c r="EI148" i="431"/>
  <c r="BM151" i="431"/>
  <c r="DA151" i="431"/>
  <c r="DU151" i="431"/>
  <c r="EF154" i="431"/>
  <c r="P239" i="431"/>
  <c r="BD239" i="431"/>
  <c r="DN298" i="431"/>
  <c r="DL309" i="431"/>
  <c r="DL311" i="431" s="1"/>
  <c r="DR336" i="431"/>
  <c r="DU244" i="431"/>
  <c r="DU243" i="431" s="1"/>
  <c r="DU242" i="431" s="1"/>
  <c r="BI354" i="431"/>
  <c r="CC354" i="431"/>
  <c r="CR354" i="431"/>
  <c r="CW354" i="431"/>
  <c r="DL365" i="431"/>
  <c r="DQ354" i="431"/>
  <c r="EA354" i="431"/>
  <c r="E51" i="453"/>
  <c r="F93" i="453"/>
  <c r="F95" i="453" s="1"/>
  <c r="F99" i="453" s="1"/>
  <c r="J51" i="453"/>
  <c r="DH82" i="431"/>
  <c r="DH60" i="431"/>
  <c r="EJ152" i="431"/>
  <c r="ET150" i="431"/>
  <c r="CD221" i="431"/>
  <c r="CD225" i="431" s="1"/>
  <c r="CD82" i="431"/>
  <c r="CD60" i="431"/>
  <c r="CF152" i="431"/>
  <c r="CG152" i="431"/>
  <c r="CF151" i="431"/>
  <c r="CR143" i="431"/>
  <c r="Q18" i="431"/>
  <c r="V18" i="431"/>
  <c r="AM378" i="431"/>
  <c r="AM374" i="431"/>
  <c r="AN14" i="431"/>
  <c r="CA375" i="431"/>
  <c r="CA204" i="431"/>
  <c r="CA374" i="431"/>
  <c r="CA63" i="431"/>
  <c r="CA171" i="431"/>
  <c r="CA178" i="431"/>
  <c r="CB180" i="431" s="1"/>
  <c r="CA380" i="431"/>
  <c r="CA14" i="431"/>
  <c r="AK55" i="431"/>
  <c r="AK53" i="431"/>
  <c r="AU55" i="431"/>
  <c r="AU56" i="431" s="1"/>
  <c r="AU53" i="431"/>
  <c r="AV64" i="431"/>
  <c r="AV62" i="431"/>
  <c r="DT68" i="431"/>
  <c r="DY71" i="431"/>
  <c r="M81" i="431"/>
  <c r="M86" i="431"/>
  <c r="M103" i="431"/>
  <c r="AB103" i="431"/>
  <c r="AB135" i="431" s="1"/>
  <c r="AB96" i="431" s="1"/>
  <c r="AB86" i="431"/>
  <c r="BU81" i="431"/>
  <c r="BP86" i="431"/>
  <c r="BP81" i="431"/>
  <c r="DO81" i="431"/>
  <c r="DO103" i="431"/>
  <c r="DO135" i="431" s="1"/>
  <c r="DO96" i="431" s="1"/>
  <c r="DT81" i="431"/>
  <c r="EI103" i="431"/>
  <c r="EI120" i="431" s="1"/>
  <c r="EI81" i="431"/>
  <c r="BC86" i="431"/>
  <c r="BC87" i="431" s="1"/>
  <c r="BH84" i="431"/>
  <c r="DK100" i="431"/>
  <c r="DP98" i="431"/>
  <c r="DK99" i="431"/>
  <c r="BW214" i="431"/>
  <c r="BW195" i="431" s="1"/>
  <c r="BW150" i="431"/>
  <c r="BW147" i="431"/>
  <c r="BX138" i="431"/>
  <c r="BW139" i="431"/>
  <c r="CB139" i="431"/>
  <c r="CY203" i="431"/>
  <c r="CX203" i="431"/>
  <c r="CZ203" i="431"/>
  <c r="DA203" i="431"/>
  <c r="DB201" i="431"/>
  <c r="DG201" i="431"/>
  <c r="BE211" i="431"/>
  <c r="BI208" i="431"/>
  <c r="BI212" i="431"/>
  <c r="BF211" i="431"/>
  <c r="AC195" i="431"/>
  <c r="AC183" i="431"/>
  <c r="AC169" i="431"/>
  <c r="AC210" i="431"/>
  <c r="AC202" i="431"/>
  <c r="BT202" i="431"/>
  <c r="BT190" i="431"/>
  <c r="BT223" i="431"/>
  <c r="BY224" i="431" s="1"/>
  <c r="BT169" i="431"/>
  <c r="BT195" i="431"/>
  <c r="DS183" i="431"/>
  <c r="DS223" i="431"/>
  <c r="DS334" i="431" s="1"/>
  <c r="DS195" i="431"/>
  <c r="DX215" i="431"/>
  <c r="DS202" i="431"/>
  <c r="BG258" i="431"/>
  <c r="BG267" i="431"/>
  <c r="DV386" i="431"/>
  <c r="DV258" i="431"/>
  <c r="DE105" i="431"/>
  <c r="DJ106" i="431" s="1"/>
  <c r="DY204" i="431"/>
  <c r="CA185" i="431"/>
  <c r="BY53" i="431"/>
  <c r="EA159" i="431"/>
  <c r="EA156" i="431" s="1"/>
  <c r="EA165" i="431" s="1"/>
  <c r="EA166" i="431" s="1"/>
  <c r="EA161" i="431"/>
  <c r="DJ163" i="431"/>
  <c r="DE164" i="431"/>
  <c r="EI163" i="431"/>
  <c r="EI164" i="431"/>
  <c r="DP170" i="431"/>
  <c r="DN170" i="431"/>
  <c r="DO170" i="431"/>
  <c r="I175" i="431"/>
  <c r="N175" i="431"/>
  <c r="N182" i="431"/>
  <c r="N214" i="431"/>
  <c r="N183" i="431" s="1"/>
  <c r="S182" i="431"/>
  <c r="AN184" i="431"/>
  <c r="AO182" i="431"/>
  <c r="AK184" i="431"/>
  <c r="AM184" i="431"/>
  <c r="DO184" i="431"/>
  <c r="DQ182" i="431"/>
  <c r="DQ214" i="431"/>
  <c r="DQ169" i="431" s="1"/>
  <c r="DP184" i="431"/>
  <c r="EB196" i="431"/>
  <c r="ED196" i="431"/>
  <c r="BE54" i="431"/>
  <c r="M141" i="431"/>
  <c r="DH221" i="431"/>
  <c r="CY210" i="431"/>
  <c r="BE55" i="431"/>
  <c r="CB152" i="431"/>
  <c r="DG162" i="431"/>
  <c r="BM68" i="431"/>
  <c r="BG379" i="431"/>
  <c r="DU99" i="431"/>
  <c r="AN183" i="431"/>
  <c r="EC62" i="431"/>
  <c r="CC182" i="431"/>
  <c r="DS210" i="431"/>
  <c r="AI99" i="431"/>
  <c r="CH73" i="431"/>
  <c r="CQ272" i="431"/>
  <c r="CR271" i="431"/>
  <c r="EI243" i="431"/>
  <c r="BS61" i="431"/>
  <c r="BS62" i="431" s="1"/>
  <c r="BS19" i="431"/>
  <c r="DQ52" i="431"/>
  <c r="DQ53" i="431" s="1"/>
  <c r="DQ5" i="431"/>
  <c r="AW204" i="431"/>
  <c r="AW178" i="431"/>
  <c r="AX180" i="431" s="1"/>
  <c r="AW377" i="431"/>
  <c r="AW197" i="431"/>
  <c r="AW198" i="431" s="1"/>
  <c r="AW15" i="431"/>
  <c r="AW379" i="431"/>
  <c r="AW171" i="431"/>
  <c r="CK105" i="431"/>
  <c r="CK216" i="431"/>
  <c r="CK378" i="431"/>
  <c r="CL14" i="431"/>
  <c r="CK375" i="431"/>
  <c r="CK379" i="431"/>
  <c r="CK218" i="431"/>
  <c r="CK32" i="431"/>
  <c r="CK377" i="431"/>
  <c r="CK171" i="431"/>
  <c r="CK185" i="431"/>
  <c r="DY15" i="431"/>
  <c r="DY85" i="431"/>
  <c r="DY377" i="431"/>
  <c r="DY378" i="431"/>
  <c r="DY375" i="431"/>
  <c r="DY216" i="431"/>
  <c r="DY63" i="431"/>
  <c r="DY376" i="431"/>
  <c r="DQ40" i="431"/>
  <c r="DV40" i="431"/>
  <c r="DJ55" i="431"/>
  <c r="DJ53" i="431"/>
  <c r="AL64" i="431"/>
  <c r="AL63" i="431"/>
  <c r="AQ62" i="431"/>
  <c r="BZ64" i="431"/>
  <c r="BZ63" i="431"/>
  <c r="CW70" i="431"/>
  <c r="CW68" i="431" s="1"/>
  <c r="DB73" i="431"/>
  <c r="AV103" i="431"/>
  <c r="AV135" i="431" s="1"/>
  <c r="AV51" i="431" s="1"/>
  <c r="AV81" i="431"/>
  <c r="DE82" i="431"/>
  <c r="DE221" i="431"/>
  <c r="Y86" i="431"/>
  <c r="AD87" i="431" s="1"/>
  <c r="Y84" i="431"/>
  <c r="Y85" i="431"/>
  <c r="CG100" i="431"/>
  <c r="CG99" i="431"/>
  <c r="CG98" i="431"/>
  <c r="DA99" i="431"/>
  <c r="DA100" i="431"/>
  <c r="DA102" i="431" s="1"/>
  <c r="DF98" i="431"/>
  <c r="EE98" i="431"/>
  <c r="EE100" i="431"/>
  <c r="EJ98" i="431"/>
  <c r="EE99" i="431"/>
  <c r="DL139" i="431"/>
  <c r="DC141" i="431"/>
  <c r="DD141" i="431"/>
  <c r="DE141" i="431"/>
  <c r="DG139" i="431"/>
  <c r="DF141" i="431"/>
  <c r="Y208" i="431"/>
  <c r="U207" i="431"/>
  <c r="T211" i="431" s="1"/>
  <c r="BC215" i="431"/>
  <c r="AX215" i="431"/>
  <c r="AX140" i="431"/>
  <c r="AX210" i="431"/>
  <c r="AX155" i="431"/>
  <c r="AX169" i="431"/>
  <c r="AX223" i="431"/>
  <c r="AX176" i="431"/>
  <c r="DI210" i="431"/>
  <c r="DI155" i="431"/>
  <c r="DI223" i="431"/>
  <c r="DI195" i="431"/>
  <c r="DI215" i="431"/>
  <c r="DI140" i="431"/>
  <c r="DI183" i="431"/>
  <c r="DI169" i="431"/>
  <c r="DI202" i="431"/>
  <c r="DN215" i="431"/>
  <c r="DY288" i="431"/>
  <c r="DX289" i="431"/>
  <c r="ED294" i="431"/>
  <c r="EC298" i="431"/>
  <c r="DY297" i="431"/>
  <c r="DZ297" i="431"/>
  <c r="CY176" i="431"/>
  <c r="DY144" i="431"/>
  <c r="DO164" i="431"/>
  <c r="DT163" i="431"/>
  <c r="BN175" i="431"/>
  <c r="BK177" i="431"/>
  <c r="CX194" i="431"/>
  <c r="CS194" i="431"/>
  <c r="CS197" i="431"/>
  <c r="CS199" i="431" s="1"/>
  <c r="DP135" i="431"/>
  <c r="DP96" i="431" s="1"/>
  <c r="DQ258" i="431"/>
  <c r="BJ53" i="431"/>
  <c r="AY150" i="431"/>
  <c r="AY151" i="431" s="1"/>
  <c r="Q170" i="431"/>
  <c r="X202" i="431"/>
  <c r="DY29" i="431"/>
  <c r="DZ31" i="431" s="1"/>
  <c r="DY218" i="431"/>
  <c r="CC36" i="431"/>
  <c r="BQ99" i="431"/>
  <c r="AJ59" i="431"/>
  <c r="CC73" i="431"/>
  <c r="T208" i="431"/>
  <c r="BW100" i="431"/>
  <c r="AR148" i="431"/>
  <c r="EA143" i="431"/>
  <c r="EF143" i="431"/>
  <c r="CV152" i="431"/>
  <c r="CU152" i="431"/>
  <c r="DH51" i="431"/>
  <c r="S375" i="431"/>
  <c r="T14" i="431"/>
  <c r="BQ204" i="431"/>
  <c r="BQ14" i="431"/>
  <c r="BQ377" i="431"/>
  <c r="BQ376" i="431"/>
  <c r="BQ178" i="431"/>
  <c r="BQ54" i="431"/>
  <c r="DE29" i="431"/>
  <c r="DE126" i="431" s="1"/>
  <c r="DE218" i="431"/>
  <c r="DE377" i="431"/>
  <c r="DE376" i="431"/>
  <c r="DE380" i="431"/>
  <c r="CV53" i="431"/>
  <c r="CV55" i="431"/>
  <c r="CV57" i="431" s="1"/>
  <c r="CV54" i="431"/>
  <c r="DD64" i="431"/>
  <c r="DI65" i="431" s="1"/>
  <c r="DI62" i="431"/>
  <c r="DD62" i="431"/>
  <c r="CP68" i="431"/>
  <c r="CU69" i="431" s="1"/>
  <c r="CU71" i="431"/>
  <c r="EI71" i="431"/>
  <c r="ED68" i="431"/>
  <c r="ED69" i="431" s="1"/>
  <c r="ED71" i="431"/>
  <c r="BI70" i="431"/>
  <c r="BI68" i="431" s="1"/>
  <c r="BI73" i="431"/>
  <c r="R86" i="431"/>
  <c r="R81" i="431"/>
  <c r="BF103" i="431"/>
  <c r="BF81" i="431"/>
  <c r="N141" i="431"/>
  <c r="O141" i="431"/>
  <c r="P147" i="431"/>
  <c r="V203" i="431"/>
  <c r="W203" i="431"/>
  <c r="Y203" i="431"/>
  <c r="X203" i="431"/>
  <c r="CW213" i="431"/>
  <c r="CT211" i="431"/>
  <c r="CW208" i="431"/>
  <c r="CW212" i="431"/>
  <c r="CV211" i="431"/>
  <c r="AN202" i="431"/>
  <c r="AN215" i="431"/>
  <c r="AN210" i="431"/>
  <c r="AS215" i="431"/>
  <c r="AN195" i="431"/>
  <c r="AN223" i="431"/>
  <c r="AN224" i="431" s="1"/>
  <c r="AN169" i="431"/>
  <c r="AN140" i="431"/>
  <c r="AN155" i="431"/>
  <c r="AN216" i="431"/>
  <c r="CJ202" i="431"/>
  <c r="CO215" i="431"/>
  <c r="CJ169" i="431"/>
  <c r="CJ140" i="431"/>
  <c r="CJ155" i="431"/>
  <c r="EC183" i="431"/>
  <c r="EC210" i="431"/>
  <c r="EC202" i="431"/>
  <c r="EC215" i="431"/>
  <c r="EC176" i="431"/>
  <c r="EC155" i="431"/>
  <c r="CZ81" i="431"/>
  <c r="DH96" i="431"/>
  <c r="CM150" i="431"/>
  <c r="CM161" i="431"/>
  <c r="CM159" i="431"/>
  <c r="CM156" i="431" s="1"/>
  <c r="CM165" i="431" s="1"/>
  <c r="CM166" i="431" s="1"/>
  <c r="DY163" i="431"/>
  <c r="ED163" i="431"/>
  <c r="X177" i="431"/>
  <c r="AE175" i="431"/>
  <c r="V177" i="431"/>
  <c r="EI151" i="431"/>
  <c r="R139" i="431"/>
  <c r="S85" i="431"/>
  <c r="DY185" i="431"/>
  <c r="DZ187" i="431" s="1"/>
  <c r="AP18" i="431"/>
  <c r="CJ63" i="431"/>
  <c r="BQ216" i="431"/>
  <c r="DJ71" i="431"/>
  <c r="AC140" i="431"/>
  <c r="DP84" i="431"/>
  <c r="EE196" i="431"/>
  <c r="EC223" i="431"/>
  <c r="N201" i="431"/>
  <c r="DG352" i="431"/>
  <c r="DG354" i="431" s="1"/>
  <c r="DG335" i="431"/>
  <c r="BF258" i="431"/>
  <c r="BF267" i="431"/>
  <c r="BI259" i="431"/>
  <c r="CW260" i="431"/>
  <c r="DB260" i="431"/>
  <c r="X183" i="431"/>
  <c r="X176" i="431"/>
  <c r="X223" i="431"/>
  <c r="AC15" i="431"/>
  <c r="AD16" i="431" s="1"/>
  <c r="AC178" i="431"/>
  <c r="BG15" i="431"/>
  <c r="BG16" i="431" s="1"/>
  <c r="BG197" i="431"/>
  <c r="BG199" i="431" s="1"/>
  <c r="BG14" i="431"/>
  <c r="BG376" i="431"/>
  <c r="BG378" i="431"/>
  <c r="BG63" i="431"/>
  <c r="BG380" i="431"/>
  <c r="BG105" i="431"/>
  <c r="BG171" i="431"/>
  <c r="BG173" i="431" s="1"/>
  <c r="BG144" i="431"/>
  <c r="BG377" i="431"/>
  <c r="CU171" i="431"/>
  <c r="CU375" i="431"/>
  <c r="CU380" i="431"/>
  <c r="CU204" i="431"/>
  <c r="CU206" i="431" s="1"/>
  <c r="CU178" i="431"/>
  <c r="CU216" i="431"/>
  <c r="CU14" i="431"/>
  <c r="CU54" i="431"/>
  <c r="CU105" i="431"/>
  <c r="CU107" i="431" s="1"/>
  <c r="CU185" i="431"/>
  <c r="CU63" i="431"/>
  <c r="DX45" i="431"/>
  <c r="DX46" i="431" s="1"/>
  <c r="EC36" i="431"/>
  <c r="DX36" i="431"/>
  <c r="DX29" i="431"/>
  <c r="DX126" i="431" s="1"/>
  <c r="EA35" i="431"/>
  <c r="EA45" i="431" s="1"/>
  <c r="ED54" i="431"/>
  <c r="ED55" i="431"/>
  <c r="ED57" i="431" s="1"/>
  <c r="ED53" i="431"/>
  <c r="BF63" i="431"/>
  <c r="BF64" i="431"/>
  <c r="AI68" i="431"/>
  <c r="AN71" i="431"/>
  <c r="AL103" i="431"/>
  <c r="AL81" i="431"/>
  <c r="DY104" i="431"/>
  <c r="AL139" i="431"/>
  <c r="AJ138" i="431"/>
  <c r="AH141" i="431" s="1"/>
  <c r="AG139" i="431"/>
  <c r="BK203" i="431"/>
  <c r="BJ203" i="431"/>
  <c r="BM203" i="431"/>
  <c r="BL203" i="431"/>
  <c r="BN201" i="431"/>
  <c r="G202" i="431"/>
  <c r="G176" i="431"/>
  <c r="G169" i="431"/>
  <c r="G210" i="431"/>
  <c r="G195" i="431"/>
  <c r="G140" i="431"/>
  <c r="G215" i="431"/>
  <c r="BK183" i="431"/>
  <c r="BK223" i="431"/>
  <c r="BK155" i="431"/>
  <c r="BK176" i="431"/>
  <c r="BK169" i="431"/>
  <c r="BP215" i="431"/>
  <c r="BK195" i="431"/>
  <c r="BK140" i="431"/>
  <c r="BK202" i="431"/>
  <c r="CY202" i="431"/>
  <c r="CY218" i="431"/>
  <c r="CY140" i="431"/>
  <c r="CY216" i="431"/>
  <c r="CY223" i="431"/>
  <c r="CY195" i="431"/>
  <c r="DB239" i="431"/>
  <c r="AY267" i="431"/>
  <c r="CZ272" i="431"/>
  <c r="CV271" i="431"/>
  <c r="CW271" i="431" s="1"/>
  <c r="BK215" i="431"/>
  <c r="AY143" i="431"/>
  <c r="BG178" i="431"/>
  <c r="J208" i="431"/>
  <c r="EC65" i="431"/>
  <c r="S168" i="431"/>
  <c r="CX177" i="431"/>
  <c r="CZ177" i="431"/>
  <c r="AL196" i="431"/>
  <c r="AN196" i="431"/>
  <c r="AM196" i="431"/>
  <c r="AK196" i="431"/>
  <c r="AB63" i="431"/>
  <c r="CD51" i="431"/>
  <c r="X210" i="431"/>
  <c r="DS155" i="431"/>
  <c r="BJ18" i="431"/>
  <c r="CS214" i="431"/>
  <c r="DY99" i="431"/>
  <c r="S14" i="431"/>
  <c r="DF14" i="431"/>
  <c r="BK190" i="431"/>
  <c r="AW374" i="431"/>
  <c r="BX19" i="431"/>
  <c r="DE81" i="431"/>
  <c r="CT199" i="431"/>
  <c r="CJ218" i="431"/>
  <c r="CO219" i="431" s="1"/>
  <c r="BQ185" i="431"/>
  <c r="AX216" i="431"/>
  <c r="DJ56" i="431"/>
  <c r="DY54" i="431"/>
  <c r="CU29" i="431"/>
  <c r="E214" i="431"/>
  <c r="G183" i="431"/>
  <c r="T98" i="431"/>
  <c r="AI27" i="431"/>
  <c r="DK140" i="431"/>
  <c r="EE14" i="431"/>
  <c r="DL208" i="431"/>
  <c r="CL151" i="431"/>
  <c r="CL152" i="431"/>
  <c r="DE151" i="431"/>
  <c r="CC154" i="431"/>
  <c r="EG163" i="431"/>
  <c r="EB163" i="431"/>
  <c r="DW170" i="431"/>
  <c r="DX170" i="431"/>
  <c r="BX189" i="431"/>
  <c r="BB202" i="431"/>
  <c r="BB169" i="431"/>
  <c r="BV223" i="431"/>
  <c r="BV224" i="431" s="1"/>
  <c r="BV202" i="431"/>
  <c r="BV169" i="431"/>
  <c r="BV190" i="431"/>
  <c r="BV183" i="431"/>
  <c r="BV215" i="431"/>
  <c r="BV176" i="431"/>
  <c r="CL202" i="431"/>
  <c r="CL195" i="431"/>
  <c r="CL140" i="431"/>
  <c r="CL155" i="431"/>
  <c r="CL223" i="431"/>
  <c r="DA202" i="431"/>
  <c r="DA218" i="431"/>
  <c r="DF219" i="431" s="1"/>
  <c r="DA210" i="431"/>
  <c r="DA183" i="431"/>
  <c r="DK223" i="431"/>
  <c r="DP224" i="431" s="1"/>
  <c r="DK183" i="431"/>
  <c r="DU218" i="431"/>
  <c r="DZ219" i="431" s="1"/>
  <c r="DU210" i="431"/>
  <c r="DU216" i="431"/>
  <c r="DU183" i="431"/>
  <c r="DU169" i="431"/>
  <c r="DU223" i="431"/>
  <c r="DZ224" i="431" s="1"/>
  <c r="EE223" i="431"/>
  <c r="EE224" i="431" s="1"/>
  <c r="EE202" i="431"/>
  <c r="EE195" i="431"/>
  <c r="EE218" i="431"/>
  <c r="EE219" i="431" s="1"/>
  <c r="EE183" i="431"/>
  <c r="BX242" i="431"/>
  <c r="BX239" i="431"/>
  <c r="CH243" i="431"/>
  <c r="CH242" i="431" s="1"/>
  <c r="CG242" i="431"/>
  <c r="EC307" i="431"/>
  <c r="ED305" i="431"/>
  <c r="ED307" i="431" s="1"/>
  <c r="EA348" i="431"/>
  <c r="DZ347" i="431"/>
  <c r="EE155" i="431"/>
  <c r="BX154" i="431"/>
  <c r="DK210" i="431"/>
  <c r="AE214" i="431"/>
  <c r="AE195" i="431" s="1"/>
  <c r="EE215" i="431"/>
  <c r="DP215" i="431"/>
  <c r="CL215" i="431"/>
  <c r="AZ18" i="431"/>
  <c r="CX18" i="431"/>
  <c r="FB18" i="431"/>
  <c r="EW18" i="431"/>
  <c r="DQ24" i="431"/>
  <c r="DL13" i="431"/>
  <c r="DL144" i="431" s="1"/>
  <c r="AR197" i="431"/>
  <c r="AR379" i="431"/>
  <c r="BB374" i="431"/>
  <c r="BB378" i="431"/>
  <c r="DT378" i="431"/>
  <c r="DT374" i="431"/>
  <c r="ED379" i="431"/>
  <c r="ED15" i="431"/>
  <c r="EE16" i="431" s="1"/>
  <c r="ED377" i="431"/>
  <c r="ED378" i="431"/>
  <c r="ED374" i="431"/>
  <c r="ED197" i="431"/>
  <c r="ED376" i="431"/>
  <c r="ED29" i="431"/>
  <c r="DG45" i="431"/>
  <c r="DG46" i="431" s="1"/>
  <c r="EF40" i="431"/>
  <c r="AP53" i="431"/>
  <c r="CY64" i="431"/>
  <c r="CY65" i="431" s="1"/>
  <c r="CY62" i="431"/>
  <c r="CA71" i="431"/>
  <c r="DE68" i="431"/>
  <c r="DE69" i="431" s="1"/>
  <c r="DE71" i="431"/>
  <c r="DY69" i="431"/>
  <c r="BH68" i="431"/>
  <c r="BH71" i="431"/>
  <c r="DL73" i="431"/>
  <c r="H134" i="431"/>
  <c r="H221" i="431"/>
  <c r="AG103" i="431"/>
  <c r="AG81" i="431"/>
  <c r="AQ86" i="431"/>
  <c r="AQ103" i="431"/>
  <c r="AQ81" i="431"/>
  <c r="CO81" i="431"/>
  <c r="ED103" i="431"/>
  <c r="ED81" i="431"/>
  <c r="CV98" i="431"/>
  <c r="AZ140" i="431"/>
  <c r="CN150" i="431"/>
  <c r="CN214" i="431"/>
  <c r="CN210" i="431" s="1"/>
  <c r="S218" i="431"/>
  <c r="EE176" i="431"/>
  <c r="DK218" i="431"/>
  <c r="DK219" i="431" s="1"/>
  <c r="BV155" i="431"/>
  <c r="EC164" i="431"/>
  <c r="DU215" i="431"/>
  <c r="BW242" i="431"/>
  <c r="BU87" i="431"/>
  <c r="BF180" i="431"/>
  <c r="R170" i="431"/>
  <c r="S169" i="431"/>
  <c r="AQ202" i="431"/>
  <c r="EE169" i="431"/>
  <c r="BV140" i="431"/>
  <c r="DW173" i="431"/>
  <c r="DZ215" i="431"/>
  <c r="CA69" i="431"/>
  <c r="Q172" i="431"/>
  <c r="CB57" i="431"/>
  <c r="CY180" i="431"/>
  <c r="BU185" i="431"/>
  <c r="BU29" i="431"/>
  <c r="BU85" i="431"/>
  <c r="BU15" i="431"/>
  <c r="EC29" i="431"/>
  <c r="DT101" i="431"/>
  <c r="AQ148" i="431"/>
  <c r="DI151" i="431"/>
  <c r="CB164" i="431"/>
  <c r="DA163" i="431"/>
  <c r="DF164" i="431"/>
  <c r="DZ164" i="431"/>
  <c r="CK223" i="431"/>
  <c r="CP224" i="431" s="1"/>
  <c r="CK176" i="431"/>
  <c r="CZ210" i="431"/>
  <c r="CZ223" i="431"/>
  <c r="CZ224" i="431" s="1"/>
  <c r="DJ202" i="431"/>
  <c r="DJ223" i="431"/>
  <c r="DJ224" i="431" s="1"/>
  <c r="DJ210" i="431"/>
  <c r="DT202" i="431"/>
  <c r="DT155" i="431"/>
  <c r="DT140" i="431"/>
  <c r="DT215" i="431"/>
  <c r="EK243" i="431"/>
  <c r="EK242" i="431" s="1"/>
  <c r="CH260" i="431"/>
  <c r="DB271" i="431"/>
  <c r="DG272" i="431" s="1"/>
  <c r="DF272" i="431"/>
  <c r="EE206" i="431"/>
  <c r="DN224" i="431"/>
  <c r="FC18" i="431"/>
  <c r="EX18" i="431"/>
  <c r="DV62" i="431"/>
  <c r="AI216" i="431"/>
  <c r="AI377" i="431"/>
  <c r="DL46" i="431"/>
  <c r="CU46" i="431"/>
  <c r="DU46" i="431"/>
  <c r="BD59" i="431"/>
  <c r="N63" i="431"/>
  <c r="DE65" i="431"/>
  <c r="BR71" i="431"/>
  <c r="DB70" i="431"/>
  <c r="DG71" i="431" s="1"/>
  <c r="DV70" i="431"/>
  <c r="EF70" i="431"/>
  <c r="BB86" i="431"/>
  <c r="CP86" i="431"/>
  <c r="DV80" i="431"/>
  <c r="P80" i="431"/>
  <c r="CH80" i="431"/>
  <c r="Z133" i="431"/>
  <c r="U138" i="431"/>
  <c r="BD154" i="431"/>
  <c r="BD161" i="431"/>
  <c r="DT299" i="431"/>
  <c r="DU299" i="431" s="1"/>
  <c r="DS298" i="431"/>
  <c r="DB354" i="431"/>
  <c r="BZ374" i="431"/>
  <c r="BU105" i="431"/>
  <c r="BU107" i="431" s="1"/>
  <c r="CW159" i="431"/>
  <c r="CW156" i="431" s="1"/>
  <c r="CW165" i="431" s="1"/>
  <c r="CW166" i="431" s="1"/>
  <c r="CW162" i="431"/>
  <c r="DB163" i="431" s="1"/>
  <c r="BE170" i="431"/>
  <c r="BF170" i="431"/>
  <c r="CT170" i="431"/>
  <c r="CU170" i="431"/>
  <c r="K181" i="431"/>
  <c r="DR203" i="431"/>
  <c r="DS203" i="431"/>
  <c r="DU203" i="431"/>
  <c r="AM211" i="431"/>
  <c r="AO208" i="431"/>
  <c r="BZ211" i="431"/>
  <c r="CC213" i="431"/>
  <c r="CC212" i="431"/>
  <c r="W169" i="431"/>
  <c r="W223" i="431"/>
  <c r="AB224" i="431" s="1"/>
  <c r="W195" i="431"/>
  <c r="AI155" i="431"/>
  <c r="AI195" i="431"/>
  <c r="AS210" i="431"/>
  <c r="AS223" i="431"/>
  <c r="BF140" i="431"/>
  <c r="BF195" i="431"/>
  <c r="BO202" i="431"/>
  <c r="BO176" i="431"/>
  <c r="BO210" i="431"/>
  <c r="BZ216" i="431"/>
  <c r="DN183" i="431"/>
  <c r="DN176" i="431"/>
  <c r="EH223" i="431"/>
  <c r="EH334" i="431" s="1"/>
  <c r="EH195" i="431"/>
  <c r="EH215" i="431"/>
  <c r="BA224" i="431"/>
  <c r="AL198" i="431"/>
  <c r="EK272" i="431"/>
  <c r="CZ101" i="431"/>
  <c r="AL105" i="431"/>
  <c r="AL106" i="431" s="1"/>
  <c r="AL185" i="431"/>
  <c r="AQ186" i="431" s="1"/>
  <c r="DD377" i="431"/>
  <c r="DD99" i="431"/>
  <c r="DN15" i="431"/>
  <c r="DS27" i="431" s="1"/>
  <c r="DN375" i="431"/>
  <c r="DN378" i="431"/>
  <c r="DN197" i="431"/>
  <c r="DX144" i="431"/>
  <c r="DX379" i="431"/>
  <c r="DX375" i="431"/>
  <c r="DL42" i="431"/>
  <c r="DX66" i="431"/>
  <c r="AA103" i="431"/>
  <c r="AA135" i="431" s="1"/>
  <c r="AA86" i="431"/>
  <c r="DT86" i="431"/>
  <c r="CW95" i="431"/>
  <c r="DY101" i="431"/>
  <c r="ED98" i="431"/>
  <c r="ED100" i="431"/>
  <c r="AE140" i="431"/>
  <c r="BM170" i="431"/>
  <c r="BS168" i="431"/>
  <c r="BK170" i="431"/>
  <c r="AV177" i="431"/>
  <c r="BD175" i="431"/>
  <c r="AY175" i="431"/>
  <c r="AX177" i="431"/>
  <c r="DY177" i="431"/>
  <c r="EA175" i="431"/>
  <c r="DZ177" i="431"/>
  <c r="X184" i="431"/>
  <c r="Y184" i="431"/>
  <c r="V184" i="431"/>
  <c r="AE194" i="431"/>
  <c r="Y196" i="431"/>
  <c r="V196" i="431"/>
  <c r="BF196" i="431"/>
  <c r="BE196" i="431"/>
  <c r="DQ194" i="431"/>
  <c r="DO196" i="431"/>
  <c r="U200" i="431"/>
  <c r="W201" i="431"/>
  <c r="AW203" i="431"/>
  <c r="AX203" i="431"/>
  <c r="AU203" i="431"/>
  <c r="AR211" i="431"/>
  <c r="AS211" i="431"/>
  <c r="CF211" i="431"/>
  <c r="CE211" i="431"/>
  <c r="CH208" i="431"/>
  <c r="DV212" i="431"/>
  <c r="DT211" i="431"/>
  <c r="EA208" i="431"/>
  <c r="DR211" i="431"/>
  <c r="AU176" i="431"/>
  <c r="AU195" i="431"/>
  <c r="AU183" i="431"/>
  <c r="BP210" i="431"/>
  <c r="BP202" i="431"/>
  <c r="BP183" i="431"/>
  <c r="BP223" i="431"/>
  <c r="CU140" i="431"/>
  <c r="CU223" i="431"/>
  <c r="DY215" i="431"/>
  <c r="DY195" i="431"/>
  <c r="DG24" i="431"/>
  <c r="DV20" i="431"/>
  <c r="CW38" i="431"/>
  <c r="CW45" i="431"/>
  <c r="O64" i="431"/>
  <c r="T65" i="431" s="1"/>
  <c r="EE63" i="431"/>
  <c r="BN77" i="431"/>
  <c r="DQ77" i="431"/>
  <c r="DV77" i="431"/>
  <c r="AG86" i="431"/>
  <c r="AG87" i="431" s="1"/>
  <c r="BA86" i="431"/>
  <c r="AY95" i="431"/>
  <c r="DG118" i="431"/>
  <c r="I139" i="431"/>
  <c r="EB243" i="431"/>
  <c r="EB242" i="431" s="1"/>
  <c r="EK38" i="431"/>
  <c r="BD25" i="431"/>
  <c r="DB40" i="431"/>
  <c r="EJ53" i="431"/>
  <c r="AO73" i="431"/>
  <c r="AO70" i="431"/>
  <c r="AO68" i="431" s="1"/>
  <c r="EF258" i="431"/>
  <c r="EK50" i="431"/>
  <c r="EK40" i="431"/>
  <c r="DR29" i="431"/>
  <c r="DR126" i="431" s="1"/>
  <c r="CW36" i="431"/>
  <c r="AJ25" i="431"/>
  <c r="AE25" i="431"/>
  <c r="AY21" i="431"/>
  <c r="Z24" i="431"/>
  <c r="Z22" i="431"/>
  <c r="R141" i="431"/>
  <c r="EF75" i="431"/>
  <c r="F103" i="431"/>
  <c r="F135" i="431" s="1"/>
  <c r="F221" i="431" s="1"/>
  <c r="DH100" i="431"/>
  <c r="DM101" i="431" s="1"/>
  <c r="CI202" i="431"/>
  <c r="CI169" i="431"/>
  <c r="CI210" i="431"/>
  <c r="AT317" i="431"/>
  <c r="AY312" i="431"/>
  <c r="CN155" i="431"/>
  <c r="CN195" i="431"/>
  <c r="DU103" i="431"/>
  <c r="S140" i="431"/>
  <c r="DW120" i="431"/>
  <c r="CH13" i="434" s="1"/>
  <c r="DW243" i="431"/>
  <c r="DW242" i="431" s="1"/>
  <c r="EA75" i="431"/>
  <c r="BI95" i="431"/>
  <c r="Q211" i="431"/>
  <c r="CJ59" i="431"/>
  <c r="DX141" i="431"/>
  <c r="DW141" i="431"/>
  <c r="DY141" i="431"/>
  <c r="DZ141" i="431"/>
  <c r="EA150" i="431"/>
  <c r="EA147" i="431"/>
  <c r="DG147" i="431"/>
  <c r="DG148" i="431" s="1"/>
  <c r="DG150" i="431"/>
  <c r="DG143" i="431"/>
  <c r="AP151" i="431"/>
  <c r="AU151" i="431"/>
  <c r="BQ151" i="431"/>
  <c r="BL151" i="431"/>
  <c r="BV152" i="431"/>
  <c r="BV151" i="431"/>
  <c r="CA151" i="431"/>
  <c r="DO151" i="431"/>
  <c r="DJ151" i="431"/>
  <c r="DT151" i="431"/>
  <c r="DY151" i="431"/>
  <c r="DT152" i="431"/>
  <c r="AT161" i="431"/>
  <c r="AT159" i="431"/>
  <c r="AT156" i="431" s="1"/>
  <c r="BS159" i="431"/>
  <c r="BS156" i="431" s="1"/>
  <c r="BS161" i="431"/>
  <c r="BX161" i="431"/>
  <c r="CW154" i="431"/>
  <c r="CR154" i="431"/>
  <c r="DL154" i="431"/>
  <c r="DQ154" i="431"/>
  <c r="EK154" i="431"/>
  <c r="EF214" i="431"/>
  <c r="DU163" i="431"/>
  <c r="DP164" i="431"/>
  <c r="AP170" i="431"/>
  <c r="AS170" i="431"/>
  <c r="CD170" i="431"/>
  <c r="CG170" i="431"/>
  <c r="CF170" i="431"/>
  <c r="CE170" i="431"/>
  <c r="DS170" i="431"/>
  <c r="DU170" i="431"/>
  <c r="DV168" i="431"/>
  <c r="J175" i="431"/>
  <c r="O175" i="431"/>
  <c r="AD177" i="431"/>
  <c r="AB177" i="431"/>
  <c r="BQ177" i="431"/>
  <c r="BS175" i="431"/>
  <c r="BR177" i="431"/>
  <c r="BO177" i="431"/>
  <c r="DD177" i="431"/>
  <c r="DC177" i="431"/>
  <c r="F181" i="431"/>
  <c r="K182" i="431" s="1"/>
  <c r="H182" i="431"/>
  <c r="C214" i="431"/>
  <c r="C140" i="431" s="1"/>
  <c r="P181" i="431"/>
  <c r="O184" i="431" s="1"/>
  <c r="O182" i="431"/>
  <c r="T182" i="431"/>
  <c r="AQ184" i="431"/>
  <c r="AR184" i="431"/>
  <c r="AP184" i="431"/>
  <c r="AS184" i="431"/>
  <c r="AT182" i="431"/>
  <c r="CH182" i="431"/>
  <c r="CE184" i="431"/>
  <c r="CF184" i="431"/>
  <c r="CD184" i="431"/>
  <c r="CG184" i="431"/>
  <c r="DV182" i="431"/>
  <c r="DT184" i="431"/>
  <c r="DS184" i="431"/>
  <c r="DU184" i="431"/>
  <c r="O194" i="431"/>
  <c r="O197" i="431"/>
  <c r="AQ196" i="431"/>
  <c r="AP196" i="431"/>
  <c r="AT194" i="431"/>
  <c r="AY194" i="431"/>
  <c r="BR196" i="431"/>
  <c r="BP196" i="431"/>
  <c r="BQ196" i="431"/>
  <c r="BX194" i="431"/>
  <c r="BO196" i="431"/>
  <c r="CT214" i="431"/>
  <c r="CY194" i="431"/>
  <c r="CT194" i="431"/>
  <c r="CW193" i="431"/>
  <c r="DB194" i="431" s="1"/>
  <c r="AC203" i="431"/>
  <c r="AE201" i="431"/>
  <c r="AA203" i="431"/>
  <c r="AB203" i="431"/>
  <c r="AD203" i="431"/>
  <c r="BQ203" i="431"/>
  <c r="BP203" i="431"/>
  <c r="BO203" i="431"/>
  <c r="BR203" i="431"/>
  <c r="BS201" i="431"/>
  <c r="DE203" i="431"/>
  <c r="DF203" i="431"/>
  <c r="DC203" i="431"/>
  <c r="DD203" i="431"/>
  <c r="H208" i="431"/>
  <c r="K207" i="431"/>
  <c r="K208" i="431" s="1"/>
  <c r="V211" i="431"/>
  <c r="W211" i="431"/>
  <c r="Y211" i="431"/>
  <c r="X211" i="431"/>
  <c r="BN213" i="431"/>
  <c r="BK211" i="431"/>
  <c r="BJ211" i="431"/>
  <c r="BN208" i="431"/>
  <c r="BL211" i="431"/>
  <c r="BN212" i="431"/>
  <c r="F11" i="455"/>
  <c r="CZ211" i="431"/>
  <c r="CX211" i="431"/>
  <c r="DB212" i="431"/>
  <c r="CY211" i="431"/>
  <c r="DB208" i="431"/>
  <c r="DB213" i="431"/>
  <c r="L195" i="431"/>
  <c r="L176" i="431"/>
  <c r="L183" i="431"/>
  <c r="L140" i="431"/>
  <c r="L215" i="431"/>
  <c r="L223" i="431"/>
  <c r="L224" i="431" s="1"/>
  <c r="L216" i="431"/>
  <c r="L218" i="431"/>
  <c r="L169" i="431"/>
  <c r="AI215" i="431"/>
  <c r="AD215" i="431"/>
  <c r="AD218" i="431"/>
  <c r="AI219" i="431" s="1"/>
  <c r="AD216" i="431"/>
  <c r="AD202" i="431"/>
  <c r="AD210" i="431"/>
  <c r="AD140" i="431"/>
  <c r="AP195" i="431"/>
  <c r="AP223" i="431"/>
  <c r="AP224" i="431" s="1"/>
  <c r="AP140" i="431"/>
  <c r="AP210" i="431"/>
  <c r="AP202" i="431"/>
  <c r="AP169" i="431"/>
  <c r="AP183" i="431"/>
  <c r="AP155" i="431"/>
  <c r="AU215" i="431"/>
  <c r="AP176" i="431"/>
  <c r="BA216" i="431"/>
  <c r="BA190" i="431"/>
  <c r="BA155" i="431"/>
  <c r="BA210" i="431"/>
  <c r="BA169" i="431"/>
  <c r="BA202" i="431"/>
  <c r="BA176" i="431"/>
  <c r="BA215" i="431"/>
  <c r="BA183" i="431"/>
  <c r="BA140" i="431"/>
  <c r="BL210" i="431"/>
  <c r="BL190" i="431"/>
  <c r="BL183" i="431"/>
  <c r="BL195" i="431"/>
  <c r="BL176" i="431"/>
  <c r="BL202" i="431"/>
  <c r="BL223" i="431"/>
  <c r="BQ215" i="431"/>
  <c r="BL169" i="431"/>
  <c r="BU215" i="431"/>
  <c r="BU155" i="431"/>
  <c r="BU190" i="431"/>
  <c r="BU216" i="431"/>
  <c r="BU210" i="431"/>
  <c r="BU195" i="431"/>
  <c r="BU140" i="431"/>
  <c r="BU169" i="431"/>
  <c r="EC302" i="431"/>
  <c r="EC304" i="431" s="1"/>
  <c r="EB304" i="431"/>
  <c r="EJ244" i="431"/>
  <c r="AG56" i="431"/>
  <c r="DF54" i="431"/>
  <c r="DK53" i="431"/>
  <c r="AR64" i="431"/>
  <c r="AW65" i="431" s="1"/>
  <c r="AW62" i="431"/>
  <c r="AR62" i="431"/>
  <c r="BE71" i="431"/>
  <c r="AZ68" i="431"/>
  <c r="AZ71" i="431"/>
  <c r="AT70" i="431"/>
  <c r="AT71" i="431" s="1"/>
  <c r="AY75" i="431"/>
  <c r="DW115" i="431"/>
  <c r="DW116" i="431" s="1"/>
  <c r="CH11" i="434" s="1"/>
  <c r="EB115" i="431"/>
  <c r="EB116" i="431" s="1"/>
  <c r="CM11" i="434" s="1"/>
  <c r="EB118" i="431"/>
  <c r="H139" i="431"/>
  <c r="M139" i="431"/>
  <c r="W55" i="431"/>
  <c r="AB56" i="431" s="1"/>
  <c r="AB53" i="431"/>
  <c r="U58" i="431"/>
  <c r="Z59" i="431" s="1"/>
  <c r="R59" i="431"/>
  <c r="R64" i="431"/>
  <c r="R103" i="431"/>
  <c r="R135" i="431" s="1"/>
  <c r="W59" i="431"/>
  <c r="DL59" i="431"/>
  <c r="DQ59" i="431"/>
  <c r="X64" i="431"/>
  <c r="X62" i="431"/>
  <c r="AC62" i="431"/>
  <c r="BV64" i="431"/>
  <c r="CA62" i="431"/>
  <c r="AR60" i="431"/>
  <c r="AR221" i="431"/>
  <c r="CF103" i="431"/>
  <c r="CK104" i="431" s="1"/>
  <c r="CF81" i="431"/>
  <c r="EE135" i="431"/>
  <c r="AZ100" i="431"/>
  <c r="BE101" i="431" s="1"/>
  <c r="AZ99" i="431"/>
  <c r="BE98" i="431"/>
  <c r="DE116" i="431"/>
  <c r="DG115" i="431"/>
  <c r="DG116" i="431" s="1"/>
  <c r="DU292" i="431"/>
  <c r="EF117" i="431"/>
  <c r="EE115" i="431"/>
  <c r="DL44" i="431"/>
  <c r="AG53" i="431"/>
  <c r="CN202" i="431"/>
  <c r="AU71" i="431"/>
  <c r="CF86" i="431"/>
  <c r="DI56" i="431"/>
  <c r="CS66" i="431"/>
  <c r="CT66" i="431"/>
  <c r="CX198" i="431"/>
  <c r="DH98" i="431"/>
  <c r="DJ148" i="431"/>
  <c r="EF150" i="431"/>
  <c r="AP68" i="431"/>
  <c r="BV86" i="431"/>
  <c r="BV87" i="431" s="1"/>
  <c r="EJ66" i="431"/>
  <c r="EN65" i="431"/>
  <c r="AL53" i="431"/>
  <c r="V106" i="431"/>
  <c r="CL104" i="431"/>
  <c r="CG135" i="431"/>
  <c r="CG71" i="431"/>
  <c r="EF80" i="431"/>
  <c r="EK139" i="431"/>
  <c r="BV103" i="431"/>
  <c r="BV135" i="431" s="1"/>
  <c r="BV82" i="431" s="1"/>
  <c r="BU54" i="431"/>
  <c r="BU53" i="431"/>
  <c r="CS55" i="431"/>
  <c r="CT57" i="431" s="1"/>
  <c r="CX53" i="431"/>
  <c r="CS54" i="431"/>
  <c r="AH64" i="431"/>
  <c r="AM62" i="431"/>
  <c r="AH62" i="431"/>
  <c r="BL64" i="431"/>
  <c r="BL65" i="431" s="1"/>
  <c r="BL62" i="431"/>
  <c r="DJ64" i="431"/>
  <c r="DJ66" i="431" s="1"/>
  <c r="DJ62" i="431"/>
  <c r="DT64" i="431"/>
  <c r="DY65" i="431" s="1"/>
  <c r="DT62" i="431"/>
  <c r="DY62" i="431"/>
  <c r="CL68" i="431"/>
  <c r="CQ69" i="431" s="1"/>
  <c r="CL71" i="431"/>
  <c r="DK103" i="431"/>
  <c r="DK135" i="431" s="1"/>
  <c r="DP81" i="431"/>
  <c r="DL80" i="431"/>
  <c r="DK86" i="431"/>
  <c r="DV95" i="431"/>
  <c r="EA95" i="431"/>
  <c r="CU116" i="431"/>
  <c r="CW115" i="431"/>
  <c r="CW116" i="431" s="1"/>
  <c r="BE139" i="431"/>
  <c r="BJ139" i="431"/>
  <c r="BE147" i="431"/>
  <c r="BE150" i="431"/>
  <c r="BI138" i="431"/>
  <c r="BE214" i="431"/>
  <c r="BE215" i="431" s="1"/>
  <c r="BX143" i="431"/>
  <c r="DT148" i="431"/>
  <c r="DO148" i="431"/>
  <c r="EN148" i="431"/>
  <c r="AS148" i="431"/>
  <c r="AX148" i="431"/>
  <c r="AV151" i="431"/>
  <c r="AQ151" i="431"/>
  <c r="BB151" i="431"/>
  <c r="BB152" i="431"/>
  <c r="BR151" i="431"/>
  <c r="BO152" i="431"/>
  <c r="BM152" i="431"/>
  <c r="DL162" i="431"/>
  <c r="DQ163" i="431" s="1"/>
  <c r="AG54" i="431"/>
  <c r="BZ224" i="431"/>
  <c r="BU224" i="431"/>
  <c r="BI59" i="431"/>
  <c r="EG66" i="431"/>
  <c r="AP173" i="431"/>
  <c r="CM75" i="431"/>
  <c r="DA86" i="431"/>
  <c r="Q98" i="431"/>
  <c r="H214" i="431"/>
  <c r="H183" i="431" s="1"/>
  <c r="EH184" i="431"/>
  <c r="EJ184" i="431"/>
  <c r="EI184" i="431"/>
  <c r="EG184" i="431"/>
  <c r="BL81" i="431"/>
  <c r="DA211" i="431"/>
  <c r="BX70" i="431"/>
  <c r="BX75" i="431"/>
  <c r="CW75" i="431"/>
  <c r="CR75" i="431"/>
  <c r="I103" i="431"/>
  <c r="I135" i="431" s="1"/>
  <c r="N81" i="431"/>
  <c r="DA120" i="431"/>
  <c r="BL13" i="434" s="1"/>
  <c r="DA135" i="431"/>
  <c r="CN116" i="431"/>
  <c r="CR115" i="431"/>
  <c r="CR116" i="431" s="1"/>
  <c r="EC141" i="431"/>
  <c r="EF147" i="431"/>
  <c r="EF139" i="431"/>
  <c r="EE141" i="431"/>
  <c r="DL147" i="431"/>
  <c r="DQ143" i="431"/>
  <c r="DL150" i="431"/>
  <c r="DB75" i="431"/>
  <c r="DJ221" i="431"/>
  <c r="DJ51" i="431"/>
  <c r="EB141" i="431"/>
  <c r="AK65" i="431"/>
  <c r="EE205" i="431"/>
  <c r="DZ206" i="431"/>
  <c r="DX51" i="431"/>
  <c r="DX60" i="431"/>
  <c r="CY27" i="431"/>
  <c r="AG218" i="431"/>
  <c r="AG210" i="431"/>
  <c r="AG195" i="431"/>
  <c r="DY60" i="431"/>
  <c r="DY96" i="431"/>
  <c r="EA68" i="431"/>
  <c r="AE183" i="431"/>
  <c r="AE169" i="431"/>
  <c r="CM182" i="431"/>
  <c r="CR159" i="431"/>
  <c r="CR156" i="431" s="1"/>
  <c r="CR165" i="431" s="1"/>
  <c r="CR166" i="431" s="1"/>
  <c r="CR162" i="431"/>
  <c r="EF159" i="431"/>
  <c r="EF156" i="431" s="1"/>
  <c r="EF165" i="431" s="1"/>
  <c r="EF166" i="431" s="1"/>
  <c r="EK161" i="431"/>
  <c r="EF161" i="431"/>
  <c r="CN164" i="431"/>
  <c r="CN163" i="431"/>
  <c r="CO164" i="431"/>
  <c r="CY164" i="431"/>
  <c r="DC163" i="431"/>
  <c r="CX163" i="431"/>
  <c r="DH163" i="431"/>
  <c r="DI164" i="431"/>
  <c r="DM163" i="431"/>
  <c r="DR163" i="431"/>
  <c r="DW163" i="431"/>
  <c r="AV170" i="431"/>
  <c r="AX170" i="431"/>
  <c r="AU170" i="431"/>
  <c r="AW170" i="431"/>
  <c r="BD168" i="431"/>
  <c r="CJ170" i="431"/>
  <c r="CL170" i="431"/>
  <c r="CK170" i="431"/>
  <c r="CI170" i="431"/>
  <c r="CM168" i="431"/>
  <c r="CR168" i="431"/>
  <c r="DY170" i="431"/>
  <c r="DZ170" i="431"/>
  <c r="EA168" i="431"/>
  <c r="EF168" i="431"/>
  <c r="M175" i="431"/>
  <c r="P174" i="431"/>
  <c r="AH177" i="431"/>
  <c r="AJ175" i="431"/>
  <c r="AG177" i="431"/>
  <c r="AI177" i="431"/>
  <c r="AF177" i="431"/>
  <c r="AO175" i="431"/>
  <c r="BW177" i="431"/>
  <c r="BX175" i="431"/>
  <c r="BV177" i="431"/>
  <c r="BU177" i="431"/>
  <c r="BT177" i="431"/>
  <c r="I182" i="431"/>
  <c r="D214" i="431"/>
  <c r="W182" i="431"/>
  <c r="U181" i="431"/>
  <c r="Q184" i="431" s="1"/>
  <c r="AU184" i="431"/>
  <c r="BD182" i="431"/>
  <c r="AX184" i="431"/>
  <c r="AW184" i="431"/>
  <c r="CL184" i="431"/>
  <c r="CJ184" i="431"/>
  <c r="CK184" i="431"/>
  <c r="CR182" i="431"/>
  <c r="CI184" i="431"/>
  <c r="DY184" i="431"/>
  <c r="EF182" i="431"/>
  <c r="DA196" i="431"/>
  <c r="CX196" i="431"/>
  <c r="DG194" i="431"/>
  <c r="CY196" i="431"/>
  <c r="CZ196" i="431"/>
  <c r="M201" i="431"/>
  <c r="R201" i="431"/>
  <c r="AJ200" i="431"/>
  <c r="AG203" i="431" s="1"/>
  <c r="AG201" i="431"/>
  <c r="AL201" i="431"/>
  <c r="BT203" i="431"/>
  <c r="BV203" i="431"/>
  <c r="BX201" i="431"/>
  <c r="BW203" i="431"/>
  <c r="DH203" i="431"/>
  <c r="DL201" i="431"/>
  <c r="DQ201" i="431"/>
  <c r="DI203" i="431"/>
  <c r="DK203" i="431"/>
  <c r="AC211" i="431"/>
  <c r="AD211" i="431"/>
  <c r="AB211" i="431"/>
  <c r="BR211" i="431"/>
  <c r="BS212" i="431"/>
  <c r="BO211" i="431"/>
  <c r="BS208" i="431"/>
  <c r="BS213" i="431"/>
  <c r="BP211" i="431"/>
  <c r="BQ211" i="431"/>
  <c r="BX208" i="431"/>
  <c r="DC211" i="431"/>
  <c r="DG208" i="431"/>
  <c r="DG213" i="431"/>
  <c r="DF211" i="431"/>
  <c r="DG212" i="431"/>
  <c r="DG214" i="431"/>
  <c r="DG210" i="431" s="1"/>
  <c r="DE211" i="431"/>
  <c r="Q215" i="431"/>
  <c r="V215" i="431"/>
  <c r="Q223" i="431"/>
  <c r="Q195" i="431"/>
  <c r="Q202" i="431"/>
  <c r="Q169" i="431"/>
  <c r="Q183" i="431"/>
  <c r="Q210" i="431"/>
  <c r="AF223" i="431"/>
  <c r="AF176" i="431"/>
  <c r="AK215" i="431"/>
  <c r="AF169" i="431"/>
  <c r="AF216" i="431"/>
  <c r="AF155" i="431"/>
  <c r="AF210" i="431"/>
  <c r="AQ216" i="431"/>
  <c r="AV217" i="431" s="1"/>
  <c r="AQ215" i="431"/>
  <c r="AQ169" i="431"/>
  <c r="BB210" i="431"/>
  <c r="BB183" i="431"/>
  <c r="BB140" i="431"/>
  <c r="BB195" i="431"/>
  <c r="BB190" i="431"/>
  <c r="BB223" i="431"/>
  <c r="BG224" i="431" s="1"/>
  <c r="EH302" i="431"/>
  <c r="EH304" i="431" s="1"/>
  <c r="EG304" i="431"/>
  <c r="EE152" i="431"/>
  <c r="BQ141" i="431"/>
  <c r="AC141" i="431"/>
  <c r="DS104" i="431"/>
  <c r="CH267" i="431"/>
  <c r="AQ176" i="431"/>
  <c r="DW63" i="431"/>
  <c r="CS63" i="431"/>
  <c r="CX27" i="431"/>
  <c r="Q63" i="431"/>
  <c r="BS214" i="431"/>
  <c r="BS155" i="431" s="1"/>
  <c r="BY187" i="431"/>
  <c r="AQ218" i="431"/>
  <c r="AG204" i="431"/>
  <c r="DG42" i="431"/>
  <c r="R175" i="431"/>
  <c r="BB176" i="431"/>
  <c r="CR100" i="431"/>
  <c r="Q375" i="431"/>
  <c r="Q99" i="431"/>
  <c r="AA379" i="431"/>
  <c r="AA15" i="431"/>
  <c r="AA16" i="431" s="1"/>
  <c r="AA380" i="431"/>
  <c r="AA14" i="431"/>
  <c r="AK374" i="431"/>
  <c r="AK379" i="431"/>
  <c r="AK377" i="431"/>
  <c r="AU15" i="431"/>
  <c r="AU185" i="431"/>
  <c r="AZ186" i="431" s="1"/>
  <c r="AU374" i="431"/>
  <c r="AU171" i="431"/>
  <c r="AU172" i="431" s="1"/>
  <c r="AU379" i="431"/>
  <c r="BE375" i="431"/>
  <c r="BF14" i="431"/>
  <c r="BO377" i="431"/>
  <c r="BO216" i="431"/>
  <c r="BO99" i="431"/>
  <c r="BO191" i="431"/>
  <c r="BT192" i="431" s="1"/>
  <c r="BO144" i="431"/>
  <c r="BO185" i="431"/>
  <c r="BP14" i="431"/>
  <c r="BO379" i="431"/>
  <c r="BY379" i="431"/>
  <c r="BY171" i="431"/>
  <c r="BY144" i="431"/>
  <c r="BY145" i="431" s="1"/>
  <c r="BY197" i="431"/>
  <c r="BY29" i="431"/>
  <c r="BY30" i="431" s="1"/>
  <c r="BY374" i="431"/>
  <c r="BY105" i="431"/>
  <c r="CD106" i="431" s="1"/>
  <c r="BY377" i="431"/>
  <c r="BZ14" i="431"/>
  <c r="BY26" i="431"/>
  <c r="BY32" i="431"/>
  <c r="BZ34" i="431" s="1"/>
  <c r="BY191" i="431"/>
  <c r="BY192" i="431" s="1"/>
  <c r="BY14" i="431"/>
  <c r="CI204" i="431"/>
  <c r="CI144" i="431"/>
  <c r="CI146" i="431" s="1"/>
  <c r="CI376" i="431"/>
  <c r="CI15" i="431"/>
  <c r="CI16" i="431" s="1"/>
  <c r="CI380" i="431"/>
  <c r="CI14" i="431"/>
  <c r="CI377" i="431"/>
  <c r="CI197" i="431"/>
  <c r="CI379" i="431"/>
  <c r="CJ14" i="431"/>
  <c r="CI185" i="431"/>
  <c r="CI374" i="431"/>
  <c r="DC380" i="431"/>
  <c r="DC178" i="431"/>
  <c r="DC216" i="431"/>
  <c r="DC197" i="431"/>
  <c r="DC199" i="431" s="1"/>
  <c r="DC171" i="431"/>
  <c r="DC172" i="431" s="1"/>
  <c r="DC32" i="431"/>
  <c r="DC34" i="431" s="1"/>
  <c r="DC29" i="431"/>
  <c r="DC105" i="431"/>
  <c r="DC376" i="431"/>
  <c r="DC185" i="431"/>
  <c r="DC379" i="431"/>
  <c r="DC144" i="431"/>
  <c r="DH145" i="431" s="1"/>
  <c r="DW379" i="431"/>
  <c r="DW216" i="431"/>
  <c r="DW178" i="431"/>
  <c r="DW374" i="431"/>
  <c r="DW14" i="431"/>
  <c r="DW378" i="431"/>
  <c r="DW15" i="431"/>
  <c r="DX16" i="431" s="1"/>
  <c r="DW376" i="431"/>
  <c r="DW375" i="431"/>
  <c r="DW32" i="431"/>
  <c r="DX34" i="431" s="1"/>
  <c r="DW380" i="431"/>
  <c r="DW54" i="431"/>
  <c r="DW185" i="431"/>
  <c r="DW218" i="431"/>
  <c r="EG85" i="431"/>
  <c r="EG380" i="431"/>
  <c r="EG15" i="431"/>
  <c r="EG379" i="431"/>
  <c r="EG377" i="431"/>
  <c r="EG171" i="431"/>
  <c r="EG173" i="431" s="1"/>
  <c r="EG375" i="431"/>
  <c r="EG197" i="431"/>
  <c r="EG199" i="431" s="1"/>
  <c r="EG14" i="431"/>
  <c r="EG204" i="431"/>
  <c r="DU36" i="431"/>
  <c r="DZ36" i="431"/>
  <c r="AT50" i="431"/>
  <c r="AO50" i="431"/>
  <c r="BM55" i="431"/>
  <c r="BM53" i="431"/>
  <c r="DD53" i="431"/>
  <c r="CY54" i="431"/>
  <c r="EH53" i="431"/>
  <c r="EC55" i="431"/>
  <c r="AH68" i="431"/>
  <c r="AM71" i="431"/>
  <c r="CP100" i="431"/>
  <c r="CQ102" i="431" s="1"/>
  <c r="CP98" i="431"/>
  <c r="BN259" i="431"/>
  <c r="BN258" i="431" s="1"/>
  <c r="BS139" i="431"/>
  <c r="EC104" i="431"/>
  <c r="DQ202" i="431"/>
  <c r="AQ195" i="431"/>
  <c r="AF195" i="431"/>
  <c r="EH71" i="431"/>
  <c r="DW62" i="431"/>
  <c r="M178" i="431"/>
  <c r="DH62" i="431"/>
  <c r="AD172" i="431"/>
  <c r="DF151" i="431"/>
  <c r="AA81" i="431"/>
  <c r="AJ139" i="431"/>
  <c r="DD211" i="431"/>
  <c r="Q140" i="431"/>
  <c r="DQ21" i="431"/>
  <c r="DQ13" i="431"/>
  <c r="S374" i="431"/>
  <c r="S197" i="431"/>
  <c r="S185" i="431"/>
  <c r="S15" i="431"/>
  <c r="S380" i="431"/>
  <c r="S171" i="431"/>
  <c r="T173" i="431" s="1"/>
  <c r="AC171" i="431"/>
  <c r="AD173" i="431" s="1"/>
  <c r="AC375" i="431"/>
  <c r="AC377" i="431"/>
  <c r="AC380" i="431"/>
  <c r="AC185" i="431"/>
  <c r="AC216" i="431"/>
  <c r="AM185" i="431"/>
  <c r="AM377" i="431"/>
  <c r="AM380" i="431"/>
  <c r="AM376" i="431"/>
  <c r="AM63" i="431"/>
  <c r="AM15" i="431"/>
  <c r="AN16" i="431" s="1"/>
  <c r="AM171" i="431"/>
  <c r="AM173" i="431" s="1"/>
  <c r="AM105" i="431"/>
  <c r="AM107" i="431" s="1"/>
  <c r="AW380" i="431"/>
  <c r="AW376" i="431"/>
  <c r="AW378" i="431"/>
  <c r="BG185" i="431"/>
  <c r="BH14" i="431"/>
  <c r="BQ171" i="431"/>
  <c r="BQ173" i="431" s="1"/>
  <c r="BQ374" i="431"/>
  <c r="BQ380" i="431"/>
  <c r="BQ15" i="431"/>
  <c r="BQ16" i="431" s="1"/>
  <c r="CA197" i="431"/>
  <c r="CA199" i="431" s="1"/>
  <c r="CA15" i="431"/>
  <c r="CB16" i="431" s="1"/>
  <c r="CA376" i="431"/>
  <c r="CA29" i="431"/>
  <c r="CA126" i="431" s="1"/>
  <c r="CA32" i="431"/>
  <c r="CA34" i="431" s="1"/>
  <c r="CA105" i="431"/>
  <c r="CA107" i="431" s="1"/>
  <c r="CA124" i="431" s="1"/>
  <c r="CA191" i="431"/>
  <c r="CA99" i="431"/>
  <c r="CA144" i="431"/>
  <c r="CA146" i="431" s="1"/>
  <c r="CB14" i="431"/>
  <c r="CA85" i="431"/>
  <c r="CK380" i="431"/>
  <c r="CK178" i="431"/>
  <c r="CK99" i="431"/>
  <c r="CK197" i="431"/>
  <c r="CK199" i="431" s="1"/>
  <c r="CK144" i="431"/>
  <c r="CK374" i="431"/>
  <c r="CK29" i="431"/>
  <c r="CK126" i="431" s="1"/>
  <c r="CK63" i="431"/>
  <c r="CK14" i="431"/>
  <c r="CK204" i="431"/>
  <c r="CK376" i="431"/>
  <c r="CU377" i="431"/>
  <c r="CU374" i="431"/>
  <c r="CU99" i="431"/>
  <c r="CU144" i="431"/>
  <c r="CU32" i="431"/>
  <c r="CU376" i="431"/>
  <c r="CU197" i="431"/>
  <c r="CU378" i="431"/>
  <c r="CU15" i="431"/>
  <c r="CU218" i="431"/>
  <c r="DE99" i="431"/>
  <c r="DE32" i="431"/>
  <c r="DE33" i="431" s="1"/>
  <c r="DE378" i="431"/>
  <c r="DE204" i="431"/>
  <c r="DE197" i="431"/>
  <c r="DE63" i="431"/>
  <c r="DO376" i="431"/>
  <c r="DO218" i="431"/>
  <c r="DO380" i="431"/>
  <c r="DO105" i="431"/>
  <c r="DO106" i="431" s="1"/>
  <c r="DO14" i="431"/>
  <c r="DY379" i="431"/>
  <c r="DY197" i="431"/>
  <c r="DY14" i="431"/>
  <c r="EN26" i="431"/>
  <c r="EI197" i="431"/>
  <c r="EJ199" i="431" s="1"/>
  <c r="EI379" i="431"/>
  <c r="EI29" i="431"/>
  <c r="EI31" i="431" s="1"/>
  <c r="R168" i="431"/>
  <c r="CW161" i="431"/>
  <c r="DI46" i="431"/>
  <c r="DN46" i="431"/>
  <c r="BC53" i="431"/>
  <c r="BH53" i="431"/>
  <c r="DX53" i="431"/>
  <c r="DS55" i="431"/>
  <c r="E221" i="431"/>
  <c r="E134" i="431"/>
  <c r="AB141" i="431"/>
  <c r="AA141" i="431"/>
  <c r="AD141" i="431"/>
  <c r="DW152" i="431"/>
  <c r="BS147" i="431"/>
  <c r="EC81" i="431"/>
  <c r="DQ223" i="431"/>
  <c r="DI53" i="431"/>
  <c r="CH214" i="431"/>
  <c r="CH202" i="431" s="1"/>
  <c r="AQ140" i="431"/>
  <c r="CF88" i="431"/>
  <c r="EG62" i="431"/>
  <c r="AV215" i="431"/>
  <c r="M204" i="431"/>
  <c r="R205" i="431" s="1"/>
  <c r="AR65" i="431"/>
  <c r="DS164" i="431"/>
  <c r="Q216" i="431"/>
  <c r="V217" i="431" s="1"/>
  <c r="AJ208" i="431"/>
  <c r="Q176" i="431"/>
  <c r="AF215" i="431"/>
  <c r="CB53" i="431"/>
  <c r="BW53" i="431"/>
  <c r="BO64" i="431"/>
  <c r="BT65" i="431" s="1"/>
  <c r="BO63" i="431"/>
  <c r="BT62" i="431"/>
  <c r="DS68" i="431"/>
  <c r="DS69" i="431" s="1"/>
  <c r="DS71" i="431"/>
  <c r="BS79" i="431"/>
  <c r="BN79" i="431"/>
  <c r="CH79" i="431"/>
  <c r="CM79" i="431"/>
  <c r="Q103" i="431"/>
  <c r="V81" i="431"/>
  <c r="BE86" i="431"/>
  <c r="BJ81" i="431"/>
  <c r="BE81" i="431"/>
  <c r="BS95" i="431"/>
  <c r="BX95" i="431"/>
  <c r="DJ98" i="431"/>
  <c r="DJ100" i="431"/>
  <c r="AT258" i="431"/>
  <c r="AT267" i="431"/>
  <c r="CX179" i="431"/>
  <c r="DX81" i="431"/>
  <c r="EG187" i="431"/>
  <c r="DL161" i="431"/>
  <c r="CR161" i="431"/>
  <c r="AQ183" i="431"/>
  <c r="EF38" i="431"/>
  <c r="DQ63" i="431"/>
  <c r="I208" i="431"/>
  <c r="DK151" i="431"/>
  <c r="AQ223" i="431"/>
  <c r="EN56" i="431"/>
  <c r="CI63" i="431"/>
  <c r="DX107" i="431"/>
  <c r="DX109" i="431" s="1"/>
  <c r="AE208" i="431"/>
  <c r="AV184" i="431"/>
  <c r="DQ161" i="431"/>
  <c r="DY102" i="431"/>
  <c r="DG25" i="431"/>
  <c r="R15" i="431"/>
  <c r="R16" i="431" s="1"/>
  <c r="R374" i="431"/>
  <c r="AB15" i="431"/>
  <c r="AG27" i="431" s="1"/>
  <c r="AB178" i="431"/>
  <c r="AB379" i="431"/>
  <c r="AB374" i="431"/>
  <c r="AL144" i="431"/>
  <c r="AQ145" i="431" s="1"/>
  <c r="AL26" i="431"/>
  <c r="AV171" i="431"/>
  <c r="AV172" i="431" s="1"/>
  <c r="AV218" i="431"/>
  <c r="AV375" i="431"/>
  <c r="AV26" i="431"/>
  <c r="AV99" i="431"/>
  <c r="BZ178" i="431"/>
  <c r="BZ29" i="431"/>
  <c r="BZ379" i="431"/>
  <c r="BZ171" i="431"/>
  <c r="BZ204" i="431"/>
  <c r="BZ205" i="431" s="1"/>
  <c r="CJ216" i="431"/>
  <c r="CO217" i="431" s="1"/>
  <c r="CJ178" i="431"/>
  <c r="CJ179" i="431" s="1"/>
  <c r="CJ144" i="431"/>
  <c r="CJ99" i="431"/>
  <c r="CT374" i="431"/>
  <c r="CT63" i="431"/>
  <c r="DD376" i="431"/>
  <c r="DD15" i="431"/>
  <c r="DE16" i="431" s="1"/>
  <c r="DD374" i="431"/>
  <c r="DD29" i="431"/>
  <c r="DD31" i="431" s="1"/>
  <c r="DD185" i="431"/>
  <c r="DD63" i="431"/>
  <c r="DN377" i="431"/>
  <c r="DN105" i="431"/>
  <c r="DN106" i="431" s="1"/>
  <c r="DN54" i="431"/>
  <c r="DN171" i="431"/>
  <c r="DN173" i="431" s="1"/>
  <c r="DN379" i="431"/>
  <c r="DN216" i="431"/>
  <c r="DN29" i="431"/>
  <c r="DN126" i="431" s="1"/>
  <c r="DN32" i="431"/>
  <c r="DS33" i="431" s="1"/>
  <c r="DN218" i="431"/>
  <c r="DN376" i="431"/>
  <c r="DN204" i="431"/>
  <c r="DS205" i="431" s="1"/>
  <c r="DX204" i="431"/>
  <c r="DX205" i="431" s="1"/>
  <c r="DX374" i="431"/>
  <c r="DX380" i="431"/>
  <c r="DX197" i="431"/>
  <c r="DX376" i="431"/>
  <c r="DX185" i="431"/>
  <c r="DX178" i="431"/>
  <c r="DX179" i="431" s="1"/>
  <c r="DX14" i="431"/>
  <c r="DX171" i="431"/>
  <c r="DX173" i="431" s="1"/>
  <c r="DX216" i="431"/>
  <c r="DX218" i="431"/>
  <c r="EH54" i="431"/>
  <c r="EH171" i="431"/>
  <c r="EM172" i="431" s="1"/>
  <c r="EH197" i="431"/>
  <c r="EH376" i="431"/>
  <c r="DW45" i="431"/>
  <c r="DW36" i="431"/>
  <c r="DU63" i="431"/>
  <c r="DU64" i="431"/>
  <c r="DU66" i="431" s="1"/>
  <c r="AY77" i="431"/>
  <c r="AT77" i="431"/>
  <c r="BX77" i="431"/>
  <c r="CC77" i="431"/>
  <c r="CW77" i="431"/>
  <c r="CR77" i="431"/>
  <c r="DB77" i="431"/>
  <c r="DG77" i="431"/>
  <c r="BK86" i="431"/>
  <c r="BP87" i="431" s="1"/>
  <c r="BK85" i="431"/>
  <c r="AQ100" i="431"/>
  <c r="AQ99" i="431"/>
  <c r="CZ102" i="431"/>
  <c r="DI100" i="431"/>
  <c r="DN98" i="431"/>
  <c r="D221" i="431"/>
  <c r="D134" i="431"/>
  <c r="BK141" i="431"/>
  <c r="BN147" i="431"/>
  <c r="BJ141" i="431"/>
  <c r="CW138" i="431"/>
  <c r="CS147" i="431"/>
  <c r="CS150" i="431"/>
  <c r="AD107" i="431"/>
  <c r="Y179" i="431"/>
  <c r="DI107" i="431"/>
  <c r="CP57" i="431"/>
  <c r="X101" i="431"/>
  <c r="EH375" i="431"/>
  <c r="EH32" i="431"/>
  <c r="EM33" i="431" s="1"/>
  <c r="BP180" i="431"/>
  <c r="EK75" i="431"/>
  <c r="DL21" i="431"/>
  <c r="DG52" i="431"/>
  <c r="AZ144" i="431"/>
  <c r="AZ146" i="431" s="1"/>
  <c r="AZ105" i="431"/>
  <c r="AZ178" i="431"/>
  <c r="BE179" i="431" s="1"/>
  <c r="AZ377" i="431"/>
  <c r="AZ379" i="431"/>
  <c r="BJ26" i="431"/>
  <c r="BJ216" i="431"/>
  <c r="BJ375" i="431"/>
  <c r="BT380" i="431"/>
  <c r="BT204" i="431"/>
  <c r="BY205" i="431" s="1"/>
  <c r="CX26" i="431"/>
  <c r="CX379" i="431"/>
  <c r="CX29" i="431"/>
  <c r="CX30" i="431" s="1"/>
  <c r="CX380" i="431"/>
  <c r="CX377" i="431"/>
  <c r="CX216" i="431"/>
  <c r="CX375" i="431"/>
  <c r="CX185" i="431"/>
  <c r="CX186" i="431" s="1"/>
  <c r="DR216" i="431"/>
  <c r="DR217" i="431" s="1"/>
  <c r="DR374" i="431"/>
  <c r="DR380" i="431"/>
  <c r="DR378" i="431"/>
  <c r="DR377" i="431"/>
  <c r="DR32" i="431"/>
  <c r="DR178" i="431"/>
  <c r="DS180" i="431" s="1"/>
  <c r="DR376" i="431"/>
  <c r="DR375" i="431"/>
  <c r="DP46" i="431"/>
  <c r="AC64" i="431"/>
  <c r="AC63" i="431"/>
  <c r="DO63" i="431"/>
  <c r="EN62" i="431"/>
  <c r="BN75" i="431"/>
  <c r="CC75" i="431"/>
  <c r="DG75" i="431"/>
  <c r="DV75" i="431"/>
  <c r="DQ70" i="431"/>
  <c r="DR379" i="431"/>
  <c r="BJ144" i="431"/>
  <c r="CJ172" i="431"/>
  <c r="CU101" i="431"/>
  <c r="CN147" i="431"/>
  <c r="CN148" i="431" s="1"/>
  <c r="EN18" i="431"/>
  <c r="ED301" i="431"/>
  <c r="EE301" i="431" s="1"/>
  <c r="EB65" i="431"/>
  <c r="BS100" i="431"/>
  <c r="CF195" i="431"/>
  <c r="CF223" i="431"/>
  <c r="CV210" i="431"/>
  <c r="CV223" i="431"/>
  <c r="CV202" i="431"/>
  <c r="DP176" i="431"/>
  <c r="DP155" i="431"/>
  <c r="DP210" i="431"/>
  <c r="DG244" i="431"/>
  <c r="DH243" i="431"/>
  <c r="DH242" i="431" s="1"/>
  <c r="DA243" i="431"/>
  <c r="DH155" i="431"/>
  <c r="DH215" i="431"/>
  <c r="DR140" i="431"/>
  <c r="DR169" i="431"/>
  <c r="DR195" i="431"/>
  <c r="EB140" i="431"/>
  <c r="EB223" i="431"/>
  <c r="CR239" i="431"/>
  <c r="DV308" i="431"/>
  <c r="EI165" i="431"/>
  <c r="CZ163" i="431"/>
  <c r="CU163" i="431"/>
  <c r="EN163" i="431"/>
  <c r="DM170" i="431"/>
  <c r="DQ168" i="431"/>
  <c r="BY184" i="431"/>
  <c r="CA184" i="431"/>
  <c r="CB184" i="431"/>
  <c r="DM184" i="431"/>
  <c r="DN184" i="431"/>
  <c r="K200" i="431"/>
  <c r="K201" i="431" s="1"/>
  <c r="CS211" i="431"/>
  <c r="CU211" i="431"/>
  <c r="AX195" i="431"/>
  <c r="AX202" i="431"/>
  <c r="BT155" i="431"/>
  <c r="BT215" i="431"/>
  <c r="BY215" i="431"/>
  <c r="DS140" i="431"/>
  <c r="DS176" i="431"/>
  <c r="AO23" i="431"/>
  <c r="AY25" i="431"/>
  <c r="BI19" i="431"/>
  <c r="CM24" i="431"/>
  <c r="DG13" i="431"/>
  <c r="DG204" i="431" s="1"/>
  <c r="DV23" i="431"/>
  <c r="CR38" i="431"/>
  <c r="EN46" i="431"/>
  <c r="EN81" i="431"/>
  <c r="S103" i="431"/>
  <c r="S135" i="431" s="1"/>
  <c r="S96" i="431" s="1"/>
  <c r="DC148" i="431"/>
  <c r="EG148" i="431"/>
  <c r="K153" i="431"/>
  <c r="R18" i="431"/>
  <c r="AV18" i="431"/>
  <c r="BP18" i="431"/>
  <c r="BD62" i="431"/>
  <c r="CT26" i="431"/>
  <c r="DQ44" i="431"/>
  <c r="CA54" i="431"/>
  <c r="CQ62" i="431"/>
  <c r="DK62" i="431"/>
  <c r="EC84" i="431"/>
  <c r="EI137" i="431"/>
  <c r="EN151" i="431"/>
  <c r="DG309" i="431"/>
  <c r="DG311" i="431" s="1"/>
  <c r="EI116" i="431"/>
  <c r="CB218" i="431"/>
  <c r="CG219" i="431" s="1"/>
  <c r="S18" i="431"/>
  <c r="EC53" i="431"/>
  <c r="EN84" i="431"/>
  <c r="DT98" i="431"/>
  <c r="EN98" i="431"/>
  <c r="BX265" i="431"/>
  <c r="BU179" i="431"/>
  <c r="AY19" i="431"/>
  <c r="EN224" i="431"/>
  <c r="EI86" i="431"/>
  <c r="Y18" i="431"/>
  <c r="AS18" i="431"/>
  <c r="BM18" i="431"/>
  <c r="BW18" i="431"/>
  <c r="DA18" i="431"/>
  <c r="EE18" i="431"/>
  <c r="CW21" i="431"/>
  <c r="BC54" i="431"/>
  <c r="CR36" i="431"/>
  <c r="AP54" i="431"/>
  <c r="EN53" i="431"/>
  <c r="EI68" i="431"/>
  <c r="EN71" i="431"/>
  <c r="DG73" i="431"/>
  <c r="CE163" i="431"/>
  <c r="EI155" i="431"/>
  <c r="EN215" i="431"/>
  <c r="EA308" i="431"/>
  <c r="EA365" i="431"/>
  <c r="U24" i="431"/>
  <c r="BN25" i="431"/>
  <c r="CW23" i="431"/>
  <c r="EF21" i="431"/>
  <c r="AE22" i="431"/>
  <c r="BI20" i="431"/>
  <c r="DB20" i="431"/>
  <c r="CR98" i="431"/>
  <c r="AT52" i="431"/>
  <c r="AY53" i="431" s="1"/>
  <c r="CH25" i="431"/>
  <c r="EK23" i="431"/>
  <c r="Z83" i="431"/>
  <c r="BS25" i="431"/>
  <c r="CW22" i="431"/>
  <c r="EF23" i="431"/>
  <c r="AO22" i="431"/>
  <c r="EF22" i="431"/>
  <c r="CR22" i="431"/>
  <c r="BN53" i="431"/>
  <c r="CH24" i="431"/>
  <c r="Z20" i="431"/>
  <c r="BN21" i="431"/>
  <c r="DB23" i="431"/>
  <c r="ET9" i="431"/>
  <c r="ET8" i="431"/>
  <c r="ET5" i="431" s="1"/>
  <c r="EY18" i="431" s="1"/>
  <c r="ET83" i="431"/>
  <c r="EU7" i="431"/>
  <c r="EU6" i="431"/>
  <c r="ET61" i="431"/>
  <c r="EU208" i="431"/>
  <c r="FE208" i="431" s="1"/>
  <c r="EM211" i="431"/>
  <c r="EN211" i="431"/>
  <c r="EE221" i="431"/>
  <c r="EE51" i="431"/>
  <c r="EM219" i="431"/>
  <c r="EM186" i="431"/>
  <c r="EM145" i="431"/>
  <c r="EJ169" i="431"/>
  <c r="EJ223" i="431"/>
  <c r="EO224" i="431" s="1"/>
  <c r="EJ183" i="431"/>
  <c r="CD195" i="431"/>
  <c r="CD169" i="431"/>
  <c r="CD176" i="431"/>
  <c r="CD215" i="431"/>
  <c r="EM18" i="431"/>
  <c r="AE61" i="431"/>
  <c r="AE62" i="431" s="1"/>
  <c r="AE19" i="431"/>
  <c r="BN20" i="431"/>
  <c r="BS20" i="431"/>
  <c r="BX25" i="431"/>
  <c r="CM19" i="431"/>
  <c r="CH19" i="431"/>
  <c r="DE107" i="431"/>
  <c r="DE109" i="431" s="1"/>
  <c r="DS120" i="431"/>
  <c r="CD13" i="434" s="1"/>
  <c r="EC120" i="431"/>
  <c r="CN13" i="434" s="1"/>
  <c r="EM217" i="431"/>
  <c r="BT186" i="431"/>
  <c r="DB22" i="431"/>
  <c r="CR24" i="431"/>
  <c r="AA82" i="431"/>
  <c r="EJ195" i="431"/>
  <c r="EJ140" i="431"/>
  <c r="DE120" i="431"/>
  <c r="BP13" i="434" s="1"/>
  <c r="EM87" i="431"/>
  <c r="EH135" i="431"/>
  <c r="EM104" i="431"/>
  <c r="CG196" i="431"/>
  <c r="CL82" i="431"/>
  <c r="S170" i="431"/>
  <c r="Z168" i="431"/>
  <c r="AN106" i="431"/>
  <c r="CE148" i="431"/>
  <c r="DY136" i="431"/>
  <c r="DY51" i="431"/>
  <c r="CE141" i="431"/>
  <c r="EJ117" i="431"/>
  <c r="CH150" i="431"/>
  <c r="X169" i="431"/>
  <c r="X195" i="431"/>
  <c r="AC215" i="431"/>
  <c r="CT16" i="431"/>
  <c r="DU172" i="431"/>
  <c r="DM224" i="431"/>
  <c r="CZ135" i="431"/>
  <c r="DG155" i="431"/>
  <c r="EF140" i="431"/>
  <c r="DQ26" i="431"/>
  <c r="D176" i="431"/>
  <c r="D183" i="431"/>
  <c r="DQ183" i="431"/>
  <c r="BE104" i="431"/>
  <c r="DL377" i="431"/>
  <c r="EE106" i="431"/>
  <c r="BA135" i="431"/>
  <c r="BA82" i="431" s="1"/>
  <c r="DE96" i="431"/>
  <c r="DE60" i="431"/>
  <c r="AF141" i="431"/>
  <c r="DY120" i="431"/>
  <c r="CJ13" i="434" s="1"/>
  <c r="U59" i="431"/>
  <c r="AN186" i="431"/>
  <c r="CS180" i="431"/>
  <c r="U19" i="431"/>
  <c r="DY107" i="431"/>
  <c r="DY109" i="431" s="1"/>
  <c r="DJ104" i="431"/>
  <c r="CD224" i="431"/>
  <c r="AW173" i="431"/>
  <c r="EV18" i="431"/>
  <c r="CO106" i="431"/>
  <c r="BX62" i="431"/>
  <c r="EH242" i="431"/>
  <c r="AJ19" i="431"/>
  <c r="AY68" i="431"/>
  <c r="AE20" i="431"/>
  <c r="CM22" i="431"/>
  <c r="BI61" i="431"/>
  <c r="AJ97" i="431"/>
  <c r="AJ100" i="431" s="1"/>
  <c r="CM194" i="431"/>
  <c r="EJ215" i="431"/>
  <c r="DB21" i="431"/>
  <c r="EC66" i="431"/>
  <c r="BK186" i="431"/>
  <c r="AT19" i="431"/>
  <c r="CG179" i="431"/>
  <c r="CD140" i="431"/>
  <c r="CD183" i="431"/>
  <c r="CH22" i="431"/>
  <c r="AO24" i="431"/>
  <c r="EM224" i="431"/>
  <c r="EG196" i="431"/>
  <c r="EK194" i="431"/>
  <c r="DG23" i="431"/>
  <c r="DQ20" i="431"/>
  <c r="DL20" i="431"/>
  <c r="DV97" i="431"/>
  <c r="DV98" i="431" s="1"/>
  <c r="EA22" i="431"/>
  <c r="DV13" i="431"/>
  <c r="DV144" i="431" s="1"/>
  <c r="S105" i="431"/>
  <c r="S378" i="431"/>
  <c r="S204" i="431"/>
  <c r="S379" i="431"/>
  <c r="S376" i="431"/>
  <c r="S54" i="431"/>
  <c r="S377" i="431"/>
  <c r="V185" i="431"/>
  <c r="V178" i="431"/>
  <c r="V179" i="431" s="1"/>
  <c r="V171" i="431"/>
  <c r="V173" i="431" s="1"/>
  <c r="V377" i="431"/>
  <c r="AA171" i="431"/>
  <c r="AA376" i="431"/>
  <c r="AA197" i="431"/>
  <c r="AA198" i="431" s="1"/>
  <c r="AA218" i="431"/>
  <c r="AC379" i="431"/>
  <c r="AC378" i="431"/>
  <c r="AC218" i="431"/>
  <c r="AC14" i="431"/>
  <c r="AC376" i="431"/>
  <c r="AC197" i="431"/>
  <c r="AC105" i="431"/>
  <c r="AC204" i="431"/>
  <c r="AF376" i="431"/>
  <c r="AF105" i="431"/>
  <c r="AF26" i="431"/>
  <c r="AF14" i="431"/>
  <c r="AK204" i="431"/>
  <c r="AP205" i="431" s="1"/>
  <c r="AK216" i="431"/>
  <c r="AK144" i="431"/>
  <c r="AK105" i="431"/>
  <c r="AK85" i="431"/>
  <c r="AK197" i="431"/>
  <c r="AL14" i="431"/>
  <c r="AM375" i="431"/>
  <c r="AM204" i="431"/>
  <c r="AM379" i="431"/>
  <c r="AM197" i="431"/>
  <c r="AR198" i="431" s="1"/>
  <c r="AM144" i="431"/>
  <c r="AM178" i="431"/>
  <c r="AU204" i="431"/>
  <c r="AU178" i="431"/>
  <c r="AU179" i="431" s="1"/>
  <c r="AU105" i="431"/>
  <c r="AU197" i="431"/>
  <c r="AU198" i="431" s="1"/>
  <c r="AU144" i="431"/>
  <c r="AU218" i="431"/>
  <c r="AU219" i="431" s="1"/>
  <c r="AU216" i="431"/>
  <c r="AU376" i="431"/>
  <c r="AW63" i="431"/>
  <c r="AW185" i="431"/>
  <c r="AX187" i="431" s="1"/>
  <c r="AW144" i="431"/>
  <c r="AW14" i="431"/>
  <c r="AZ375" i="431"/>
  <c r="AZ374" i="431"/>
  <c r="AZ204" i="431"/>
  <c r="AZ378" i="431"/>
  <c r="AZ376" i="431"/>
  <c r="AZ171" i="431"/>
  <c r="AZ172" i="431" s="1"/>
  <c r="AZ380" i="431"/>
  <c r="AZ197" i="431"/>
  <c r="BE377" i="431"/>
  <c r="BE197" i="431"/>
  <c r="BG375" i="431"/>
  <c r="BG191" i="431"/>
  <c r="BG218" i="431"/>
  <c r="BG99" i="431"/>
  <c r="BG54" i="431"/>
  <c r="BJ191" i="431"/>
  <c r="BJ192" i="431" s="1"/>
  <c r="BJ377" i="431"/>
  <c r="BJ197" i="431"/>
  <c r="BJ376" i="431"/>
  <c r="BJ204" i="431"/>
  <c r="BJ205" i="431" s="1"/>
  <c r="BK14" i="431"/>
  <c r="BJ218" i="431"/>
  <c r="BO218" i="431"/>
  <c r="BO15" i="431"/>
  <c r="BO374" i="431"/>
  <c r="BO375" i="431"/>
  <c r="BO54" i="431"/>
  <c r="BQ144" i="431"/>
  <c r="BQ105" i="431"/>
  <c r="BQ191" i="431"/>
  <c r="BQ378" i="431"/>
  <c r="BQ197" i="431"/>
  <c r="BT377" i="431"/>
  <c r="BT374" i="431"/>
  <c r="BT197" i="431"/>
  <c r="BT199" i="431" s="1"/>
  <c r="BT105" i="431"/>
  <c r="BY106" i="431" s="1"/>
  <c r="BT15" i="431"/>
  <c r="BT29" i="431"/>
  <c r="BT218" i="431"/>
  <c r="CX32" i="431"/>
  <c r="CX378" i="431"/>
  <c r="CX376" i="431"/>
  <c r="CX105" i="431"/>
  <c r="CX374" i="431"/>
  <c r="CX144" i="431"/>
  <c r="CX218" i="431"/>
  <c r="DC219" i="431" s="1"/>
  <c r="CY14" i="431"/>
  <c r="EM26" i="431"/>
  <c r="EM62" i="431"/>
  <c r="EM81" i="431"/>
  <c r="EM148" i="431"/>
  <c r="EH165" i="431"/>
  <c r="EM163" i="431"/>
  <c r="EM215" i="431"/>
  <c r="EH287" i="431"/>
  <c r="EK285" i="431"/>
  <c r="EK287" i="431" s="1"/>
  <c r="EM179" i="431"/>
  <c r="EK165" i="431"/>
  <c r="EK166" i="431" s="1"/>
  <c r="EM56" i="431"/>
  <c r="EH15" i="431"/>
  <c r="EH105" i="431"/>
  <c r="EH14" i="431"/>
  <c r="EH377" i="431"/>
  <c r="EH29" i="431"/>
  <c r="EH378" i="431"/>
  <c r="DZ32" i="431"/>
  <c r="EE33" i="431" s="1"/>
  <c r="DZ378" i="431"/>
  <c r="DZ379" i="431"/>
  <c r="DO216" i="431"/>
  <c r="BO224" i="431"/>
  <c r="DO99" i="431"/>
  <c r="DO204" i="431"/>
  <c r="DO206" i="431" s="1"/>
  <c r="EH204" i="431"/>
  <c r="U23" i="431"/>
  <c r="AE23" i="431"/>
  <c r="Z25" i="431"/>
  <c r="AJ20" i="431"/>
  <c r="DB100" i="431"/>
  <c r="EF25" i="431"/>
  <c r="EM46" i="431"/>
  <c r="EM53" i="431"/>
  <c r="EH68" i="431"/>
  <c r="EH69" i="431" s="1"/>
  <c r="EM71" i="431"/>
  <c r="EM84" i="431"/>
  <c r="EM98" i="431"/>
  <c r="EM117" i="431"/>
  <c r="EH137" i="431"/>
  <c r="EM151" i="431"/>
  <c r="Z239" i="431"/>
  <c r="AY354" i="431"/>
  <c r="DL354" i="431"/>
  <c r="G93" i="453"/>
  <c r="G95" i="453" s="1"/>
  <c r="G99" i="453" s="1"/>
  <c r="EG203" i="431"/>
  <c r="EJ203" i="431"/>
  <c r="EK201" i="431"/>
  <c r="EI203" i="431"/>
  <c r="DM57" i="431"/>
  <c r="DK56" i="431"/>
  <c r="DZ126" i="431"/>
  <c r="EE30" i="431"/>
  <c r="EC96" i="431"/>
  <c r="EC60" i="431"/>
  <c r="EC136" i="431"/>
  <c r="AT62" i="431"/>
  <c r="AO64" i="431"/>
  <c r="EH120" i="431"/>
  <c r="DX221" i="431"/>
  <c r="DX96" i="431"/>
  <c r="CL221" i="431"/>
  <c r="EG126" i="431"/>
  <c r="AG176" i="431"/>
  <c r="DJ136" i="431"/>
  <c r="DW135" i="431"/>
  <c r="CD96" i="431"/>
  <c r="CY135" i="431"/>
  <c r="CY82" i="431" s="1"/>
  <c r="AE176" i="431"/>
  <c r="AE223" i="431"/>
  <c r="AE202" i="431"/>
  <c r="DL204" i="431"/>
  <c r="V141" i="431"/>
  <c r="D195" i="431"/>
  <c r="D202" i="431"/>
  <c r="DL32" i="431"/>
  <c r="DM34" i="431"/>
  <c r="DM206" i="431"/>
  <c r="CT173" i="431"/>
  <c r="BR69" i="431"/>
  <c r="AX16" i="431"/>
  <c r="DM16" i="431"/>
  <c r="CT146" i="431"/>
  <c r="CJ205" i="431"/>
  <c r="CJ106" i="431"/>
  <c r="AQ146" i="431"/>
  <c r="DY57" i="431"/>
  <c r="DJ57" i="431"/>
  <c r="BW151" i="431"/>
  <c r="AD205" i="431"/>
  <c r="AD217" i="431"/>
  <c r="EE107" i="431"/>
  <c r="EE27" i="431"/>
  <c r="CG107" i="431"/>
  <c r="CU180" i="431"/>
  <c r="Q205" i="431"/>
  <c r="CI187" i="431"/>
  <c r="Y186" i="431"/>
  <c r="CE33" i="431"/>
  <c r="AD224" i="431"/>
  <c r="CJ145" i="431"/>
  <c r="BS22" i="431"/>
  <c r="EK258" i="431"/>
  <c r="CD210" i="431"/>
  <c r="CD155" i="431"/>
  <c r="T18" i="431"/>
  <c r="U22" i="431"/>
  <c r="U97" i="431"/>
  <c r="AJ22" i="431"/>
  <c r="CR23" i="431"/>
  <c r="CM23" i="431"/>
  <c r="CW20" i="431"/>
  <c r="CR20" i="431"/>
  <c r="DG22" i="431"/>
  <c r="DQ98" i="431"/>
  <c r="AB377" i="431"/>
  <c r="AB375" i="431"/>
  <c r="AB197" i="431"/>
  <c r="AG198" i="431" s="1"/>
  <c r="AL380" i="431"/>
  <c r="AL218" i="431"/>
  <c r="AV377" i="431"/>
  <c r="AV144" i="431"/>
  <c r="AV145" i="431" s="1"/>
  <c r="AV105" i="431"/>
  <c r="BA106" i="431" s="1"/>
  <c r="AX374" i="431"/>
  <c r="AX218" i="431"/>
  <c r="AX54" i="431"/>
  <c r="AZ14" i="431"/>
  <c r="BA105" i="431"/>
  <c r="BA191" i="431"/>
  <c r="BF192" i="431" s="1"/>
  <c r="BA376" i="431"/>
  <c r="BK105" i="431"/>
  <c r="BK377" i="431"/>
  <c r="BK178" i="431"/>
  <c r="BK191" i="431"/>
  <c r="BK192" i="431" s="1"/>
  <c r="BR185" i="431"/>
  <c r="BR186" i="431" s="1"/>
  <c r="BR14" i="431"/>
  <c r="BU191" i="431"/>
  <c r="BU192" i="431" s="1"/>
  <c r="BU377" i="431"/>
  <c r="BU376" i="431"/>
  <c r="BU375" i="431"/>
  <c r="BU197" i="431"/>
  <c r="BU198" i="431" s="1"/>
  <c r="BU218" i="431"/>
  <c r="CB204" i="431"/>
  <c r="CG205" i="431" s="1"/>
  <c r="CB379" i="431"/>
  <c r="CB32" i="431"/>
  <c r="CB171" i="431"/>
  <c r="CG172" i="431" s="1"/>
  <c r="CB185" i="431"/>
  <c r="CB197" i="431"/>
  <c r="CB377" i="431"/>
  <c r="CB375" i="431"/>
  <c r="CV144" i="431"/>
  <c r="CV218" i="431"/>
  <c r="CY105" i="431"/>
  <c r="CY107" i="431" s="1"/>
  <c r="CY376" i="431"/>
  <c r="DA375" i="431"/>
  <c r="DA204" i="431"/>
  <c r="DF171" i="431"/>
  <c r="DF378" i="431"/>
  <c r="DW85" i="431"/>
  <c r="DW29" i="431"/>
  <c r="DW26" i="431"/>
  <c r="DW204" i="431"/>
  <c r="EI380" i="431"/>
  <c r="EI376" i="431"/>
  <c r="EI185" i="431"/>
  <c r="EI14" i="431"/>
  <c r="DF57" i="431"/>
  <c r="EH146" i="431"/>
  <c r="EE34" i="431"/>
  <c r="AY24" i="431"/>
  <c r="AT24" i="431"/>
  <c r="CN18" i="431"/>
  <c r="CS18" i="431"/>
  <c r="DH18" i="431"/>
  <c r="FX9" i="431"/>
  <c r="BI25" i="431"/>
  <c r="V85" i="431"/>
  <c r="FP149" i="431"/>
  <c r="BS59" i="431"/>
  <c r="CR59" i="431"/>
  <c r="L63" i="431"/>
  <c r="V63" i="431"/>
  <c r="CS86" i="431"/>
  <c r="AE80" i="431"/>
  <c r="BD80" i="431"/>
  <c r="BD103" i="431" s="1"/>
  <c r="BN80" i="431"/>
  <c r="BN103" i="431" s="1"/>
  <c r="BN135" i="431" s="1"/>
  <c r="BS80" i="431"/>
  <c r="CC95" i="431"/>
  <c r="DG95" i="431"/>
  <c r="DL143" i="431"/>
  <c r="BA148" i="431"/>
  <c r="BF148" i="431"/>
  <c r="AN152" i="431"/>
  <c r="CZ152" i="431"/>
  <c r="AT154" i="431"/>
  <c r="DL165" i="431"/>
  <c r="DL166" i="431" s="1"/>
  <c r="DW164" i="431"/>
  <c r="CC242" i="431"/>
  <c r="K239" i="431"/>
  <c r="U239" i="431"/>
  <c r="CW239" i="431"/>
  <c r="CR309" i="431"/>
  <c r="CR311" i="431" s="1"/>
  <c r="BX309" i="431"/>
  <c r="CW309" i="431"/>
  <c r="CW311" i="431" s="1"/>
  <c r="EJ177" i="431"/>
  <c r="EG177" i="431"/>
  <c r="EG218" i="431"/>
  <c r="EG336" i="431"/>
  <c r="EG195" i="431"/>
  <c r="EG176" i="431"/>
  <c r="I51" i="451"/>
  <c r="P52" i="451"/>
  <c r="N52" i="451"/>
  <c r="E51" i="451"/>
  <c r="M52" i="451"/>
  <c r="EU338" i="431"/>
  <c r="L6" i="451"/>
  <c r="K15" i="451"/>
  <c r="K54" i="451" s="1"/>
  <c r="J6" i="451"/>
  <c r="CC38" i="451"/>
  <c r="CX32" i="435"/>
  <c r="C562" i="435"/>
  <c r="B561" i="435"/>
  <c r="D561" i="435" s="1"/>
  <c r="A4" i="433"/>
  <c r="B4" i="433" s="1"/>
  <c r="D52" i="451"/>
  <c r="L59" i="451"/>
  <c r="A48" i="435"/>
  <c r="D36" i="435"/>
  <c r="N37" i="451"/>
  <c r="N38" i="451"/>
  <c r="N22" i="451"/>
  <c r="DL55" i="431"/>
  <c r="DK57" i="431"/>
  <c r="EH104" i="431"/>
  <c r="DX82" i="431"/>
  <c r="EG31" i="431"/>
  <c r="DJ222" i="431"/>
  <c r="EB104" i="431"/>
  <c r="BU82" i="431"/>
  <c r="P59" i="431"/>
  <c r="Q27" i="431"/>
  <c r="AO62" i="431"/>
  <c r="AX199" i="431"/>
  <c r="M16" i="431"/>
  <c r="AG215" i="431"/>
  <c r="AG216" i="431"/>
  <c r="AG217" i="431" s="1"/>
  <c r="CS176" i="431"/>
  <c r="CS195" i="431"/>
  <c r="CS202" i="431"/>
  <c r="AN205" i="431"/>
  <c r="CG141" i="431"/>
  <c r="CH139" i="431"/>
  <c r="CD141" i="431"/>
  <c r="O135" i="431"/>
  <c r="O104" i="431"/>
  <c r="DJ96" i="431"/>
  <c r="DJ82" i="431"/>
  <c r="Q65" i="431"/>
  <c r="EE180" i="431"/>
  <c r="CM139" i="431"/>
  <c r="EJ57" i="431"/>
  <c r="AD106" i="431"/>
  <c r="N195" i="431"/>
  <c r="N223" i="431"/>
  <c r="S215" i="431"/>
  <c r="CO205" i="431"/>
  <c r="EJ106" i="431"/>
  <c r="Y135" i="431"/>
  <c r="Y104" i="431"/>
  <c r="Y107" i="431"/>
  <c r="CQ103" i="431"/>
  <c r="CQ104" i="431" s="1"/>
  <c r="CV81" i="431"/>
  <c r="P4" i="455"/>
  <c r="N31" i="455"/>
  <c r="M37" i="455"/>
  <c r="L31" i="455"/>
  <c r="J34" i="455"/>
  <c r="J40" i="455" s="1"/>
  <c r="J32" i="455"/>
  <c r="J38" i="455" s="1"/>
  <c r="J39" i="455"/>
  <c r="G138" i="433"/>
  <c r="H137" i="433" s="1"/>
  <c r="G144" i="433"/>
  <c r="H143" i="433" s="1"/>
  <c r="G282" i="433"/>
  <c r="H281" i="433" s="1"/>
  <c r="G354" i="433"/>
  <c r="H353" i="433" s="1"/>
  <c r="G368" i="433"/>
  <c r="H367" i="433" s="1"/>
  <c r="G384" i="433"/>
  <c r="H383" i="433" s="1"/>
  <c r="G400" i="433"/>
  <c r="H399" i="433" s="1"/>
  <c r="G410" i="433"/>
  <c r="H409" i="433" s="1"/>
  <c r="G440" i="433"/>
  <c r="H439" i="433" s="1"/>
  <c r="G488" i="433"/>
  <c r="H487" i="433" s="1"/>
  <c r="G611" i="433"/>
  <c r="H610" i="433" s="1"/>
  <c r="G612" i="434"/>
  <c r="H611" i="434" s="1"/>
  <c r="G476" i="434"/>
  <c r="H475" i="434" s="1"/>
  <c r="G381" i="434"/>
  <c r="H380" i="434" s="1"/>
  <c r="G621" i="434"/>
  <c r="H620" i="434" s="1"/>
  <c r="I79" i="434"/>
  <c r="I80" i="434" s="1"/>
  <c r="I81" i="434" s="1"/>
  <c r="I82" i="434" s="1"/>
  <c r="I83" i="434" s="1"/>
  <c r="I84" i="434" s="1"/>
  <c r="I85" i="434" s="1"/>
  <c r="I86" i="434" s="1"/>
  <c r="I87" i="434" s="1"/>
  <c r="I88" i="434" s="1"/>
  <c r="I89" i="434" s="1"/>
  <c r="I90" i="434" s="1"/>
  <c r="I91" i="434" s="1"/>
  <c r="I92" i="434" s="1"/>
  <c r="I93" i="434" s="1"/>
  <c r="I94" i="434" s="1"/>
  <c r="I95" i="434" s="1"/>
  <c r="I96" i="434" s="1"/>
  <c r="I97" i="434" s="1"/>
  <c r="I98" i="434" s="1"/>
  <c r="I99" i="434" s="1"/>
  <c r="I100" i="434" s="1"/>
  <c r="I101" i="434" s="1"/>
  <c r="I102" i="434" s="1"/>
  <c r="I103" i="434" s="1"/>
  <c r="I104" i="434" s="1"/>
  <c r="I105" i="434" s="1"/>
  <c r="I106" i="434" s="1"/>
  <c r="I107" i="434" s="1"/>
  <c r="I108" i="434" s="1"/>
  <c r="I109" i="434" s="1"/>
  <c r="I110" i="434" s="1"/>
  <c r="I111" i="434" s="1"/>
  <c r="I112" i="434" s="1"/>
  <c r="I113" i="434" s="1"/>
  <c r="I114" i="434" s="1"/>
  <c r="I115" i="434" s="1"/>
  <c r="I116" i="434" s="1"/>
  <c r="I117" i="434" s="1"/>
  <c r="I118" i="434" s="1"/>
  <c r="I119" i="434" s="1"/>
  <c r="I120" i="434" s="1"/>
  <c r="I121" i="434" s="1"/>
  <c r="I122" i="434" s="1"/>
  <c r="I123" i="434" s="1"/>
  <c r="I124" i="434" s="1"/>
  <c r="I125" i="434" s="1"/>
  <c r="I126" i="434" s="1"/>
  <c r="I127" i="434" s="1"/>
  <c r="I128" i="434" s="1"/>
  <c r="I129" i="434" s="1"/>
  <c r="I130" i="434" s="1"/>
  <c r="I131" i="434" s="1"/>
  <c r="I132" i="434" s="1"/>
  <c r="I133" i="434" s="1"/>
  <c r="I134" i="434" s="1"/>
  <c r="I135" i="434" s="1"/>
  <c r="I136" i="434" s="1"/>
  <c r="I137" i="434" s="1"/>
  <c r="I138" i="434" s="1"/>
  <c r="I139" i="434" s="1"/>
  <c r="I140" i="434" s="1"/>
  <c r="I141" i="434" s="1"/>
  <c r="I142" i="434" s="1"/>
  <c r="I143" i="434" s="1"/>
  <c r="I144" i="434" s="1"/>
  <c r="I145" i="434" s="1"/>
  <c r="I146" i="434" s="1"/>
  <c r="I147" i="434" s="1"/>
  <c r="I148" i="434" s="1"/>
  <c r="I149" i="434" s="1"/>
  <c r="I150" i="434" s="1"/>
  <c r="I151" i="434" s="1"/>
  <c r="I152" i="434" s="1"/>
  <c r="I153" i="434" s="1"/>
  <c r="G859" i="434"/>
  <c r="G387" i="434"/>
  <c r="H386" i="434" s="1"/>
  <c r="M37" i="453"/>
  <c r="M22" i="453"/>
  <c r="M12" i="453"/>
  <c r="M38" i="453" s="1"/>
  <c r="N11" i="453"/>
  <c r="L35" i="453"/>
  <c r="H91" i="453"/>
  <c r="BU96" i="431"/>
  <c r="BU51" i="431"/>
  <c r="BU60" i="431"/>
  <c r="CT172" i="431"/>
  <c r="CO172" i="431"/>
  <c r="CZ120" i="431"/>
  <c r="BK13" i="434" s="1"/>
  <c r="DE104" i="431"/>
  <c r="DR186" i="431"/>
  <c r="DM187" i="431"/>
  <c r="CT33" i="431"/>
  <c r="CT34" i="431"/>
  <c r="BG180" i="431"/>
  <c r="H136" i="431"/>
  <c r="C221" i="431"/>
  <c r="AD104" i="431"/>
  <c r="AD135" i="431"/>
  <c r="CI140" i="431"/>
  <c r="CI195" i="431"/>
  <c r="CI176" i="431"/>
  <c r="CI216" i="431"/>
  <c r="CI183" i="431"/>
  <c r="Z208" i="431"/>
  <c r="DQ218" i="431"/>
  <c r="DQ195" i="431"/>
  <c r="DQ176" i="431"/>
  <c r="G734" i="434"/>
  <c r="H733" i="434" s="1"/>
  <c r="DW46" i="431"/>
  <c r="CJ102" i="431"/>
  <c r="CI102" i="431"/>
  <c r="EE297" i="431"/>
  <c r="G778" i="433"/>
  <c r="H777" i="433" s="1"/>
  <c r="G776" i="433"/>
  <c r="H775" i="433" s="1"/>
  <c r="G474" i="433"/>
  <c r="H473" i="433" s="1"/>
  <c r="G373" i="433"/>
  <c r="H372" i="433" s="1"/>
  <c r="G258" i="433"/>
  <c r="H257" i="433" s="1"/>
  <c r="G257" i="433"/>
  <c r="H256" i="433" s="1"/>
  <c r="G252" i="433"/>
  <c r="H251" i="433" s="1"/>
  <c r="G243" i="433"/>
  <c r="H242" i="433" s="1"/>
  <c r="G203" i="433"/>
  <c r="H202" i="433" s="1"/>
  <c r="G179" i="433"/>
  <c r="H178" i="433" s="1"/>
  <c r="G155" i="433"/>
  <c r="H154" i="433" s="1"/>
  <c r="G130" i="433"/>
  <c r="H129" i="433" s="1"/>
  <c r="G103" i="433"/>
  <c r="H102" i="433" s="1"/>
  <c r="I79" i="433"/>
  <c r="I80" i="433" s="1"/>
  <c r="I81" i="433" s="1"/>
  <c r="I82" i="433" s="1"/>
  <c r="I83" i="433" s="1"/>
  <c r="I84" i="433" s="1"/>
  <c r="I85" i="433" s="1"/>
  <c r="I86" i="433" s="1"/>
  <c r="I87" i="433" s="1"/>
  <c r="I88" i="433" s="1"/>
  <c r="I89" i="433" s="1"/>
  <c r="I90" i="433" s="1"/>
  <c r="I91" i="433" s="1"/>
  <c r="I92" i="433" s="1"/>
  <c r="I93" i="433" s="1"/>
  <c r="I94" i="433" s="1"/>
  <c r="I95" i="433" s="1"/>
  <c r="I96" i="433" s="1"/>
  <c r="I97" i="433" s="1"/>
  <c r="I98" i="433" s="1"/>
  <c r="I99" i="433" s="1"/>
  <c r="I100" i="433" s="1"/>
  <c r="I101" i="433" s="1"/>
  <c r="I102" i="433" s="1"/>
  <c r="I103" i="433" s="1"/>
  <c r="I104" i="433" s="1"/>
  <c r="I105" i="433" s="1"/>
  <c r="I106" i="433" s="1"/>
  <c r="I107" i="433" s="1"/>
  <c r="I108" i="433" s="1"/>
  <c r="I109" i="433" s="1"/>
  <c r="I110" i="433" s="1"/>
  <c r="I111" i="433" s="1"/>
  <c r="I112" i="433" s="1"/>
  <c r="I113" i="433" s="1"/>
  <c r="I114" i="433" s="1"/>
  <c r="I115" i="433" s="1"/>
  <c r="I116" i="433" s="1"/>
  <c r="I117" i="433" s="1"/>
  <c r="I118" i="433" s="1"/>
  <c r="I119" i="433" s="1"/>
  <c r="I120" i="433" s="1"/>
  <c r="I121" i="433" s="1"/>
  <c r="I122" i="433" s="1"/>
  <c r="I123" i="433" s="1"/>
  <c r="I124" i="433" s="1"/>
  <c r="I125" i="433" s="1"/>
  <c r="I126" i="433" s="1"/>
  <c r="I127" i="433" s="1"/>
  <c r="I128" i="433" s="1"/>
  <c r="I129" i="433" s="1"/>
  <c r="I130" i="433" s="1"/>
  <c r="I131" i="433" s="1"/>
  <c r="I132" i="433" s="1"/>
  <c r="I133" i="433" s="1"/>
  <c r="I134" i="433" s="1"/>
  <c r="I135" i="433" s="1"/>
  <c r="I136" i="433" s="1"/>
  <c r="I137" i="433" s="1"/>
  <c r="I138" i="433" s="1"/>
  <c r="I139" i="433" s="1"/>
  <c r="I140" i="433" s="1"/>
  <c r="I141" i="433" s="1"/>
  <c r="I142" i="433" s="1"/>
  <c r="I143" i="433" s="1"/>
  <c r="I144" i="433" s="1"/>
  <c r="I145" i="433" s="1"/>
  <c r="I146" i="433" s="1"/>
  <c r="I147" i="433" s="1"/>
  <c r="I148" i="433" s="1"/>
  <c r="I149" i="433" s="1"/>
  <c r="I150" i="433" s="1"/>
  <c r="I151" i="433" s="1"/>
  <c r="I152" i="433" s="1"/>
  <c r="I153" i="433" s="1"/>
  <c r="G143" i="433"/>
  <c r="H142" i="433" s="1"/>
  <c r="G145" i="433"/>
  <c r="H144" i="433" s="1"/>
  <c r="G171" i="433"/>
  <c r="H170" i="433" s="1"/>
  <c r="G191" i="433"/>
  <c r="H190" i="433" s="1"/>
  <c r="G229" i="433"/>
  <c r="H228" i="433" s="1"/>
  <c r="G347" i="433"/>
  <c r="H346" i="433" s="1"/>
  <c r="G355" i="433"/>
  <c r="H354" i="433" s="1"/>
  <c r="G369" i="433"/>
  <c r="H368" i="433" s="1"/>
  <c r="G379" i="433"/>
  <c r="H378" i="433" s="1"/>
  <c r="G393" i="433"/>
  <c r="H392" i="433" s="1"/>
  <c r="G401" i="433"/>
  <c r="H400" i="433" s="1"/>
  <c r="G431" i="433"/>
  <c r="H430" i="433" s="1"/>
  <c r="G495" i="433"/>
  <c r="H494" i="433" s="1"/>
  <c r="G690" i="433"/>
  <c r="H689" i="433" s="1"/>
  <c r="CL30" i="435"/>
  <c r="H95" i="453"/>
  <c r="H99" i="453" s="1"/>
  <c r="O33" i="453"/>
  <c r="N40" i="453"/>
  <c r="DW224" i="431"/>
  <c r="AI104" i="431"/>
  <c r="DM146" i="431"/>
  <c r="CU57" i="431"/>
  <c r="BF224" i="431"/>
  <c r="CU199" i="431"/>
  <c r="CK206" i="431"/>
  <c r="DE57" i="431"/>
  <c r="DW65" i="431"/>
  <c r="EK213" i="431"/>
  <c r="AG106" i="431"/>
  <c r="EH31" i="431"/>
  <c r="BR54" i="431"/>
  <c r="DF63" i="431"/>
  <c r="Z19" i="431"/>
  <c r="G676" i="433"/>
  <c r="H675" i="433" s="1"/>
  <c r="G834" i="433"/>
  <c r="H833" i="433" s="1"/>
  <c r="G642" i="433"/>
  <c r="H641" i="433" s="1"/>
  <c r="G587" i="433"/>
  <c r="H586" i="433" s="1"/>
  <c r="G836" i="433"/>
  <c r="H835" i="433" s="1"/>
  <c r="G867" i="433"/>
  <c r="H866" i="433" s="1"/>
  <c r="G773" i="433"/>
  <c r="H772" i="433" s="1"/>
  <c r="G709" i="433"/>
  <c r="H708" i="433" s="1"/>
  <c r="G599" i="433"/>
  <c r="H598" i="433" s="1"/>
  <c r="G844" i="433"/>
  <c r="H843" i="433" s="1"/>
  <c r="G880" i="433"/>
  <c r="G841" i="433"/>
  <c r="H840" i="433" s="1"/>
  <c r="G708" i="433"/>
  <c r="H707" i="433" s="1"/>
  <c r="G622" i="433"/>
  <c r="H621" i="433" s="1"/>
  <c r="G569" i="433"/>
  <c r="H568" i="433" s="1"/>
  <c r="G830" i="433"/>
  <c r="H829" i="433" s="1"/>
  <c r="G568" i="433"/>
  <c r="H567" i="433" s="1"/>
  <c r="EI218" i="431"/>
  <c r="G717" i="433"/>
  <c r="H716" i="433" s="1"/>
  <c r="G558" i="434"/>
  <c r="H557" i="434" s="1"/>
  <c r="G326" i="434"/>
  <c r="H325" i="434" s="1"/>
  <c r="G342" i="434"/>
  <c r="H341" i="434" s="1"/>
  <c r="G602" i="433"/>
  <c r="H601" i="433" s="1"/>
  <c r="G670" i="434"/>
  <c r="H669" i="434" s="1"/>
  <c r="G182" i="434"/>
  <c r="H181" i="434" s="1"/>
  <c r="G742" i="434"/>
  <c r="H741" i="434" s="1"/>
  <c r="G502" i="434"/>
  <c r="H501" i="434" s="1"/>
  <c r="G653" i="433"/>
  <c r="H652" i="433" s="1"/>
  <c r="G190" i="434"/>
  <c r="H189" i="434" s="1"/>
  <c r="G318" i="434"/>
  <c r="H317" i="434" s="1"/>
  <c r="G245" i="434"/>
  <c r="H244" i="434" s="1"/>
  <c r="G101" i="434"/>
  <c r="H100" i="434" s="1"/>
  <c r="G429" i="434"/>
  <c r="H428" i="434" s="1"/>
  <c r="G349" i="434"/>
  <c r="H348" i="434" s="1"/>
  <c r="G61" i="434"/>
  <c r="H60" i="434" s="1"/>
  <c r="G525" i="434"/>
  <c r="H524" i="434" s="1"/>
  <c r="G197" i="434"/>
  <c r="H196" i="434" s="1"/>
  <c r="G816" i="434"/>
  <c r="H815" i="434" s="1"/>
  <c r="G709" i="434"/>
  <c r="H708" i="434" s="1"/>
  <c r="G437" i="434"/>
  <c r="H436" i="434" s="1"/>
  <c r="G365" i="434"/>
  <c r="H364" i="434" s="1"/>
  <c r="G37" i="434"/>
  <c r="H36" i="434" s="1"/>
  <c r="K20" i="435"/>
  <c r="BR218" i="431"/>
  <c r="CB216" i="431"/>
  <c r="CG217" i="431" s="1"/>
  <c r="BK224" i="431"/>
  <c r="BH224" i="431"/>
  <c r="DE224" i="431"/>
  <c r="CV216" i="431"/>
  <c r="DA217" i="431" s="1"/>
  <c r="BH218" i="431"/>
  <c r="S81" i="431"/>
  <c r="DE101" i="431"/>
  <c r="CB105" i="431"/>
  <c r="CG106" i="431" s="1"/>
  <c r="BP103" i="431"/>
  <c r="EI15" i="431"/>
  <c r="EI178" i="431"/>
  <c r="EI204" i="431"/>
  <c r="EI378" i="431"/>
  <c r="DF377" i="431"/>
  <c r="CL171" i="431"/>
  <c r="DS36" i="431"/>
  <c r="AI18" i="431"/>
  <c r="BA18" i="431"/>
  <c r="BU18" i="431"/>
  <c r="CO18" i="431"/>
  <c r="CY18" i="431"/>
  <c r="DI18" i="431"/>
  <c r="DU18" i="431"/>
  <c r="BD100" i="431"/>
  <c r="DG20" i="431"/>
  <c r="X218" i="431"/>
  <c r="BL106" i="431"/>
  <c r="CQ206" i="431"/>
  <c r="EE26" i="431"/>
  <c r="CM40" i="431"/>
  <c r="CR42" i="431"/>
  <c r="DG40" i="431"/>
  <c r="DQ42" i="431"/>
  <c r="DV42" i="431"/>
  <c r="EF42" i="431"/>
  <c r="BD50" i="431"/>
  <c r="DB50" i="431"/>
  <c r="Y53" i="431"/>
  <c r="DE62" i="431"/>
  <c r="AT73" i="431"/>
  <c r="BX73" i="431"/>
  <c r="DL70" i="431"/>
  <c r="EF77" i="431"/>
  <c r="AU86" i="431"/>
  <c r="DK81" i="431"/>
  <c r="DY81" i="431"/>
  <c r="BZ84" i="431"/>
  <c r="CB84" i="431"/>
  <c r="CT84" i="431"/>
  <c r="DD84" i="431"/>
  <c r="DZ85" i="431"/>
  <c r="K80" i="431"/>
  <c r="K103" i="431" s="1"/>
  <c r="K135" i="431" s="1"/>
  <c r="AJ80" i="431"/>
  <c r="AT95" i="431"/>
  <c r="AY80" i="431"/>
  <c r="CM80" i="431"/>
  <c r="CR95" i="431"/>
  <c r="DB80" i="431"/>
  <c r="AA99" i="431"/>
  <c r="CU98" i="431"/>
  <c r="BI143" i="431"/>
  <c r="DF148" i="431"/>
  <c r="AU148" i="431"/>
  <c r="AL152" i="431"/>
  <c r="CK151" i="431"/>
  <c r="DN152" i="431"/>
  <c r="DP152" i="431"/>
  <c r="DW151" i="431"/>
  <c r="CY155" i="431"/>
  <c r="DB161" i="431"/>
  <c r="DD164" i="431"/>
  <c r="DH164" i="431"/>
  <c r="DN163" i="431"/>
  <c r="DY164" i="431"/>
  <c r="EB164" i="431"/>
  <c r="F167" i="431"/>
  <c r="K168" i="431" s="1"/>
  <c r="O168" i="431"/>
  <c r="AY182" i="431"/>
  <c r="CY183" i="431"/>
  <c r="F193" i="431"/>
  <c r="H194" i="431"/>
  <c r="DI243" i="431"/>
  <c r="DI242" i="431" s="1"/>
  <c r="DN243" i="431"/>
  <c r="DN242" i="431" s="1"/>
  <c r="EA243" i="431"/>
  <c r="EA242" i="431" s="1"/>
  <c r="CM258" i="431"/>
  <c r="DG258" i="431"/>
  <c r="BD267" i="431"/>
  <c r="CC267" i="431"/>
  <c r="CM267" i="431"/>
  <c r="CR267" i="431"/>
  <c r="EF272" i="431"/>
  <c r="AY309" i="431"/>
  <c r="AY311" i="431" s="1"/>
  <c r="BN309" i="431"/>
  <c r="BN311" i="431" s="1"/>
  <c r="BS309" i="431"/>
  <c r="BS311" i="431" s="1"/>
  <c r="CC309" i="431"/>
  <c r="CC311" i="431" s="1"/>
  <c r="CH309" i="431"/>
  <c r="CH311" i="431" s="1"/>
  <c r="DB309" i="431"/>
  <c r="DB311" i="431" s="1"/>
  <c r="BX354" i="431"/>
  <c r="G5" i="433"/>
  <c r="H4" i="433" s="1"/>
  <c r="G6" i="433"/>
  <c r="H5" i="433" s="1"/>
  <c r="G8" i="433"/>
  <c r="H7" i="433" s="1"/>
  <c r="G10" i="433"/>
  <c r="H9" i="433" s="1"/>
  <c r="G12" i="433"/>
  <c r="H11" i="433" s="1"/>
  <c r="G14" i="433"/>
  <c r="H13" i="433" s="1"/>
  <c r="G16" i="433"/>
  <c r="H15" i="433" s="1"/>
  <c r="G18" i="433"/>
  <c r="H17" i="433" s="1"/>
  <c r="G20" i="433"/>
  <c r="H19" i="433" s="1"/>
  <c r="G22" i="433"/>
  <c r="H21" i="433" s="1"/>
  <c r="G24" i="433"/>
  <c r="H23" i="433" s="1"/>
  <c r="G26" i="433"/>
  <c r="H25" i="433" s="1"/>
  <c r="G28" i="433"/>
  <c r="H27" i="433" s="1"/>
  <c r="G30" i="433"/>
  <c r="H29" i="433" s="1"/>
  <c r="G32" i="433"/>
  <c r="H31" i="433" s="1"/>
  <c r="G34" i="433"/>
  <c r="H33" i="433" s="1"/>
  <c r="G36" i="433"/>
  <c r="H35" i="433" s="1"/>
  <c r="G38" i="433"/>
  <c r="H37" i="433" s="1"/>
  <c r="G40" i="433"/>
  <c r="H39" i="433" s="1"/>
  <c r="G42" i="433"/>
  <c r="H41" i="433" s="1"/>
  <c r="G44" i="433"/>
  <c r="H43" i="433" s="1"/>
  <c r="G46" i="433"/>
  <c r="H45" i="433" s="1"/>
  <c r="G48" i="433"/>
  <c r="H47" i="433" s="1"/>
  <c r="G50" i="433"/>
  <c r="H49" i="433" s="1"/>
  <c r="G52" i="433"/>
  <c r="H51" i="433" s="1"/>
  <c r="G54" i="433"/>
  <c r="H53" i="433" s="1"/>
  <c r="G56" i="433"/>
  <c r="H55" i="433" s="1"/>
  <c r="G58" i="433"/>
  <c r="H57" i="433" s="1"/>
  <c r="G60" i="433"/>
  <c r="H59" i="433" s="1"/>
  <c r="G62" i="433"/>
  <c r="H61" i="433" s="1"/>
  <c r="G64" i="433"/>
  <c r="H63" i="433" s="1"/>
  <c r="G66" i="433"/>
  <c r="H65" i="433" s="1"/>
  <c r="G68" i="433"/>
  <c r="H67" i="433" s="1"/>
  <c r="G70" i="433"/>
  <c r="H69" i="433" s="1"/>
  <c r="G72" i="433"/>
  <c r="H71" i="433" s="1"/>
  <c r="G74" i="433"/>
  <c r="H73" i="433" s="1"/>
  <c r="G76" i="433"/>
  <c r="H75" i="433" s="1"/>
  <c r="G78" i="433"/>
  <c r="H77" i="433" s="1"/>
  <c r="G80" i="433"/>
  <c r="H79" i="433" s="1"/>
  <c r="G82" i="433"/>
  <c r="H81" i="433" s="1"/>
  <c r="G84" i="433"/>
  <c r="H83" i="433" s="1"/>
  <c r="G86" i="433"/>
  <c r="H85" i="433" s="1"/>
  <c r="G88" i="433"/>
  <c r="H87" i="433" s="1"/>
  <c r="G90" i="433"/>
  <c r="H89" i="433" s="1"/>
  <c r="G92" i="433"/>
  <c r="H91" i="433" s="1"/>
  <c r="G94" i="433"/>
  <c r="H93" i="433" s="1"/>
  <c r="G96" i="433"/>
  <c r="H95" i="433" s="1"/>
  <c r="G98" i="433"/>
  <c r="H97" i="433" s="1"/>
  <c r="G100" i="433"/>
  <c r="H99" i="433" s="1"/>
  <c r="G102" i="433"/>
  <c r="H101" i="433" s="1"/>
  <c r="G105" i="433"/>
  <c r="H104" i="433" s="1"/>
  <c r="G107" i="433"/>
  <c r="H106" i="433" s="1"/>
  <c r="G109" i="433"/>
  <c r="H108" i="433" s="1"/>
  <c r="G111" i="433"/>
  <c r="H110" i="433" s="1"/>
  <c r="G113" i="433"/>
  <c r="H112" i="433" s="1"/>
  <c r="G115" i="433"/>
  <c r="H114" i="433" s="1"/>
  <c r="G117" i="433"/>
  <c r="H116" i="433" s="1"/>
  <c r="G119" i="433"/>
  <c r="H118" i="433" s="1"/>
  <c r="G121" i="433"/>
  <c r="H120" i="433" s="1"/>
  <c r="G123" i="433"/>
  <c r="H122" i="433" s="1"/>
  <c r="G125" i="433"/>
  <c r="H124" i="433" s="1"/>
  <c r="G127" i="433"/>
  <c r="H126" i="433" s="1"/>
  <c r="G129" i="433"/>
  <c r="H128" i="433" s="1"/>
  <c r="G132" i="433"/>
  <c r="H131" i="433" s="1"/>
  <c r="G134" i="433"/>
  <c r="H133" i="433" s="1"/>
  <c r="G136" i="433"/>
  <c r="H135" i="433" s="1"/>
  <c r="G139" i="433"/>
  <c r="H138" i="433" s="1"/>
  <c r="G141" i="433"/>
  <c r="H140" i="433" s="1"/>
  <c r="G146" i="433"/>
  <c r="H145" i="433" s="1"/>
  <c r="G148" i="433"/>
  <c r="H147" i="433" s="1"/>
  <c r="G150" i="433"/>
  <c r="H149" i="433" s="1"/>
  <c r="G152" i="433"/>
  <c r="H151" i="433" s="1"/>
  <c r="G154" i="433"/>
  <c r="H153" i="433" s="1"/>
  <c r="G157" i="433"/>
  <c r="H156" i="433" s="1"/>
  <c r="G159" i="433"/>
  <c r="H158" i="433" s="1"/>
  <c r="G161" i="433"/>
  <c r="H160" i="433" s="1"/>
  <c r="G163" i="433"/>
  <c r="H162" i="433" s="1"/>
  <c r="G165" i="433"/>
  <c r="H164" i="433" s="1"/>
  <c r="G167" i="433"/>
  <c r="H166" i="433" s="1"/>
  <c r="G169" i="433"/>
  <c r="H168" i="433" s="1"/>
  <c r="G172" i="433"/>
  <c r="H171" i="433" s="1"/>
  <c r="G174" i="433"/>
  <c r="H173" i="433" s="1"/>
  <c r="G176" i="433"/>
  <c r="H175" i="433" s="1"/>
  <c r="G178" i="433"/>
  <c r="H177" i="433" s="1"/>
  <c r="G181" i="433"/>
  <c r="H180" i="433" s="1"/>
  <c r="G183" i="433"/>
  <c r="H182" i="433" s="1"/>
  <c r="G185" i="433"/>
  <c r="H184" i="433" s="1"/>
  <c r="G187" i="433"/>
  <c r="H186" i="433" s="1"/>
  <c r="G189" i="433"/>
  <c r="H188" i="433" s="1"/>
  <c r="G192" i="433"/>
  <c r="H191" i="433" s="1"/>
  <c r="G194" i="433"/>
  <c r="H193" i="433" s="1"/>
  <c r="G196" i="433"/>
  <c r="H195" i="433" s="1"/>
  <c r="G198" i="433"/>
  <c r="H197" i="433" s="1"/>
  <c r="G200" i="433"/>
  <c r="H199" i="433" s="1"/>
  <c r="G202" i="433"/>
  <c r="H201" i="433" s="1"/>
  <c r="G205" i="433"/>
  <c r="H204" i="433" s="1"/>
  <c r="G207" i="433"/>
  <c r="H206" i="433" s="1"/>
  <c r="G209" i="433"/>
  <c r="H208" i="433" s="1"/>
  <c r="G211" i="433"/>
  <c r="H210" i="433" s="1"/>
  <c r="G213" i="433"/>
  <c r="H212" i="433" s="1"/>
  <c r="G215" i="433"/>
  <c r="H214" i="433" s="1"/>
  <c r="G217" i="433"/>
  <c r="H216" i="433" s="1"/>
  <c r="G219" i="433"/>
  <c r="H218" i="433" s="1"/>
  <c r="G221" i="433"/>
  <c r="H220" i="433" s="1"/>
  <c r="G223" i="433"/>
  <c r="H222" i="433" s="1"/>
  <c r="G225" i="433"/>
  <c r="H224" i="433" s="1"/>
  <c r="G227" i="433"/>
  <c r="H226" i="433" s="1"/>
  <c r="G230" i="433"/>
  <c r="H229" i="433" s="1"/>
  <c r="G232" i="433"/>
  <c r="H231" i="433" s="1"/>
  <c r="G234" i="433"/>
  <c r="H233" i="433" s="1"/>
  <c r="G236" i="433"/>
  <c r="H235" i="433" s="1"/>
  <c r="G238" i="433"/>
  <c r="H237" i="433" s="1"/>
  <c r="G240" i="433"/>
  <c r="H239" i="433" s="1"/>
  <c r="G242" i="433"/>
  <c r="H241" i="433" s="1"/>
  <c r="G245" i="433"/>
  <c r="H244" i="433" s="1"/>
  <c r="G247" i="433"/>
  <c r="H246" i="433" s="1"/>
  <c r="G249" i="433"/>
  <c r="H248" i="433" s="1"/>
  <c r="G251" i="433"/>
  <c r="H250" i="433" s="1"/>
  <c r="G254" i="433"/>
  <c r="H253" i="433" s="1"/>
  <c r="G256" i="433"/>
  <c r="H255" i="433" s="1"/>
  <c r="G260" i="433"/>
  <c r="H259" i="433" s="1"/>
  <c r="G262" i="433"/>
  <c r="H261" i="433" s="1"/>
  <c r="G264" i="433"/>
  <c r="H263" i="433" s="1"/>
  <c r="G266" i="433"/>
  <c r="H265" i="433" s="1"/>
  <c r="G268" i="433"/>
  <c r="H267" i="433" s="1"/>
  <c r="G270" i="433"/>
  <c r="H269" i="433" s="1"/>
  <c r="G272" i="433"/>
  <c r="H271" i="433" s="1"/>
  <c r="G274" i="433"/>
  <c r="H273" i="433" s="1"/>
  <c r="G276" i="433"/>
  <c r="H275" i="433" s="1"/>
  <c r="G278" i="433"/>
  <c r="H277" i="433" s="1"/>
  <c r="G280" i="433"/>
  <c r="H279" i="433" s="1"/>
  <c r="G283" i="433"/>
  <c r="H282" i="433" s="1"/>
  <c r="G285" i="433"/>
  <c r="H284" i="433" s="1"/>
  <c r="G287" i="433"/>
  <c r="H286" i="433" s="1"/>
  <c r="G289" i="433"/>
  <c r="H288" i="433" s="1"/>
  <c r="G291" i="433"/>
  <c r="H290" i="433" s="1"/>
  <c r="G293" i="433"/>
  <c r="H292" i="433" s="1"/>
  <c r="G295" i="433"/>
  <c r="H294" i="433" s="1"/>
  <c r="G297" i="433"/>
  <c r="H296" i="433" s="1"/>
  <c r="G299" i="433"/>
  <c r="H298" i="433" s="1"/>
  <c r="G301" i="433"/>
  <c r="H300" i="433" s="1"/>
  <c r="G303" i="433"/>
  <c r="H302" i="433" s="1"/>
  <c r="G305" i="433"/>
  <c r="H304" i="433" s="1"/>
  <c r="G307" i="433"/>
  <c r="H306" i="433" s="1"/>
  <c r="G309" i="433"/>
  <c r="H308" i="433" s="1"/>
  <c r="G311" i="433"/>
  <c r="H310" i="433" s="1"/>
  <c r="G313" i="433"/>
  <c r="H312" i="433" s="1"/>
  <c r="G315" i="433"/>
  <c r="H314" i="433" s="1"/>
  <c r="G317" i="433"/>
  <c r="H316" i="433" s="1"/>
  <c r="G319" i="433"/>
  <c r="H318" i="433" s="1"/>
  <c r="G321" i="433"/>
  <c r="H320" i="433" s="1"/>
  <c r="G323" i="433"/>
  <c r="H322" i="433" s="1"/>
  <c r="G325" i="433"/>
  <c r="H324" i="433" s="1"/>
  <c r="G327" i="433"/>
  <c r="H326" i="433" s="1"/>
  <c r="G329" i="433"/>
  <c r="H328" i="433" s="1"/>
  <c r="G331" i="433"/>
  <c r="H330" i="433" s="1"/>
  <c r="G333" i="433"/>
  <c r="H332" i="433" s="1"/>
  <c r="G335" i="433"/>
  <c r="H334" i="433" s="1"/>
  <c r="G337" i="433"/>
  <c r="H336" i="433" s="1"/>
  <c r="G339" i="433"/>
  <c r="H338" i="433" s="1"/>
  <c r="G341" i="433"/>
  <c r="H340" i="433" s="1"/>
  <c r="G343" i="433"/>
  <c r="H342" i="433" s="1"/>
  <c r="G345" i="433"/>
  <c r="H344" i="433" s="1"/>
  <c r="G348" i="433"/>
  <c r="H347" i="433" s="1"/>
  <c r="G350" i="433"/>
  <c r="H349" i="433" s="1"/>
  <c r="G352" i="433"/>
  <c r="H351" i="433" s="1"/>
  <c r="G356" i="433"/>
  <c r="H355" i="433" s="1"/>
  <c r="G358" i="433"/>
  <c r="H357" i="433" s="1"/>
  <c r="G360" i="433"/>
  <c r="H359" i="433" s="1"/>
  <c r="G362" i="433"/>
  <c r="H361" i="433" s="1"/>
  <c r="G364" i="433"/>
  <c r="H363" i="433" s="1"/>
  <c r="G366" i="433"/>
  <c r="H365" i="433" s="1"/>
  <c r="G370" i="433"/>
  <c r="H369" i="433" s="1"/>
  <c r="G372" i="433"/>
  <c r="H371" i="433" s="1"/>
  <c r="G375" i="433"/>
  <c r="H374" i="433" s="1"/>
  <c r="G377" i="433"/>
  <c r="H376" i="433" s="1"/>
  <c r="G380" i="433"/>
  <c r="H379" i="433" s="1"/>
  <c r="G382" i="433"/>
  <c r="H381" i="433" s="1"/>
  <c r="G385" i="433"/>
  <c r="H384" i="433" s="1"/>
  <c r="G387" i="433"/>
  <c r="H386" i="433" s="1"/>
  <c r="G389" i="433"/>
  <c r="H388" i="433" s="1"/>
  <c r="G391" i="433"/>
  <c r="H390" i="433" s="1"/>
  <c r="G394" i="433"/>
  <c r="H393" i="433" s="1"/>
  <c r="G396" i="433"/>
  <c r="H395" i="433" s="1"/>
  <c r="G398" i="433"/>
  <c r="H397" i="433" s="1"/>
  <c r="G402" i="433"/>
  <c r="H401" i="433" s="1"/>
  <c r="G404" i="433"/>
  <c r="H403" i="433" s="1"/>
  <c r="G406" i="433"/>
  <c r="H405" i="433" s="1"/>
  <c r="G408" i="433"/>
  <c r="H407" i="433" s="1"/>
  <c r="G411" i="433"/>
  <c r="H410" i="433" s="1"/>
  <c r="G413" i="433"/>
  <c r="H412" i="433" s="1"/>
  <c r="G415" i="433"/>
  <c r="H414" i="433" s="1"/>
  <c r="G417" i="433"/>
  <c r="H416" i="433" s="1"/>
  <c r="G419" i="433"/>
  <c r="H418" i="433" s="1"/>
  <c r="G421" i="433"/>
  <c r="H420" i="433" s="1"/>
  <c r="G423" i="433"/>
  <c r="H422" i="433" s="1"/>
  <c r="G425" i="433"/>
  <c r="H424" i="433" s="1"/>
  <c r="G427" i="433"/>
  <c r="H426" i="433" s="1"/>
  <c r="G429" i="433"/>
  <c r="H428" i="433" s="1"/>
  <c r="G432" i="433"/>
  <c r="H431" i="433" s="1"/>
  <c r="G434" i="433"/>
  <c r="H433" i="433" s="1"/>
  <c r="G436" i="433"/>
  <c r="H435" i="433" s="1"/>
  <c r="G438" i="433"/>
  <c r="H437" i="433" s="1"/>
  <c r="G441" i="433"/>
  <c r="H440" i="433" s="1"/>
  <c r="G443" i="433"/>
  <c r="H442" i="433" s="1"/>
  <c r="G445" i="433"/>
  <c r="H444" i="433" s="1"/>
  <c r="G447" i="433"/>
  <c r="H446" i="433" s="1"/>
  <c r="G449" i="433"/>
  <c r="H448" i="433" s="1"/>
  <c r="G451" i="433"/>
  <c r="H450" i="433" s="1"/>
  <c r="G453" i="433"/>
  <c r="H452" i="433" s="1"/>
  <c r="G455" i="433"/>
  <c r="H454" i="433" s="1"/>
  <c r="G457" i="433"/>
  <c r="H456" i="433" s="1"/>
  <c r="G459" i="433"/>
  <c r="H458" i="433" s="1"/>
  <c r="G461" i="433"/>
  <c r="H460" i="433" s="1"/>
  <c r="G463" i="433"/>
  <c r="H462" i="433" s="1"/>
  <c r="G465" i="433"/>
  <c r="H464" i="433" s="1"/>
  <c r="G467" i="433"/>
  <c r="H466" i="433" s="1"/>
  <c r="G469" i="433"/>
  <c r="H468" i="433" s="1"/>
  <c r="G471" i="433"/>
  <c r="H470" i="433" s="1"/>
  <c r="G473" i="433"/>
  <c r="H472" i="433" s="1"/>
  <c r="G476" i="433"/>
  <c r="H475" i="433" s="1"/>
  <c r="G478" i="433"/>
  <c r="H477" i="433" s="1"/>
  <c r="G480" i="433"/>
  <c r="H479" i="433" s="1"/>
  <c r="G482" i="433"/>
  <c r="H481" i="433" s="1"/>
  <c r="G484" i="433"/>
  <c r="H483" i="433" s="1"/>
  <c r="G486" i="433"/>
  <c r="H485" i="433" s="1"/>
  <c r="G489" i="433"/>
  <c r="H488" i="433" s="1"/>
  <c r="G491" i="433"/>
  <c r="H490" i="433" s="1"/>
  <c r="G493" i="433"/>
  <c r="H492" i="433" s="1"/>
  <c r="G496" i="433"/>
  <c r="H495" i="433" s="1"/>
  <c r="G498" i="433"/>
  <c r="H497" i="433" s="1"/>
  <c r="G500" i="433"/>
  <c r="H499" i="433" s="1"/>
  <c r="G502" i="433"/>
  <c r="H501" i="433" s="1"/>
  <c r="G504" i="433"/>
  <c r="H503" i="433" s="1"/>
  <c r="G506" i="433"/>
  <c r="H505" i="433" s="1"/>
  <c r="G508" i="433"/>
  <c r="H507" i="433" s="1"/>
  <c r="G510" i="433"/>
  <c r="H509" i="433" s="1"/>
  <c r="G512" i="433"/>
  <c r="H511" i="433" s="1"/>
  <c r="G514" i="433"/>
  <c r="H513" i="433" s="1"/>
  <c r="G516" i="433"/>
  <c r="H515" i="433" s="1"/>
  <c r="G518" i="433"/>
  <c r="H517" i="433" s="1"/>
  <c r="G520" i="433"/>
  <c r="H519" i="433" s="1"/>
  <c r="G522" i="433"/>
  <c r="H521" i="433" s="1"/>
  <c r="G524" i="433"/>
  <c r="H523" i="433" s="1"/>
  <c r="G526" i="433"/>
  <c r="H525" i="433" s="1"/>
  <c r="G529" i="433"/>
  <c r="H528" i="433" s="1"/>
  <c r="G531" i="433"/>
  <c r="H530" i="433" s="1"/>
  <c r="G533" i="433"/>
  <c r="H532" i="433" s="1"/>
  <c r="G535" i="433"/>
  <c r="H534" i="433" s="1"/>
  <c r="G537" i="433"/>
  <c r="H536" i="433" s="1"/>
  <c r="G539" i="433"/>
  <c r="H538" i="433" s="1"/>
  <c r="G541" i="433"/>
  <c r="H540" i="433" s="1"/>
  <c r="G543" i="433"/>
  <c r="H542" i="433" s="1"/>
  <c r="G545" i="433"/>
  <c r="H544" i="433" s="1"/>
  <c r="G547" i="433"/>
  <c r="H546" i="433" s="1"/>
  <c r="G549" i="433"/>
  <c r="H548" i="433" s="1"/>
  <c r="G551" i="433"/>
  <c r="H550" i="433" s="1"/>
  <c r="G553" i="433"/>
  <c r="H552" i="433" s="1"/>
  <c r="G556" i="433"/>
  <c r="H555" i="433" s="1"/>
  <c r="G558" i="433"/>
  <c r="H557" i="433" s="1"/>
  <c r="G561" i="433"/>
  <c r="H560" i="433" s="1"/>
  <c r="G563" i="433"/>
  <c r="H562" i="433" s="1"/>
  <c r="G565" i="433"/>
  <c r="H564" i="433" s="1"/>
  <c r="G567" i="433"/>
  <c r="H566" i="433" s="1"/>
  <c r="G572" i="433"/>
  <c r="H571" i="433" s="1"/>
  <c r="G575" i="433"/>
  <c r="H574" i="433" s="1"/>
  <c r="G579" i="433"/>
  <c r="H578" i="433" s="1"/>
  <c r="G582" i="433"/>
  <c r="H581" i="433" s="1"/>
  <c r="G584" i="433"/>
  <c r="H583" i="433" s="1"/>
  <c r="G588" i="433"/>
  <c r="H587" i="433" s="1"/>
  <c r="G590" i="433"/>
  <c r="H589" i="433" s="1"/>
  <c r="G592" i="433"/>
  <c r="H591" i="433" s="1"/>
  <c r="G594" i="433"/>
  <c r="H593" i="433" s="1"/>
  <c r="G597" i="433"/>
  <c r="H596" i="433" s="1"/>
  <c r="G600" i="433"/>
  <c r="H599" i="433" s="1"/>
  <c r="G603" i="433"/>
  <c r="H602" i="433" s="1"/>
  <c r="G606" i="433"/>
  <c r="H605" i="433" s="1"/>
  <c r="G609" i="433"/>
  <c r="H608" i="433" s="1"/>
  <c r="G612" i="433"/>
  <c r="H611" i="433" s="1"/>
  <c r="G615" i="433"/>
  <c r="H614" i="433" s="1"/>
  <c r="G617" i="433"/>
  <c r="H616" i="433" s="1"/>
  <c r="G619" i="433"/>
  <c r="H618" i="433" s="1"/>
  <c r="G621" i="433"/>
  <c r="H620" i="433" s="1"/>
  <c r="G625" i="433"/>
  <c r="H624" i="433" s="1"/>
  <c r="G627" i="433"/>
  <c r="H626" i="433" s="1"/>
  <c r="G630" i="433"/>
  <c r="H629" i="433" s="1"/>
  <c r="G632" i="433"/>
  <c r="H631" i="433" s="1"/>
  <c r="G635" i="433"/>
  <c r="H634" i="433" s="1"/>
  <c r="G637" i="433"/>
  <c r="H636" i="433" s="1"/>
  <c r="G639" i="433"/>
  <c r="H638" i="433" s="1"/>
  <c r="G644" i="433"/>
  <c r="H643" i="433" s="1"/>
  <c r="G646" i="433"/>
  <c r="H645" i="433" s="1"/>
  <c r="G648" i="433"/>
  <c r="H647" i="433" s="1"/>
  <c r="G650" i="433"/>
  <c r="H649" i="433" s="1"/>
  <c r="G652" i="433"/>
  <c r="H651" i="433" s="1"/>
  <c r="G655" i="433"/>
  <c r="H654" i="433" s="1"/>
  <c r="G658" i="433"/>
  <c r="H657" i="433" s="1"/>
  <c r="G660" i="433"/>
  <c r="H659" i="433" s="1"/>
  <c r="G663" i="433"/>
  <c r="H662" i="433" s="1"/>
  <c r="G665" i="433"/>
  <c r="H664" i="433" s="1"/>
  <c r="G668" i="433"/>
  <c r="H667" i="433" s="1"/>
  <c r="G670" i="433"/>
  <c r="H669" i="433" s="1"/>
  <c r="G672" i="433"/>
  <c r="H671" i="433" s="1"/>
  <c r="G677" i="433"/>
  <c r="H676" i="433" s="1"/>
  <c r="G679" i="433"/>
  <c r="H678" i="433" s="1"/>
  <c r="G681" i="433"/>
  <c r="H680" i="433" s="1"/>
  <c r="G683" i="433"/>
  <c r="H682" i="433" s="1"/>
  <c r="G685" i="433"/>
  <c r="H684" i="433" s="1"/>
  <c r="G688" i="433"/>
  <c r="H687" i="433" s="1"/>
  <c r="G691" i="433"/>
  <c r="H690" i="433" s="1"/>
  <c r="G693" i="433"/>
  <c r="H692" i="433" s="1"/>
  <c r="G696" i="433"/>
  <c r="H695" i="433" s="1"/>
  <c r="G700" i="433"/>
  <c r="H699" i="433" s="1"/>
  <c r="G703" i="433"/>
  <c r="H702" i="433" s="1"/>
  <c r="G705" i="433"/>
  <c r="H704" i="433" s="1"/>
  <c r="G710" i="433"/>
  <c r="H709" i="433" s="1"/>
  <c r="G712" i="433"/>
  <c r="H711" i="433" s="1"/>
  <c r="G714" i="433"/>
  <c r="H713" i="433" s="1"/>
  <c r="G718" i="433"/>
  <c r="H717" i="433" s="1"/>
  <c r="G720" i="433"/>
  <c r="H719" i="433" s="1"/>
  <c r="G722" i="433"/>
  <c r="H721" i="433" s="1"/>
  <c r="G724" i="433"/>
  <c r="H723" i="433" s="1"/>
  <c r="G726" i="433"/>
  <c r="H725" i="433" s="1"/>
  <c r="G728" i="433"/>
  <c r="H727" i="433" s="1"/>
  <c r="G730" i="433"/>
  <c r="H729" i="433" s="1"/>
  <c r="G732" i="433"/>
  <c r="H731" i="433" s="1"/>
  <c r="G734" i="433"/>
  <c r="H733" i="433" s="1"/>
  <c r="G736" i="433"/>
  <c r="H735" i="433" s="1"/>
  <c r="G739" i="433"/>
  <c r="H738" i="433" s="1"/>
  <c r="G741" i="433"/>
  <c r="H740" i="433" s="1"/>
  <c r="G743" i="433"/>
  <c r="H742" i="433" s="1"/>
  <c r="G745" i="433"/>
  <c r="H744" i="433" s="1"/>
  <c r="G747" i="433"/>
  <c r="H746" i="433" s="1"/>
  <c r="G749" i="433"/>
  <c r="H748" i="433" s="1"/>
  <c r="G751" i="433"/>
  <c r="H750" i="433" s="1"/>
  <c r="G753" i="433"/>
  <c r="H752" i="433" s="1"/>
  <c r="G756" i="433"/>
  <c r="H755" i="433" s="1"/>
  <c r="G760" i="433"/>
  <c r="H759" i="433" s="1"/>
  <c r="G762" i="433"/>
  <c r="H761" i="433" s="1"/>
  <c r="G764" i="433"/>
  <c r="H763" i="433" s="1"/>
  <c r="G772" i="433"/>
  <c r="H771" i="433" s="1"/>
  <c r="G775" i="433"/>
  <c r="H774" i="433" s="1"/>
  <c r="G780" i="433"/>
  <c r="H779" i="433" s="1"/>
  <c r="G785" i="433"/>
  <c r="H784" i="433" s="1"/>
  <c r="G790" i="433"/>
  <c r="H789" i="433" s="1"/>
  <c r="G793" i="433"/>
  <c r="H792" i="433" s="1"/>
  <c r="G796" i="433"/>
  <c r="H795" i="433" s="1"/>
  <c r="G798" i="433"/>
  <c r="H797" i="433" s="1"/>
  <c r="G800" i="433"/>
  <c r="H799" i="433" s="1"/>
  <c r="G803" i="433"/>
  <c r="H802" i="433" s="1"/>
  <c r="G805" i="433"/>
  <c r="H804" i="433" s="1"/>
  <c r="G808" i="433"/>
  <c r="H807" i="433" s="1"/>
  <c r="G811" i="433"/>
  <c r="H810" i="433" s="1"/>
  <c r="G813" i="433"/>
  <c r="H812" i="433" s="1"/>
  <c r="G815" i="433"/>
  <c r="H814" i="433" s="1"/>
  <c r="G817" i="433"/>
  <c r="H816" i="433" s="1"/>
  <c r="G819" i="433"/>
  <c r="H818" i="433" s="1"/>
  <c r="G821" i="433"/>
  <c r="H820" i="433" s="1"/>
  <c r="G823" i="433"/>
  <c r="H822" i="433" s="1"/>
  <c r="G826" i="433"/>
  <c r="H825" i="433" s="1"/>
  <c r="G829" i="433"/>
  <c r="H828" i="433" s="1"/>
  <c r="G839" i="433"/>
  <c r="H838" i="433" s="1"/>
  <c r="G843" i="433"/>
  <c r="H842" i="433" s="1"/>
  <c r="G846" i="433"/>
  <c r="H845" i="433" s="1"/>
  <c r="G851" i="433"/>
  <c r="H850" i="433" s="1"/>
  <c r="G854" i="433"/>
  <c r="H853" i="433" s="1"/>
  <c r="G859" i="433"/>
  <c r="H858" i="433" s="1"/>
  <c r="G862" i="433"/>
  <c r="H861" i="433" s="1"/>
  <c r="G864" i="433"/>
  <c r="H863" i="433" s="1"/>
  <c r="G866" i="433"/>
  <c r="H865" i="433" s="1"/>
  <c r="G869" i="433"/>
  <c r="H868" i="433" s="1"/>
  <c r="G871" i="433"/>
  <c r="G873" i="433"/>
  <c r="G876" i="433"/>
  <c r="G879" i="433"/>
  <c r="B4" i="434"/>
  <c r="G12" i="434"/>
  <c r="H11" i="434" s="1"/>
  <c r="G20" i="434"/>
  <c r="H19" i="434" s="1"/>
  <c r="G27" i="434"/>
  <c r="H26" i="434" s="1"/>
  <c r="G34" i="434"/>
  <c r="H33" i="434" s="1"/>
  <c r="G36" i="434"/>
  <c r="H35" i="434" s="1"/>
  <c r="G44" i="434"/>
  <c r="H43" i="434" s="1"/>
  <c r="G52" i="434"/>
  <c r="H51" i="434" s="1"/>
  <c r="G60" i="434"/>
  <c r="H59" i="434" s="1"/>
  <c r="G67" i="434"/>
  <c r="H66" i="434" s="1"/>
  <c r="G75" i="434"/>
  <c r="H74" i="434" s="1"/>
  <c r="G77" i="434"/>
  <c r="H76" i="434" s="1"/>
  <c r="G84" i="434"/>
  <c r="H83" i="434" s="1"/>
  <c r="G92" i="434"/>
  <c r="H91" i="434" s="1"/>
  <c r="G98" i="434"/>
  <c r="H97" i="434" s="1"/>
  <c r="G100" i="434"/>
  <c r="H99" i="434" s="1"/>
  <c r="G108" i="434"/>
  <c r="H107" i="434" s="1"/>
  <c r="G115" i="434"/>
  <c r="H114" i="434" s="1"/>
  <c r="G123" i="434"/>
  <c r="H122" i="434" s="1"/>
  <c r="G126" i="434"/>
  <c r="H125" i="434" s="1"/>
  <c r="G132" i="434"/>
  <c r="H131" i="434" s="1"/>
  <c r="G140" i="434"/>
  <c r="H139" i="434" s="1"/>
  <c r="G149" i="434"/>
  <c r="H148" i="434" s="1"/>
  <c r="G156" i="434"/>
  <c r="H155" i="434" s="1"/>
  <c r="G163" i="434"/>
  <c r="H162" i="434" s="1"/>
  <c r="G171" i="434"/>
  <c r="H170" i="434" s="1"/>
  <c r="G179" i="434"/>
  <c r="H178" i="434" s="1"/>
  <c r="G181" i="434"/>
  <c r="H180" i="434" s="1"/>
  <c r="G188" i="434"/>
  <c r="H187" i="434" s="1"/>
  <c r="G196" i="434"/>
  <c r="H195" i="434" s="1"/>
  <c r="G204" i="434"/>
  <c r="H203" i="434" s="1"/>
  <c r="G211" i="434"/>
  <c r="H210" i="434" s="1"/>
  <c r="G219" i="434"/>
  <c r="H218" i="434" s="1"/>
  <c r="G221" i="434"/>
  <c r="H220" i="434" s="1"/>
  <c r="G228" i="434"/>
  <c r="H227" i="434" s="1"/>
  <c r="G236" i="434"/>
  <c r="H235" i="434" s="1"/>
  <c r="G244" i="434"/>
  <c r="H243" i="434" s="1"/>
  <c r="G252" i="434"/>
  <c r="H251" i="434" s="1"/>
  <c r="G259" i="434"/>
  <c r="H258" i="434" s="1"/>
  <c r="G267" i="434"/>
  <c r="H266" i="434" s="1"/>
  <c r="G269" i="434"/>
  <c r="H268" i="434" s="1"/>
  <c r="G276" i="434"/>
  <c r="H275" i="434" s="1"/>
  <c r="G284" i="434"/>
  <c r="H283" i="434" s="1"/>
  <c r="G291" i="434"/>
  <c r="H290" i="434" s="1"/>
  <c r="G299" i="434"/>
  <c r="H298" i="434" s="1"/>
  <c r="G301" i="434"/>
  <c r="H300" i="434" s="1"/>
  <c r="G308" i="434"/>
  <c r="H307" i="434" s="1"/>
  <c r="G316" i="434"/>
  <c r="H315" i="434" s="1"/>
  <c r="G323" i="434"/>
  <c r="H322" i="434" s="1"/>
  <c r="G331" i="434"/>
  <c r="H330" i="434" s="1"/>
  <c r="G333" i="434"/>
  <c r="H332" i="434" s="1"/>
  <c r="G340" i="434"/>
  <c r="H339" i="434" s="1"/>
  <c r="G348" i="434"/>
  <c r="H347" i="434" s="1"/>
  <c r="G356" i="434"/>
  <c r="H355" i="434" s="1"/>
  <c r="G362" i="434"/>
  <c r="H361" i="434" s="1"/>
  <c r="G364" i="434"/>
  <c r="H363" i="434" s="1"/>
  <c r="G372" i="434"/>
  <c r="H371" i="434" s="1"/>
  <c r="G380" i="434"/>
  <c r="H379" i="434" s="1"/>
  <c r="G388" i="434"/>
  <c r="H387" i="434" s="1"/>
  <c r="G395" i="434"/>
  <c r="H394" i="434" s="1"/>
  <c r="G403" i="434"/>
  <c r="H402" i="434" s="1"/>
  <c r="G411" i="434"/>
  <c r="H410" i="434" s="1"/>
  <c r="G419" i="434"/>
  <c r="H418" i="434" s="1"/>
  <c r="G427" i="434"/>
  <c r="H426" i="434" s="1"/>
  <c r="G435" i="434"/>
  <c r="H434" i="434" s="1"/>
  <c r="G443" i="434"/>
  <c r="H442" i="434" s="1"/>
  <c r="G451" i="434"/>
  <c r="H450" i="434" s="1"/>
  <c r="G453" i="434"/>
  <c r="H452" i="434" s="1"/>
  <c r="G460" i="434"/>
  <c r="H459" i="434" s="1"/>
  <c r="G468" i="434"/>
  <c r="H467" i="434" s="1"/>
  <c r="G475" i="434"/>
  <c r="H474" i="434" s="1"/>
  <c r="G478" i="434"/>
  <c r="H477" i="434" s="1"/>
  <c r="G484" i="434"/>
  <c r="H483" i="434" s="1"/>
  <c r="G492" i="434"/>
  <c r="H491" i="434" s="1"/>
  <c r="G499" i="434"/>
  <c r="H498" i="434" s="1"/>
  <c r="G507" i="434"/>
  <c r="H506" i="434" s="1"/>
  <c r="G515" i="434"/>
  <c r="H514" i="434" s="1"/>
  <c r="G523" i="434"/>
  <c r="H522" i="434" s="1"/>
  <c r="G531" i="434"/>
  <c r="H530" i="434" s="1"/>
  <c r="G535" i="434"/>
  <c r="H534" i="434" s="1"/>
  <c r="G540" i="434"/>
  <c r="H539" i="434" s="1"/>
  <c r="G548" i="434"/>
  <c r="H547" i="434" s="1"/>
  <c r="G556" i="434"/>
  <c r="H555" i="434" s="1"/>
  <c r="G564" i="434"/>
  <c r="H563" i="434" s="1"/>
  <c r="G571" i="434"/>
  <c r="H570" i="434" s="1"/>
  <c r="G579" i="434"/>
  <c r="H578" i="434" s="1"/>
  <c r="G581" i="434"/>
  <c r="H580" i="434" s="1"/>
  <c r="G588" i="434"/>
  <c r="H587" i="434" s="1"/>
  <c r="G596" i="434"/>
  <c r="H595" i="434" s="1"/>
  <c r="G603" i="434"/>
  <c r="H602" i="434" s="1"/>
  <c r="G611" i="434"/>
  <c r="H610" i="434" s="1"/>
  <c r="G620" i="434"/>
  <c r="H619" i="434" s="1"/>
  <c r="G628" i="434"/>
  <c r="H627" i="434" s="1"/>
  <c r="G636" i="434"/>
  <c r="H635" i="434" s="1"/>
  <c r="G644" i="434"/>
  <c r="H643" i="434" s="1"/>
  <c r="G651" i="434"/>
  <c r="H650" i="434" s="1"/>
  <c r="G659" i="434"/>
  <c r="H658" i="434" s="1"/>
  <c r="G661" i="434"/>
  <c r="H660" i="434" s="1"/>
  <c r="G668" i="434"/>
  <c r="H667" i="434" s="1"/>
  <c r="G675" i="434"/>
  <c r="H674" i="434" s="1"/>
  <c r="G683" i="434"/>
  <c r="H682" i="434" s="1"/>
  <c r="G685" i="434"/>
  <c r="H684" i="434" s="1"/>
  <c r="G691" i="434"/>
  <c r="H690" i="434" s="1"/>
  <c r="G699" i="434"/>
  <c r="H698" i="434" s="1"/>
  <c r="G707" i="434"/>
  <c r="H706" i="434" s="1"/>
  <c r="G715" i="434"/>
  <c r="H714" i="434" s="1"/>
  <c r="G723" i="434"/>
  <c r="H722" i="434" s="1"/>
  <c r="G725" i="434"/>
  <c r="H724" i="434" s="1"/>
  <c r="G732" i="434"/>
  <c r="H731" i="434" s="1"/>
  <c r="G739" i="434"/>
  <c r="H738" i="434" s="1"/>
  <c r="G747" i="434"/>
  <c r="H746" i="434" s="1"/>
  <c r="G752" i="434"/>
  <c r="H751" i="434" s="1"/>
  <c r="G757" i="434"/>
  <c r="H756" i="434" s="1"/>
  <c r="G763" i="434"/>
  <c r="H762" i="434" s="1"/>
  <c r="G781" i="434"/>
  <c r="H780" i="434" s="1"/>
  <c r="G787" i="434"/>
  <c r="H786" i="434" s="1"/>
  <c r="G800" i="434"/>
  <c r="H799" i="434" s="1"/>
  <c r="G813" i="434"/>
  <c r="H812" i="434" s="1"/>
  <c r="G820" i="434"/>
  <c r="H819" i="434" s="1"/>
  <c r="G840" i="434"/>
  <c r="H839" i="434" s="1"/>
  <c r="G849" i="434"/>
  <c r="H848" i="434" s="1"/>
  <c r="G853" i="434"/>
  <c r="G855" i="434"/>
  <c r="G876" i="434"/>
  <c r="D17" i="435"/>
  <c r="D27" i="435"/>
  <c r="G888" i="433"/>
  <c r="G886" i="433"/>
  <c r="G884" i="433"/>
  <c r="G736" i="434"/>
  <c r="H735" i="434" s="1"/>
  <c r="G681" i="434"/>
  <c r="H680" i="434" s="1"/>
  <c r="G609" i="434"/>
  <c r="H608" i="434" s="1"/>
  <c r="G529" i="434"/>
  <c r="H528" i="434" s="1"/>
  <c r="G480" i="434"/>
  <c r="H479" i="434" s="1"/>
  <c r="G425" i="434"/>
  <c r="H424" i="434" s="1"/>
  <c r="G376" i="434"/>
  <c r="H375" i="434" s="1"/>
  <c r="G321" i="434"/>
  <c r="H320" i="434" s="1"/>
  <c r="G255" i="434"/>
  <c r="H254" i="434" s="1"/>
  <c r="G169" i="434"/>
  <c r="H168" i="434" s="1"/>
  <c r="G72" i="434"/>
  <c r="H71" i="434" s="1"/>
  <c r="G25" i="434"/>
  <c r="H24" i="434" s="1"/>
  <c r="G776" i="434"/>
  <c r="H775" i="434" s="1"/>
  <c r="G785" i="434"/>
  <c r="H784" i="434" s="1"/>
  <c r="G821" i="434"/>
  <c r="H820" i="434" s="1"/>
  <c r="G835" i="434"/>
  <c r="H834" i="434" s="1"/>
  <c r="G862" i="434"/>
  <c r="G875" i="434"/>
  <c r="G637" i="434"/>
  <c r="H636" i="434" s="1"/>
  <c r="G767" i="434"/>
  <c r="H766" i="434" s="1"/>
  <c r="G686" i="433"/>
  <c r="H685" i="433" s="1"/>
  <c r="G643" i="433"/>
  <c r="H642" i="433" s="1"/>
  <c r="G555" i="433"/>
  <c r="H554" i="433" s="1"/>
  <c r="G825" i="433"/>
  <c r="H824" i="433" s="1"/>
  <c r="G850" i="433"/>
  <c r="H849" i="433" s="1"/>
  <c r="G877" i="433"/>
  <c r="G883" i="433"/>
  <c r="G891" i="433"/>
  <c r="G889" i="433"/>
  <c r="L22" i="453"/>
  <c r="M8" i="453"/>
  <c r="K25" i="453"/>
  <c r="M40" i="453"/>
  <c r="O39" i="453"/>
  <c r="G12" i="451"/>
  <c r="K12" i="451"/>
  <c r="L24" i="451" s="1"/>
  <c r="G51" i="451"/>
  <c r="O59" i="451"/>
  <c r="G746" i="434"/>
  <c r="H745" i="434" s="1"/>
  <c r="G744" i="434"/>
  <c r="H743" i="434" s="1"/>
  <c r="G730" i="434"/>
  <c r="H729" i="434" s="1"/>
  <c r="G722" i="434"/>
  <c r="H721" i="434" s="1"/>
  <c r="G714" i="434"/>
  <c r="H713" i="434" s="1"/>
  <c r="G706" i="434"/>
  <c r="H705" i="434" s="1"/>
  <c r="G698" i="434"/>
  <c r="H697" i="434" s="1"/>
  <c r="G694" i="434"/>
  <c r="H693" i="434" s="1"/>
  <c r="G689" i="434"/>
  <c r="H688" i="434" s="1"/>
  <c r="G674" i="434"/>
  <c r="H673" i="434" s="1"/>
  <c r="G672" i="434"/>
  <c r="H671" i="434" s="1"/>
  <c r="G665" i="434"/>
  <c r="H664" i="434" s="1"/>
  <c r="G657" i="434"/>
  <c r="H656" i="434" s="1"/>
  <c r="G649" i="434"/>
  <c r="H648" i="434" s="1"/>
  <c r="G641" i="434"/>
  <c r="H640" i="434" s="1"/>
  <c r="G626" i="434"/>
  <c r="H625" i="434" s="1"/>
  <c r="G618" i="434"/>
  <c r="H617" i="434" s="1"/>
  <c r="G610" i="434"/>
  <c r="H609" i="434" s="1"/>
  <c r="G601" i="434"/>
  <c r="H600" i="434" s="1"/>
  <c r="G593" i="434"/>
  <c r="H592" i="434" s="1"/>
  <c r="G585" i="434"/>
  <c r="H584" i="434" s="1"/>
  <c r="G582" i="434"/>
  <c r="H581" i="434" s="1"/>
  <c r="G577" i="434"/>
  <c r="H576" i="434" s="1"/>
  <c r="G562" i="434"/>
  <c r="H561" i="434" s="1"/>
  <c r="G554" i="434"/>
  <c r="H553" i="434" s="1"/>
  <c r="G546" i="434"/>
  <c r="H545" i="434" s="1"/>
  <c r="G538" i="434"/>
  <c r="H537" i="434" s="1"/>
  <c r="G530" i="434"/>
  <c r="H529" i="434" s="1"/>
  <c r="G521" i="434"/>
  <c r="H520" i="434" s="1"/>
  <c r="G514" i="434"/>
  <c r="H513" i="434" s="1"/>
  <c r="G506" i="434"/>
  <c r="H505" i="434" s="1"/>
  <c r="G498" i="434"/>
  <c r="H497" i="434" s="1"/>
  <c r="G494" i="434"/>
  <c r="H493" i="434" s="1"/>
  <c r="G489" i="434"/>
  <c r="H488" i="434" s="1"/>
  <c r="G474" i="434"/>
  <c r="H473" i="434" s="1"/>
  <c r="G466" i="434"/>
  <c r="H465" i="434" s="1"/>
  <c r="G458" i="434"/>
  <c r="H457" i="434" s="1"/>
  <c r="G456" i="434"/>
  <c r="H455" i="434" s="1"/>
  <c r="G450" i="434"/>
  <c r="H449" i="434" s="1"/>
  <c r="G442" i="434"/>
  <c r="H441" i="434" s="1"/>
  <c r="G434" i="434"/>
  <c r="H433" i="434" s="1"/>
  <c r="G426" i="434"/>
  <c r="H425" i="434" s="1"/>
  <c r="G417" i="434"/>
  <c r="H416" i="434" s="1"/>
  <c r="G410" i="434"/>
  <c r="H409" i="434" s="1"/>
  <c r="G402" i="434"/>
  <c r="H401" i="434" s="1"/>
  <c r="G394" i="434"/>
  <c r="H393" i="434" s="1"/>
  <c r="G386" i="434"/>
  <c r="H385" i="434" s="1"/>
  <c r="G378" i="434"/>
  <c r="H377" i="434" s="1"/>
  <c r="G370" i="434"/>
  <c r="H369" i="434" s="1"/>
  <c r="G366" i="434"/>
  <c r="H365" i="434" s="1"/>
  <c r="G354" i="434"/>
  <c r="H353" i="434" s="1"/>
  <c r="G350" i="434"/>
  <c r="H349" i="434" s="1"/>
  <c r="G338" i="434"/>
  <c r="H337" i="434" s="1"/>
  <c r="G336" i="434"/>
  <c r="H335" i="434" s="1"/>
  <c r="G330" i="434"/>
  <c r="H329" i="434" s="1"/>
  <c r="G322" i="434"/>
  <c r="H321" i="434" s="1"/>
  <c r="G313" i="434"/>
  <c r="H312" i="434" s="1"/>
  <c r="G310" i="434"/>
  <c r="H309" i="434" s="1"/>
  <c r="G305" i="434"/>
  <c r="H304" i="434" s="1"/>
  <c r="G297" i="434"/>
  <c r="H296" i="434" s="1"/>
  <c r="G282" i="434"/>
  <c r="H281" i="434" s="1"/>
  <c r="G274" i="434"/>
  <c r="H273" i="434" s="1"/>
  <c r="G266" i="434"/>
  <c r="H265" i="434" s="1"/>
  <c r="G262" i="434"/>
  <c r="H261" i="434" s="1"/>
  <c r="G257" i="434"/>
  <c r="H256" i="434" s="1"/>
  <c r="G249" i="434"/>
  <c r="H248" i="434" s="1"/>
  <c r="G242" i="434"/>
  <c r="H241" i="434" s="1"/>
  <c r="G234" i="434"/>
  <c r="H233" i="434" s="1"/>
  <c r="G226" i="434"/>
  <c r="H225" i="434" s="1"/>
  <c r="G222" i="434"/>
  <c r="H221" i="434" s="1"/>
  <c r="G217" i="434"/>
  <c r="H216" i="434" s="1"/>
  <c r="G209" i="434"/>
  <c r="H208" i="434" s="1"/>
  <c r="G202" i="434"/>
  <c r="H201" i="434" s="1"/>
  <c r="G194" i="434"/>
  <c r="H193" i="434" s="1"/>
  <c r="G185" i="434"/>
  <c r="H184" i="434" s="1"/>
  <c r="G177" i="434"/>
  <c r="H176" i="434" s="1"/>
  <c r="G162" i="434"/>
  <c r="H161" i="434" s="1"/>
  <c r="G154" i="434"/>
  <c r="H153" i="434" s="1"/>
  <c r="G146" i="434"/>
  <c r="H145" i="434" s="1"/>
  <c r="G142" i="434"/>
  <c r="H141" i="434" s="1"/>
  <c r="G137" i="434"/>
  <c r="H136" i="434" s="1"/>
  <c r="G129" i="434"/>
  <c r="H128" i="434" s="1"/>
  <c r="G122" i="434"/>
  <c r="H121" i="434" s="1"/>
  <c r="G114" i="434"/>
  <c r="H113" i="434" s="1"/>
  <c r="G106" i="434"/>
  <c r="H105" i="434" s="1"/>
  <c r="G97" i="434"/>
  <c r="H96" i="434" s="1"/>
  <c r="G89" i="434"/>
  <c r="H88" i="434" s="1"/>
  <c r="G81" i="434"/>
  <c r="H80" i="434" s="1"/>
  <c r="G78" i="434"/>
  <c r="H77" i="434" s="1"/>
  <c r="G73" i="434"/>
  <c r="H72" i="434" s="1"/>
  <c r="G62" i="434"/>
  <c r="H61" i="434" s="1"/>
  <c r="G57" i="434"/>
  <c r="H56" i="434" s="1"/>
  <c r="G49" i="434"/>
  <c r="H48" i="434" s="1"/>
  <c r="G41" i="434"/>
  <c r="H40" i="434" s="1"/>
  <c r="G26" i="434"/>
  <c r="H25" i="434" s="1"/>
  <c r="G17" i="434"/>
  <c r="H16" i="434" s="1"/>
  <c r="G10" i="434"/>
  <c r="H9" i="434" s="1"/>
  <c r="G754" i="434"/>
  <c r="H753" i="434" s="1"/>
  <c r="G766" i="434"/>
  <c r="H765" i="434" s="1"/>
  <c r="G788" i="434"/>
  <c r="H787" i="434" s="1"/>
  <c r="G793" i="434"/>
  <c r="H792" i="434" s="1"/>
  <c r="G801" i="434"/>
  <c r="H800" i="434" s="1"/>
  <c r="G823" i="434"/>
  <c r="H822" i="434" s="1"/>
  <c r="G830" i="434"/>
  <c r="H829" i="434" s="1"/>
  <c r="G841" i="434"/>
  <c r="H840" i="434" s="1"/>
  <c r="G861" i="434"/>
  <c r="G869" i="434"/>
  <c r="G872" i="434"/>
  <c r="G888" i="434"/>
  <c r="G894" i="434"/>
  <c r="G894" i="433"/>
  <c r="G892" i="433"/>
  <c r="G901" i="433"/>
  <c r="G898" i="433"/>
  <c r="G896" i="433"/>
  <c r="G895" i="434"/>
  <c r="G695" i="433"/>
  <c r="H694" i="433" s="1"/>
  <c r="G875" i="433"/>
  <c r="G852" i="433"/>
  <c r="H851" i="433" s="1"/>
  <c r="G697" i="433"/>
  <c r="H696" i="433" s="1"/>
  <c r="G629" i="433"/>
  <c r="H628" i="433" s="1"/>
  <c r="G788" i="433"/>
  <c r="H787" i="433" s="1"/>
  <c r="G802" i="433"/>
  <c r="H801" i="433" s="1"/>
  <c r="G842" i="433"/>
  <c r="H841" i="433" s="1"/>
  <c r="G716" i="433"/>
  <c r="H715" i="433" s="1"/>
  <c r="G674" i="433"/>
  <c r="H673" i="433" s="1"/>
  <c r="G570" i="433"/>
  <c r="H569" i="433" s="1"/>
  <c r="G838" i="433"/>
  <c r="H837" i="433" s="1"/>
  <c r="G849" i="433"/>
  <c r="H848" i="433" s="1"/>
  <c r="G831" i="433"/>
  <c r="H830" i="433" s="1"/>
  <c r="G641" i="433"/>
  <c r="H640" i="433" s="1"/>
  <c r="G605" i="433"/>
  <c r="H604" i="433" s="1"/>
  <c r="G857" i="433"/>
  <c r="H856" i="433" s="1"/>
  <c r="G707" i="433"/>
  <c r="H706" i="433" s="1"/>
  <c r="G832" i="433"/>
  <c r="H831" i="433" s="1"/>
  <c r="G737" i="433"/>
  <c r="H736" i="433" s="1"/>
  <c r="G398" i="434"/>
  <c r="H397" i="434" s="1"/>
  <c r="G781" i="433"/>
  <c r="H780" i="433" s="1"/>
  <c r="G470" i="434"/>
  <c r="H469" i="434" s="1"/>
  <c r="G527" i="433"/>
  <c r="H526" i="433" s="1"/>
  <c r="G6" i="434"/>
  <c r="H5" i="434" s="1"/>
  <c r="G678" i="434"/>
  <c r="H677" i="434" s="1"/>
  <c r="G855" i="433"/>
  <c r="H854" i="433" s="1"/>
  <c r="G630" i="434"/>
  <c r="H629" i="434" s="1"/>
  <c r="G518" i="434"/>
  <c r="H517" i="434" s="1"/>
  <c r="G302" i="434"/>
  <c r="H301" i="434" s="1"/>
  <c r="G717" i="434"/>
  <c r="H716" i="434" s="1"/>
  <c r="G117" i="434"/>
  <c r="H116" i="434" s="1"/>
  <c r="G589" i="434"/>
  <c r="H588" i="434" s="1"/>
  <c r="G373" i="434"/>
  <c r="H372" i="434" s="1"/>
  <c r="G85" i="434"/>
  <c r="H84" i="434" s="1"/>
  <c r="G29" i="434"/>
  <c r="H28" i="434" s="1"/>
  <c r="G413" i="434"/>
  <c r="H412" i="434" s="1"/>
  <c r="G5" i="434"/>
  <c r="H4" i="434" s="1"/>
  <c r="G797" i="434"/>
  <c r="H796" i="434" s="1"/>
  <c r="G629" i="434"/>
  <c r="H628" i="434" s="1"/>
  <c r="G421" i="434"/>
  <c r="H420" i="434" s="1"/>
  <c r="G53" i="434"/>
  <c r="H52" i="434" s="1"/>
  <c r="BT224" i="431"/>
  <c r="AR18" i="431"/>
  <c r="BB18" i="431"/>
  <c r="CF18" i="431"/>
  <c r="CP18" i="431"/>
  <c r="CZ18" i="431"/>
  <c r="DT18" i="431"/>
  <c r="CM83" i="431"/>
  <c r="CW83" i="431"/>
  <c r="CG26" i="431"/>
  <c r="DY53" i="431"/>
  <c r="EI54" i="431"/>
  <c r="AQ65" i="431"/>
  <c r="CB62" i="431"/>
  <c r="CO63" i="431"/>
  <c r="DN63" i="431"/>
  <c r="CO71" i="431"/>
  <c r="AJ70" i="431"/>
  <c r="BD79" i="431"/>
  <c r="BS75" i="431"/>
  <c r="DL79" i="431"/>
  <c r="L81" i="431"/>
  <c r="DJ81" i="431"/>
  <c r="CN84" i="431"/>
  <c r="U80" i="431"/>
  <c r="U103" i="431" s="1"/>
  <c r="U135" i="431" s="1"/>
  <c r="U82" i="431" s="1"/>
  <c r="AT80" i="431"/>
  <c r="AT103" i="431" s="1"/>
  <c r="BI80" i="431"/>
  <c r="BI103" i="431" s="1"/>
  <c r="AS99" i="431"/>
  <c r="CN98" i="431"/>
  <c r="DX98" i="431"/>
  <c r="DB118" i="431"/>
  <c r="CU148" i="431"/>
  <c r="DY148" i="431"/>
  <c r="EJ151" i="431"/>
  <c r="CS163" i="431"/>
  <c r="DE163" i="431"/>
  <c r="DO163" i="431"/>
  <c r="K174" i="431"/>
  <c r="K175" i="431" s="1"/>
  <c r="CM260" i="431"/>
  <c r="BI309" i="431"/>
  <c r="BI311" i="431" s="1"/>
  <c r="G4" i="433"/>
  <c r="G7" i="433"/>
  <c r="H6" i="433" s="1"/>
  <c r="G9" i="433"/>
  <c r="H8" i="433" s="1"/>
  <c r="G11" i="433"/>
  <c r="H10" i="433" s="1"/>
  <c r="G13" i="433"/>
  <c r="H12" i="433" s="1"/>
  <c r="G15" i="433"/>
  <c r="H14" i="433" s="1"/>
  <c r="G17" i="433"/>
  <c r="H16" i="433" s="1"/>
  <c r="G19" i="433"/>
  <c r="H18" i="433" s="1"/>
  <c r="G21" i="433"/>
  <c r="H20" i="433" s="1"/>
  <c r="G23" i="433"/>
  <c r="H22" i="433" s="1"/>
  <c r="G25" i="433"/>
  <c r="H24" i="433" s="1"/>
  <c r="G27" i="433"/>
  <c r="H26" i="433" s="1"/>
  <c r="G29" i="433"/>
  <c r="H28" i="433" s="1"/>
  <c r="G31" i="433"/>
  <c r="H30" i="433" s="1"/>
  <c r="G33" i="433"/>
  <c r="H32" i="433" s="1"/>
  <c r="G35" i="433"/>
  <c r="H34" i="433" s="1"/>
  <c r="G37" i="433"/>
  <c r="H36" i="433" s="1"/>
  <c r="G39" i="433"/>
  <c r="H38" i="433" s="1"/>
  <c r="G41" i="433"/>
  <c r="H40" i="433" s="1"/>
  <c r="G43" i="433"/>
  <c r="H42" i="433" s="1"/>
  <c r="G45" i="433"/>
  <c r="H44" i="433" s="1"/>
  <c r="G47" i="433"/>
  <c r="H46" i="433" s="1"/>
  <c r="G49" i="433"/>
  <c r="H48" i="433" s="1"/>
  <c r="G51" i="433"/>
  <c r="H50" i="433" s="1"/>
  <c r="G53" i="433"/>
  <c r="H52" i="433" s="1"/>
  <c r="G55" i="433"/>
  <c r="H54" i="433" s="1"/>
  <c r="G57" i="433"/>
  <c r="H56" i="433" s="1"/>
  <c r="G59" i="433"/>
  <c r="H58" i="433" s="1"/>
  <c r="G61" i="433"/>
  <c r="H60" i="433" s="1"/>
  <c r="G63" i="433"/>
  <c r="H62" i="433" s="1"/>
  <c r="G65" i="433"/>
  <c r="H64" i="433" s="1"/>
  <c r="G67" i="433"/>
  <c r="H66" i="433" s="1"/>
  <c r="G69" i="433"/>
  <c r="H68" i="433" s="1"/>
  <c r="G71" i="433"/>
  <c r="H70" i="433" s="1"/>
  <c r="G73" i="433"/>
  <c r="H72" i="433" s="1"/>
  <c r="G75" i="433"/>
  <c r="H74" i="433" s="1"/>
  <c r="G77" i="433"/>
  <c r="H76" i="433" s="1"/>
  <c r="G79" i="433"/>
  <c r="H78" i="433" s="1"/>
  <c r="G81" i="433"/>
  <c r="H80" i="433" s="1"/>
  <c r="G83" i="433"/>
  <c r="H82" i="433" s="1"/>
  <c r="G85" i="433"/>
  <c r="H84" i="433" s="1"/>
  <c r="G87" i="433"/>
  <c r="H86" i="433" s="1"/>
  <c r="G89" i="433"/>
  <c r="H88" i="433" s="1"/>
  <c r="G91" i="433"/>
  <c r="H90" i="433" s="1"/>
  <c r="G93" i="433"/>
  <c r="H92" i="433" s="1"/>
  <c r="G95" i="433"/>
  <c r="H94" i="433" s="1"/>
  <c r="G97" i="433"/>
  <c r="H96" i="433" s="1"/>
  <c r="G99" i="433"/>
  <c r="H98" i="433" s="1"/>
  <c r="G101" i="433"/>
  <c r="H100" i="433" s="1"/>
  <c r="G104" i="433"/>
  <c r="H103" i="433" s="1"/>
  <c r="G106" i="433"/>
  <c r="H105" i="433" s="1"/>
  <c r="G108" i="433"/>
  <c r="H107" i="433" s="1"/>
  <c r="G110" i="433"/>
  <c r="H109" i="433" s="1"/>
  <c r="G112" i="433"/>
  <c r="H111" i="433" s="1"/>
  <c r="G114" i="433"/>
  <c r="H113" i="433" s="1"/>
  <c r="G116" i="433"/>
  <c r="H115" i="433" s="1"/>
  <c r="G118" i="433"/>
  <c r="H117" i="433" s="1"/>
  <c r="G120" i="433"/>
  <c r="H119" i="433" s="1"/>
  <c r="G122" i="433"/>
  <c r="H121" i="433" s="1"/>
  <c r="G124" i="433"/>
  <c r="H123" i="433" s="1"/>
  <c r="G126" i="433"/>
  <c r="H125" i="433" s="1"/>
  <c r="G128" i="433"/>
  <c r="H127" i="433" s="1"/>
  <c r="G131" i="433"/>
  <c r="H130" i="433" s="1"/>
  <c r="G133" i="433"/>
  <c r="H132" i="433" s="1"/>
  <c r="G135" i="433"/>
  <c r="H134" i="433" s="1"/>
  <c r="G137" i="433"/>
  <c r="H136" i="433" s="1"/>
  <c r="G140" i="433"/>
  <c r="H139" i="433" s="1"/>
  <c r="G142" i="433"/>
  <c r="H141" i="433" s="1"/>
  <c r="G147" i="433"/>
  <c r="H146" i="433" s="1"/>
  <c r="G149" i="433"/>
  <c r="H148" i="433" s="1"/>
  <c r="G151" i="433"/>
  <c r="H150" i="433" s="1"/>
  <c r="G153" i="433"/>
  <c r="H152" i="433" s="1"/>
  <c r="G156" i="433"/>
  <c r="H155" i="433" s="1"/>
  <c r="G158" i="433"/>
  <c r="H157" i="433" s="1"/>
  <c r="G160" i="433"/>
  <c r="H159" i="433" s="1"/>
  <c r="G162" i="433"/>
  <c r="H161" i="433" s="1"/>
  <c r="G164" i="433"/>
  <c r="H163" i="433" s="1"/>
  <c r="G166" i="433"/>
  <c r="H165" i="433" s="1"/>
  <c r="G168" i="433"/>
  <c r="H167" i="433" s="1"/>
  <c r="G170" i="433"/>
  <c r="H169" i="433" s="1"/>
  <c r="G173" i="433"/>
  <c r="H172" i="433" s="1"/>
  <c r="G175" i="433"/>
  <c r="H174" i="433" s="1"/>
  <c r="G177" i="433"/>
  <c r="H176" i="433" s="1"/>
  <c r="G180" i="433"/>
  <c r="H179" i="433" s="1"/>
  <c r="G182" i="433"/>
  <c r="H181" i="433" s="1"/>
  <c r="G184" i="433"/>
  <c r="H183" i="433" s="1"/>
  <c r="G186" i="433"/>
  <c r="H185" i="433" s="1"/>
  <c r="G188" i="433"/>
  <c r="H187" i="433" s="1"/>
  <c r="G190" i="433"/>
  <c r="H189" i="433" s="1"/>
  <c r="G193" i="433"/>
  <c r="H192" i="433" s="1"/>
  <c r="G195" i="433"/>
  <c r="H194" i="433" s="1"/>
  <c r="G197" i="433"/>
  <c r="H196" i="433" s="1"/>
  <c r="G199" i="433"/>
  <c r="H198" i="433" s="1"/>
  <c r="G201" i="433"/>
  <c r="H200" i="433" s="1"/>
  <c r="G204" i="433"/>
  <c r="H203" i="433" s="1"/>
  <c r="G206" i="433"/>
  <c r="H205" i="433" s="1"/>
  <c r="G208" i="433"/>
  <c r="H207" i="433" s="1"/>
  <c r="G210" i="433"/>
  <c r="H209" i="433" s="1"/>
  <c r="G212" i="433"/>
  <c r="H211" i="433" s="1"/>
  <c r="G214" i="433"/>
  <c r="H213" i="433" s="1"/>
  <c r="G216" i="433"/>
  <c r="H215" i="433" s="1"/>
  <c r="G218" i="433"/>
  <c r="H217" i="433" s="1"/>
  <c r="G220" i="433"/>
  <c r="H219" i="433" s="1"/>
  <c r="G222" i="433"/>
  <c r="H221" i="433" s="1"/>
  <c r="G224" i="433"/>
  <c r="H223" i="433" s="1"/>
  <c r="G226" i="433"/>
  <c r="H225" i="433" s="1"/>
  <c r="G228" i="433"/>
  <c r="H227" i="433" s="1"/>
  <c r="G231" i="433"/>
  <c r="H230" i="433" s="1"/>
  <c r="G233" i="433"/>
  <c r="H232" i="433" s="1"/>
  <c r="G235" i="433"/>
  <c r="H234" i="433" s="1"/>
  <c r="G237" i="433"/>
  <c r="H236" i="433" s="1"/>
  <c r="G239" i="433"/>
  <c r="H238" i="433" s="1"/>
  <c r="G241" i="433"/>
  <c r="H240" i="433" s="1"/>
  <c r="G244" i="433"/>
  <c r="H243" i="433" s="1"/>
  <c r="G246" i="433"/>
  <c r="H245" i="433" s="1"/>
  <c r="G248" i="433"/>
  <c r="H247" i="433" s="1"/>
  <c r="G250" i="433"/>
  <c r="H249" i="433" s="1"/>
  <c r="G253" i="433"/>
  <c r="H252" i="433" s="1"/>
  <c r="G255" i="433"/>
  <c r="H254" i="433" s="1"/>
  <c r="G259" i="433"/>
  <c r="H258" i="433" s="1"/>
  <c r="G261" i="433"/>
  <c r="H260" i="433" s="1"/>
  <c r="G263" i="433"/>
  <c r="H262" i="433" s="1"/>
  <c r="G265" i="433"/>
  <c r="H264" i="433" s="1"/>
  <c r="G267" i="433"/>
  <c r="H266" i="433" s="1"/>
  <c r="G269" i="433"/>
  <c r="H268" i="433" s="1"/>
  <c r="G271" i="433"/>
  <c r="H270" i="433" s="1"/>
  <c r="G273" i="433"/>
  <c r="H272" i="433" s="1"/>
  <c r="G275" i="433"/>
  <c r="H274" i="433" s="1"/>
  <c r="G277" i="433"/>
  <c r="H276" i="433" s="1"/>
  <c r="G279" i="433"/>
  <c r="H278" i="433" s="1"/>
  <c r="G281" i="433"/>
  <c r="H280" i="433" s="1"/>
  <c r="G284" i="433"/>
  <c r="H283" i="433" s="1"/>
  <c r="G286" i="433"/>
  <c r="H285" i="433" s="1"/>
  <c r="G288" i="433"/>
  <c r="H287" i="433" s="1"/>
  <c r="G290" i="433"/>
  <c r="H289" i="433" s="1"/>
  <c r="G292" i="433"/>
  <c r="H291" i="433" s="1"/>
  <c r="G294" i="433"/>
  <c r="H293" i="433" s="1"/>
  <c r="G296" i="433"/>
  <c r="H295" i="433" s="1"/>
  <c r="G298" i="433"/>
  <c r="H297" i="433" s="1"/>
  <c r="G300" i="433"/>
  <c r="H299" i="433" s="1"/>
  <c r="G302" i="433"/>
  <c r="H301" i="433" s="1"/>
  <c r="G304" i="433"/>
  <c r="H303" i="433" s="1"/>
  <c r="G306" i="433"/>
  <c r="H305" i="433" s="1"/>
  <c r="G308" i="433"/>
  <c r="H307" i="433" s="1"/>
  <c r="G310" i="433"/>
  <c r="H309" i="433" s="1"/>
  <c r="G312" i="433"/>
  <c r="H311" i="433" s="1"/>
  <c r="G314" i="433"/>
  <c r="H313" i="433" s="1"/>
  <c r="G316" i="433"/>
  <c r="H315" i="433" s="1"/>
  <c r="G318" i="433"/>
  <c r="H317" i="433" s="1"/>
  <c r="G320" i="433"/>
  <c r="H319" i="433" s="1"/>
  <c r="G322" i="433"/>
  <c r="H321" i="433" s="1"/>
  <c r="G324" i="433"/>
  <c r="H323" i="433" s="1"/>
  <c r="G326" i="433"/>
  <c r="H325" i="433" s="1"/>
  <c r="G328" i="433"/>
  <c r="H327" i="433" s="1"/>
  <c r="G330" i="433"/>
  <c r="H329" i="433" s="1"/>
  <c r="G332" i="433"/>
  <c r="H331" i="433" s="1"/>
  <c r="G334" i="433"/>
  <c r="H333" i="433" s="1"/>
  <c r="G336" i="433"/>
  <c r="H335" i="433" s="1"/>
  <c r="G338" i="433"/>
  <c r="H337" i="433" s="1"/>
  <c r="G340" i="433"/>
  <c r="H339" i="433" s="1"/>
  <c r="G342" i="433"/>
  <c r="H341" i="433" s="1"/>
  <c r="G344" i="433"/>
  <c r="H343" i="433" s="1"/>
  <c r="G346" i="433"/>
  <c r="H345" i="433" s="1"/>
  <c r="G349" i="433"/>
  <c r="H348" i="433" s="1"/>
  <c r="G351" i="433"/>
  <c r="H350" i="433" s="1"/>
  <c r="G353" i="433"/>
  <c r="H352" i="433" s="1"/>
  <c r="G357" i="433"/>
  <c r="H356" i="433" s="1"/>
  <c r="G359" i="433"/>
  <c r="H358" i="433" s="1"/>
  <c r="G361" i="433"/>
  <c r="H360" i="433" s="1"/>
  <c r="G363" i="433"/>
  <c r="H362" i="433" s="1"/>
  <c r="G365" i="433"/>
  <c r="H364" i="433" s="1"/>
  <c r="G367" i="433"/>
  <c r="H366" i="433" s="1"/>
  <c r="G371" i="433"/>
  <c r="H370" i="433" s="1"/>
  <c r="G374" i="433"/>
  <c r="H373" i="433" s="1"/>
  <c r="G376" i="433"/>
  <c r="H375" i="433" s="1"/>
  <c r="G378" i="433"/>
  <c r="H377" i="433" s="1"/>
  <c r="G381" i="433"/>
  <c r="H380" i="433" s="1"/>
  <c r="G383" i="433"/>
  <c r="H382" i="433" s="1"/>
  <c r="G386" i="433"/>
  <c r="H385" i="433" s="1"/>
  <c r="G388" i="433"/>
  <c r="H387" i="433" s="1"/>
  <c r="G390" i="433"/>
  <c r="H389" i="433" s="1"/>
  <c r="G392" i="433"/>
  <c r="H391" i="433" s="1"/>
  <c r="G395" i="433"/>
  <c r="H394" i="433" s="1"/>
  <c r="G397" i="433"/>
  <c r="H396" i="433" s="1"/>
  <c r="G399" i="433"/>
  <c r="H398" i="433" s="1"/>
  <c r="G403" i="433"/>
  <c r="H402" i="433" s="1"/>
  <c r="G405" i="433"/>
  <c r="H404" i="433" s="1"/>
  <c r="G407" i="433"/>
  <c r="H406" i="433" s="1"/>
  <c r="G409" i="433"/>
  <c r="H408" i="433" s="1"/>
  <c r="G412" i="433"/>
  <c r="H411" i="433" s="1"/>
  <c r="G414" i="433"/>
  <c r="H413" i="433" s="1"/>
  <c r="G416" i="433"/>
  <c r="H415" i="433" s="1"/>
  <c r="G418" i="433"/>
  <c r="H417" i="433" s="1"/>
  <c r="G420" i="433"/>
  <c r="H419" i="433" s="1"/>
  <c r="G422" i="433"/>
  <c r="H421" i="433" s="1"/>
  <c r="G424" i="433"/>
  <c r="H423" i="433" s="1"/>
  <c r="G426" i="433"/>
  <c r="H425" i="433" s="1"/>
  <c r="G428" i="433"/>
  <c r="H427" i="433" s="1"/>
  <c r="G430" i="433"/>
  <c r="H429" i="433" s="1"/>
  <c r="G433" i="433"/>
  <c r="H432" i="433" s="1"/>
  <c r="G435" i="433"/>
  <c r="H434" i="433" s="1"/>
  <c r="G437" i="433"/>
  <c r="H436" i="433" s="1"/>
  <c r="G439" i="433"/>
  <c r="H438" i="433" s="1"/>
  <c r="G442" i="433"/>
  <c r="H441" i="433" s="1"/>
  <c r="G444" i="433"/>
  <c r="H443" i="433" s="1"/>
  <c r="G446" i="433"/>
  <c r="H445" i="433" s="1"/>
  <c r="G448" i="433"/>
  <c r="H447" i="433" s="1"/>
  <c r="G450" i="433"/>
  <c r="H449" i="433" s="1"/>
  <c r="G452" i="433"/>
  <c r="H451" i="433" s="1"/>
  <c r="G454" i="433"/>
  <c r="H453" i="433" s="1"/>
  <c r="G456" i="433"/>
  <c r="H455" i="433" s="1"/>
  <c r="G458" i="433"/>
  <c r="H457" i="433" s="1"/>
  <c r="G460" i="433"/>
  <c r="H459" i="433" s="1"/>
  <c r="G462" i="433"/>
  <c r="H461" i="433" s="1"/>
  <c r="G464" i="433"/>
  <c r="H463" i="433" s="1"/>
  <c r="G466" i="433"/>
  <c r="H465" i="433" s="1"/>
  <c r="G468" i="433"/>
  <c r="H467" i="433" s="1"/>
  <c r="G470" i="433"/>
  <c r="H469" i="433" s="1"/>
  <c r="G472" i="433"/>
  <c r="H471" i="433" s="1"/>
  <c r="G475" i="433"/>
  <c r="H474" i="433" s="1"/>
  <c r="G477" i="433"/>
  <c r="H476" i="433" s="1"/>
  <c r="G479" i="433"/>
  <c r="H478" i="433" s="1"/>
  <c r="G481" i="433"/>
  <c r="H480" i="433" s="1"/>
  <c r="G483" i="433"/>
  <c r="H482" i="433" s="1"/>
  <c r="G485" i="433"/>
  <c r="H484" i="433" s="1"/>
  <c r="G487" i="433"/>
  <c r="H486" i="433" s="1"/>
  <c r="G490" i="433"/>
  <c r="H489" i="433" s="1"/>
  <c r="G492" i="433"/>
  <c r="H491" i="433" s="1"/>
  <c r="G494" i="433"/>
  <c r="H493" i="433" s="1"/>
  <c r="G497" i="433"/>
  <c r="H496" i="433" s="1"/>
  <c r="G499" i="433"/>
  <c r="H498" i="433" s="1"/>
  <c r="G501" i="433"/>
  <c r="H500" i="433" s="1"/>
  <c r="G503" i="433"/>
  <c r="H502" i="433" s="1"/>
  <c r="G505" i="433"/>
  <c r="H504" i="433" s="1"/>
  <c r="G507" i="433"/>
  <c r="H506" i="433" s="1"/>
  <c r="G509" i="433"/>
  <c r="H508" i="433" s="1"/>
  <c r="G511" i="433"/>
  <c r="H510" i="433" s="1"/>
  <c r="G513" i="433"/>
  <c r="H512" i="433" s="1"/>
  <c r="G515" i="433"/>
  <c r="H514" i="433" s="1"/>
  <c r="G517" i="433"/>
  <c r="H516" i="433" s="1"/>
  <c r="G519" i="433"/>
  <c r="H518" i="433" s="1"/>
  <c r="G521" i="433"/>
  <c r="H520" i="433" s="1"/>
  <c r="G523" i="433"/>
  <c r="H522" i="433" s="1"/>
  <c r="G525" i="433"/>
  <c r="H524" i="433" s="1"/>
  <c r="G528" i="433"/>
  <c r="H527" i="433" s="1"/>
  <c r="G530" i="433"/>
  <c r="H529" i="433" s="1"/>
  <c r="G532" i="433"/>
  <c r="H531" i="433" s="1"/>
  <c r="G534" i="433"/>
  <c r="H533" i="433" s="1"/>
  <c r="G536" i="433"/>
  <c r="H535" i="433" s="1"/>
  <c r="G538" i="433"/>
  <c r="H537" i="433" s="1"/>
  <c r="G540" i="433"/>
  <c r="H539" i="433" s="1"/>
  <c r="G542" i="433"/>
  <c r="H541" i="433" s="1"/>
  <c r="G544" i="433"/>
  <c r="H543" i="433" s="1"/>
  <c r="G546" i="433"/>
  <c r="H545" i="433" s="1"/>
  <c r="G548" i="433"/>
  <c r="H547" i="433" s="1"/>
  <c r="G550" i="433"/>
  <c r="H549" i="433" s="1"/>
  <c r="G552" i="433"/>
  <c r="H551" i="433" s="1"/>
  <c r="G554" i="433"/>
  <c r="H553" i="433" s="1"/>
  <c r="G557" i="433"/>
  <c r="H556" i="433" s="1"/>
  <c r="G560" i="433"/>
  <c r="H559" i="433" s="1"/>
  <c r="G562" i="433"/>
  <c r="H561" i="433" s="1"/>
  <c r="G564" i="433"/>
  <c r="H563" i="433" s="1"/>
  <c r="G566" i="433"/>
  <c r="H565" i="433" s="1"/>
  <c r="G571" i="433"/>
  <c r="H570" i="433" s="1"/>
  <c r="G574" i="433"/>
  <c r="H573" i="433" s="1"/>
  <c r="G576" i="433"/>
  <c r="H575" i="433" s="1"/>
  <c r="G581" i="433"/>
  <c r="H580" i="433" s="1"/>
  <c r="G583" i="433"/>
  <c r="H582" i="433" s="1"/>
  <c r="G586" i="433"/>
  <c r="H585" i="433" s="1"/>
  <c r="G589" i="433"/>
  <c r="H588" i="433" s="1"/>
  <c r="G591" i="433"/>
  <c r="H590" i="433" s="1"/>
  <c r="G593" i="433"/>
  <c r="H592" i="433" s="1"/>
  <c r="G596" i="433"/>
  <c r="H595" i="433" s="1"/>
  <c r="G598" i="433"/>
  <c r="H597" i="433" s="1"/>
  <c r="G601" i="433"/>
  <c r="H600" i="433" s="1"/>
  <c r="G604" i="433"/>
  <c r="H603" i="433" s="1"/>
  <c r="G607" i="433"/>
  <c r="H606" i="433" s="1"/>
  <c r="G610" i="433"/>
  <c r="H609" i="433" s="1"/>
  <c r="G613" i="433"/>
  <c r="H612" i="433" s="1"/>
  <c r="G616" i="433"/>
  <c r="H615" i="433" s="1"/>
  <c r="G618" i="433"/>
  <c r="H617" i="433" s="1"/>
  <c r="G620" i="433"/>
  <c r="H619" i="433" s="1"/>
  <c r="G624" i="433"/>
  <c r="H623" i="433" s="1"/>
  <c r="G626" i="433"/>
  <c r="H625" i="433" s="1"/>
  <c r="G628" i="433"/>
  <c r="H627" i="433" s="1"/>
  <c r="G631" i="433"/>
  <c r="H630" i="433" s="1"/>
  <c r="G634" i="433"/>
  <c r="H633" i="433" s="1"/>
  <c r="G636" i="433"/>
  <c r="H635" i="433" s="1"/>
  <c r="G638" i="433"/>
  <c r="H637" i="433" s="1"/>
  <c r="G640" i="433"/>
  <c r="H639" i="433" s="1"/>
  <c r="G645" i="433"/>
  <c r="H644" i="433" s="1"/>
  <c r="G647" i="433"/>
  <c r="H646" i="433" s="1"/>
  <c r="G649" i="433"/>
  <c r="H648" i="433" s="1"/>
  <c r="G651" i="433"/>
  <c r="H650" i="433" s="1"/>
  <c r="G654" i="433"/>
  <c r="H653" i="433" s="1"/>
  <c r="G656" i="433"/>
  <c r="H655" i="433" s="1"/>
  <c r="G659" i="433"/>
  <c r="H658" i="433" s="1"/>
  <c r="G661" i="433"/>
  <c r="H660" i="433" s="1"/>
  <c r="G664" i="433"/>
  <c r="H663" i="433" s="1"/>
  <c r="G666" i="433"/>
  <c r="H665" i="433" s="1"/>
  <c r="G669" i="433"/>
  <c r="H668" i="433" s="1"/>
  <c r="G671" i="433"/>
  <c r="H670" i="433" s="1"/>
  <c r="G675" i="433"/>
  <c r="H674" i="433" s="1"/>
  <c r="G678" i="433"/>
  <c r="H677" i="433" s="1"/>
  <c r="G680" i="433"/>
  <c r="H679" i="433" s="1"/>
  <c r="G682" i="433"/>
  <c r="H681" i="433" s="1"/>
  <c r="G684" i="433"/>
  <c r="H683" i="433" s="1"/>
  <c r="G687" i="433"/>
  <c r="H686" i="433" s="1"/>
  <c r="G689" i="433"/>
  <c r="H688" i="433" s="1"/>
  <c r="G692" i="433"/>
  <c r="H691" i="433" s="1"/>
  <c r="G694" i="433"/>
  <c r="H693" i="433" s="1"/>
  <c r="G699" i="433"/>
  <c r="H698" i="433" s="1"/>
  <c r="G702" i="433"/>
  <c r="H701" i="433" s="1"/>
  <c r="G704" i="433"/>
  <c r="H703" i="433" s="1"/>
  <c r="G706" i="433"/>
  <c r="H705" i="433" s="1"/>
  <c r="G711" i="433"/>
  <c r="H710" i="433" s="1"/>
  <c r="G713" i="433"/>
  <c r="H712" i="433" s="1"/>
  <c r="G715" i="433"/>
  <c r="H714" i="433" s="1"/>
  <c r="G719" i="433"/>
  <c r="H718" i="433" s="1"/>
  <c r="G721" i="433"/>
  <c r="H720" i="433" s="1"/>
  <c r="G723" i="433"/>
  <c r="H722" i="433" s="1"/>
  <c r="G725" i="433"/>
  <c r="H724" i="433" s="1"/>
  <c r="G727" i="433"/>
  <c r="H726" i="433" s="1"/>
  <c r="G729" i="433"/>
  <c r="H728" i="433" s="1"/>
  <c r="G731" i="433"/>
  <c r="H730" i="433" s="1"/>
  <c r="G733" i="433"/>
  <c r="H732" i="433" s="1"/>
  <c r="G735" i="433"/>
  <c r="H734" i="433" s="1"/>
  <c r="G738" i="433"/>
  <c r="H737" i="433" s="1"/>
  <c r="G740" i="433"/>
  <c r="H739" i="433" s="1"/>
  <c r="G742" i="433"/>
  <c r="H741" i="433" s="1"/>
  <c r="G744" i="433"/>
  <c r="H743" i="433" s="1"/>
  <c r="G746" i="433"/>
  <c r="H745" i="433" s="1"/>
  <c r="G748" i="433"/>
  <c r="H747" i="433" s="1"/>
  <c r="G750" i="433"/>
  <c r="H749" i="433" s="1"/>
  <c r="G752" i="433"/>
  <c r="H751" i="433" s="1"/>
  <c r="G755" i="433"/>
  <c r="H754" i="433" s="1"/>
  <c r="G757" i="433"/>
  <c r="H756" i="433" s="1"/>
  <c r="G761" i="433"/>
  <c r="H760" i="433" s="1"/>
  <c r="G763" i="433"/>
  <c r="H762" i="433" s="1"/>
  <c r="G770" i="433"/>
  <c r="H769" i="433" s="1"/>
  <c r="G774" i="433"/>
  <c r="H773" i="433" s="1"/>
  <c r="G779" i="433"/>
  <c r="H778" i="433" s="1"/>
  <c r="G784" i="433"/>
  <c r="H783" i="433" s="1"/>
  <c r="G786" i="433"/>
  <c r="H785" i="433" s="1"/>
  <c r="G792" i="433"/>
  <c r="H791" i="433" s="1"/>
  <c r="G794" i="433"/>
  <c r="H793" i="433" s="1"/>
  <c r="G797" i="433"/>
  <c r="H796" i="433" s="1"/>
  <c r="G799" i="433"/>
  <c r="H798" i="433" s="1"/>
  <c r="G801" i="433"/>
  <c r="H800" i="433" s="1"/>
  <c r="G804" i="433"/>
  <c r="H803" i="433" s="1"/>
  <c r="G806" i="433"/>
  <c r="H805" i="433" s="1"/>
  <c r="G809" i="433"/>
  <c r="H808" i="433" s="1"/>
  <c r="G812" i="433"/>
  <c r="H811" i="433" s="1"/>
  <c r="G814" i="433"/>
  <c r="H813" i="433" s="1"/>
  <c r="G816" i="433"/>
  <c r="H815" i="433" s="1"/>
  <c r="G818" i="433"/>
  <c r="H817" i="433" s="1"/>
  <c r="G820" i="433"/>
  <c r="H819" i="433" s="1"/>
  <c r="G822" i="433"/>
  <c r="H821" i="433" s="1"/>
  <c r="G824" i="433"/>
  <c r="H823" i="433" s="1"/>
  <c r="G828" i="433"/>
  <c r="H827" i="433" s="1"/>
  <c r="G835" i="433"/>
  <c r="H834" i="433" s="1"/>
  <c r="G840" i="433"/>
  <c r="H839" i="433" s="1"/>
  <c r="G845" i="433"/>
  <c r="H844" i="433" s="1"/>
  <c r="G848" i="433"/>
  <c r="H847" i="433" s="1"/>
  <c r="G853" i="433"/>
  <c r="H852" i="433" s="1"/>
  <c r="G856" i="433"/>
  <c r="H855" i="433" s="1"/>
  <c r="G860" i="433"/>
  <c r="H859" i="433" s="1"/>
  <c r="G863" i="433"/>
  <c r="H862" i="433" s="1"/>
  <c r="G865" i="433"/>
  <c r="H864" i="433" s="1"/>
  <c r="G868" i="433"/>
  <c r="H867" i="433" s="1"/>
  <c r="G870" i="433"/>
  <c r="H869" i="433" s="1"/>
  <c r="G872" i="433"/>
  <c r="G874" i="433"/>
  <c r="G878" i="433"/>
  <c r="G882" i="433"/>
  <c r="G4" i="434"/>
  <c r="G11" i="434"/>
  <c r="H10" i="434" s="1"/>
  <c r="G19" i="434"/>
  <c r="H18" i="434" s="1"/>
  <c r="G21" i="434"/>
  <c r="H20" i="434" s="1"/>
  <c r="G28" i="434"/>
  <c r="H27" i="434" s="1"/>
  <c r="G35" i="434"/>
  <c r="H34" i="434" s="1"/>
  <c r="G43" i="434"/>
  <c r="H42" i="434" s="1"/>
  <c r="G51" i="434"/>
  <c r="H50" i="434" s="1"/>
  <c r="G59" i="434"/>
  <c r="H58" i="434" s="1"/>
  <c r="G66" i="434"/>
  <c r="H65" i="434" s="1"/>
  <c r="G68" i="434"/>
  <c r="H67" i="434" s="1"/>
  <c r="G76" i="434"/>
  <c r="H75" i="434" s="1"/>
  <c r="G83" i="434"/>
  <c r="H82" i="434" s="1"/>
  <c r="G91" i="434"/>
  <c r="H90" i="434" s="1"/>
  <c r="G93" i="434"/>
  <c r="H92" i="434" s="1"/>
  <c r="G99" i="434"/>
  <c r="H98" i="434" s="1"/>
  <c r="G107" i="434"/>
  <c r="H106" i="434" s="1"/>
  <c r="G109" i="434"/>
  <c r="H108" i="434" s="1"/>
  <c r="G116" i="434"/>
  <c r="H115" i="434" s="1"/>
  <c r="G124" i="434"/>
  <c r="H123" i="434" s="1"/>
  <c r="G131" i="434"/>
  <c r="H130" i="434" s="1"/>
  <c r="G139" i="434"/>
  <c r="H138" i="434" s="1"/>
  <c r="G148" i="434"/>
  <c r="H147" i="434" s="1"/>
  <c r="G155" i="434"/>
  <c r="H154" i="434" s="1"/>
  <c r="G157" i="434"/>
  <c r="H156" i="434" s="1"/>
  <c r="G164" i="434"/>
  <c r="H163" i="434" s="1"/>
  <c r="G172" i="434"/>
  <c r="H171" i="434" s="1"/>
  <c r="G180" i="434"/>
  <c r="H179" i="434" s="1"/>
  <c r="G187" i="434"/>
  <c r="H186" i="434" s="1"/>
  <c r="G195" i="434"/>
  <c r="H194" i="434" s="1"/>
  <c r="G203" i="434"/>
  <c r="H202" i="434" s="1"/>
  <c r="G205" i="434"/>
  <c r="H204" i="434" s="1"/>
  <c r="G212" i="434"/>
  <c r="H211" i="434" s="1"/>
  <c r="G220" i="434"/>
  <c r="H219" i="434" s="1"/>
  <c r="G227" i="434"/>
  <c r="H226" i="434" s="1"/>
  <c r="G235" i="434"/>
  <c r="H234" i="434" s="1"/>
  <c r="G243" i="434"/>
  <c r="H242" i="434" s="1"/>
  <c r="G251" i="434"/>
  <c r="H250" i="434" s="1"/>
  <c r="G253" i="434"/>
  <c r="H252" i="434" s="1"/>
  <c r="G260" i="434"/>
  <c r="H259" i="434" s="1"/>
  <c r="G268" i="434"/>
  <c r="H267" i="434" s="1"/>
  <c r="G275" i="434"/>
  <c r="H274" i="434" s="1"/>
  <c r="G283" i="434"/>
  <c r="H282" i="434" s="1"/>
  <c r="G285" i="434"/>
  <c r="H284" i="434" s="1"/>
  <c r="G292" i="434"/>
  <c r="H291" i="434" s="1"/>
  <c r="G300" i="434"/>
  <c r="H299" i="434" s="1"/>
  <c r="G307" i="434"/>
  <c r="H306" i="434" s="1"/>
  <c r="G315" i="434"/>
  <c r="H314" i="434" s="1"/>
  <c r="G317" i="434"/>
  <c r="H316" i="434" s="1"/>
  <c r="G324" i="434"/>
  <c r="H323" i="434" s="1"/>
  <c r="G332" i="434"/>
  <c r="H331" i="434" s="1"/>
  <c r="G339" i="434"/>
  <c r="H338" i="434" s="1"/>
  <c r="G347" i="434"/>
  <c r="H346" i="434" s="1"/>
  <c r="G355" i="434"/>
  <c r="H354" i="434" s="1"/>
  <c r="G357" i="434"/>
  <c r="H356" i="434" s="1"/>
  <c r="G363" i="434"/>
  <c r="H362" i="434" s="1"/>
  <c r="G371" i="434"/>
  <c r="H370" i="434" s="1"/>
  <c r="G379" i="434"/>
  <c r="H378" i="434" s="1"/>
  <c r="G389" i="434"/>
  <c r="H388" i="434" s="1"/>
  <c r="G396" i="434"/>
  <c r="H395" i="434" s="1"/>
  <c r="G405" i="434"/>
  <c r="H404" i="434" s="1"/>
  <c r="G412" i="434"/>
  <c r="H411" i="434" s="1"/>
  <c r="G420" i="434"/>
  <c r="H419" i="434" s="1"/>
  <c r="G428" i="434"/>
  <c r="H427" i="434" s="1"/>
  <c r="G436" i="434"/>
  <c r="H435" i="434" s="1"/>
  <c r="G444" i="434"/>
  <c r="H443" i="434" s="1"/>
  <c r="G452" i="434"/>
  <c r="H451" i="434" s="1"/>
  <c r="G459" i="434"/>
  <c r="H458" i="434" s="1"/>
  <c r="G467" i="434"/>
  <c r="H466" i="434" s="1"/>
  <c r="G477" i="434"/>
  <c r="H476" i="434" s="1"/>
  <c r="G483" i="434"/>
  <c r="H482" i="434" s="1"/>
  <c r="G491" i="434"/>
  <c r="H490" i="434" s="1"/>
  <c r="G493" i="434"/>
  <c r="H492" i="434" s="1"/>
  <c r="G500" i="434"/>
  <c r="H499" i="434" s="1"/>
  <c r="G508" i="434"/>
  <c r="H507" i="434" s="1"/>
  <c r="G516" i="434"/>
  <c r="H515" i="434" s="1"/>
  <c r="G524" i="434"/>
  <c r="H523" i="434" s="1"/>
  <c r="G533" i="434"/>
  <c r="H532" i="434" s="1"/>
  <c r="G539" i="434"/>
  <c r="H538" i="434" s="1"/>
  <c r="G547" i="434"/>
  <c r="H546" i="434" s="1"/>
  <c r="G555" i="434"/>
  <c r="H554" i="434" s="1"/>
  <c r="G563" i="434"/>
  <c r="H562" i="434" s="1"/>
  <c r="G565" i="434"/>
  <c r="H564" i="434" s="1"/>
  <c r="G572" i="434"/>
  <c r="H571" i="434" s="1"/>
  <c r="G580" i="434"/>
  <c r="H579" i="434" s="1"/>
  <c r="G587" i="434"/>
  <c r="H586" i="434" s="1"/>
  <c r="G595" i="434"/>
  <c r="H594" i="434" s="1"/>
  <c r="G599" i="434"/>
  <c r="H598" i="434" s="1"/>
  <c r="G604" i="434"/>
  <c r="H603" i="434" s="1"/>
  <c r="G619" i="434"/>
  <c r="H618" i="434" s="1"/>
  <c r="G627" i="434"/>
  <c r="H626" i="434" s="1"/>
  <c r="G635" i="434"/>
  <c r="H634" i="434" s="1"/>
  <c r="G643" i="434"/>
  <c r="H642" i="434" s="1"/>
  <c r="G645" i="434"/>
  <c r="H644" i="434" s="1"/>
  <c r="G652" i="434"/>
  <c r="H651" i="434" s="1"/>
  <c r="G660" i="434"/>
  <c r="H659" i="434" s="1"/>
  <c r="G667" i="434"/>
  <c r="H666" i="434" s="1"/>
  <c r="G669" i="434"/>
  <c r="H668" i="434" s="1"/>
  <c r="G676" i="434"/>
  <c r="H675" i="434" s="1"/>
  <c r="G684" i="434"/>
  <c r="H683" i="434" s="1"/>
  <c r="G686" i="434"/>
  <c r="H685" i="434" s="1"/>
  <c r="G692" i="434"/>
  <c r="H691" i="434" s="1"/>
  <c r="G700" i="434"/>
  <c r="H699" i="434" s="1"/>
  <c r="G708" i="434"/>
  <c r="H707" i="434" s="1"/>
  <c r="G716" i="434"/>
  <c r="H715" i="434" s="1"/>
  <c r="G724" i="434"/>
  <c r="H723" i="434" s="1"/>
  <c r="G731" i="434"/>
  <c r="H730" i="434" s="1"/>
  <c r="G738" i="434"/>
  <c r="H737" i="434" s="1"/>
  <c r="G740" i="434"/>
  <c r="H739" i="434" s="1"/>
  <c r="G748" i="434"/>
  <c r="H747" i="434" s="1"/>
  <c r="G756" i="434"/>
  <c r="H755" i="434" s="1"/>
  <c r="G758" i="434"/>
  <c r="H757" i="434" s="1"/>
  <c r="G772" i="434"/>
  <c r="H771" i="434" s="1"/>
  <c r="G786" i="434"/>
  <c r="H785" i="434" s="1"/>
  <c r="G789" i="434"/>
  <c r="H788" i="434" s="1"/>
  <c r="G812" i="434"/>
  <c r="H811" i="434" s="1"/>
  <c r="G819" i="434"/>
  <c r="H818" i="434" s="1"/>
  <c r="G837" i="434"/>
  <c r="H836" i="434" s="1"/>
  <c r="G848" i="434"/>
  <c r="H847" i="434" s="1"/>
  <c r="G852" i="434"/>
  <c r="G854" i="434"/>
  <c r="G856" i="434"/>
  <c r="G860" i="434"/>
  <c r="G882" i="434"/>
  <c r="G887" i="433"/>
  <c r="G885" i="433"/>
  <c r="G886" i="434"/>
  <c r="G711" i="434"/>
  <c r="H710" i="434" s="1"/>
  <c r="G633" i="434"/>
  <c r="H632" i="434" s="1"/>
  <c r="G569" i="434"/>
  <c r="H568" i="434" s="1"/>
  <c r="G481" i="434"/>
  <c r="H480" i="434" s="1"/>
  <c r="G471" i="434"/>
  <c r="H470" i="434" s="1"/>
  <c r="G391" i="434"/>
  <c r="H390" i="434" s="1"/>
  <c r="G345" i="434"/>
  <c r="H344" i="434" s="1"/>
  <c r="G289" i="434"/>
  <c r="H288" i="434" s="1"/>
  <c r="G193" i="434"/>
  <c r="H192" i="434" s="1"/>
  <c r="G103" i="434"/>
  <c r="H102" i="434" s="1"/>
  <c r="G71" i="434"/>
  <c r="H70" i="434" s="1"/>
  <c r="G784" i="434"/>
  <c r="H783" i="434" s="1"/>
  <c r="G815" i="434"/>
  <c r="H814" i="434" s="1"/>
  <c r="G834" i="434"/>
  <c r="H833" i="434" s="1"/>
  <c r="G850" i="434"/>
  <c r="H849" i="434" s="1"/>
  <c r="G865" i="434"/>
  <c r="G677" i="434"/>
  <c r="H676" i="434" s="1"/>
  <c r="G141" i="434"/>
  <c r="H140" i="434" s="1"/>
  <c r="G783" i="433"/>
  <c r="H782" i="433" s="1"/>
  <c r="G673" i="433"/>
  <c r="H672" i="433" s="1"/>
  <c r="G623" i="433"/>
  <c r="H622" i="433" s="1"/>
  <c r="G777" i="433"/>
  <c r="H776" i="433" s="1"/>
  <c r="G833" i="433"/>
  <c r="H832" i="433" s="1"/>
  <c r="G858" i="433"/>
  <c r="H857" i="433" s="1"/>
  <c r="G881" i="433"/>
  <c r="G890" i="433"/>
  <c r="D51" i="451"/>
  <c r="F51" i="451"/>
  <c r="H51" i="451"/>
  <c r="G745" i="434"/>
  <c r="H744" i="434" s="1"/>
  <c r="G737" i="434"/>
  <c r="H736" i="434" s="1"/>
  <c r="G729" i="434"/>
  <c r="H728" i="434" s="1"/>
  <c r="G721" i="434"/>
  <c r="H720" i="434" s="1"/>
  <c r="G713" i="434"/>
  <c r="H712" i="434" s="1"/>
  <c r="G705" i="434"/>
  <c r="H704" i="434" s="1"/>
  <c r="G697" i="434"/>
  <c r="H696" i="434" s="1"/>
  <c r="G690" i="434"/>
  <c r="H689" i="434" s="1"/>
  <c r="G682" i="434"/>
  <c r="H681" i="434" s="1"/>
  <c r="G673" i="434"/>
  <c r="H672" i="434" s="1"/>
  <c r="G666" i="434"/>
  <c r="H665" i="434" s="1"/>
  <c r="G658" i="434"/>
  <c r="H657" i="434" s="1"/>
  <c r="G650" i="434"/>
  <c r="H649" i="434" s="1"/>
  <c r="G642" i="434"/>
  <c r="H641" i="434" s="1"/>
  <c r="G634" i="434"/>
  <c r="H633" i="434" s="1"/>
  <c r="G625" i="434"/>
  <c r="H624" i="434" s="1"/>
  <c r="G617" i="434"/>
  <c r="H616" i="434" s="1"/>
  <c r="G602" i="434"/>
  <c r="H601" i="434" s="1"/>
  <c r="G594" i="434"/>
  <c r="H593" i="434" s="1"/>
  <c r="G586" i="434"/>
  <c r="H585" i="434" s="1"/>
  <c r="G584" i="434"/>
  <c r="H583" i="434" s="1"/>
  <c r="G578" i="434"/>
  <c r="H577" i="434" s="1"/>
  <c r="G570" i="434"/>
  <c r="H569" i="434" s="1"/>
  <c r="G561" i="434"/>
  <c r="H560" i="434" s="1"/>
  <c r="G553" i="434"/>
  <c r="H552" i="434" s="1"/>
  <c r="G545" i="434"/>
  <c r="H544" i="434" s="1"/>
  <c r="G537" i="434"/>
  <c r="H536" i="434" s="1"/>
  <c r="G522" i="434"/>
  <c r="H521" i="434" s="1"/>
  <c r="G520" i="434"/>
  <c r="H519" i="434" s="1"/>
  <c r="G513" i="434"/>
  <c r="H512" i="434" s="1"/>
  <c r="G505" i="434"/>
  <c r="H504" i="434" s="1"/>
  <c r="G497" i="434"/>
  <c r="H496" i="434" s="1"/>
  <c r="G490" i="434"/>
  <c r="H489" i="434" s="1"/>
  <c r="G482" i="434"/>
  <c r="H481" i="434" s="1"/>
  <c r="G473" i="434"/>
  <c r="H472" i="434" s="1"/>
  <c r="G465" i="434"/>
  <c r="H464" i="434" s="1"/>
  <c r="G457" i="434"/>
  <c r="H456" i="434" s="1"/>
  <c r="G454" i="434"/>
  <c r="H453" i="434" s="1"/>
  <c r="G449" i="434"/>
  <c r="H448" i="434" s="1"/>
  <c r="G441" i="434"/>
  <c r="H440" i="434" s="1"/>
  <c r="G433" i="434"/>
  <c r="H432" i="434" s="1"/>
  <c r="G418" i="434"/>
  <c r="H417" i="434" s="1"/>
  <c r="G414" i="434"/>
  <c r="H413" i="434" s="1"/>
  <c r="G409" i="434"/>
  <c r="H408" i="434" s="1"/>
  <c r="G401" i="434"/>
  <c r="H400" i="434" s="1"/>
  <c r="G393" i="434"/>
  <c r="H392" i="434" s="1"/>
  <c r="G385" i="434"/>
  <c r="H384" i="434" s="1"/>
  <c r="G377" i="434"/>
  <c r="H376" i="434" s="1"/>
  <c r="G369" i="434"/>
  <c r="H368" i="434" s="1"/>
  <c r="G361" i="434"/>
  <c r="H360" i="434" s="1"/>
  <c r="G353" i="434"/>
  <c r="H352" i="434" s="1"/>
  <c r="G346" i="434"/>
  <c r="H345" i="434" s="1"/>
  <c r="G337" i="434"/>
  <c r="H336" i="434" s="1"/>
  <c r="G334" i="434"/>
  <c r="H333" i="434" s="1"/>
  <c r="G329" i="434"/>
  <c r="H328" i="434" s="1"/>
  <c r="G314" i="434"/>
  <c r="H313" i="434" s="1"/>
  <c r="G312" i="434"/>
  <c r="H311" i="434" s="1"/>
  <c r="G306" i="434"/>
  <c r="H305" i="434" s="1"/>
  <c r="G298" i="434"/>
  <c r="H297" i="434" s="1"/>
  <c r="G290" i="434"/>
  <c r="H289" i="434" s="1"/>
  <c r="G281" i="434"/>
  <c r="H280" i="434" s="1"/>
  <c r="G273" i="434"/>
  <c r="H272" i="434" s="1"/>
  <c r="G265" i="434"/>
  <c r="H264" i="434" s="1"/>
  <c r="G258" i="434"/>
  <c r="H257" i="434" s="1"/>
  <c r="G250" i="434"/>
  <c r="H249" i="434" s="1"/>
  <c r="G246" i="434"/>
  <c r="H245" i="434" s="1"/>
  <c r="G241" i="434"/>
  <c r="H240" i="434" s="1"/>
  <c r="G233" i="434"/>
  <c r="H232" i="434" s="1"/>
  <c r="G225" i="434"/>
  <c r="H224" i="434" s="1"/>
  <c r="G218" i="434"/>
  <c r="H217" i="434" s="1"/>
  <c r="G210" i="434"/>
  <c r="H209" i="434" s="1"/>
  <c r="G208" i="434"/>
  <c r="H207" i="434" s="1"/>
  <c r="G201" i="434"/>
  <c r="H200" i="434" s="1"/>
  <c r="G186" i="434"/>
  <c r="H185" i="434" s="1"/>
  <c r="G178" i="434"/>
  <c r="H177" i="434" s="1"/>
  <c r="G170" i="434"/>
  <c r="H169" i="434" s="1"/>
  <c r="G161" i="434"/>
  <c r="H160" i="434" s="1"/>
  <c r="G153" i="434"/>
  <c r="H152" i="434" s="1"/>
  <c r="G145" i="434"/>
  <c r="H144" i="434" s="1"/>
  <c r="G138" i="434"/>
  <c r="H137" i="434" s="1"/>
  <c r="G130" i="434"/>
  <c r="H129" i="434" s="1"/>
  <c r="G128" i="434"/>
  <c r="H127" i="434" s="1"/>
  <c r="G121" i="434"/>
  <c r="H120" i="434" s="1"/>
  <c r="G113" i="434"/>
  <c r="H112" i="434" s="1"/>
  <c r="G105" i="434"/>
  <c r="H104" i="434" s="1"/>
  <c r="G90" i="434"/>
  <c r="H89" i="434" s="1"/>
  <c r="G82" i="434"/>
  <c r="H81" i="434" s="1"/>
  <c r="G80" i="434"/>
  <c r="H79" i="434" s="1"/>
  <c r="G74" i="434"/>
  <c r="H73" i="434" s="1"/>
  <c r="G65" i="434"/>
  <c r="H64" i="434" s="1"/>
  <c r="G58" i="434"/>
  <c r="H57" i="434" s="1"/>
  <c r="G50" i="434"/>
  <c r="H49" i="434" s="1"/>
  <c r="G42" i="434"/>
  <c r="H41" i="434" s="1"/>
  <c r="G33" i="434"/>
  <c r="H32" i="434" s="1"/>
  <c r="G18" i="434"/>
  <c r="H17" i="434" s="1"/>
  <c r="G16" i="434"/>
  <c r="H15" i="434" s="1"/>
  <c r="G9" i="434"/>
  <c r="H8" i="434" s="1"/>
  <c r="G760" i="434"/>
  <c r="H759" i="434" s="1"/>
  <c r="G780" i="434"/>
  <c r="H779" i="434" s="1"/>
  <c r="G792" i="434"/>
  <c r="H791" i="434" s="1"/>
  <c r="G799" i="434"/>
  <c r="H798" i="434" s="1"/>
  <c r="G822" i="434"/>
  <c r="H821" i="434" s="1"/>
  <c r="G826" i="434"/>
  <c r="H825" i="434" s="1"/>
  <c r="G832" i="434"/>
  <c r="H831" i="434" s="1"/>
  <c r="G845" i="434"/>
  <c r="H844" i="434" s="1"/>
  <c r="G864" i="434"/>
  <c r="G873" i="434"/>
  <c r="G885" i="434"/>
  <c r="G887" i="434"/>
  <c r="G895" i="433"/>
  <c r="G893" i="433"/>
  <c r="G902" i="433"/>
  <c r="G899" i="433"/>
  <c r="G897" i="433"/>
  <c r="G900" i="434"/>
  <c r="G903" i="433"/>
  <c r="G701" i="434"/>
  <c r="H700" i="434" s="1"/>
  <c r="G679" i="434"/>
  <c r="H678" i="434" s="1"/>
  <c r="G567" i="434"/>
  <c r="H566" i="434" s="1"/>
  <c r="G517" i="434"/>
  <c r="H516" i="434" s="1"/>
  <c r="G431" i="434"/>
  <c r="H430" i="434" s="1"/>
  <c r="G261" i="434"/>
  <c r="H260" i="434" s="1"/>
  <c r="G175" i="434"/>
  <c r="H174" i="434" s="1"/>
  <c r="G159" i="434"/>
  <c r="H158" i="434" s="1"/>
  <c r="G39" i="434"/>
  <c r="H38" i="434" s="1"/>
  <c r="G753" i="434"/>
  <c r="H752" i="434" s="1"/>
  <c r="G771" i="434"/>
  <c r="H770" i="434" s="1"/>
  <c r="G774" i="434"/>
  <c r="H773" i="434" s="1"/>
  <c r="G794" i="434"/>
  <c r="H793" i="434" s="1"/>
  <c r="G809" i="434"/>
  <c r="H808" i="434" s="1"/>
  <c r="G827" i="434"/>
  <c r="H826" i="434" s="1"/>
  <c r="G829" i="434"/>
  <c r="H828" i="434" s="1"/>
  <c r="G839" i="434"/>
  <c r="H838" i="434" s="1"/>
  <c r="G846" i="434"/>
  <c r="H845" i="434" s="1"/>
  <c r="G866" i="434"/>
  <c r="G889" i="434"/>
  <c r="G892" i="434"/>
  <c r="G902" i="434"/>
  <c r="G741" i="434"/>
  <c r="H740" i="434" s="1"/>
  <c r="G695" i="434"/>
  <c r="H694" i="434" s="1"/>
  <c r="G573" i="434"/>
  <c r="H572" i="434" s="1"/>
  <c r="G559" i="434"/>
  <c r="H558" i="434" s="1"/>
  <c r="G447" i="434"/>
  <c r="H446" i="434" s="1"/>
  <c r="G287" i="434"/>
  <c r="H286" i="434" s="1"/>
  <c r="G229" i="434"/>
  <c r="H228" i="434" s="1"/>
  <c r="G167" i="434"/>
  <c r="H166" i="434" s="1"/>
  <c r="G45" i="434"/>
  <c r="H44" i="434" s="1"/>
  <c r="G749" i="434"/>
  <c r="H748" i="434" s="1"/>
  <c r="G759" i="434"/>
  <c r="H758" i="434" s="1"/>
  <c r="G773" i="434"/>
  <c r="H772" i="434" s="1"/>
  <c r="G777" i="434"/>
  <c r="H776" i="434" s="1"/>
  <c r="G803" i="434"/>
  <c r="H802" i="434" s="1"/>
  <c r="G814" i="434"/>
  <c r="H813" i="434" s="1"/>
  <c r="G828" i="434"/>
  <c r="H827" i="434" s="1"/>
  <c r="G833" i="434"/>
  <c r="H832" i="434" s="1"/>
  <c r="G847" i="434"/>
  <c r="H846" i="434" s="1"/>
  <c r="G863" i="434"/>
  <c r="G877" i="434"/>
  <c r="G893" i="434"/>
  <c r="G903" i="434"/>
  <c r="G901" i="434"/>
  <c r="G614" i="433"/>
  <c r="H613" i="433" s="1"/>
  <c r="G633" i="433"/>
  <c r="H632" i="433" s="1"/>
  <c r="G743" i="434"/>
  <c r="H742" i="434" s="1"/>
  <c r="G733" i="434"/>
  <c r="H732" i="434" s="1"/>
  <c r="G727" i="434"/>
  <c r="H726" i="434" s="1"/>
  <c r="G720" i="434"/>
  <c r="H719" i="434" s="1"/>
  <c r="G718" i="434"/>
  <c r="H717" i="434" s="1"/>
  <c r="G710" i="434"/>
  <c r="H709" i="434" s="1"/>
  <c r="G703" i="434"/>
  <c r="H702" i="434" s="1"/>
  <c r="G696" i="434"/>
  <c r="H695" i="434" s="1"/>
  <c r="G688" i="434"/>
  <c r="H687" i="434" s="1"/>
  <c r="G680" i="434"/>
  <c r="H679" i="434" s="1"/>
  <c r="G664" i="434"/>
  <c r="H663" i="434" s="1"/>
  <c r="G662" i="434"/>
  <c r="H661" i="434" s="1"/>
  <c r="G655" i="434"/>
  <c r="H654" i="434" s="1"/>
  <c r="G653" i="434"/>
  <c r="H652" i="434" s="1"/>
  <c r="G647" i="434"/>
  <c r="H646" i="434" s="1"/>
  <c r="G640" i="434"/>
  <c r="H639" i="434" s="1"/>
  <c r="G638" i="434"/>
  <c r="H637" i="434" s="1"/>
  <c r="G631" i="434"/>
  <c r="H630" i="434" s="1"/>
  <c r="G623" i="434"/>
  <c r="H622" i="434" s="1"/>
  <c r="G616" i="434"/>
  <c r="H615" i="434" s="1"/>
  <c r="G614" i="434"/>
  <c r="H613" i="434" s="1"/>
  <c r="G608" i="434"/>
  <c r="H607" i="434" s="1"/>
  <c r="G606" i="434"/>
  <c r="H605" i="434" s="1"/>
  <c r="G600" i="434"/>
  <c r="H599" i="434" s="1"/>
  <c r="G597" i="434"/>
  <c r="H596" i="434" s="1"/>
  <c r="G591" i="434"/>
  <c r="H590" i="434" s="1"/>
  <c r="G583" i="434"/>
  <c r="H582" i="434" s="1"/>
  <c r="G575" i="434"/>
  <c r="H574" i="434" s="1"/>
  <c r="G568" i="434"/>
  <c r="H567" i="434" s="1"/>
  <c r="G557" i="434"/>
  <c r="H556" i="434" s="1"/>
  <c r="G551" i="434"/>
  <c r="H550" i="434" s="1"/>
  <c r="G549" i="434"/>
  <c r="H548" i="434" s="1"/>
  <c r="G543" i="434"/>
  <c r="H542" i="434" s="1"/>
  <c r="G541" i="434"/>
  <c r="H540" i="434" s="1"/>
  <c r="G534" i="434"/>
  <c r="H533" i="434" s="1"/>
  <c r="G527" i="434"/>
  <c r="H526" i="434" s="1"/>
  <c r="G519" i="434"/>
  <c r="H518" i="434" s="1"/>
  <c r="G511" i="434"/>
  <c r="H510" i="434" s="1"/>
  <c r="G509" i="434"/>
  <c r="H508" i="434" s="1"/>
  <c r="G503" i="434"/>
  <c r="H502" i="434" s="1"/>
  <c r="G496" i="434"/>
  <c r="H495" i="434" s="1"/>
  <c r="G488" i="434"/>
  <c r="H487" i="434" s="1"/>
  <c r="G486" i="434"/>
  <c r="H485" i="434" s="1"/>
  <c r="G479" i="434"/>
  <c r="H478" i="434" s="1"/>
  <c r="G469" i="434"/>
  <c r="H468" i="434" s="1"/>
  <c r="G463" i="434"/>
  <c r="H462" i="434" s="1"/>
  <c r="G461" i="434"/>
  <c r="H460" i="434" s="1"/>
  <c r="G448" i="434"/>
  <c r="H447" i="434" s="1"/>
  <c r="G445" i="434"/>
  <c r="H444" i="434" s="1"/>
  <c r="G439" i="434"/>
  <c r="H438" i="434" s="1"/>
  <c r="G432" i="434"/>
  <c r="H431" i="434" s="1"/>
  <c r="G424" i="434"/>
  <c r="H423" i="434" s="1"/>
  <c r="G422" i="434"/>
  <c r="H421" i="434" s="1"/>
  <c r="G415" i="434"/>
  <c r="H414" i="434" s="1"/>
  <c r="G407" i="434"/>
  <c r="H406" i="434" s="1"/>
  <c r="G400" i="434"/>
  <c r="H399" i="434" s="1"/>
  <c r="G397" i="434"/>
  <c r="H396" i="434" s="1"/>
  <c r="G390" i="434"/>
  <c r="H389" i="434" s="1"/>
  <c r="G383" i="434"/>
  <c r="H382" i="434" s="1"/>
  <c r="G374" i="434"/>
  <c r="H373" i="434" s="1"/>
  <c r="G367" i="434"/>
  <c r="H366" i="434" s="1"/>
  <c r="G359" i="434"/>
  <c r="H358" i="434" s="1"/>
  <c r="G352" i="434"/>
  <c r="H351" i="434" s="1"/>
  <c r="G344" i="434"/>
  <c r="H343" i="434" s="1"/>
  <c r="G341" i="434"/>
  <c r="H340" i="434" s="1"/>
  <c r="G328" i="434"/>
  <c r="H327" i="434" s="1"/>
  <c r="G325" i="434"/>
  <c r="H324" i="434" s="1"/>
  <c r="G735" i="434"/>
  <c r="H734" i="434" s="1"/>
  <c r="G728" i="434"/>
  <c r="H727" i="434" s="1"/>
  <c r="G726" i="434"/>
  <c r="H725" i="434" s="1"/>
  <c r="G719" i="434"/>
  <c r="H718" i="434" s="1"/>
  <c r="G712" i="434"/>
  <c r="H711" i="434" s="1"/>
  <c r="G704" i="434"/>
  <c r="H703" i="434" s="1"/>
  <c r="G702" i="434"/>
  <c r="H701" i="434" s="1"/>
  <c r="G693" i="434"/>
  <c r="H692" i="434" s="1"/>
  <c r="G687" i="434"/>
  <c r="H686" i="434" s="1"/>
  <c r="G671" i="434"/>
  <c r="H670" i="434" s="1"/>
  <c r="G663" i="434"/>
  <c r="H662" i="434" s="1"/>
  <c r="G656" i="434"/>
  <c r="H655" i="434" s="1"/>
  <c r="G654" i="434"/>
  <c r="H653" i="434" s="1"/>
  <c r="G648" i="434"/>
  <c r="H647" i="434" s="1"/>
  <c r="G646" i="434"/>
  <c r="H645" i="434" s="1"/>
  <c r="G639" i="434"/>
  <c r="H638" i="434" s="1"/>
  <c r="G632" i="434"/>
  <c r="H631" i="434" s="1"/>
  <c r="G624" i="434"/>
  <c r="H623" i="434" s="1"/>
  <c r="G622" i="434"/>
  <c r="H621" i="434" s="1"/>
  <c r="G615" i="434"/>
  <c r="H614" i="434" s="1"/>
  <c r="G613" i="434"/>
  <c r="H612" i="434" s="1"/>
  <c r="G607" i="434"/>
  <c r="H606" i="434" s="1"/>
  <c r="G605" i="434"/>
  <c r="H604" i="434" s="1"/>
  <c r="G598" i="434"/>
  <c r="H597" i="434" s="1"/>
  <c r="G592" i="434"/>
  <c r="H591" i="434" s="1"/>
  <c r="G590" i="434"/>
  <c r="H589" i="434" s="1"/>
  <c r="G576" i="434"/>
  <c r="H575" i="434" s="1"/>
  <c r="G574" i="434"/>
  <c r="H573" i="434" s="1"/>
  <c r="G560" i="434"/>
  <c r="H559" i="434" s="1"/>
  <c r="G552" i="434"/>
  <c r="H551" i="434" s="1"/>
  <c r="G550" i="434"/>
  <c r="H549" i="434" s="1"/>
  <c r="G544" i="434"/>
  <c r="H543" i="434" s="1"/>
  <c r="G542" i="434"/>
  <c r="H541" i="434" s="1"/>
  <c r="G536" i="434"/>
  <c r="H535" i="434" s="1"/>
  <c r="G528" i="434"/>
  <c r="H527" i="434" s="1"/>
  <c r="G526" i="434"/>
  <c r="H525" i="434" s="1"/>
  <c r="G512" i="434"/>
  <c r="H511" i="434" s="1"/>
  <c r="G510" i="434"/>
  <c r="H509" i="434" s="1"/>
  <c r="G504" i="434"/>
  <c r="H503" i="434" s="1"/>
  <c r="G501" i="434"/>
  <c r="H500" i="434" s="1"/>
  <c r="G495" i="434"/>
  <c r="H494" i="434" s="1"/>
  <c r="G487" i="434"/>
  <c r="H486" i="434" s="1"/>
  <c r="G485" i="434"/>
  <c r="H484" i="434" s="1"/>
  <c r="G472" i="434"/>
  <c r="H471" i="434" s="1"/>
  <c r="G464" i="434"/>
  <c r="H463" i="434" s="1"/>
  <c r="G462" i="434"/>
  <c r="H461" i="434" s="1"/>
  <c r="G455" i="434"/>
  <c r="H454" i="434" s="1"/>
  <c r="G446" i="434"/>
  <c r="H445" i="434" s="1"/>
  <c r="G440" i="434"/>
  <c r="H439" i="434" s="1"/>
  <c r="G438" i="434"/>
  <c r="H437" i="434" s="1"/>
  <c r="G430" i="434"/>
  <c r="H429" i="434" s="1"/>
  <c r="G423" i="434"/>
  <c r="H422" i="434" s="1"/>
  <c r="G416" i="434"/>
  <c r="H415" i="434" s="1"/>
  <c r="G408" i="434"/>
  <c r="H407" i="434" s="1"/>
  <c r="G406" i="434"/>
  <c r="H405" i="434" s="1"/>
  <c r="G399" i="434"/>
  <c r="H398" i="434" s="1"/>
  <c r="G392" i="434"/>
  <c r="H391" i="434" s="1"/>
  <c r="G384" i="434"/>
  <c r="H383" i="434" s="1"/>
  <c r="G382" i="434"/>
  <c r="H381" i="434" s="1"/>
  <c r="G375" i="434"/>
  <c r="H374" i="434" s="1"/>
  <c r="G368" i="434"/>
  <c r="H367" i="434" s="1"/>
  <c r="G360" i="434"/>
  <c r="H359" i="434" s="1"/>
  <c r="G358" i="434"/>
  <c r="H357" i="434" s="1"/>
  <c r="G351" i="434"/>
  <c r="H350" i="434" s="1"/>
  <c r="G343" i="434"/>
  <c r="H342" i="434" s="1"/>
  <c r="G335" i="434"/>
  <c r="H334" i="434" s="1"/>
  <c r="G327" i="434"/>
  <c r="H326" i="434" s="1"/>
  <c r="G320" i="434"/>
  <c r="H319" i="434" s="1"/>
  <c r="G311" i="434"/>
  <c r="H310" i="434" s="1"/>
  <c r="G304" i="434"/>
  <c r="H303" i="434" s="1"/>
  <c r="G296" i="434"/>
  <c r="H295" i="434" s="1"/>
  <c r="G294" i="434"/>
  <c r="H293" i="434" s="1"/>
  <c r="G288" i="434"/>
  <c r="H287" i="434" s="1"/>
  <c r="G280" i="434"/>
  <c r="H279" i="434" s="1"/>
  <c r="G278" i="434"/>
  <c r="H277" i="434" s="1"/>
  <c r="G272" i="434"/>
  <c r="H271" i="434" s="1"/>
  <c r="G270" i="434"/>
  <c r="H269" i="434" s="1"/>
  <c r="G263" i="434"/>
  <c r="H262" i="434" s="1"/>
  <c r="G254" i="434"/>
  <c r="H253" i="434" s="1"/>
  <c r="G247" i="434"/>
  <c r="H246" i="434" s="1"/>
  <c r="G239" i="434"/>
  <c r="H238" i="434" s="1"/>
  <c r="G237" i="434"/>
  <c r="H236" i="434" s="1"/>
  <c r="G231" i="434"/>
  <c r="H230" i="434" s="1"/>
  <c r="G224" i="434"/>
  <c r="H223" i="434" s="1"/>
  <c r="G216" i="434"/>
  <c r="H215" i="434" s="1"/>
  <c r="G319" i="434"/>
  <c r="H318" i="434" s="1"/>
  <c r="G309" i="434"/>
  <c r="H308" i="434" s="1"/>
  <c r="G303" i="434"/>
  <c r="H302" i="434" s="1"/>
  <c r="G295" i="434"/>
  <c r="H294" i="434" s="1"/>
  <c r="G293" i="434"/>
  <c r="H292" i="434" s="1"/>
  <c r="G286" i="434"/>
  <c r="H285" i="434" s="1"/>
  <c r="G279" i="434"/>
  <c r="H278" i="434" s="1"/>
  <c r="G277" i="434"/>
  <c r="H276" i="434" s="1"/>
  <c r="G271" i="434"/>
  <c r="H270" i="434" s="1"/>
  <c r="G264" i="434"/>
  <c r="H263" i="434" s="1"/>
  <c r="G256" i="434"/>
  <c r="H255" i="434" s="1"/>
  <c r="G248" i="434"/>
  <c r="H247" i="434" s="1"/>
  <c r="G240" i="434"/>
  <c r="H239" i="434" s="1"/>
  <c r="G238" i="434"/>
  <c r="H237" i="434" s="1"/>
  <c r="G232" i="434"/>
  <c r="H231" i="434" s="1"/>
  <c r="G230" i="434"/>
  <c r="H229" i="434" s="1"/>
  <c r="G223" i="434"/>
  <c r="H222" i="434" s="1"/>
  <c r="G215" i="434"/>
  <c r="H214" i="434" s="1"/>
  <c r="G213" i="434"/>
  <c r="H212" i="434" s="1"/>
  <c r="G206" i="434"/>
  <c r="H205" i="434" s="1"/>
  <c r="G199" i="434"/>
  <c r="H198" i="434" s="1"/>
  <c r="G192" i="434"/>
  <c r="H191" i="434" s="1"/>
  <c r="G189" i="434"/>
  <c r="H188" i="434" s="1"/>
  <c r="G183" i="434"/>
  <c r="H182" i="434" s="1"/>
  <c r="G174" i="434"/>
  <c r="H173" i="434" s="1"/>
  <c r="G168" i="434"/>
  <c r="H167" i="434" s="1"/>
  <c r="G165" i="434"/>
  <c r="H164" i="434" s="1"/>
  <c r="G158" i="434"/>
  <c r="H157" i="434" s="1"/>
  <c r="G151" i="434"/>
  <c r="H150" i="434" s="1"/>
  <c r="G144" i="434"/>
  <c r="H143" i="434" s="1"/>
  <c r="G136" i="434"/>
  <c r="H135" i="434" s="1"/>
  <c r="G134" i="434"/>
  <c r="H133" i="434" s="1"/>
  <c r="G127" i="434"/>
  <c r="H126" i="434" s="1"/>
  <c r="G120" i="434"/>
  <c r="H119" i="434" s="1"/>
  <c r="G118" i="434"/>
  <c r="H117" i="434" s="1"/>
  <c r="G111" i="434"/>
  <c r="H110" i="434" s="1"/>
  <c r="G104" i="434"/>
  <c r="H103" i="434" s="1"/>
  <c r="G96" i="434"/>
  <c r="H95" i="434" s="1"/>
  <c r="G94" i="434"/>
  <c r="H93" i="434" s="1"/>
  <c r="G87" i="434"/>
  <c r="H86" i="434" s="1"/>
  <c r="G79" i="434"/>
  <c r="H78" i="434" s="1"/>
  <c r="G69" i="434"/>
  <c r="H68" i="434" s="1"/>
  <c r="G63" i="434"/>
  <c r="H62" i="434" s="1"/>
  <c r="G55" i="434"/>
  <c r="H54" i="434" s="1"/>
  <c r="G48" i="434"/>
  <c r="H47" i="434" s="1"/>
  <c r="G46" i="434"/>
  <c r="H45" i="434" s="1"/>
  <c r="G38" i="434"/>
  <c r="H37" i="434" s="1"/>
  <c r="G31" i="434"/>
  <c r="H30" i="434" s="1"/>
  <c r="G24" i="434"/>
  <c r="H23" i="434" s="1"/>
  <c r="G22" i="434"/>
  <c r="H21" i="434" s="1"/>
  <c r="G14" i="434"/>
  <c r="H13" i="434" s="1"/>
  <c r="G8" i="434"/>
  <c r="H7" i="434" s="1"/>
  <c r="G750" i="434"/>
  <c r="H749" i="434" s="1"/>
  <c r="G755" i="434"/>
  <c r="H754" i="434" s="1"/>
  <c r="G762" i="434"/>
  <c r="H761" i="434" s="1"/>
  <c r="G766" i="433"/>
  <c r="H765" i="433" s="1"/>
  <c r="G768" i="434"/>
  <c r="H767" i="434" s="1"/>
  <c r="G770" i="434"/>
  <c r="H769" i="434" s="1"/>
  <c r="G775" i="434"/>
  <c r="H774" i="434" s="1"/>
  <c r="G779" i="434"/>
  <c r="H778" i="434" s="1"/>
  <c r="G782" i="434"/>
  <c r="H781" i="434" s="1"/>
  <c r="G789" i="433"/>
  <c r="H788" i="433" s="1"/>
  <c r="G791" i="434"/>
  <c r="H790" i="434" s="1"/>
  <c r="G795" i="433"/>
  <c r="H794" i="433" s="1"/>
  <c r="G798" i="434"/>
  <c r="H797" i="434" s="1"/>
  <c r="G805" i="434"/>
  <c r="H804" i="434" s="1"/>
  <c r="G810" i="434"/>
  <c r="H809" i="434" s="1"/>
  <c r="G807" i="434"/>
  <c r="H806" i="434" s="1"/>
  <c r="G810" i="433"/>
  <c r="H809" i="433" s="1"/>
  <c r="G817" i="434"/>
  <c r="H816" i="434" s="1"/>
  <c r="G824" i="434"/>
  <c r="H823" i="434" s="1"/>
  <c r="G831" i="434"/>
  <c r="H830" i="434" s="1"/>
  <c r="G837" i="433"/>
  <c r="H836" i="433" s="1"/>
  <c r="G843" i="434"/>
  <c r="H842" i="434" s="1"/>
  <c r="G844" i="434"/>
  <c r="H843" i="434" s="1"/>
  <c r="G857" i="434"/>
  <c r="G868" i="434"/>
  <c r="G871" i="434"/>
  <c r="G874" i="434"/>
  <c r="G880" i="434"/>
  <c r="G881" i="434"/>
  <c r="G883" i="434"/>
  <c r="G890" i="434"/>
  <c r="G896" i="434"/>
  <c r="G898" i="434"/>
  <c r="G214" i="434"/>
  <c r="H213" i="434" s="1"/>
  <c r="G207" i="434"/>
  <c r="H206" i="434" s="1"/>
  <c r="G200" i="434"/>
  <c r="H199" i="434" s="1"/>
  <c r="G198" i="434"/>
  <c r="H197" i="434" s="1"/>
  <c r="G191" i="434"/>
  <c r="H190" i="434" s="1"/>
  <c r="G184" i="434"/>
  <c r="H183" i="434" s="1"/>
  <c r="G176" i="434"/>
  <c r="H175" i="434" s="1"/>
  <c r="G173" i="434"/>
  <c r="H172" i="434" s="1"/>
  <c r="G166" i="434"/>
  <c r="H165" i="434" s="1"/>
  <c r="G160" i="434"/>
  <c r="H159" i="434" s="1"/>
  <c r="G152" i="434"/>
  <c r="H151" i="434" s="1"/>
  <c r="G150" i="434"/>
  <c r="H149" i="434" s="1"/>
  <c r="G143" i="434"/>
  <c r="H142" i="434" s="1"/>
  <c r="G135" i="434"/>
  <c r="H134" i="434" s="1"/>
  <c r="G133" i="434"/>
  <c r="H132" i="434" s="1"/>
  <c r="G125" i="434"/>
  <c r="H124" i="434" s="1"/>
  <c r="G119" i="434"/>
  <c r="H118" i="434" s="1"/>
  <c r="G112" i="434"/>
  <c r="H111" i="434" s="1"/>
  <c r="G110" i="434"/>
  <c r="H109" i="434" s="1"/>
  <c r="G102" i="434"/>
  <c r="H101" i="434" s="1"/>
  <c r="G95" i="434"/>
  <c r="H94" i="434" s="1"/>
  <c r="G88" i="434"/>
  <c r="H87" i="434" s="1"/>
  <c r="G86" i="434"/>
  <c r="H85" i="434" s="1"/>
  <c r="G70" i="434"/>
  <c r="H69" i="434" s="1"/>
  <c r="G64" i="434"/>
  <c r="H63" i="434" s="1"/>
  <c r="G56" i="434"/>
  <c r="H55" i="434" s="1"/>
  <c r="G54" i="434"/>
  <c r="H53" i="434" s="1"/>
  <c r="G47" i="434"/>
  <c r="H46" i="434" s="1"/>
  <c r="G40" i="434"/>
  <c r="H39" i="434" s="1"/>
  <c r="G32" i="434"/>
  <c r="H31" i="434" s="1"/>
  <c r="G30" i="434"/>
  <c r="H29" i="434" s="1"/>
  <c r="G23" i="434"/>
  <c r="H22" i="434" s="1"/>
  <c r="G15" i="434"/>
  <c r="H14" i="434" s="1"/>
  <c r="G13" i="434"/>
  <c r="H12" i="434" s="1"/>
  <c r="G7" i="434"/>
  <c r="H6" i="434" s="1"/>
  <c r="G751" i="434"/>
  <c r="H750" i="434" s="1"/>
  <c r="G761" i="434"/>
  <c r="H760" i="434" s="1"/>
  <c r="G764" i="434"/>
  <c r="H763" i="434" s="1"/>
  <c r="G765" i="434"/>
  <c r="H764" i="434" s="1"/>
  <c r="G769" i="434"/>
  <c r="H768" i="434" s="1"/>
  <c r="G771" i="433"/>
  <c r="H770" i="433" s="1"/>
  <c r="G778" i="434"/>
  <c r="H777" i="434" s="1"/>
  <c r="G782" i="433"/>
  <c r="H781" i="433" s="1"/>
  <c r="G783" i="434"/>
  <c r="H782" i="434" s="1"/>
  <c r="G790" i="434"/>
  <c r="H789" i="434" s="1"/>
  <c r="G795" i="434"/>
  <c r="H794" i="434" s="1"/>
  <c r="G796" i="434"/>
  <c r="H795" i="434" s="1"/>
  <c r="G802" i="434"/>
  <c r="H801" i="434" s="1"/>
  <c r="G804" i="434"/>
  <c r="H803" i="434" s="1"/>
  <c r="G808" i="434"/>
  <c r="H807" i="434" s="1"/>
  <c r="G806" i="434"/>
  <c r="H805" i="434" s="1"/>
  <c r="G811" i="434"/>
  <c r="H810" i="434" s="1"/>
  <c r="G818" i="434"/>
  <c r="H817" i="434" s="1"/>
  <c r="G825" i="434"/>
  <c r="H824" i="434" s="1"/>
  <c r="G836" i="434"/>
  <c r="H835" i="434" s="1"/>
  <c r="G838" i="434"/>
  <c r="H837" i="434" s="1"/>
  <c r="G842" i="434"/>
  <c r="H841" i="434" s="1"/>
  <c r="G851" i="434"/>
  <c r="H850" i="434" s="1"/>
  <c r="G858" i="434"/>
  <c r="G861" i="433"/>
  <c r="H860" i="433" s="1"/>
  <c r="G867" i="434"/>
  <c r="G870" i="434"/>
  <c r="G878" i="434"/>
  <c r="G879" i="434"/>
  <c r="G884" i="434"/>
  <c r="G891" i="434"/>
  <c r="G897" i="434"/>
  <c r="G899" i="434"/>
  <c r="DJ107" i="431"/>
  <c r="DJ108" i="431" s="1"/>
  <c r="AR199" i="431"/>
  <c r="DA34" i="431"/>
  <c r="EG146" i="431"/>
  <c r="BW186" i="431"/>
  <c r="BT198" i="431"/>
  <c r="BP173" i="431"/>
  <c r="CS187" i="431"/>
  <c r="CP379" i="431"/>
  <c r="DX69" i="431"/>
  <c r="BW14" i="431"/>
  <c r="G234" i="431"/>
  <c r="G225" i="431"/>
  <c r="G224" i="431"/>
  <c r="AC26" i="431"/>
  <c r="CK66" i="431"/>
  <c r="CP65" i="431"/>
  <c r="BB54" i="431"/>
  <c r="BB55" i="431"/>
  <c r="BG53" i="431"/>
  <c r="BL55" i="431"/>
  <c r="BQ56" i="431" s="1"/>
  <c r="BL54" i="431"/>
  <c r="BQ53" i="431"/>
  <c r="BV55" i="431"/>
  <c r="CA56" i="431" s="1"/>
  <c r="BV54" i="431"/>
  <c r="BV53" i="431"/>
  <c r="CA53" i="431"/>
  <c r="CP53" i="431"/>
  <c r="CK55" i="431"/>
  <c r="CP56" i="431" s="1"/>
  <c r="CK54" i="431"/>
  <c r="CT53" i="431"/>
  <c r="CY53" i="431"/>
  <c r="CX55" i="431"/>
  <c r="DC56" i="431" s="1"/>
  <c r="DC53" i="431"/>
  <c r="DM56" i="431"/>
  <c r="DH57" i="431"/>
  <c r="DI57" i="431"/>
  <c r="DR54" i="431"/>
  <c r="DR53" i="431"/>
  <c r="DW53" i="431"/>
  <c r="EB55" i="431"/>
  <c r="EG53" i="431"/>
  <c r="S62" i="431"/>
  <c r="N64" i="431"/>
  <c r="AG63" i="431"/>
  <c r="AL62" i="431"/>
  <c r="BU64" i="431"/>
  <c r="BZ62" i="431"/>
  <c r="BU63" i="431"/>
  <c r="AH84" i="431"/>
  <c r="AC84" i="431"/>
  <c r="AM84" i="431"/>
  <c r="AM85" i="431"/>
  <c r="AW84" i="431"/>
  <c r="AW85" i="431"/>
  <c r="BB84" i="431"/>
  <c r="BG84" i="431"/>
  <c r="BL84" i="431"/>
  <c r="BG85" i="431"/>
  <c r="BG86" i="431"/>
  <c r="BQ84" i="431"/>
  <c r="BQ85" i="431"/>
  <c r="BV84" i="431"/>
  <c r="CA84" i="431"/>
  <c r="CF84" i="431"/>
  <c r="CK85" i="431"/>
  <c r="CK86" i="431"/>
  <c r="CU85" i="431"/>
  <c r="CU86" i="431"/>
  <c r="CU84" i="431"/>
  <c r="CZ84" i="431"/>
  <c r="DE85" i="431"/>
  <c r="DE84" i="431"/>
  <c r="DE86" i="431"/>
  <c r="DE87" i="431" s="1"/>
  <c r="DJ84" i="431"/>
  <c r="DO84" i="431"/>
  <c r="DO85" i="431"/>
  <c r="DT84" i="431"/>
  <c r="ED84" i="431"/>
  <c r="DY84" i="431"/>
  <c r="R100" i="431"/>
  <c r="R98" i="431"/>
  <c r="AG98" i="431"/>
  <c r="AB99" i="431"/>
  <c r="AL100" i="431"/>
  <c r="AL98" i="431"/>
  <c r="AL99" i="431"/>
  <c r="AQ98" i="431"/>
  <c r="T60" i="431"/>
  <c r="T51" i="431"/>
  <c r="CH100" i="431"/>
  <c r="CM98" i="431"/>
  <c r="N105" i="431"/>
  <c r="S106" i="431" s="1"/>
  <c r="N374" i="431"/>
  <c r="N204" i="431"/>
  <c r="N171" i="431"/>
  <c r="O173" i="431" s="1"/>
  <c r="N54" i="431"/>
  <c r="N197" i="431"/>
  <c r="N379" i="431"/>
  <c r="N178" i="431"/>
  <c r="S179" i="431" s="1"/>
  <c r="N378" i="431"/>
  <c r="N376" i="431"/>
  <c r="O14" i="431"/>
  <c r="N15" i="431"/>
  <c r="N216" i="431"/>
  <c r="N14" i="431"/>
  <c r="N185" i="431"/>
  <c r="S186" i="431" s="1"/>
  <c r="N380" i="431"/>
  <c r="S26" i="431"/>
  <c r="N85" i="431"/>
  <c r="AS14" i="431"/>
  <c r="AR171" i="431"/>
  <c r="AR173" i="431" s="1"/>
  <c r="AR216" i="431"/>
  <c r="AR178" i="431"/>
  <c r="AR180" i="431" s="1"/>
  <c r="AR14" i="431"/>
  <c r="AR376" i="431"/>
  <c r="AR26" i="431"/>
  <c r="AR375" i="431"/>
  <c r="AR15" i="431"/>
  <c r="AW27" i="431" s="1"/>
  <c r="AR380" i="431"/>
  <c r="AW26" i="431"/>
  <c r="AR105" i="431"/>
  <c r="AW106" i="431" s="1"/>
  <c r="AR185" i="431"/>
  <c r="AR378" i="431"/>
  <c r="AR144" i="431"/>
  <c r="AR374" i="431"/>
  <c r="AR377" i="431"/>
  <c r="AR85" i="431"/>
  <c r="AR99" i="431"/>
  <c r="AR204" i="431"/>
  <c r="AR63" i="431"/>
  <c r="CF197" i="431"/>
  <c r="CF375" i="431"/>
  <c r="CF171" i="431"/>
  <c r="CF173" i="431" s="1"/>
  <c r="CF374" i="431"/>
  <c r="CF29" i="431"/>
  <c r="CF85" i="431"/>
  <c r="CF15" i="431"/>
  <c r="CG16" i="431" s="1"/>
  <c r="CK26" i="431"/>
  <c r="CF377" i="431"/>
  <c r="CG14" i="431"/>
  <c r="CF144" i="431"/>
  <c r="AI55" i="431"/>
  <c r="AN56" i="431" s="1"/>
  <c r="AI53" i="431"/>
  <c r="AI54" i="431"/>
  <c r="T82" i="431"/>
  <c r="EC375" i="431"/>
  <c r="AN53" i="431"/>
  <c r="BE60" i="431"/>
  <c r="BE136" i="431"/>
  <c r="BE96" i="431"/>
  <c r="BE51" i="431"/>
  <c r="BE221" i="431"/>
  <c r="BE222" i="431" s="1"/>
  <c r="BE82" i="431"/>
  <c r="AI14" i="431"/>
  <c r="N375" i="431"/>
  <c r="EC221" i="431"/>
  <c r="EC320" i="431" s="1"/>
  <c r="CX148" i="431"/>
  <c r="AZ96" i="431"/>
  <c r="BR224" i="431"/>
  <c r="AH105" i="431"/>
  <c r="CP144" i="431"/>
  <c r="N377" i="431"/>
  <c r="DJ29" i="431"/>
  <c r="DJ126" i="431" s="1"/>
  <c r="DA14" i="431"/>
  <c r="CZ63" i="431"/>
  <c r="CZ171" i="431"/>
  <c r="CZ144" i="431"/>
  <c r="DA146" i="431" s="1"/>
  <c r="CZ15" i="431"/>
  <c r="DE27" i="431" s="1"/>
  <c r="CZ374" i="431"/>
  <c r="CZ218" i="431"/>
  <c r="CZ380" i="431"/>
  <c r="CZ185" i="431"/>
  <c r="CZ187" i="431" s="1"/>
  <c r="CZ29" i="431"/>
  <c r="CZ30" i="431" s="1"/>
  <c r="CZ105" i="431"/>
  <c r="DE106" i="431" s="1"/>
  <c r="DE26" i="431"/>
  <c r="CZ377" i="431"/>
  <c r="CZ376" i="431"/>
  <c r="CZ204" i="431"/>
  <c r="CZ99" i="431"/>
  <c r="CZ379" i="431"/>
  <c r="CZ375" i="431"/>
  <c r="CZ26" i="431"/>
  <c r="CZ216" i="431"/>
  <c r="CZ197" i="431"/>
  <c r="CZ199" i="431" s="1"/>
  <c r="CZ178" i="431"/>
  <c r="AD96" i="431"/>
  <c r="AD60" i="431"/>
  <c r="AD51" i="431"/>
  <c r="CB179" i="431"/>
  <c r="BW179" i="431"/>
  <c r="EC51" i="431"/>
  <c r="BM51" i="431"/>
  <c r="AH375" i="431"/>
  <c r="DR56" i="431"/>
  <c r="DS57" i="431"/>
  <c r="AH197" i="431"/>
  <c r="DA66" i="431"/>
  <c r="DA65" i="431"/>
  <c r="CF14" i="431"/>
  <c r="AI221" i="431"/>
  <c r="AI234" i="431" s="1"/>
  <c r="AI60" i="431"/>
  <c r="AI82" i="431"/>
  <c r="BA60" i="431"/>
  <c r="CU65" i="431"/>
  <c r="CV66" i="431"/>
  <c r="EI334" i="431"/>
  <c r="EI336" i="431"/>
  <c r="AB18" i="431"/>
  <c r="W18" i="431"/>
  <c r="AG18" i="431"/>
  <c r="AL18" i="431"/>
  <c r="EH18" i="431"/>
  <c r="EC18" i="431"/>
  <c r="X85" i="431"/>
  <c r="X197" i="431"/>
  <c r="X198" i="431" s="1"/>
  <c r="X216" i="431"/>
  <c r="BB105" i="431"/>
  <c r="BG106" i="431" s="1"/>
  <c r="BB185" i="431"/>
  <c r="BB197" i="431"/>
  <c r="BB379" i="431"/>
  <c r="BB375" i="431"/>
  <c r="BB191" i="431"/>
  <c r="BB204" i="431"/>
  <c r="BB205" i="431" s="1"/>
  <c r="BB15" i="431"/>
  <c r="BB27" i="431" s="1"/>
  <c r="BB178" i="431"/>
  <c r="BG179" i="431" s="1"/>
  <c r="BB380" i="431"/>
  <c r="BB218" i="431"/>
  <c r="BG219" i="431" s="1"/>
  <c r="BB26" i="431"/>
  <c r="BB377" i="431"/>
  <c r="BB85" i="431"/>
  <c r="BG26" i="431"/>
  <c r="BB171" i="431"/>
  <c r="BB376" i="431"/>
  <c r="BB216" i="431"/>
  <c r="BC14" i="431"/>
  <c r="BL197" i="431"/>
  <c r="BL375" i="431"/>
  <c r="BL144" i="431"/>
  <c r="BL376" i="431"/>
  <c r="BL218" i="431"/>
  <c r="BL178" i="431"/>
  <c r="BL179" i="431" s="1"/>
  <c r="BL191" i="431"/>
  <c r="BL374" i="431"/>
  <c r="BL85" i="431"/>
  <c r="BQ26" i="431"/>
  <c r="BL379" i="431"/>
  <c r="BL171" i="431"/>
  <c r="BL172" i="431" s="1"/>
  <c r="BL380" i="431"/>
  <c r="BL204" i="431"/>
  <c r="BL14" i="431"/>
  <c r="BL216" i="431"/>
  <c r="BQ217" i="431" s="1"/>
  <c r="BL377" i="431"/>
  <c r="BL185" i="431"/>
  <c r="BL63" i="431"/>
  <c r="CU26" i="431"/>
  <c r="CP29" i="431"/>
  <c r="CP126" i="431" s="1"/>
  <c r="CP376" i="431"/>
  <c r="CP378" i="431"/>
  <c r="CP32" i="431"/>
  <c r="CP375" i="431"/>
  <c r="CP178" i="431"/>
  <c r="CP218" i="431"/>
  <c r="CP185" i="431"/>
  <c r="CP54" i="431"/>
  <c r="CP15" i="431"/>
  <c r="CP16" i="431" s="1"/>
  <c r="CP380" i="431"/>
  <c r="CP26" i="431"/>
  <c r="CP377" i="431"/>
  <c r="CP105" i="431"/>
  <c r="CP171" i="431"/>
  <c r="CP216" i="431"/>
  <c r="CP374" i="431"/>
  <c r="CP85" i="431"/>
  <c r="CP14" i="431"/>
  <c r="DJ377" i="431"/>
  <c r="DJ144" i="431"/>
  <c r="DJ378" i="431"/>
  <c r="DJ99" i="431"/>
  <c r="DJ171" i="431"/>
  <c r="DJ375" i="431"/>
  <c r="DJ14" i="431"/>
  <c r="DJ197" i="431"/>
  <c r="DJ199" i="431" s="1"/>
  <c r="DJ374" i="431"/>
  <c r="DJ376" i="431"/>
  <c r="DK14" i="431"/>
  <c r="DJ204" i="431"/>
  <c r="DJ206" i="431" s="1"/>
  <c r="DJ216" i="431"/>
  <c r="DJ217" i="431" s="1"/>
  <c r="EC374" i="431"/>
  <c r="EC171" i="431"/>
  <c r="EC172" i="431" s="1"/>
  <c r="EC185" i="431"/>
  <c r="EC377" i="431"/>
  <c r="EC376" i="431"/>
  <c r="EC85" i="431"/>
  <c r="ED14" i="431"/>
  <c r="EC204" i="431"/>
  <c r="EH205" i="431" s="1"/>
  <c r="EC216" i="431"/>
  <c r="EC217" i="431" s="1"/>
  <c r="EC15" i="431"/>
  <c r="EC378" i="431"/>
  <c r="EC63" i="431"/>
  <c r="EC218" i="431"/>
  <c r="EC26" i="431"/>
  <c r="EC380" i="431"/>
  <c r="EC197" i="431"/>
  <c r="EC32" i="431"/>
  <c r="ED34" i="431" s="1"/>
  <c r="AD53" i="431"/>
  <c r="Y54" i="431"/>
  <c r="Y55" i="431"/>
  <c r="AD56" i="431" s="1"/>
  <c r="AZ51" i="431"/>
  <c r="AZ60" i="431"/>
  <c r="DU30" i="431"/>
  <c r="EC144" i="431"/>
  <c r="CY172" i="431"/>
  <c r="CY173" i="431"/>
  <c r="DJ218" i="431"/>
  <c r="BB144" i="431"/>
  <c r="BC146" i="431" s="1"/>
  <c r="BV51" i="431"/>
  <c r="BV60" i="431"/>
  <c r="CG27" i="431"/>
  <c r="BE205" i="431"/>
  <c r="AD221" i="431"/>
  <c r="AD234" i="431" s="1"/>
  <c r="AD370" i="431" s="1"/>
  <c r="BQ146" i="431"/>
  <c r="Y65" i="431"/>
  <c r="CQ14" i="431"/>
  <c r="BB63" i="431"/>
  <c r="BP199" i="431"/>
  <c r="DJ54" i="431"/>
  <c r="AR218" i="431"/>
  <c r="CF26" i="431"/>
  <c r="CI148" i="431"/>
  <c r="EC54" i="431"/>
  <c r="BL26" i="431"/>
  <c r="BM221" i="431"/>
  <c r="BM82" i="431"/>
  <c r="S221" i="431"/>
  <c r="DX18" i="431"/>
  <c r="DS18" i="431"/>
  <c r="AH15" i="431"/>
  <c r="AM27" i="431" s="1"/>
  <c r="AH99" i="431"/>
  <c r="AH380" i="431"/>
  <c r="AH378" i="431"/>
  <c r="AH185" i="431"/>
  <c r="AH204" i="431"/>
  <c r="AH205" i="431" s="1"/>
  <c r="AM26" i="431"/>
  <c r="AH63" i="431"/>
  <c r="AH377" i="431"/>
  <c r="AH26" i="431"/>
  <c r="AH376" i="431"/>
  <c r="AH14" i="431"/>
  <c r="AH379" i="431"/>
  <c r="AH178" i="431"/>
  <c r="AH171" i="431"/>
  <c r="AH218" i="431"/>
  <c r="AH219" i="431" s="1"/>
  <c r="AH85" i="431"/>
  <c r="BV204" i="431"/>
  <c r="CA205" i="431" s="1"/>
  <c r="BV375" i="431"/>
  <c r="BV178" i="431"/>
  <c r="BV376" i="431"/>
  <c r="BV197" i="431"/>
  <c r="BW199" i="431" s="1"/>
  <c r="BV185" i="431"/>
  <c r="BV187" i="431" s="1"/>
  <c r="BV374" i="431"/>
  <c r="BV171" i="431"/>
  <c r="BV173" i="431" s="1"/>
  <c r="BV15" i="431"/>
  <c r="BW16" i="431" s="1"/>
  <c r="BV85" i="431"/>
  <c r="BV26" i="431"/>
  <c r="BV216" i="431"/>
  <c r="BV217" i="431" s="1"/>
  <c r="BV218" i="431"/>
  <c r="BV219" i="431" s="1"/>
  <c r="BV29" i="431"/>
  <c r="BW31" i="431" s="1"/>
  <c r="BV379" i="431"/>
  <c r="BV144" i="431"/>
  <c r="CA26" i="431"/>
  <c r="BV63" i="431"/>
  <c r="BV378" i="431"/>
  <c r="BV191" i="431"/>
  <c r="BV14" i="431"/>
  <c r="BV380" i="431"/>
  <c r="BV105" i="431"/>
  <c r="BV106" i="431" s="1"/>
  <c r="DT99" i="431"/>
  <c r="DT197" i="431"/>
  <c r="DU199" i="431" s="1"/>
  <c r="DT171" i="431"/>
  <c r="DT173" i="431" s="1"/>
  <c r="DT63" i="431"/>
  <c r="DT14" i="431"/>
  <c r="DY26" i="431"/>
  <c r="DT144" i="431"/>
  <c r="DU146" i="431" s="1"/>
  <c r="DT26" i="431"/>
  <c r="DT376" i="431"/>
  <c r="DT32" i="431"/>
  <c r="DT34" i="431" s="1"/>
  <c r="DT375" i="431"/>
  <c r="DU14" i="431"/>
  <c r="DT85" i="431"/>
  <c r="L55" i="431"/>
  <c r="L54" i="431"/>
  <c r="AS55" i="431"/>
  <c r="AS56" i="431" s="1"/>
  <c r="AS53" i="431"/>
  <c r="AS54" i="431"/>
  <c r="AX53" i="431"/>
  <c r="CI179" i="431"/>
  <c r="AS82" i="431"/>
  <c r="AS221" i="431"/>
  <c r="AS60" i="431"/>
  <c r="AS51" i="431"/>
  <c r="AH374" i="431"/>
  <c r="EC379" i="431"/>
  <c r="EC105" i="431"/>
  <c r="EC107" i="431" s="1"/>
  <c r="EC109" i="431" s="1"/>
  <c r="CZ378" i="431"/>
  <c r="AZ82" i="431"/>
  <c r="AD82" i="431"/>
  <c r="EC69" i="431"/>
  <c r="CU205" i="431"/>
  <c r="BM60" i="431"/>
  <c r="CP197" i="431"/>
  <c r="Q16" i="431"/>
  <c r="T27" i="431"/>
  <c r="CZ14" i="431"/>
  <c r="DA219" i="431"/>
  <c r="DS187" i="431"/>
  <c r="DS186" i="431"/>
  <c r="BL378" i="431"/>
  <c r="BU31" i="431"/>
  <c r="DM145" i="431"/>
  <c r="R179" i="431"/>
  <c r="DS29" i="431"/>
  <c r="CU173" i="431"/>
  <c r="AR187" i="431"/>
  <c r="EC101" i="431"/>
  <c r="Q106" i="431"/>
  <c r="DG98" i="431"/>
  <c r="AN179" i="431"/>
  <c r="AG179" i="431"/>
  <c r="DP27" i="431"/>
  <c r="AW98" i="431"/>
  <c r="AR100" i="431"/>
  <c r="BB100" i="431"/>
  <c r="BG101" i="431" s="1"/>
  <c r="BG98" i="431"/>
  <c r="BB99" i="431"/>
  <c r="CF98" i="431"/>
  <c r="CF99" i="431"/>
  <c r="CF100" i="431"/>
  <c r="CK98" i="431"/>
  <c r="CO98" i="431"/>
  <c r="CO99" i="431"/>
  <c r="CO100" i="431"/>
  <c r="CX100" i="431"/>
  <c r="CY102" i="431" s="1"/>
  <c r="CX99" i="431"/>
  <c r="DR99" i="431"/>
  <c r="DR100" i="431"/>
  <c r="DR102" i="431" s="1"/>
  <c r="DX334" i="431"/>
  <c r="CI55" i="431"/>
  <c r="CI53" i="431"/>
  <c r="CI54" i="431"/>
  <c r="DE53" i="431"/>
  <c r="DE54" i="431"/>
  <c r="DO55" i="431"/>
  <c r="DO54" i="431"/>
  <c r="DO53" i="431"/>
  <c r="DT53" i="431"/>
  <c r="V64" i="431"/>
  <c r="AA62" i="431"/>
  <c r="AD64" i="431"/>
  <c r="AD65" i="431" s="1"/>
  <c r="AD63" i="431"/>
  <c r="Y100" i="431"/>
  <c r="Y101" i="431" s="1"/>
  <c r="Y98" i="431"/>
  <c r="DQ178" i="431"/>
  <c r="DQ105" i="431"/>
  <c r="DQ380" i="431"/>
  <c r="DQ375" i="431"/>
  <c r="DI377" i="431"/>
  <c r="DI378" i="431"/>
  <c r="DI99" i="431"/>
  <c r="DI29" i="431"/>
  <c r="DI126" i="431" s="1"/>
  <c r="DI374" i="431"/>
  <c r="DI26" i="431"/>
  <c r="DI144" i="431"/>
  <c r="DI146" i="431" s="1"/>
  <c r="DI32" i="431"/>
  <c r="DI376" i="431"/>
  <c r="DN26" i="431"/>
  <c r="DI15" i="431"/>
  <c r="DI63" i="431"/>
  <c r="DI54" i="431"/>
  <c r="DI375" i="431"/>
  <c r="DI178" i="431"/>
  <c r="DI380" i="431"/>
  <c r="DI171" i="431"/>
  <c r="DI172" i="431" s="1"/>
  <c r="DI218" i="431"/>
  <c r="DI216" i="431"/>
  <c r="DS144" i="431"/>
  <c r="DS145" i="431" s="1"/>
  <c r="DS218" i="431"/>
  <c r="DS99" i="431"/>
  <c r="DS375" i="431"/>
  <c r="DS379" i="431"/>
  <c r="DS54" i="431"/>
  <c r="DX26" i="431"/>
  <c r="DS380" i="431"/>
  <c r="DS105" i="431"/>
  <c r="DS197" i="431"/>
  <c r="DS216" i="431"/>
  <c r="X53" i="431"/>
  <c r="X55" i="431"/>
  <c r="AC53" i="431"/>
  <c r="AH55" i="431"/>
  <c r="AH56" i="431" s="1"/>
  <c r="AH54" i="431"/>
  <c r="AH53" i="431"/>
  <c r="AR54" i="431"/>
  <c r="BK54" i="431"/>
  <c r="BK55" i="431"/>
  <c r="BP56" i="431" s="1"/>
  <c r="CJ53" i="431"/>
  <c r="CJ54" i="431"/>
  <c r="DP55" i="431"/>
  <c r="DP54" i="431"/>
  <c r="EE53" i="431"/>
  <c r="DZ53" i="431"/>
  <c r="DZ55" i="431"/>
  <c r="EE56" i="431" s="1"/>
  <c r="DZ54" i="431"/>
  <c r="CE54" i="431"/>
  <c r="CE55" i="431"/>
  <c r="CE53" i="431"/>
  <c r="W64" i="431"/>
  <c r="AB65" i="431" s="1"/>
  <c r="AB62" i="431"/>
  <c r="W62" i="431"/>
  <c r="AP64" i="431"/>
  <c r="AP65" i="431" s="1"/>
  <c r="AP63" i="431"/>
  <c r="AP62" i="431"/>
  <c r="AZ63" i="431"/>
  <c r="AZ64" i="431"/>
  <c r="AZ65" i="431" s="1"/>
  <c r="CD64" i="431"/>
  <c r="CI65" i="431" s="1"/>
  <c r="CI62" i="431"/>
  <c r="CN62" i="431"/>
  <c r="CN64" i="431"/>
  <c r="AK100" i="431"/>
  <c r="AK99" i="431"/>
  <c r="AK98" i="431"/>
  <c r="BP224" i="431"/>
  <c r="DO18" i="431"/>
  <c r="DJ18" i="431"/>
  <c r="ED18" i="431"/>
  <c r="EI18" i="431"/>
  <c r="AI217" i="431"/>
  <c r="AS377" i="431"/>
  <c r="AS178" i="431"/>
  <c r="AS179" i="431" s="1"/>
  <c r="AS376" i="431"/>
  <c r="AS185" i="431"/>
  <c r="BC218" i="431"/>
  <c r="BC375" i="431"/>
  <c r="BC105" i="431"/>
  <c r="BC185" i="431"/>
  <c r="BC186" i="431" s="1"/>
  <c r="BH26" i="431"/>
  <c r="BR26" i="431"/>
  <c r="BM375" i="431"/>
  <c r="BM15" i="431"/>
  <c r="BM16" i="431" s="1"/>
  <c r="BM144" i="431"/>
  <c r="BM218" i="431"/>
  <c r="BM63" i="431"/>
  <c r="BM374" i="431"/>
  <c r="BM191" i="431"/>
  <c r="DA15" i="431"/>
  <c r="DC16" i="431" s="1"/>
  <c r="DA377" i="431"/>
  <c r="DA171" i="431"/>
  <c r="DC173" i="431" s="1"/>
  <c r="DF26" i="431"/>
  <c r="DA29" i="431"/>
  <c r="DC31" i="431" s="1"/>
  <c r="AA55" i="431"/>
  <c r="AA53" i="431"/>
  <c r="CP103" i="431"/>
  <c r="CU104" i="431" s="1"/>
  <c r="CU81" i="431"/>
  <c r="CD57" i="431"/>
  <c r="EC179" i="431"/>
  <c r="AU380" i="431"/>
  <c r="AU375" i="431"/>
  <c r="BE380" i="431"/>
  <c r="BE379" i="431"/>
  <c r="BE376" i="431"/>
  <c r="CV68" i="431"/>
  <c r="CV71" i="431"/>
  <c r="AK71" i="431"/>
  <c r="AF68" i="431"/>
  <c r="BC103" i="431"/>
  <c r="BC135" i="431" s="1"/>
  <c r="BC60" i="431" s="1"/>
  <c r="ED151" i="431"/>
  <c r="AI198" i="431"/>
  <c r="DU198" i="431"/>
  <c r="EI46" i="431"/>
  <c r="R185" i="431"/>
  <c r="R186" i="431" s="1"/>
  <c r="R171" i="431"/>
  <c r="R376" i="431"/>
  <c r="R26" i="431"/>
  <c r="R377" i="431"/>
  <c r="R380" i="431"/>
  <c r="AB204" i="431"/>
  <c r="AB380" i="431"/>
  <c r="AB185" i="431"/>
  <c r="AG186" i="431" s="1"/>
  <c r="AB376" i="431"/>
  <c r="AB378" i="431"/>
  <c r="AB171" i="431"/>
  <c r="AL204" i="431"/>
  <c r="AL377" i="431"/>
  <c r="AL178" i="431"/>
  <c r="AL179" i="431" s="1"/>
  <c r="AL376" i="431"/>
  <c r="AL378" i="431"/>
  <c r="AL216" i="431"/>
  <c r="AV14" i="431"/>
  <c r="AV379" i="431"/>
  <c r="AV374" i="431"/>
  <c r="AV178" i="431"/>
  <c r="AV380" i="431"/>
  <c r="AV63" i="431"/>
  <c r="AV15" i="431"/>
  <c r="AV16" i="431" s="1"/>
  <c r="AV185" i="431"/>
  <c r="AV204" i="431"/>
  <c r="AV376" i="431"/>
  <c r="AV197" i="431"/>
  <c r="AV198" i="431" s="1"/>
  <c r="BZ380" i="431"/>
  <c r="BZ378" i="431"/>
  <c r="BZ218" i="431"/>
  <c r="BZ219" i="431" s="1"/>
  <c r="CE26" i="431"/>
  <c r="BZ185" i="431"/>
  <c r="BZ377" i="431"/>
  <c r="BZ15" i="431"/>
  <c r="CE27" i="431" s="1"/>
  <c r="BZ191" i="431"/>
  <c r="BZ375" i="431"/>
  <c r="BZ105" i="431"/>
  <c r="CJ29" i="431"/>
  <c r="CJ30" i="431" s="1"/>
  <c r="CJ380" i="431"/>
  <c r="CJ379" i="431"/>
  <c r="CJ376" i="431"/>
  <c r="CJ32" i="431"/>
  <c r="CJ185" i="431"/>
  <c r="CJ15" i="431"/>
  <c r="DD378" i="431"/>
  <c r="DD204" i="431"/>
  <c r="DD205" i="431" s="1"/>
  <c r="DD197" i="431"/>
  <c r="DE199" i="431" s="1"/>
  <c r="DD54" i="431"/>
  <c r="DD216" i="431"/>
  <c r="DD32" i="431"/>
  <c r="DD379" i="431"/>
  <c r="DD375" i="431"/>
  <c r="DD105" i="431"/>
  <c r="DD178" i="431"/>
  <c r="DD218" i="431"/>
  <c r="CX68" i="431"/>
  <c r="DC71" i="431"/>
  <c r="AK103" i="431"/>
  <c r="AK135" i="431" s="1"/>
  <c r="AK86" i="431"/>
  <c r="BP148" i="431"/>
  <c r="BU148" i="431"/>
  <c r="DU152" i="431"/>
  <c r="DZ151" i="431"/>
  <c r="CJ164" i="431"/>
  <c r="CJ163" i="431"/>
  <c r="CT164" i="431"/>
  <c r="CT163" i="431"/>
  <c r="CS16" i="431"/>
  <c r="EF308" i="431"/>
  <c r="EF46" i="431"/>
  <c r="AS224" i="431"/>
  <c r="CY68" i="431"/>
  <c r="DD71" i="431"/>
  <c r="DI68" i="431"/>
  <c r="DI71" i="431"/>
  <c r="AR68" i="431"/>
  <c r="AR71" i="431"/>
  <c r="CD100" i="431"/>
  <c r="CI101" i="431" s="1"/>
  <c r="CI98" i="431"/>
  <c r="EI100" i="431"/>
  <c r="EI98" i="431"/>
  <c r="EI99" i="431"/>
  <c r="EE148" i="431"/>
  <c r="DZ148" i="431"/>
  <c r="AR152" i="431"/>
  <c r="AR151" i="431"/>
  <c r="CP152" i="431"/>
  <c r="DC152" i="431"/>
  <c r="DC151" i="431"/>
  <c r="EH152" i="431"/>
  <c r="BB106" i="431"/>
  <c r="BT180" i="431"/>
  <c r="DA380" i="431"/>
  <c r="AU85" i="431"/>
  <c r="AQ26" i="431"/>
  <c r="R63" i="431"/>
  <c r="AV378" i="431"/>
  <c r="DO64" i="431"/>
  <c r="DP66" i="431" s="1"/>
  <c r="DO62" i="431"/>
  <c r="CE100" i="431"/>
  <c r="CE99" i="431"/>
  <c r="DA98" i="431"/>
  <c r="CV100" i="431"/>
  <c r="DF100" i="431"/>
  <c r="DK98" i="431"/>
  <c r="DZ100" i="431"/>
  <c r="DZ102" i="431" s="1"/>
  <c r="DZ99" i="431"/>
  <c r="DN151" i="431"/>
  <c r="DO152" i="431"/>
  <c r="BG151" i="431"/>
  <c r="DY152" i="431"/>
  <c r="EJ18" i="431"/>
  <c r="DO197" i="431"/>
  <c r="BR374" i="431"/>
  <c r="AM14" i="431"/>
  <c r="CZ46" i="431"/>
  <c r="BT53" i="431"/>
  <c r="EI53" i="431"/>
  <c r="DR63" i="431"/>
  <c r="EE62" i="431"/>
  <c r="BQ81" i="431"/>
  <c r="AD84" i="431"/>
  <c r="BY99" i="431"/>
  <c r="CZ98" i="431"/>
  <c r="CL148" i="431"/>
  <c r="BU180" i="431"/>
  <c r="DW69" i="431"/>
  <c r="DX63" i="431"/>
  <c r="DA46" i="431"/>
  <c r="AZ62" i="431"/>
  <c r="BE62" i="431"/>
  <c r="AA85" i="431"/>
  <c r="DK84" i="431"/>
  <c r="EH336" i="431"/>
  <c r="B234" i="431"/>
  <c r="B247" i="431" s="1"/>
  <c r="B250" i="431" s="1"/>
  <c r="CB144" i="431"/>
  <c r="DO375" i="431"/>
  <c r="CJ62" i="431"/>
  <c r="DJ152" i="431"/>
  <c r="DX163" i="431"/>
  <c r="EH163" i="431"/>
  <c r="CX106" i="431"/>
  <c r="AZ107" i="431"/>
  <c r="DM18" i="431"/>
  <c r="EB18" i="431"/>
  <c r="FP44" i="431"/>
  <c r="ED63" i="431"/>
  <c r="EH85" i="431"/>
  <c r="BH99" i="431"/>
  <c r="CB99" i="431"/>
  <c r="BV104" i="431"/>
  <c r="BQ107" i="431"/>
  <c r="N11" i="455"/>
  <c r="CZ34" i="431"/>
  <c r="CY33" i="431"/>
  <c r="DE173" i="431"/>
  <c r="DD172" i="431"/>
  <c r="CE205" i="431"/>
  <c r="DX136" i="431"/>
  <c r="DS82" i="431"/>
  <c r="AC224" i="431"/>
  <c r="AH224" i="431"/>
  <c r="AI224" i="431"/>
  <c r="AX224" i="431"/>
  <c r="BC224" i="431"/>
  <c r="AL172" i="431"/>
  <c r="W53" i="431"/>
  <c r="R55" i="431"/>
  <c r="W56" i="431" s="1"/>
  <c r="R54" i="431"/>
  <c r="BF62" i="431"/>
  <c r="BA64" i="431"/>
  <c r="DY66" i="431"/>
  <c r="EH64" i="431"/>
  <c r="EH66" i="431" s="1"/>
  <c r="EH63" i="431"/>
  <c r="EH62" i="431"/>
  <c r="BU68" i="431"/>
  <c r="BZ71" i="431"/>
  <c r="CE71" i="431"/>
  <c r="CJ71" i="431"/>
  <c r="CE68" i="431"/>
  <c r="CE69" i="431" s="1"/>
  <c r="BB68" i="431"/>
  <c r="BB71" i="431"/>
  <c r="BG71" i="431"/>
  <c r="BO103" i="431"/>
  <c r="BO81" i="431"/>
  <c r="BT81" i="431"/>
  <c r="BO86" i="431"/>
  <c r="BO87" i="431" s="1"/>
  <c r="CD81" i="431"/>
  <c r="BY86" i="431"/>
  <c r="BY81" i="431"/>
  <c r="CT103" i="431"/>
  <c r="CT86" i="431"/>
  <c r="CT81" i="431"/>
  <c r="CY81" i="431"/>
  <c r="DM81" i="431"/>
  <c r="DM103" i="431"/>
  <c r="DQ80" i="431"/>
  <c r="DR81" i="431"/>
  <c r="DM86" i="431"/>
  <c r="DM88" i="431" s="1"/>
  <c r="AB84" i="431"/>
  <c r="W86" i="431"/>
  <c r="W87" i="431" s="1"/>
  <c r="AZ85" i="431"/>
  <c r="AZ84" i="431"/>
  <c r="BE84" i="431"/>
  <c r="AZ86" i="431"/>
  <c r="BT84" i="431"/>
  <c r="BY84" i="431"/>
  <c r="BT85" i="431"/>
  <c r="BT86" i="431"/>
  <c r="BT87" i="431" s="1"/>
  <c r="DH85" i="431"/>
  <c r="DM84" i="431"/>
  <c r="DH86" i="431"/>
  <c r="DH87" i="431" s="1"/>
  <c r="DH84" i="431"/>
  <c r="EB84" i="431"/>
  <c r="EB86" i="431"/>
  <c r="EB87" i="431" s="1"/>
  <c r="L95" i="431"/>
  <c r="L100" i="431"/>
  <c r="Q101" i="431" s="1"/>
  <c r="Q95" i="431"/>
  <c r="P94" i="431"/>
  <c r="P103" i="431" s="1"/>
  <c r="BV100" i="431"/>
  <c r="BV98" i="431"/>
  <c r="BV99" i="431"/>
  <c r="CA98" i="431"/>
  <c r="DU116" i="431"/>
  <c r="CF11" i="434" s="1"/>
  <c r="DV115" i="431"/>
  <c r="DV116" i="431" s="1"/>
  <c r="CG11" i="434" s="1"/>
  <c r="BI214" i="431"/>
  <c r="BI154" i="431"/>
  <c r="M194" i="431"/>
  <c r="P193" i="431"/>
  <c r="M196" i="431" s="1"/>
  <c r="M214" i="431"/>
  <c r="M183" i="431" s="1"/>
  <c r="M197" i="431"/>
  <c r="AF196" i="431"/>
  <c r="AG196" i="431"/>
  <c r="AI196" i="431"/>
  <c r="AH196" i="431"/>
  <c r="AJ194" i="431"/>
  <c r="AO194" i="431"/>
  <c r="BN194" i="431"/>
  <c r="BJ196" i="431"/>
  <c r="BM196" i="431"/>
  <c r="BN214" i="431"/>
  <c r="BL196" i="431"/>
  <c r="BK196" i="431"/>
  <c r="BS194" i="431"/>
  <c r="EA194" i="431"/>
  <c r="DX196" i="431"/>
  <c r="DY196" i="431"/>
  <c r="DZ196" i="431"/>
  <c r="DW196" i="431"/>
  <c r="EF194" i="431"/>
  <c r="O204" i="431"/>
  <c r="T205" i="431" s="1"/>
  <c r="T201" i="431"/>
  <c r="O201" i="431"/>
  <c r="O214" i="431"/>
  <c r="O202" i="431" s="1"/>
  <c r="P200" i="431"/>
  <c r="O203" i="431" s="1"/>
  <c r="AY201" i="431"/>
  <c r="AS203" i="431"/>
  <c r="AP203" i="431"/>
  <c r="AQ203" i="431"/>
  <c r="AT214" i="431"/>
  <c r="AT202" i="431" s="1"/>
  <c r="AR203" i="431"/>
  <c r="AT201" i="431"/>
  <c r="BY203" i="431"/>
  <c r="CB203" i="431"/>
  <c r="BZ203" i="431"/>
  <c r="CA203" i="431"/>
  <c r="CH201" i="431"/>
  <c r="CC201" i="431"/>
  <c r="BX272" i="431"/>
  <c r="CC272" i="431"/>
  <c r="DS304" i="431"/>
  <c r="DT301" i="431"/>
  <c r="DT304" i="431" s="1"/>
  <c r="DX307" i="431"/>
  <c r="DY305" i="431"/>
  <c r="DY307" i="431" s="1"/>
  <c r="EP352" i="431"/>
  <c r="EI170" i="431"/>
  <c r="EK168" i="431"/>
  <c r="EJ170" i="431"/>
  <c r="EG170" i="431"/>
  <c r="EH170" i="431"/>
  <c r="EJ65" i="431"/>
  <c r="CU272" i="431"/>
  <c r="CU224" i="431"/>
  <c r="AQ172" i="431"/>
  <c r="EK151" i="431"/>
  <c r="DJ114" i="431"/>
  <c r="EE96" i="431"/>
  <c r="EE60" i="431"/>
  <c r="EE82" i="431"/>
  <c r="EG103" i="431"/>
  <c r="EG86" i="431"/>
  <c r="EH88" i="431" s="1"/>
  <c r="EK80" i="431"/>
  <c r="EK81" i="431" s="1"/>
  <c r="EG81" i="431"/>
  <c r="AF84" i="431"/>
  <c r="AK84" i="431"/>
  <c r="BO84" i="431"/>
  <c r="BJ85" i="431"/>
  <c r="CD84" i="431"/>
  <c r="CD86" i="431"/>
  <c r="CI84" i="431"/>
  <c r="CX86" i="431"/>
  <c r="DC87" i="431" s="1"/>
  <c r="CX85" i="431"/>
  <c r="CX84" i="431"/>
  <c r="DC84" i="431"/>
  <c r="DR84" i="431"/>
  <c r="DR85" i="431"/>
  <c r="DR86" i="431"/>
  <c r="DR88" i="431" s="1"/>
  <c r="AO95" i="431"/>
  <c r="AJ95" i="431"/>
  <c r="BL98" i="431"/>
  <c r="BL99" i="431"/>
  <c r="BQ98" i="431"/>
  <c r="BL100" i="431"/>
  <c r="DC224" i="431"/>
  <c r="DH224" i="431"/>
  <c r="DZ172" i="431"/>
  <c r="EE172" i="431"/>
  <c r="BT172" i="431"/>
  <c r="DL62" i="431"/>
  <c r="DG62" i="431"/>
  <c r="DY126" i="431"/>
  <c r="AP84" i="431"/>
  <c r="AP85" i="431"/>
  <c r="EJ115" i="431"/>
  <c r="EJ116" i="431" s="1"/>
  <c r="CU11" i="434" s="1"/>
  <c r="EA115" i="431"/>
  <c r="EA116" i="431" s="1"/>
  <c r="CL11" i="434" s="1"/>
  <c r="DZ116" i="431"/>
  <c r="CK11" i="434" s="1"/>
  <c r="CJ152" i="431"/>
  <c r="CI152" i="431"/>
  <c r="BO205" i="431"/>
  <c r="BT205" i="431"/>
  <c r="O16" i="431"/>
  <c r="N16" i="431"/>
  <c r="CG30" i="431"/>
  <c r="CG126" i="431"/>
  <c r="CS135" i="431"/>
  <c r="CS136" i="431" s="1"/>
  <c r="CS107" i="431"/>
  <c r="CS109" i="431" s="1"/>
  <c r="AR145" i="431"/>
  <c r="EJ86" i="431"/>
  <c r="EO87" i="431" s="1"/>
  <c r="EJ103" i="431"/>
  <c r="EJ107" i="431" s="1"/>
  <c r="EO108" i="431" s="1"/>
  <c r="EJ81" i="431"/>
  <c r="CB31" i="431"/>
  <c r="CB126" i="431"/>
  <c r="ED292" i="431"/>
  <c r="EC296" i="431"/>
  <c r="DM307" i="431"/>
  <c r="DN305" i="431"/>
  <c r="DN307" i="431" s="1"/>
  <c r="BX311" i="431"/>
  <c r="DS305" i="431"/>
  <c r="DS307" i="431" s="1"/>
  <c r="DL244" i="431"/>
  <c r="DQ243" i="431" s="1"/>
  <c r="DQ242" i="431" s="1"/>
  <c r="DK243" i="431"/>
  <c r="DK242" i="431" s="1"/>
  <c r="DM243" i="431"/>
  <c r="DM242" i="431" s="1"/>
  <c r="AI96" i="431"/>
  <c r="AI51" i="431"/>
  <c r="CH148" i="431"/>
  <c r="DW31" i="431"/>
  <c r="EF195" i="431"/>
  <c r="DU27" i="431"/>
  <c r="BW198" i="431"/>
  <c r="CU31" i="431"/>
  <c r="CY30" i="431"/>
  <c r="AQ180" i="431"/>
  <c r="AZ195" i="431"/>
  <c r="BZ126" i="431"/>
  <c r="CE127" i="431" s="1"/>
  <c r="BU172" i="431"/>
  <c r="EJ26" i="431"/>
  <c r="EJ15" i="431"/>
  <c r="EO27" i="431" s="1"/>
  <c r="EJ29" i="431"/>
  <c r="EO30" i="431" s="1"/>
  <c r="EJ99" i="431"/>
  <c r="EJ204" i="431"/>
  <c r="EO205" i="431" s="1"/>
  <c r="EJ14" i="431"/>
  <c r="EJ185" i="431"/>
  <c r="CY187" i="431"/>
  <c r="CY186" i="431"/>
  <c r="DI224" i="431"/>
  <c r="DD224" i="431"/>
  <c r="EA386" i="431"/>
  <c r="EA258" i="431"/>
  <c r="DY294" i="431"/>
  <c r="DZ294" i="431" s="1"/>
  <c r="DX296" i="431"/>
  <c r="DX298" i="431"/>
  <c r="DY301" i="431"/>
  <c r="DZ301" i="431" s="1"/>
  <c r="EE244" i="431"/>
  <c r="CN151" i="431"/>
  <c r="AG183" i="431"/>
  <c r="AG140" i="431"/>
  <c r="AG169" i="431"/>
  <c r="AL215" i="431"/>
  <c r="AG202" i="431"/>
  <c r="AG223" i="431"/>
  <c r="DT288" i="431"/>
  <c r="DN104" i="431"/>
  <c r="DI135" i="431"/>
  <c r="CU33" i="431"/>
  <c r="CZ33" i="431"/>
  <c r="S183" i="431"/>
  <c r="S216" i="431"/>
  <c r="S176" i="431"/>
  <c r="S223" i="431"/>
  <c r="S210" i="431"/>
  <c r="X215" i="431"/>
  <c r="S195" i="431"/>
  <c r="BU206" i="431"/>
  <c r="BU205" i="431"/>
  <c r="BT107" i="431"/>
  <c r="BT135" i="431"/>
  <c r="EF176" i="431"/>
  <c r="EF223" i="431"/>
  <c r="EF210" i="431"/>
  <c r="EF183" i="431"/>
  <c r="EF202" i="431"/>
  <c r="AW16" i="431"/>
  <c r="EI135" i="431"/>
  <c r="BA221" i="431"/>
  <c r="AI107" i="431"/>
  <c r="CS173" i="431"/>
  <c r="CI31" i="431"/>
  <c r="CS120" i="431"/>
  <c r="BD13" i="434" s="1"/>
  <c r="DM199" i="431"/>
  <c r="DN199" i="431"/>
  <c r="CT106" i="431"/>
  <c r="AP198" i="431"/>
  <c r="AQ199" i="431"/>
  <c r="DG195" i="431"/>
  <c r="DG183" i="431"/>
  <c r="AP16" i="431"/>
  <c r="AN27" i="431"/>
  <c r="CA57" i="431"/>
  <c r="CC100" i="431"/>
  <c r="CC98" i="431"/>
  <c r="CL120" i="431"/>
  <c r="AW13" i="434" s="1"/>
  <c r="EH126" i="431"/>
  <c r="CZ88" i="431"/>
  <c r="DR307" i="431"/>
  <c r="AI56" i="431"/>
  <c r="AZ216" i="431"/>
  <c r="AZ217" i="431" s="1"/>
  <c r="AZ223" i="431"/>
  <c r="AZ210" i="431"/>
  <c r="AZ183" i="431"/>
  <c r="AZ202" i="431"/>
  <c r="AZ218" i="431"/>
  <c r="AZ169" i="431"/>
  <c r="AZ176" i="431"/>
  <c r="AZ155" i="431"/>
  <c r="DZ30" i="431"/>
  <c r="AG155" i="431"/>
  <c r="DK199" i="431"/>
  <c r="AX173" i="431"/>
  <c r="BS68" i="431"/>
  <c r="DO104" i="431"/>
  <c r="DO120" i="431"/>
  <c r="BZ13" i="434" s="1"/>
  <c r="S51" i="431"/>
  <c r="T172" i="431"/>
  <c r="Q173" i="431"/>
  <c r="M173" i="431"/>
  <c r="DA107" i="431"/>
  <c r="ED88" i="431"/>
  <c r="CJ69" i="431"/>
  <c r="CO152" i="431"/>
  <c r="CN152" i="431"/>
  <c r="EK44" i="431"/>
  <c r="EK162" i="431"/>
  <c r="EP163" i="431" s="1"/>
  <c r="BM81" i="431"/>
  <c r="BH103" i="431"/>
  <c r="BH86" i="431"/>
  <c r="BR86" i="431"/>
  <c r="BR103" i="431"/>
  <c r="BR135" i="431" s="1"/>
  <c r="BR81" i="431"/>
  <c r="CB103" i="431"/>
  <c r="CG104" i="431" s="1"/>
  <c r="CG81" i="431"/>
  <c r="CB81" i="431"/>
  <c r="CB86" i="431"/>
  <c r="DZ103" i="431"/>
  <c r="DZ81" i="431"/>
  <c r="DZ86" i="431"/>
  <c r="EA80" i="431"/>
  <c r="EA81" i="431" s="1"/>
  <c r="Q86" i="431"/>
  <c r="Q85" i="431"/>
  <c r="AI86" i="431"/>
  <c r="AI87" i="431" s="1"/>
  <c r="AN84" i="431"/>
  <c r="AI85" i="431"/>
  <c r="AX84" i="431"/>
  <c r="AS85" i="431"/>
  <c r="AS86" i="431"/>
  <c r="AX87" i="431" s="1"/>
  <c r="BC85" i="431"/>
  <c r="BC84" i="431"/>
  <c r="BM84" i="431"/>
  <c r="BR84" i="431"/>
  <c r="BM86" i="431"/>
  <c r="BW86" i="431"/>
  <c r="BW87" i="431" s="1"/>
  <c r="BW85" i="431"/>
  <c r="BW84" i="431"/>
  <c r="CG86" i="431"/>
  <c r="CG84" i="431"/>
  <c r="CQ86" i="431"/>
  <c r="CQ84" i="431"/>
  <c r="DF84" i="431"/>
  <c r="DA85" i="431"/>
  <c r="DZ84" i="431"/>
  <c r="DU86" i="431"/>
  <c r="DU87" i="431" s="1"/>
  <c r="DU84" i="431"/>
  <c r="EE86" i="431"/>
  <c r="EE84" i="431"/>
  <c r="N99" i="431"/>
  <c r="S98" i="431"/>
  <c r="AF100" i="431"/>
  <c r="AF99" i="431"/>
  <c r="AP100" i="431"/>
  <c r="AP98" i="431"/>
  <c r="AP99" i="431"/>
  <c r="AW100" i="431"/>
  <c r="BB98" i="431"/>
  <c r="AW99" i="431"/>
  <c r="K138" i="431"/>
  <c r="N139" i="431"/>
  <c r="EZ149" i="431"/>
  <c r="FE149" i="431" s="1"/>
  <c r="CA214" i="431"/>
  <c r="CA155" i="431" s="1"/>
  <c r="CF154" i="431"/>
  <c r="CX184" i="431"/>
  <c r="DA184" i="431"/>
  <c r="CZ184" i="431"/>
  <c r="CY184" i="431"/>
  <c r="DG182" i="431"/>
  <c r="DB214" i="431"/>
  <c r="DB183" i="431" s="1"/>
  <c r="R194" i="431"/>
  <c r="R214" i="431"/>
  <c r="R195" i="431" s="1"/>
  <c r="W194" i="431"/>
  <c r="R197" i="431"/>
  <c r="BD194" i="431"/>
  <c r="AY214" i="431"/>
  <c r="AW196" i="431"/>
  <c r="AU196" i="431"/>
  <c r="AV196" i="431"/>
  <c r="EC289" i="431"/>
  <c r="ED288" i="431"/>
  <c r="ED289" i="431" s="1"/>
  <c r="EH296" i="431"/>
  <c r="EI294" i="431"/>
  <c r="EI296" i="431" s="1"/>
  <c r="EH298" i="431"/>
  <c r="EK148" i="431"/>
  <c r="EE173" i="431"/>
  <c r="C223" i="431"/>
  <c r="C195" i="431"/>
  <c r="CR61" i="431"/>
  <c r="CR62" i="431" s="1"/>
  <c r="CR19" i="431"/>
  <c r="DH380" i="431"/>
  <c r="DH377" i="431"/>
  <c r="DH376" i="431"/>
  <c r="DH374" i="431"/>
  <c r="DH378" i="431"/>
  <c r="DH185" i="431"/>
  <c r="DH15" i="431"/>
  <c r="DH218" i="431"/>
  <c r="DH219" i="431" s="1"/>
  <c r="DH197" i="431"/>
  <c r="DH14" i="431"/>
  <c r="DH379" i="431"/>
  <c r="DH171" i="431"/>
  <c r="DH63" i="431"/>
  <c r="DH26" i="431"/>
  <c r="DH204" i="431"/>
  <c r="DI206" i="431" s="1"/>
  <c r="DH105" i="431"/>
  <c r="DH99" i="431"/>
  <c r="DH375" i="431"/>
  <c r="DH32" i="431"/>
  <c r="DM33" i="431" s="1"/>
  <c r="DH29" i="431"/>
  <c r="DH178" i="431"/>
  <c r="DH54" i="431"/>
  <c r="DP378" i="431"/>
  <c r="DP178" i="431"/>
  <c r="DU179" i="431" s="1"/>
  <c r="DP63" i="431"/>
  <c r="DP32" i="431"/>
  <c r="DP218" i="431"/>
  <c r="DP219" i="431" s="1"/>
  <c r="DP14" i="431"/>
  <c r="DP380" i="431"/>
  <c r="DU26" i="431"/>
  <c r="DP374" i="431"/>
  <c r="DP379" i="431"/>
  <c r="DP144" i="431"/>
  <c r="DP145" i="431" s="1"/>
  <c r="DP99" i="431"/>
  <c r="DP377" i="431"/>
  <c r="DP105" i="431"/>
  <c r="DQ45" i="431"/>
  <c r="DQ46" i="431" s="1"/>
  <c r="DQ36" i="431"/>
  <c r="EA44" i="431"/>
  <c r="DV44" i="431"/>
  <c r="DV162" i="431"/>
  <c r="EF162" i="431"/>
  <c r="EF163" i="431" s="1"/>
  <c r="EF44" i="431"/>
  <c r="CX46" i="431"/>
  <c r="DC46" i="431"/>
  <c r="DH46" i="431"/>
  <c r="DM46" i="431"/>
  <c r="CC50" i="431"/>
  <c r="BX50" i="431"/>
  <c r="DS336" i="431"/>
  <c r="AA221" i="431"/>
  <c r="AA60" i="431"/>
  <c r="DU224" i="431"/>
  <c r="BF65" i="431"/>
  <c r="EJ210" i="431"/>
  <c r="EJ202" i="431"/>
  <c r="EJ155" i="431"/>
  <c r="EJ218" i="431"/>
  <c r="S177" i="431"/>
  <c r="Z175" i="431"/>
  <c r="EK214" i="431"/>
  <c r="EP215" i="431" s="1"/>
  <c r="EK175" i="431"/>
  <c r="EK95" i="431"/>
  <c r="EW243" i="431"/>
  <c r="EW242" i="431" s="1"/>
  <c r="EJ85" i="431"/>
  <c r="EJ84" i="431"/>
  <c r="EK45" i="431"/>
  <c r="DT96" i="431"/>
  <c r="DT82" i="431"/>
  <c r="DT60" i="431"/>
  <c r="CW61" i="431"/>
  <c r="CW13" i="431"/>
  <c r="CW19" i="431"/>
  <c r="AL54" i="431"/>
  <c r="AL55" i="431"/>
  <c r="AL56" i="431" s="1"/>
  <c r="BY55" i="431"/>
  <c r="BY54" i="431"/>
  <c r="CS53" i="431"/>
  <c r="CN53" i="431"/>
  <c r="CZ55" i="431"/>
  <c r="CZ56" i="431" s="1"/>
  <c r="CZ54" i="431"/>
  <c r="BM64" i="431"/>
  <c r="BM62" i="431"/>
  <c r="BD73" i="431"/>
  <c r="BD70" i="431"/>
  <c r="BD68" i="431" s="1"/>
  <c r="CH70" i="431"/>
  <c r="CM73" i="431"/>
  <c r="EA73" i="431"/>
  <c r="DV73" i="431"/>
  <c r="EF73" i="431"/>
  <c r="EK73" i="431"/>
  <c r="T81" i="431"/>
  <c r="Y81" i="431"/>
  <c r="AM135" i="431"/>
  <c r="AR136" i="431" s="1"/>
  <c r="AR104" i="431"/>
  <c r="BG103" i="431"/>
  <c r="BG135" i="431" s="1"/>
  <c r="BG82" i="431" s="1"/>
  <c r="CK81" i="431"/>
  <c r="CP81" i="431"/>
  <c r="CV103" i="431"/>
  <c r="DA81" i="431"/>
  <c r="CV86" i="431"/>
  <c r="BF100" i="431"/>
  <c r="BF101" i="431" s="1"/>
  <c r="BF99" i="431"/>
  <c r="BT98" i="431"/>
  <c r="BO100" i="431"/>
  <c r="T139" i="431"/>
  <c r="Y139" i="431"/>
  <c r="AY159" i="431"/>
  <c r="AY156" i="431" s="1"/>
  <c r="AY161" i="431"/>
  <c r="CL164" i="431"/>
  <c r="CL163" i="431"/>
  <c r="CV164" i="431"/>
  <c r="CX164" i="431"/>
  <c r="DR164" i="431"/>
  <c r="DP163" i="431"/>
  <c r="AQ170" i="431"/>
  <c r="AT168" i="431"/>
  <c r="BZ170" i="431"/>
  <c r="CH168" i="431"/>
  <c r="CB170" i="431"/>
  <c r="CA170" i="431"/>
  <c r="CC168" i="431"/>
  <c r="AA177" i="431"/>
  <c r="AC177" i="431"/>
  <c r="BM177" i="431"/>
  <c r="BJ177" i="431"/>
  <c r="BL177" i="431"/>
  <c r="CY177" i="431"/>
  <c r="DB175" i="431"/>
  <c r="DA177" i="431"/>
  <c r="DG175" i="431"/>
  <c r="CK203" i="431"/>
  <c r="CM201" i="431"/>
  <c r="CJ203" i="431"/>
  <c r="CI203" i="431"/>
  <c r="CL203" i="431"/>
  <c r="P207" i="431"/>
  <c r="M211" i="431" s="1"/>
  <c r="M208" i="431"/>
  <c r="AN211" i="431"/>
  <c r="AK211" i="431"/>
  <c r="AO214" i="431"/>
  <c r="CM71" i="431"/>
  <c r="R65" i="431"/>
  <c r="CB30" i="431"/>
  <c r="DF242" i="431"/>
  <c r="DG243" i="431"/>
  <c r="DG242" i="431" s="1"/>
  <c r="EK365" i="431"/>
  <c r="P64" i="431"/>
  <c r="CU34" i="431"/>
  <c r="DE66" i="431"/>
  <c r="DL53" i="431"/>
  <c r="AN219" i="431"/>
  <c r="AN172" i="431"/>
  <c r="AZ205" i="431"/>
  <c r="BO55" i="431"/>
  <c r="BT56" i="431" s="1"/>
  <c r="BV71" i="431"/>
  <c r="BQ68" i="431"/>
  <c r="AX71" i="431"/>
  <c r="AX68" i="431"/>
  <c r="CE103" i="431"/>
  <c r="CJ81" i="431"/>
  <c r="CO103" i="431"/>
  <c r="CO86" i="431"/>
  <c r="DN84" i="431"/>
  <c r="DN86" i="431"/>
  <c r="DN87" i="431" s="1"/>
  <c r="DN85" i="431"/>
  <c r="DS84" i="431"/>
  <c r="DD100" i="431"/>
  <c r="DI98" i="431"/>
  <c r="DN100" i="431"/>
  <c r="DN102" i="431" s="1"/>
  <c r="DN99" i="431"/>
  <c r="EH100" i="431"/>
  <c r="EH102" i="431" s="1"/>
  <c r="EH98" i="431"/>
  <c r="DK196" i="431"/>
  <c r="DJ196" i="431"/>
  <c r="DL194" i="431"/>
  <c r="DH196" i="431"/>
  <c r="BF172" i="431"/>
  <c r="DB19" i="431"/>
  <c r="AC54" i="431"/>
  <c r="AC374" i="431"/>
  <c r="AC85" i="431"/>
  <c r="CA378" i="431"/>
  <c r="CA377" i="431"/>
  <c r="DW144" i="431"/>
  <c r="DW105" i="431"/>
  <c r="DZ118" i="431"/>
  <c r="EA117" i="431"/>
  <c r="EA118" i="431" s="1"/>
  <c r="AZ150" i="431"/>
  <c r="AZ139" i="431"/>
  <c r="BD138" i="431"/>
  <c r="BF177" i="431"/>
  <c r="BG177" i="431"/>
  <c r="BE177" i="431"/>
  <c r="BH177" i="431"/>
  <c r="EA214" i="431"/>
  <c r="EA155" i="431" s="1"/>
  <c r="AU140" i="431"/>
  <c r="AU223" i="431"/>
  <c r="AU202" i="431"/>
  <c r="CO155" i="431"/>
  <c r="CO176" i="431"/>
  <c r="CO195" i="431"/>
  <c r="BQ187" i="431"/>
  <c r="CY16" i="431"/>
  <c r="CW46" i="431"/>
  <c r="DS179" i="431"/>
  <c r="CC20" i="431"/>
  <c r="AQ374" i="431"/>
  <c r="AQ204" i="431"/>
  <c r="AQ15" i="431"/>
  <c r="BK375" i="431"/>
  <c r="BK374" i="431"/>
  <c r="BK204" i="431"/>
  <c r="BP205" i="431" s="1"/>
  <c r="BK15" i="431"/>
  <c r="BK27" i="431" s="1"/>
  <c r="BU144" i="431"/>
  <c r="BZ145" i="431" s="1"/>
  <c r="BU379" i="431"/>
  <c r="BU99" i="431"/>
  <c r="BZ26" i="431"/>
  <c r="BA62" i="431"/>
  <c r="BD77" i="431"/>
  <c r="BI77" i="431"/>
  <c r="BJ86" i="431"/>
  <c r="BJ87" i="431" s="1"/>
  <c r="BJ103" i="431"/>
  <c r="BJ104" i="431" s="1"/>
  <c r="DF155" i="431"/>
  <c r="DF140" i="431"/>
  <c r="DF195" i="431"/>
  <c r="DF216" i="431"/>
  <c r="DF217" i="431" s="1"/>
  <c r="DP216" i="431"/>
  <c r="DU217" i="431" s="1"/>
  <c r="DZ155" i="431"/>
  <c r="DZ176" i="431"/>
  <c r="DZ216" i="431"/>
  <c r="EE217" i="431" s="1"/>
  <c r="T107" i="431"/>
  <c r="DN187" i="431"/>
  <c r="AX63" i="431"/>
  <c r="AX64" i="431"/>
  <c r="ED211" i="431"/>
  <c r="EF208" i="431"/>
  <c r="EF213" i="431"/>
  <c r="V223" i="431"/>
  <c r="V218" i="431"/>
  <c r="AA219" i="431" s="1"/>
  <c r="V183" i="431"/>
  <c r="CJ183" i="431"/>
  <c r="CJ210" i="431"/>
  <c r="CJ223" i="431"/>
  <c r="CO224" i="431" s="1"/>
  <c r="DL258" i="431"/>
  <c r="DL260" i="431"/>
  <c r="CW59" i="431"/>
  <c r="EI57" i="431"/>
  <c r="DX27" i="431"/>
  <c r="EK42" i="431"/>
  <c r="EG18" i="431"/>
  <c r="BK376" i="431"/>
  <c r="CI196" i="431"/>
  <c r="CJ196" i="431"/>
  <c r="AH155" i="431"/>
  <c r="AH202" i="431"/>
  <c r="AH215" i="431"/>
  <c r="AH169" i="431"/>
  <c r="AR176" i="431"/>
  <c r="AR223" i="431"/>
  <c r="AR210" i="431"/>
  <c r="AR183" i="431"/>
  <c r="DT223" i="431"/>
  <c r="DT210" i="431"/>
  <c r="EI215" i="431"/>
  <c r="ED223" i="431"/>
  <c r="ED202" i="431"/>
  <c r="CM36" i="431"/>
  <c r="O86" i="431"/>
  <c r="T87" i="431" s="1"/>
  <c r="AH103" i="431"/>
  <c r="AH135" i="431" s="1"/>
  <c r="AH81" i="431"/>
  <c r="BH148" i="431"/>
  <c r="DR170" i="431"/>
  <c r="DT170" i="431"/>
  <c r="DF177" i="431"/>
  <c r="DE177" i="431"/>
  <c r="CL176" i="431"/>
  <c r="CL183" i="431"/>
  <c r="DL117" i="431"/>
  <c r="DP118" i="431"/>
  <c r="P133" i="431"/>
  <c r="CZ148" i="431"/>
  <c r="ED148" i="431"/>
  <c r="BN154" i="431"/>
  <c r="CG163" i="431"/>
  <c r="DZ163" i="431"/>
  <c r="DM177" i="431"/>
  <c r="DO177" i="431"/>
  <c r="BW101" i="431"/>
  <c r="AK178" i="431"/>
  <c r="AP179" i="431" s="1"/>
  <c r="AQ18" i="431"/>
  <c r="BF18" i="431"/>
  <c r="BK18" i="431"/>
  <c r="BZ18" i="431"/>
  <c r="CT18" i="431"/>
  <c r="DD18" i="431"/>
  <c r="DN18" i="431"/>
  <c r="AO83" i="431"/>
  <c r="CW40" i="431"/>
  <c r="DW71" i="431"/>
  <c r="EG71" i="431"/>
  <c r="EE81" i="431"/>
  <c r="BM141" i="431"/>
  <c r="BN150" i="431"/>
  <c r="DV175" i="431"/>
  <c r="DU177" i="431"/>
  <c r="AW211" i="431"/>
  <c r="AY213" i="431"/>
  <c r="EK19" i="431"/>
  <c r="AT25" i="431"/>
  <c r="BD19" i="431"/>
  <c r="EA23" i="431"/>
  <c r="CB376" i="431"/>
  <c r="CB374" i="431"/>
  <c r="CL105" i="431"/>
  <c r="CL107" i="431" s="1"/>
  <c r="CL379" i="431"/>
  <c r="CL378" i="431"/>
  <c r="CL197" i="431"/>
  <c r="CN199" i="431" s="1"/>
  <c r="DF197" i="431"/>
  <c r="DF29" i="431"/>
  <c r="DF178" i="431"/>
  <c r="DF179" i="431" s="1"/>
  <c r="DF105" i="431"/>
  <c r="DF106" i="431" s="1"/>
  <c r="BS50" i="431"/>
  <c r="CE64" i="431"/>
  <c r="CE65" i="431" s="1"/>
  <c r="CH58" i="431"/>
  <c r="AG64" i="431"/>
  <c r="AL65" i="431" s="1"/>
  <c r="AG62" i="431"/>
  <c r="AT75" i="431"/>
  <c r="AX103" i="431"/>
  <c r="AX135" i="431" s="1"/>
  <c r="BC81" i="431"/>
  <c r="DN120" i="431"/>
  <c r="BY13" i="434" s="1"/>
  <c r="DN135" i="431"/>
  <c r="DS136" i="431" s="1"/>
  <c r="CC80" i="431"/>
  <c r="CH81" i="431" s="1"/>
  <c r="DS100" i="431"/>
  <c r="DS98" i="431"/>
  <c r="BL152" i="431"/>
  <c r="BT170" i="431"/>
  <c r="BW170" i="431"/>
  <c r="BL140" i="431"/>
  <c r="BL155" i="431"/>
  <c r="AH86" i="431"/>
  <c r="CZ85" i="431"/>
  <c r="Z80" i="431"/>
  <c r="AO80" i="431"/>
  <c r="CR80" i="431"/>
  <c r="CR81" i="431" s="1"/>
  <c r="EA260" i="431"/>
  <c r="FP257" i="431"/>
  <c r="CM100" i="431"/>
  <c r="DQ22" i="431"/>
  <c r="V186" i="431"/>
  <c r="CP62" i="431"/>
  <c r="N86" i="431"/>
  <c r="S87" i="431" s="1"/>
  <c r="AU84" i="431"/>
  <c r="BJ84" i="431"/>
  <c r="CS84" i="431"/>
  <c r="DW84" i="431"/>
  <c r="BT148" i="431"/>
  <c r="DB154" i="431"/>
  <c r="DY243" i="431"/>
  <c r="DY242" i="431" s="1"/>
  <c r="BS354" i="431"/>
  <c r="CM354" i="431"/>
  <c r="FP271" i="431"/>
  <c r="DV25" i="431"/>
  <c r="CP63" i="431"/>
  <c r="DQ50" i="431"/>
  <c r="DK54" i="431"/>
  <c r="BT63" i="431"/>
  <c r="BC71" i="431"/>
  <c r="CA86" i="431"/>
  <c r="CK84" i="431"/>
  <c r="DO86" i="431"/>
  <c r="DY86" i="431"/>
  <c r="ED87" i="431" s="1"/>
  <c r="T101" i="431"/>
  <c r="F138" i="431"/>
  <c r="BN143" i="431"/>
  <c r="J168" i="431"/>
  <c r="DP243" i="431"/>
  <c r="DP242" i="431" s="1"/>
  <c r="BR18" i="431"/>
  <c r="BD24" i="431"/>
  <c r="BI83" i="431"/>
  <c r="CH162" i="431"/>
  <c r="CH163" i="431" s="1"/>
  <c r="CE62" i="431"/>
  <c r="AY79" i="431"/>
  <c r="BI79" i="431"/>
  <c r="BX79" i="431"/>
  <c r="CC79" i="431"/>
  <c r="CW79" i="431"/>
  <c r="CY152" i="431"/>
  <c r="CO163" i="431"/>
  <c r="DI163" i="431"/>
  <c r="EC163" i="431"/>
  <c r="BD354" i="431"/>
  <c r="CB71" i="431"/>
  <c r="BW68" i="431"/>
  <c r="BW69" i="431" s="1"/>
  <c r="BW71" i="431"/>
  <c r="DY324" i="431"/>
  <c r="DY234" i="431"/>
  <c r="DY320" i="431"/>
  <c r="DY318" i="431"/>
  <c r="AK106" i="431"/>
  <c r="AK107" i="431"/>
  <c r="BC56" i="431"/>
  <c r="CW81" i="431"/>
  <c r="BU186" i="431"/>
  <c r="CP206" i="431"/>
  <c r="EJ198" i="431"/>
  <c r="AV60" i="431"/>
  <c r="AV96" i="431"/>
  <c r="AV173" i="431"/>
  <c r="CF68" i="431"/>
  <c r="CF69" i="431" s="1"/>
  <c r="CK71" i="431"/>
  <c r="CF71" i="431"/>
  <c r="AP86" i="431"/>
  <c r="AP103" i="431"/>
  <c r="AU104" i="431" s="1"/>
  <c r="AP81" i="431"/>
  <c r="CI103" i="431"/>
  <c r="CI107" i="431" s="1"/>
  <c r="CI81" i="431"/>
  <c r="CI86" i="431"/>
  <c r="AZ98" i="431"/>
  <c r="AU100" i="431"/>
  <c r="AU99" i="431"/>
  <c r="AU98" i="431"/>
  <c r="CS198" i="431"/>
  <c r="AP219" i="431"/>
  <c r="CU96" i="431"/>
  <c r="CU51" i="431"/>
  <c r="T136" i="431"/>
  <c r="O82" i="431"/>
  <c r="DG163" i="431"/>
  <c r="DZ34" i="431"/>
  <c r="DY34" i="431"/>
  <c r="ED33" i="431"/>
  <c r="BY180" i="431"/>
  <c r="BZ180" i="431"/>
  <c r="BY179" i="431"/>
  <c r="AU81" i="431"/>
  <c r="CD14" i="431"/>
  <c r="CD377" i="431"/>
  <c r="CD63" i="431"/>
  <c r="CD15" i="431"/>
  <c r="CD27" i="431" s="1"/>
  <c r="CD218" i="431"/>
  <c r="CD219" i="431" s="1"/>
  <c r="CD374" i="431"/>
  <c r="CD171" i="431"/>
  <c r="CD32" i="431"/>
  <c r="CD144" i="431"/>
  <c r="CD379" i="431"/>
  <c r="CD99" i="431"/>
  <c r="CD26" i="431"/>
  <c r="CD185" i="431"/>
  <c r="CD85" i="431"/>
  <c r="CD216" i="431"/>
  <c r="CD376" i="431"/>
  <c r="CD204" i="431"/>
  <c r="CE14" i="431"/>
  <c r="CD380" i="431"/>
  <c r="CD375" i="431"/>
  <c r="CD197" i="431"/>
  <c r="CI26" i="431"/>
  <c r="CN32" i="431"/>
  <c r="CN378" i="431"/>
  <c r="CN376" i="431"/>
  <c r="CN14" i="431"/>
  <c r="CN171" i="431"/>
  <c r="CN178" i="431"/>
  <c r="CN15" i="431"/>
  <c r="CN54" i="431"/>
  <c r="CN380" i="431"/>
  <c r="CN105" i="431"/>
  <c r="CS106" i="431" s="1"/>
  <c r="CO14" i="431"/>
  <c r="CN204" i="431"/>
  <c r="CO206" i="431" s="1"/>
  <c r="CN26" i="431"/>
  <c r="CN185" i="431"/>
  <c r="CS186" i="431" s="1"/>
  <c r="CN99" i="431"/>
  <c r="CS26" i="431"/>
  <c r="CN379" i="431"/>
  <c r="CN377" i="431"/>
  <c r="CN218" i="431"/>
  <c r="CN375" i="431"/>
  <c r="CN374" i="431"/>
  <c r="CN85" i="431"/>
  <c r="CN63" i="431"/>
  <c r="AM54" i="431"/>
  <c r="AM53" i="431"/>
  <c r="AM55" i="431"/>
  <c r="BB53" i="431"/>
  <c r="AW55" i="431"/>
  <c r="AW56" i="431" s="1"/>
  <c r="AW54" i="431"/>
  <c r="AW53" i="431"/>
  <c r="BF53" i="431"/>
  <c r="BK53" i="431"/>
  <c r="BF54" i="431"/>
  <c r="BF55" i="431"/>
  <c r="CL54" i="431"/>
  <c r="CL55" i="431"/>
  <c r="CL53" i="431"/>
  <c r="DK68" i="431"/>
  <c r="DP71" i="431"/>
  <c r="DK71" i="431"/>
  <c r="DZ71" i="431"/>
  <c r="DU68" i="431"/>
  <c r="DZ69" i="431" s="1"/>
  <c r="DU71" i="431"/>
  <c r="EE68" i="431"/>
  <c r="EE69" i="431" s="1"/>
  <c r="EE71" i="431"/>
  <c r="J134" i="431"/>
  <c r="J221" i="431"/>
  <c r="X103" i="431"/>
  <c r="X81" i="431"/>
  <c r="AC81" i="431"/>
  <c r="V100" i="431"/>
  <c r="V101" i="431" s="1"/>
  <c r="V99" i="431"/>
  <c r="V98" i="431"/>
  <c r="AD100" i="431"/>
  <c r="AI101" i="431" s="1"/>
  <c r="AD98" i="431"/>
  <c r="AD99" i="431"/>
  <c r="AN100" i="431"/>
  <c r="AN98" i="431"/>
  <c r="AN99" i="431"/>
  <c r="AV100" i="431"/>
  <c r="BA98" i="431"/>
  <c r="BY148" i="431"/>
  <c r="CD148" i="431"/>
  <c r="CK148" i="431"/>
  <c r="CP148" i="431"/>
  <c r="CY148" i="431"/>
  <c r="DD148" i="431"/>
  <c r="DI148" i="431"/>
  <c r="DN148" i="431"/>
  <c r="DS148" i="431"/>
  <c r="DX148" i="431"/>
  <c r="EH148" i="431"/>
  <c r="EC148" i="431"/>
  <c r="AW148" i="431"/>
  <c r="BB148" i="431"/>
  <c r="BO148" i="431"/>
  <c r="AS152" i="431"/>
  <c r="AU152" i="431"/>
  <c r="AS151" i="431"/>
  <c r="BK151" i="431"/>
  <c r="BF152" i="431"/>
  <c r="BF151" i="431"/>
  <c r="BG152" i="431"/>
  <c r="BP151" i="431"/>
  <c r="BQ152" i="431"/>
  <c r="BP152" i="431"/>
  <c r="CD151" i="431"/>
  <c r="CI151" i="431"/>
  <c r="EJ172" i="431"/>
  <c r="ET171" i="431"/>
  <c r="ET173" i="431" s="1"/>
  <c r="X18" i="431"/>
  <c r="AC18" i="431"/>
  <c r="BL18" i="431"/>
  <c r="BQ18" i="431"/>
  <c r="DX62" i="431"/>
  <c r="DS64" i="431"/>
  <c r="DS63" i="431"/>
  <c r="DS62" i="431"/>
  <c r="AF81" i="431"/>
  <c r="AK81" i="431"/>
  <c r="AF86" i="431"/>
  <c r="AF103" i="431"/>
  <c r="BZ103" i="431"/>
  <c r="BZ107" i="431" s="1"/>
  <c r="BZ108" i="431" s="1"/>
  <c r="CE81" i="431"/>
  <c r="BZ86" i="431"/>
  <c r="BZ81" i="431"/>
  <c r="DD103" i="431"/>
  <c r="DD81" i="431"/>
  <c r="DG80" i="431"/>
  <c r="DD86" i="431"/>
  <c r="DD87" i="431" s="1"/>
  <c r="DI81" i="431"/>
  <c r="AC100" i="431"/>
  <c r="AC101" i="431" s="1"/>
  <c r="AC98" i="431"/>
  <c r="AH98" i="431"/>
  <c r="AC99" i="431"/>
  <c r="AM100" i="431"/>
  <c r="AM101" i="431" s="1"/>
  <c r="AM98" i="431"/>
  <c r="AM99" i="431"/>
  <c r="AR98" i="431"/>
  <c r="EI187" i="431"/>
  <c r="EH186" i="431"/>
  <c r="CZ136" i="431"/>
  <c r="CZ82" i="431"/>
  <c r="CZ96" i="431"/>
  <c r="CD107" i="431"/>
  <c r="CI106" i="431"/>
  <c r="CT198" i="431"/>
  <c r="CO199" i="431"/>
  <c r="BZ102" i="431"/>
  <c r="CD101" i="431"/>
  <c r="CA66" i="431"/>
  <c r="CA65" i="431"/>
  <c r="DC126" i="431"/>
  <c r="DZ62" i="431"/>
  <c r="DZ63" i="431"/>
  <c r="DZ64" i="431"/>
  <c r="CO146" i="431"/>
  <c r="CS145" i="431"/>
  <c r="EJ145" i="431"/>
  <c r="EH187" i="431"/>
  <c r="CU60" i="431"/>
  <c r="AK56" i="431"/>
  <c r="CD126" i="431"/>
  <c r="CI127" i="431" s="1"/>
  <c r="CI30" i="431"/>
  <c r="BO106" i="431"/>
  <c r="BJ106" i="431"/>
  <c r="DY326" i="431"/>
  <c r="DL163" i="431"/>
  <c r="CO126" i="431"/>
  <c r="CT30" i="431"/>
  <c r="CA173" i="431"/>
  <c r="DB53" i="431"/>
  <c r="BC172" i="431"/>
  <c r="DR145" i="431"/>
  <c r="AH18" i="431"/>
  <c r="AM18" i="431"/>
  <c r="CU221" i="431"/>
  <c r="CA16" i="431"/>
  <c r="DP172" i="431"/>
  <c r="CL69" i="431"/>
  <c r="CG69" i="431"/>
  <c r="EH180" i="431"/>
  <c r="EH179" i="431"/>
  <c r="EG180" i="431"/>
  <c r="DD57" i="431"/>
  <c r="DH56" i="431"/>
  <c r="DP198" i="431"/>
  <c r="BP107" i="431"/>
  <c r="DQ185" i="431"/>
  <c r="DQ197" i="431"/>
  <c r="DQ379" i="431"/>
  <c r="DQ144" i="431"/>
  <c r="DQ15" i="431"/>
  <c r="DQ99" i="431"/>
  <c r="DQ29" i="431"/>
  <c r="DQ126" i="431" s="1"/>
  <c r="DQ374" i="431"/>
  <c r="DQ377" i="431"/>
  <c r="DQ378" i="431"/>
  <c r="DQ171" i="431"/>
  <c r="DQ32" i="431"/>
  <c r="DQ33" i="431" s="1"/>
  <c r="DQ216" i="431"/>
  <c r="DQ54" i="431"/>
  <c r="DZ186" i="431"/>
  <c r="DU34" i="431"/>
  <c r="DW34" i="431"/>
  <c r="BH56" i="431"/>
  <c r="CA135" i="431"/>
  <c r="DD27" i="431"/>
  <c r="ED106" i="431"/>
  <c r="BK104" i="431"/>
  <c r="BP104" i="431"/>
  <c r="BK135" i="431"/>
  <c r="DN205" i="431"/>
  <c r="DN206" i="431"/>
  <c r="BF135" i="431"/>
  <c r="BF104" i="431"/>
  <c r="BF107" i="431"/>
  <c r="AI172" i="431"/>
  <c r="DN198" i="431"/>
  <c r="DX33" i="431"/>
  <c r="CM81" i="431"/>
  <c r="EI27" i="431"/>
  <c r="BZ172" i="431"/>
  <c r="CE172" i="431"/>
  <c r="AW103" i="431"/>
  <c r="AW81" i="431"/>
  <c r="AW86" i="431"/>
  <c r="AA98" i="431"/>
  <c r="AF98" i="431"/>
  <c r="AA100" i="431"/>
  <c r="BJ99" i="431"/>
  <c r="BJ100" i="431"/>
  <c r="BO98" i="431"/>
  <c r="BT100" i="431"/>
  <c r="BT99" i="431"/>
  <c r="BY98" i="431"/>
  <c r="DQ85" i="431"/>
  <c r="AV65" i="431"/>
  <c r="BA65" i="431"/>
  <c r="BL135" i="431"/>
  <c r="BR63" i="431"/>
  <c r="BR64" i="431"/>
  <c r="BR62" i="431"/>
  <c r="BW62" i="431"/>
  <c r="CB63" i="431"/>
  <c r="CB64" i="431"/>
  <c r="CL63" i="431"/>
  <c r="CL64" i="431"/>
  <c r="CM64" i="431" s="1"/>
  <c r="CZ62" i="431"/>
  <c r="CU62" i="431"/>
  <c r="DM64" i="431"/>
  <c r="DR62" i="431"/>
  <c r="DM62" i="431"/>
  <c r="DH71" i="431"/>
  <c r="DC68" i="431"/>
  <c r="BB103" i="431"/>
  <c r="BB135" i="431" s="1"/>
  <c r="BB81" i="431"/>
  <c r="BG81" i="431"/>
  <c r="DF86" i="431"/>
  <c r="DF81" i="431"/>
  <c r="DF103" i="431"/>
  <c r="DF120" i="431" s="1"/>
  <c r="BQ13" i="434" s="1"/>
  <c r="S84" i="431"/>
  <c r="X84" i="431"/>
  <c r="AL85" i="431"/>
  <c r="AL86" i="431"/>
  <c r="AQ84" i="431"/>
  <c r="AL84" i="431"/>
  <c r="BA84" i="431"/>
  <c r="AV85" i="431"/>
  <c r="AV86" i="431"/>
  <c r="AV84" i="431"/>
  <c r="BF86" i="431"/>
  <c r="BK84" i="431"/>
  <c r="BF85" i="431"/>
  <c r="BP84" i="431"/>
  <c r="BU84" i="431"/>
  <c r="BZ85" i="431"/>
  <c r="CE84" i="431"/>
  <c r="CJ86" i="431"/>
  <c r="CK88" i="431" s="1"/>
  <c r="CO84" i="431"/>
  <c r="DI84" i="431"/>
  <c r="DD85" i="431"/>
  <c r="DX84" i="431"/>
  <c r="DX86" i="431"/>
  <c r="DX85" i="431"/>
  <c r="CQ163" i="431"/>
  <c r="CV163" i="431"/>
  <c r="CQ164" i="431"/>
  <c r="CS164" i="431"/>
  <c r="DF163" i="431"/>
  <c r="DC164" i="431"/>
  <c r="DM164" i="431"/>
  <c r="DK163" i="431"/>
  <c r="EE164" i="431"/>
  <c r="EJ163" i="431"/>
  <c r="EE163" i="431"/>
  <c r="AQ173" i="431"/>
  <c r="N100" i="431"/>
  <c r="S101" i="431" s="1"/>
  <c r="AW18" i="431"/>
  <c r="BG18" i="431"/>
  <c r="DA55" i="431"/>
  <c r="DA53" i="431"/>
  <c r="DF53" i="431"/>
  <c r="DA54" i="431"/>
  <c r="AA64" i="431"/>
  <c r="AA63" i="431"/>
  <c r="AF62" i="431"/>
  <c r="AI64" i="431"/>
  <c r="AN65" i="431" s="1"/>
  <c r="AN62" i="431"/>
  <c r="AI63" i="431"/>
  <c r="AI62" i="431"/>
  <c r="BB62" i="431"/>
  <c r="BG62" i="431"/>
  <c r="BB64" i="431"/>
  <c r="BK64" i="431"/>
  <c r="BK65" i="431" s="1"/>
  <c r="BK62" i="431"/>
  <c r="BK63" i="431"/>
  <c r="BP62" i="431"/>
  <c r="T186" i="431"/>
  <c r="AI205" i="431"/>
  <c r="AN103" i="431"/>
  <c r="AN86" i="431"/>
  <c r="AR84" i="431"/>
  <c r="AR86" i="431"/>
  <c r="CP84" i="431"/>
  <c r="DJ85" i="431"/>
  <c r="DJ86" i="431"/>
  <c r="S99" i="431"/>
  <c r="X98" i="431"/>
  <c r="BC100" i="431"/>
  <c r="BH101" i="431" s="1"/>
  <c r="BC99" i="431"/>
  <c r="CI163" i="431"/>
  <c r="CD164" i="431"/>
  <c r="CE164" i="431"/>
  <c r="CI173" i="431"/>
  <c r="BP192" i="431"/>
  <c r="AD198" i="431"/>
  <c r="T179" i="431"/>
  <c r="AS378" i="431"/>
  <c r="AS218" i="431"/>
  <c r="AS216" i="431"/>
  <c r="AS380" i="431"/>
  <c r="AS105" i="431"/>
  <c r="AS106" i="431" s="1"/>
  <c r="AX26" i="431"/>
  <c r="AU14" i="431"/>
  <c r="AS144" i="431"/>
  <c r="AS146" i="431" s="1"/>
  <c r="AS15" i="431"/>
  <c r="AS197" i="431"/>
  <c r="AS171" i="431"/>
  <c r="AS204" i="431"/>
  <c r="AS205" i="431" s="1"/>
  <c r="BC204" i="431"/>
  <c r="BC378" i="431"/>
  <c r="BC379" i="431"/>
  <c r="BC15" i="431"/>
  <c r="BE16" i="431" s="1"/>
  <c r="BC216" i="431"/>
  <c r="BC377" i="431"/>
  <c r="BC178" i="431"/>
  <c r="BC197" i="431"/>
  <c r="BC374" i="431"/>
  <c r="BC376" i="431"/>
  <c r="BM379" i="431"/>
  <c r="BM197" i="431"/>
  <c r="BM14" i="431"/>
  <c r="BM171" i="431"/>
  <c r="BO173" i="431" s="1"/>
  <c r="BM54" i="431"/>
  <c r="BM216" i="431"/>
  <c r="BM217" i="431" s="1"/>
  <c r="BM178" i="431"/>
  <c r="BO180" i="431" s="1"/>
  <c r="BM204" i="431"/>
  <c r="BO14" i="431"/>
  <c r="BM105" i="431"/>
  <c r="BM380" i="431"/>
  <c r="BM99" i="431"/>
  <c r="BW26" i="431"/>
  <c r="BW374" i="431"/>
  <c r="BW99" i="431"/>
  <c r="BW375" i="431"/>
  <c r="CQ105" i="431"/>
  <c r="CQ99" i="431"/>
  <c r="CQ377" i="431"/>
  <c r="CQ26" i="431"/>
  <c r="CQ32" i="431"/>
  <c r="CQ29" i="431"/>
  <c r="CQ144" i="431"/>
  <c r="R53" i="431"/>
  <c r="M55" i="431"/>
  <c r="AQ55" i="431"/>
  <c r="AV56" i="431" s="1"/>
  <c r="AV53" i="431"/>
  <c r="AQ53" i="431"/>
  <c r="AQ54" i="431"/>
  <c r="BA55" i="431"/>
  <c r="BA56" i="431" s="1"/>
  <c r="BA53" i="431"/>
  <c r="BJ55" i="431"/>
  <c r="BJ56" i="431" s="1"/>
  <c r="BJ54" i="431"/>
  <c r="DW55" i="431"/>
  <c r="EB53" i="431"/>
  <c r="EG55" i="431"/>
  <c r="EK55" i="431" s="1"/>
  <c r="EG54" i="431"/>
  <c r="S64" i="431"/>
  <c r="U64" i="431" s="1"/>
  <c r="S63" i="431"/>
  <c r="AK63" i="431"/>
  <c r="BC63" i="431"/>
  <c r="CX103" i="431"/>
  <c r="DC81" i="431"/>
  <c r="CX81" i="431"/>
  <c r="EI84" i="431"/>
  <c r="EI85" i="431"/>
  <c r="R14" i="431"/>
  <c r="Q218" i="431"/>
  <c r="AA378" i="431"/>
  <c r="AA54" i="431"/>
  <c r="AA375" i="431"/>
  <c r="AB14" i="431"/>
  <c r="AA374" i="431"/>
  <c r="AA178" i="431"/>
  <c r="AA179" i="431" s="1"/>
  <c r="AA105" i="431"/>
  <c r="AA106" i="431" s="1"/>
  <c r="AA185" i="431"/>
  <c r="AA186" i="431" s="1"/>
  <c r="AA377" i="431"/>
  <c r="AA26" i="431"/>
  <c r="AA204" i="431"/>
  <c r="AA205" i="431" s="1"/>
  <c r="AA216" i="431"/>
  <c r="AK26" i="431"/>
  <c r="AK54" i="431"/>
  <c r="AK378" i="431"/>
  <c r="AK375" i="431"/>
  <c r="AK380" i="431"/>
  <c r="AK15" i="431"/>
  <c r="AK376" i="431"/>
  <c r="AK185" i="431"/>
  <c r="AP186" i="431" s="1"/>
  <c r="AP26" i="431"/>
  <c r="DJ32" i="431"/>
  <c r="DJ379" i="431"/>
  <c r="DJ380" i="431"/>
  <c r="DJ185" i="431"/>
  <c r="DK187" i="431" s="1"/>
  <c r="DJ178" i="431"/>
  <c r="DJ63" i="431"/>
  <c r="DJ15" i="431"/>
  <c r="DO26" i="431"/>
  <c r="DT216" i="431"/>
  <c r="DT54" i="431"/>
  <c r="DT377" i="431"/>
  <c r="DT218" i="431"/>
  <c r="DT380" i="431"/>
  <c r="DT15" i="431"/>
  <c r="DT204" i="431"/>
  <c r="DT185" i="431"/>
  <c r="DU187" i="431" s="1"/>
  <c r="DT379" i="431"/>
  <c r="DT178" i="431"/>
  <c r="DY179" i="431" s="1"/>
  <c r="DT105" i="431"/>
  <c r="EB375" i="431"/>
  <c r="EB29" i="431"/>
  <c r="AR53" i="431"/>
  <c r="CG55" i="431"/>
  <c r="CG53" i="431"/>
  <c r="CG54" i="431"/>
  <c r="CQ55" i="431"/>
  <c r="CQ54" i="431"/>
  <c r="CQ53" i="431"/>
  <c r="BF71" i="431"/>
  <c r="BF68" i="431"/>
  <c r="CN81" i="431"/>
  <c r="CS81" i="431"/>
  <c r="CN86" i="431"/>
  <c r="CJ151" i="431"/>
  <c r="CK152" i="431"/>
  <c r="FJ152" i="431" s="1"/>
  <c r="CO151" i="431"/>
  <c r="DH151" i="431"/>
  <c r="DM151" i="431"/>
  <c r="DS152" i="431"/>
  <c r="DR151" i="431"/>
  <c r="EB151" i="431"/>
  <c r="Q198" i="431"/>
  <c r="CO198" i="431"/>
  <c r="CE18" i="431"/>
  <c r="CJ18" i="431"/>
  <c r="EB68" i="431"/>
  <c r="EB71" i="431"/>
  <c r="CB98" i="431"/>
  <c r="CB100" i="431"/>
  <c r="CS98" i="431"/>
  <c r="CS100" i="431"/>
  <c r="DW98" i="431"/>
  <c r="DW99" i="431"/>
  <c r="DW100" i="431"/>
  <c r="EG98" i="431"/>
  <c r="CE145" i="431"/>
  <c r="AF204" i="431"/>
  <c r="CQ66" i="431"/>
  <c r="CL178" i="431"/>
  <c r="CL179" i="431" s="1"/>
  <c r="BR377" i="431"/>
  <c r="Z62" i="431"/>
  <c r="BK380" i="431"/>
  <c r="BK144" i="431"/>
  <c r="BP145" i="431" s="1"/>
  <c r="BK218" i="431"/>
  <c r="BK171" i="431"/>
  <c r="BK173" i="431" s="1"/>
  <c r="BK216" i="431"/>
  <c r="BP217" i="431" s="1"/>
  <c r="BU374" i="431"/>
  <c r="BU378" i="431"/>
  <c r="BL53" i="431"/>
  <c r="BG55" i="431"/>
  <c r="BH64" i="431"/>
  <c r="BH63" i="431"/>
  <c r="AC103" i="431"/>
  <c r="AC86" i="431"/>
  <c r="CL15" i="431"/>
  <c r="CL16" i="431" s="1"/>
  <c r="CL375" i="431"/>
  <c r="BT18" i="431"/>
  <c r="BY18" i="431"/>
  <c r="CF218" i="431"/>
  <c r="CF32" i="431"/>
  <c r="CG34" i="431" s="1"/>
  <c r="DR105" i="431"/>
  <c r="DR204" i="431"/>
  <c r="DR15" i="431"/>
  <c r="DR197" i="431"/>
  <c r="DW198" i="431" s="1"/>
  <c r="DR171" i="431"/>
  <c r="DR172" i="431" s="1"/>
  <c r="DR218" i="431"/>
  <c r="DY171" i="431"/>
  <c r="DY374" i="431"/>
  <c r="EI377" i="431"/>
  <c r="EI171" i="431"/>
  <c r="EI374" i="431"/>
  <c r="EI144" i="431"/>
  <c r="EI375" i="431"/>
  <c r="EI105" i="431"/>
  <c r="EI32" i="431"/>
  <c r="EI216" i="431"/>
  <c r="AZ55" i="431"/>
  <c r="AZ53" i="431"/>
  <c r="AZ54" i="431"/>
  <c r="BU71" i="431"/>
  <c r="V86" i="431"/>
  <c r="V103" i="431"/>
  <c r="V107" i="431" s="1"/>
  <c r="EG84" i="431"/>
  <c r="AS98" i="431"/>
  <c r="DB46" i="431"/>
  <c r="BE64" i="431"/>
  <c r="BE63" i="431"/>
  <c r="BJ68" i="431"/>
  <c r="BO69" i="431" s="1"/>
  <c r="BJ71" i="431"/>
  <c r="EH164" i="431"/>
  <c r="Q81" i="431"/>
  <c r="BY103" i="431"/>
  <c r="DA152" i="431"/>
  <c r="EG165" i="431"/>
  <c r="CK163" i="431"/>
  <c r="CK164" i="431"/>
  <c r="FJ164" i="431" s="1"/>
  <c r="AP106" i="431"/>
  <c r="CY179" i="431"/>
  <c r="V26" i="431"/>
  <c r="V15" i="431"/>
  <c r="AX376" i="431"/>
  <c r="AX204" i="431"/>
  <c r="BH374" i="431"/>
  <c r="BH379" i="431"/>
  <c r="BH185" i="431"/>
  <c r="BH186" i="431" s="1"/>
  <c r="BH105" i="431"/>
  <c r="BR191" i="431"/>
  <c r="BW192" i="431" s="1"/>
  <c r="BR105" i="431"/>
  <c r="BR216" i="431"/>
  <c r="BR144" i="431"/>
  <c r="BT146" i="431" s="1"/>
  <c r="BR380" i="431"/>
  <c r="BR204" i="431"/>
  <c r="CL374" i="431"/>
  <c r="CL32" i="431"/>
  <c r="CL218" i="431"/>
  <c r="CL219" i="431" s="1"/>
  <c r="CL204" i="431"/>
  <c r="CL29" i="431"/>
  <c r="CN31" i="431" s="1"/>
  <c r="CL216" i="431"/>
  <c r="CL217" i="431" s="1"/>
  <c r="CL380" i="431"/>
  <c r="CL185" i="431"/>
  <c r="CL376" i="431"/>
  <c r="CL144" i="431"/>
  <c r="CV32" i="431"/>
  <c r="CV34" i="431" s="1"/>
  <c r="CV63" i="431"/>
  <c r="BO53" i="431"/>
  <c r="CT71" i="431"/>
  <c r="CO68" i="431"/>
  <c r="EB100" i="431"/>
  <c r="EG101" i="431" s="1"/>
  <c r="EB99" i="431"/>
  <c r="EB98" i="431"/>
  <c r="AQ63" i="431"/>
  <c r="BJ62" i="431"/>
  <c r="BH81" i="431"/>
  <c r="DI152" i="431"/>
  <c r="CA164" i="431"/>
  <c r="CO148" i="431"/>
  <c r="CT151" i="431"/>
  <c r="DD152" i="431"/>
  <c r="DX152" i="431"/>
  <c r="AA18" i="431"/>
  <c r="EU25" i="431"/>
  <c r="CZ71" i="431"/>
  <c r="AS71" i="431"/>
  <c r="BL86" i="431"/>
  <c r="BQ87" i="431" s="1"/>
  <c r="CU151" i="431"/>
  <c r="BV81" i="431"/>
  <c r="X86" i="431"/>
  <c r="X87" i="431" s="1"/>
  <c r="AV98" i="431"/>
  <c r="BF98" i="431"/>
  <c r="DK164" i="431"/>
  <c r="DB272" i="431"/>
  <c r="CF64" i="431"/>
  <c r="CF63" i="431"/>
  <c r="CF62" i="431"/>
  <c r="CK62" i="431"/>
  <c r="EC114" i="431"/>
  <c r="EG34" i="431"/>
  <c r="CP101" i="431"/>
  <c r="CK102" i="431"/>
  <c r="CE195" i="431"/>
  <c r="CE216" i="431"/>
  <c r="CE202" i="431"/>
  <c r="CE215" i="431"/>
  <c r="CE210" i="431"/>
  <c r="CE176" i="431"/>
  <c r="CE183" i="431"/>
  <c r="CE155" i="431"/>
  <c r="CE140" i="431"/>
  <c r="CE223" i="431"/>
  <c r="CJ215" i="431"/>
  <c r="CE169" i="431"/>
  <c r="CE218" i="431"/>
  <c r="CG62" i="431"/>
  <c r="CL62" i="431"/>
  <c r="CG64" i="431"/>
  <c r="CI66" i="431" s="1"/>
  <c r="CG63" i="431"/>
  <c r="DS141" i="431"/>
  <c r="EA139" i="431"/>
  <c r="DV150" i="431"/>
  <c r="DT141" i="431"/>
  <c r="DR141" i="431"/>
  <c r="DV147" i="431"/>
  <c r="DU141" i="431"/>
  <c r="DV139" i="431"/>
  <c r="Y194" i="431"/>
  <c r="T197" i="431"/>
  <c r="U193" i="431"/>
  <c r="T196" i="431" s="1"/>
  <c r="T214" i="431"/>
  <c r="T195" i="431" s="1"/>
  <c r="T194" i="431"/>
  <c r="AM169" i="431"/>
  <c r="AM202" i="431"/>
  <c r="AM195" i="431"/>
  <c r="AM140" i="431"/>
  <c r="AM218" i="431"/>
  <c r="AM216" i="431"/>
  <c r="AM215" i="431"/>
  <c r="AM210" i="431"/>
  <c r="AM183" i="431"/>
  <c r="AR215" i="431"/>
  <c r="AM155" i="431"/>
  <c r="AM223" i="431"/>
  <c r="AM176" i="431"/>
  <c r="AD236" i="431"/>
  <c r="BU56" i="431"/>
  <c r="BZ56" i="431"/>
  <c r="BC145" i="431"/>
  <c r="W173" i="431"/>
  <c r="DW221" i="431"/>
  <c r="DW82" i="431"/>
  <c r="DW96" i="431"/>
  <c r="DW60" i="431"/>
  <c r="DW136" i="431"/>
  <c r="DW51" i="431"/>
  <c r="BJ172" i="431"/>
  <c r="BO172" i="431"/>
  <c r="BJ27" i="431"/>
  <c r="BE27" i="431"/>
  <c r="BF16" i="431"/>
  <c r="BE173" i="431"/>
  <c r="BF173" i="431"/>
  <c r="V198" i="431"/>
  <c r="DR221" i="431"/>
  <c r="DR60" i="431"/>
  <c r="DR51" i="431"/>
  <c r="DR82" i="431"/>
  <c r="DR96" i="431"/>
  <c r="BS202" i="431"/>
  <c r="BS210" i="431"/>
  <c r="BS140" i="431"/>
  <c r="BS176" i="431"/>
  <c r="EH82" i="431"/>
  <c r="EH221" i="431"/>
  <c r="EH96" i="431"/>
  <c r="EH60" i="431"/>
  <c r="EH51" i="431"/>
  <c r="EH136" i="431"/>
  <c r="BJ179" i="431"/>
  <c r="BO179" i="431"/>
  <c r="BE106" i="431"/>
  <c r="BE107" i="431"/>
  <c r="AB101" i="431"/>
  <c r="AG101" i="431"/>
  <c r="DA272" i="431"/>
  <c r="CV272" i="431"/>
  <c r="DP221" i="431"/>
  <c r="DP60" i="431"/>
  <c r="DP51" i="431"/>
  <c r="DP82" i="431"/>
  <c r="DC66" i="431"/>
  <c r="DH65" i="431"/>
  <c r="DD66" i="431"/>
  <c r="CK56" i="431"/>
  <c r="EG102" i="431"/>
  <c r="EJ87" i="431"/>
  <c r="EJ101" i="431"/>
  <c r="BY64" i="431"/>
  <c r="BY63" i="431"/>
  <c r="CD62" i="431"/>
  <c r="BY62" i="431"/>
  <c r="AG224" i="431"/>
  <c r="AW202" i="431"/>
  <c r="AW183" i="431"/>
  <c r="BB215" i="431"/>
  <c r="AW215" i="431"/>
  <c r="AW210" i="431"/>
  <c r="AW223" i="431"/>
  <c r="AW216" i="431"/>
  <c r="AW195" i="431"/>
  <c r="AW218" i="431"/>
  <c r="AW155" i="431"/>
  <c r="AW169" i="431"/>
  <c r="AW176" i="431"/>
  <c r="AW140" i="431"/>
  <c r="BX259" i="431"/>
  <c r="BT267" i="431"/>
  <c r="BT258" i="431"/>
  <c r="BK187" i="431"/>
  <c r="BJ186" i="431"/>
  <c r="BO186" i="431"/>
  <c r="BE186" i="431"/>
  <c r="BF187" i="431"/>
  <c r="CW100" i="431"/>
  <c r="CW98" i="431"/>
  <c r="DB98" i="431"/>
  <c r="DO136" i="431"/>
  <c r="DT136" i="431"/>
  <c r="DO60" i="431"/>
  <c r="DO221" i="431"/>
  <c r="DO82" i="431"/>
  <c r="DO51" i="431"/>
  <c r="CS30" i="431"/>
  <c r="CN30" i="431"/>
  <c r="DM102" i="431"/>
  <c r="DK102" i="431"/>
  <c r="AM221" i="431"/>
  <c r="DT45" i="431"/>
  <c r="DT36" i="431"/>
  <c r="DV35" i="431"/>
  <c r="DT29" i="431"/>
  <c r="DY36" i="431"/>
  <c r="BI50" i="431"/>
  <c r="BN50" i="431"/>
  <c r="DJ177" i="431"/>
  <c r="DQ175" i="431"/>
  <c r="DK177" i="431"/>
  <c r="DI177" i="431"/>
  <c r="DH177" i="431"/>
  <c r="DL214" i="431"/>
  <c r="DL175" i="431"/>
  <c r="DL178" i="431"/>
  <c r="DZ198" i="431"/>
  <c r="EE198" i="431"/>
  <c r="DZ199" i="431"/>
  <c r="CD31" i="431"/>
  <c r="CE31" i="431"/>
  <c r="BU187" i="431"/>
  <c r="BY186" i="431"/>
  <c r="EH87" i="431"/>
  <c r="BQ135" i="431"/>
  <c r="BQ104" i="431"/>
  <c r="AK173" i="431"/>
  <c r="AL173" i="431"/>
  <c r="BU173" i="431"/>
  <c r="CD234" i="431"/>
  <c r="W376" i="431"/>
  <c r="W14" i="431"/>
  <c r="W54" i="431"/>
  <c r="W185" i="431"/>
  <c r="W178" i="431"/>
  <c r="AB26" i="431"/>
  <c r="W375" i="431"/>
  <c r="W377" i="431"/>
  <c r="W204" i="431"/>
  <c r="W105" i="431"/>
  <c r="W106" i="431" s="1"/>
  <c r="W15" i="431"/>
  <c r="W26" i="431"/>
  <c r="W378" i="431"/>
  <c r="X14" i="431"/>
  <c r="W218" i="431"/>
  <c r="W85" i="431"/>
  <c r="W374" i="431"/>
  <c r="W379" i="431"/>
  <c r="W63" i="431"/>
  <c r="W216" i="431"/>
  <c r="W99" i="431"/>
  <c r="W380" i="431"/>
  <c r="W197" i="431"/>
  <c r="CJ55" i="431"/>
  <c r="CO50" i="431"/>
  <c r="CJ50" i="431"/>
  <c r="CJ103" i="431"/>
  <c r="CM49" i="431"/>
  <c r="Q55" i="431"/>
  <c r="Q54" i="431"/>
  <c r="Q53" i="431"/>
  <c r="BQ63" i="431"/>
  <c r="BQ64" i="431"/>
  <c r="BV62" i="431"/>
  <c r="BQ62" i="431"/>
  <c r="K193" i="431"/>
  <c r="I214" i="431"/>
  <c r="N194" i="431"/>
  <c r="I194" i="431"/>
  <c r="DX326" i="431"/>
  <c r="DS96" i="431"/>
  <c r="DS51" i="431"/>
  <c r="DS60" i="431"/>
  <c r="DS221" i="431"/>
  <c r="DZ179" i="431"/>
  <c r="EE179" i="431"/>
  <c r="DP206" i="431"/>
  <c r="DP205" i="431"/>
  <c r="DU205" i="431"/>
  <c r="CD179" i="431"/>
  <c r="CE180" i="431"/>
  <c r="DX104" i="431"/>
  <c r="BU225" i="431"/>
  <c r="BU234" i="431"/>
  <c r="V53" i="431"/>
  <c r="DP101" i="431"/>
  <c r="DP102" i="431"/>
  <c r="CY198" i="431"/>
  <c r="DV50" i="431"/>
  <c r="BO62" i="431"/>
  <c r="BJ64" i="431"/>
  <c r="BJ63" i="431"/>
  <c r="CJ66" i="431"/>
  <c r="CQ139" i="431"/>
  <c r="CQ214" i="431"/>
  <c r="CQ147" i="431"/>
  <c r="CV139" i="431"/>
  <c r="CQ150" i="431"/>
  <c r="BY177" i="431"/>
  <c r="BZ177" i="431"/>
  <c r="CA177" i="431"/>
  <c r="CB177" i="431"/>
  <c r="CH175" i="431"/>
  <c r="CC175" i="431"/>
  <c r="CC214" i="431"/>
  <c r="CO31" i="431"/>
  <c r="CN221" i="431"/>
  <c r="CN82" i="431"/>
  <c r="CN96" i="431"/>
  <c r="CN51" i="431"/>
  <c r="CN60" i="431"/>
  <c r="DD145" i="431"/>
  <c r="CZ146" i="431"/>
  <c r="CY145" i="431"/>
  <c r="CN126" i="431"/>
  <c r="DS56" i="431"/>
  <c r="DN56" i="431"/>
  <c r="AP56" i="431"/>
  <c r="EE145" i="431"/>
  <c r="DZ146" i="431"/>
  <c r="AD179" i="431"/>
  <c r="AI179" i="431"/>
  <c r="CP87" i="431"/>
  <c r="DM120" i="431"/>
  <c r="BX13" i="434" s="1"/>
  <c r="DM135" i="431"/>
  <c r="DR136" i="431" s="1"/>
  <c r="DM104" i="431"/>
  <c r="AB60" i="431"/>
  <c r="CM147" i="431"/>
  <c r="CM148" i="431" s="1"/>
  <c r="CL141" i="431"/>
  <c r="CJ141" i="431"/>
  <c r="CK141" i="431"/>
  <c r="CI141" i="431"/>
  <c r="CM214" i="431"/>
  <c r="CM140" i="431" s="1"/>
  <c r="M135" i="431"/>
  <c r="M107" i="431"/>
  <c r="M104" i="431"/>
  <c r="N135" i="431"/>
  <c r="BY16" i="431"/>
  <c r="BZ16" i="431"/>
  <c r="BY27" i="431"/>
  <c r="EC186" i="431"/>
  <c r="DN16" i="431"/>
  <c r="BP101" i="431"/>
  <c r="AM106" i="431"/>
  <c r="AU135" i="431"/>
  <c r="AZ104" i="431"/>
  <c r="U62" i="431"/>
  <c r="DY145" i="431"/>
  <c r="ED145" i="431"/>
  <c r="DY146" i="431"/>
  <c r="CP146" i="431"/>
  <c r="R106" i="431"/>
  <c r="CT56" i="431"/>
  <c r="CY56" i="431"/>
  <c r="CW55" i="431"/>
  <c r="W135" i="431"/>
  <c r="BV56" i="431"/>
  <c r="BO187" i="431"/>
  <c r="BP187" i="431"/>
  <c r="DN146" i="431"/>
  <c r="AP146" i="431"/>
  <c r="AN146" i="431"/>
  <c r="DK126" i="431"/>
  <c r="CS126" i="431"/>
  <c r="CT31" i="431"/>
  <c r="CU56" i="431"/>
  <c r="DR31" i="431"/>
  <c r="DP126" i="431"/>
  <c r="DP30" i="431"/>
  <c r="DU186" i="431"/>
  <c r="DP186" i="431"/>
  <c r="CN120" i="431"/>
  <c r="AY13" i="434" s="1"/>
  <c r="CS104" i="431"/>
  <c r="O107" i="431"/>
  <c r="T106" i="431"/>
  <c r="DC120" i="431"/>
  <c r="BN13" i="434" s="1"/>
  <c r="DC135" i="431"/>
  <c r="DH104" i="431"/>
  <c r="DW104" i="431"/>
  <c r="DW107" i="431"/>
  <c r="DT88" i="431"/>
  <c r="DS87" i="431"/>
  <c r="CK107" i="431"/>
  <c r="CK135" i="431"/>
  <c r="AW180" i="431"/>
  <c r="DR66" i="431"/>
  <c r="DP65" i="431"/>
  <c r="CX205" i="431"/>
  <c r="DC205" i="431"/>
  <c r="O221" i="431"/>
  <c r="O136" i="431"/>
  <c r="O96" i="431"/>
  <c r="O51" i="431"/>
  <c r="CZ65" i="431"/>
  <c r="CU66" i="431"/>
  <c r="DH30" i="431"/>
  <c r="CS206" i="431"/>
  <c r="CT206" i="431"/>
  <c r="DY31" i="431"/>
  <c r="ED198" i="431"/>
  <c r="BG186" i="431"/>
  <c r="BG187" i="431"/>
  <c r="EG16" i="431"/>
  <c r="EE109" i="431"/>
  <c r="DY225" i="431"/>
  <c r="DY322" i="431"/>
  <c r="AT148" i="431"/>
  <c r="AY148" i="431"/>
  <c r="EJ135" i="431"/>
  <c r="EO136" i="431" s="1"/>
  <c r="CI34" i="431"/>
  <c r="CG33" i="431"/>
  <c r="CB27" i="431"/>
  <c r="K147" i="431"/>
  <c r="DM217" i="431"/>
  <c r="DW179" i="431"/>
  <c r="DW180" i="431"/>
  <c r="AB107" i="431"/>
  <c r="BY206" i="431"/>
  <c r="DM173" i="431"/>
  <c r="EG65" i="431"/>
  <c r="DL376" i="431"/>
  <c r="DL379" i="431"/>
  <c r="DL29" i="431"/>
  <c r="DL15" i="431"/>
  <c r="DL197" i="431"/>
  <c r="DN186" i="431"/>
  <c r="EE31" i="431"/>
  <c r="CI223" i="431"/>
  <c r="CI155" i="431"/>
  <c r="CI215" i="431"/>
  <c r="CI218" i="431"/>
  <c r="CN215" i="431"/>
  <c r="DD173" i="431"/>
  <c r="CZ66" i="431"/>
  <c r="B225" i="431"/>
  <c r="EE46" i="431"/>
  <c r="CT145" i="431"/>
  <c r="AU205" i="431"/>
  <c r="DL63" i="431"/>
  <c r="DQ62" i="431"/>
  <c r="AE139" i="431"/>
  <c r="X141" i="431"/>
  <c r="Z147" i="431"/>
  <c r="W141" i="431"/>
  <c r="Z214" i="431"/>
  <c r="CA206" i="431"/>
  <c r="V205" i="431"/>
  <c r="CH62" i="431"/>
  <c r="CM62" i="431"/>
  <c r="EK36" i="431"/>
  <c r="EF36" i="431"/>
  <c r="AE103" i="431"/>
  <c r="AL27" i="431"/>
  <c r="AM16" i="431"/>
  <c r="AL135" i="431"/>
  <c r="AQ104" i="431"/>
  <c r="DG68" i="431"/>
  <c r="CB215" i="431"/>
  <c r="BW169" i="431"/>
  <c r="BW190" i="431"/>
  <c r="BW216" i="431"/>
  <c r="BF106" i="431"/>
  <c r="BA107" i="431"/>
  <c r="CG224" i="431"/>
  <c r="CL224" i="431"/>
  <c r="CT187" i="431"/>
  <c r="CU187" i="431"/>
  <c r="CT186" i="431"/>
  <c r="EE57" i="431"/>
  <c r="EI56" i="431"/>
  <c r="ED56" i="431"/>
  <c r="CK173" i="431"/>
  <c r="BI210" i="431"/>
  <c r="AI186" i="431"/>
  <c r="AD186" i="431"/>
  <c r="CY206" i="431"/>
  <c r="CY205" i="431"/>
  <c r="DK116" i="431"/>
  <c r="BV11" i="434" s="1"/>
  <c r="DL115" i="431"/>
  <c r="DN107" i="431"/>
  <c r="BV205" i="431"/>
  <c r="EK70" i="431"/>
  <c r="EP71" i="431" s="1"/>
  <c r="EK79" i="431"/>
  <c r="EJ68" i="431"/>
  <c r="EO69" i="431" s="1"/>
  <c r="EJ71" i="431"/>
  <c r="M218" i="431"/>
  <c r="DK66" i="431"/>
  <c r="AJ52" i="431"/>
  <c r="AJ21" i="431"/>
  <c r="DL24" i="431"/>
  <c r="DG5" i="431"/>
  <c r="DQ25" i="431"/>
  <c r="DL25" i="431"/>
  <c r="DL83" i="431"/>
  <c r="DL5" i="431"/>
  <c r="DV19" i="431"/>
  <c r="EA20" i="431"/>
  <c r="EA13" i="431"/>
  <c r="EA178" i="431" s="1"/>
  <c r="EF52" i="431"/>
  <c r="EF5" i="431"/>
  <c r="EK21" i="431"/>
  <c r="X63" i="431"/>
  <c r="X178" i="431"/>
  <c r="X379" i="431"/>
  <c r="X374" i="431"/>
  <c r="X105" i="431"/>
  <c r="X204" i="431"/>
  <c r="X378" i="431"/>
  <c r="X15" i="431"/>
  <c r="X376" i="431"/>
  <c r="X171" i="431"/>
  <c r="X54" i="431"/>
  <c r="X375" i="431"/>
  <c r="X185" i="431"/>
  <c r="X26" i="431"/>
  <c r="X99" i="431"/>
  <c r="X380" i="431"/>
  <c r="BA218" i="431"/>
  <c r="BA63" i="431"/>
  <c r="BA379" i="431"/>
  <c r="BA204" i="431"/>
  <c r="BA377" i="431"/>
  <c r="BA185" i="431"/>
  <c r="BF186" i="431" s="1"/>
  <c r="BA15" i="431"/>
  <c r="BA99" i="431"/>
  <c r="BB14" i="431"/>
  <c r="BA197" i="431"/>
  <c r="BA378" i="431"/>
  <c r="BA26" i="431"/>
  <c r="BA178" i="431"/>
  <c r="BA144" i="431"/>
  <c r="BA14" i="431"/>
  <c r="BA380" i="431"/>
  <c r="BA85" i="431"/>
  <c r="EB380" i="431"/>
  <c r="EB144" i="431"/>
  <c r="EB105" i="431"/>
  <c r="EB376" i="431"/>
  <c r="EB378" i="431"/>
  <c r="EB85" i="431"/>
  <c r="EB32" i="431"/>
  <c r="EG33" i="431" s="1"/>
  <c r="EG26" i="431"/>
  <c r="EB204" i="431"/>
  <c r="EB218" i="431"/>
  <c r="EB63" i="431"/>
  <c r="EB178" i="431"/>
  <c r="EB216" i="431"/>
  <c r="EB15" i="431"/>
  <c r="EG27" i="431" s="1"/>
  <c r="EB374" i="431"/>
  <c r="EB379" i="431"/>
  <c r="EB185" i="431"/>
  <c r="EB171" i="431"/>
  <c r="EB54" i="431"/>
  <c r="EB26" i="431"/>
  <c r="EB197" i="431"/>
  <c r="EB377" i="431"/>
  <c r="DE46" i="431"/>
  <c r="DJ46" i="431"/>
  <c r="AE50" i="431"/>
  <c r="Z50" i="431"/>
  <c r="CS50" i="431"/>
  <c r="CN55" i="431"/>
  <c r="EA50" i="431"/>
  <c r="BX58" i="431"/>
  <c r="BW103" i="431"/>
  <c r="BW59" i="431"/>
  <c r="BW64" i="431"/>
  <c r="CU53" i="431"/>
  <c r="CZ53" i="431"/>
  <c r="EK59" i="431"/>
  <c r="EF59" i="431"/>
  <c r="AS64" i="431"/>
  <c r="AS62" i="431"/>
  <c r="AS63" i="431"/>
  <c r="AX62" i="431"/>
  <c r="CL88" i="431"/>
  <c r="BL107" i="431"/>
  <c r="BQ106" i="431"/>
  <c r="DU297" i="431"/>
  <c r="DU298" i="431" s="1"/>
  <c r="DT298" i="431"/>
  <c r="BA54" i="431"/>
  <c r="DW199" i="431"/>
  <c r="ED179" i="431"/>
  <c r="CO179" i="431"/>
  <c r="CT179" i="431"/>
  <c r="BL192" i="431"/>
  <c r="BA172" i="431"/>
  <c r="X377" i="431"/>
  <c r="BY219" i="431"/>
  <c r="BT219" i="431"/>
  <c r="R177" i="431"/>
  <c r="Q177" i="431"/>
  <c r="CX34" i="431"/>
  <c r="DR101" i="431"/>
  <c r="AR51" i="431"/>
  <c r="AR82" i="431"/>
  <c r="AE52" i="431"/>
  <c r="AE5" i="431"/>
  <c r="CW25" i="431"/>
  <c r="Y14" i="431"/>
  <c r="EC14" i="431"/>
  <c r="EH26" i="431"/>
  <c r="EC99" i="431"/>
  <c r="DG38" i="431"/>
  <c r="DB38" i="431"/>
  <c r="DF46" i="431"/>
  <c r="DK46" i="431"/>
  <c r="DT71" i="431"/>
  <c r="DO71" i="431"/>
  <c r="DO68" i="431"/>
  <c r="DQ68" i="431" s="1"/>
  <c r="EA70" i="431"/>
  <c r="EA79" i="431"/>
  <c r="DZ98" i="431"/>
  <c r="DU100" i="431"/>
  <c r="BO141" i="431"/>
  <c r="BP141" i="431"/>
  <c r="BB177" i="431"/>
  <c r="BC177" i="431"/>
  <c r="AZ177" i="431"/>
  <c r="BI175" i="431"/>
  <c r="CE177" i="431"/>
  <c r="CF177" i="431"/>
  <c r="CG177" i="431"/>
  <c r="CD177" i="431"/>
  <c r="BL184" i="431"/>
  <c r="BJ184" i="431"/>
  <c r="BM184" i="431"/>
  <c r="DR184" i="431"/>
  <c r="DV214" i="431"/>
  <c r="EH141" i="431"/>
  <c r="EG141" i="431"/>
  <c r="CF376" i="431"/>
  <c r="CF185" i="431"/>
  <c r="CF204" i="431"/>
  <c r="CF379" i="431"/>
  <c r="CF54" i="431"/>
  <c r="CF178" i="431"/>
  <c r="CK179" i="431" s="1"/>
  <c r="CF105" i="431"/>
  <c r="CF380" i="431"/>
  <c r="CF216" i="431"/>
  <c r="CF378" i="431"/>
  <c r="CV204" i="431"/>
  <c r="CX206" i="431" s="1"/>
  <c r="CV380" i="431"/>
  <c r="CV185" i="431"/>
  <c r="CV377" i="431"/>
  <c r="CV171" i="431"/>
  <c r="CV15" i="431"/>
  <c r="CV376" i="431"/>
  <c r="CV197" i="431"/>
  <c r="CV105" i="431"/>
  <c r="CV29" i="431"/>
  <c r="CV378" i="431"/>
  <c r="CV375" i="431"/>
  <c r="CV374" i="431"/>
  <c r="CV379" i="431"/>
  <c r="CV178" i="431"/>
  <c r="CV99" i="431"/>
  <c r="DE144" i="431"/>
  <c r="DE379" i="431"/>
  <c r="DE374" i="431"/>
  <c r="DE375" i="431"/>
  <c r="DE178" i="431"/>
  <c r="DE14" i="431"/>
  <c r="DJ26" i="431"/>
  <c r="DM29" i="431"/>
  <c r="DM63" i="431"/>
  <c r="DM178" i="431"/>
  <c r="DM376" i="431"/>
  <c r="DZ26" i="431"/>
  <c r="DU54" i="431"/>
  <c r="ED99" i="431"/>
  <c r="EI26" i="431"/>
  <c r="ED218" i="431"/>
  <c r="ED185" i="431"/>
  <c r="ED26" i="431"/>
  <c r="ED380" i="431"/>
  <c r="ED85" i="431"/>
  <c r="DF71" i="431"/>
  <c r="DF68" i="431"/>
  <c r="EG68" i="431"/>
  <c r="BN70" i="431"/>
  <c r="BS73" i="431"/>
  <c r="BN73" i="431"/>
  <c r="CR73" i="431"/>
  <c r="CW73" i="431"/>
  <c r="CR70" i="431"/>
  <c r="L103" i="431"/>
  <c r="L86" i="431"/>
  <c r="DC100" i="431"/>
  <c r="DC98" i="431"/>
  <c r="DR98" i="431"/>
  <c r="DM99" i="431"/>
  <c r="EL117" i="431"/>
  <c r="EG118" i="431"/>
  <c r="EJ164" i="431"/>
  <c r="N168" i="431"/>
  <c r="P167" i="431"/>
  <c r="AM170" i="431"/>
  <c r="AN170" i="431"/>
  <c r="AK170" i="431"/>
  <c r="AL170" i="431"/>
  <c r="Y177" i="431"/>
  <c r="W177" i="431"/>
  <c r="CM175" i="431"/>
  <c r="DZ184" i="431"/>
  <c r="DX184" i="431"/>
  <c r="DW184" i="431"/>
  <c r="DX302" i="431"/>
  <c r="DW304" i="431"/>
  <c r="EG116" i="431"/>
  <c r="CP135" i="431"/>
  <c r="ED64" i="431"/>
  <c r="EI62" i="431"/>
  <c r="CZ69" i="431"/>
  <c r="CT100" i="431"/>
  <c r="CT98" i="431"/>
  <c r="CO62" i="431"/>
  <c r="CT62" i="431"/>
  <c r="CO64" i="431"/>
  <c r="CX64" i="431"/>
  <c r="DC65" i="431" s="1"/>
  <c r="CX63" i="431"/>
  <c r="CX62" i="431"/>
  <c r="DF64" i="431"/>
  <c r="DK65" i="431" s="1"/>
  <c r="DF62" i="431"/>
  <c r="CK68" i="431"/>
  <c r="CP71" i="431"/>
  <c r="CS68" i="431"/>
  <c r="CX71" i="431"/>
  <c r="AX99" i="431"/>
  <c r="BC98" i="431"/>
  <c r="AX100" i="431"/>
  <c r="AX98" i="431"/>
  <c r="CL100" i="431"/>
  <c r="CL99" i="431"/>
  <c r="CL98" i="431"/>
  <c r="CQ98" i="431"/>
  <c r="EJ216" i="431"/>
  <c r="AF18" i="431"/>
  <c r="BP64" i="431"/>
  <c r="BU62" i="431"/>
  <c r="DN64" i="431"/>
  <c r="DN62" i="431"/>
  <c r="AR81" i="431"/>
  <c r="AM81" i="431"/>
  <c r="AM86" i="431"/>
  <c r="BG210" i="431"/>
  <c r="BG216" i="431"/>
  <c r="BG215" i="431"/>
  <c r="BG190" i="431"/>
  <c r="BG183" i="431"/>
  <c r="DA140" i="431"/>
  <c r="DA223" i="431"/>
  <c r="DF215" i="431"/>
  <c r="DA215" i="431"/>
  <c r="DA195" i="431"/>
  <c r="CN223" i="431"/>
  <c r="CN140" i="431"/>
  <c r="CH21" i="431"/>
  <c r="DG83" i="431"/>
  <c r="R99" i="431"/>
  <c r="W98" i="431"/>
  <c r="BM100" i="431"/>
  <c r="BM98" i="431"/>
  <c r="EH115" i="431"/>
  <c r="EJ32" i="431"/>
  <c r="EO33" i="431" s="1"/>
  <c r="DN302" i="431"/>
  <c r="DM304" i="431"/>
  <c r="EJ178" i="431"/>
  <c r="EO179" i="431" s="1"/>
  <c r="AY62" i="431"/>
  <c r="AF85" i="431"/>
  <c r="BH15" i="431"/>
  <c r="BH204" i="431"/>
  <c r="AF374" i="431"/>
  <c r="DF375" i="431"/>
  <c r="DF144" i="431"/>
  <c r="DH146" i="431" s="1"/>
  <c r="DF374" i="431"/>
  <c r="DF32" i="431"/>
  <c r="DF204" i="431"/>
  <c r="DF380" i="431"/>
  <c r="DF185" i="431"/>
  <c r="DF15" i="431"/>
  <c r="DH16" i="431" s="1"/>
  <c r="AF218" i="431"/>
  <c r="AF15" i="431"/>
  <c r="AG16" i="431" s="1"/>
  <c r="BH191" i="431"/>
  <c r="BH192" i="431" s="1"/>
  <c r="AF375" i="431"/>
  <c r="DF379" i="431"/>
  <c r="DO379" i="431"/>
  <c r="DO178" i="431"/>
  <c r="DO15" i="431"/>
  <c r="DO378" i="431"/>
  <c r="DO185" i="431"/>
  <c r="DO32" i="431"/>
  <c r="DO377" i="431"/>
  <c r="DO171" i="431"/>
  <c r="DO374" i="431"/>
  <c r="DO144" i="431"/>
  <c r="DO29" i="431"/>
  <c r="BW54" i="431"/>
  <c r="BW55" i="431"/>
  <c r="BW56" i="431" s="1"/>
  <c r="T55" i="431"/>
  <c r="T56" i="431" s="1"/>
  <c r="T53" i="431"/>
  <c r="CR138" i="431"/>
  <c r="CQ141" i="431" s="1"/>
  <c r="CN139" i="431"/>
  <c r="CS139" i="431"/>
  <c r="AF380" i="431"/>
  <c r="AF185" i="431"/>
  <c r="AF378" i="431"/>
  <c r="AF197" i="431"/>
  <c r="AF377" i="431"/>
  <c r="AF171" i="431"/>
  <c r="AF379" i="431"/>
  <c r="AF178" i="431"/>
  <c r="BH378" i="431"/>
  <c r="BH171" i="431"/>
  <c r="BH377" i="431"/>
  <c r="BH197" i="431"/>
  <c r="BH376" i="431"/>
  <c r="BH178" i="431"/>
  <c r="BJ180" i="431" s="1"/>
  <c r="BH375" i="431"/>
  <c r="BH144" i="431"/>
  <c r="EB45" i="431"/>
  <c r="EG36" i="431"/>
  <c r="FP36" i="431" s="1"/>
  <c r="BH85" i="431"/>
  <c r="BU100" i="431"/>
  <c r="BU98" i="431"/>
  <c r="BR171" i="431"/>
  <c r="BT173" i="431" s="1"/>
  <c r="BU380" i="431"/>
  <c r="CC23" i="431"/>
  <c r="BR15" i="431"/>
  <c r="BW27" i="431" s="1"/>
  <c r="BS24" i="431"/>
  <c r="J214" i="431"/>
  <c r="AI81" i="431"/>
  <c r="U83" i="431"/>
  <c r="CC143" i="431"/>
  <c r="BZ151" i="431"/>
  <c r="DY292" i="431"/>
  <c r="DZ292" i="431" s="1"/>
  <c r="CC25" i="431"/>
  <c r="BT140" i="431"/>
  <c r="BT183" i="431"/>
  <c r="FP194" i="431"/>
  <c r="AY168" i="431"/>
  <c r="EE299" i="431"/>
  <c r="FP43" i="431"/>
  <c r="AE100" i="431"/>
  <c r="AE98" i="431"/>
  <c r="FQ90" i="431"/>
  <c r="FP90" i="431"/>
  <c r="EL75" i="431"/>
  <c r="FQ75" i="431" s="1"/>
  <c r="EU75" i="431"/>
  <c r="AY83" i="431"/>
  <c r="BD20" i="431"/>
  <c r="AY13" i="431"/>
  <c r="AY20" i="431"/>
  <c r="AY5" i="431"/>
  <c r="BS98" i="431"/>
  <c r="BN100" i="431"/>
  <c r="BX100" i="431"/>
  <c r="BX98" i="431"/>
  <c r="EL97" i="431"/>
  <c r="AJ98" i="431"/>
  <c r="AT5" i="431"/>
  <c r="AT20" i="431"/>
  <c r="AT83" i="431"/>
  <c r="BD13" i="431"/>
  <c r="BD378" i="431" s="1"/>
  <c r="BD5" i="431"/>
  <c r="BI21" i="431"/>
  <c r="BD52" i="431"/>
  <c r="BI53" i="431" s="1"/>
  <c r="BD21" i="431"/>
  <c r="BN22" i="431"/>
  <c r="BI97" i="431"/>
  <c r="BN98" i="431" s="1"/>
  <c r="BI22" i="431"/>
  <c r="EK5" i="431"/>
  <c r="EP18" i="431" s="1"/>
  <c r="EK24" i="431"/>
  <c r="EK83" i="431"/>
  <c r="EP84" i="431" s="1"/>
  <c r="CH53" i="431"/>
  <c r="FP174" i="431"/>
  <c r="EL175" i="431"/>
  <c r="FQ175" i="431" s="1"/>
  <c r="BI13" i="431"/>
  <c r="BI54" i="431" s="1"/>
  <c r="AO52" i="431"/>
  <c r="AO5" i="431"/>
  <c r="AO13" i="431"/>
  <c r="AO99" i="431" s="1"/>
  <c r="AT21" i="431"/>
  <c r="AO21" i="431"/>
  <c r="BS83" i="431"/>
  <c r="BX23" i="431"/>
  <c r="BX22" i="431"/>
  <c r="CC22" i="431"/>
  <c r="CC13" i="431"/>
  <c r="CC54" i="431" s="1"/>
  <c r="CC5" i="431"/>
  <c r="CC21" i="431"/>
  <c r="EA19" i="431"/>
  <c r="EF19" i="431"/>
  <c r="EA61" i="431"/>
  <c r="EF83" i="431"/>
  <c r="EF20" i="431"/>
  <c r="EK20" i="431"/>
  <c r="P5" i="431"/>
  <c r="P83" i="431"/>
  <c r="U20" i="431"/>
  <c r="U52" i="431"/>
  <c r="U5" i="431"/>
  <c r="U21" i="431"/>
  <c r="U13" i="431"/>
  <c r="U379" i="431" s="1"/>
  <c r="AE21" i="431"/>
  <c r="Z5" i="431"/>
  <c r="Z52" i="431"/>
  <c r="Z13" i="431"/>
  <c r="Z376" i="431" s="1"/>
  <c r="Z21" i="431"/>
  <c r="AO100" i="431"/>
  <c r="AT22" i="431"/>
  <c r="AT97" i="431"/>
  <c r="BD22" i="431"/>
  <c r="AY97" i="431"/>
  <c r="AY22" i="431"/>
  <c r="BD23" i="431"/>
  <c r="BD83" i="431"/>
  <c r="BI23" i="431"/>
  <c r="BI5" i="431"/>
  <c r="BI24" i="431"/>
  <c r="BN13" i="431"/>
  <c r="BN23" i="431"/>
  <c r="BN5" i="431"/>
  <c r="CH98" i="431"/>
  <c r="CM21" i="431"/>
  <c r="CM5" i="431"/>
  <c r="CM52" i="431"/>
  <c r="CM13" i="431"/>
  <c r="CM380" i="431" s="1"/>
  <c r="CR21" i="431"/>
  <c r="EK13" i="431"/>
  <c r="EK61" i="431"/>
  <c r="EP62" i="431" s="1"/>
  <c r="EK25" i="431"/>
  <c r="EU23" i="431"/>
  <c r="U25" i="431"/>
  <c r="P13" i="431"/>
  <c r="P99" i="431" s="1"/>
  <c r="AO20" i="431"/>
  <c r="AJ5" i="431"/>
  <c r="AJ83" i="431"/>
  <c r="BS52" i="431"/>
  <c r="BS13" i="431"/>
  <c r="BS376" i="431" s="1"/>
  <c r="BS21" i="431"/>
  <c r="BS5" i="431"/>
  <c r="BX13" i="431"/>
  <c r="BX52" i="431"/>
  <c r="CC53" i="431" s="1"/>
  <c r="BX5" i="431"/>
  <c r="BX21" i="431"/>
  <c r="CH5" i="431"/>
  <c r="CH20" i="431"/>
  <c r="CH83" i="431"/>
  <c r="CM84" i="431" s="1"/>
  <c r="CM20" i="431"/>
  <c r="CM25" i="431"/>
  <c r="CR25" i="431"/>
  <c r="CR5" i="431"/>
  <c r="DB25" i="431"/>
  <c r="DB13" i="431"/>
  <c r="DV24" i="431"/>
  <c r="DV83" i="431"/>
  <c r="EA25" i="431"/>
  <c r="EA5" i="431"/>
  <c r="CW53" i="431"/>
  <c r="AT13" i="431"/>
  <c r="AT375" i="431" s="1"/>
  <c r="AT23" i="431"/>
  <c r="AY23" i="431"/>
  <c r="BN24" i="431"/>
  <c r="BX24" i="431"/>
  <c r="CC24" i="431"/>
  <c r="BX83" i="431"/>
  <c r="EF97" i="431"/>
  <c r="EK22" i="431"/>
  <c r="CC83" i="431"/>
  <c r="Z23" i="431"/>
  <c r="AE24" i="431"/>
  <c r="AE83" i="431"/>
  <c r="AE13" i="431"/>
  <c r="AE99" i="431" s="1"/>
  <c r="AJ23" i="431"/>
  <c r="AJ13" i="431"/>
  <c r="AJ379" i="431" s="1"/>
  <c r="DV21" i="431"/>
  <c r="EA21" i="431"/>
  <c r="DV52" i="431"/>
  <c r="DV5" i="431"/>
  <c r="DV18" i="431" s="1"/>
  <c r="FP131" i="431"/>
  <c r="CH23" i="431"/>
  <c r="BN83" i="431"/>
  <c r="CH13" i="431"/>
  <c r="CH379" i="431" s="1"/>
  <c r="EF13" i="431"/>
  <c r="EF24" i="431"/>
  <c r="CR13" i="431"/>
  <c r="CR99" i="431" s="1"/>
  <c r="CR83" i="431"/>
  <c r="CW24" i="431"/>
  <c r="CW5" i="431"/>
  <c r="DB5" i="431"/>
  <c r="DB24" i="431"/>
  <c r="DB83" i="431"/>
  <c r="EA24" i="431"/>
  <c r="EA83" i="431"/>
  <c r="FP20" i="431"/>
  <c r="FP23" i="431"/>
  <c r="A314" i="435"/>
  <c r="A443" i="435"/>
  <c r="A51" i="435"/>
  <c r="D39" i="435"/>
  <c r="A472" i="435"/>
  <c r="A524" i="435" s="1"/>
  <c r="A408" i="435"/>
  <c r="D18" i="435"/>
  <c r="A30" i="435"/>
  <c r="A23" i="435"/>
  <c r="D11" i="435"/>
  <c r="A14" i="435"/>
  <c r="A311" i="435"/>
  <c r="A306" i="435"/>
  <c r="A394" i="435"/>
  <c r="A246" i="435"/>
  <c r="A326" i="435"/>
  <c r="A280" i="435"/>
  <c r="A347" i="435"/>
  <c r="A424" i="435"/>
  <c r="A379" i="435"/>
  <c r="D53" i="435"/>
  <c r="A65" i="435"/>
  <c r="A365" i="435"/>
  <c r="A286" i="435"/>
  <c r="A351" i="435"/>
  <c r="A427" i="435"/>
  <c r="A480" i="435"/>
  <c r="A532" i="435" s="1"/>
  <c r="A371" i="435"/>
  <c r="A477" i="435"/>
  <c r="A529" i="435" s="1"/>
  <c r="A438" i="435"/>
  <c r="D19" i="435"/>
  <c r="A31" i="435"/>
  <c r="C177" i="435"/>
  <c r="B176" i="435"/>
  <c r="D176" i="435" s="1"/>
  <c r="A354" i="435"/>
  <c r="A22" i="435"/>
  <c r="A13" i="435"/>
  <c r="D8" i="435"/>
  <c r="A20" i="435"/>
  <c r="J9" i="435"/>
  <c r="I10" i="435"/>
  <c r="Q15" i="435" s="1"/>
  <c r="Q32" i="435"/>
  <c r="BX278" i="431" s="1"/>
  <c r="D10" i="435"/>
  <c r="D28" i="435"/>
  <c r="A40" i="435"/>
  <c r="J25" i="435"/>
  <c r="I26" i="435"/>
  <c r="Q31" i="435" s="1"/>
  <c r="L31" i="435"/>
  <c r="A362" i="435"/>
  <c r="D48" i="435"/>
  <c r="A60" i="435"/>
  <c r="B146" i="435"/>
  <c r="D146" i="435" s="1"/>
  <c r="C147" i="435"/>
  <c r="K4" i="435"/>
  <c r="J5" i="435"/>
  <c r="J15" i="435" s="1"/>
  <c r="A231" i="435"/>
  <c r="A257" i="435"/>
  <c r="A57" i="435"/>
  <c r="D45" i="435"/>
  <c r="L15" i="435"/>
  <c r="A499" i="435"/>
  <c r="A551" i="435" s="1"/>
  <c r="L32" i="435"/>
  <c r="BS278" i="431" s="1"/>
  <c r="BS279" i="431" s="1"/>
  <c r="E5" i="434"/>
  <c r="E6" i="434" s="1"/>
  <c r="E7" i="434" s="1"/>
  <c r="A7" i="434" s="1"/>
  <c r="B7" i="434" s="1"/>
  <c r="FQ131" i="431"/>
  <c r="EL258" i="431"/>
  <c r="ER258" i="431" s="1"/>
  <c r="ES258" i="431" s="1"/>
  <c r="ET258" i="431" s="1"/>
  <c r="FQ240" i="431"/>
  <c r="EU194" i="431"/>
  <c r="EL211" i="431"/>
  <c r="FP182" i="431"/>
  <c r="FP181" i="431"/>
  <c r="EL79" i="431"/>
  <c r="FQ79" i="431" s="1"/>
  <c r="FP78" i="431"/>
  <c r="EL77" i="431"/>
  <c r="FP77" i="431" s="1"/>
  <c r="FQ76" i="431"/>
  <c r="EU77" i="431"/>
  <c r="FP74" i="431"/>
  <c r="FQ22" i="431"/>
  <c r="FP22" i="431"/>
  <c r="FQ23" i="431"/>
  <c r="EL5" i="431"/>
  <c r="FP10" i="431"/>
  <c r="EL83" i="431"/>
  <c r="FQ11" i="431"/>
  <c r="EU24" i="431"/>
  <c r="FP91" i="431"/>
  <c r="FQ91" i="431"/>
  <c r="EL80" i="431"/>
  <c r="D4" i="434"/>
  <c r="C4" i="434" s="1"/>
  <c r="EL45" i="431"/>
  <c r="EL46" i="431" s="1"/>
  <c r="FP142" i="431"/>
  <c r="EL143" i="431"/>
  <c r="EU143" i="431"/>
  <c r="F52" i="451"/>
  <c r="J51" i="451"/>
  <c r="E47" i="451"/>
  <c r="F47" i="451" s="1"/>
  <c r="G47" i="451" s="1"/>
  <c r="H47" i="451" s="1"/>
  <c r="I47" i="451" s="1"/>
  <c r="J47" i="451" s="1"/>
  <c r="K47" i="451" s="1"/>
  <c r="H52" i="451"/>
  <c r="FQ271" i="431"/>
  <c r="FP24" i="431"/>
  <c r="FQ24" i="431"/>
  <c r="FP259" i="431"/>
  <c r="FQ259" i="431"/>
  <c r="FQ36" i="431"/>
  <c r="FP25" i="431"/>
  <c r="EL73" i="431"/>
  <c r="EL70" i="431"/>
  <c r="EL71" i="431" s="1"/>
  <c r="EL40" i="431"/>
  <c r="FP11" i="431"/>
  <c r="FQ153" i="431"/>
  <c r="FQ257" i="431"/>
  <c r="EL42" i="431"/>
  <c r="FP154" i="431"/>
  <c r="FQ154" i="431"/>
  <c r="FP272" i="431"/>
  <c r="FQ272" i="431"/>
  <c r="EL13" i="431"/>
  <c r="EL239" i="431"/>
  <c r="EL214" i="431"/>
  <c r="FQ58" i="431"/>
  <c r="EL21" i="431"/>
  <c r="EL59" i="431"/>
  <c r="FP161" i="431"/>
  <c r="EL50" i="431"/>
  <c r="FQ50" i="431" s="1"/>
  <c r="E5" i="433"/>
  <c r="A5" i="433" s="1"/>
  <c r="B5" i="433" s="1"/>
  <c r="K51" i="451"/>
  <c r="G904" i="434"/>
  <c r="G52" i="451"/>
  <c r="G578" i="433"/>
  <c r="H577" i="433" s="1"/>
  <c r="G585" i="433"/>
  <c r="H584" i="433" s="1"/>
  <c r="G754" i="433"/>
  <c r="H753" i="433" s="1"/>
  <c r="G577" i="433"/>
  <c r="H576" i="433" s="1"/>
  <c r="G791" i="433"/>
  <c r="H790" i="433" s="1"/>
  <c r="G767" i="433"/>
  <c r="H766" i="433" s="1"/>
  <c r="G758" i="433"/>
  <c r="H757" i="433" s="1"/>
  <c r="G827" i="433"/>
  <c r="H826" i="433" s="1"/>
  <c r="G759" i="433"/>
  <c r="H758" i="433" s="1"/>
  <c r="G765" i="433"/>
  <c r="H764" i="433" s="1"/>
  <c r="G787" i="433"/>
  <c r="H786" i="433" s="1"/>
  <c r="G698" i="433"/>
  <c r="H697" i="433" s="1"/>
  <c r="G573" i="433"/>
  <c r="H572" i="433" s="1"/>
  <c r="G580" i="433"/>
  <c r="H579" i="433" s="1"/>
  <c r="G701" i="433"/>
  <c r="H700" i="433" s="1"/>
  <c r="G768" i="433"/>
  <c r="H767" i="433" s="1"/>
  <c r="G807" i="433"/>
  <c r="H806" i="433" s="1"/>
  <c r="G559" i="433"/>
  <c r="H558" i="433" s="1"/>
  <c r="G595" i="433"/>
  <c r="H594" i="433" s="1"/>
  <c r="G667" i="433"/>
  <c r="H666" i="433" s="1"/>
  <c r="G769" i="433"/>
  <c r="H768" i="433" s="1"/>
  <c r="G847" i="433"/>
  <c r="H846" i="433" s="1"/>
  <c r="D5" i="433"/>
  <c r="C5" i="433" s="1"/>
  <c r="C4" i="433"/>
  <c r="G662" i="433"/>
  <c r="H661" i="433" s="1"/>
  <c r="G657" i="433"/>
  <c r="H656" i="433" s="1"/>
  <c r="G905" i="434"/>
  <c r="G608" i="433"/>
  <c r="H607" i="433" s="1"/>
  <c r="BP279" i="431"/>
  <c r="BP280" i="431" s="1"/>
  <c r="G900" i="433"/>
  <c r="H15" i="435"/>
  <c r="J31" i="435"/>
  <c r="BQ279" i="431"/>
  <c r="BQ280" i="431" s="1"/>
  <c r="H3" i="453"/>
  <c r="K1" i="453"/>
  <c r="FQ209" i="431"/>
  <c r="FP209" i="431"/>
  <c r="FQ239" i="431"/>
  <c r="G906" i="434"/>
  <c r="G907" i="434"/>
  <c r="L9" i="451"/>
  <c r="L19" i="451"/>
  <c r="EL19" i="431"/>
  <c r="EL61" i="431"/>
  <c r="EL168" i="431"/>
  <c r="EL95" i="431"/>
  <c r="EL139" i="431"/>
  <c r="FN139" i="431" s="1"/>
  <c r="EL150" i="431"/>
  <c r="EL147" i="431"/>
  <c r="EL201" i="431"/>
  <c r="EL156" i="431"/>
  <c r="EL52" i="431"/>
  <c r="EL162" i="431"/>
  <c r="EL208" i="431"/>
  <c r="BC19" i="453"/>
  <c r="CF44" i="453"/>
  <c r="CE44" i="453"/>
  <c r="BC37" i="453"/>
  <c r="BC35" i="453"/>
  <c r="CD44" i="453"/>
  <c r="BC42" i="453"/>
  <c r="AW19" i="453"/>
  <c r="BC11" i="453"/>
  <c r="BC22" i="453"/>
  <c r="BC8" i="453"/>
  <c r="CA44" i="453"/>
  <c r="BZ44" i="453"/>
  <c r="BC20" i="453"/>
  <c r="BC29" i="453"/>
  <c r="CB44" i="453"/>
  <c r="BC26" i="453"/>
  <c r="BC21" i="453"/>
  <c r="CC44" i="453"/>
  <c r="BC38" i="453"/>
  <c r="FN239" i="431" l="1"/>
  <c r="FP239" i="431" s="1"/>
  <c r="FN150" i="431"/>
  <c r="EQ151" i="431"/>
  <c r="FM151" i="431" s="1"/>
  <c r="FN214" i="431"/>
  <c r="EQ215" i="431"/>
  <c r="FM215" i="431" s="1"/>
  <c r="FN147" i="431"/>
  <c r="EQ148" i="431"/>
  <c r="FM148" i="431" s="1"/>
  <c r="DY298" i="431"/>
  <c r="BM198" i="431"/>
  <c r="DT33" i="431"/>
  <c r="AM82" i="431"/>
  <c r="EP117" i="431"/>
  <c r="EU118" i="431" s="1"/>
  <c r="EA176" i="431"/>
  <c r="EI298" i="431"/>
  <c r="EB217" i="431"/>
  <c r="CB106" i="431"/>
  <c r="CB206" i="431"/>
  <c r="DN34" i="431"/>
  <c r="BZ135" i="431"/>
  <c r="EI30" i="431"/>
  <c r="BW206" i="431"/>
  <c r="CB205" i="431"/>
  <c r="DX180" i="431"/>
  <c r="DU65" i="431"/>
  <c r="W65" i="431"/>
  <c r="DN145" i="431"/>
  <c r="DY180" i="431"/>
  <c r="S104" i="431"/>
  <c r="U81" i="431"/>
  <c r="BT187" i="431"/>
  <c r="BE187" i="431"/>
  <c r="BS195" i="431"/>
  <c r="BS169" i="431"/>
  <c r="BS223" i="431"/>
  <c r="BS183" i="431"/>
  <c r="BS190" i="431"/>
  <c r="AU173" i="431"/>
  <c r="DJ87" i="431"/>
  <c r="BT106" i="431"/>
  <c r="BZ31" i="431"/>
  <c r="DD16" i="431"/>
  <c r="DI145" i="431"/>
  <c r="DZ33" i="431"/>
  <c r="BZ27" i="431"/>
  <c r="CY51" i="431"/>
  <c r="CN145" i="431"/>
  <c r="DT66" i="431"/>
  <c r="CN216" i="431"/>
  <c r="CI145" i="431"/>
  <c r="DY33" i="431"/>
  <c r="BA136" i="431"/>
  <c r="AV221" i="431"/>
  <c r="AV82" i="431"/>
  <c r="Z81" i="431"/>
  <c r="AZ179" i="431"/>
  <c r="AP101" i="431"/>
  <c r="S82" i="431"/>
  <c r="DT104" i="431"/>
  <c r="DG202" i="431"/>
  <c r="S224" i="431"/>
  <c r="BA96" i="431"/>
  <c r="DE124" i="431"/>
  <c r="BS215" i="431"/>
  <c r="AJ214" i="431"/>
  <c r="AJ195" i="431" s="1"/>
  <c r="DQ103" i="431"/>
  <c r="AI225" i="431"/>
  <c r="BZ206" i="431"/>
  <c r="DY336" i="431"/>
  <c r="S107" i="431"/>
  <c r="EI199" i="431"/>
  <c r="AQ106" i="431"/>
  <c r="DD219" i="431"/>
  <c r="BE146" i="431"/>
  <c r="AB104" i="431"/>
  <c r="AA56" i="431"/>
  <c r="BO146" i="431"/>
  <c r="CI56" i="431"/>
  <c r="BV192" i="431"/>
  <c r="DS172" i="431"/>
  <c r="CP219" i="431"/>
  <c r="BG192" i="431"/>
  <c r="BA51" i="431"/>
  <c r="DJ127" i="431"/>
  <c r="N218" i="431"/>
  <c r="T96" i="431"/>
  <c r="T221" i="431"/>
  <c r="CU87" i="431"/>
  <c r="CK87" i="431"/>
  <c r="BZ65" i="431"/>
  <c r="BU199" i="431"/>
  <c r="DO224" i="431"/>
  <c r="DB81" i="431"/>
  <c r="DL71" i="431"/>
  <c r="DK224" i="431"/>
  <c r="BY69" i="431"/>
  <c r="DM69" i="431"/>
  <c r="DW336" i="431"/>
  <c r="DQ140" i="431"/>
  <c r="R211" i="431"/>
  <c r="S211" i="431"/>
  <c r="N140" i="431"/>
  <c r="N202" i="431"/>
  <c r="DJ225" i="431"/>
  <c r="DC198" i="431"/>
  <c r="EU244" i="431"/>
  <c r="DX206" i="431"/>
  <c r="DC206" i="431"/>
  <c r="BU219" i="431"/>
  <c r="EE124" i="431"/>
  <c r="DL374" i="431"/>
  <c r="DL171" i="431"/>
  <c r="DL380" i="431"/>
  <c r="DD65" i="431"/>
  <c r="DW66" i="431"/>
  <c r="CL96" i="431"/>
  <c r="EE127" i="431"/>
  <c r="CX145" i="431"/>
  <c r="BO219" i="431"/>
  <c r="AU217" i="431"/>
  <c r="DB68" i="431"/>
  <c r="DB69" i="431" s="1"/>
  <c r="AI141" i="431"/>
  <c r="AJ150" i="431"/>
  <c r="AO151" i="431" s="1"/>
  <c r="EE305" i="431"/>
  <c r="EE307" i="431" s="1"/>
  <c r="CL60" i="431"/>
  <c r="T104" i="431"/>
  <c r="BJ145" i="431"/>
  <c r="BS148" i="431"/>
  <c r="Y87" i="431"/>
  <c r="CP205" i="431"/>
  <c r="BT217" i="431"/>
  <c r="DU296" i="431"/>
  <c r="DG151" i="431"/>
  <c r="CN169" i="431"/>
  <c r="N169" i="431"/>
  <c r="EB135" i="431"/>
  <c r="EB120" i="431"/>
  <c r="CM13" i="434" s="1"/>
  <c r="DT221" i="431"/>
  <c r="DT234" i="431" s="1"/>
  <c r="DT51" i="431"/>
  <c r="EL103" i="431"/>
  <c r="EP103" i="431" s="1"/>
  <c r="EP80" i="431"/>
  <c r="FK164" i="431"/>
  <c r="EJ219" i="431"/>
  <c r="EO219" i="431"/>
  <c r="EO130" i="431"/>
  <c r="EJ104" i="431"/>
  <c r="EO104" i="431"/>
  <c r="AI235" i="431"/>
  <c r="EO115" i="431"/>
  <c r="EO118" i="431"/>
  <c r="EO120" i="431"/>
  <c r="CZ13" i="434" s="1"/>
  <c r="EO109" i="431"/>
  <c r="ET115" i="431"/>
  <c r="ET118" i="431"/>
  <c r="DL205" i="431"/>
  <c r="EO56" i="431"/>
  <c r="EJ56" i="431"/>
  <c r="EK54" i="431"/>
  <c r="EP26" i="431"/>
  <c r="EJ217" i="431"/>
  <c r="EO217" i="431"/>
  <c r="EK46" i="431"/>
  <c r="EP46" i="431"/>
  <c r="EJ186" i="431"/>
  <c r="EO186" i="431"/>
  <c r="CY146" i="431"/>
  <c r="FK14" i="431"/>
  <c r="AU87" i="431"/>
  <c r="BZ198" i="431"/>
  <c r="EI16" i="431"/>
  <c r="DN217" i="431"/>
  <c r="S16" i="431"/>
  <c r="BE145" i="431"/>
  <c r="H222" i="431"/>
  <c r="ED199" i="431"/>
  <c r="ED27" i="431"/>
  <c r="Y108" i="431"/>
  <c r="DC106" i="431"/>
  <c r="AL219" i="431"/>
  <c r="EF148" i="431"/>
  <c r="DX124" i="431"/>
  <c r="EC46" i="431"/>
  <c r="DK82" i="431"/>
  <c r="DK221" i="431"/>
  <c r="E176" i="431"/>
  <c r="E140" i="431"/>
  <c r="E195" i="431"/>
  <c r="E202" i="431"/>
  <c r="E183" i="431"/>
  <c r="AC16" i="431"/>
  <c r="CF101" i="431"/>
  <c r="CG102" i="431"/>
  <c r="CQ187" i="431"/>
  <c r="CU186" i="431"/>
  <c r="EB336" i="431"/>
  <c r="EG224" i="431"/>
  <c r="CK224" i="431"/>
  <c r="BU16" i="431"/>
  <c r="BU27" i="431"/>
  <c r="ED135" i="431"/>
  <c r="ED120" i="431"/>
  <c r="CO13" i="434" s="1"/>
  <c r="ED104" i="431"/>
  <c r="ED107" i="431"/>
  <c r="ED108" i="431" s="1"/>
  <c r="EF103" i="431"/>
  <c r="CU30" i="431"/>
  <c r="CV146" i="431"/>
  <c r="CZ145" i="431"/>
  <c r="CU146" i="431"/>
  <c r="ED101" i="431"/>
  <c r="EE102" i="431"/>
  <c r="T141" i="431"/>
  <c r="U139" i="431"/>
  <c r="S141" i="431"/>
  <c r="CU145" i="431"/>
  <c r="DQ148" i="431"/>
  <c r="DL148" i="431"/>
  <c r="E210" i="431"/>
  <c r="Q141" i="431"/>
  <c r="CB148" i="431"/>
  <c r="BW148" i="431"/>
  <c r="DO107" i="431"/>
  <c r="DO108" i="431" s="1"/>
  <c r="E223" i="431"/>
  <c r="BX139" i="431"/>
  <c r="CC139" i="431"/>
  <c r="BV141" i="431"/>
  <c r="BU141" i="431"/>
  <c r="BT141" i="431"/>
  <c r="BX147" i="431"/>
  <c r="BW141" i="431"/>
  <c r="BX150" i="431"/>
  <c r="CP30" i="431"/>
  <c r="CP31" i="431"/>
  <c r="ED102" i="431"/>
  <c r="AJ103" i="431"/>
  <c r="AJ135" i="431" s="1"/>
  <c r="AJ96" i="431" s="1"/>
  <c r="AJ81" i="431"/>
  <c r="CL173" i="431"/>
  <c r="CL172" i="431"/>
  <c r="CQ172" i="431"/>
  <c r="BX214" i="431"/>
  <c r="BX215" i="431" s="1"/>
  <c r="DC88" i="431"/>
  <c r="DA88" i="431"/>
  <c r="DU107" i="431"/>
  <c r="DU124" i="431" s="1"/>
  <c r="DU135" i="431"/>
  <c r="DU120" i="431"/>
  <c r="CF13" i="434" s="1"/>
  <c r="DU104" i="431"/>
  <c r="DV103" i="431"/>
  <c r="U147" i="431"/>
  <c r="U148" i="431" s="1"/>
  <c r="EE294" i="431"/>
  <c r="EE298" i="431" s="1"/>
  <c r="ED298" i="431"/>
  <c r="DJ69" i="431"/>
  <c r="EI242" i="431"/>
  <c r="DH225" i="431"/>
  <c r="DH234" i="431"/>
  <c r="CB151" i="431"/>
  <c r="BY152" i="431"/>
  <c r="BW152" i="431"/>
  <c r="EI104" i="431"/>
  <c r="FP103" i="431"/>
  <c r="EN104" i="431"/>
  <c r="ET147" i="431"/>
  <c r="ET148" i="431" s="1"/>
  <c r="ET152" i="431"/>
  <c r="CG145" i="431"/>
  <c r="CB145" i="431"/>
  <c r="BL219" i="431"/>
  <c r="BQ219" i="431"/>
  <c r="EI198" i="431"/>
  <c r="CB173" i="431"/>
  <c r="DW146" i="431"/>
  <c r="DW145" i="431"/>
  <c r="BB172" i="431"/>
  <c r="BB173" i="431"/>
  <c r="BC173" i="431"/>
  <c r="DD217" i="431"/>
  <c r="BC82" i="431"/>
  <c r="BC221" i="431"/>
  <c r="AK217" i="431"/>
  <c r="AP217" i="431"/>
  <c r="Q135" i="431"/>
  <c r="Q82" i="431" s="1"/>
  <c r="Q107" i="431"/>
  <c r="V108" i="431" s="1"/>
  <c r="U175" i="431"/>
  <c r="N177" i="431"/>
  <c r="BR180" i="431"/>
  <c r="BQ180" i="431"/>
  <c r="Z139" i="431"/>
  <c r="EE199" i="431"/>
  <c r="CP187" i="431"/>
  <c r="AQ217" i="431"/>
  <c r="H140" i="431"/>
  <c r="CB199" i="431"/>
  <c r="M177" i="431"/>
  <c r="CM151" i="431"/>
  <c r="CH151" i="431"/>
  <c r="DX199" i="431"/>
  <c r="DY199" i="431"/>
  <c r="CJ146" i="431"/>
  <c r="CO145" i="431"/>
  <c r="BR56" i="431"/>
  <c r="BM56" i="431"/>
  <c r="DW186" i="431"/>
  <c r="DW187" i="431"/>
  <c r="BY172" i="431"/>
  <c r="BY173" i="431"/>
  <c r="AZ27" i="431"/>
  <c r="AU27" i="431"/>
  <c r="BE148" i="431"/>
  <c r="BJ148" i="431"/>
  <c r="CG82" i="431"/>
  <c r="CG96" i="431"/>
  <c r="ED126" i="431"/>
  <c r="ED30" i="431"/>
  <c r="ED127" i="431" s="1"/>
  <c r="ED31" i="431"/>
  <c r="AL104" i="431"/>
  <c r="AL107" i="431"/>
  <c r="EH224" i="431"/>
  <c r="EC334" i="431"/>
  <c r="EC336" i="431"/>
  <c r="EC224" i="431"/>
  <c r="DY289" i="431"/>
  <c r="DZ288" i="431"/>
  <c r="DZ289" i="431" s="1"/>
  <c r="DE234" i="431"/>
  <c r="DE225" i="431"/>
  <c r="DJ226" i="431" s="1"/>
  <c r="ED146" i="431"/>
  <c r="EC145" i="431"/>
  <c r="EH145" i="431"/>
  <c r="BN96" i="431"/>
  <c r="BN221" i="431"/>
  <c r="BN295" i="431" s="1"/>
  <c r="CX151" i="431"/>
  <c r="CS151" i="431"/>
  <c r="CT152" i="431"/>
  <c r="DK120" i="431"/>
  <c r="BV13" i="434" s="1"/>
  <c r="DL103" i="431"/>
  <c r="DL135" i="431" s="1"/>
  <c r="DK107" i="431"/>
  <c r="DP104" i="431"/>
  <c r="EC30" i="431"/>
  <c r="EC126" i="431"/>
  <c r="EC127" i="431" s="1"/>
  <c r="EH16" i="431"/>
  <c r="CQ31" i="431"/>
  <c r="CB146" i="431"/>
  <c r="DJ101" i="431"/>
  <c r="DO101" i="431"/>
  <c r="DJ102" i="431"/>
  <c r="DY16" i="431"/>
  <c r="DZ16" i="431"/>
  <c r="CR272" i="431"/>
  <c r="CW272" i="431"/>
  <c r="AV146" i="431"/>
  <c r="T108" i="431"/>
  <c r="DX146" i="431"/>
  <c r="AI222" i="431"/>
  <c r="EH34" i="431"/>
  <c r="V87" i="431"/>
  <c r="EH30" i="431"/>
  <c r="CD56" i="431"/>
  <c r="BY56" i="431"/>
  <c r="CC55" i="431"/>
  <c r="AX179" i="431"/>
  <c r="BQ205" i="431"/>
  <c r="BL205" i="431"/>
  <c r="O60" i="431"/>
  <c r="O134" i="431"/>
  <c r="BB145" i="431"/>
  <c r="AX146" i="431"/>
  <c r="AZ106" i="431"/>
  <c r="AU107" i="431"/>
  <c r="CZ51" i="431"/>
  <c r="CZ221" i="431"/>
  <c r="CZ60" i="431"/>
  <c r="DE136" i="431"/>
  <c r="EJ118" i="431"/>
  <c r="EK117" i="431"/>
  <c r="AD108" i="431"/>
  <c r="DE31" i="431"/>
  <c r="DI30" i="431"/>
  <c r="BU217" i="431"/>
  <c r="BZ217" i="431"/>
  <c r="AG135" i="431"/>
  <c r="AG107" i="431"/>
  <c r="AL108" i="431" s="1"/>
  <c r="AG104" i="431"/>
  <c r="CS216" i="431"/>
  <c r="CX217" i="431" s="1"/>
  <c r="CS210" i="431"/>
  <c r="CS183" i="431"/>
  <c r="CS218" i="431"/>
  <c r="CS219" i="431" s="1"/>
  <c r="CS169" i="431"/>
  <c r="CS155" i="431"/>
  <c r="CS215" i="431"/>
  <c r="CS223" i="431"/>
  <c r="CX215" i="431"/>
  <c r="CS140" i="431"/>
  <c r="BG146" i="431"/>
  <c r="BG145" i="431"/>
  <c r="BG87" i="431"/>
  <c r="CU126" i="431"/>
  <c r="AG219" i="431"/>
  <c r="DT219" i="431"/>
  <c r="BL27" i="431"/>
  <c r="AI108" i="431"/>
  <c r="ED296" i="431"/>
  <c r="DZ305" i="431"/>
  <c r="DZ307" i="431" s="1"/>
  <c r="CU106" i="431"/>
  <c r="DW217" i="431"/>
  <c r="C202" i="431"/>
  <c r="AQ219" i="431"/>
  <c r="EJ224" i="431"/>
  <c r="E234" i="431"/>
  <c r="CP130" i="431"/>
  <c r="AE210" i="431"/>
  <c r="BA104" i="431"/>
  <c r="AO139" i="431"/>
  <c r="AG141" i="431"/>
  <c r="AJ147" i="431"/>
  <c r="AN217" i="431"/>
  <c r="R87" i="431"/>
  <c r="CU172" i="431"/>
  <c r="BI267" i="431"/>
  <c r="BI258" i="431"/>
  <c r="BW140" i="431"/>
  <c r="BW202" i="431"/>
  <c r="BW223" i="431"/>
  <c r="BW176" i="431"/>
  <c r="BW215" i="431"/>
  <c r="BW210" i="431"/>
  <c r="BG27" i="431"/>
  <c r="BA173" i="431"/>
  <c r="BW155" i="431"/>
  <c r="R107" i="431"/>
  <c r="N104" i="431"/>
  <c r="BU108" i="431"/>
  <c r="DC107" i="431"/>
  <c r="DH114" i="431" s="1"/>
  <c r="CL57" i="431"/>
  <c r="AK101" i="431"/>
  <c r="CY106" i="431"/>
  <c r="BD81" i="431"/>
  <c r="AL186" i="431"/>
  <c r="AV180" i="431"/>
  <c r="DX198" i="431"/>
  <c r="DX219" i="431"/>
  <c r="EC219" i="431"/>
  <c r="BL198" i="431"/>
  <c r="AC219" i="431"/>
  <c r="C176" i="431"/>
  <c r="DY206" i="431"/>
  <c r="R184" i="431"/>
  <c r="DG169" i="431"/>
  <c r="S198" i="431"/>
  <c r="DJ234" i="431"/>
  <c r="C183" i="431"/>
  <c r="AN173" i="431"/>
  <c r="CN183" i="431"/>
  <c r="CN176" i="431"/>
  <c r="BW218" i="431"/>
  <c r="CB219" i="431" s="1"/>
  <c r="BG172" i="431"/>
  <c r="DN172" i="431"/>
  <c r="CV56" i="431"/>
  <c r="DQ145" i="431"/>
  <c r="BU106" i="431"/>
  <c r="BH87" i="431"/>
  <c r="BZ192" i="431"/>
  <c r="AZ173" i="431"/>
  <c r="DN127" i="431"/>
  <c r="V172" i="431"/>
  <c r="CZ217" i="431"/>
  <c r="DB71" i="431"/>
  <c r="R27" i="431"/>
  <c r="AV104" i="431"/>
  <c r="AQ107" i="431"/>
  <c r="AQ135" i="431"/>
  <c r="DL378" i="431"/>
  <c r="DL99" i="431"/>
  <c r="DL105" i="431"/>
  <c r="DQ106" i="431" s="1"/>
  <c r="DL54" i="431"/>
  <c r="DL185" i="431"/>
  <c r="DQ186" i="431" s="1"/>
  <c r="DQ155" i="431"/>
  <c r="DQ210" i="431"/>
  <c r="AV219" i="431"/>
  <c r="Z201" i="431"/>
  <c r="S203" i="431"/>
  <c r="Q203" i="431"/>
  <c r="R203" i="431"/>
  <c r="EK71" i="431"/>
  <c r="BW183" i="431"/>
  <c r="DW88" i="431"/>
  <c r="W104" i="431"/>
  <c r="CX114" i="431"/>
  <c r="BE172" i="431"/>
  <c r="DQ172" i="431"/>
  <c r="DG379" i="431"/>
  <c r="CO30" i="431"/>
  <c r="AO81" i="431"/>
  <c r="C210" i="431"/>
  <c r="AZ180" i="431"/>
  <c r="DE34" i="431"/>
  <c r="AC173" i="431"/>
  <c r="DI217" i="431"/>
  <c r="DI27" i="431"/>
  <c r="DX172" i="431"/>
  <c r="BQ192" i="431"/>
  <c r="S219" i="431"/>
  <c r="T203" i="431"/>
  <c r="AH106" i="431"/>
  <c r="EH173" i="431"/>
  <c r="AA96" i="431"/>
  <c r="AA51" i="431"/>
  <c r="N210" i="431"/>
  <c r="N176" i="431"/>
  <c r="DS224" i="431"/>
  <c r="DX224" i="431"/>
  <c r="DL375" i="431"/>
  <c r="AO84" i="431"/>
  <c r="BS18" i="431"/>
  <c r="EK380" i="431"/>
  <c r="ED114" i="431"/>
  <c r="DL26" i="431"/>
  <c r="CT13" i="434"/>
  <c r="AY313" i="431"/>
  <c r="BD312" i="431" s="1"/>
  <c r="BD313" i="431" s="1"/>
  <c r="DG63" i="431"/>
  <c r="EN130" i="431"/>
  <c r="DI69" i="431"/>
  <c r="DN69" i="431"/>
  <c r="BM234" i="431"/>
  <c r="BM225" i="431"/>
  <c r="DB243" i="431"/>
  <c r="DB242" i="431" s="1"/>
  <c r="DA242" i="431"/>
  <c r="BE210" i="431"/>
  <c r="BE216" i="431"/>
  <c r="BE217" i="431" s="1"/>
  <c r="BE223" i="431"/>
  <c r="BE225" i="431" s="1"/>
  <c r="BE155" i="431"/>
  <c r="BE169" i="431"/>
  <c r="BE190" i="431"/>
  <c r="BE176" i="431"/>
  <c r="BJ215" i="431"/>
  <c r="BE218" i="431"/>
  <c r="BJ219" i="431" s="1"/>
  <c r="BE195" i="431"/>
  <c r="BE183" i="431"/>
  <c r="BE202" i="431"/>
  <c r="EL100" i="431"/>
  <c r="BQ27" i="431"/>
  <c r="CX56" i="431"/>
  <c r="AR225" i="431"/>
  <c r="AU224" i="431"/>
  <c r="EN136" i="431"/>
  <c r="DX106" i="431"/>
  <c r="DS106" i="431"/>
  <c r="DO219" i="431"/>
  <c r="BB198" i="431"/>
  <c r="BG198" i="431"/>
  <c r="BN82" i="431"/>
  <c r="K221" i="431"/>
  <c r="K222" i="431" s="1"/>
  <c r="K134" i="431"/>
  <c r="K136" i="431"/>
  <c r="EN186" i="431"/>
  <c r="EJ187" i="431"/>
  <c r="DF173" i="431"/>
  <c r="DK172" i="431"/>
  <c r="BP179" i="431"/>
  <c r="BK179" i="431"/>
  <c r="BK180" i="431"/>
  <c r="EB334" i="431"/>
  <c r="EB224" i="431"/>
  <c r="EG206" i="431"/>
  <c r="EH206" i="431"/>
  <c r="DC145" i="431"/>
  <c r="DC146" i="431"/>
  <c r="DD146" i="431"/>
  <c r="CI199" i="431"/>
  <c r="CJ199" i="431"/>
  <c r="CN198" i="431"/>
  <c r="CD30" i="431"/>
  <c r="BY126" i="431"/>
  <c r="CD127" i="431" s="1"/>
  <c r="BY31" i="431"/>
  <c r="BP146" i="431"/>
  <c r="BT145" i="431"/>
  <c r="BO145" i="431"/>
  <c r="Q224" i="431"/>
  <c r="AO201" i="431"/>
  <c r="AI203" i="431"/>
  <c r="AH203" i="431"/>
  <c r="AJ201" i="431"/>
  <c r="AF203" i="431"/>
  <c r="DL151" i="431"/>
  <c r="DQ151" i="431"/>
  <c r="BX68" i="431"/>
  <c r="CC69" i="431" s="1"/>
  <c r="CC71" i="431"/>
  <c r="BX71" i="431"/>
  <c r="CT155" i="431"/>
  <c r="CT215" i="431"/>
  <c r="CT218" i="431"/>
  <c r="CT223" i="431"/>
  <c r="CT216" i="431"/>
  <c r="CT183" i="431"/>
  <c r="CT140" i="431"/>
  <c r="CT176" i="431"/>
  <c r="CT202" i="431"/>
  <c r="CY215" i="431"/>
  <c r="CT210" i="431"/>
  <c r="CT195" i="431"/>
  <c r="CT169" i="431"/>
  <c r="EL84" i="431"/>
  <c r="BK106" i="431"/>
  <c r="BP106" i="431"/>
  <c r="BK107" i="431"/>
  <c r="BP108" i="431" s="1"/>
  <c r="EN87" i="431"/>
  <c r="EI88" i="431"/>
  <c r="EI87" i="431"/>
  <c r="DC179" i="431"/>
  <c r="DC180" i="431"/>
  <c r="AF224" i="431"/>
  <c r="AK224" i="431"/>
  <c r="AT68" i="431"/>
  <c r="AY71" i="431"/>
  <c r="DW219" i="431"/>
  <c r="AU186" i="431"/>
  <c r="DF31" i="431"/>
  <c r="DK30" i="431"/>
  <c r="DF126" i="431"/>
  <c r="ET86" i="431"/>
  <c r="ET88" i="431" s="1"/>
  <c r="CA101" i="431"/>
  <c r="BV101" i="431"/>
  <c r="DO199" i="431"/>
  <c r="DP199" i="431"/>
  <c r="DO198" i="431"/>
  <c r="AV187" i="431"/>
  <c r="AV186" i="431"/>
  <c r="AW187" i="431"/>
  <c r="R173" i="431"/>
  <c r="W172" i="431"/>
  <c r="R172" i="431"/>
  <c r="CG199" i="431"/>
  <c r="CF198" i="431"/>
  <c r="R101" i="431"/>
  <c r="W101" i="431"/>
  <c r="CH140" i="431"/>
  <c r="CH195" i="431"/>
  <c r="CH183" i="431"/>
  <c r="CH169" i="431"/>
  <c r="CH155" i="431"/>
  <c r="CH210" i="431"/>
  <c r="CH176" i="431"/>
  <c r="CP145" i="431"/>
  <c r="CK146" i="431"/>
  <c r="DO109" i="431"/>
  <c r="DT114" i="431"/>
  <c r="CF135" i="431"/>
  <c r="CF104" i="431"/>
  <c r="BV145" i="431"/>
  <c r="BW146" i="431"/>
  <c r="EE295" i="431"/>
  <c r="EE225" i="431"/>
  <c r="EE234" i="431"/>
  <c r="EE247" i="431" s="1"/>
  <c r="EE248" i="431" s="1"/>
  <c r="EE265" i="431" s="1"/>
  <c r="EE267" i="431" s="1"/>
  <c r="DG32" i="431"/>
  <c r="DL33" i="431" s="1"/>
  <c r="DG216" i="431"/>
  <c r="DG185" i="431"/>
  <c r="DL186" i="431" s="1"/>
  <c r="DG380" i="431"/>
  <c r="DG171" i="431"/>
  <c r="DL172" i="431" s="1"/>
  <c r="DG105" i="431"/>
  <c r="DG29" i="431"/>
  <c r="DG126" i="431" s="1"/>
  <c r="DG99" i="431"/>
  <c r="DG144" i="431"/>
  <c r="DL145" i="431" s="1"/>
  <c r="DG378" i="431"/>
  <c r="DG178" i="431"/>
  <c r="DG375" i="431"/>
  <c r="DG376" i="431"/>
  <c r="DG374" i="431"/>
  <c r="DG197" i="431"/>
  <c r="DL198" i="431" s="1"/>
  <c r="EN205" i="431"/>
  <c r="BS103" i="431"/>
  <c r="BS104" i="431" s="1"/>
  <c r="BX81" i="431"/>
  <c r="CB187" i="431"/>
  <c r="CB186" i="431"/>
  <c r="BX195" i="431"/>
  <c r="BX183" i="431"/>
  <c r="BX155" i="431"/>
  <c r="BX210" i="431"/>
  <c r="BX176" i="431"/>
  <c r="BX190" i="431"/>
  <c r="BX140" i="431"/>
  <c r="BX202" i="431"/>
  <c r="BX169" i="431"/>
  <c r="CW163" i="431"/>
  <c r="CR163" i="431"/>
  <c r="BQ224" i="431"/>
  <c r="BL224" i="431"/>
  <c r="BA217" i="431"/>
  <c r="BF217" i="431"/>
  <c r="AT325" i="431"/>
  <c r="AS317" i="431"/>
  <c r="EI302" i="431"/>
  <c r="EI304" i="431" s="1"/>
  <c r="DH229" i="431"/>
  <c r="DH233" i="431" s="1"/>
  <c r="EJ102" i="431"/>
  <c r="EN101" i="431"/>
  <c r="EK100" i="431"/>
  <c r="AI16" i="431"/>
  <c r="AH27" i="431"/>
  <c r="DC217" i="431"/>
  <c r="DH217" i="431"/>
  <c r="BZ199" i="431"/>
  <c r="BY198" i="431"/>
  <c r="DA51" i="431"/>
  <c r="DA82" i="431"/>
  <c r="DA221" i="431"/>
  <c r="DA96" i="431"/>
  <c r="DH247" i="431"/>
  <c r="DH248" i="431" s="1"/>
  <c r="DH265" i="431" s="1"/>
  <c r="DH267" i="431" s="1"/>
  <c r="DC187" i="431"/>
  <c r="DC186" i="431"/>
  <c r="EM164" i="431"/>
  <c r="FI164" i="431" s="1"/>
  <c r="AD219" i="431"/>
  <c r="EJ88" i="431"/>
  <c r="AL217" i="431"/>
  <c r="CQ87" i="431"/>
  <c r="CQ88" i="431"/>
  <c r="CS88" i="431"/>
  <c r="AH16" i="431"/>
  <c r="BI81" i="431"/>
  <c r="AO71" i="431"/>
  <c r="AJ68" i="431"/>
  <c r="BK199" i="431"/>
  <c r="BO198" i="431"/>
  <c r="BJ198" i="431"/>
  <c r="DR33" i="431"/>
  <c r="DS34" i="431"/>
  <c r="EM198" i="431"/>
  <c r="EH199" i="431"/>
  <c r="DY187" i="431"/>
  <c r="DX186" i="431"/>
  <c r="DX187" i="431"/>
  <c r="CE30" i="431"/>
  <c r="CA31" i="431"/>
  <c r="BZ30" i="431"/>
  <c r="CU27" i="431"/>
  <c r="CU16" i="431"/>
  <c r="AH217" i="431"/>
  <c r="AC217" i="431"/>
  <c r="EI127" i="431"/>
  <c r="T16" i="431"/>
  <c r="CA145" i="431"/>
  <c r="CU225" i="431"/>
  <c r="CU234" i="431"/>
  <c r="DA60" i="431"/>
  <c r="AM146" i="431"/>
  <c r="BI155" i="431"/>
  <c r="BI190" i="431"/>
  <c r="BI202" i="431"/>
  <c r="BI176" i="431"/>
  <c r="BN81" i="431"/>
  <c r="CG186" i="431"/>
  <c r="BO192" i="431"/>
  <c r="AW205" i="431"/>
  <c r="AR205" i="431"/>
  <c r="ER118" i="431"/>
  <c r="ER115" i="431"/>
  <c r="ER114" i="431" s="1"/>
  <c r="AZ145" i="431"/>
  <c r="AU145" i="431"/>
  <c r="BJ217" i="431"/>
  <c r="DN114" i="431"/>
  <c r="DI109" i="431"/>
  <c r="CE179" i="431"/>
  <c r="CA180" i="431"/>
  <c r="BZ179" i="431"/>
  <c r="DQ334" i="431"/>
  <c r="DQ336" i="431"/>
  <c r="E247" i="431"/>
  <c r="E250" i="431" s="1"/>
  <c r="E236" i="431"/>
  <c r="BZ146" i="431"/>
  <c r="EJ27" i="431"/>
  <c r="EJ16" i="431"/>
  <c r="CZ106" i="431"/>
  <c r="CZ107" i="431"/>
  <c r="DE108" i="431" s="1"/>
  <c r="AR186" i="431"/>
  <c r="AW186" i="431"/>
  <c r="BF199" i="431"/>
  <c r="BE198" i="431"/>
  <c r="DG54" i="431"/>
  <c r="DG55" i="431"/>
  <c r="DL56" i="431" s="1"/>
  <c r="BY199" i="431"/>
  <c r="BW187" i="431"/>
  <c r="DG15" i="431"/>
  <c r="DL27" i="431" s="1"/>
  <c r="DG377" i="431"/>
  <c r="BN51" i="431"/>
  <c r="BE199" i="431"/>
  <c r="BS81" i="431"/>
  <c r="DG53" i="431"/>
  <c r="AU187" i="431"/>
  <c r="DU145" i="431"/>
  <c r="DR146" i="431"/>
  <c r="EI101" i="431"/>
  <c r="DW16" i="431"/>
  <c r="CN65" i="431"/>
  <c r="CS65" i="431"/>
  <c r="DX217" i="431"/>
  <c r="DS217" i="431"/>
  <c r="V65" i="431"/>
  <c r="Z64" i="431"/>
  <c r="Z65" i="431" s="1"/>
  <c r="DX324" i="431"/>
  <c r="DX295" i="431"/>
  <c r="EC222" i="431"/>
  <c r="DX322" i="431"/>
  <c r="DX225" i="431"/>
  <c r="DY227" i="431" s="1"/>
  <c r="DX234" i="431"/>
  <c r="DX318" i="431"/>
  <c r="DX320" i="431"/>
  <c r="CX33" i="431"/>
  <c r="CY34" i="431"/>
  <c r="DC33" i="431"/>
  <c r="BR199" i="431"/>
  <c r="BQ199" i="431"/>
  <c r="BP16" i="431"/>
  <c r="BT27" i="431"/>
  <c r="BO16" i="431"/>
  <c r="BO27" i="431"/>
  <c r="AZ198" i="431"/>
  <c r="AZ199" i="431"/>
  <c r="DV71" i="431"/>
  <c r="DQ71" i="431"/>
  <c r="DE187" i="431"/>
  <c r="DI186" i="431"/>
  <c r="DD187" i="431"/>
  <c r="DD186" i="431"/>
  <c r="AQ224" i="431"/>
  <c r="AV224" i="431"/>
  <c r="BE140" i="431"/>
  <c r="CG198" i="431"/>
  <c r="CB198" i="431"/>
  <c r="ES118" i="431"/>
  <c r="EN118" i="431"/>
  <c r="ES115" i="431"/>
  <c r="ES114" i="431" s="1"/>
  <c r="EN115" i="431"/>
  <c r="EN120" i="431"/>
  <c r="EN109" i="431"/>
  <c r="EN33" i="431"/>
  <c r="DG218" i="431"/>
  <c r="EI107" i="431"/>
  <c r="EN106" i="431"/>
  <c r="BH135" i="431"/>
  <c r="BH82" i="431" s="1"/>
  <c r="BH104" i="431"/>
  <c r="F134" i="431"/>
  <c r="BN60" i="431"/>
  <c r="BY146" i="431"/>
  <c r="DE247" i="431"/>
  <c r="DE370" i="431"/>
  <c r="DJ235" i="431"/>
  <c r="DE236" i="431"/>
  <c r="DE229" i="431"/>
  <c r="AM219" i="431"/>
  <c r="AM205" i="431"/>
  <c r="BE141" i="431"/>
  <c r="BG141" i="431"/>
  <c r="BI147" i="431"/>
  <c r="BN148" i="431" s="1"/>
  <c r="BN139" i="431"/>
  <c r="EM152" i="431"/>
  <c r="FI152" i="431" s="1"/>
  <c r="P175" i="431"/>
  <c r="BA205" i="431"/>
  <c r="DI102" i="431"/>
  <c r="BW145" i="431"/>
  <c r="EI217" i="431"/>
  <c r="EN217" i="431"/>
  <c r="CI198" i="431"/>
  <c r="EU243" i="431"/>
  <c r="EU242" i="431" s="1"/>
  <c r="EU241" i="431" s="1"/>
  <c r="DW206" i="431"/>
  <c r="CJ180" i="431"/>
  <c r="DZ127" i="431"/>
  <c r="BF141" i="431"/>
  <c r="EN198" i="431"/>
  <c r="CJ206" i="431"/>
  <c r="CI206" i="431"/>
  <c r="CG221" i="431"/>
  <c r="CL136" i="431"/>
  <c r="CG51" i="431"/>
  <c r="CG60" i="431"/>
  <c r="AC65" i="431"/>
  <c r="EF155" i="431"/>
  <c r="EF169" i="431"/>
  <c r="BV199" i="431"/>
  <c r="CX126" i="431"/>
  <c r="DC127" i="431" s="1"/>
  <c r="CY31" i="431"/>
  <c r="AH65" i="431"/>
  <c r="AM65" i="431"/>
  <c r="EL18" i="431"/>
  <c r="AT53" i="431"/>
  <c r="BX101" i="431"/>
  <c r="R104" i="431"/>
  <c r="AW146" i="431"/>
  <c r="AB51" i="431"/>
  <c r="AU106" i="431"/>
  <c r="CB172" i="431"/>
  <c r="DD130" i="431"/>
  <c r="BX69" i="431"/>
  <c r="BE87" i="431"/>
  <c r="AG205" i="431"/>
  <c r="DN219" i="431"/>
  <c r="AM186" i="431"/>
  <c r="S134" i="431"/>
  <c r="BV96" i="431"/>
  <c r="DA206" i="431"/>
  <c r="EN27" i="431"/>
  <c r="EI67" i="431"/>
  <c r="EN69" i="431"/>
  <c r="EI69" i="431"/>
  <c r="AB16" i="431"/>
  <c r="FJ14" i="431"/>
  <c r="DG140" i="431"/>
  <c r="DG223" i="431"/>
  <c r="DG176" i="431"/>
  <c r="T184" i="431"/>
  <c r="Z182" i="431"/>
  <c r="S184" i="431"/>
  <c r="U182" i="431"/>
  <c r="H223" i="431"/>
  <c r="H202" i="431"/>
  <c r="H169" i="431"/>
  <c r="H215" i="431"/>
  <c r="H195" i="431"/>
  <c r="H210" i="431"/>
  <c r="H176" i="431"/>
  <c r="BJ151" i="431"/>
  <c r="BE152" i="431"/>
  <c r="EF151" i="431"/>
  <c r="EF115" i="431"/>
  <c r="EF116" i="431" s="1"/>
  <c r="CQ11" i="434" s="1"/>
  <c r="EE116" i="431"/>
  <c r="CP11" i="434" s="1"/>
  <c r="EI145" i="431"/>
  <c r="EN145" i="431"/>
  <c r="DH186" i="431"/>
  <c r="L177" i="431"/>
  <c r="O177" i="431"/>
  <c r="EL243" i="431"/>
  <c r="EJ243" i="431"/>
  <c r="EJ242" i="431" s="1"/>
  <c r="E225" i="431"/>
  <c r="G227" i="431" s="1"/>
  <c r="AO98" i="431"/>
  <c r="BS101" i="431"/>
  <c r="EF55" i="431"/>
  <c r="DL100" i="431"/>
  <c r="EN172" i="431"/>
  <c r="J222" i="431"/>
  <c r="CN217" i="431"/>
  <c r="CI217" i="431"/>
  <c r="CU130" i="431"/>
  <c r="CP198" i="431"/>
  <c r="S60" i="431"/>
  <c r="BV221" i="431"/>
  <c r="S27" i="431"/>
  <c r="EN219" i="431"/>
  <c r="BI150" i="431"/>
  <c r="BN151" i="431" s="1"/>
  <c r="EI166" i="431"/>
  <c r="CS148" i="431"/>
  <c r="Q51" i="431"/>
  <c r="Q134" i="431"/>
  <c r="EI126" i="431"/>
  <c r="EN30" i="431"/>
  <c r="DQ204" i="431"/>
  <c r="DQ205" i="431" s="1"/>
  <c r="DQ376" i="431"/>
  <c r="I221" i="431"/>
  <c r="I222" i="431" s="1"/>
  <c r="I136" i="431"/>
  <c r="I134" i="431"/>
  <c r="ED302" i="431"/>
  <c r="Q217" i="431"/>
  <c r="CW194" i="431"/>
  <c r="CT196" i="431"/>
  <c r="CS196" i="431"/>
  <c r="CU196" i="431"/>
  <c r="CV196" i="431"/>
  <c r="L184" i="431"/>
  <c r="M184" i="431"/>
  <c r="P182" i="431"/>
  <c r="N184" i="431"/>
  <c r="EN179" i="431"/>
  <c r="CT11" i="434"/>
  <c r="DD126" i="431"/>
  <c r="DD127" i="431" s="1"/>
  <c r="DD30" i="431"/>
  <c r="DX56" i="431"/>
  <c r="DT57" i="431"/>
  <c r="CK180" i="431"/>
  <c r="BO217" i="431"/>
  <c r="DG85" i="431"/>
  <c r="CB107" i="431"/>
  <c r="CB124" i="431" s="1"/>
  <c r="X186" i="431"/>
  <c r="DJ198" i="431"/>
  <c r="CB34" i="431"/>
  <c r="CA104" i="431"/>
  <c r="EI180" i="431"/>
  <c r="DC30" i="431"/>
  <c r="DG81" i="431"/>
  <c r="DN130" i="431"/>
  <c r="CT87" i="431"/>
  <c r="DJ30" i="431"/>
  <c r="DY124" i="431"/>
  <c r="AL205" i="431"/>
  <c r="DN33" i="431"/>
  <c r="EC198" i="431"/>
  <c r="DO217" i="431"/>
  <c r="AC198" i="431"/>
  <c r="S205" i="431"/>
  <c r="BH141" i="431"/>
  <c r="DB139" i="431"/>
  <c r="CW147" i="431"/>
  <c r="DB148" i="431" s="1"/>
  <c r="CU141" i="431"/>
  <c r="CW214" i="431"/>
  <c r="DB215" i="431" s="1"/>
  <c r="CT141" i="431"/>
  <c r="CV141" i="431"/>
  <c r="FK141" i="431" s="1"/>
  <c r="CW150" i="431"/>
  <c r="DB151" i="431" s="1"/>
  <c r="CS141" i="431"/>
  <c r="BZ173" i="431"/>
  <c r="EC56" i="431"/>
  <c r="EH56" i="431"/>
  <c r="DW33" i="431"/>
  <c r="D210" i="431"/>
  <c r="D223" i="431"/>
  <c r="D225" i="431" s="1"/>
  <c r="D140" i="431"/>
  <c r="DJ65" i="431"/>
  <c r="DL64" i="431"/>
  <c r="DV178" i="431"/>
  <c r="DV179" i="431" s="1"/>
  <c r="EA98" i="431"/>
  <c r="Z84" i="431"/>
  <c r="DB101" i="431"/>
  <c r="CW379" i="431"/>
  <c r="DV185" i="431"/>
  <c r="DV186" i="431" s="1"/>
  <c r="DV197" i="431"/>
  <c r="CW178" i="431"/>
  <c r="DV379" i="431"/>
  <c r="DV26" i="431"/>
  <c r="DV374" i="431"/>
  <c r="DV378" i="431"/>
  <c r="DV377" i="431"/>
  <c r="DV105" i="431"/>
  <c r="DV99" i="431"/>
  <c r="DV204" i="431"/>
  <c r="DV205" i="431" s="1"/>
  <c r="DV375" i="431"/>
  <c r="DV15" i="431"/>
  <c r="DV27" i="431" s="1"/>
  <c r="DV376" i="431"/>
  <c r="ET13" i="431"/>
  <c r="ET26" i="431" s="1"/>
  <c r="EU20" i="431"/>
  <c r="EU19" i="431"/>
  <c r="ET97" i="431"/>
  <c r="ET98" i="431" s="1"/>
  <c r="EU9" i="431"/>
  <c r="EU97" i="431" s="1"/>
  <c r="ET52" i="431"/>
  <c r="EU8" i="431"/>
  <c r="EU52" i="431" s="1"/>
  <c r="EU83" i="431"/>
  <c r="ET84" i="431"/>
  <c r="ET58" i="431"/>
  <c r="ET62" i="431"/>
  <c r="EU61" i="431"/>
  <c r="FP211" i="431"/>
  <c r="EN196" i="431"/>
  <c r="EZ12" i="431"/>
  <c r="FE12" i="431" s="1"/>
  <c r="ET18" i="431"/>
  <c r="EL183" i="431"/>
  <c r="FN183" i="431" s="1"/>
  <c r="EL223" i="431"/>
  <c r="EL178" i="431"/>
  <c r="EM14" i="431"/>
  <c r="EM127" i="431"/>
  <c r="EM65" i="431"/>
  <c r="EM118" i="431"/>
  <c r="EM115" i="431"/>
  <c r="EM120" i="431"/>
  <c r="EM109" i="431"/>
  <c r="EM205" i="431"/>
  <c r="EM106" i="431"/>
  <c r="EH107" i="431"/>
  <c r="EH108" i="431" s="1"/>
  <c r="DN304" i="431"/>
  <c r="DO302" i="431"/>
  <c r="DP302" i="431" s="1"/>
  <c r="EM222" i="431"/>
  <c r="DU69" i="431"/>
  <c r="BJ135" i="431"/>
  <c r="BJ60" i="431" s="1"/>
  <c r="EM101" i="431"/>
  <c r="CV87" i="431"/>
  <c r="DJ110" i="431"/>
  <c r="DI205" i="431"/>
  <c r="DD33" i="431"/>
  <c r="DE206" i="431"/>
  <c r="EH219" i="431"/>
  <c r="BR187" i="431"/>
  <c r="CS13" i="434"/>
  <c r="EH67" i="431"/>
  <c r="EM69" i="431"/>
  <c r="EM30" i="431"/>
  <c r="EM27" i="431"/>
  <c r="EH166" i="431"/>
  <c r="AL146" i="431"/>
  <c r="AP145" i="431"/>
  <c r="AA172" i="431"/>
  <c r="AA173" i="431"/>
  <c r="DV380" i="431"/>
  <c r="DV32" i="431"/>
  <c r="DV33" i="431" s="1"/>
  <c r="DV171" i="431"/>
  <c r="DV172" i="431" s="1"/>
  <c r="BI62" i="431"/>
  <c r="BN62" i="431"/>
  <c r="EM136" i="431"/>
  <c r="EM130" i="431"/>
  <c r="AJ62" i="431"/>
  <c r="DV63" i="431"/>
  <c r="EI206" i="431"/>
  <c r="EI205" i="431"/>
  <c r="EL196" i="431"/>
  <c r="EM196" i="431"/>
  <c r="AS180" i="431"/>
  <c r="DW126" i="431"/>
  <c r="DW127" i="431" s="1"/>
  <c r="DW30" i="431"/>
  <c r="DX31" i="431"/>
  <c r="Z98" i="431"/>
  <c r="U98" i="431"/>
  <c r="U100" i="431"/>
  <c r="Z101" i="431" s="1"/>
  <c r="CY221" i="431"/>
  <c r="CY60" i="431"/>
  <c r="CY96" i="431"/>
  <c r="CL225" i="431"/>
  <c r="CL234" i="431"/>
  <c r="FQ181" i="431"/>
  <c r="DR219" i="431"/>
  <c r="DJ187" i="431"/>
  <c r="EI109" i="431"/>
  <c r="AB82" i="431"/>
  <c r="BR106" i="431"/>
  <c r="AO103" i="431"/>
  <c r="U65" i="431"/>
  <c r="DU88" i="431"/>
  <c r="BS151" i="431"/>
  <c r="CA88" i="431"/>
  <c r="BJ107" i="431"/>
  <c r="BZ57" i="431"/>
  <c r="AU146" i="431"/>
  <c r="DY295" i="431"/>
  <c r="CW63" i="431"/>
  <c r="EJ130" i="431"/>
  <c r="DT305" i="431"/>
  <c r="DT307" i="431" s="1"/>
  <c r="EE292" i="431"/>
  <c r="EE296" i="431" s="1"/>
  <c r="CD88" i="431"/>
  <c r="S173" i="431"/>
  <c r="EH217" i="431"/>
  <c r="EH106" i="431"/>
  <c r="BM173" i="431"/>
  <c r="CW85" i="431"/>
  <c r="DD114" i="431"/>
  <c r="CY109" i="431"/>
  <c r="CY124" i="431"/>
  <c r="CX146" i="431"/>
  <c r="DA145" i="431"/>
  <c r="AV107" i="431"/>
  <c r="AV108" i="431" s="1"/>
  <c r="AV106" i="431"/>
  <c r="A6" i="434"/>
  <c r="B6" i="434" s="1"/>
  <c r="E8" i="434"/>
  <c r="E9" i="434" s="1"/>
  <c r="I6" i="451"/>
  <c r="J15" i="451"/>
  <c r="J54" i="451" s="1"/>
  <c r="CB38" i="451"/>
  <c r="CD38" i="451"/>
  <c r="M6" i="451"/>
  <c r="L15" i="451"/>
  <c r="L54" i="451" s="1"/>
  <c r="B562" i="435"/>
  <c r="D562" i="435" s="1"/>
  <c r="C563" i="435"/>
  <c r="CM86" i="431"/>
  <c r="M195" i="431"/>
  <c r="DD199" i="431"/>
  <c r="O52" i="453"/>
  <c r="O59" i="453" s="1"/>
  <c r="P39" i="453"/>
  <c r="P52" i="453" s="1"/>
  <c r="P59" i="453" s="1"/>
  <c r="K51" i="453"/>
  <c r="K93" i="453"/>
  <c r="K95" i="453" s="1"/>
  <c r="K99" i="453" s="1"/>
  <c r="L25" i="453"/>
  <c r="L67" i="453"/>
  <c r="AY103" i="431"/>
  <c r="AY135" i="431" s="1"/>
  <c r="BP135" i="431"/>
  <c r="BP136" i="431" s="1"/>
  <c r="BU104" i="431"/>
  <c r="O40" i="453"/>
  <c r="P33" i="453"/>
  <c r="P40" i="453" s="1"/>
  <c r="L23" i="453"/>
  <c r="M24" i="453"/>
  <c r="L44" i="453"/>
  <c r="M29" i="453"/>
  <c r="M32" i="453"/>
  <c r="M23" i="453" s="1"/>
  <c r="M21" i="453"/>
  <c r="M42" i="453"/>
  <c r="Q4" i="455"/>
  <c r="P24" i="455"/>
  <c r="Y221" i="431"/>
  <c r="Y222" i="431" s="1"/>
  <c r="Y134" i="431"/>
  <c r="Y60" i="431"/>
  <c r="Y96" i="431"/>
  <c r="Y51" i="431"/>
  <c r="Y82" i="431"/>
  <c r="EI179" i="431"/>
  <c r="CX224" i="431"/>
  <c r="CW223" i="431"/>
  <c r="DC124" i="431"/>
  <c r="CP107" i="431"/>
  <c r="A5" i="434"/>
  <c r="B5" i="434" s="1"/>
  <c r="AE18" i="431"/>
  <c r="DV145" i="431"/>
  <c r="U86" i="431"/>
  <c r="DF135" i="431"/>
  <c r="DF51" i="431" s="1"/>
  <c r="CB135" i="431"/>
  <c r="CB82" i="431" s="1"/>
  <c r="CP120" i="431"/>
  <c r="BA13" i="434" s="1"/>
  <c r="Q87" i="431"/>
  <c r="EA210" i="431"/>
  <c r="X65" i="431"/>
  <c r="BV206" i="431"/>
  <c r="CK172" i="431"/>
  <c r="CL27" i="431"/>
  <c r="ED124" i="431"/>
  <c r="ED125" i="431" s="1"/>
  <c r="CE104" i="431"/>
  <c r="BV198" i="431"/>
  <c r="AW172" i="431"/>
  <c r="DN88" i="431"/>
  <c r="AW179" i="431"/>
  <c r="BB179" i="431"/>
  <c r="CP104" i="431"/>
  <c r="DX145" i="431"/>
  <c r="BK205" i="431"/>
  <c r="N107" i="431"/>
  <c r="S108" i="431" s="1"/>
  <c r="DD198" i="431"/>
  <c r="BQ172" i="431"/>
  <c r="EE101" i="431"/>
  <c r="AD225" i="431"/>
  <c r="AI226" i="431" s="1"/>
  <c r="AD247" i="431"/>
  <c r="CK101" i="431"/>
  <c r="BL87" i="431"/>
  <c r="AD101" i="431"/>
  <c r="BC96" i="431"/>
  <c r="BC51" i="431"/>
  <c r="CX88" i="431"/>
  <c r="BV146" i="431"/>
  <c r="BC104" i="431"/>
  <c r="BL180" i="431"/>
  <c r="AE64" i="431"/>
  <c r="BT101" i="431"/>
  <c r="DI198" i="431"/>
  <c r="CL106" i="431"/>
  <c r="CP186" i="431"/>
  <c r="DN30" i="431"/>
  <c r="BQ179" i="431"/>
  <c r="CF102" i="431"/>
  <c r="CP27" i="431"/>
  <c r="CQ16" i="431"/>
  <c r="AX56" i="431"/>
  <c r="CM101" i="431"/>
  <c r="CZ130" i="431"/>
  <c r="DV100" i="431"/>
  <c r="CJ130" i="431"/>
  <c r="AV27" i="431"/>
  <c r="EH172" i="431"/>
  <c r="DI34" i="431"/>
  <c r="K214" i="431"/>
  <c r="K140" i="431" s="1"/>
  <c r="X219" i="431"/>
  <c r="AQ179" i="431"/>
  <c r="CA198" i="431"/>
  <c r="AR179" i="431"/>
  <c r="DU301" i="431"/>
  <c r="DU304" i="431" s="1"/>
  <c r="AY81" i="431"/>
  <c r="CW86" i="431"/>
  <c r="BG205" i="431"/>
  <c r="BR219" i="431"/>
  <c r="EH198" i="431"/>
  <c r="DJ130" i="431"/>
  <c r="DJ146" i="431"/>
  <c r="DE130" i="431"/>
  <c r="DE217" i="431"/>
  <c r="Y136" i="431"/>
  <c r="ED173" i="431"/>
  <c r="N8" i="453"/>
  <c r="O8" i="453" s="1"/>
  <c r="P8" i="453" s="1"/>
  <c r="N19" i="453"/>
  <c r="K22" i="435"/>
  <c r="K32" i="435" s="1"/>
  <c r="BR278" i="431" s="1"/>
  <c r="BR279" i="431" s="1"/>
  <c r="BR280" i="431" s="1"/>
  <c r="K21" i="435"/>
  <c r="K31" i="435" s="1"/>
  <c r="L20" i="435"/>
  <c r="CM30" i="435"/>
  <c r="DP114" i="431"/>
  <c r="DK109" i="431"/>
  <c r="DK96" i="431"/>
  <c r="DK51" i="431"/>
  <c r="DK60" i="431"/>
  <c r="AD136" i="431"/>
  <c r="N12" i="453"/>
  <c r="O11" i="453"/>
  <c r="L45" i="453"/>
  <c r="CD43" i="453" s="1"/>
  <c r="M67" i="453"/>
  <c r="G147" i="434"/>
  <c r="H146" i="434" s="1"/>
  <c r="G404" i="434"/>
  <c r="H403" i="434" s="1"/>
  <c r="G532" i="434"/>
  <c r="H531" i="434" s="1"/>
  <c r="L37" i="455"/>
  <c r="K31" i="455"/>
  <c r="K37" i="455" s="1"/>
  <c r="O31" i="455"/>
  <c r="O37" i="455" s="1"/>
  <c r="N37" i="455"/>
  <c r="CQ135" i="431"/>
  <c r="CQ120" i="431"/>
  <c r="BB13" i="434" s="1"/>
  <c r="G566" i="434"/>
  <c r="H565" i="434" s="1"/>
  <c r="P81" i="431"/>
  <c r="DP136" i="431"/>
  <c r="N42" i="451"/>
  <c r="CP109" i="431"/>
  <c r="CU114" i="431"/>
  <c r="CW204" i="431"/>
  <c r="BM145" i="431"/>
  <c r="DJ219" i="431"/>
  <c r="AS173" i="431"/>
  <c r="DU173" i="431"/>
  <c r="DS107" i="431"/>
  <c r="DX108" i="431" s="1"/>
  <c r="CQ179" i="431"/>
  <c r="DJ31" i="431"/>
  <c r="DS146" i="431"/>
  <c r="AK104" i="431"/>
  <c r="DJ186" i="431"/>
  <c r="BN356" i="431"/>
  <c r="DZ88" i="431"/>
  <c r="G235" i="431"/>
  <c r="CP106" i="431"/>
  <c r="DO65" i="431"/>
  <c r="DT65" i="431"/>
  <c r="DI106" i="431"/>
  <c r="DD106" i="431"/>
  <c r="BZ106" i="431"/>
  <c r="CE106" i="431"/>
  <c r="CV69" i="431"/>
  <c r="DA69" i="431"/>
  <c r="CX102" i="431"/>
  <c r="AS225" i="431"/>
  <c r="AS234" i="431"/>
  <c r="AM179" i="431"/>
  <c r="AH179" i="431"/>
  <c r="EC205" i="431"/>
  <c r="ED206" i="431"/>
  <c r="DJ172" i="431"/>
  <c r="DJ173" i="431"/>
  <c r="DK173" i="431"/>
  <c r="CU217" i="431"/>
  <c r="CP217" i="431"/>
  <c r="CZ172" i="431"/>
  <c r="DE172" i="431"/>
  <c r="CZ173" i="431"/>
  <c r="AU180" i="431"/>
  <c r="AR172" i="431"/>
  <c r="G228" i="431"/>
  <c r="B236" i="431"/>
  <c r="CJ187" i="431"/>
  <c r="CJ186" i="431"/>
  <c r="CK187" i="431"/>
  <c r="CF57" i="431"/>
  <c r="CE56" i="431"/>
  <c r="CE57" i="431"/>
  <c r="BM187" i="431"/>
  <c r="BQ186" i="431"/>
  <c r="BL187" i="431"/>
  <c r="BL186" i="431"/>
  <c r="DW130" i="431"/>
  <c r="CS130" i="431"/>
  <c r="DP217" i="431"/>
  <c r="BM219" i="431"/>
  <c r="EC324" i="431"/>
  <c r="BY101" i="431"/>
  <c r="CV101" i="431"/>
  <c r="CV102" i="431"/>
  <c r="AK82" i="431"/>
  <c r="AK221" i="431"/>
  <c r="AK51" i="431"/>
  <c r="AK60" i="431"/>
  <c r="AK96" i="431"/>
  <c r="CJ34" i="431"/>
  <c r="CK34" i="431"/>
  <c r="CJ33" i="431"/>
  <c r="CO33" i="431"/>
  <c r="AB173" i="431"/>
  <c r="AB172" i="431"/>
  <c r="AG172" i="431"/>
  <c r="BC219" i="431"/>
  <c r="BH219" i="431"/>
  <c r="AC56" i="431"/>
  <c r="X56" i="431"/>
  <c r="BL199" i="431"/>
  <c r="BQ198" i="431"/>
  <c r="CG146" i="431"/>
  <c r="CF146" i="431"/>
  <c r="CK145" i="431"/>
  <c r="AQ101" i="431"/>
  <c r="AL101" i="431"/>
  <c r="CJ27" i="431"/>
  <c r="CO27" i="431"/>
  <c r="CJ16" i="431"/>
  <c r="CK16" i="431"/>
  <c r="DU56" i="431"/>
  <c r="DP56" i="431"/>
  <c r="DP57" i="431"/>
  <c r="DT56" i="431"/>
  <c r="DO56" i="431"/>
  <c r="DQ55" i="431"/>
  <c r="DQ56" i="431" s="1"/>
  <c r="CO101" i="431"/>
  <c r="CP102" i="431"/>
  <c r="BM146" i="431"/>
  <c r="BQ145" i="431"/>
  <c r="DE30" i="431"/>
  <c r="CZ126" i="431"/>
  <c r="CZ31" i="431"/>
  <c r="EC295" i="431"/>
  <c r="EC225" i="431"/>
  <c r="EC322" i="431"/>
  <c r="EC234" i="431"/>
  <c r="CK30" i="431"/>
  <c r="CF30" i="431"/>
  <c r="CF31" i="431"/>
  <c r="CF126" i="431"/>
  <c r="DT130" i="431"/>
  <c r="DF102" i="431"/>
  <c r="DF101" i="431"/>
  <c r="AV199" i="431"/>
  <c r="AW199" i="431"/>
  <c r="DA126" i="431"/>
  <c r="DA124" i="431" s="1"/>
  <c r="DF129" i="431" s="1"/>
  <c r="DA31" i="431"/>
  <c r="DI124" i="431"/>
  <c r="DN129" i="431" s="1"/>
  <c r="DN128" i="431" s="1"/>
  <c r="DN123" i="431" s="1"/>
  <c r="BV180" i="431"/>
  <c r="CA179" i="431"/>
  <c r="CP180" i="431"/>
  <c r="CP179" i="431"/>
  <c r="CU179" i="431"/>
  <c r="DA187" i="431"/>
  <c r="CZ186" i="431"/>
  <c r="CW378" i="431"/>
  <c r="BB107" i="431"/>
  <c r="BM104" i="431"/>
  <c r="DV68" i="431"/>
  <c r="EA69" i="431" s="1"/>
  <c r="DK146" i="431"/>
  <c r="CW15" i="431"/>
  <c r="CO88" i="431"/>
  <c r="EC106" i="431"/>
  <c r="DK31" i="431"/>
  <c r="CU198" i="431"/>
  <c r="EC108" i="431"/>
  <c r="EC110" i="431" s="1"/>
  <c r="DE186" i="431"/>
  <c r="DK101" i="431"/>
  <c r="BV179" i="431"/>
  <c r="EC318" i="431"/>
  <c r="EC326" i="431"/>
  <c r="N173" i="431"/>
  <c r="DO205" i="431"/>
  <c r="DD206" i="431"/>
  <c r="DD34" i="431"/>
  <c r="DA173" i="431"/>
  <c r="DF172" i="431"/>
  <c r="AS187" i="431"/>
  <c r="AX186" i="431"/>
  <c r="AS186" i="431"/>
  <c r="DI219" i="431"/>
  <c r="DY198" i="431"/>
  <c r="DT198" i="431"/>
  <c r="BV16" i="431"/>
  <c r="BV27" i="431"/>
  <c r="CA27" i="431"/>
  <c r="AU65" i="431"/>
  <c r="CP34" i="431"/>
  <c r="CP33" i="431"/>
  <c r="AH198" i="431"/>
  <c r="AM198" i="431"/>
  <c r="DE205" i="431"/>
  <c r="CZ206" i="431"/>
  <c r="CZ205" i="431"/>
  <c r="DE219" i="431"/>
  <c r="CZ219" i="431"/>
  <c r="AW145" i="431"/>
  <c r="AR146" i="431"/>
  <c r="BI86" i="431"/>
  <c r="BC107" i="431"/>
  <c r="BC106" i="431"/>
  <c r="CW54" i="431"/>
  <c r="CW99" i="431"/>
  <c r="DF30" i="431"/>
  <c r="BL145" i="431"/>
  <c r="DI16" i="431"/>
  <c r="DT199" i="431"/>
  <c r="CQ199" i="431"/>
  <c r="BK101" i="431"/>
  <c r="DN27" i="431"/>
  <c r="CK57" i="431"/>
  <c r="CU219" i="431"/>
  <c r="AV179" i="431"/>
  <c r="CF145" i="431"/>
  <c r="CG173" i="431"/>
  <c r="AF56" i="431"/>
  <c r="CD217" i="431"/>
  <c r="AQ205" i="431"/>
  <c r="DK106" i="431"/>
  <c r="DZ217" i="431"/>
  <c r="CR101" i="431"/>
  <c r="S172" i="431"/>
  <c r="DK206" i="431"/>
  <c r="S217" i="431"/>
  <c r="DJ205" i="431"/>
  <c r="BY87" i="431"/>
  <c r="CY69" i="431"/>
  <c r="DD69" i="431"/>
  <c r="CE186" i="431"/>
  <c r="CA187" i="431"/>
  <c r="BZ187" i="431"/>
  <c r="DZ56" i="431"/>
  <c r="DZ57" i="431"/>
  <c r="DS31" i="431"/>
  <c r="DS126" i="431"/>
  <c r="DX30" i="431"/>
  <c r="DS30" i="431"/>
  <c r="BV172" i="431"/>
  <c r="CA172" i="431"/>
  <c r="BC187" i="431"/>
  <c r="BB186" i="431"/>
  <c r="BW173" i="431"/>
  <c r="DR57" i="431"/>
  <c r="DA180" i="431"/>
  <c r="CZ179" i="431"/>
  <c r="CZ180" i="431"/>
  <c r="CF199" i="431"/>
  <c r="CK198" i="431"/>
  <c r="DJ124" i="431"/>
  <c r="DJ125" i="431" s="1"/>
  <c r="DO114" i="431"/>
  <c r="DJ109" i="431"/>
  <c r="CQ173" i="431"/>
  <c r="CP172" i="431"/>
  <c r="CP173" i="431"/>
  <c r="AE55" i="431"/>
  <c r="DS198" i="431"/>
  <c r="CP199" i="431"/>
  <c r="FJ199" i="431" s="1"/>
  <c r="CF172" i="431"/>
  <c r="AB87" i="431"/>
  <c r="BF56" i="431"/>
  <c r="AM56" i="431"/>
  <c r="AP87" i="431"/>
  <c r="DS219" i="431"/>
  <c r="CC101" i="431"/>
  <c r="CZ87" i="431"/>
  <c r="CG31" i="431"/>
  <c r="AR27" i="431"/>
  <c r="CE101" i="431"/>
  <c r="CJ101" i="431"/>
  <c r="CE102" i="431"/>
  <c r="CA192" i="431"/>
  <c r="BZ186" i="431"/>
  <c r="DA101" i="431"/>
  <c r="BV107" i="431"/>
  <c r="CA108" i="431" s="1"/>
  <c r="CA106" i="431"/>
  <c r="DH102" i="431"/>
  <c r="BV225" i="431"/>
  <c r="BV234" i="431"/>
  <c r="EH27" i="431"/>
  <c r="ED16" i="431"/>
  <c r="EC27" i="431"/>
  <c r="CZ198" i="431"/>
  <c r="DE198" i="431"/>
  <c r="DA199" i="431"/>
  <c r="DA16" i="431"/>
  <c r="CZ16" i="431"/>
  <c r="CZ27" i="431"/>
  <c r="BW180" i="431"/>
  <c r="CW18" i="431"/>
  <c r="CW374" i="431"/>
  <c r="EK68" i="431"/>
  <c r="AH186" i="431"/>
  <c r="DX65" i="431"/>
  <c r="CQ180" i="431"/>
  <c r="EJ146" i="431"/>
  <c r="DI33" i="431"/>
  <c r="DD180" i="431"/>
  <c r="DD179" i="431"/>
  <c r="CJ126" i="431"/>
  <c r="CJ127" i="431" s="1"/>
  <c r="CK31" i="431"/>
  <c r="CJ31" i="431"/>
  <c r="CO102" i="431"/>
  <c r="DI179" i="431"/>
  <c r="DN179" i="431"/>
  <c r="DO57" i="431"/>
  <c r="DT146" i="431"/>
  <c r="BV31" i="431"/>
  <c r="CA30" i="431"/>
  <c r="BV186" i="431"/>
  <c r="CA186" i="431"/>
  <c r="AH173" i="431"/>
  <c r="AI173" i="431"/>
  <c r="AM172" i="431"/>
  <c r="AH172" i="431"/>
  <c r="EH33" i="431"/>
  <c r="EC33" i="431"/>
  <c r="CF16" i="431"/>
  <c r="CF27" i="431"/>
  <c r="CK27" i="431"/>
  <c r="AR106" i="431"/>
  <c r="AR107" i="431"/>
  <c r="EC57" i="431"/>
  <c r="EB57" i="431"/>
  <c r="CX57" i="431"/>
  <c r="CY57" i="431"/>
  <c r="G247" i="431"/>
  <c r="G236" i="431"/>
  <c r="G237" i="431" s="1"/>
  <c r="CO186" i="431"/>
  <c r="DZ298" i="431"/>
  <c r="CW197" i="431"/>
  <c r="EA375" i="431"/>
  <c r="CS87" i="431"/>
  <c r="AO86" i="431"/>
  <c r="EA195" i="431"/>
  <c r="S65" i="431"/>
  <c r="DE222" i="431"/>
  <c r="CL198" i="431"/>
  <c r="AB221" i="431"/>
  <c r="AB225" i="431" s="1"/>
  <c r="CP88" i="431"/>
  <c r="AM136" i="431"/>
  <c r="BJ187" i="431"/>
  <c r="CM163" i="431"/>
  <c r="DX130" i="431"/>
  <c r="CO87" i="431"/>
  <c r="B248" i="431"/>
  <c r="CB87" i="431"/>
  <c r="ED336" i="431"/>
  <c r="EI224" i="431"/>
  <c r="ED334" i="431"/>
  <c r="ED224" i="431"/>
  <c r="BI139" i="431"/>
  <c r="BC141" i="431"/>
  <c r="BD139" i="431"/>
  <c r="BD147" i="431"/>
  <c r="BD214" i="431"/>
  <c r="BD140" i="431" s="1"/>
  <c r="BD150" i="431"/>
  <c r="AZ141" i="431"/>
  <c r="BA141" i="431"/>
  <c r="BB141" i="431"/>
  <c r="EI102" i="431"/>
  <c r="EH101" i="431"/>
  <c r="O211" i="431"/>
  <c r="P208" i="431"/>
  <c r="L211" i="431"/>
  <c r="U208" i="431"/>
  <c r="N211" i="431"/>
  <c r="AA234" i="431"/>
  <c r="AA225" i="431"/>
  <c r="DM186" i="431"/>
  <c r="DI187" i="431"/>
  <c r="EE288" i="431"/>
  <c r="EE289" i="431" s="1"/>
  <c r="AV205" i="431"/>
  <c r="BE219" i="431"/>
  <c r="AZ219" i="431"/>
  <c r="DU219" i="431"/>
  <c r="EE243" i="431"/>
  <c r="EE242" i="431" s="1"/>
  <c r="EG243" i="431"/>
  <c r="EJ120" i="431"/>
  <c r="CU13" i="434" s="1"/>
  <c r="U134" i="431"/>
  <c r="U60" i="431"/>
  <c r="U96" i="431"/>
  <c r="U51" i="431"/>
  <c r="U221" i="431"/>
  <c r="CX87" i="431"/>
  <c r="CY88" i="431"/>
  <c r="AT81" i="431"/>
  <c r="M210" i="431"/>
  <c r="M223" i="431"/>
  <c r="M224" i="431" s="1"/>
  <c r="M202" i="431"/>
  <c r="M215" i="431"/>
  <c r="M176" i="431"/>
  <c r="M169" i="431"/>
  <c r="M216" i="431"/>
  <c r="M140" i="431"/>
  <c r="EG87" i="431"/>
  <c r="EC88" i="431"/>
  <c r="EB88" i="431"/>
  <c r="DM87" i="431"/>
  <c r="DQ86" i="431"/>
  <c r="CT88" i="431"/>
  <c r="CU88" i="431"/>
  <c r="CY87" i="431"/>
  <c r="AW87" i="431"/>
  <c r="FP18" i="431"/>
  <c r="CZ222" i="431"/>
  <c r="V224" i="431"/>
  <c r="AA224" i="431"/>
  <c r="CO120" i="431"/>
  <c r="AZ13" i="434" s="1"/>
  <c r="CO135" i="431"/>
  <c r="K139" i="431"/>
  <c r="EF81" i="431"/>
  <c r="EK18" i="431"/>
  <c r="EG217" i="431"/>
  <c r="BZ104" i="431"/>
  <c r="CE135" i="431"/>
  <c r="CE107" i="431"/>
  <c r="CH103" i="431"/>
  <c r="CH135" i="431" s="1"/>
  <c r="CH60" i="431" s="1"/>
  <c r="CV88" i="431"/>
  <c r="DA87" i="431"/>
  <c r="DB62" i="431"/>
  <c r="CW62" i="431"/>
  <c r="DP33" i="431"/>
  <c r="DR34" i="431"/>
  <c r="F147" i="431"/>
  <c r="K148" i="431" s="1"/>
  <c r="DF198" i="431"/>
  <c r="DF199" i="431"/>
  <c r="EK195" i="431"/>
  <c r="EK155" i="431"/>
  <c r="EK140" i="431"/>
  <c r="EK202" i="431"/>
  <c r="EK210" i="431"/>
  <c r="EK215" i="431"/>
  <c r="EK176" i="431"/>
  <c r="EK183" i="431"/>
  <c r="EK223" i="431"/>
  <c r="EP224" i="431" s="1"/>
  <c r="BD135" i="431"/>
  <c r="CT135" i="431"/>
  <c r="CT104" i="431"/>
  <c r="CT107" i="431"/>
  <c r="CT120" i="431"/>
  <c r="BE13" i="434" s="1"/>
  <c r="CY104" i="431"/>
  <c r="BO135" i="431"/>
  <c r="BT136" i="431" s="1"/>
  <c r="BT104" i="431"/>
  <c r="BZ69" i="431"/>
  <c r="BU69" i="431"/>
  <c r="AE81" i="431"/>
  <c r="BZ87" i="431"/>
  <c r="DL118" i="431"/>
  <c r="DQ118" i="431"/>
  <c r="DL120" i="431"/>
  <c r="BW13" i="434" s="1"/>
  <c r="DS101" i="431"/>
  <c r="DO102" i="431"/>
  <c r="DN101" i="431"/>
  <c r="BG221" i="431"/>
  <c r="BG51" i="431"/>
  <c r="BG96" i="431"/>
  <c r="BG107" i="431"/>
  <c r="DI173" i="431"/>
  <c r="DM172" i="431"/>
  <c r="P380" i="431"/>
  <c r="BI379" i="431"/>
  <c r="BI380" i="431"/>
  <c r="CW375" i="431"/>
  <c r="CW101" i="431"/>
  <c r="DH33" i="431"/>
  <c r="AG65" i="431"/>
  <c r="EI146" i="431"/>
  <c r="AA87" i="431"/>
  <c r="BO107" i="431"/>
  <c r="BT108" i="431" s="1"/>
  <c r="CQ198" i="431"/>
  <c r="DP88" i="431"/>
  <c r="DT87" i="431"/>
  <c r="CJ65" i="431"/>
  <c r="CE66" i="431"/>
  <c r="DE102" i="431"/>
  <c r="DI101" i="431"/>
  <c r="DD101" i="431"/>
  <c r="DP130" i="431"/>
  <c r="DZ135" i="431"/>
  <c r="DZ120" i="431"/>
  <c r="CK13" i="434" s="1"/>
  <c r="EE104" i="431"/>
  <c r="DZ107" i="431"/>
  <c r="DZ104" i="431"/>
  <c r="AZ224" i="431"/>
  <c r="BE224" i="431"/>
  <c r="CH101" i="431"/>
  <c r="Z86" i="431"/>
  <c r="EK53" i="431"/>
  <c r="BI84" i="431"/>
  <c r="AO101" i="431"/>
  <c r="CW144" i="431"/>
  <c r="CW171" i="431"/>
  <c r="FP100" i="431"/>
  <c r="AB106" i="431"/>
  <c r="BH187" i="431"/>
  <c r="AF106" i="431"/>
  <c r="CW64" i="431"/>
  <c r="CS31" i="431"/>
  <c r="DL243" i="431"/>
  <c r="DL242" i="431" s="1"/>
  <c r="DI88" i="431"/>
  <c r="AM60" i="431"/>
  <c r="EZ338" i="431"/>
  <c r="EZ352" i="431" s="1"/>
  <c r="CE87" i="431"/>
  <c r="BB87" i="431"/>
  <c r="BR104" i="431"/>
  <c r="AH107" i="431"/>
  <c r="BR192" i="431"/>
  <c r="BO104" i="431"/>
  <c r="CL199" i="431"/>
  <c r="CQ114" i="431"/>
  <c r="CL109" i="431"/>
  <c r="CL108" i="431"/>
  <c r="BU146" i="431"/>
  <c r="BU145" i="431"/>
  <c r="AM104" i="431"/>
  <c r="CH68" i="431"/>
  <c r="CH71" i="431"/>
  <c r="DM219" i="431"/>
  <c r="EA163" i="431"/>
  <c r="DV163" i="431"/>
  <c r="DH199" i="431"/>
  <c r="DI199" i="431"/>
  <c r="DH198" i="431"/>
  <c r="DM198" i="431"/>
  <c r="DB169" i="431"/>
  <c r="DB140" i="431"/>
  <c r="DB195" i="431"/>
  <c r="DB176" i="431"/>
  <c r="DB202" i="431"/>
  <c r="DB155" i="431"/>
  <c r="DB210" i="431"/>
  <c r="BB101" i="431"/>
  <c r="AW101" i="431"/>
  <c r="CB88" i="431"/>
  <c r="BH51" i="431"/>
  <c r="DA109" i="431"/>
  <c r="DF114" i="431"/>
  <c r="DG215" i="431"/>
  <c r="DK198" i="431"/>
  <c r="EF334" i="431"/>
  <c r="EE334" i="431" s="1"/>
  <c r="EF336" i="431"/>
  <c r="EE336" i="431" s="1"/>
  <c r="DL221" i="431"/>
  <c r="DL96" i="431"/>
  <c r="DL60" i="431"/>
  <c r="DL51" i="431"/>
  <c r="DL82" i="431"/>
  <c r="EJ206" i="431"/>
  <c r="EJ205" i="431"/>
  <c r="CS51" i="431"/>
  <c r="CS82" i="431"/>
  <c r="CS221" i="431"/>
  <c r="CS222" i="431" s="1"/>
  <c r="CS96" i="431"/>
  <c r="CS60" i="431"/>
  <c r="AR234" i="431"/>
  <c r="EK118" i="431"/>
  <c r="DK179" i="431"/>
  <c r="EK169" i="431"/>
  <c r="P201" i="431"/>
  <c r="U201" i="431"/>
  <c r="L203" i="431"/>
  <c r="M203" i="431"/>
  <c r="N203" i="431"/>
  <c r="AZ225" i="431"/>
  <c r="DH180" i="431"/>
  <c r="DH179" i="431"/>
  <c r="DI180" i="431"/>
  <c r="CS57" i="431"/>
  <c r="F214" i="431"/>
  <c r="CW105" i="431"/>
  <c r="CE130" i="431"/>
  <c r="DN221" i="431"/>
  <c r="DS222" i="431" s="1"/>
  <c r="DN96" i="431"/>
  <c r="DN51" i="431"/>
  <c r="DN82" i="431"/>
  <c r="DN60" i="431"/>
  <c r="DN136" i="431"/>
  <c r="AI236" i="431"/>
  <c r="AI237" i="431" s="1"/>
  <c r="AI247" i="431"/>
  <c r="AI370" i="431"/>
  <c r="EG135" i="431"/>
  <c r="EG120" i="431"/>
  <c r="EG104" i="431"/>
  <c r="EK103" i="431"/>
  <c r="EG107" i="431"/>
  <c r="BN195" i="431"/>
  <c r="BN155" i="431"/>
  <c r="BN176" i="431"/>
  <c r="BN190" i="431"/>
  <c r="BN169" i="431"/>
  <c r="BN223" i="431"/>
  <c r="BN140" i="431"/>
  <c r="BN183" i="431"/>
  <c r="BN215" i="431"/>
  <c r="BN210" i="431"/>
  <c r="BN202" i="431"/>
  <c r="P95" i="431"/>
  <c r="U95" i="431"/>
  <c r="P100" i="431"/>
  <c r="EH65" i="431"/>
  <c r="EI66" i="431"/>
  <c r="AZ234" i="431"/>
  <c r="CW377" i="431"/>
  <c r="CW380" i="431"/>
  <c r="EF53" i="431"/>
  <c r="CW376" i="431"/>
  <c r="CW29" i="431"/>
  <c r="CW126" i="431" s="1"/>
  <c r="Z103" i="431"/>
  <c r="Z104" i="431" s="1"/>
  <c r="BR179" i="431"/>
  <c r="DO88" i="431"/>
  <c r="AA107" i="431"/>
  <c r="AA108" i="431" s="1"/>
  <c r="DC109" i="431"/>
  <c r="W107" i="431"/>
  <c r="W108" i="431" s="1"/>
  <c r="AH101" i="431"/>
  <c r="AM51" i="431"/>
  <c r="EU352" i="431"/>
  <c r="CD130" i="431"/>
  <c r="BZ88" i="431"/>
  <c r="AX205" i="431"/>
  <c r="DY130" i="431"/>
  <c r="DF130" i="431"/>
  <c r="BL104" i="431"/>
  <c r="DK217" i="431"/>
  <c r="DU33" i="431"/>
  <c r="DY219" i="431"/>
  <c r="EJ114" i="431"/>
  <c r="DT225" i="431"/>
  <c r="DY226" i="431" s="1"/>
  <c r="DJ129" i="431"/>
  <c r="CA87" i="431"/>
  <c r="CF87" i="431"/>
  <c r="DH173" i="431"/>
  <c r="AY64" i="431"/>
  <c r="BC65" i="431"/>
  <c r="BK16" i="431"/>
  <c r="BP27" i="431"/>
  <c r="BL16" i="431"/>
  <c r="CV135" i="431"/>
  <c r="DA104" i="431"/>
  <c r="CV104" i="431"/>
  <c r="CV120" i="431"/>
  <c r="BG13" i="434" s="1"/>
  <c r="BI71" i="431"/>
  <c r="BD71" i="431"/>
  <c r="CO107" i="431"/>
  <c r="DR180" i="431"/>
  <c r="DP179" i="431"/>
  <c r="DH106" i="431"/>
  <c r="DH107" i="431"/>
  <c r="DM106" i="431"/>
  <c r="H224" i="431"/>
  <c r="C225" i="431"/>
  <c r="D227" i="431" s="1"/>
  <c r="C234" i="431"/>
  <c r="AY169" i="431"/>
  <c r="AY210" i="431"/>
  <c r="AY155" i="431"/>
  <c r="AY140" i="431"/>
  <c r="AY176" i="431"/>
  <c r="AY183" i="431"/>
  <c r="AY195" i="431"/>
  <c r="AY202" i="431"/>
  <c r="AY223" i="431"/>
  <c r="AY215" i="431"/>
  <c r="CA195" i="431"/>
  <c r="CA176" i="431"/>
  <c r="CF215" i="431"/>
  <c r="CA223" i="431"/>
  <c r="CA218" i="431"/>
  <c r="CA219" i="431" s="1"/>
  <c r="CA190" i="431"/>
  <c r="CA169" i="431"/>
  <c r="CA210" i="431"/>
  <c r="CA216" i="431"/>
  <c r="CA217" i="431" s="1"/>
  <c r="CA140" i="431"/>
  <c r="CA215" i="431"/>
  <c r="CA183" i="431"/>
  <c r="CA202" i="431"/>
  <c r="EE87" i="431"/>
  <c r="EE88" i="431"/>
  <c r="BA225" i="431"/>
  <c r="BA234" i="431"/>
  <c r="DT289" i="431"/>
  <c r="DU288" i="431"/>
  <c r="DU289" i="431" s="1"/>
  <c r="O183" i="431"/>
  <c r="O176" i="431"/>
  <c r="O223" i="431"/>
  <c r="O234" i="431" s="1"/>
  <c r="O195" i="431"/>
  <c r="O210" i="431"/>
  <c r="O216" i="431"/>
  <c r="O140" i="431"/>
  <c r="O169" i="431"/>
  <c r="O218" i="431"/>
  <c r="P378" i="431"/>
  <c r="DT102" i="431"/>
  <c r="DX101" i="431"/>
  <c r="AQ16" i="431"/>
  <c r="AR16" i="431"/>
  <c r="AZ152" i="431"/>
  <c r="BE151" i="431"/>
  <c r="AZ151" i="431"/>
  <c r="BA152" i="431"/>
  <c r="DU106" i="431"/>
  <c r="DP107" i="431"/>
  <c r="DU108" i="431" s="1"/>
  <c r="DP106" i="431"/>
  <c r="DH126" i="431"/>
  <c r="DH31" i="431"/>
  <c r="S225" i="431"/>
  <c r="S234" i="431"/>
  <c r="CD87" i="431"/>
  <c r="CE88" i="431"/>
  <c r="EG88" i="431"/>
  <c r="AJ215" i="431"/>
  <c r="AJ183" i="431"/>
  <c r="AJ210" i="431"/>
  <c r="AJ176" i="431"/>
  <c r="AJ169" i="431"/>
  <c r="AJ202" i="431"/>
  <c r="AJ223" i="431"/>
  <c r="AJ155" i="431"/>
  <c r="AJ140" i="431"/>
  <c r="AT135" i="431"/>
  <c r="DQ81" i="431"/>
  <c r="DV81" i="431"/>
  <c r="DQ100" i="431"/>
  <c r="DQ101" i="431" s="1"/>
  <c r="AQ27" i="431"/>
  <c r="P139" i="431"/>
  <c r="DS88" i="431"/>
  <c r="AZ87" i="431"/>
  <c r="BR65" i="431"/>
  <c r="DZ87" i="431"/>
  <c r="DI31" i="431"/>
  <c r="CH59" i="431"/>
  <c r="CM59" i="431"/>
  <c r="AH221" i="431"/>
  <c r="AH51" i="431"/>
  <c r="AH96" i="431"/>
  <c r="AH82" i="431"/>
  <c r="AH60" i="431"/>
  <c r="DY224" i="431"/>
  <c r="DT336" i="431"/>
  <c r="DT224" i="431"/>
  <c r="DT334" i="431"/>
  <c r="DY87" i="431"/>
  <c r="EA169" i="431"/>
  <c r="EA223" i="431"/>
  <c r="EA202" i="431"/>
  <c r="EF215" i="431"/>
  <c r="EA183" i="431"/>
  <c r="AO210" i="431"/>
  <c r="AO183" i="431"/>
  <c r="AO202" i="431"/>
  <c r="AO169" i="431"/>
  <c r="AO155" i="431"/>
  <c r="AO140" i="431"/>
  <c r="AO176" i="431"/>
  <c r="AO223" i="431"/>
  <c r="AO195" i="431"/>
  <c r="AO215" i="431"/>
  <c r="DE56" i="431"/>
  <c r="CZ57" i="431"/>
  <c r="DS102" i="431"/>
  <c r="CC81" i="431"/>
  <c r="R216" i="431"/>
  <c r="W217" i="431" s="1"/>
  <c r="R210" i="431"/>
  <c r="R140" i="431"/>
  <c r="R202" i="431"/>
  <c r="R183" i="431"/>
  <c r="R218" i="431"/>
  <c r="R219" i="431" s="1"/>
  <c r="R176" i="431"/>
  <c r="R169" i="431"/>
  <c r="R215" i="431"/>
  <c r="W215" i="431"/>
  <c r="R223" i="431"/>
  <c r="BR87" i="431"/>
  <c r="BM87" i="431"/>
  <c r="DI60" i="431"/>
  <c r="DI51" i="431"/>
  <c r="DI82" i="431"/>
  <c r="DI96" i="431"/>
  <c r="DI221" i="431"/>
  <c r="CG127" i="431"/>
  <c r="CG124" i="431"/>
  <c r="N196" i="431"/>
  <c r="L196" i="431"/>
  <c r="O196" i="431"/>
  <c r="DR104" i="431"/>
  <c r="DM107" i="431"/>
  <c r="FQ10" i="431"/>
  <c r="EF54" i="431"/>
  <c r="CW185" i="431"/>
  <c r="CW32" i="431"/>
  <c r="EA377" i="431"/>
  <c r="BG60" i="431"/>
  <c r="BG136" i="431"/>
  <c r="DU130" i="431"/>
  <c r="EA140" i="431"/>
  <c r="BM180" i="431"/>
  <c r="DH172" i="431"/>
  <c r="DS199" i="431"/>
  <c r="DW87" i="431"/>
  <c r="EA103" i="431"/>
  <c r="EA120" i="431" s="1"/>
  <c r="CL13" i="434" s="1"/>
  <c r="CR103" i="431"/>
  <c r="CR135" i="431" s="1"/>
  <c r="R108" i="431"/>
  <c r="AB136" i="431"/>
  <c r="BZ124" i="431"/>
  <c r="CE129" i="431" s="1"/>
  <c r="AM96" i="431"/>
  <c r="BR217" i="431"/>
  <c r="X217" i="431"/>
  <c r="DR87" i="431"/>
  <c r="AX107" i="431"/>
  <c r="AX104" i="431"/>
  <c r="BV69" i="431"/>
  <c r="BQ69" i="431"/>
  <c r="DM205" i="431"/>
  <c r="DH205" i="431"/>
  <c r="DM27" i="431"/>
  <c r="DH27" i="431"/>
  <c r="CG88" i="431"/>
  <c r="CG87" i="431"/>
  <c r="CL87" i="431"/>
  <c r="EK163" i="431"/>
  <c r="CW103" i="431"/>
  <c r="EI82" i="431"/>
  <c r="EI96" i="431"/>
  <c r="EI221" i="431"/>
  <c r="EI60" i="431"/>
  <c r="EI136" i="431"/>
  <c r="EI51" i="431"/>
  <c r="BT221" i="431"/>
  <c r="BT82" i="431"/>
  <c r="BT51" i="431"/>
  <c r="BT60" i="431"/>
  <c r="BT96" i="431"/>
  <c r="AL224" i="431"/>
  <c r="EF118" i="431"/>
  <c r="EJ31" i="431"/>
  <c r="EJ126" i="431"/>
  <c r="EJ30" i="431"/>
  <c r="BL101" i="431"/>
  <c r="BQ101" i="431"/>
  <c r="AJ82" i="431"/>
  <c r="X224" i="431"/>
  <c r="AT223" i="431"/>
  <c r="AT169" i="431"/>
  <c r="AT183" i="431"/>
  <c r="AT210" i="431"/>
  <c r="AT140" i="431"/>
  <c r="AT195" i="431"/>
  <c r="AT155" i="431"/>
  <c r="AT176" i="431"/>
  <c r="AT215" i="431"/>
  <c r="R198" i="431"/>
  <c r="BI140" i="431"/>
  <c r="BI195" i="431"/>
  <c r="BI215" i="431"/>
  <c r="BI223" i="431"/>
  <c r="BI169" i="431"/>
  <c r="BI183" i="431"/>
  <c r="AI228" i="431"/>
  <c r="CH18" i="431"/>
  <c r="AQ56" i="431"/>
  <c r="AS145" i="431"/>
  <c r="CV33" i="431"/>
  <c r="DA33" i="431"/>
  <c r="EI33" i="431"/>
  <c r="EI34" i="431"/>
  <c r="AC87" i="431"/>
  <c r="AH87" i="431"/>
  <c r="AR101" i="431"/>
  <c r="DT205" i="431"/>
  <c r="DT206" i="431"/>
  <c r="DY205" i="431"/>
  <c r="DU206" i="431"/>
  <c r="R56" i="431"/>
  <c r="P55" i="431"/>
  <c r="AN135" i="431"/>
  <c r="AN104" i="431"/>
  <c r="AN107" i="431"/>
  <c r="AN108" i="431" s="1"/>
  <c r="CF33" i="431"/>
  <c r="DY88" i="431"/>
  <c r="DX87" i="431"/>
  <c r="DX88" i="431"/>
  <c r="EC87" i="431"/>
  <c r="AS104" i="431"/>
  <c r="BK108" i="431"/>
  <c r="BK136" i="431"/>
  <c r="BK96" i="431"/>
  <c r="BK221" i="431"/>
  <c r="BK60" i="431"/>
  <c r="BK82" i="431"/>
  <c r="BK51" i="431"/>
  <c r="AF87" i="431"/>
  <c r="AK87" i="431"/>
  <c r="DL68" i="431"/>
  <c r="DL69" i="431" s="1"/>
  <c r="DP69" i="431"/>
  <c r="CE34" i="431"/>
  <c r="CD33" i="431"/>
  <c r="CI33" i="431"/>
  <c r="CI104" i="431"/>
  <c r="CI120" i="431"/>
  <c r="AT13" i="434" s="1"/>
  <c r="CI135" i="431"/>
  <c r="EA374" i="431"/>
  <c r="EA26" i="431"/>
  <c r="CN106" i="431"/>
  <c r="CN107" i="431"/>
  <c r="CN108" i="431" s="1"/>
  <c r="BK56" i="431"/>
  <c r="DJ88" i="431"/>
  <c r="EA197" i="431"/>
  <c r="EA198" i="431" s="1"/>
  <c r="EA379" i="431"/>
  <c r="AY18" i="431"/>
  <c r="EC130" i="431"/>
  <c r="Y56" i="431"/>
  <c r="DV64" i="431"/>
  <c r="AR219" i="431"/>
  <c r="BR145" i="431"/>
  <c r="BR146" i="431"/>
  <c r="EI173" i="431"/>
  <c r="EJ173" i="431"/>
  <c r="DR205" i="431"/>
  <c r="DR206" i="431"/>
  <c r="DS206" i="431"/>
  <c r="DW205" i="431"/>
  <c r="CQ56" i="431"/>
  <c r="CQ57" i="431"/>
  <c r="DT180" i="431"/>
  <c r="DU180" i="431"/>
  <c r="AS198" i="431"/>
  <c r="AX198" i="431"/>
  <c r="AS199" i="431"/>
  <c r="AU199" i="431"/>
  <c r="AS219" i="431"/>
  <c r="AX219" i="431"/>
  <c r="CK219" i="431"/>
  <c r="CJ87" i="431"/>
  <c r="CJ88" i="431"/>
  <c r="DC69" i="431"/>
  <c r="DH69" i="431"/>
  <c r="AA101" i="431"/>
  <c r="AF101" i="431"/>
  <c r="EE130" i="431"/>
  <c r="BB56" i="431"/>
  <c r="AY55" i="431"/>
  <c r="CN173" i="431"/>
  <c r="CO173" i="431"/>
  <c r="CN172" i="431"/>
  <c r="CS172" i="431"/>
  <c r="CI130" i="431"/>
  <c r="CI88" i="431"/>
  <c r="CI87" i="431"/>
  <c r="DY236" i="431"/>
  <c r="DY229" i="431"/>
  <c r="DY370" i="431"/>
  <c r="DY247" i="431"/>
  <c r="BE65" i="431"/>
  <c r="BI64" i="431"/>
  <c r="CB101" i="431"/>
  <c r="CD102" i="431"/>
  <c r="CG101" i="431"/>
  <c r="CB102" i="431"/>
  <c r="DT217" i="431"/>
  <c r="DY217" i="431"/>
  <c r="BC217" i="431"/>
  <c r="BH217" i="431"/>
  <c r="AX96" i="431"/>
  <c r="AX60" i="431"/>
  <c r="BC136" i="431"/>
  <c r="AX51" i="431"/>
  <c r="AX82" i="431"/>
  <c r="AX221" i="431"/>
  <c r="BC222" i="431" s="1"/>
  <c r="AX136" i="431"/>
  <c r="CB66" i="431"/>
  <c r="CD66" i="431"/>
  <c r="CL126" i="431"/>
  <c r="CL31" i="431"/>
  <c r="CL30" i="431"/>
  <c r="EG166" i="431"/>
  <c r="CX135" i="431"/>
  <c r="DC136" i="431" s="1"/>
  <c r="CX120" i="431"/>
  <c r="BI13" i="434" s="1"/>
  <c r="CX107" i="431"/>
  <c r="DC108" i="431" s="1"/>
  <c r="CX104" i="431"/>
  <c r="DB103" i="431"/>
  <c r="DC104" i="431"/>
  <c r="CF136" i="431"/>
  <c r="CA51" i="431"/>
  <c r="CA82" i="431"/>
  <c r="CA136" i="431"/>
  <c r="CA96" i="431"/>
  <c r="CA221" i="431"/>
  <c r="CA60" i="431"/>
  <c r="EA216" i="431"/>
  <c r="DD88" i="431"/>
  <c r="DK130" i="431"/>
  <c r="BY135" i="431"/>
  <c r="CC103" i="431"/>
  <c r="BY104" i="431"/>
  <c r="BY107" i="431"/>
  <c r="CD108" i="431" s="1"/>
  <c r="CD104" i="431"/>
  <c r="DY173" i="431"/>
  <c r="ED172" i="431"/>
  <c r="DZ173" i="431"/>
  <c r="CG57" i="431"/>
  <c r="CG56" i="431"/>
  <c r="DJ16" i="431"/>
  <c r="DK16" i="431"/>
  <c r="DJ27" i="431"/>
  <c r="CQ106" i="431"/>
  <c r="CQ107" i="431"/>
  <c r="DO87" i="431"/>
  <c r="DK88" i="431"/>
  <c r="Z379" i="431"/>
  <c r="EA32" i="431"/>
  <c r="EA33" i="431" s="1"/>
  <c r="CG130" i="431"/>
  <c r="CL145" i="431"/>
  <c r="CL146" i="431"/>
  <c r="CN146" i="431"/>
  <c r="CL34" i="431"/>
  <c r="CL33" i="431"/>
  <c r="BH107" i="431"/>
  <c r="BH106" i="431"/>
  <c r="AA104" i="431"/>
  <c r="V135" i="431"/>
  <c r="V104" i="431"/>
  <c r="AC104" i="431"/>
  <c r="AC107" i="431"/>
  <c r="AC135" i="431"/>
  <c r="AH104" i="431"/>
  <c r="BK172" i="431"/>
  <c r="BP172" i="431"/>
  <c r="AK205" i="431"/>
  <c r="AF205" i="431"/>
  <c r="DW101" i="431"/>
  <c r="EA100" i="431"/>
  <c r="DX102" i="431"/>
  <c r="DU16" i="431"/>
  <c r="DT16" i="431"/>
  <c r="DO130" i="431"/>
  <c r="BD64" i="431"/>
  <c r="BG65" i="431"/>
  <c r="BB65" i="431"/>
  <c r="DH88" i="431"/>
  <c r="DF88" i="431"/>
  <c r="DF87" i="431"/>
  <c r="DR65" i="431"/>
  <c r="DM66" i="431"/>
  <c r="DM65" i="431"/>
  <c r="EI106" i="431"/>
  <c r="BI55" i="431"/>
  <c r="AH108" i="431"/>
  <c r="DD107" i="431"/>
  <c r="DD135" i="431"/>
  <c r="DD120" i="431"/>
  <c r="BO13" i="434" s="1"/>
  <c r="DI104" i="431"/>
  <c r="DG103" i="431"/>
  <c r="DD104" i="431"/>
  <c r="AN101" i="431"/>
  <c r="AS101" i="431"/>
  <c r="CN34" i="431"/>
  <c r="CS33" i="431"/>
  <c r="CN33" i="431"/>
  <c r="CE173" i="431"/>
  <c r="CD172" i="431"/>
  <c r="CD173" i="431"/>
  <c r="CI172" i="431"/>
  <c r="FP175" i="431"/>
  <c r="EA380" i="431"/>
  <c r="EA376" i="431"/>
  <c r="EA29" i="431"/>
  <c r="EA126" i="431" s="1"/>
  <c r="BO56" i="431"/>
  <c r="CH55" i="431"/>
  <c r="CH56" i="431" s="1"/>
  <c r="CK217" i="431"/>
  <c r="DL18" i="431"/>
  <c r="AC186" i="431"/>
  <c r="CS205" i="431"/>
  <c r="CN104" i="431"/>
  <c r="BN55" i="431"/>
  <c r="DW172" i="431"/>
  <c r="DS173" i="431"/>
  <c r="DR173" i="431"/>
  <c r="BK219" i="431"/>
  <c r="BP219" i="431"/>
  <c r="EB69" i="431"/>
  <c r="EF68" i="431"/>
  <c r="EF69" i="431" s="1"/>
  <c r="EB30" i="431"/>
  <c r="EB126" i="431"/>
  <c r="EG30" i="431"/>
  <c r="EB31" i="431"/>
  <c r="DJ180" i="431"/>
  <c r="DK180" i="431"/>
  <c r="AK16" i="431"/>
  <c r="AL16" i="431"/>
  <c r="AP27" i="431"/>
  <c r="BK217" i="431"/>
  <c r="CQ145" i="431"/>
  <c r="CQ146" i="431"/>
  <c r="CV145" i="431"/>
  <c r="CS146" i="431"/>
  <c r="BC205" i="431"/>
  <c r="AS107" i="431"/>
  <c r="AX106" i="431"/>
  <c r="BM186" i="431"/>
  <c r="AA65" i="431"/>
  <c r="AF65" i="431"/>
  <c r="AW135" i="431"/>
  <c r="BB136" i="431" s="1"/>
  <c r="AW104" i="431"/>
  <c r="AW107" i="431"/>
  <c r="BF60" i="431"/>
  <c r="BF96" i="431"/>
  <c r="BF82" i="431"/>
  <c r="BF51" i="431"/>
  <c r="BF221" i="431"/>
  <c r="BF136" i="431"/>
  <c r="DI130" i="431"/>
  <c r="CD124" i="431"/>
  <c r="CL56" i="431"/>
  <c r="AZ56" i="431"/>
  <c r="BE56" i="431"/>
  <c r="AV101" i="431"/>
  <c r="BA101" i="431"/>
  <c r="EA204" i="431"/>
  <c r="CH99" i="431"/>
  <c r="EA105" i="431"/>
  <c r="EA144" i="431"/>
  <c r="EA145" i="431" s="1"/>
  <c r="CL180" i="431"/>
  <c r="DS66" i="431"/>
  <c r="CI57" i="431"/>
  <c r="BL173" i="431"/>
  <c r="DG64" i="431"/>
  <c r="AX145" i="431"/>
  <c r="CB69" i="431"/>
  <c r="EC102" i="431"/>
  <c r="EB101" i="431"/>
  <c r="EB102" i="431"/>
  <c r="CL186" i="431"/>
  <c r="CQ186" i="431"/>
  <c r="CL187" i="431"/>
  <c r="BR205" i="431"/>
  <c r="BW205" i="431"/>
  <c r="BC225" i="431"/>
  <c r="BC234" i="431"/>
  <c r="DR198" i="431"/>
  <c r="DR199" i="431"/>
  <c r="BM65" i="431"/>
  <c r="BH65" i="431"/>
  <c r="BK146" i="431"/>
  <c r="BK145" i="431"/>
  <c r="EI172" i="431"/>
  <c r="CQ126" i="431"/>
  <c r="CQ30" i="431"/>
  <c r="BC199" i="431"/>
  <c r="BC198" i="431"/>
  <c r="DL81" i="431"/>
  <c r="BL146" i="431"/>
  <c r="AQ87" i="431"/>
  <c r="AL87" i="431"/>
  <c r="BJ101" i="431"/>
  <c r="BO101" i="431"/>
  <c r="BR136" i="431"/>
  <c r="BR221" i="431"/>
  <c r="BR96" i="431"/>
  <c r="BR82" i="431"/>
  <c r="BR60" i="431"/>
  <c r="BR51" i="431"/>
  <c r="CQ27" i="431"/>
  <c r="CT127" i="431"/>
  <c r="BJ221" i="431"/>
  <c r="BJ82" i="431"/>
  <c r="BJ96" i="431"/>
  <c r="BJ136" i="431"/>
  <c r="CN130" i="431"/>
  <c r="CN16" i="431"/>
  <c r="CS27" i="431"/>
  <c r="CO16" i="431"/>
  <c r="CN27" i="431"/>
  <c r="CD198" i="431"/>
  <c r="CD199" i="431"/>
  <c r="CE199" i="431"/>
  <c r="CE187" i="431"/>
  <c r="CD187" i="431"/>
  <c r="CD186" i="431"/>
  <c r="CI186" i="431"/>
  <c r="DK87" i="431"/>
  <c r="DY27" i="431"/>
  <c r="AU101" i="431"/>
  <c r="AZ101" i="431"/>
  <c r="AP104" i="431"/>
  <c r="AP135" i="431"/>
  <c r="AU136" i="431" s="1"/>
  <c r="AP107" i="431"/>
  <c r="AP108" i="431" s="1"/>
  <c r="AV234" i="431"/>
  <c r="BA222" i="431"/>
  <c r="AV225" i="431"/>
  <c r="DR107" i="431"/>
  <c r="DW108" i="431" s="1"/>
  <c r="DR106" i="431"/>
  <c r="DJ34" i="431"/>
  <c r="DK34" i="431"/>
  <c r="DJ33" i="431"/>
  <c r="AU16" i="431"/>
  <c r="AS16" i="431"/>
  <c r="AS27" i="431"/>
  <c r="AX27" i="431"/>
  <c r="DA56" i="431"/>
  <c r="DF56" i="431"/>
  <c r="DB55" i="431"/>
  <c r="DG56" i="431" s="1"/>
  <c r="DA57" i="431"/>
  <c r="DC57" i="431"/>
  <c r="AV87" i="431"/>
  <c r="BA87" i="431"/>
  <c r="X135" i="431"/>
  <c r="X104" i="431"/>
  <c r="CN206" i="431"/>
  <c r="CN205" i="431"/>
  <c r="EA218" i="431"/>
  <c r="EA378" i="431"/>
  <c r="DE88" i="431"/>
  <c r="CL206" i="431"/>
  <c r="CQ205" i="431"/>
  <c r="CL205" i="431"/>
  <c r="AA27" i="431"/>
  <c r="V16" i="431"/>
  <c r="V27" i="431"/>
  <c r="CF34" i="431"/>
  <c r="CK33" i="431"/>
  <c r="CZ114" i="431"/>
  <c r="CZ108" i="431"/>
  <c r="CU109" i="431"/>
  <c r="CU108" i="431"/>
  <c r="DT187" i="431"/>
  <c r="DY186" i="431"/>
  <c r="DX57" i="431"/>
  <c r="DW56" i="431"/>
  <c r="EB56" i="431"/>
  <c r="DW57" i="431"/>
  <c r="EA55" i="431"/>
  <c r="EF56" i="431" s="1"/>
  <c r="BM107" i="431"/>
  <c r="BM106" i="431"/>
  <c r="BM199" i="431"/>
  <c r="BO199" i="431"/>
  <c r="BR198" i="431"/>
  <c r="BC16" i="431"/>
  <c r="BC27" i="431"/>
  <c r="DW106" i="431"/>
  <c r="AN87" i="431"/>
  <c r="AS87" i="431"/>
  <c r="AI65" i="431"/>
  <c r="AJ64" i="431"/>
  <c r="BS135" i="431"/>
  <c r="DK104" i="431"/>
  <c r="DF107" i="431"/>
  <c r="DF124" i="431" s="1"/>
  <c r="DF104" i="431"/>
  <c r="AF107" i="431"/>
  <c r="AK108" i="431" s="1"/>
  <c r="AF135" i="431"/>
  <c r="AF104" i="431"/>
  <c r="CI205" i="431"/>
  <c r="CD205" i="431"/>
  <c r="CD206" i="431"/>
  <c r="CE206" i="431"/>
  <c r="CD145" i="431"/>
  <c r="CE146" i="431"/>
  <c r="CD146" i="431"/>
  <c r="DV198" i="431"/>
  <c r="DQ198" i="431"/>
  <c r="AF217" i="431"/>
  <c r="AA217" i="431"/>
  <c r="FP83" i="431"/>
  <c r="BN18" i="431"/>
  <c r="U376" i="431"/>
  <c r="EA99" i="431"/>
  <c r="DS65" i="431"/>
  <c r="BW106" i="431"/>
  <c r="DY172" i="431"/>
  <c r="DI87" i="431"/>
  <c r="AT55" i="431"/>
  <c r="AR56" i="431"/>
  <c r="CD34" i="431"/>
  <c r="CS217" i="431"/>
  <c r="CT69" i="431"/>
  <c r="CO69" i="431"/>
  <c r="DR27" i="431"/>
  <c r="DR16" i="431"/>
  <c r="DW27" i="431"/>
  <c r="DS16" i="431"/>
  <c r="BG56" i="431"/>
  <c r="BL56" i="431"/>
  <c r="CS101" i="431"/>
  <c r="CS102" i="431"/>
  <c r="CX101" i="431"/>
  <c r="CN87" i="431"/>
  <c r="CN88" i="431"/>
  <c r="DY106" i="431"/>
  <c r="DT106" i="431"/>
  <c r="DT107" i="431"/>
  <c r="V219" i="431"/>
  <c r="Q219" i="431"/>
  <c r="CO34" i="431"/>
  <c r="EH57" i="431"/>
  <c r="EG56" i="431"/>
  <c r="EG57" i="431"/>
  <c r="CQ33" i="431"/>
  <c r="CQ34" i="431"/>
  <c r="CS34" i="431"/>
  <c r="BC180" i="431"/>
  <c r="BC179" i="431"/>
  <c r="BE180" i="431"/>
  <c r="AS172" i="431"/>
  <c r="AX172" i="431"/>
  <c r="AS217" i="431"/>
  <c r="AX217" i="431"/>
  <c r="BF87" i="431"/>
  <c r="BK87" i="431"/>
  <c r="BG104" i="431"/>
  <c r="BB104" i="431"/>
  <c r="CL66" i="431"/>
  <c r="CN66" i="431"/>
  <c r="CQ65" i="431"/>
  <c r="BL51" i="431"/>
  <c r="BL96" i="431"/>
  <c r="BL60" i="431"/>
  <c r="BL82" i="431"/>
  <c r="BL221" i="431"/>
  <c r="BL136" i="431"/>
  <c r="BR107" i="431"/>
  <c r="EC31" i="431"/>
  <c r="DZ66" i="431"/>
  <c r="DZ65" i="431"/>
  <c r="EE65" i="431"/>
  <c r="EB66" i="431"/>
  <c r="CN187" i="431"/>
  <c r="CO187" i="431"/>
  <c r="CN186" i="431"/>
  <c r="CN179" i="431"/>
  <c r="CO180" i="431"/>
  <c r="CN180" i="431"/>
  <c r="CS179" i="431"/>
  <c r="CE16" i="431"/>
  <c r="CI27" i="431"/>
  <c r="CD16" i="431"/>
  <c r="DZ296" i="431"/>
  <c r="CL130" i="431"/>
  <c r="CQ130" i="431"/>
  <c r="EL118" i="431"/>
  <c r="EL115" i="431"/>
  <c r="DV210" i="431"/>
  <c r="DV176" i="431"/>
  <c r="DV223" i="431"/>
  <c r="DV169" i="431"/>
  <c r="DV183" i="431"/>
  <c r="DV215" i="431"/>
  <c r="DV195" i="431"/>
  <c r="DV202" i="431"/>
  <c r="DV155" i="431"/>
  <c r="EB106" i="431"/>
  <c r="EG106" i="431"/>
  <c r="EB107" i="431"/>
  <c r="G226" i="431"/>
  <c r="CN114" i="431"/>
  <c r="CI108" i="431"/>
  <c r="CI124" i="431"/>
  <c r="CN129" i="431" s="1"/>
  <c r="CI109" i="431"/>
  <c r="CQ202" i="431"/>
  <c r="CQ176" i="431"/>
  <c r="CQ223" i="431"/>
  <c r="CR223" i="431" s="1"/>
  <c r="CQ195" i="431"/>
  <c r="CQ155" i="431"/>
  <c r="CQ218" i="431"/>
  <c r="CQ216" i="431"/>
  <c r="CQ215" i="431"/>
  <c r="CQ169" i="431"/>
  <c r="CQ210" i="431"/>
  <c r="CV215" i="431"/>
  <c r="CQ183" i="431"/>
  <c r="AB205" i="431"/>
  <c r="W205" i="431"/>
  <c r="DW234" i="431"/>
  <c r="DW322" i="431"/>
  <c r="DW318" i="431"/>
  <c r="DW295" i="431"/>
  <c r="DW225" i="431"/>
  <c r="DW324" i="431"/>
  <c r="DW222" i="431"/>
  <c r="DW326" i="431"/>
  <c r="DW320" i="431"/>
  <c r="DV151" i="431"/>
  <c r="EA151" i="431"/>
  <c r="J176" i="431"/>
  <c r="J195" i="431"/>
  <c r="J183" i="431"/>
  <c r="J215" i="431"/>
  <c r="O215" i="431"/>
  <c r="J140" i="431"/>
  <c r="J210" i="431"/>
  <c r="J202" i="431"/>
  <c r="J223" i="431"/>
  <c r="J169" i="431"/>
  <c r="AG173" i="431"/>
  <c r="AF172" i="431"/>
  <c r="AF173" i="431"/>
  <c r="DO126" i="431"/>
  <c r="DO31" i="431"/>
  <c r="DO30" i="431"/>
  <c r="EI65" i="431"/>
  <c r="EF64" i="431"/>
  <c r="EE66" i="431"/>
  <c r="ED66" i="431"/>
  <c r="ED65" i="431"/>
  <c r="DM130" i="431"/>
  <c r="DR130" i="431"/>
  <c r="EG219" i="431"/>
  <c r="EB219" i="431"/>
  <c r="DG69" i="431"/>
  <c r="CQ140" i="431"/>
  <c r="BQ136" i="431"/>
  <c r="BV136" i="431"/>
  <c r="BQ96" i="431"/>
  <c r="BQ51" i="431"/>
  <c r="BQ221" i="431"/>
  <c r="BQ60" i="431"/>
  <c r="BQ82" i="431"/>
  <c r="BD18" i="431"/>
  <c r="DP146" i="431"/>
  <c r="DO145" i="431"/>
  <c r="DT145" i="431"/>
  <c r="DO146" i="431"/>
  <c r="DF146" i="431"/>
  <c r="DF145" i="431"/>
  <c r="DK145" i="431"/>
  <c r="DK234" i="431"/>
  <c r="DK225" i="431"/>
  <c r="EA215" i="431"/>
  <c r="EA71" i="431"/>
  <c r="EF71" i="431"/>
  <c r="AX65" i="431"/>
  <c r="AS65" i="431"/>
  <c r="AT64" i="431"/>
  <c r="EG205" i="431"/>
  <c r="EB205" i="431"/>
  <c r="EC206" i="431"/>
  <c r="EB206" i="431"/>
  <c r="AC179" i="431"/>
  <c r="X179" i="431"/>
  <c r="AJ53" i="431"/>
  <c r="AJ55" i="431"/>
  <c r="CK221" i="431"/>
  <c r="CK136" i="431"/>
  <c r="CK60" i="431"/>
  <c r="CK51" i="431"/>
  <c r="CK82" i="431"/>
  <c r="CK96" i="431"/>
  <c r="CN234" i="431"/>
  <c r="AB219" i="431"/>
  <c r="AK172" i="431"/>
  <c r="DT126" i="431"/>
  <c r="DT30" i="431"/>
  <c r="DT127" i="431" s="1"/>
  <c r="DU31" i="431"/>
  <c r="DT31" i="431"/>
  <c r="DO222" i="431"/>
  <c r="DO234" i="431"/>
  <c r="DO225" i="431"/>
  <c r="DT222" i="431"/>
  <c r="CD65" i="431"/>
  <c r="CC64" i="431"/>
  <c r="BY65" i="431"/>
  <c r="EK56" i="431"/>
  <c r="AK198" i="431"/>
  <c r="AF198" i="431"/>
  <c r="BB60" i="431"/>
  <c r="BB51" i="431"/>
  <c r="BB82" i="431"/>
  <c r="BB221" i="431"/>
  <c r="BB96" i="431"/>
  <c r="BC101" i="431"/>
  <c r="AX101" i="431"/>
  <c r="CV126" i="431"/>
  <c r="DA30" i="431"/>
  <c r="CX31" i="431"/>
  <c r="CV30" i="431"/>
  <c r="CV31" i="431"/>
  <c r="CB104" i="431"/>
  <c r="BW104" i="431"/>
  <c r="BW135" i="431"/>
  <c r="BX103" i="431"/>
  <c r="BW107" i="431"/>
  <c r="BZ136" i="431"/>
  <c r="BZ82" i="431"/>
  <c r="BZ51" i="431"/>
  <c r="BZ96" i="431"/>
  <c r="BZ60" i="431"/>
  <c r="BZ221" i="431"/>
  <c r="DY30" i="431"/>
  <c r="DY127" i="431" s="1"/>
  <c r="AU82" i="431"/>
  <c r="AU96" i="431"/>
  <c r="AZ136" i="431"/>
  <c r="AU221" i="431"/>
  <c r="AU51" i="431"/>
  <c r="AU60" i="431"/>
  <c r="P194" i="431"/>
  <c r="K194" i="431"/>
  <c r="EA36" i="431"/>
  <c r="DV29" i="431"/>
  <c r="DV36" i="431"/>
  <c r="DV45" i="431"/>
  <c r="BB219" i="431"/>
  <c r="AW219" i="431"/>
  <c r="DP225" i="431"/>
  <c r="DP295" i="431"/>
  <c r="DP234" i="431"/>
  <c r="DP222" i="431"/>
  <c r="CJ219" i="431"/>
  <c r="CE219" i="431"/>
  <c r="FQ77" i="431"/>
  <c r="EA18" i="431"/>
  <c r="CR380" i="431"/>
  <c r="CM376" i="431"/>
  <c r="DV218" i="431"/>
  <c r="DV219" i="431" s="1"/>
  <c r="EA179" i="431"/>
  <c r="DO173" i="431"/>
  <c r="DP173" i="431"/>
  <c r="DT172" i="431"/>
  <c r="DO172" i="431"/>
  <c r="DF27" i="431"/>
  <c r="DK27" i="431"/>
  <c r="DF16" i="431"/>
  <c r="EH116" i="431"/>
  <c r="EH114" i="431"/>
  <c r="EK115" i="431"/>
  <c r="EK116" i="431" s="1"/>
  <c r="CV11" i="434" s="1"/>
  <c r="AM87" i="431"/>
  <c r="AR87" i="431"/>
  <c r="DC101" i="431"/>
  <c r="DC102" i="431"/>
  <c r="DH130" i="431"/>
  <c r="DD102" i="431"/>
  <c r="DH101" i="431"/>
  <c r="DG100" i="431"/>
  <c r="DG101" i="431" s="1"/>
  <c r="BN68" i="431"/>
  <c r="BS69" i="431" s="1"/>
  <c r="BN71" i="431"/>
  <c r="BS71" i="431"/>
  <c r="ED187" i="431"/>
  <c r="EI186" i="431"/>
  <c r="EE187" i="431"/>
  <c r="ED186" i="431"/>
  <c r="DE145" i="431"/>
  <c r="DJ145" i="431"/>
  <c r="DE146" i="431"/>
  <c r="CV107" i="431"/>
  <c r="DA106" i="431"/>
  <c r="CV106" i="431"/>
  <c r="DA205" i="431"/>
  <c r="CV205" i="431"/>
  <c r="CV206" i="431"/>
  <c r="CF206" i="431"/>
  <c r="CK205" i="431"/>
  <c r="CF205" i="431"/>
  <c r="CG206" i="431"/>
  <c r="CC59" i="431"/>
  <c r="BX59" i="431"/>
  <c r="EB33" i="431"/>
  <c r="EC34" i="431"/>
  <c r="EB34" i="431"/>
  <c r="X27" i="431"/>
  <c r="X16" i="431"/>
  <c r="AC27" i="431"/>
  <c r="Y16" i="431"/>
  <c r="DL84" i="431"/>
  <c r="DQ84" i="431"/>
  <c r="DL85" i="431"/>
  <c r="BF108" i="431"/>
  <c r="BM192" i="431"/>
  <c r="EA135" i="431"/>
  <c r="EF104" i="431"/>
  <c r="DK124" i="431"/>
  <c r="DK127" i="431"/>
  <c r="DL86" i="431"/>
  <c r="CP124" i="431"/>
  <c r="CP127" i="431"/>
  <c r="DQ135" i="431"/>
  <c r="DQ120" i="431"/>
  <c r="CB13" i="434" s="1"/>
  <c r="DQ104" i="431"/>
  <c r="V56" i="431"/>
  <c r="Q56" i="431"/>
  <c r="AB179" i="431"/>
  <c r="W179" i="431"/>
  <c r="AZ108" i="431"/>
  <c r="DR318" i="431"/>
  <c r="DR225" i="431"/>
  <c r="DR234" i="431"/>
  <c r="DR322" i="431"/>
  <c r="DR324" i="431"/>
  <c r="DR320" i="431"/>
  <c r="DR326" i="431"/>
  <c r="DR295" i="431"/>
  <c r="CG66" i="431"/>
  <c r="CG65" i="431"/>
  <c r="CL65" i="431"/>
  <c r="CO130" i="431"/>
  <c r="AF219" i="431"/>
  <c r="AK219" i="431"/>
  <c r="BU101" i="431"/>
  <c r="BZ101" i="431"/>
  <c r="EJ34" i="431"/>
  <c r="EJ33" i="431"/>
  <c r="CK69" i="431"/>
  <c r="CP69" i="431"/>
  <c r="DM179" i="431"/>
  <c r="DN180" i="431"/>
  <c r="DR179" i="431"/>
  <c r="DM180" i="431"/>
  <c r="Z223" i="431"/>
  <c r="AE215" i="431"/>
  <c r="Z210" i="431"/>
  <c r="Z195" i="431"/>
  <c r="Z176" i="431"/>
  <c r="Z140" i="431"/>
  <c r="Z202" i="431"/>
  <c r="Z169" i="431"/>
  <c r="Z183" i="431"/>
  <c r="O222" i="431"/>
  <c r="T222" i="431"/>
  <c r="DW109" i="431"/>
  <c r="DX111" i="431" s="1"/>
  <c r="DW124" i="431"/>
  <c r="EB114" i="431"/>
  <c r="CD247" i="431"/>
  <c r="CD370" i="431"/>
  <c r="CD236" i="431"/>
  <c r="AJ18" i="431"/>
  <c r="BH173" i="431"/>
  <c r="BH172" i="431"/>
  <c r="BM172" i="431"/>
  <c r="BJ173" i="431"/>
  <c r="AF186" i="431"/>
  <c r="AK186" i="431"/>
  <c r="DH187" i="431"/>
  <c r="DF186" i="431"/>
  <c r="DF187" i="431"/>
  <c r="BH205" i="431"/>
  <c r="BM205" i="431"/>
  <c r="DF65" i="431"/>
  <c r="DF66" i="431"/>
  <c r="DH66" i="431"/>
  <c r="CT101" i="431"/>
  <c r="CT102" i="431"/>
  <c r="CY130" i="431"/>
  <c r="CU102" i="431"/>
  <c r="CY101" i="431"/>
  <c r="EI219" i="431"/>
  <c r="ED219" i="431"/>
  <c r="DM126" i="431"/>
  <c r="DM30" i="431"/>
  <c r="DR30" i="431"/>
  <c r="DM31" i="431"/>
  <c r="DN31" i="431"/>
  <c r="CV130" i="431"/>
  <c r="DA130" i="431"/>
  <c r="CV198" i="431"/>
  <c r="CV199" i="431"/>
  <c r="CX199" i="431"/>
  <c r="DA198" i="431"/>
  <c r="CF187" i="431"/>
  <c r="CF186" i="431"/>
  <c r="CK186" i="431"/>
  <c r="CG187" i="431"/>
  <c r="BL108" i="431"/>
  <c r="BQ108" i="431"/>
  <c r="BZ66" i="431"/>
  <c r="EB16" i="431"/>
  <c r="EC16" i="431"/>
  <c r="EB27" i="431"/>
  <c r="EG130" i="431"/>
  <c r="EB130" i="431"/>
  <c r="BB16" i="431"/>
  <c r="BA16" i="431"/>
  <c r="BA27" i="431"/>
  <c r="Z148" i="431"/>
  <c r="AE148" i="431"/>
  <c r="DQ18" i="431"/>
  <c r="DL106" i="431"/>
  <c r="CN219" i="431"/>
  <c r="CI219" i="431"/>
  <c r="W134" i="431"/>
  <c r="W51" i="431"/>
  <c r="W136" i="431"/>
  <c r="W96" i="431"/>
  <c r="W82" i="431"/>
  <c r="W60" i="431"/>
  <c r="W221" i="431"/>
  <c r="BF205" i="431"/>
  <c r="M60" i="431"/>
  <c r="M134" i="431"/>
  <c r="M96" i="431"/>
  <c r="M136" i="431"/>
  <c r="M221" i="431"/>
  <c r="M51" i="431"/>
  <c r="M82" i="431"/>
  <c r="CC183" i="431"/>
  <c r="CC155" i="431"/>
  <c r="CC169" i="431"/>
  <c r="CC202" i="431"/>
  <c r="CC215" i="431"/>
  <c r="CH215" i="431"/>
  <c r="CC195" i="431"/>
  <c r="CC140" i="431"/>
  <c r="CC176" i="431"/>
  <c r="CC210" i="431"/>
  <c r="CQ152" i="431"/>
  <c r="FK152" i="431" s="1"/>
  <c r="CV151" i="431"/>
  <c r="CQ151" i="431"/>
  <c r="CS152" i="431"/>
  <c r="CM50" i="431"/>
  <c r="CR50" i="431"/>
  <c r="AB217" i="431"/>
  <c r="AB186" i="431"/>
  <c r="W186" i="431"/>
  <c r="DQ179" i="431"/>
  <c r="DL179" i="431"/>
  <c r="DY46" i="431"/>
  <c r="DT46" i="431"/>
  <c r="AW217" i="431"/>
  <c r="BB217" i="431"/>
  <c r="DU96" i="431"/>
  <c r="DU221" i="431"/>
  <c r="DU82" i="431"/>
  <c r="DU51" i="431"/>
  <c r="DU136" i="431"/>
  <c r="DU60" i="431"/>
  <c r="AM217" i="431"/>
  <c r="AR217" i="431"/>
  <c r="T169" i="431"/>
  <c r="T202" i="431"/>
  <c r="T215" i="431"/>
  <c r="T216" i="431"/>
  <c r="T218" i="431"/>
  <c r="T223" i="431"/>
  <c r="Y215" i="431"/>
  <c r="T210" i="431"/>
  <c r="T176" i="431"/>
  <c r="T140" i="431"/>
  <c r="T183" i="431"/>
  <c r="EA148" i="431"/>
  <c r="DV148" i="431"/>
  <c r="CK130" i="431"/>
  <c r="CF130" i="431"/>
  <c r="CN102" i="431"/>
  <c r="CQ101" i="431"/>
  <c r="CL101" i="431"/>
  <c r="CL102" i="431"/>
  <c r="CT65" i="431"/>
  <c r="CP66" i="431"/>
  <c r="CR64" i="431"/>
  <c r="CR65" i="431" s="1"/>
  <c r="CO66" i="431"/>
  <c r="CO65" i="431"/>
  <c r="EG145" i="431"/>
  <c r="EB146" i="431"/>
  <c r="EB145" i="431"/>
  <c r="DS114" i="431"/>
  <c r="DN124" i="431"/>
  <c r="DN108" i="431"/>
  <c r="DN109" i="431"/>
  <c r="BW217" i="431"/>
  <c r="CB217" i="431"/>
  <c r="DL30" i="431"/>
  <c r="DL126" i="431"/>
  <c r="DQ30" i="431"/>
  <c r="EJ96" i="431"/>
  <c r="EJ136" i="431"/>
  <c r="EJ51" i="431"/>
  <c r="EJ82" i="431"/>
  <c r="EJ221" i="431"/>
  <c r="EO222" i="431" s="1"/>
  <c r="EJ60" i="431"/>
  <c r="DQ27" i="431"/>
  <c r="EH320" i="431"/>
  <c r="EH234" i="431"/>
  <c r="EH295" i="431"/>
  <c r="EH326" i="431"/>
  <c r="EH324" i="431"/>
  <c r="EH322" i="431"/>
  <c r="EH318" i="431"/>
  <c r="EH222" i="431"/>
  <c r="EH225" i="431"/>
  <c r="CM379" i="431"/>
  <c r="AT380" i="431"/>
  <c r="CM18" i="431"/>
  <c r="BI18" i="431"/>
  <c r="DV216" i="431"/>
  <c r="DV217" i="431" s="1"/>
  <c r="BR172" i="431"/>
  <c r="BR173" i="431"/>
  <c r="BW172" i="431"/>
  <c r="EB46" i="431"/>
  <c r="EG46" i="431"/>
  <c r="DO33" i="431"/>
  <c r="DO34" i="431"/>
  <c r="DP34" i="431"/>
  <c r="BH16" i="431"/>
  <c r="BJ16" i="431"/>
  <c r="BH27" i="431"/>
  <c r="BM27" i="431"/>
  <c r="L135" i="431"/>
  <c r="L104" i="431"/>
  <c r="L107" i="431"/>
  <c r="Q108" i="431" s="1"/>
  <c r="Q104" i="431"/>
  <c r="EG67" i="431"/>
  <c r="EG69" i="431"/>
  <c r="CV179" i="431"/>
  <c r="CV180" i="431"/>
  <c r="CX180" i="431"/>
  <c r="DA179" i="431"/>
  <c r="CN57" i="431"/>
  <c r="CO57" i="431"/>
  <c r="CS56" i="431"/>
  <c r="CR55" i="431"/>
  <c r="CW56" i="431" s="1"/>
  <c r="CN56" i="431"/>
  <c r="EB198" i="431"/>
  <c r="EG198" i="431"/>
  <c r="EC199" i="431"/>
  <c r="EB199" i="431"/>
  <c r="BA146" i="431"/>
  <c r="BF145" i="431"/>
  <c r="BA145" i="431"/>
  <c r="BB146" i="431"/>
  <c r="BA187" i="431"/>
  <c r="BA186" i="431"/>
  <c r="BB187" i="431"/>
  <c r="AC205" i="431"/>
  <c r="X205" i="431"/>
  <c r="AE135" i="431"/>
  <c r="CY66" i="431"/>
  <c r="BF27" i="431"/>
  <c r="DP31" i="431"/>
  <c r="DK186" i="431"/>
  <c r="CM155" i="431"/>
  <c r="CM169" i="431"/>
  <c r="CM210" i="431"/>
  <c r="CM202" i="431"/>
  <c r="CM176" i="431"/>
  <c r="CM183" i="431"/>
  <c r="CM195" i="431"/>
  <c r="CM215" i="431"/>
  <c r="DM51" i="431"/>
  <c r="DM82" i="431"/>
  <c r="DM136" i="431"/>
  <c r="DM96" i="431"/>
  <c r="DM60" i="431"/>
  <c r="DM221" i="431"/>
  <c r="BV65" i="431"/>
  <c r="BQ65" i="431"/>
  <c r="CJ120" i="431"/>
  <c r="AU13" i="434" s="1"/>
  <c r="CJ104" i="431"/>
  <c r="CO104" i="431"/>
  <c r="CJ107" i="431"/>
  <c r="CJ135" i="431"/>
  <c r="CM103" i="431"/>
  <c r="AB27" i="431"/>
  <c r="W27" i="431"/>
  <c r="W16" i="431"/>
  <c r="BN104" i="431"/>
  <c r="BI135" i="431"/>
  <c r="BI104" i="431"/>
  <c r="BX258" i="431"/>
  <c r="CC260" i="431"/>
  <c r="AW224" i="431"/>
  <c r="BB224" i="431"/>
  <c r="EH130" i="431"/>
  <c r="R196" i="431"/>
  <c r="S196" i="431"/>
  <c r="U194" i="431"/>
  <c r="Q196" i="431"/>
  <c r="Z194" i="431"/>
  <c r="U214" i="431"/>
  <c r="U195" i="431" s="1"/>
  <c r="CH223" i="431"/>
  <c r="CE224" i="431"/>
  <c r="CJ224" i="431"/>
  <c r="CE217" i="431"/>
  <c r="CJ217" i="431"/>
  <c r="CF66" i="431"/>
  <c r="CK65" i="431"/>
  <c r="CH64" i="431"/>
  <c r="CM65" i="431" s="1"/>
  <c r="CF65" i="431"/>
  <c r="DF33" i="431"/>
  <c r="DK33" i="431"/>
  <c r="DH34" i="431"/>
  <c r="DF34" i="431"/>
  <c r="BG217" i="431"/>
  <c r="BL217" i="431"/>
  <c r="CX65" i="431"/>
  <c r="DB64" i="431"/>
  <c r="DB65" i="431" s="1"/>
  <c r="CX66" i="431"/>
  <c r="DE180" i="431"/>
  <c r="DJ179" i="431"/>
  <c r="DE179" i="431"/>
  <c r="CV173" i="431"/>
  <c r="DA172" i="431"/>
  <c r="CV172" i="431"/>
  <c r="CX173" i="431"/>
  <c r="CF107" i="431"/>
  <c r="CF106" i="431"/>
  <c r="CK106" i="431"/>
  <c r="AL60" i="431"/>
  <c r="AL136" i="431"/>
  <c r="AL221" i="431"/>
  <c r="AL82" i="431"/>
  <c r="AQ136" i="431"/>
  <c r="AL51" i="431"/>
  <c r="AL96" i="431"/>
  <c r="CI224" i="431"/>
  <c r="CM223" i="431"/>
  <c r="P148" i="431"/>
  <c r="N82" i="431"/>
  <c r="N136" i="431"/>
  <c r="N51" i="431"/>
  <c r="N96" i="431"/>
  <c r="N60" i="431"/>
  <c r="S136" i="431"/>
  <c r="N221" i="431"/>
  <c r="N134" i="431"/>
  <c r="BV227" i="431"/>
  <c r="DV135" i="431"/>
  <c r="DV120" i="431"/>
  <c r="CG13" i="434" s="1"/>
  <c r="DV104" i="431"/>
  <c r="DL216" i="431"/>
  <c r="DL210" i="431"/>
  <c r="DL223" i="431"/>
  <c r="DL218" i="431"/>
  <c r="DL202" i="431"/>
  <c r="DL169" i="431"/>
  <c r="DQ215" i="431"/>
  <c r="DL155" i="431"/>
  <c r="DL183" i="431"/>
  <c r="DL140" i="431"/>
  <c r="DL215" i="431"/>
  <c r="DL195" i="431"/>
  <c r="T198" i="431"/>
  <c r="Y198" i="431"/>
  <c r="DY296" i="431"/>
  <c r="BH179" i="431"/>
  <c r="BH180" i="431"/>
  <c r="BM179" i="431"/>
  <c r="CO141" i="431"/>
  <c r="CR147" i="431"/>
  <c r="CR150" i="431"/>
  <c r="CN141" i="431"/>
  <c r="CW139" i="431"/>
  <c r="CP141" i="431"/>
  <c r="CR139" i="431"/>
  <c r="CR214" i="431"/>
  <c r="CR140" i="431" s="1"/>
  <c r="DO16" i="431"/>
  <c r="DP16" i="431"/>
  <c r="DO27" i="431"/>
  <c r="DT27" i="431"/>
  <c r="DN65" i="431"/>
  <c r="DQ64" i="431"/>
  <c r="DQ65" i="431" s="1"/>
  <c r="DN66" i="431"/>
  <c r="DO66" i="431"/>
  <c r="DS130" i="431"/>
  <c r="CX69" i="431"/>
  <c r="CS69" i="431"/>
  <c r="CR11" i="434"/>
  <c r="CG180" i="431"/>
  <c r="CF179" i="431"/>
  <c r="CF180" i="431"/>
  <c r="CB65" i="431"/>
  <c r="BW65" i="431"/>
  <c r="BX64" i="431"/>
  <c r="EG172" i="431"/>
  <c r="EB172" i="431"/>
  <c r="EC173" i="431"/>
  <c r="EB173" i="431"/>
  <c r="CS124" i="431"/>
  <c r="CS127" i="431"/>
  <c r="BN64" i="431"/>
  <c r="BJ65" i="431"/>
  <c r="BO65" i="431"/>
  <c r="P104" i="431"/>
  <c r="P135" i="431"/>
  <c r="U104" i="431"/>
  <c r="CJ56" i="431"/>
  <c r="CO56" i="431"/>
  <c r="CJ57" i="431"/>
  <c r="BJ108" i="431"/>
  <c r="BE108" i="431"/>
  <c r="BS336" i="431"/>
  <c r="BS334" i="431"/>
  <c r="DO180" i="431"/>
  <c r="DO179" i="431"/>
  <c r="DP180" i="431"/>
  <c r="DT179" i="431"/>
  <c r="M170" i="431"/>
  <c r="O170" i="431"/>
  <c r="L170" i="431"/>
  <c r="P168" i="431"/>
  <c r="P214" i="431"/>
  <c r="P218" i="431" s="1"/>
  <c r="N170" i="431"/>
  <c r="U168" i="431"/>
  <c r="CX187" i="431"/>
  <c r="CV186" i="431"/>
  <c r="CV187" i="431"/>
  <c r="EB186" i="431"/>
  <c r="EB187" i="431"/>
  <c r="EC187" i="431"/>
  <c r="EG186" i="431"/>
  <c r="BA198" i="431"/>
  <c r="BF198" i="431"/>
  <c r="BA199" i="431"/>
  <c r="BB199" i="431"/>
  <c r="AC172" i="431"/>
  <c r="X173" i="431"/>
  <c r="Y173" i="431"/>
  <c r="X172" i="431"/>
  <c r="EC146" i="431"/>
  <c r="DL116" i="431"/>
  <c r="BW11" i="434" s="1"/>
  <c r="K183" i="431"/>
  <c r="CU127" i="431"/>
  <c r="CU124" i="431"/>
  <c r="AG108" i="431"/>
  <c r="AB108" i="431"/>
  <c r="EJ108" i="431"/>
  <c r="EJ109" i="431"/>
  <c r="EJ111" i="431" s="1"/>
  <c r="CN127" i="431"/>
  <c r="I183" i="431"/>
  <c r="I176" i="431"/>
  <c r="I202" i="431"/>
  <c r="I140" i="431"/>
  <c r="N215" i="431"/>
  <c r="I210" i="431"/>
  <c r="I215" i="431"/>
  <c r="I223" i="431"/>
  <c r="I169" i="431"/>
  <c r="I195" i="431"/>
  <c r="AB198" i="431"/>
  <c r="W198" i="431"/>
  <c r="AM234" i="431"/>
  <c r="AR222" i="431"/>
  <c r="DL65" i="431"/>
  <c r="AD371" i="431"/>
  <c r="AD250" i="431"/>
  <c r="AD248" i="431"/>
  <c r="DV140" i="431"/>
  <c r="BR16" i="431"/>
  <c r="BT16" i="431"/>
  <c r="BR27" i="431"/>
  <c r="BH199" i="431"/>
  <c r="BH198" i="431"/>
  <c r="BJ199" i="431"/>
  <c r="DF221" i="431"/>
  <c r="DF96" i="431"/>
  <c r="DB223" i="431"/>
  <c r="DA224" i="431"/>
  <c r="DF224" i="431"/>
  <c r="DA225" i="431"/>
  <c r="DA234" i="431"/>
  <c r="BP65" i="431"/>
  <c r="BS64" i="431"/>
  <c r="BU65" i="431"/>
  <c r="DO69" i="431"/>
  <c r="DT69" i="431"/>
  <c r="BF219" i="431"/>
  <c r="BA219" i="431"/>
  <c r="EJ67" i="431"/>
  <c r="EJ69" i="431"/>
  <c r="CK109" i="431"/>
  <c r="CK124" i="431"/>
  <c r="CP114" i="431"/>
  <c r="CP108" i="431"/>
  <c r="FP45" i="431"/>
  <c r="FQ74" i="431"/>
  <c r="AT54" i="431"/>
  <c r="AT377" i="431"/>
  <c r="AE53" i="431"/>
  <c r="BH145" i="431"/>
  <c r="BH146" i="431"/>
  <c r="BJ146" i="431"/>
  <c r="AK179" i="431"/>
  <c r="AF179" i="431"/>
  <c r="DO186" i="431"/>
  <c r="DO187" i="431"/>
  <c r="DT186" i="431"/>
  <c r="DP187" i="431"/>
  <c r="AF27" i="431"/>
  <c r="AK27" i="431"/>
  <c r="AF16" i="431"/>
  <c r="DF205" i="431"/>
  <c r="DF206" i="431"/>
  <c r="DK205" i="431"/>
  <c r="DH206" i="431"/>
  <c r="EJ180" i="431"/>
  <c r="EJ179" i="431"/>
  <c r="BM101" i="431"/>
  <c r="BR101" i="431"/>
  <c r="CN225" i="431"/>
  <c r="CS224" i="431"/>
  <c r="CN224" i="431"/>
  <c r="CG136" i="431"/>
  <c r="CX130" i="431"/>
  <c r="DC130" i="431"/>
  <c r="CP82" i="431"/>
  <c r="CP51" i="431"/>
  <c r="CP60" i="431"/>
  <c r="CP221" i="431"/>
  <c r="CP96" i="431"/>
  <c r="CP136" i="431"/>
  <c r="CU136" i="431"/>
  <c r="DX304" i="431"/>
  <c r="DY302" i="431"/>
  <c r="DY304" i="431" s="1"/>
  <c r="CR68" i="431"/>
  <c r="CR71" i="431"/>
  <c r="CW71" i="431"/>
  <c r="DF69" i="431"/>
  <c r="DK69" i="431"/>
  <c r="ED130" i="431"/>
  <c r="EI130" i="431"/>
  <c r="DA27" i="431"/>
  <c r="CX16" i="431"/>
  <c r="CV27" i="431"/>
  <c r="CV16" i="431"/>
  <c r="DW102" i="431"/>
  <c r="DZ101" i="431"/>
  <c r="DU102" i="431"/>
  <c r="DZ130" i="431"/>
  <c r="DU101" i="431"/>
  <c r="DF180" i="431"/>
  <c r="EB179" i="431"/>
  <c r="EG179" i="431"/>
  <c r="EB180" i="431"/>
  <c r="EC180" i="431"/>
  <c r="BA179" i="431"/>
  <c r="BA180" i="431"/>
  <c r="BF179" i="431"/>
  <c r="BB180" i="431"/>
  <c r="X107" i="431"/>
  <c r="AC106" i="431"/>
  <c r="X106" i="431"/>
  <c r="EA185" i="431"/>
  <c r="EA54" i="431"/>
  <c r="EA15" i="431"/>
  <c r="EA171" i="431"/>
  <c r="EA172" i="431" s="1"/>
  <c r="BW219" i="431"/>
  <c r="R221" i="431"/>
  <c r="R51" i="431"/>
  <c r="R60" i="431"/>
  <c r="R134" i="431"/>
  <c r="R82" i="431"/>
  <c r="R136" i="431"/>
  <c r="R96" i="431"/>
  <c r="DA186" i="431"/>
  <c r="CB56" i="431"/>
  <c r="CT130" i="431"/>
  <c r="DG86" i="431"/>
  <c r="DC60" i="431"/>
  <c r="DC51" i="431"/>
  <c r="DH136" i="431"/>
  <c r="DC96" i="431"/>
  <c r="DC82" i="431"/>
  <c r="DC221" i="431"/>
  <c r="DP127" i="431"/>
  <c r="DU127" i="431"/>
  <c r="AM108" i="431"/>
  <c r="AR108" i="431"/>
  <c r="CV148" i="431"/>
  <c r="CQ148" i="431"/>
  <c r="BU247" i="431"/>
  <c r="BU236" i="431"/>
  <c r="BU370" i="431"/>
  <c r="DS318" i="431"/>
  <c r="DS234" i="431"/>
  <c r="DS324" i="431"/>
  <c r="DS225" i="431"/>
  <c r="DX226" i="431" s="1"/>
  <c r="DS295" i="431"/>
  <c r="DS320" i="431"/>
  <c r="DX222" i="431"/>
  <c r="DS326" i="431"/>
  <c r="DS322" i="431"/>
  <c r="DL176" i="431"/>
  <c r="AR224" i="431"/>
  <c r="AM225" i="431"/>
  <c r="AM224" i="431"/>
  <c r="DY111" i="431"/>
  <c r="AE65" i="431"/>
  <c r="BX279" i="431"/>
  <c r="BX280" i="431" s="1"/>
  <c r="EF378" i="431"/>
  <c r="EF32" i="431"/>
  <c r="EF185" i="431"/>
  <c r="EF144" i="431"/>
  <c r="EF379" i="431"/>
  <c r="EF216" i="431"/>
  <c r="EF105" i="431"/>
  <c r="EF29" i="431"/>
  <c r="EF380" i="431"/>
  <c r="EF26" i="431"/>
  <c r="EF376" i="431"/>
  <c r="EF15" i="431"/>
  <c r="EF197" i="431"/>
  <c r="EF374" i="431"/>
  <c r="EF171" i="431"/>
  <c r="EF178" i="431"/>
  <c r="EF179" i="431" s="1"/>
  <c r="EF63" i="431"/>
  <c r="EF204" i="431"/>
  <c r="EF218" i="431"/>
  <c r="EF100" i="431"/>
  <c r="EF98" i="431"/>
  <c r="EK98" i="431"/>
  <c r="EF99" i="431"/>
  <c r="P105" i="431"/>
  <c r="P107" i="431" s="1"/>
  <c r="P376" i="431"/>
  <c r="P185" i="431"/>
  <c r="P374" i="431"/>
  <c r="P197" i="431"/>
  <c r="P204" i="431"/>
  <c r="P178" i="431"/>
  <c r="P63" i="431"/>
  <c r="P171" i="431"/>
  <c r="P15" i="431"/>
  <c r="P379" i="431"/>
  <c r="P375" i="431"/>
  <c r="P144" i="431"/>
  <c r="P377" i="431"/>
  <c r="P54" i="431"/>
  <c r="EK144" i="431"/>
  <c r="EP145" i="431" s="1"/>
  <c r="EK15" i="431"/>
  <c r="EP27" i="431" s="1"/>
  <c r="EK216" i="431"/>
  <c r="EP217" i="431" s="1"/>
  <c r="EK378" i="431"/>
  <c r="EK185" i="431"/>
  <c r="EK377" i="431"/>
  <c r="EK204" i="431"/>
  <c r="EP205" i="431" s="1"/>
  <c r="EK171" i="431"/>
  <c r="EP172" i="431" s="1"/>
  <c r="EK99" i="431"/>
  <c r="EK197" i="431"/>
  <c r="EP198" i="431" s="1"/>
  <c r="EK29" i="431"/>
  <c r="EP30" i="431" s="1"/>
  <c r="EK32" i="431"/>
  <c r="EP33" i="431" s="1"/>
  <c r="EK105" i="431"/>
  <c r="EP106" i="431" s="1"/>
  <c r="EK376" i="431"/>
  <c r="EK26" i="431"/>
  <c r="EK178" i="431"/>
  <c r="EP179" i="431" s="1"/>
  <c r="EK374" i="431"/>
  <c r="EK218" i="431"/>
  <c r="EP219" i="431" s="1"/>
  <c r="EK375" i="431"/>
  <c r="AY100" i="431"/>
  <c r="BD98" i="431"/>
  <c r="AY99" i="431"/>
  <c r="AY98" i="431"/>
  <c r="BS378" i="431"/>
  <c r="AO54" i="431"/>
  <c r="AO53" i="431"/>
  <c r="AO55" i="431"/>
  <c r="EK379" i="431"/>
  <c r="AT18" i="431"/>
  <c r="AY84" i="431"/>
  <c r="AY86" i="431"/>
  <c r="AY85" i="431"/>
  <c r="BX15" i="431"/>
  <c r="BX375" i="431"/>
  <c r="BX378" i="431"/>
  <c r="BX171" i="431"/>
  <c r="BX178" i="431"/>
  <c r="BX185" i="431"/>
  <c r="BX191" i="431"/>
  <c r="BX144" i="431"/>
  <c r="BX204" i="431"/>
  <c r="BX216" i="431"/>
  <c r="BX29" i="431"/>
  <c r="BX105" i="431"/>
  <c r="BX26" i="431"/>
  <c r="BX374" i="431"/>
  <c r="BX380" i="431"/>
  <c r="BX63" i="431"/>
  <c r="BX197" i="431"/>
  <c r="BX218" i="431"/>
  <c r="AJ86" i="431"/>
  <c r="AJ85" i="431"/>
  <c r="AJ84" i="431"/>
  <c r="EF85" i="431"/>
  <c r="EF84" i="431"/>
  <c r="EF86" i="431"/>
  <c r="BD105" i="431"/>
  <c r="BD144" i="431"/>
  <c r="BD15" i="431"/>
  <c r="BD374" i="431"/>
  <c r="BD63" i="431"/>
  <c r="BD191" i="431"/>
  <c r="BD197" i="431"/>
  <c r="BD380" i="431"/>
  <c r="BD26" i="431"/>
  <c r="BD185" i="431"/>
  <c r="BD204" i="431"/>
  <c r="BD375" i="431"/>
  <c r="BD171" i="431"/>
  <c r="BD216" i="431"/>
  <c r="BD377" i="431"/>
  <c r="BD178" i="431"/>
  <c r="BD99" i="431"/>
  <c r="BD379" i="431"/>
  <c r="BD218" i="431"/>
  <c r="FQ5" i="431"/>
  <c r="DG18" i="431"/>
  <c r="DB18" i="431"/>
  <c r="CC84" i="431"/>
  <c r="CC85" i="431"/>
  <c r="CC86" i="431"/>
  <c r="DB171" i="431"/>
  <c r="DB204" i="431"/>
  <c r="DB15" i="431"/>
  <c r="DB379" i="431"/>
  <c r="DB197" i="431"/>
  <c r="DB32" i="431"/>
  <c r="DB178" i="431"/>
  <c r="DB376" i="431"/>
  <c r="DG26" i="431"/>
  <c r="DB218" i="431"/>
  <c r="DB54" i="431"/>
  <c r="DB26" i="431"/>
  <c r="DB216" i="431"/>
  <c r="DB29" i="431"/>
  <c r="DB105" i="431"/>
  <c r="DB377" i="431"/>
  <c r="DB374" i="431"/>
  <c r="DB375" i="431"/>
  <c r="DB378" i="431"/>
  <c r="DB144" i="431"/>
  <c r="DB63" i="431"/>
  <c r="DB99" i="431"/>
  <c r="DB380" i="431"/>
  <c r="DB185" i="431"/>
  <c r="BX376" i="431"/>
  <c r="EK62" i="431"/>
  <c r="EK63" i="431"/>
  <c r="EK64" i="431"/>
  <c r="CM55" i="431"/>
  <c r="CR53" i="431"/>
  <c r="CM54" i="431"/>
  <c r="CM53" i="431"/>
  <c r="BN197" i="431"/>
  <c r="BN374" i="431"/>
  <c r="BN63" i="431"/>
  <c r="BN377" i="431"/>
  <c r="BN218" i="431"/>
  <c r="BN26" i="431"/>
  <c r="BN54" i="431"/>
  <c r="BN204" i="431"/>
  <c r="BN15" i="431"/>
  <c r="BN105" i="431"/>
  <c r="BN185" i="431"/>
  <c r="BN216" i="431"/>
  <c r="BN376" i="431"/>
  <c r="BN178" i="431"/>
  <c r="BN191" i="431"/>
  <c r="BN144" i="431"/>
  <c r="BN380" i="431"/>
  <c r="BN171" i="431"/>
  <c r="BX377" i="431"/>
  <c r="AO144" i="431"/>
  <c r="AO379" i="431"/>
  <c r="AO374" i="431"/>
  <c r="AO171" i="431"/>
  <c r="AO105" i="431"/>
  <c r="AO375" i="431"/>
  <c r="AO218" i="431"/>
  <c r="AO216" i="431"/>
  <c r="AO85" i="431"/>
  <c r="AO378" i="431"/>
  <c r="AO63" i="431"/>
  <c r="AO185" i="431"/>
  <c r="AO178" i="431"/>
  <c r="AO204" i="431"/>
  <c r="AO26" i="431"/>
  <c r="AO197" i="431"/>
  <c r="AO377" i="431"/>
  <c r="AO15" i="431"/>
  <c r="AO380" i="431"/>
  <c r="BI99" i="431"/>
  <c r="BI100" i="431"/>
  <c r="BI101" i="431" s="1"/>
  <c r="BI98" i="431"/>
  <c r="AT85" i="431"/>
  <c r="AT86" i="431"/>
  <c r="AT84" i="431"/>
  <c r="AY216" i="431"/>
  <c r="AY171" i="431"/>
  <c r="AY185" i="431"/>
  <c r="AY204" i="431"/>
  <c r="AY54" i="431"/>
  <c r="AY178" i="431"/>
  <c r="AY144" i="431"/>
  <c r="AY26" i="431"/>
  <c r="AY218" i="431"/>
  <c r="AY380" i="431"/>
  <c r="AY379" i="431"/>
  <c r="AY376" i="431"/>
  <c r="AY378" i="431"/>
  <c r="AY374" i="431"/>
  <c r="AY197" i="431"/>
  <c r="AY15" i="431"/>
  <c r="AY63" i="431"/>
  <c r="AY375" i="431"/>
  <c r="AY105" i="431"/>
  <c r="AE101" i="431"/>
  <c r="AJ101" i="431"/>
  <c r="FQ18" i="431"/>
  <c r="FQ78" i="431"/>
  <c r="FP79" i="431"/>
  <c r="FP75" i="431"/>
  <c r="AY377" i="431"/>
  <c r="FQ174" i="431"/>
  <c r="CH376" i="431"/>
  <c r="CH29" i="431"/>
  <c r="CH204" i="431"/>
  <c r="CH171" i="431"/>
  <c r="CH63" i="431"/>
  <c r="CH144" i="431"/>
  <c r="CH374" i="431"/>
  <c r="CH26" i="431"/>
  <c r="CH197" i="431"/>
  <c r="CH105" i="431"/>
  <c r="CH377" i="431"/>
  <c r="CH185" i="431"/>
  <c r="CH178" i="431"/>
  <c r="CH378" i="431"/>
  <c r="CH15" i="431"/>
  <c r="CH218" i="431"/>
  <c r="CH216" i="431"/>
  <c r="CH32" i="431"/>
  <c r="CH375" i="431"/>
  <c r="CH380" i="431"/>
  <c r="AE26" i="431"/>
  <c r="AE204" i="431"/>
  <c r="AE15" i="431"/>
  <c r="AE185" i="431"/>
  <c r="AE374" i="431"/>
  <c r="AE216" i="431"/>
  <c r="AE178" i="431"/>
  <c r="AE105" i="431"/>
  <c r="AE171" i="431"/>
  <c r="AE63" i="431"/>
  <c r="AE54" i="431"/>
  <c r="AE218" i="431"/>
  <c r="AE144" i="431"/>
  <c r="AE197" i="431"/>
  <c r="AE379" i="431"/>
  <c r="AE377" i="431"/>
  <c r="AE380" i="431"/>
  <c r="AE378" i="431"/>
  <c r="AE376" i="431"/>
  <c r="AE375" i="431"/>
  <c r="EF377" i="431"/>
  <c r="CR18" i="431"/>
  <c r="Z377" i="431"/>
  <c r="Z375" i="431"/>
  <c r="Z99" i="431"/>
  <c r="Z144" i="431"/>
  <c r="Z197" i="431"/>
  <c r="Z63" i="431"/>
  <c r="Z380" i="431"/>
  <c r="Z216" i="431"/>
  <c r="Z85" i="431"/>
  <c r="Z374" i="431"/>
  <c r="Z105" i="431"/>
  <c r="Z178" i="431"/>
  <c r="Z204" i="431"/>
  <c r="Z171" i="431"/>
  <c r="Z185" i="431"/>
  <c r="Z218" i="431"/>
  <c r="Z26" i="431"/>
  <c r="Z378" i="431"/>
  <c r="Z15" i="431"/>
  <c r="U18" i="431"/>
  <c r="BI185" i="431"/>
  <c r="BI197" i="431"/>
  <c r="BI191" i="431"/>
  <c r="BI216" i="431"/>
  <c r="BI15" i="431"/>
  <c r="BI171" i="431"/>
  <c r="BI144" i="431"/>
  <c r="BI178" i="431"/>
  <c r="BI375" i="431"/>
  <c r="BI105" i="431"/>
  <c r="BI204" i="431"/>
  <c r="BI63" i="431"/>
  <c r="BI378" i="431"/>
  <c r="BI376" i="431"/>
  <c r="BI26" i="431"/>
  <c r="BI85" i="431"/>
  <c r="BI374" i="431"/>
  <c r="BI218" i="431"/>
  <c r="BI377" i="431"/>
  <c r="EK84" i="431"/>
  <c r="EK85" i="431"/>
  <c r="EK86" i="431"/>
  <c r="BD53" i="431"/>
  <c r="BD55" i="431"/>
  <c r="BD54" i="431"/>
  <c r="CH54" i="431"/>
  <c r="EL98" i="431"/>
  <c r="U144" i="431"/>
  <c r="U85" i="431"/>
  <c r="U26" i="431"/>
  <c r="U377" i="431"/>
  <c r="U185" i="431"/>
  <c r="U374" i="431"/>
  <c r="U375" i="431"/>
  <c r="U204" i="431"/>
  <c r="U197" i="431"/>
  <c r="U105" i="431"/>
  <c r="U178" i="431"/>
  <c r="U378" i="431"/>
  <c r="U99" i="431"/>
  <c r="U171" i="431"/>
  <c r="U380" i="431"/>
  <c r="U63" i="431"/>
  <c r="U15" i="431"/>
  <c r="EF62" i="431"/>
  <c r="EA63" i="431"/>
  <c r="EA62" i="431"/>
  <c r="EA64" i="431"/>
  <c r="EA86" i="431"/>
  <c r="EA85" i="431"/>
  <c r="EA84" i="431"/>
  <c r="CR86" i="431"/>
  <c r="CR85" i="431"/>
  <c r="CR84" i="431"/>
  <c r="DV54" i="431"/>
  <c r="EA53" i="431"/>
  <c r="DV53" i="431"/>
  <c r="DV55" i="431"/>
  <c r="AE86" i="431"/>
  <c r="AE84" i="431"/>
  <c r="AE85" i="431"/>
  <c r="BX379" i="431"/>
  <c r="BS15" i="431"/>
  <c r="BS204" i="431"/>
  <c r="BS377" i="431"/>
  <c r="BS191" i="431"/>
  <c r="BS99" i="431"/>
  <c r="BS171" i="431"/>
  <c r="BS218" i="431"/>
  <c r="BS178" i="431"/>
  <c r="BS197" i="431"/>
  <c r="BS105" i="431"/>
  <c r="BS375" i="431"/>
  <c r="BS63" i="431"/>
  <c r="BS185" i="431"/>
  <c r="BS380" i="431"/>
  <c r="BS216" i="431"/>
  <c r="BS144" i="431"/>
  <c r="BS26" i="431"/>
  <c r="BS379" i="431"/>
  <c r="BS374" i="431"/>
  <c r="Z54" i="431"/>
  <c r="Z55" i="431"/>
  <c r="Z53" i="431"/>
  <c r="U55" i="431"/>
  <c r="U53" i="431"/>
  <c r="U54" i="431"/>
  <c r="BS84" i="431"/>
  <c r="BS85" i="431"/>
  <c r="BS86" i="431"/>
  <c r="BD376" i="431"/>
  <c r="EZ7" i="431"/>
  <c r="FE7" i="431" s="1"/>
  <c r="CR15" i="431"/>
  <c r="CR376" i="431"/>
  <c r="CR171" i="431"/>
  <c r="CR378" i="431"/>
  <c r="CR204" i="431"/>
  <c r="CR105" i="431"/>
  <c r="CR377" i="431"/>
  <c r="CR197" i="431"/>
  <c r="CR144" i="431"/>
  <c r="CR32" i="431"/>
  <c r="CR63" i="431"/>
  <c r="CR178" i="431"/>
  <c r="CW179" i="431" s="1"/>
  <c r="CR375" i="431"/>
  <c r="CR185" i="431"/>
  <c r="CR216" i="431"/>
  <c r="CR379" i="431"/>
  <c r="CR54" i="431"/>
  <c r="CR29" i="431"/>
  <c r="CW26" i="431"/>
  <c r="CR26" i="431"/>
  <c r="CR374" i="431"/>
  <c r="BN86" i="431"/>
  <c r="BN84" i="431"/>
  <c r="BN85" i="431"/>
  <c r="BX84" i="431"/>
  <c r="BX85" i="431"/>
  <c r="BX86" i="431"/>
  <c r="AT204" i="431"/>
  <c r="AT178" i="431"/>
  <c r="AT376" i="431"/>
  <c r="AT105" i="431"/>
  <c r="AT15" i="431"/>
  <c r="AT185" i="431"/>
  <c r="AT379" i="431"/>
  <c r="AT171" i="431"/>
  <c r="AT374" i="431"/>
  <c r="AT216" i="431"/>
  <c r="AT378" i="431"/>
  <c r="AT26" i="431"/>
  <c r="AT144" i="431"/>
  <c r="AT197" i="431"/>
  <c r="AT63" i="431"/>
  <c r="AT218" i="431"/>
  <c r="BX18" i="431"/>
  <c r="BS54" i="431"/>
  <c r="BS53" i="431"/>
  <c r="BS55" i="431"/>
  <c r="BN378" i="431"/>
  <c r="BD84" i="431"/>
  <c r="BD86" i="431"/>
  <c r="BD85" i="431"/>
  <c r="AT98" i="431"/>
  <c r="AT100" i="431"/>
  <c r="AT101" i="431" s="1"/>
  <c r="AT99" i="431"/>
  <c r="Z18" i="431"/>
  <c r="EF375" i="431"/>
  <c r="CC18" i="431"/>
  <c r="EF18" i="431"/>
  <c r="CW84" i="431"/>
  <c r="EA107" i="431"/>
  <c r="EF114" i="431" s="1"/>
  <c r="BN99" i="431"/>
  <c r="AJ144" i="431"/>
  <c r="AJ380" i="431"/>
  <c r="AJ171" i="431"/>
  <c r="AJ185" i="431"/>
  <c r="AJ204" i="431"/>
  <c r="AJ178" i="431"/>
  <c r="AJ377" i="431"/>
  <c r="AJ54" i="431"/>
  <c r="AJ374" i="431"/>
  <c r="AJ105" i="431"/>
  <c r="AJ378" i="431"/>
  <c r="AJ63" i="431"/>
  <c r="AJ26" i="431"/>
  <c r="AJ216" i="431"/>
  <c r="AJ99" i="431"/>
  <c r="AJ15" i="431"/>
  <c r="AJ376" i="431"/>
  <c r="AJ197" i="431"/>
  <c r="AJ218" i="431"/>
  <c r="BN379" i="431"/>
  <c r="CH84" i="431"/>
  <c r="CH85" i="431"/>
  <c r="CH86" i="431"/>
  <c r="AO18" i="431"/>
  <c r="BX99" i="431"/>
  <c r="FQ9" i="431"/>
  <c r="FP9" i="431"/>
  <c r="DB84" i="431"/>
  <c r="DB85" i="431"/>
  <c r="DG84" i="431"/>
  <c r="DB86" i="431"/>
  <c r="BN375" i="431"/>
  <c r="DV84" i="431"/>
  <c r="DV86" i="431"/>
  <c r="DV85" i="431"/>
  <c r="BX55" i="431"/>
  <c r="CC56" i="431" s="1"/>
  <c r="BX54" i="431"/>
  <c r="BX53" i="431"/>
  <c r="AJ375" i="431"/>
  <c r="CM63" i="431"/>
  <c r="CM171" i="431"/>
  <c r="CM375" i="431"/>
  <c r="CM377" i="431"/>
  <c r="CM15" i="431"/>
  <c r="CM178" i="431"/>
  <c r="CM32" i="431"/>
  <c r="CM378" i="431"/>
  <c r="CM29" i="431"/>
  <c r="CM204" i="431"/>
  <c r="CM144" i="431"/>
  <c r="CM185" i="431"/>
  <c r="CM105" i="431"/>
  <c r="CM99" i="431"/>
  <c r="CM26" i="431"/>
  <c r="CM374" i="431"/>
  <c r="CM216" i="431"/>
  <c r="CM197" i="431"/>
  <c r="CM218" i="431"/>
  <c r="CM85" i="431"/>
  <c r="U84" i="431"/>
  <c r="P85" i="431"/>
  <c r="P86" i="431"/>
  <c r="CC26" i="431"/>
  <c r="CC99" i="431"/>
  <c r="CC15" i="431"/>
  <c r="CC379" i="431"/>
  <c r="CC204" i="431"/>
  <c r="CC197" i="431"/>
  <c r="CC32" i="431"/>
  <c r="CC178" i="431"/>
  <c r="CC144" i="431"/>
  <c r="CC63" i="431"/>
  <c r="CC377" i="431"/>
  <c r="CC105" i="431"/>
  <c r="CC171" i="431"/>
  <c r="CC29" i="431"/>
  <c r="CC378" i="431"/>
  <c r="CC218" i="431"/>
  <c r="CC374" i="431"/>
  <c r="CC380" i="431"/>
  <c r="CC376" i="431"/>
  <c r="CC375" i="431"/>
  <c r="CC216" i="431"/>
  <c r="CC185" i="431"/>
  <c r="AO376" i="431"/>
  <c r="A283" i="435"/>
  <c r="A25" i="435"/>
  <c r="D13" i="435"/>
  <c r="A446" i="435"/>
  <c r="A35" i="435"/>
  <c r="D23" i="435"/>
  <c r="D51" i="435"/>
  <c r="A63" i="435"/>
  <c r="A34" i="435"/>
  <c r="D22" i="435"/>
  <c r="A423" i="435"/>
  <c r="D30" i="435"/>
  <c r="A42" i="435"/>
  <c r="L4" i="435"/>
  <c r="K5" i="435"/>
  <c r="A414" i="435"/>
  <c r="A490" i="435"/>
  <c r="A542" i="435" s="1"/>
  <c r="A403" i="435"/>
  <c r="A431" i="435"/>
  <c r="A332" i="435"/>
  <c r="A495" i="435"/>
  <c r="A547" i="435" s="1"/>
  <c r="A309" i="435"/>
  <c r="K25" i="435"/>
  <c r="J27" i="435"/>
  <c r="V32" i="435" s="1"/>
  <c r="CC278" i="431" s="1"/>
  <c r="CC279" i="431" s="1"/>
  <c r="CC280" i="431" s="1"/>
  <c r="J26" i="435"/>
  <c r="V31" i="435" s="1"/>
  <c r="J10" i="435"/>
  <c r="V15" i="435" s="1"/>
  <c r="K9" i="435"/>
  <c r="A479" i="435"/>
  <c r="A531" i="435" s="1"/>
  <c r="A363" i="435"/>
  <c r="D40" i="435"/>
  <c r="A52" i="435"/>
  <c r="A32" i="435"/>
  <c r="D20" i="435"/>
  <c r="B177" i="435"/>
  <c r="D177" i="435" s="1"/>
  <c r="C178" i="435"/>
  <c r="A417" i="435"/>
  <c r="A298" i="435"/>
  <c r="D14" i="435"/>
  <c r="A26" i="435"/>
  <c r="D60" i="435"/>
  <c r="A72" i="435"/>
  <c r="D31" i="435"/>
  <c r="A43" i="435"/>
  <c r="D65" i="435"/>
  <c r="A77" i="435"/>
  <c r="A399" i="435"/>
  <c r="D57" i="435"/>
  <c r="A69" i="435"/>
  <c r="A406" i="435"/>
  <c r="A358" i="435"/>
  <c r="B147" i="435"/>
  <c r="D147" i="435" s="1"/>
  <c r="C148" i="435"/>
  <c r="A338" i="435"/>
  <c r="A476" i="435"/>
  <c r="A528" i="435" s="1"/>
  <c r="A378" i="435"/>
  <c r="A460" i="435"/>
  <c r="A512" i="435" s="1"/>
  <c r="A366" i="435"/>
  <c r="EU285" i="431"/>
  <c r="EU287" i="431" s="1"/>
  <c r="O11" i="455"/>
  <c r="EZ207" i="431"/>
  <c r="FE207" i="431" s="1"/>
  <c r="FQ211" i="431"/>
  <c r="FP70" i="431"/>
  <c r="EL68" i="431"/>
  <c r="EP68" i="431" s="1"/>
  <c r="EP69" i="431" s="1"/>
  <c r="FQ83" i="431"/>
  <c r="EZ11" i="431"/>
  <c r="FE11" i="431" s="1"/>
  <c r="EL29" i="431"/>
  <c r="EM31" i="431" s="1"/>
  <c r="EL185" i="431"/>
  <c r="EL120" i="431"/>
  <c r="CW13" i="434" s="1"/>
  <c r="EL104" i="431"/>
  <c r="EL135" i="431"/>
  <c r="EL82" i="431" s="1"/>
  <c r="EL86" i="431"/>
  <c r="EP86" i="431" s="1"/>
  <c r="EL81" i="431"/>
  <c r="D5" i="434"/>
  <c r="D6" i="434" s="1"/>
  <c r="D6" i="433"/>
  <c r="D7" i="433" s="1"/>
  <c r="EZ142" i="431"/>
  <c r="FE142" i="431" s="1"/>
  <c r="FQ143" i="431"/>
  <c r="FP143" i="431"/>
  <c r="FP35" i="431"/>
  <c r="FQ35" i="431"/>
  <c r="FP40" i="431"/>
  <c r="E6" i="433"/>
  <c r="E7" i="433" s="1"/>
  <c r="EL215" i="431"/>
  <c r="FN215" i="431" s="1"/>
  <c r="EL210" i="431"/>
  <c r="FN210" i="431" s="1"/>
  <c r="FP41" i="431"/>
  <c r="FQ41" i="431"/>
  <c r="EL202" i="431"/>
  <c r="FP59" i="431"/>
  <c r="FQ59" i="431"/>
  <c r="FQ21" i="431"/>
  <c r="FP21" i="431"/>
  <c r="FP245" i="431"/>
  <c r="FQ245" i="431"/>
  <c r="EL169" i="431"/>
  <c r="EL195" i="431"/>
  <c r="FQ84" i="431"/>
  <c r="FP84" i="431"/>
  <c r="FQ72" i="431"/>
  <c r="FP72" i="431"/>
  <c r="EL179" i="431"/>
  <c r="FP37" i="431"/>
  <c r="FQ37" i="431"/>
  <c r="EL180" i="431"/>
  <c r="FQ180" i="431" s="1"/>
  <c r="EL216" i="431"/>
  <c r="FQ260" i="431"/>
  <c r="FP260" i="431"/>
  <c r="FP39" i="431"/>
  <c r="FQ39" i="431"/>
  <c r="FQ42" i="431"/>
  <c r="FP50" i="431"/>
  <c r="EL218" i="431"/>
  <c r="EL155" i="431"/>
  <c r="FQ73" i="431"/>
  <c r="FP73" i="431"/>
  <c r="EL140" i="431"/>
  <c r="FN140" i="431" s="1"/>
  <c r="FQ100" i="431"/>
  <c r="EL176" i="431"/>
  <c r="FP214" i="431"/>
  <c r="FP193" i="431"/>
  <c r="FQ193" i="431"/>
  <c r="EL26" i="431"/>
  <c r="EL99" i="431"/>
  <c r="EL197" i="431"/>
  <c r="EL15" i="431"/>
  <c r="EL171" i="431"/>
  <c r="EL14" i="431"/>
  <c r="EL105" i="431"/>
  <c r="EL144" i="431"/>
  <c r="EL204" i="431"/>
  <c r="EL32" i="431"/>
  <c r="EM34" i="431" s="1"/>
  <c r="EL85" i="431"/>
  <c r="FQ85" i="431" s="1"/>
  <c r="G904" i="433"/>
  <c r="EL165" i="431"/>
  <c r="FQ94" i="431"/>
  <c r="FP94" i="431"/>
  <c r="FQ71" i="431"/>
  <c r="FP71" i="431"/>
  <c r="FP200" i="431"/>
  <c r="FQ200" i="431"/>
  <c r="FQ168" i="431"/>
  <c r="FP168" i="431"/>
  <c r="L32" i="451"/>
  <c r="M9" i="451"/>
  <c r="N9" i="451" s="1"/>
  <c r="O9" i="451" s="1"/>
  <c r="P9" i="451" s="1"/>
  <c r="FQ38" i="431"/>
  <c r="FP38" i="431"/>
  <c r="FQ167" i="431"/>
  <c r="FP167" i="431"/>
  <c r="FP138" i="431"/>
  <c r="FQ138" i="431"/>
  <c r="FQ8" i="431"/>
  <c r="FP8" i="431"/>
  <c r="EL152" i="431"/>
  <c r="EL151" i="431"/>
  <c r="FN151" i="431" s="1"/>
  <c r="FP5" i="431"/>
  <c r="EL64" i="431"/>
  <c r="EP64" i="431" s="1"/>
  <c r="EP65" i="431" s="1"/>
  <c r="EL63" i="431"/>
  <c r="EL62" i="431"/>
  <c r="EL164" i="431"/>
  <c r="EL163" i="431"/>
  <c r="FQ45" i="431"/>
  <c r="EZ10" i="431"/>
  <c r="FE10" i="431" s="1"/>
  <c r="G908" i="434"/>
  <c r="FQ160" i="431"/>
  <c r="FP160" i="431"/>
  <c r="EL148" i="431"/>
  <c r="FN148" i="431" s="1"/>
  <c r="FQ183" i="431"/>
  <c r="FP183" i="431"/>
  <c r="L30" i="451"/>
  <c r="L25" i="451"/>
  <c r="M19" i="451"/>
  <c r="FP201" i="431"/>
  <c r="FQ201" i="431"/>
  <c r="FP6" i="431"/>
  <c r="FQ6" i="431"/>
  <c r="FP19" i="431"/>
  <c r="FQ19" i="431"/>
  <c r="FP178" i="431"/>
  <c r="FQ178" i="431"/>
  <c r="FQ208" i="431"/>
  <c r="FP208" i="431"/>
  <c r="EL54" i="431"/>
  <c r="EL53" i="431"/>
  <c r="EL55" i="431"/>
  <c r="EP55" i="431" s="1"/>
  <c r="EP56" i="431" s="1"/>
  <c r="FP139" i="431"/>
  <c r="FQ139" i="431"/>
  <c r="FP159" i="431"/>
  <c r="FQ159" i="431"/>
  <c r="FP95" i="431"/>
  <c r="FQ95" i="431"/>
  <c r="EZ6" i="431"/>
  <c r="FN216" i="431" l="1"/>
  <c r="EQ217" i="431"/>
  <c r="FM217" i="431" s="1"/>
  <c r="FN202" i="431"/>
  <c r="FP202" i="431" s="1"/>
  <c r="FQ169" i="431"/>
  <c r="FN169" i="431"/>
  <c r="FP169" i="431" s="1"/>
  <c r="FN223" i="431"/>
  <c r="EQ224" i="431"/>
  <c r="FM224" i="431" s="1"/>
  <c r="FN218" i="431"/>
  <c r="EQ219" i="431"/>
  <c r="FM219" i="431" s="1"/>
  <c r="FQ176" i="431"/>
  <c r="FN176" i="431"/>
  <c r="FQ155" i="431"/>
  <c r="FN155" i="431"/>
  <c r="FP155" i="431" s="1"/>
  <c r="FQ195" i="431"/>
  <c r="FN195" i="431"/>
  <c r="FP195" i="431" s="1"/>
  <c r="FN152" i="431"/>
  <c r="FH152" i="431"/>
  <c r="EL242" i="431"/>
  <c r="FN242" i="431" s="1"/>
  <c r="FN243" i="431"/>
  <c r="EP115" i="431"/>
  <c r="EP116" i="431" s="1"/>
  <c r="DA11" i="434" s="1"/>
  <c r="EP118" i="431"/>
  <c r="EP120" i="431"/>
  <c r="DA13" i="434" s="1"/>
  <c r="DT370" i="431"/>
  <c r="DT236" i="431"/>
  <c r="DY237" i="431" s="1"/>
  <c r="DY232" i="431"/>
  <c r="DY228" i="431"/>
  <c r="DT247" i="431"/>
  <c r="DY235" i="431"/>
  <c r="DT229" i="431"/>
  <c r="FJ66" i="431"/>
  <c r="FK102" i="431"/>
  <c r="FJ206" i="431"/>
  <c r="FJ102" i="431"/>
  <c r="FK16" i="431"/>
  <c r="FJ88" i="431"/>
  <c r="FJ173" i="431"/>
  <c r="FK88" i="431"/>
  <c r="DT318" i="431"/>
  <c r="DT295" i="431"/>
  <c r="DT322" i="431"/>
  <c r="DT320" i="431"/>
  <c r="DY222" i="431"/>
  <c r="DT326" i="431"/>
  <c r="DT324" i="431"/>
  <c r="EB60" i="431"/>
  <c r="EB51" i="431"/>
  <c r="EB221" i="431"/>
  <c r="EB96" i="431"/>
  <c r="EB136" i="431"/>
  <c r="EB82" i="431"/>
  <c r="EP87" i="431"/>
  <c r="BS198" i="431"/>
  <c r="BS27" i="431"/>
  <c r="EK186" i="431"/>
  <c r="EP186" i="431"/>
  <c r="FK66" i="431"/>
  <c r="FK187" i="431"/>
  <c r="FK180" i="431"/>
  <c r="EJ127" i="431"/>
  <c r="EO127" i="431"/>
  <c r="FK199" i="431"/>
  <c r="FJ31" i="431"/>
  <c r="FJ180" i="431"/>
  <c r="EM102" i="431"/>
  <c r="FI102" i="431" s="1"/>
  <c r="EP100" i="431"/>
  <c r="EP101" i="431" s="1"/>
  <c r="FK57" i="431"/>
  <c r="FP120" i="431"/>
  <c r="EO116" i="431"/>
  <c r="CZ11" i="434" s="1"/>
  <c r="EO114" i="431"/>
  <c r="EP81" i="431"/>
  <c r="FK206" i="431"/>
  <c r="FK146" i="431"/>
  <c r="FK31" i="431"/>
  <c r="FI31" i="431"/>
  <c r="FJ57" i="431"/>
  <c r="FJ16" i="431"/>
  <c r="FJ187" i="431"/>
  <c r="FJ146" i="431"/>
  <c r="FK173" i="431"/>
  <c r="EO111" i="431"/>
  <c r="EP135" i="431"/>
  <c r="EP104" i="431"/>
  <c r="DT233" i="431"/>
  <c r="ED110" i="431"/>
  <c r="FE42" i="431"/>
  <c r="CY13" i="434"/>
  <c r="FQ104" i="431"/>
  <c r="ET138" i="431"/>
  <c r="ET139" i="431" s="1"/>
  <c r="EL102" i="431"/>
  <c r="FP102" i="431" s="1"/>
  <c r="DF60" i="431"/>
  <c r="K210" i="431"/>
  <c r="EI129" i="431"/>
  <c r="DH129" i="431"/>
  <c r="DH128" i="431" s="1"/>
  <c r="DH123" i="431" s="1"/>
  <c r="CX219" i="431"/>
  <c r="BN87" i="431"/>
  <c r="CB51" i="431"/>
  <c r="DF136" i="431"/>
  <c r="K202" i="431"/>
  <c r="CX127" i="431"/>
  <c r="O225" i="431"/>
  <c r="EC226" i="431"/>
  <c r="CW218" i="431"/>
  <c r="EI108" i="431"/>
  <c r="Q221" i="431"/>
  <c r="Q234" i="431" s="1"/>
  <c r="CW216" i="431"/>
  <c r="CW217" i="431" s="1"/>
  <c r="DJ370" i="431"/>
  <c r="DJ247" i="431"/>
  <c r="DJ236" i="431"/>
  <c r="DJ237" i="431" s="1"/>
  <c r="DJ229" i="431"/>
  <c r="DJ233" i="431" s="1"/>
  <c r="DJ232" i="431"/>
  <c r="DJ228" i="431"/>
  <c r="AG96" i="431"/>
  <c r="AG82" i="431"/>
  <c r="AG221" i="431"/>
  <c r="AG222" i="431" s="1"/>
  <c r="AG60" i="431"/>
  <c r="AG51" i="431"/>
  <c r="CC148" i="431"/>
  <c r="BX148" i="431"/>
  <c r="EF135" i="431"/>
  <c r="EF120" i="431"/>
  <c r="CQ13" i="434" s="1"/>
  <c r="EI114" i="431"/>
  <c r="DC111" i="431"/>
  <c r="DU109" i="431"/>
  <c r="EH127" i="431"/>
  <c r="K169" i="431"/>
  <c r="ED109" i="431"/>
  <c r="AJ51" i="431"/>
  <c r="CB60" i="431"/>
  <c r="DZ108" i="431"/>
  <c r="CG108" i="431"/>
  <c r="DH127" i="431"/>
  <c r="AJ60" i="431"/>
  <c r="Q96" i="431"/>
  <c r="AQ108" i="431"/>
  <c r="DH236" i="431"/>
  <c r="DH370" i="431"/>
  <c r="ED96" i="431"/>
  <c r="ED136" i="431"/>
  <c r="ED51" i="431"/>
  <c r="ED60" i="431"/>
  <c r="ED221" i="431"/>
  <c r="ED82" i="431"/>
  <c r="K176" i="431"/>
  <c r="AJ221" i="431"/>
  <c r="CB96" i="431"/>
  <c r="DF82" i="431"/>
  <c r="DZ114" i="431"/>
  <c r="K195" i="431"/>
  <c r="EC124" i="431"/>
  <c r="EC125" i="431" s="1"/>
  <c r="EE371" i="431"/>
  <c r="Q60" i="431"/>
  <c r="AQ221" i="431"/>
  <c r="AQ60" i="431"/>
  <c r="AQ96" i="431"/>
  <c r="AQ82" i="431"/>
  <c r="AQ51" i="431"/>
  <c r="AV136" i="431"/>
  <c r="CB221" i="431"/>
  <c r="CB234" i="431" s="1"/>
  <c r="DK136" i="431"/>
  <c r="K215" i="431"/>
  <c r="CB108" i="431"/>
  <c r="E248" i="431"/>
  <c r="DH371" i="431"/>
  <c r="BN322" i="431"/>
  <c r="BN320" i="431"/>
  <c r="AS227" i="431"/>
  <c r="AO104" i="431"/>
  <c r="ED129" i="431"/>
  <c r="ED128" i="431" s="1"/>
  <c r="ED123" i="431" s="1"/>
  <c r="ED113" i="431" s="1"/>
  <c r="CB224" i="431"/>
  <c r="BW224" i="431"/>
  <c r="BX223" i="431"/>
  <c r="AO148" i="431"/>
  <c r="AJ148" i="431"/>
  <c r="CZ234" i="431"/>
  <c r="CZ225" i="431"/>
  <c r="DE226" i="431" s="1"/>
  <c r="E227" i="431"/>
  <c r="BN324" i="431"/>
  <c r="K223" i="431"/>
  <c r="K225" i="431" s="1"/>
  <c r="AJ104" i="431"/>
  <c r="EC129" i="431"/>
  <c r="EC128" i="431" s="1"/>
  <c r="EC123" i="431" s="1"/>
  <c r="AB234" i="431"/>
  <c r="CB136" i="431"/>
  <c r="DH108" i="431"/>
  <c r="DH110" i="431" s="1"/>
  <c r="DO110" i="431"/>
  <c r="D234" i="431"/>
  <c r="BX151" i="431"/>
  <c r="CC151" i="431"/>
  <c r="ES38" i="431"/>
  <c r="ES37" i="431" s="1"/>
  <c r="EI295" i="431"/>
  <c r="EN222" i="431"/>
  <c r="EM16" i="431"/>
  <c r="FI16" i="431" s="1"/>
  <c r="U87" i="431"/>
  <c r="EM199" i="431"/>
  <c r="FI199" i="431" s="1"/>
  <c r="CU370" i="431"/>
  <c r="EN116" i="431"/>
  <c r="CY11" i="434" s="1"/>
  <c r="EN114" i="431"/>
  <c r="ET38" i="431"/>
  <c r="DG336" i="431"/>
  <c r="DG334" i="431"/>
  <c r="CY217" i="431"/>
  <c r="CT217" i="431"/>
  <c r="EA130" i="431"/>
  <c r="DG107" i="431"/>
  <c r="DL114" i="431" s="1"/>
  <c r="EA104" i="431"/>
  <c r="CU110" i="431"/>
  <c r="AO135" i="431"/>
  <c r="AT136" i="431" s="1"/>
  <c r="DH250" i="431"/>
  <c r="AY317" i="431"/>
  <c r="BH96" i="431"/>
  <c r="ET185" i="431"/>
  <c r="ET187" i="431" s="1"/>
  <c r="ET80" i="431"/>
  <c r="ET81" i="431" s="1"/>
  <c r="EE302" i="431"/>
  <c r="EE304" i="431" s="1"/>
  <c r="ED304" i="431"/>
  <c r="EU115" i="431"/>
  <c r="EM173" i="431"/>
  <c r="FI173" i="431" s="1"/>
  <c r="DI127" i="431"/>
  <c r="DE248" i="431"/>
  <c r="DE265" i="431" s="1"/>
  <c r="DE267" i="431" s="1"/>
  <c r="DE250" i="431"/>
  <c r="DX370" i="431"/>
  <c r="DX236" i="431"/>
  <c r="DX229" i="431"/>
  <c r="DX233" i="431" s="1"/>
  <c r="DX247" i="431"/>
  <c r="BH108" i="431"/>
  <c r="BM136" i="431"/>
  <c r="EE250" i="431"/>
  <c r="ET144" i="431"/>
  <c r="ET145" i="431" s="1"/>
  <c r="EM206" i="431"/>
  <c r="FI206" i="431" s="1"/>
  <c r="EM88" i="431"/>
  <c r="FI88" i="431" s="1"/>
  <c r="EU86" i="431"/>
  <c r="CU236" i="431"/>
  <c r="AB222" i="431"/>
  <c r="BJ51" i="431"/>
  <c r="EA205" i="431"/>
  <c r="U101" i="431"/>
  <c r="BE226" i="431"/>
  <c r="BH60" i="431"/>
  <c r="DE114" i="431"/>
  <c r="DE110" i="431" s="1"/>
  <c r="ER38" i="431"/>
  <c r="ER37" i="431" s="1"/>
  <c r="ER152" i="431"/>
  <c r="EI124" i="431"/>
  <c r="EN108" i="431"/>
  <c r="ER164" i="431"/>
  <c r="CT224" i="431"/>
  <c r="CY224" i="431"/>
  <c r="BM370" i="431"/>
  <c r="BM236" i="431"/>
  <c r="BM247" i="431"/>
  <c r="Q236" i="431"/>
  <c r="Q370" i="431"/>
  <c r="Q247" i="431"/>
  <c r="EM187" i="431"/>
  <c r="FI187" i="431" s="1"/>
  <c r="DU305" i="431"/>
  <c r="DU307" i="431" s="1"/>
  <c r="CW155" i="431"/>
  <c r="CW202" i="431"/>
  <c r="CW176" i="431"/>
  <c r="CW210" i="431"/>
  <c r="CW183" i="431"/>
  <c r="CW195" i="431"/>
  <c r="CW140" i="431"/>
  <c r="CW169" i="431"/>
  <c r="CU247" i="431"/>
  <c r="CU371" i="431" s="1"/>
  <c r="CW107" i="431"/>
  <c r="DB114" i="431" s="1"/>
  <c r="W219" i="431"/>
  <c r="EM57" i="431"/>
  <c r="FI57" i="431" s="1"/>
  <c r="EM146" i="431"/>
  <c r="FI146" i="431" s="1"/>
  <c r="DV87" i="431"/>
  <c r="EL101" i="431"/>
  <c r="FQ101" i="431" s="1"/>
  <c r="ET178" i="431"/>
  <c r="ET180" i="431" s="1"/>
  <c r="CU229" i="431"/>
  <c r="DN110" i="431"/>
  <c r="BA108" i="431"/>
  <c r="DX227" i="431"/>
  <c r="AT104" i="431"/>
  <c r="ET204" i="431"/>
  <c r="ET206" i="431" s="1"/>
  <c r="BH136" i="431"/>
  <c r="EE370" i="431"/>
  <c r="EE229" i="431"/>
  <c r="EE233" i="431" s="1"/>
  <c r="CZ109" i="431"/>
  <c r="CZ111" i="431" s="1"/>
  <c r="DD129" i="431"/>
  <c r="DD128" i="431" s="1"/>
  <c r="DD123" i="431" s="1"/>
  <c r="DE371" i="431"/>
  <c r="EM180" i="431"/>
  <c r="FI180" i="431" s="1"/>
  <c r="EN127" i="431"/>
  <c r="H234" i="431"/>
  <c r="H235" i="431" s="1"/>
  <c r="H225" i="431"/>
  <c r="H227" i="431" s="1"/>
  <c r="CG225" i="431"/>
  <c r="CL226" i="431" s="1"/>
  <c r="CL222" i="431"/>
  <c r="CG234" i="431"/>
  <c r="CL232" i="431" s="1"/>
  <c r="CT219" i="431"/>
  <c r="CY219" i="431"/>
  <c r="Q225" i="431"/>
  <c r="Q227" i="431" s="1"/>
  <c r="BE234" i="431"/>
  <c r="BE228" i="431" s="1"/>
  <c r="BJ224" i="431"/>
  <c r="CW205" i="431"/>
  <c r="BH221" i="431"/>
  <c r="BM222" i="431" s="1"/>
  <c r="EM66" i="431"/>
  <c r="FI66" i="431" s="1"/>
  <c r="AT27" i="431"/>
  <c r="CR218" i="431"/>
  <c r="CW219" i="431" s="1"/>
  <c r="DF127" i="431"/>
  <c r="EE236" i="431"/>
  <c r="Z87" i="431"/>
  <c r="DE233" i="431"/>
  <c r="DJ230" i="431"/>
  <c r="CF82" i="431"/>
  <c r="CF221" i="431"/>
  <c r="CK222" i="431" s="1"/>
  <c r="CF51" i="431"/>
  <c r="CF60" i="431"/>
  <c r="CF96" i="431"/>
  <c r="ET85" i="431"/>
  <c r="ET63" i="431"/>
  <c r="AT217" i="431"/>
  <c r="ET105" i="431"/>
  <c r="ET106" i="431" s="1"/>
  <c r="EA186" i="431"/>
  <c r="ET14" i="431"/>
  <c r="EF205" i="431"/>
  <c r="ET197" i="431"/>
  <c r="ET199" i="431" s="1"/>
  <c r="ET54" i="431"/>
  <c r="EA106" i="431"/>
  <c r="CR87" i="431"/>
  <c r="DV106" i="431"/>
  <c r="AJ56" i="431"/>
  <c r="DV69" i="431"/>
  <c r="EA101" i="431"/>
  <c r="EA27" i="431"/>
  <c r="BS172" i="431"/>
  <c r="EF198" i="431"/>
  <c r="ET15" i="431"/>
  <c r="ET16" i="431" s="1"/>
  <c r="CW33" i="431"/>
  <c r="BN56" i="431"/>
  <c r="ES42" i="431"/>
  <c r="ES41" i="431" s="1"/>
  <c r="ET42" i="431"/>
  <c r="ER42" i="431"/>
  <c r="ER41" i="431" s="1"/>
  <c r="EU53" i="431"/>
  <c r="FQ196" i="431"/>
  <c r="EU13" i="431"/>
  <c r="EU54" i="431" s="1"/>
  <c r="EU98" i="431"/>
  <c r="ET99" i="431"/>
  <c r="EZ8" i="431"/>
  <c r="FE8" i="431" s="1"/>
  <c r="FE5" i="431" s="1"/>
  <c r="ET167" i="431"/>
  <c r="ET168" i="431" s="1"/>
  <c r="EU5" i="431"/>
  <c r="EU18" i="431" s="1"/>
  <c r="EU84" i="431"/>
  <c r="EU22" i="431"/>
  <c r="ET53" i="431"/>
  <c r="ET49" i="431"/>
  <c r="EU21" i="431"/>
  <c r="EU62" i="431"/>
  <c r="ET59" i="431"/>
  <c r="EN141" i="431"/>
  <c r="FJ141" i="431" s="1"/>
  <c r="ER271" i="431"/>
  <c r="EN111" i="431"/>
  <c r="EM235" i="431"/>
  <c r="EM228" i="431"/>
  <c r="EH110" i="431"/>
  <c r="EM116" i="431"/>
  <c r="EM232" i="431" s="1"/>
  <c r="EM114" i="431"/>
  <c r="CM27" i="431"/>
  <c r="U216" i="431"/>
  <c r="Z217" i="431" s="1"/>
  <c r="U218" i="431"/>
  <c r="Z219" i="431" s="1"/>
  <c r="EM226" i="431"/>
  <c r="CS11" i="434"/>
  <c r="DQ107" i="431"/>
  <c r="EH109" i="431"/>
  <c r="EM108" i="431"/>
  <c r="CX13" i="434"/>
  <c r="EH124" i="431"/>
  <c r="EH125" i="431" s="1"/>
  <c r="EL334" i="431"/>
  <c r="EL336" i="431"/>
  <c r="FI14" i="431"/>
  <c r="FP196" i="431"/>
  <c r="EM141" i="431"/>
  <c r="FI141" i="431" s="1"/>
  <c r="CM219" i="431"/>
  <c r="AJ186" i="431"/>
  <c r="AT179" i="431"/>
  <c r="EK205" i="431"/>
  <c r="EF186" i="431"/>
  <c r="DF125" i="431"/>
  <c r="CL229" i="431"/>
  <c r="CL233" i="431" s="1"/>
  <c r="CL370" i="431"/>
  <c r="CL247" i="431"/>
  <c r="CL236" i="431"/>
  <c r="CY234" i="431"/>
  <c r="CY225" i="431"/>
  <c r="CZ227" i="431" s="1"/>
  <c r="AY104" i="431"/>
  <c r="DJ128" i="431"/>
  <c r="DJ123" i="431" s="1"/>
  <c r="DJ113" i="431" s="1"/>
  <c r="BG108" i="431"/>
  <c r="BD104" i="431"/>
  <c r="C5" i="434"/>
  <c r="A8" i="434"/>
  <c r="B8" i="434" s="1"/>
  <c r="FE338" i="431"/>
  <c r="FE244" i="431" s="1"/>
  <c r="EZ244" i="431"/>
  <c r="EZ243" i="431" s="1"/>
  <c r="FE285" i="431"/>
  <c r="FE287" i="431" s="1"/>
  <c r="Q11" i="455"/>
  <c r="M15" i="451"/>
  <c r="M54" i="451" s="1"/>
  <c r="CE38" i="451"/>
  <c r="N6" i="451"/>
  <c r="CA38" i="451"/>
  <c r="I15" i="451"/>
  <c r="I54" i="451" s="1"/>
  <c r="H6" i="451"/>
  <c r="B563" i="435"/>
  <c r="D563" i="435" s="1"/>
  <c r="C564" i="435"/>
  <c r="EA217" i="431"/>
  <c r="EL114" i="431"/>
  <c r="AO87" i="431"/>
  <c r="N89" i="453"/>
  <c r="O19" i="453"/>
  <c r="N30" i="453"/>
  <c r="N38" i="453"/>
  <c r="N22" i="453"/>
  <c r="N37" i="453"/>
  <c r="CD41" i="453"/>
  <c r="CD42" i="453" s="1"/>
  <c r="L47" i="453"/>
  <c r="M90" i="453"/>
  <c r="M91" i="453" s="1"/>
  <c r="L66" i="453"/>
  <c r="L68" i="453" s="1"/>
  <c r="BP221" i="431"/>
  <c r="BP222" i="431" s="1"/>
  <c r="BP96" i="431"/>
  <c r="BP51" i="431"/>
  <c r="BP60" i="431"/>
  <c r="BP82" i="431"/>
  <c r="BU136" i="431"/>
  <c r="AY96" i="431"/>
  <c r="AY51" i="431"/>
  <c r="AY221" i="431"/>
  <c r="AY234" i="431" s="1"/>
  <c r="AY60" i="431"/>
  <c r="L51" i="453"/>
  <c r="L60" i="453"/>
  <c r="L93" i="453"/>
  <c r="L95" i="453" s="1"/>
  <c r="L99" i="453" s="1"/>
  <c r="EL60" i="431"/>
  <c r="AJ219" i="431"/>
  <c r="BW108" i="431"/>
  <c r="CI125" i="431"/>
  <c r="BD65" i="431"/>
  <c r="O37" i="451"/>
  <c r="O22" i="451"/>
  <c r="O38" i="451"/>
  <c r="CQ60" i="431"/>
  <c r="CQ136" i="431"/>
  <c r="CQ51" i="431"/>
  <c r="CQ96" i="431"/>
  <c r="CQ82" i="431"/>
  <c r="CQ221" i="431"/>
  <c r="CQ222" i="431" s="1"/>
  <c r="O12" i="453"/>
  <c r="P11" i="453"/>
  <c r="P12" i="453" s="1"/>
  <c r="CN30" i="435"/>
  <c r="L22" i="435"/>
  <c r="M32" i="435" s="1"/>
  <c r="BT278" i="431" s="1"/>
  <c r="BT279" i="431" s="1"/>
  <c r="BT280" i="431" s="1"/>
  <c r="M20" i="435"/>
  <c r="L21" i="435"/>
  <c r="M31" i="435" s="1"/>
  <c r="CW334" i="431"/>
  <c r="CW336" i="431"/>
  <c r="Y225" i="431"/>
  <c r="AD226" i="431" s="1"/>
  <c r="Y234" i="431"/>
  <c r="AD222" i="431"/>
  <c r="R4" i="455"/>
  <c r="Q24" i="455"/>
  <c r="M31" i="453"/>
  <c r="M25" i="453"/>
  <c r="M35" i="453"/>
  <c r="N24" i="453"/>
  <c r="AY82" i="431"/>
  <c r="FE83" i="431"/>
  <c r="U56" i="431"/>
  <c r="BI198" i="431"/>
  <c r="DV101" i="431"/>
  <c r="DS109" i="431"/>
  <c r="BO136" i="431"/>
  <c r="BO108" i="431"/>
  <c r="AO224" i="431"/>
  <c r="CK127" i="431"/>
  <c r="CF129" i="431"/>
  <c r="CF128" i="431" s="1"/>
  <c r="CF123" i="431" s="1"/>
  <c r="CF127" i="431"/>
  <c r="CF217" i="431"/>
  <c r="AJ198" i="431"/>
  <c r="BD87" i="431"/>
  <c r="FE6" i="431"/>
  <c r="FH6" i="431" s="1"/>
  <c r="CH130" i="431"/>
  <c r="AT205" i="431"/>
  <c r="BV236" i="431"/>
  <c r="BV370" i="431"/>
  <c r="BV247" i="431"/>
  <c r="AS370" i="431"/>
  <c r="AS236" i="431"/>
  <c r="AS247" i="431"/>
  <c r="AJ145" i="431"/>
  <c r="DK129" i="431"/>
  <c r="DK128" i="431" s="1"/>
  <c r="DK123" i="431" s="1"/>
  <c r="AJ234" i="431"/>
  <c r="AJ370" i="431" s="1"/>
  <c r="FP104" i="431"/>
  <c r="DJ111" i="431"/>
  <c r="DK111" i="431"/>
  <c r="BV108" i="431"/>
  <c r="EC370" i="431"/>
  <c r="EC247" i="431"/>
  <c r="EC236" i="431"/>
  <c r="EC237" i="431" s="1"/>
  <c r="EC228" i="431"/>
  <c r="EC229" i="431"/>
  <c r="EC235" i="431"/>
  <c r="EC232" i="431"/>
  <c r="DQ69" i="431"/>
  <c r="CZ124" i="431"/>
  <c r="CZ125" i="431" s="1"/>
  <c r="DE127" i="431"/>
  <c r="AK225" i="431"/>
  <c r="AK227" i="431" s="1"/>
  <c r="AK234" i="431"/>
  <c r="CM217" i="431"/>
  <c r="EF145" i="431"/>
  <c r="DX114" i="431"/>
  <c r="DX110" i="431" s="1"/>
  <c r="DP124" i="431"/>
  <c r="DU125" i="431" s="1"/>
  <c r="AU108" i="431"/>
  <c r="CZ127" i="431"/>
  <c r="DS108" i="431"/>
  <c r="DG130" i="431"/>
  <c r="CR104" i="431"/>
  <c r="CR120" i="431"/>
  <c r="BC13" i="434" s="1"/>
  <c r="DK125" i="431"/>
  <c r="CO127" i="431"/>
  <c r="BI65" i="431"/>
  <c r="CE128" i="431"/>
  <c r="CE123" i="431" s="1"/>
  <c r="G248" i="431"/>
  <c r="G250" i="431"/>
  <c r="DX127" i="431"/>
  <c r="DS127" i="431"/>
  <c r="CC179" i="431"/>
  <c r="DS124" i="431"/>
  <c r="DX125" i="431" s="1"/>
  <c r="AW108" i="431"/>
  <c r="BC108" i="431"/>
  <c r="DY230" i="431"/>
  <c r="FE38" i="431"/>
  <c r="CW135" i="431"/>
  <c r="CW136" i="431" s="1"/>
  <c r="CW120" i="431"/>
  <c r="BH13" i="434" s="1"/>
  <c r="R224" i="431"/>
  <c r="W224" i="431"/>
  <c r="AY136" i="431"/>
  <c r="AT221" i="431"/>
  <c r="AT225" i="431" s="1"/>
  <c r="AT60" i="431"/>
  <c r="AT82" i="431"/>
  <c r="AT51" i="431"/>
  <c r="AT96" i="431"/>
  <c r="S247" i="431"/>
  <c r="S370" i="431"/>
  <c r="S236" i="431"/>
  <c r="C236" i="431"/>
  <c r="C247" i="431"/>
  <c r="CT114" i="431"/>
  <c r="CO109" i="431"/>
  <c r="CP111" i="431" s="1"/>
  <c r="EK135" i="431"/>
  <c r="EK104" i="431"/>
  <c r="EK120" i="431"/>
  <c r="CV13" i="434" s="1"/>
  <c r="BH225" i="431"/>
  <c r="BD51" i="431"/>
  <c r="BD136" i="431"/>
  <c r="BD82" i="431"/>
  <c r="BD221" i="431"/>
  <c r="BD60" i="431"/>
  <c r="BD96" i="431"/>
  <c r="CO96" i="431"/>
  <c r="CO82" i="431"/>
  <c r="CO51" i="431"/>
  <c r="CO60" i="431"/>
  <c r="CO221" i="431"/>
  <c r="AE87" i="431"/>
  <c r="P169" i="431"/>
  <c r="AT224" i="431"/>
  <c r="AT334" i="431"/>
  <c r="AT336" i="431"/>
  <c r="EJ129" i="431"/>
  <c r="EJ128" i="431" s="1"/>
  <c r="EJ123" i="431" s="1"/>
  <c r="AY355" i="431"/>
  <c r="AX317" i="431"/>
  <c r="AY325" i="431"/>
  <c r="AY326" i="431" s="1"/>
  <c r="AY334" i="431"/>
  <c r="AY336" i="431"/>
  <c r="AY224" i="431"/>
  <c r="CV221" i="431"/>
  <c r="CV96" i="431"/>
  <c r="CV82" i="431"/>
  <c r="CV51" i="431"/>
  <c r="CV60" i="431"/>
  <c r="CV136" i="431"/>
  <c r="DA136" i="431"/>
  <c r="AZ247" i="431"/>
  <c r="AZ236" i="431"/>
  <c r="AZ370" i="431"/>
  <c r="AI248" i="431"/>
  <c r="AI371" i="431"/>
  <c r="AI250" i="431"/>
  <c r="AI251" i="431" s="1"/>
  <c r="BG234" i="431"/>
  <c r="BG225" i="431"/>
  <c r="CE124" i="431"/>
  <c r="CE108" i="431"/>
  <c r="AH234" i="431"/>
  <c r="AM235" i="431" s="1"/>
  <c r="AH225" i="431"/>
  <c r="AM226" i="431" s="1"/>
  <c r="DZ221" i="431"/>
  <c r="DZ222" i="431" s="1"/>
  <c r="DZ51" i="431"/>
  <c r="DZ60" i="431"/>
  <c r="EE136" i="431"/>
  <c r="DZ96" i="431"/>
  <c r="DZ82" i="431"/>
  <c r="CT221" i="431"/>
  <c r="CT96" i="431"/>
  <c r="CT51" i="431"/>
  <c r="CT60" i="431"/>
  <c r="CT136" i="431"/>
  <c r="CT82" i="431"/>
  <c r="CY136" i="431"/>
  <c r="CE51" i="431"/>
  <c r="CE82" i="431"/>
  <c r="CE96" i="431"/>
  <c r="CE221" i="431"/>
  <c r="CE60" i="431"/>
  <c r="AA236" i="431"/>
  <c r="AA247" i="431"/>
  <c r="AA370" i="431"/>
  <c r="AJ205" i="431"/>
  <c r="BI334" i="431"/>
  <c r="BI336" i="431"/>
  <c r="BT234" i="431"/>
  <c r="BT225" i="431"/>
  <c r="DI225" i="431"/>
  <c r="DI234" i="431"/>
  <c r="AY318" i="431"/>
  <c r="CA224" i="431"/>
  <c r="CF224" i="431"/>
  <c r="CC223" i="431"/>
  <c r="CH224" i="431" s="1"/>
  <c r="BN336" i="431"/>
  <c r="BN334" i="431"/>
  <c r="BN224" i="431"/>
  <c r="BN225" i="431"/>
  <c r="BN234" i="431"/>
  <c r="CH69" i="431"/>
  <c r="CM69" i="431"/>
  <c r="CM145" i="431"/>
  <c r="CR186" i="431"/>
  <c r="CW106" i="431"/>
  <c r="BI186" i="431"/>
  <c r="AE179" i="431"/>
  <c r="CH205" i="431"/>
  <c r="Z135" i="431"/>
  <c r="Z134" i="431" s="1"/>
  <c r="AY225" i="431"/>
  <c r="C227" i="431"/>
  <c r="AY56" i="431"/>
  <c r="CF219" i="431"/>
  <c r="DM108" i="431"/>
  <c r="DM109" i="431"/>
  <c r="DM111" i="431" s="1"/>
  <c r="DR114" i="431"/>
  <c r="CR13" i="434"/>
  <c r="F183" i="431"/>
  <c r="F223" i="431"/>
  <c r="F202" i="431"/>
  <c r="F210" i="431"/>
  <c r="F195" i="431"/>
  <c r="F176" i="431"/>
  <c r="AR370" i="431"/>
  <c r="AR236" i="431"/>
  <c r="AR247" i="431"/>
  <c r="BO51" i="431"/>
  <c r="BO96" i="431"/>
  <c r="BO221" i="431"/>
  <c r="BT222" i="431" s="1"/>
  <c r="BO60" i="431"/>
  <c r="BO82" i="431"/>
  <c r="EK224" i="431"/>
  <c r="EK336" i="431"/>
  <c r="EU336" i="431" s="1"/>
  <c r="EZ336" i="431" s="1"/>
  <c r="FE336" i="431" s="1"/>
  <c r="EK334" i="431"/>
  <c r="EU334" i="431" s="1"/>
  <c r="EZ334" i="431" s="1"/>
  <c r="FE334" i="431" s="1"/>
  <c r="R217" i="431"/>
  <c r="BI151" i="431"/>
  <c r="BD151" i="431"/>
  <c r="BS179" i="431"/>
  <c r="BS65" i="431"/>
  <c r="DG65" i="431"/>
  <c r="CW104" i="431"/>
  <c r="CE136" i="431"/>
  <c r="DV130" i="431"/>
  <c r="BR108" i="431"/>
  <c r="CN110" i="431"/>
  <c r="AJ224" i="431"/>
  <c r="AJ225" i="431"/>
  <c r="EG60" i="431"/>
  <c r="FP60" i="431" s="1"/>
  <c r="EG136" i="431"/>
  <c r="EG221" i="431"/>
  <c r="EG51" i="431"/>
  <c r="EG96" i="431"/>
  <c r="EG82" i="431"/>
  <c r="FP82" i="431" s="1"/>
  <c r="EJ124" i="431"/>
  <c r="BS224" i="431"/>
  <c r="AE104" i="431"/>
  <c r="DQ130" i="431"/>
  <c r="DF128" i="431"/>
  <c r="DF123" i="431" s="1"/>
  <c r="CO124" i="431"/>
  <c r="CT129" i="431" s="1"/>
  <c r="CT128" i="431" s="1"/>
  <c r="CT123" i="431" s="1"/>
  <c r="EA336" i="431"/>
  <c r="DZ336" i="431" s="1"/>
  <c r="EA334" i="431"/>
  <c r="DZ334" i="431" s="1"/>
  <c r="EF224" i="431"/>
  <c r="BA236" i="431"/>
  <c r="BA370" i="431"/>
  <c r="BA247" i="431"/>
  <c r="DH109" i="431"/>
  <c r="DI111" i="431" s="1"/>
  <c r="DL107" i="431"/>
  <c r="DL124" i="431" s="1"/>
  <c r="DH124" i="431"/>
  <c r="DH125" i="431" s="1"/>
  <c r="DM114" i="431"/>
  <c r="DZ109" i="431"/>
  <c r="DZ111" i="431" s="1"/>
  <c r="EE114" i="431"/>
  <c r="DZ124" i="431"/>
  <c r="DZ125" i="431" s="1"/>
  <c r="EE108" i="431"/>
  <c r="BD223" i="431"/>
  <c r="BI224" i="431" s="1"/>
  <c r="BD202" i="431"/>
  <c r="BD176" i="431"/>
  <c r="BD195" i="431"/>
  <c r="BD155" i="431"/>
  <c r="BD210" i="431"/>
  <c r="BD169" i="431"/>
  <c r="BD190" i="431"/>
  <c r="BD183" i="431"/>
  <c r="BD215" i="431"/>
  <c r="BD317" i="431"/>
  <c r="BI312" i="431"/>
  <c r="BI313" i="431" s="1"/>
  <c r="EG109" i="431"/>
  <c r="EG124" i="431"/>
  <c r="DL324" i="431"/>
  <c r="DL322" i="431"/>
  <c r="H7" i="455"/>
  <c r="DL295" i="431"/>
  <c r="DL356" i="431"/>
  <c r="DL320" i="431"/>
  <c r="BN65" i="431"/>
  <c r="CC172" i="431"/>
  <c r="BI219" i="431"/>
  <c r="CH186" i="431"/>
  <c r="CH172" i="431"/>
  <c r="AT87" i="431"/>
  <c r="EK65" i="431"/>
  <c r="DZ136" i="431"/>
  <c r="EF130" i="431"/>
  <c r="DB56" i="431"/>
  <c r="AJ27" i="431"/>
  <c r="CW30" i="431"/>
  <c r="AM222" i="431"/>
  <c r="EJ110" i="431"/>
  <c r="EI322" i="431"/>
  <c r="EI225" i="431"/>
  <c r="EI324" i="431"/>
  <c r="EI326" i="431"/>
  <c r="EI234" i="431"/>
  <c r="EI320" i="431"/>
  <c r="EI318" i="431"/>
  <c r="EI222" i="431"/>
  <c r="DP108" i="431"/>
  <c r="DP110" i="431" s="1"/>
  <c r="DU114" i="431"/>
  <c r="DU110" i="431" s="1"/>
  <c r="DP109" i="431"/>
  <c r="DP111" i="431" s="1"/>
  <c r="DN225" i="431"/>
  <c r="DS226" i="431" s="1"/>
  <c r="DN222" i="431"/>
  <c r="DN234" i="431"/>
  <c r="DS228" i="431" s="1"/>
  <c r="CS234" i="431"/>
  <c r="CS225" i="431"/>
  <c r="CS226" i="431" s="1"/>
  <c r="CT108" i="431"/>
  <c r="CT124" i="431"/>
  <c r="CT109" i="431"/>
  <c r="CT111" i="431" s="1"/>
  <c r="CY114" i="431"/>
  <c r="CY108" i="431"/>
  <c r="F140" i="431"/>
  <c r="CH96" i="431"/>
  <c r="CH51" i="431"/>
  <c r="CH82" i="431"/>
  <c r="EG242" i="431"/>
  <c r="BD148" i="431"/>
  <c r="BI148" i="431"/>
  <c r="AO65" i="431"/>
  <c r="AJ65" i="431"/>
  <c r="CC219" i="431"/>
  <c r="EF219" i="431"/>
  <c r="AW60" i="431"/>
  <c r="AW51" i="431"/>
  <c r="AW96" i="431"/>
  <c r="AW136" i="431"/>
  <c r="AW82" i="431"/>
  <c r="AW221" i="431"/>
  <c r="BB222" i="431" s="1"/>
  <c r="DY371" i="431"/>
  <c r="DY248" i="431"/>
  <c r="DY265" i="431" s="1"/>
  <c r="DY267" i="431" s="1"/>
  <c r="DY250" i="431"/>
  <c r="DH372" i="431"/>
  <c r="DH253" i="431"/>
  <c r="DH273" i="431" s="1"/>
  <c r="DH266" i="431"/>
  <c r="BI145" i="431"/>
  <c r="EF33" i="431"/>
  <c r="AF108" i="431"/>
  <c r="BB108" i="431"/>
  <c r="AV236" i="431"/>
  <c r="AV370" i="431"/>
  <c r="AV247" i="431"/>
  <c r="BA235" i="431"/>
  <c r="BA228" i="431"/>
  <c r="BJ225" i="431"/>
  <c r="BJ222" i="431"/>
  <c r="BJ234" i="431"/>
  <c r="BF225" i="431"/>
  <c r="BF234" i="431"/>
  <c r="BF222" i="431"/>
  <c r="BY124" i="431"/>
  <c r="CD129" i="431" s="1"/>
  <c r="CD128" i="431" s="1"/>
  <c r="CD123" i="431" s="1"/>
  <c r="BY108" i="431"/>
  <c r="DB120" i="431"/>
  <c r="BM13" i="434" s="1"/>
  <c r="DB135" i="431"/>
  <c r="DB104" i="431"/>
  <c r="CC27" i="431"/>
  <c r="CM198" i="431"/>
  <c r="EK172" i="431"/>
  <c r="EF217" i="431"/>
  <c r="BX65" i="431"/>
  <c r="CH65" i="431"/>
  <c r="CN109" i="431"/>
  <c r="CM130" i="431"/>
  <c r="DL130" i="431"/>
  <c r="AF96" i="431"/>
  <c r="AK136" i="431"/>
  <c r="AF221" i="431"/>
  <c r="AF82" i="431"/>
  <c r="AF51" i="431"/>
  <c r="AF60" i="431"/>
  <c r="BS96" i="431"/>
  <c r="BS82" i="431"/>
  <c r="BS60" i="431"/>
  <c r="BS136" i="431"/>
  <c r="BS221" i="431"/>
  <c r="BS51" i="431"/>
  <c r="EK69" i="431"/>
  <c r="X60" i="431"/>
  <c r="X136" i="431"/>
  <c r="X51" i="431"/>
  <c r="X221" i="431"/>
  <c r="X82" i="431"/>
  <c r="X134" i="431"/>
  <c r="X96" i="431"/>
  <c r="BE227" i="431"/>
  <c r="CQ127" i="431"/>
  <c r="CI129" i="431"/>
  <c r="CI128" i="431" s="1"/>
  <c r="CI123" i="431" s="1"/>
  <c r="AX108" i="431"/>
  <c r="AS108" i="431"/>
  <c r="EG127" i="431"/>
  <c r="EB127" i="431"/>
  <c r="CX96" i="431"/>
  <c r="CX60" i="431"/>
  <c r="CX51" i="431"/>
  <c r="CX221" i="431"/>
  <c r="DC222" i="431" s="1"/>
  <c r="CX82" i="431"/>
  <c r="CX136" i="431"/>
  <c r="DT108" i="431"/>
  <c r="DT110" i="431" s="1"/>
  <c r="DT109" i="431" s="1"/>
  <c r="DU111" i="431" s="1"/>
  <c r="DY114" i="431"/>
  <c r="DY108" i="431"/>
  <c r="BR225" i="431"/>
  <c r="BR222" i="431"/>
  <c r="BR234" i="431"/>
  <c r="BX192" i="431"/>
  <c r="CS108" i="431"/>
  <c r="CN124" i="431"/>
  <c r="CS125" i="431" s="1"/>
  <c r="BM108" i="431"/>
  <c r="DD96" i="431"/>
  <c r="DD51" i="431"/>
  <c r="DD221" i="431"/>
  <c r="DD136" i="431"/>
  <c r="DI136" i="431"/>
  <c r="DD60" i="431"/>
  <c r="DD82" i="431"/>
  <c r="CA222" i="431"/>
  <c r="CA225" i="431"/>
  <c r="CF222" i="431"/>
  <c r="CA234" i="431"/>
  <c r="CL127" i="431"/>
  <c r="CL124" i="431"/>
  <c r="CL125" i="431" s="1"/>
  <c r="CL129" i="431"/>
  <c r="CL128" i="431" s="1"/>
  <c r="CL123" i="431" s="1"/>
  <c r="AN51" i="431"/>
  <c r="AN221" i="431"/>
  <c r="AN96" i="431"/>
  <c r="AN82" i="431"/>
  <c r="AN60" i="431"/>
  <c r="AN136" i="431"/>
  <c r="AS136" i="431"/>
  <c r="CQ109" i="431"/>
  <c r="CQ124" i="431"/>
  <c r="CV114" i="431"/>
  <c r="CQ108" i="431"/>
  <c r="CQ110" i="431" s="1"/>
  <c r="BS219" i="431"/>
  <c r="DV107" i="431"/>
  <c r="CC217" i="431"/>
  <c r="AT145" i="431"/>
  <c r="BX186" i="431"/>
  <c r="EK219" i="431"/>
  <c r="DS110" i="431"/>
  <c r="CS114" i="431"/>
  <c r="DF109" i="431"/>
  <c r="DF108" i="431"/>
  <c r="DF110" i="431" s="1"/>
  <c r="DK108" i="431"/>
  <c r="DK114" i="431"/>
  <c r="DD109" i="431"/>
  <c r="DD108" i="431"/>
  <c r="DD110" i="431" s="1"/>
  <c r="DI114" i="431"/>
  <c r="DI108" i="431"/>
  <c r="DD124" i="431"/>
  <c r="V136" i="431"/>
  <c r="V82" i="431"/>
  <c r="V134" i="431"/>
  <c r="V96" i="431"/>
  <c r="AA136" i="431"/>
  <c r="V51" i="431"/>
  <c r="V221" i="431"/>
  <c r="V60" i="431"/>
  <c r="CH104" i="431"/>
  <c r="CC135" i="431"/>
  <c r="CX109" i="431"/>
  <c r="CY111" i="431" s="1"/>
  <c r="CX124" i="431"/>
  <c r="DC114" i="431"/>
  <c r="DC110" i="431" s="1"/>
  <c r="CX108" i="431"/>
  <c r="CX110" i="431" s="1"/>
  <c r="DY233" i="431"/>
  <c r="CI51" i="431"/>
  <c r="CI96" i="431"/>
  <c r="CI60" i="431"/>
  <c r="CI136" i="431"/>
  <c r="CI221" i="431"/>
  <c r="CI82" i="431"/>
  <c r="CN136" i="431"/>
  <c r="DR109" i="431"/>
  <c r="DR124" i="431"/>
  <c r="DW129" i="431" s="1"/>
  <c r="DW128" i="431" s="1"/>
  <c r="DW123" i="431" s="1"/>
  <c r="DR108" i="431"/>
  <c r="DW114" i="431"/>
  <c r="DW110" i="431" s="1"/>
  <c r="BC236" i="431"/>
  <c r="BC370" i="431"/>
  <c r="BC247" i="431"/>
  <c r="AX225" i="431"/>
  <c r="BC226" i="431" s="1"/>
  <c r="AX234" i="431"/>
  <c r="BC235" i="431" s="1"/>
  <c r="AX222" i="431"/>
  <c r="BK222" i="431"/>
  <c r="BK225" i="431"/>
  <c r="BK234" i="431"/>
  <c r="BA226" i="431"/>
  <c r="DG120" i="431"/>
  <c r="BR13" i="434" s="1"/>
  <c r="DL104" i="431"/>
  <c r="DG104" i="431"/>
  <c r="DG135" i="431"/>
  <c r="AC136" i="431"/>
  <c r="AC221" i="431"/>
  <c r="AC51" i="431"/>
  <c r="AC60" i="431"/>
  <c r="AC82" i="431"/>
  <c r="AC96" i="431"/>
  <c r="BS217" i="431"/>
  <c r="U198" i="431"/>
  <c r="BS56" i="431"/>
  <c r="U186" i="431"/>
  <c r="EK145" i="431"/>
  <c r="EF172" i="431"/>
  <c r="CW65" i="431"/>
  <c r="BL225" i="431"/>
  <c r="BL222" i="431"/>
  <c r="BL234" i="431"/>
  <c r="CZ110" i="431"/>
  <c r="AP221" i="431"/>
  <c r="AP60" i="431"/>
  <c r="AP51" i="431"/>
  <c r="AP96" i="431"/>
  <c r="AP136" i="431"/>
  <c r="AP82" i="431"/>
  <c r="BY82" i="431"/>
  <c r="BY51" i="431"/>
  <c r="BY60" i="431"/>
  <c r="BY221" i="431"/>
  <c r="BY96" i="431"/>
  <c r="BY136" i="431"/>
  <c r="CD136" i="431"/>
  <c r="EP378" i="431"/>
  <c r="CC145" i="431"/>
  <c r="CZ129" i="431"/>
  <c r="CZ128" i="431" s="1"/>
  <c r="CZ123" i="431" s="1"/>
  <c r="CU125" i="431"/>
  <c r="DL217" i="431"/>
  <c r="DQ217" i="431"/>
  <c r="AB227" i="431"/>
  <c r="BX135" i="431"/>
  <c r="BX104" i="431"/>
  <c r="CC104" i="431"/>
  <c r="DS247" i="431"/>
  <c r="DX228" i="431"/>
  <c r="DS236" i="431"/>
  <c r="DS229" i="431"/>
  <c r="DS370" i="431"/>
  <c r="DX235" i="431"/>
  <c r="DX232" i="431"/>
  <c r="Z96" i="431"/>
  <c r="CR205" i="431"/>
  <c r="U179" i="431"/>
  <c r="EK87" i="431"/>
  <c r="AO198" i="431"/>
  <c r="AO217" i="431"/>
  <c r="BN217" i="431"/>
  <c r="BD172" i="431"/>
  <c r="BX179" i="431"/>
  <c r="AY87" i="431"/>
  <c r="EF27" i="431"/>
  <c r="DP125" i="431"/>
  <c r="DA227" i="431"/>
  <c r="CU248" i="431"/>
  <c r="CU265" i="431" s="1"/>
  <c r="CU267" i="431" s="1"/>
  <c r="CH334" i="431"/>
  <c r="CH336" i="431"/>
  <c r="EH226" i="431"/>
  <c r="DN113" i="431"/>
  <c r="T224" i="431"/>
  <c r="Y224" i="431"/>
  <c r="T225" i="431"/>
  <c r="T234" i="431"/>
  <c r="EC113" i="431"/>
  <c r="CR60" i="431"/>
  <c r="CR82" i="431"/>
  <c r="CR51" i="431"/>
  <c r="CR96" i="431"/>
  <c r="DG109" i="431"/>
  <c r="DG124" i="431"/>
  <c r="CW130" i="431"/>
  <c r="DP235" i="431"/>
  <c r="DP236" i="431"/>
  <c r="DP370" i="431"/>
  <c r="DP247" i="431"/>
  <c r="DP228" i="431"/>
  <c r="DP232" i="431"/>
  <c r="DP229" i="431"/>
  <c r="AT65" i="431"/>
  <c r="AY65" i="431"/>
  <c r="DK227" i="431"/>
  <c r="DO129" i="431"/>
  <c r="DO128" i="431" s="1"/>
  <c r="DO123" i="431" s="1"/>
  <c r="DO113" i="431" s="1"/>
  <c r="DO127" i="431"/>
  <c r="DO124" i="431"/>
  <c r="DO125" i="431" s="1"/>
  <c r="DW226" i="431"/>
  <c r="CW224" i="431"/>
  <c r="CR336" i="431"/>
  <c r="CR224" i="431"/>
  <c r="CR334" i="431"/>
  <c r="AD253" i="431"/>
  <c r="AD372" i="431"/>
  <c r="CO114" i="431"/>
  <c r="CO108" i="431"/>
  <c r="CJ109" i="431"/>
  <c r="CJ111" i="431" s="1"/>
  <c r="CJ124" i="431"/>
  <c r="CJ108" i="431"/>
  <c r="EJ222" i="431"/>
  <c r="EJ225" i="431"/>
  <c r="EO226" i="431" s="1"/>
  <c r="EJ234" i="431"/>
  <c r="DM127" i="431"/>
  <c r="DM124" i="431"/>
  <c r="DR127" i="431"/>
  <c r="AE224" i="431"/>
  <c r="CP125" i="431"/>
  <c r="Z172" i="431"/>
  <c r="P223" i="431"/>
  <c r="P215" i="431"/>
  <c r="P140" i="431"/>
  <c r="P183" i="431"/>
  <c r="P176" i="431"/>
  <c r="P202" i="431"/>
  <c r="P210" i="431"/>
  <c r="P195" i="431"/>
  <c r="P96" i="431"/>
  <c r="P60" i="431"/>
  <c r="P221" i="431"/>
  <c r="P136" i="431"/>
  <c r="P51" i="431"/>
  <c r="P134" i="431"/>
  <c r="U136" i="431"/>
  <c r="P82" i="431"/>
  <c r="AE51" i="431"/>
  <c r="AE221" i="431"/>
  <c r="AE60" i="431"/>
  <c r="AE82" i="431"/>
  <c r="AE96" i="431"/>
  <c r="AE136" i="431"/>
  <c r="CG129" i="431"/>
  <c r="CG128" i="431" s="1"/>
  <c r="CG123" i="431" s="1"/>
  <c r="CG125" i="431"/>
  <c r="CR130" i="431"/>
  <c r="DL101" i="431"/>
  <c r="DV46" i="431"/>
  <c r="EA46" i="431"/>
  <c r="BQ225" i="431"/>
  <c r="BQ222" i="431"/>
  <c r="BQ234" i="431"/>
  <c r="BV222" i="431"/>
  <c r="CW151" i="431"/>
  <c r="CR151" i="431"/>
  <c r="CV224" i="431"/>
  <c r="CQ224" i="431"/>
  <c r="CM33" i="431"/>
  <c r="DO111" i="431"/>
  <c r="EK130" i="431"/>
  <c r="BW51" i="431"/>
  <c r="BW136" i="431"/>
  <c r="BW82" i="431"/>
  <c r="BW96" i="431"/>
  <c r="BW60" i="431"/>
  <c r="BW221" i="431"/>
  <c r="CN247" i="431"/>
  <c r="CN229" i="431"/>
  <c r="CN370" i="431"/>
  <c r="CN236" i="431"/>
  <c r="EP376" i="431"/>
  <c r="CC198" i="431"/>
  <c r="BX56" i="431"/>
  <c r="CH87" i="431"/>
  <c r="AT172" i="431"/>
  <c r="BX87" i="431"/>
  <c r="BS192" i="431"/>
  <c r="AO219" i="431"/>
  <c r="AR226" i="431"/>
  <c r="BU371" i="431"/>
  <c r="BU248" i="431"/>
  <c r="BU250" i="431"/>
  <c r="DP129" i="431"/>
  <c r="DP128" i="431" s="1"/>
  <c r="DP123" i="431" s="1"/>
  <c r="DB130" i="431"/>
  <c r="CP110" i="431"/>
  <c r="DF222" i="431"/>
  <c r="DF234" i="431"/>
  <c r="DK235" i="431" s="1"/>
  <c r="DF225" i="431"/>
  <c r="AM236" i="431"/>
  <c r="AR228" i="431"/>
  <c r="AM370" i="431"/>
  <c r="AM247" i="431"/>
  <c r="AR235" i="431"/>
  <c r="CR183" i="431"/>
  <c r="CR195" i="431"/>
  <c r="CR169" i="431"/>
  <c r="CR202" i="431"/>
  <c r="CR176" i="431"/>
  <c r="CR210" i="431"/>
  <c r="CR155" i="431"/>
  <c r="CR215" i="431"/>
  <c r="CW215" i="431"/>
  <c r="DV60" i="431"/>
  <c r="DV82" i="431"/>
  <c r="DV136" i="431"/>
  <c r="DV221" i="431"/>
  <c r="DV225" i="431" s="1"/>
  <c r="DV96" i="431"/>
  <c r="DV51" i="431"/>
  <c r="N222" i="431"/>
  <c r="N234" i="431"/>
  <c r="N225" i="431"/>
  <c r="S222" i="431"/>
  <c r="AL234" i="431"/>
  <c r="AQ222" i="431"/>
  <c r="AL225" i="431"/>
  <c r="AM227" i="431" s="1"/>
  <c r="AL222" i="431"/>
  <c r="DN125" i="431"/>
  <c r="DS129" i="431"/>
  <c r="DS128" i="431" s="1"/>
  <c r="DS123" i="431" s="1"/>
  <c r="T219" i="431"/>
  <c r="Y219" i="431"/>
  <c r="DU225" i="431"/>
  <c r="DU295" i="431"/>
  <c r="DU234" i="431"/>
  <c r="DU222" i="431"/>
  <c r="EA60" i="431"/>
  <c r="EA82" i="431"/>
  <c r="EA221" i="431"/>
  <c r="EA96" i="431"/>
  <c r="EA51" i="431"/>
  <c r="EA136" i="431"/>
  <c r="EF136" i="431"/>
  <c r="DA114" i="431"/>
  <c r="DA108" i="431"/>
  <c r="CV108" i="431"/>
  <c r="CV124" i="431"/>
  <c r="CV109" i="431"/>
  <c r="DT124" i="431"/>
  <c r="DK370" i="431"/>
  <c r="DK229" i="431"/>
  <c r="DK236" i="431"/>
  <c r="DK247" i="431"/>
  <c r="EL116" i="431"/>
  <c r="EP380" i="431"/>
  <c r="BS145" i="431"/>
  <c r="CR69" i="431"/>
  <c r="CW69" i="431"/>
  <c r="DV336" i="431"/>
  <c r="DU336" i="431" s="1"/>
  <c r="DV224" i="431"/>
  <c r="DV334" i="431"/>
  <c r="DU334" i="431" s="1"/>
  <c r="EA224" i="431"/>
  <c r="DZ129" i="431"/>
  <c r="DZ128" i="431" s="1"/>
  <c r="DZ123" i="431" s="1"/>
  <c r="DL87" i="431"/>
  <c r="DQ87" i="431"/>
  <c r="AU225" i="431"/>
  <c r="AU222" i="431"/>
  <c r="AZ222" i="431"/>
  <c r="AU234" i="431"/>
  <c r="CU129" i="431"/>
  <c r="CU128" i="431" s="1"/>
  <c r="CU123" i="431" s="1"/>
  <c r="EH236" i="431"/>
  <c r="EH232" i="431"/>
  <c r="EH228" i="431"/>
  <c r="EH235" i="431"/>
  <c r="EH247" i="431"/>
  <c r="EH370" i="431"/>
  <c r="EH229" i="431"/>
  <c r="DR227" i="431"/>
  <c r="CK234" i="431"/>
  <c r="CK225" i="431"/>
  <c r="FP42" i="431"/>
  <c r="EP375" i="431"/>
  <c r="EP379" i="431"/>
  <c r="EP374" i="431"/>
  <c r="CC205" i="431"/>
  <c r="AJ217" i="431"/>
  <c r="U145" i="431"/>
  <c r="BI217" i="431"/>
  <c r="AE205" i="431"/>
  <c r="CW186" i="431"/>
  <c r="AY205" i="431"/>
  <c r="AO205" i="431"/>
  <c r="BN172" i="431"/>
  <c r="BD219" i="431"/>
  <c r="BD27" i="431"/>
  <c r="P216" i="431"/>
  <c r="U217" i="431" s="1"/>
  <c r="I234" i="431"/>
  <c r="I225" i="431"/>
  <c r="I224" i="431"/>
  <c r="N224" i="431"/>
  <c r="K234" i="431"/>
  <c r="CU233" i="431"/>
  <c r="CM120" i="431"/>
  <c r="AX13" i="434" s="1"/>
  <c r="CM104" i="431"/>
  <c r="CM135" i="431"/>
  <c r="CR136" i="431" s="1"/>
  <c r="DM295" i="431"/>
  <c r="DM225" i="431"/>
  <c r="DR226" i="431" s="1"/>
  <c r="DM234" i="431"/>
  <c r="DR235" i="431" s="1"/>
  <c r="DM222" i="431"/>
  <c r="CN111" i="431"/>
  <c r="L136" i="431"/>
  <c r="L221" i="431"/>
  <c r="L96" i="431"/>
  <c r="L60" i="431"/>
  <c r="L51" i="431"/>
  <c r="L82" i="431"/>
  <c r="Q136" i="431"/>
  <c r="L134" i="431"/>
  <c r="DL127" i="431"/>
  <c r="DQ127" i="431"/>
  <c r="Y217" i="431"/>
  <c r="T217" i="431"/>
  <c r="EB129" i="431"/>
  <c r="DR222" i="431"/>
  <c r="DP226" i="431"/>
  <c r="DP227" i="431"/>
  <c r="DO226" i="431"/>
  <c r="DT226" i="431"/>
  <c r="DK222" i="431"/>
  <c r="CQ217" i="431"/>
  <c r="CV217" i="431"/>
  <c r="EI128" i="431"/>
  <c r="FQ117" i="431"/>
  <c r="FP117" i="431"/>
  <c r="DT227" i="431"/>
  <c r="DS227" i="431"/>
  <c r="DH222" i="431"/>
  <c r="DC225" i="431"/>
  <c r="DC234" i="431"/>
  <c r="X108" i="431"/>
  <c r="AC108" i="431"/>
  <c r="CP225" i="431"/>
  <c r="CP234" i="431"/>
  <c r="CP222" i="431"/>
  <c r="CU222" i="431"/>
  <c r="DL336" i="431"/>
  <c r="DL224" i="431"/>
  <c r="DL334" i="431"/>
  <c r="DQ224" i="431"/>
  <c r="DL234" i="431"/>
  <c r="DL225" i="431"/>
  <c r="BI60" i="431"/>
  <c r="BI136" i="431"/>
  <c r="BI221" i="431"/>
  <c r="BN136" i="431"/>
  <c r="BI96" i="431"/>
  <c r="BI82" i="431"/>
  <c r="BI51" i="431"/>
  <c r="CD371" i="431"/>
  <c r="CD250" i="431"/>
  <c r="CD248" i="431"/>
  <c r="O370" i="431"/>
  <c r="O247" i="431"/>
  <c r="O236" i="431"/>
  <c r="CL111" i="431"/>
  <c r="CX129" i="431"/>
  <c r="CX125" i="431"/>
  <c r="M234" i="431"/>
  <c r="M222" i="431"/>
  <c r="M225" i="431"/>
  <c r="J234" i="431"/>
  <c r="O228" i="431" s="1"/>
  <c r="J225" i="431"/>
  <c r="J224" i="431"/>
  <c r="O224" i="431"/>
  <c r="DW370" i="431"/>
  <c r="DW229" i="431"/>
  <c r="DW236" i="431"/>
  <c r="DW228" i="431"/>
  <c r="DW247" i="431"/>
  <c r="DW232" i="431"/>
  <c r="DW235" i="431"/>
  <c r="BI179" i="431"/>
  <c r="CF108" i="431"/>
  <c r="CF124" i="431"/>
  <c r="CK125" i="431" s="1"/>
  <c r="DV114" i="431"/>
  <c r="DQ124" i="431"/>
  <c r="DR247" i="431"/>
  <c r="DR370" i="431"/>
  <c r="DR229" i="431"/>
  <c r="DR236" i="431"/>
  <c r="DQ221" i="431"/>
  <c r="DQ51" i="431"/>
  <c r="DQ82" i="431"/>
  <c r="DQ136" i="431"/>
  <c r="DQ60" i="431"/>
  <c r="DQ96" i="431"/>
  <c r="CV127" i="431"/>
  <c r="DA127" i="431"/>
  <c r="DZ302" i="431"/>
  <c r="DZ304" i="431" s="1"/>
  <c r="DA247" i="431"/>
  <c r="DA370" i="431"/>
  <c r="DA229" i="431"/>
  <c r="DA236" i="431"/>
  <c r="CR148" i="431"/>
  <c r="CW148" i="431"/>
  <c r="DV30" i="431"/>
  <c r="DV126" i="431"/>
  <c r="DV127" i="431" s="1"/>
  <c r="BZ225" i="431"/>
  <c r="BZ234" i="431"/>
  <c r="BZ222" i="431"/>
  <c r="CE222" i="431"/>
  <c r="BG222" i="431"/>
  <c r="BB225" i="431"/>
  <c r="BB234" i="431"/>
  <c r="EP377" i="431"/>
  <c r="EA219" i="431"/>
  <c r="AT186" i="431"/>
  <c r="EA30" i="431"/>
  <c r="BS205" i="431"/>
  <c r="U205" i="431"/>
  <c r="BI192" i="431"/>
  <c r="AE172" i="431"/>
  <c r="AY186" i="431"/>
  <c r="R225" i="431"/>
  <c r="R234" i="431"/>
  <c r="R222" i="431"/>
  <c r="CN227" i="431"/>
  <c r="CK108" i="431"/>
  <c r="DB336" i="431"/>
  <c r="DG224" i="431"/>
  <c r="DB334" i="431"/>
  <c r="DB224" i="431"/>
  <c r="CN128" i="431"/>
  <c r="CN123" i="431" s="1"/>
  <c r="DL219" i="431"/>
  <c r="DQ219" i="431"/>
  <c r="CM336" i="431"/>
  <c r="CM334" i="431"/>
  <c r="CM224" i="431"/>
  <c r="U215" i="431"/>
  <c r="U183" i="431"/>
  <c r="U202" i="431"/>
  <c r="U140" i="431"/>
  <c r="U176" i="431"/>
  <c r="U223" i="431"/>
  <c r="U210" i="431"/>
  <c r="U169" i="431"/>
  <c r="CJ82" i="431"/>
  <c r="CJ221" i="431"/>
  <c r="CO136" i="431"/>
  <c r="CJ136" i="431"/>
  <c r="CJ96" i="431"/>
  <c r="CJ51" i="431"/>
  <c r="CJ60" i="431"/>
  <c r="W222" i="431"/>
  <c r="W234" i="431"/>
  <c r="AB235" i="431" s="1"/>
  <c r="W225" i="431"/>
  <c r="AB226" i="431" s="1"/>
  <c r="DW111" i="431"/>
  <c r="Z215" i="431"/>
  <c r="CP129" i="431"/>
  <c r="CP128" i="431" s="1"/>
  <c r="CP123" i="431" s="1"/>
  <c r="AB236" i="431"/>
  <c r="AB370" i="431"/>
  <c r="AB247" i="431"/>
  <c r="DV65" i="431"/>
  <c r="CC65" i="431"/>
  <c r="DO229" i="431"/>
  <c r="DO228" i="431"/>
  <c r="DO370" i="431"/>
  <c r="DO236" i="431"/>
  <c r="DO247" i="431"/>
  <c r="DO235" i="431"/>
  <c r="DO232" i="431"/>
  <c r="DT228" i="431"/>
  <c r="DT232" i="431"/>
  <c r="DT235" i="431"/>
  <c r="CQ219" i="431"/>
  <c r="CV219" i="431"/>
  <c r="EB109" i="431"/>
  <c r="EF109" i="431" s="1"/>
  <c r="EB108" i="431"/>
  <c r="EB110" i="431" s="1"/>
  <c r="EG108" i="431"/>
  <c r="EG114" i="431"/>
  <c r="EB124" i="431"/>
  <c r="FQ118" i="431"/>
  <c r="FP118" i="431"/>
  <c r="DB87" i="431"/>
  <c r="DG87" i="431"/>
  <c r="CR217" i="431"/>
  <c r="BI106" i="431"/>
  <c r="BI107" i="431"/>
  <c r="CH179" i="431"/>
  <c r="BD56" i="431"/>
  <c r="BI56" i="431"/>
  <c r="AE107" i="431"/>
  <c r="AE106" i="431"/>
  <c r="AY107" i="431"/>
  <c r="AY106" i="431"/>
  <c r="EK179" i="431"/>
  <c r="EL96" i="431"/>
  <c r="FQ96" i="431" s="1"/>
  <c r="FQ102" i="431"/>
  <c r="CC126" i="431"/>
  <c r="CC30" i="431"/>
  <c r="BS186" i="431"/>
  <c r="CM87" i="431"/>
  <c r="DB27" i="431"/>
  <c r="DG27" i="431"/>
  <c r="EL51" i="431"/>
  <c r="FQ51" i="431" s="1"/>
  <c r="EL221" i="431"/>
  <c r="EQ222" i="431" s="1"/>
  <c r="FM222" i="431" s="1"/>
  <c r="AJ107" i="431"/>
  <c r="AJ106" i="431"/>
  <c r="CR198" i="431"/>
  <c r="BS87" i="431"/>
  <c r="EZ9" i="431"/>
  <c r="FE9" i="431" s="1"/>
  <c r="BI205" i="431"/>
  <c r="CH145" i="431"/>
  <c r="AO145" i="431"/>
  <c r="BN219" i="431"/>
  <c r="CM56" i="431"/>
  <c r="CR56" i="431"/>
  <c r="DG217" i="431"/>
  <c r="DG33" i="431"/>
  <c r="DB33" i="431"/>
  <c r="CC87" i="431"/>
  <c r="BD217" i="431"/>
  <c r="EF87" i="431"/>
  <c r="BX145" i="431"/>
  <c r="EK198" i="431"/>
  <c r="EK27" i="431"/>
  <c r="FQ70" i="431"/>
  <c r="FQ103" i="431"/>
  <c r="CW87" i="431"/>
  <c r="CM186" i="431"/>
  <c r="AJ179" i="431"/>
  <c r="EA124" i="431"/>
  <c r="CR179" i="431"/>
  <c r="EA56" i="431"/>
  <c r="DV56" i="431"/>
  <c r="U106" i="431"/>
  <c r="U107" i="431"/>
  <c r="U108" i="431" s="1"/>
  <c r="Z205" i="431"/>
  <c r="Z198" i="431"/>
  <c r="AE198" i="431"/>
  <c r="AE217" i="431"/>
  <c r="CH33" i="431"/>
  <c r="CH107" i="431"/>
  <c r="CH106" i="431"/>
  <c r="CH126" i="431"/>
  <c r="CH30" i="431"/>
  <c r="AY219" i="431"/>
  <c r="AY217" i="431"/>
  <c r="AO179" i="431"/>
  <c r="AO106" i="431"/>
  <c r="AO107" i="431"/>
  <c r="BN27" i="431"/>
  <c r="BN198" i="431"/>
  <c r="DB219" i="431"/>
  <c r="DG219" i="431"/>
  <c r="DG205" i="431"/>
  <c r="DB205" i="431"/>
  <c r="BD186" i="431"/>
  <c r="BD145" i="431"/>
  <c r="BX106" i="431"/>
  <c r="BX107" i="431"/>
  <c r="BX172" i="431"/>
  <c r="CW198" i="431"/>
  <c r="EF106" i="431"/>
  <c r="EF107" i="431"/>
  <c r="DB145" i="431"/>
  <c r="DG145" i="431"/>
  <c r="DG198" i="431"/>
  <c r="DB198" i="431"/>
  <c r="BN186" i="431"/>
  <c r="CC186" i="431"/>
  <c r="AT219" i="431"/>
  <c r="U27" i="431"/>
  <c r="AY172" i="431"/>
  <c r="BN107" i="431"/>
  <c r="BN106" i="431"/>
  <c r="BD205" i="431"/>
  <c r="EF126" i="431"/>
  <c r="EF127" i="431" s="1"/>
  <c r="EF30" i="431"/>
  <c r="EL136" i="431"/>
  <c r="FQ136" i="431" s="1"/>
  <c r="FP101" i="431"/>
  <c r="CC107" i="431"/>
  <c r="CC106" i="431"/>
  <c r="AT198" i="431"/>
  <c r="CR30" i="431"/>
  <c r="CR126" i="431"/>
  <c r="CW127" i="431" s="1"/>
  <c r="CR172" i="431"/>
  <c r="EA87" i="431"/>
  <c r="BN101" i="431"/>
  <c r="BI172" i="431"/>
  <c r="Z179" i="431"/>
  <c r="Z145" i="431"/>
  <c r="AE145" i="431"/>
  <c r="CH217" i="431"/>
  <c r="CH198" i="431"/>
  <c r="AY27" i="431"/>
  <c r="BI87" i="431"/>
  <c r="AO186" i="431"/>
  <c r="AO172" i="431"/>
  <c r="BN145" i="431"/>
  <c r="BN205" i="431"/>
  <c r="DB186" i="431"/>
  <c r="DG186" i="431"/>
  <c r="DB172" i="431"/>
  <c r="DG172" i="431"/>
  <c r="BD106" i="431"/>
  <c r="BD107" i="431"/>
  <c r="AJ87" i="431"/>
  <c r="BD101" i="431"/>
  <c r="AY101" i="431"/>
  <c r="EK106" i="431"/>
  <c r="EK107" i="431"/>
  <c r="CM205" i="431"/>
  <c r="CM172" i="431"/>
  <c r="CR33" i="431"/>
  <c r="BS107" i="431"/>
  <c r="BS106" i="431"/>
  <c r="FQ98" i="431"/>
  <c r="FP98" i="431"/>
  <c r="BI27" i="431"/>
  <c r="Z27" i="431"/>
  <c r="Z107" i="431"/>
  <c r="Z106" i="431"/>
  <c r="AE219" i="431"/>
  <c r="AE186" i="431"/>
  <c r="CH219" i="431"/>
  <c r="AY198" i="431"/>
  <c r="AY145" i="431"/>
  <c r="BN192" i="431"/>
  <c r="DB107" i="431"/>
  <c r="DG106" i="431"/>
  <c r="DB106" i="431"/>
  <c r="BD179" i="431"/>
  <c r="CW172" i="431"/>
  <c r="BX219" i="431"/>
  <c r="BX217" i="431"/>
  <c r="AT56" i="431"/>
  <c r="AO56" i="431"/>
  <c r="EK33" i="431"/>
  <c r="EK101" i="431"/>
  <c r="EF101" i="431"/>
  <c r="CM179" i="431"/>
  <c r="CR107" i="431"/>
  <c r="CW108" i="431" s="1"/>
  <c r="CR106" i="431"/>
  <c r="Z186" i="431"/>
  <c r="CM107" i="431"/>
  <c r="CM106" i="431"/>
  <c r="CM126" i="431"/>
  <c r="CM30" i="431"/>
  <c r="AJ172" i="431"/>
  <c r="AT106" i="431"/>
  <c r="AT107" i="431"/>
  <c r="CR145" i="431"/>
  <c r="CR27" i="431"/>
  <c r="CW27" i="431"/>
  <c r="Z56" i="431"/>
  <c r="AE56" i="431"/>
  <c r="EA65" i="431"/>
  <c r="EF65" i="431"/>
  <c r="U172" i="431"/>
  <c r="FQ97" i="431"/>
  <c r="FP97" i="431"/>
  <c r="AE27" i="431"/>
  <c r="CH27" i="431"/>
  <c r="AY179" i="431"/>
  <c r="AO27" i="431"/>
  <c r="BN179" i="431"/>
  <c r="DB30" i="431"/>
  <c r="DB126" i="431"/>
  <c r="DG30" i="431"/>
  <c r="DG179" i="431"/>
  <c r="DB179" i="431"/>
  <c r="BD198" i="431"/>
  <c r="CW145" i="431"/>
  <c r="BX198" i="431"/>
  <c r="BX205" i="431"/>
  <c r="BX27" i="431"/>
  <c r="EK126" i="431"/>
  <c r="EP127" i="431" s="1"/>
  <c r="EK30" i="431"/>
  <c r="EK217" i="431"/>
  <c r="EL141" i="431"/>
  <c r="FN141" i="431" s="1"/>
  <c r="A410" i="435"/>
  <c r="D77" i="435"/>
  <c r="A89" i="435"/>
  <c r="D52" i="435"/>
  <c r="A64" i="435"/>
  <c r="A384" i="435"/>
  <c r="A466" i="435"/>
  <c r="A518" i="435" s="1"/>
  <c r="A46" i="435"/>
  <c r="D34" i="435"/>
  <c r="A350" i="435"/>
  <c r="A390" i="435"/>
  <c r="A55" i="435"/>
  <c r="D43" i="435"/>
  <c r="A483" i="435"/>
  <c r="A535" i="435" s="1"/>
  <c r="D63" i="435"/>
  <c r="A75" i="435"/>
  <c r="A54" i="435"/>
  <c r="D42" i="435"/>
  <c r="A84" i="435"/>
  <c r="D72" i="435"/>
  <c r="B178" i="435"/>
  <c r="D178" i="435" s="1"/>
  <c r="C179" i="435"/>
  <c r="A361" i="435"/>
  <c r="A455" i="435"/>
  <c r="A507" i="435" s="1"/>
  <c r="D35" i="435"/>
  <c r="A47" i="435"/>
  <c r="K15" i="435"/>
  <c r="A418" i="435"/>
  <c r="A458" i="435"/>
  <c r="A510" i="435" s="1"/>
  <c r="K27" i="435"/>
  <c r="AA32" i="435" s="1"/>
  <c r="CH278" i="431" s="1"/>
  <c r="CH279" i="431" s="1"/>
  <c r="CH280" i="431" s="1"/>
  <c r="L25" i="435"/>
  <c r="K26" i="435"/>
  <c r="AA31" i="435" s="1"/>
  <c r="M4" i="435"/>
  <c r="L5" i="435"/>
  <c r="A335" i="435"/>
  <c r="C149" i="435"/>
  <c r="B149" i="435" s="1"/>
  <c r="D149" i="435" s="1"/>
  <c r="B148" i="435"/>
  <c r="D148" i="435" s="1"/>
  <c r="A81" i="435"/>
  <c r="D69" i="435"/>
  <c r="A469" i="435"/>
  <c r="A521" i="435" s="1"/>
  <c r="A415" i="435"/>
  <c r="A430" i="435"/>
  <c r="A38" i="435"/>
  <c r="D26" i="435"/>
  <c r="L9" i="435"/>
  <c r="K10" i="435"/>
  <c r="AA15" i="435" s="1"/>
  <c r="A475" i="435"/>
  <c r="A527" i="435" s="1"/>
  <c r="A37" i="435"/>
  <c r="D25" i="435"/>
  <c r="A451" i="435"/>
  <c r="A503" i="435" s="1"/>
  <c r="D32" i="435"/>
  <c r="A44" i="435"/>
  <c r="A498" i="435"/>
  <c r="A550" i="435" s="1"/>
  <c r="C6" i="433"/>
  <c r="A6" i="433"/>
  <c r="B6" i="433" s="1"/>
  <c r="FQ40" i="431"/>
  <c r="FP176" i="431"/>
  <c r="EZ285" i="431"/>
  <c r="EZ287" i="431" s="1"/>
  <c r="P11" i="455"/>
  <c r="FQ202" i="431"/>
  <c r="EL69" i="431"/>
  <c r="FQ69" i="431" s="1"/>
  <c r="EL67" i="431"/>
  <c r="EL219" i="431"/>
  <c r="FP180" i="431"/>
  <c r="EL126" i="431"/>
  <c r="EL127" i="431" s="1"/>
  <c r="EL31" i="431"/>
  <c r="FQ31" i="431" s="1"/>
  <c r="EL217" i="431"/>
  <c r="EL30" i="431"/>
  <c r="EL186" i="431"/>
  <c r="EL187" i="431"/>
  <c r="FP81" i="431"/>
  <c r="FQ81" i="431"/>
  <c r="EL87" i="431"/>
  <c r="EL88" i="431"/>
  <c r="FQ80" i="431"/>
  <c r="FP80" i="431"/>
  <c r="EL145" i="431"/>
  <c r="EL146" i="431"/>
  <c r="FP14" i="431"/>
  <c r="FQ14" i="431"/>
  <c r="FP13" i="431"/>
  <c r="FQ13" i="431"/>
  <c r="EL106" i="431"/>
  <c r="EL107" i="431"/>
  <c r="EL173" i="431"/>
  <c r="EL172" i="431"/>
  <c r="FP179" i="431"/>
  <c r="FQ179" i="431"/>
  <c r="EZ245" i="431"/>
  <c r="FP85" i="431"/>
  <c r="EL33" i="431"/>
  <c r="EL34" i="431"/>
  <c r="EL16" i="431"/>
  <c r="EL27" i="431"/>
  <c r="FQ29" i="431"/>
  <c r="FP29" i="431"/>
  <c r="EL205" i="431"/>
  <c r="EL206" i="431"/>
  <c r="EL199" i="431"/>
  <c r="EL198" i="431"/>
  <c r="FP210" i="431"/>
  <c r="FQ210" i="431"/>
  <c r="FQ214" i="431"/>
  <c r="FQ99" i="431"/>
  <c r="FP99" i="431"/>
  <c r="EL224" i="431"/>
  <c r="FN224" i="431" s="1"/>
  <c r="FP26" i="431"/>
  <c r="FQ26" i="431"/>
  <c r="FP140" i="431"/>
  <c r="FQ140" i="431"/>
  <c r="FQ215" i="431"/>
  <c r="FP215" i="431"/>
  <c r="C6" i="434"/>
  <c r="D7" i="434"/>
  <c r="A7" i="433"/>
  <c r="B7" i="433" s="1"/>
  <c r="E8" i="433"/>
  <c r="A9" i="434"/>
  <c r="B9" i="434" s="1"/>
  <c r="E10" i="434"/>
  <c r="G905" i="433"/>
  <c r="G909" i="434"/>
  <c r="FQ162" i="431"/>
  <c r="FP162" i="431"/>
  <c r="EL65" i="431"/>
  <c r="EL66" i="431"/>
  <c r="FQ218" i="431"/>
  <c r="FP218" i="431"/>
  <c r="FP51" i="431"/>
  <c r="FQ150" i="431"/>
  <c r="FP150" i="431"/>
  <c r="FP136" i="431"/>
  <c r="EL130" i="431"/>
  <c r="EP130" i="431" s="1"/>
  <c r="L23" i="451"/>
  <c r="L67" i="451"/>
  <c r="M24" i="451"/>
  <c r="FQ148" i="431"/>
  <c r="FP148" i="431"/>
  <c r="FP147" i="431"/>
  <c r="FQ147" i="431"/>
  <c r="N19" i="451"/>
  <c r="M30" i="451"/>
  <c r="FQ135" i="431"/>
  <c r="FP135" i="431"/>
  <c r="FP164" i="431"/>
  <c r="FQ164" i="431"/>
  <c r="L60" i="451"/>
  <c r="L51" i="451"/>
  <c r="C7" i="433"/>
  <c r="D8" i="433"/>
  <c r="FQ82" i="431"/>
  <c r="FQ151" i="431"/>
  <c r="FP151" i="431"/>
  <c r="EL166" i="431"/>
  <c r="FQ62" i="431"/>
  <c r="FP62" i="431"/>
  <c r="EL57" i="431"/>
  <c r="EL56" i="431"/>
  <c r="FP152" i="431"/>
  <c r="FQ152" i="431"/>
  <c r="EZ61" i="431"/>
  <c r="FQ53" i="431"/>
  <c r="FP53" i="431"/>
  <c r="FP54" i="431"/>
  <c r="FQ54" i="431"/>
  <c r="FQ60" i="431"/>
  <c r="FQ163" i="431"/>
  <c r="FP163" i="431"/>
  <c r="FQ61" i="431"/>
  <c r="FP61" i="431"/>
  <c r="FQ52" i="431"/>
  <c r="FP52" i="431"/>
  <c r="L35" i="451"/>
  <c r="EZ83" i="431"/>
  <c r="FP216" i="431"/>
  <c r="FQ216" i="431"/>
  <c r="FQ156" i="431"/>
  <c r="FP156" i="431"/>
  <c r="FQ219" i="431" l="1"/>
  <c r="FN219" i="431"/>
  <c r="FQ217" i="431"/>
  <c r="FN217" i="431"/>
  <c r="FP217" i="431" s="1"/>
  <c r="EP114" i="431"/>
  <c r="EB322" i="431"/>
  <c r="EB318" i="431"/>
  <c r="EB320" i="431"/>
  <c r="EB326" i="431"/>
  <c r="EB295" i="431"/>
  <c r="EB324" i="431"/>
  <c r="EB225" i="431"/>
  <c r="EB222" i="431"/>
  <c r="EB234" i="431"/>
  <c r="DT371" i="431"/>
  <c r="DT250" i="431"/>
  <c r="DT248" i="431"/>
  <c r="DT265" i="431" s="1"/>
  <c r="DT267" i="431" s="1"/>
  <c r="EP107" i="431"/>
  <c r="EO228" i="431"/>
  <c r="EO235" i="431"/>
  <c r="EO232" i="431"/>
  <c r="EP136" i="431"/>
  <c r="EP51" i="431"/>
  <c r="EP96" i="431"/>
  <c r="EP221" i="431"/>
  <c r="EP60" i="431"/>
  <c r="EP82" i="431"/>
  <c r="FQ114" i="431"/>
  <c r="EO110" i="431"/>
  <c r="EJ125" i="431"/>
  <c r="EO129" i="431"/>
  <c r="EO125" i="431"/>
  <c r="EO229" i="431"/>
  <c r="EQ231" i="431" s="1"/>
  <c r="DZ110" i="431"/>
  <c r="AB228" i="431"/>
  <c r="DA110" i="431"/>
  <c r="DM110" i="431"/>
  <c r="CZ226" i="431"/>
  <c r="DH113" i="431"/>
  <c r="FQ120" i="431"/>
  <c r="D236" i="431"/>
  <c r="D247" i="431"/>
  <c r="CW109" i="431"/>
  <c r="CU113" i="431"/>
  <c r="CB225" i="431"/>
  <c r="CB227" i="431" s="1"/>
  <c r="AO96" i="431"/>
  <c r="K224" i="431"/>
  <c r="ED111" i="431"/>
  <c r="EE111" i="431"/>
  <c r="EF96" i="431"/>
  <c r="EF51" i="431"/>
  <c r="EF221" i="431"/>
  <c r="EF222" i="431" s="1"/>
  <c r="EF82" i="431"/>
  <c r="EF60" i="431"/>
  <c r="DJ248" i="431"/>
  <c r="DJ265" i="431" s="1"/>
  <c r="DJ267" i="431" s="1"/>
  <c r="DJ250" i="431"/>
  <c r="DJ371" i="431"/>
  <c r="Z136" i="431"/>
  <c r="Z221" i="431"/>
  <c r="Z225" i="431" s="1"/>
  <c r="CW124" i="431"/>
  <c r="CG222" i="431"/>
  <c r="DD113" i="431"/>
  <c r="DQ108" i="431"/>
  <c r="CB222" i="431"/>
  <c r="AO221" i="431"/>
  <c r="AO234" i="431" s="1"/>
  <c r="CO111" i="431"/>
  <c r="H228" i="431"/>
  <c r="ET174" i="431"/>
  <c r="ET175" i="431" s="1"/>
  <c r="EI110" i="431"/>
  <c r="BX334" i="431"/>
  <c r="BX336" i="431"/>
  <c r="BX224" i="431"/>
  <c r="DP113" i="431"/>
  <c r="AO136" i="431"/>
  <c r="CU250" i="431"/>
  <c r="CU372" i="431" s="1"/>
  <c r="CZ235" i="431"/>
  <c r="CZ232" i="431"/>
  <c r="DE235" i="431"/>
  <c r="CZ370" i="431"/>
  <c r="CZ236" i="431"/>
  <c r="DE237" i="431" s="1"/>
  <c r="DE232" i="431"/>
  <c r="CZ247" i="431"/>
  <c r="DE228" i="431"/>
  <c r="CZ229" i="431"/>
  <c r="AQ234" i="431"/>
  <c r="AQ228" i="431" s="1"/>
  <c r="AV222" i="431"/>
  <c r="AQ225" i="431"/>
  <c r="AQ226" i="431" s="1"/>
  <c r="AG225" i="431"/>
  <c r="AG226" i="431" s="1"/>
  <c r="AG234" i="431"/>
  <c r="AO51" i="431"/>
  <c r="ED322" i="431"/>
  <c r="ED222" i="431"/>
  <c r="ED326" i="431"/>
  <c r="ED324" i="431"/>
  <c r="ED234" i="431"/>
  <c r="EI235" i="431" s="1"/>
  <c r="ED225" i="431"/>
  <c r="ED295" i="431"/>
  <c r="ED318" i="431"/>
  <c r="ED320" i="431"/>
  <c r="DB217" i="431"/>
  <c r="CC221" i="431"/>
  <c r="CC295" i="431" s="1"/>
  <c r="O226" i="431"/>
  <c r="DL108" i="431"/>
  <c r="DL110" i="431" s="1"/>
  <c r="DR110" i="431"/>
  <c r="EH129" i="431"/>
  <c r="EH128" i="431" s="1"/>
  <c r="ET181" i="431"/>
  <c r="ET182" i="431" s="1"/>
  <c r="CZ228" i="431"/>
  <c r="CR219" i="431"/>
  <c r="FQ30" i="431"/>
  <c r="ET27" i="431"/>
  <c r="ET198" i="431"/>
  <c r="ET146" i="431"/>
  <c r="AY370" i="431"/>
  <c r="AY357" i="431"/>
  <c r="ER180" i="431"/>
  <c r="ER57" i="431"/>
  <c r="ER91" i="431"/>
  <c r="ER88" i="431"/>
  <c r="DX248" i="431"/>
  <c r="DX265" i="431" s="1"/>
  <c r="DX267" i="431" s="1"/>
  <c r="DX250" i="431"/>
  <c r="DX371" i="431"/>
  <c r="Z60" i="431"/>
  <c r="AO82" i="431"/>
  <c r="CR221" i="431"/>
  <c r="CR322" i="431" s="1"/>
  <c r="DA111" i="431"/>
  <c r="EU87" i="431"/>
  <c r="CF225" i="431"/>
  <c r="CG227" i="431" s="1"/>
  <c r="CF234" i="431"/>
  <c r="CK232" i="431" s="1"/>
  <c r="Q248" i="431"/>
  <c r="Q371" i="431"/>
  <c r="Q250" i="431"/>
  <c r="EN110" i="431"/>
  <c r="ET201" i="431"/>
  <c r="DY231" i="431"/>
  <c r="ER206" i="431"/>
  <c r="ER173" i="431"/>
  <c r="EN229" i="431"/>
  <c r="EI226" i="431"/>
  <c r="EN226" i="431"/>
  <c r="DU129" i="431"/>
  <c r="DU128" i="431" s="1"/>
  <c r="DU123" i="431" s="1"/>
  <c r="DU113" i="431" s="1"/>
  <c r="Z51" i="431"/>
  <c r="AO60" i="431"/>
  <c r="BE236" i="431"/>
  <c r="BE237" i="431" s="1"/>
  <c r="BE247" i="431"/>
  <c r="BE370" i="431"/>
  <c r="BE235" i="431"/>
  <c r="H236" i="431"/>
  <c r="H237" i="431" s="1"/>
  <c r="H247" i="431"/>
  <c r="EN129" i="431"/>
  <c r="EN125" i="431"/>
  <c r="EI125" i="431"/>
  <c r="DE253" i="431"/>
  <c r="DE372" i="431"/>
  <c r="DE266" i="431"/>
  <c r="BM371" i="431"/>
  <c r="BM248" i="431"/>
  <c r="BM262" i="431" s="1"/>
  <c r="BM250" i="431"/>
  <c r="CG236" i="431"/>
  <c r="CL237" i="431" s="1"/>
  <c r="CG370" i="431"/>
  <c r="CL235" i="431"/>
  <c r="CG247" i="431"/>
  <c r="Z82" i="431"/>
  <c r="CQ234" i="431"/>
  <c r="CQ236" i="431" s="1"/>
  <c r="EN235" i="431"/>
  <c r="EN228" i="431"/>
  <c r="EN232" i="431"/>
  <c r="BH222" i="431"/>
  <c r="EU55" i="431"/>
  <c r="EU56" i="431" s="1"/>
  <c r="ER66" i="431"/>
  <c r="EU64" i="431"/>
  <c r="EU65" i="431" s="1"/>
  <c r="EE266" i="431"/>
  <c r="EE284" i="431" s="1"/>
  <c r="EE291" i="431" s="1"/>
  <c r="EE372" i="431"/>
  <c r="EE253" i="431"/>
  <c r="EI123" i="431"/>
  <c r="BH234" i="431"/>
  <c r="BM228" i="431" s="1"/>
  <c r="ER187" i="431"/>
  <c r="CQ225" i="431"/>
  <c r="CQ227" i="431" s="1"/>
  <c r="DM129" i="431"/>
  <c r="DQ129" i="431" s="1"/>
  <c r="DQ128" i="431" s="1"/>
  <c r="DQ123" i="431" s="1"/>
  <c r="BO222" i="431"/>
  <c r="H226" i="431"/>
  <c r="CL228" i="431"/>
  <c r="ET40" i="431"/>
  <c r="U219" i="431"/>
  <c r="ES40" i="431"/>
  <c r="ES39" i="431" s="1"/>
  <c r="ES35" i="431" s="1"/>
  <c r="ER40" i="431"/>
  <c r="ER39" i="431" s="1"/>
  <c r="ER35" i="431" s="1"/>
  <c r="EZ52" i="431"/>
  <c r="EZ53" i="431" s="1"/>
  <c r="EU374" i="431"/>
  <c r="EU63" i="431"/>
  <c r="EU99" i="431"/>
  <c r="EU105" i="431"/>
  <c r="EU106" i="431" s="1"/>
  <c r="EU15" i="431"/>
  <c r="EU27" i="431" s="1"/>
  <c r="EZ5" i="431"/>
  <c r="FE18" i="431" s="1"/>
  <c r="FE40" i="431" s="1"/>
  <c r="FE52" i="431"/>
  <c r="EU85" i="431"/>
  <c r="EU144" i="431"/>
  <c r="EU145" i="431" s="1"/>
  <c r="EU26" i="431"/>
  <c r="EU197" i="431"/>
  <c r="EU198" i="431" s="1"/>
  <c r="ET50" i="431"/>
  <c r="EU49" i="431"/>
  <c r="EU50" i="431" s="1"/>
  <c r="EZ86" i="431"/>
  <c r="FE86" i="431" s="1"/>
  <c r="FE80" i="431" s="1"/>
  <c r="EN203" i="431"/>
  <c r="ES271" i="431"/>
  <c r="ER272" i="431"/>
  <c r="EM237" i="431"/>
  <c r="DN111" i="431"/>
  <c r="EM129" i="431"/>
  <c r="EM125" i="431"/>
  <c r="EL322" i="431"/>
  <c r="EL318" i="431"/>
  <c r="EL295" i="431"/>
  <c r="EL324" i="431"/>
  <c r="EL320" i="431"/>
  <c r="EL326" i="431"/>
  <c r="EM110" i="431"/>
  <c r="EI111" i="431"/>
  <c r="CX11" i="434"/>
  <c r="EM229" i="431"/>
  <c r="FE352" i="431"/>
  <c r="FE243" i="431"/>
  <c r="EM203" i="431"/>
  <c r="CW221" i="431"/>
  <c r="CW320" i="431" s="1"/>
  <c r="DS111" i="431"/>
  <c r="CY370" i="431"/>
  <c r="CY247" i="431"/>
  <c r="CY229" i="431"/>
  <c r="CY236" i="431"/>
  <c r="CL250" i="431"/>
  <c r="CL248" i="431"/>
  <c r="CL371" i="431"/>
  <c r="O6" i="451"/>
  <c r="N15" i="451"/>
  <c r="N54" i="451" s="1"/>
  <c r="CF38" i="451"/>
  <c r="H15" i="451"/>
  <c r="H54" i="451" s="1"/>
  <c r="BZ38" i="451"/>
  <c r="G6" i="451"/>
  <c r="FE13" i="431"/>
  <c r="FE85" i="431" s="1"/>
  <c r="C565" i="435"/>
  <c r="B564" i="435"/>
  <c r="D564" i="435" s="1"/>
  <c r="EZ239" i="431"/>
  <c r="FE245" i="431"/>
  <c r="FE239" i="431" s="1"/>
  <c r="M51" i="453"/>
  <c r="M60" i="453"/>
  <c r="M93" i="453"/>
  <c r="M95" i="453" s="1"/>
  <c r="M99" i="453" s="1"/>
  <c r="M22" i="435"/>
  <c r="N32" i="435" s="1"/>
  <c r="BU278" i="431" s="1"/>
  <c r="BU279" i="431" s="1"/>
  <c r="BU280" i="431" s="1"/>
  <c r="M21" i="435"/>
  <c r="N31" i="435" s="1"/>
  <c r="N20" i="435"/>
  <c r="CO30" i="435"/>
  <c r="AY320" i="431"/>
  <c r="AY356" i="431"/>
  <c r="AY322" i="431"/>
  <c r="AY295" i="431"/>
  <c r="AY324" i="431"/>
  <c r="AY330" i="431" s="1"/>
  <c r="BP234" i="431"/>
  <c r="BP235" i="431" s="1"/>
  <c r="BP225" i="431"/>
  <c r="BU226" i="431" s="1"/>
  <c r="BU222" i="431"/>
  <c r="O30" i="453"/>
  <c r="O89" i="453"/>
  <c r="P19" i="453"/>
  <c r="BC228" i="431"/>
  <c r="DZ113" i="431"/>
  <c r="DY110" i="431"/>
  <c r="CY110" i="431"/>
  <c r="N29" i="453"/>
  <c r="M44" i="453"/>
  <c r="N32" i="453"/>
  <c r="N23" i="453" s="1"/>
  <c r="N21" i="453"/>
  <c r="S4" i="455"/>
  <c r="R24" i="455"/>
  <c r="Y236" i="431"/>
  <c r="AD237" i="431" s="1"/>
  <c r="Y370" i="431"/>
  <c r="Y247" i="431"/>
  <c r="AD235" i="431"/>
  <c r="AD228" i="431"/>
  <c r="O42" i="451"/>
  <c r="AA227" i="431"/>
  <c r="L62" i="453"/>
  <c r="L69" i="453" s="1"/>
  <c r="L61" i="453"/>
  <c r="M47" i="453"/>
  <c r="N42" i="453"/>
  <c r="M45" i="453"/>
  <c r="CE43" i="453" s="1"/>
  <c r="CR295" i="431"/>
  <c r="CR324" i="431"/>
  <c r="EI227" i="431"/>
  <c r="F236" i="431"/>
  <c r="DR228" i="431"/>
  <c r="DS125" i="431"/>
  <c r="DV109" i="431"/>
  <c r="FE84" i="431"/>
  <c r="DR232" i="431"/>
  <c r="DT111" i="431"/>
  <c r="EC248" i="431"/>
  <c r="EC265" i="431" s="1"/>
  <c r="EC267" i="431" s="1"/>
  <c r="EC250" i="431"/>
  <c r="EC371" i="431"/>
  <c r="DX129" i="431"/>
  <c r="DX128" i="431" s="1"/>
  <c r="DX123" i="431" s="1"/>
  <c r="DX113" i="431" s="1"/>
  <c r="BV248" i="431"/>
  <c r="BV371" i="431"/>
  <c r="BV250" i="431"/>
  <c r="DE129" i="431"/>
  <c r="DE128" i="431" s="1"/>
  <c r="DE123" i="431" s="1"/>
  <c r="DE113" i="431" s="1"/>
  <c r="DE125" i="431"/>
  <c r="EU378" i="431"/>
  <c r="CM127" i="431"/>
  <c r="FE97" i="431"/>
  <c r="DF113" i="431"/>
  <c r="AS250" i="431"/>
  <c r="AS371" i="431"/>
  <c r="AS248" i="431"/>
  <c r="FE61" i="431"/>
  <c r="EZ241" i="431"/>
  <c r="FE242" i="431"/>
  <c r="G251" i="431"/>
  <c r="G253" i="431"/>
  <c r="DQ125" i="431"/>
  <c r="DV124" i="431"/>
  <c r="DV125" i="431" s="1"/>
  <c r="DN226" i="431"/>
  <c r="AK236" i="431"/>
  <c r="AK247" i="431"/>
  <c r="AK370" i="431"/>
  <c r="EC230" i="431"/>
  <c r="EC233" i="431"/>
  <c r="CW324" i="431"/>
  <c r="CW356" i="431"/>
  <c r="CW222" i="431"/>
  <c r="DV108" i="431"/>
  <c r="DV110" i="431" s="1"/>
  <c r="DH268" i="431"/>
  <c r="DN229" i="431"/>
  <c r="DS230" i="431" s="1"/>
  <c r="DN235" i="431"/>
  <c r="DN236" i="431"/>
  <c r="DN232" i="431"/>
  <c r="DN247" i="431"/>
  <c r="DN228" i="431"/>
  <c r="DN370" i="431"/>
  <c r="EJ113" i="431"/>
  <c r="EH111" i="431"/>
  <c r="EG111" i="431"/>
  <c r="F225" i="431"/>
  <c r="K226" i="431" s="1"/>
  <c r="F234" i="431"/>
  <c r="K228" i="431" s="1"/>
  <c r="CV234" i="431"/>
  <c r="CV225" i="431"/>
  <c r="CV226" i="431" s="1"/>
  <c r="CV222" i="431"/>
  <c r="DA222" i="431"/>
  <c r="BM226" i="431"/>
  <c r="BH227" i="431"/>
  <c r="AT322" i="431"/>
  <c r="AT295" i="431"/>
  <c r="AT234" i="431"/>
  <c r="AT324" i="431"/>
  <c r="AT318" i="431"/>
  <c r="AT320" i="431"/>
  <c r="AY222" i="431"/>
  <c r="AT326" i="431"/>
  <c r="DR111" i="431"/>
  <c r="EI247" i="431"/>
  <c r="EI229" i="431"/>
  <c r="EI370" i="431"/>
  <c r="EI236" i="431"/>
  <c r="EI232" i="431"/>
  <c r="EI228" i="431"/>
  <c r="AR250" i="431"/>
  <c r="AR371" i="431"/>
  <c r="AR248" i="431"/>
  <c r="BN370" i="431"/>
  <c r="BN357" i="431"/>
  <c r="CH221" i="431"/>
  <c r="CE225" i="431"/>
  <c r="CE226" i="431" s="1"/>
  <c r="CE234" i="431"/>
  <c r="CE235" i="431" s="1"/>
  <c r="DZ234" i="431"/>
  <c r="DZ235" i="431" s="1"/>
  <c r="EE222" i="431"/>
  <c r="DZ225" i="431"/>
  <c r="DZ295" i="431"/>
  <c r="AZ248" i="431"/>
  <c r="AZ371" i="431"/>
  <c r="AZ250" i="431"/>
  <c r="BH370" i="431"/>
  <c r="BH247" i="431"/>
  <c r="BH236" i="431"/>
  <c r="BM237" i="431" s="1"/>
  <c r="EE129" i="431"/>
  <c r="EE128" i="431" s="1"/>
  <c r="EE123" i="431" s="1"/>
  <c r="EE125" i="431"/>
  <c r="C248" i="431"/>
  <c r="C250" i="431"/>
  <c r="BI317" i="431"/>
  <c r="BN312" i="431"/>
  <c r="BN313" i="431" s="1"/>
  <c r="CU111" i="431"/>
  <c r="AH227" i="431"/>
  <c r="AI227" i="431"/>
  <c r="BD356" i="431"/>
  <c r="BD320" i="431"/>
  <c r="BD322" i="431"/>
  <c r="BD324" i="431"/>
  <c r="BD295" i="431"/>
  <c r="BD234" i="431"/>
  <c r="BD222" i="431"/>
  <c r="FP96" i="431"/>
  <c r="O235" i="431"/>
  <c r="DO227" i="431"/>
  <c r="CD125" i="431"/>
  <c r="H20" i="455"/>
  <c r="H21" i="455"/>
  <c r="DL109" i="431"/>
  <c r="DQ114" i="431"/>
  <c r="AY226" i="431"/>
  <c r="BU227" i="431"/>
  <c r="AI253" i="431"/>
  <c r="AI372" i="431"/>
  <c r="EK136" i="431"/>
  <c r="EK96" i="431"/>
  <c r="EK60" i="431"/>
  <c r="EK221" i="431"/>
  <c r="EK51" i="431"/>
  <c r="EK82" i="431"/>
  <c r="DI370" i="431"/>
  <c r="DI247" i="431"/>
  <c r="DL247" i="431" s="1"/>
  <c r="DI236" i="431"/>
  <c r="DI229" i="431"/>
  <c r="EA127" i="431"/>
  <c r="BH226" i="431"/>
  <c r="F247" i="431"/>
  <c r="F250" i="431" s="1"/>
  <c r="F253" i="431" s="1"/>
  <c r="DS232" i="431"/>
  <c r="CR320" i="431"/>
  <c r="BD336" i="431"/>
  <c r="BD334" i="431"/>
  <c r="BD224" i="431"/>
  <c r="BD225" i="431"/>
  <c r="BD226" i="431" s="1"/>
  <c r="EA109" i="431"/>
  <c r="CJ129" i="431"/>
  <c r="CJ128" i="431" s="1"/>
  <c r="CJ123" i="431" s="1"/>
  <c r="CE125" i="431"/>
  <c r="CW60" i="431"/>
  <c r="CW96" i="431"/>
  <c r="CW51" i="431"/>
  <c r="CW82" i="431"/>
  <c r="CS235" i="431"/>
  <c r="CS247" i="431"/>
  <c r="CS232" i="431"/>
  <c r="CS236" i="431"/>
  <c r="CS370" i="431"/>
  <c r="CS229" i="431"/>
  <c r="EG225" i="431"/>
  <c r="EG318" i="431"/>
  <c r="EG326" i="431"/>
  <c r="EG320" i="431"/>
  <c r="EG324" i="431"/>
  <c r="FP221" i="431"/>
  <c r="EG322" i="431"/>
  <c r="EG295" i="431"/>
  <c r="EG222" i="431"/>
  <c r="EG234" i="431"/>
  <c r="BG370" i="431"/>
  <c r="BG247" i="431"/>
  <c r="BG236" i="431"/>
  <c r="CY129" i="431"/>
  <c r="CY128" i="431" s="1"/>
  <c r="CY123" i="431" s="1"/>
  <c r="CY125" i="431"/>
  <c r="BD325" i="431"/>
  <c r="BD326" i="431" s="1"/>
  <c r="BD355" i="431"/>
  <c r="BC317" i="431"/>
  <c r="BD318" i="431"/>
  <c r="DJ227" i="431"/>
  <c r="DI227" i="431"/>
  <c r="CT234" i="431"/>
  <c r="CT225" i="431"/>
  <c r="CY222" i="431"/>
  <c r="CT222" i="431"/>
  <c r="AH370" i="431"/>
  <c r="AH236" i="431"/>
  <c r="AM237" i="431" s="1"/>
  <c r="AH247" i="431"/>
  <c r="CO225" i="431"/>
  <c r="CO227" i="431" s="1"/>
  <c r="CO234" i="431"/>
  <c r="S248" i="431"/>
  <c r="S371" i="431"/>
  <c r="S250" i="431"/>
  <c r="EK109" i="431"/>
  <c r="BN108" i="431"/>
  <c r="CS228" i="431"/>
  <c r="AM228" i="431"/>
  <c r="DS235" i="431"/>
  <c r="DW113" i="431"/>
  <c r="CT125" i="431"/>
  <c r="CQ125" i="431"/>
  <c r="EE110" i="431"/>
  <c r="BA250" i="431"/>
  <c r="BA371" i="431"/>
  <c r="BA248" i="431"/>
  <c r="BO225" i="431"/>
  <c r="BT226" i="431" s="1"/>
  <c r="BO234" i="431"/>
  <c r="CC336" i="431"/>
  <c r="CC334" i="431"/>
  <c r="CC224" i="431"/>
  <c r="BT370" i="431"/>
  <c r="BT247" i="431"/>
  <c r="BT236" i="431"/>
  <c r="AA250" i="431"/>
  <c r="AA371" i="431"/>
  <c r="AA248" i="431"/>
  <c r="CT110" i="431"/>
  <c r="CT113" i="431" s="1"/>
  <c r="BL236" i="431"/>
  <c r="BL235" i="431"/>
  <c r="BL370" i="431"/>
  <c r="BL228" i="431"/>
  <c r="BL247" i="431"/>
  <c r="BK235" i="431"/>
  <c r="BK370" i="431"/>
  <c r="BK236" i="431"/>
  <c r="BP228" i="431"/>
  <c r="BK247" i="431"/>
  <c r="AN234" i="431"/>
  <c r="AN225" i="431"/>
  <c r="AS222" i="431"/>
  <c r="AN222" i="431"/>
  <c r="CA236" i="431"/>
  <c r="CA370" i="431"/>
  <c r="CA247" i="431"/>
  <c r="CA228" i="431"/>
  <c r="CA235" i="431"/>
  <c r="DD225" i="431"/>
  <c r="DD227" i="431" s="1"/>
  <c r="DD222" i="431"/>
  <c r="DD234" i="431"/>
  <c r="DI222" i="431"/>
  <c r="CS110" i="431"/>
  <c r="BT227" i="431"/>
  <c r="BR226" i="431"/>
  <c r="BS322" i="431"/>
  <c r="BS222" i="431"/>
  <c r="BS295" i="431"/>
  <c r="BS324" i="431"/>
  <c r="BS356" i="431"/>
  <c r="BS320" i="431"/>
  <c r="BS225" i="431"/>
  <c r="BS226" i="431" s="1"/>
  <c r="BS234" i="431"/>
  <c r="AF225" i="431"/>
  <c r="AF222" i="431"/>
  <c r="AF234" i="431"/>
  <c r="AK222" i="431"/>
  <c r="DY266" i="431"/>
  <c r="DY284" i="431" s="1"/>
  <c r="DY291" i="431" s="1"/>
  <c r="DY372" i="431"/>
  <c r="DY253" i="431"/>
  <c r="EA108" i="431"/>
  <c r="CV110" i="431"/>
  <c r="DI129" i="431"/>
  <c r="DD125" i="431"/>
  <c r="DI125" i="431"/>
  <c r="DK110" i="431"/>
  <c r="DK113" i="431" s="1"/>
  <c r="CS111" i="431"/>
  <c r="CQ111" i="431"/>
  <c r="CZ113" i="431"/>
  <c r="BK226" i="431"/>
  <c r="BP226" i="431"/>
  <c r="AO222" i="431"/>
  <c r="AO225" i="431"/>
  <c r="EA114" i="431"/>
  <c r="BC371" i="431"/>
  <c r="BC248" i="431"/>
  <c r="BC250" i="431"/>
  <c r="DI110" i="431"/>
  <c r="DY251" i="431"/>
  <c r="CK111" i="431"/>
  <c r="DL125" i="431"/>
  <c r="AC234" i="431"/>
  <c r="AC225" i="431"/>
  <c r="AH222" i="431"/>
  <c r="AC222" i="431"/>
  <c r="CI222" i="431"/>
  <c r="CN222" i="431"/>
  <c r="CI234" i="431"/>
  <c r="CI225" i="431"/>
  <c r="CQ129" i="431"/>
  <c r="CQ128" i="431" s="1"/>
  <c r="CQ123" i="431" s="1"/>
  <c r="BG227" i="431"/>
  <c r="BF226" i="431"/>
  <c r="BF227" i="431"/>
  <c r="CN125" i="431"/>
  <c r="CS129" i="431"/>
  <c r="BL226" i="431"/>
  <c r="BL227" i="431"/>
  <c r="BM227" i="431"/>
  <c r="V234" i="431"/>
  <c r="V225" i="431"/>
  <c r="V227" i="431" s="1"/>
  <c r="AA222" i="431"/>
  <c r="V222" i="431"/>
  <c r="CA226" i="431"/>
  <c r="CX222" i="431"/>
  <c r="CX225" i="431"/>
  <c r="DC226" i="431" s="1"/>
  <c r="DB221" i="431"/>
  <c r="CX234" i="431"/>
  <c r="DC235" i="431" s="1"/>
  <c r="X222" i="431"/>
  <c r="X225" i="431"/>
  <c r="X227" i="431" s="1"/>
  <c r="X234" i="431"/>
  <c r="EL129" i="431"/>
  <c r="EP129" i="431" s="1"/>
  <c r="EP128" i="431" s="1"/>
  <c r="EP123" i="431" s="1"/>
  <c r="CV129" i="431"/>
  <c r="CV128" i="431" s="1"/>
  <c r="CV123" i="431" s="1"/>
  <c r="DW125" i="431"/>
  <c r="BF228" i="431"/>
  <c r="BF235" i="431"/>
  <c r="BF247" i="431"/>
  <c r="BF370" i="431"/>
  <c r="BF236" i="431"/>
  <c r="DS113" i="431"/>
  <c r="BY225" i="431"/>
  <c r="CD222" i="431"/>
  <c r="BY234" i="431"/>
  <c r="CC234" i="431" s="1"/>
  <c r="BY222" i="431"/>
  <c r="AX247" i="431"/>
  <c r="AX370" i="431"/>
  <c r="AX236" i="431"/>
  <c r="AX237" i="431" s="1"/>
  <c r="AX228" i="431"/>
  <c r="AX235" i="431"/>
  <c r="DC125" i="431"/>
  <c r="DC129" i="431"/>
  <c r="DE111" i="431"/>
  <c r="DD111" i="431"/>
  <c r="BJ228" i="431"/>
  <c r="BJ236" i="431"/>
  <c r="BJ370" i="431"/>
  <c r="BJ235" i="431"/>
  <c r="BJ247" i="431"/>
  <c r="AV248" i="431"/>
  <c r="AV371" i="431"/>
  <c r="AV250" i="431"/>
  <c r="CC60" i="431"/>
  <c r="CC96" i="431"/>
  <c r="CH136" i="431"/>
  <c r="CC82" i="431"/>
  <c r="CC51" i="431"/>
  <c r="BK227" i="431"/>
  <c r="BJ227" i="431"/>
  <c r="BJ226" i="431"/>
  <c r="BA237" i="431"/>
  <c r="FQ126" i="431"/>
  <c r="AT108" i="431"/>
  <c r="EZ97" i="431"/>
  <c r="EZ98" i="431" s="1"/>
  <c r="DF111" i="431"/>
  <c r="DH111" i="431"/>
  <c r="AW234" i="431"/>
  <c r="BB228" i="431" s="1"/>
  <c r="AW222" i="431"/>
  <c r="AW225" i="431"/>
  <c r="BB226" i="431" s="1"/>
  <c r="BD108" i="431"/>
  <c r="AP225" i="431"/>
  <c r="AU226" i="431" s="1"/>
  <c r="AP234" i="431"/>
  <c r="AU228" i="431" s="1"/>
  <c r="AP222" i="431"/>
  <c r="DG51" i="431"/>
  <c r="DL136" i="431"/>
  <c r="DG136" i="431"/>
  <c r="DG60" i="431"/>
  <c r="DG82" i="431"/>
  <c r="DG221" i="431"/>
  <c r="DG96" i="431"/>
  <c r="AX226" i="431"/>
  <c r="AZ227" i="431"/>
  <c r="BR247" i="431"/>
  <c r="BR236" i="431"/>
  <c r="BR237" i="431" s="1"/>
  <c r="BR370" i="431"/>
  <c r="BR235" i="431"/>
  <c r="BR228" i="431"/>
  <c r="DB82" i="431"/>
  <c r="DB60" i="431"/>
  <c r="DB51" i="431"/>
  <c r="DB136" i="431"/>
  <c r="DB96" i="431"/>
  <c r="EU380" i="431"/>
  <c r="EU379" i="431"/>
  <c r="EU377" i="431"/>
  <c r="DO230" i="431"/>
  <c r="DO233" i="431"/>
  <c r="DT230" i="431"/>
  <c r="DU236" i="431"/>
  <c r="DV236" i="431" s="1"/>
  <c r="DU232" i="431"/>
  <c r="DU229" i="431"/>
  <c r="DU228" i="431"/>
  <c r="DU370" i="431"/>
  <c r="DU235" i="431"/>
  <c r="DU247" i="431"/>
  <c r="DV247" i="431" s="1"/>
  <c r="DV234" i="431"/>
  <c r="DV356" i="431"/>
  <c r="DV362" i="431" s="1"/>
  <c r="DV222" i="431"/>
  <c r="DV295" i="431"/>
  <c r="DV322" i="431"/>
  <c r="DU322" i="431" s="1"/>
  <c r="DV320" i="431"/>
  <c r="DU320" i="431" s="1"/>
  <c r="DV324" i="431"/>
  <c r="DU324" i="431" s="1"/>
  <c r="J7" i="455"/>
  <c r="BU372" i="431"/>
  <c r="BU253" i="431"/>
  <c r="BU266" i="431"/>
  <c r="CQ226" i="431"/>
  <c r="T235" i="431"/>
  <c r="T236" i="431"/>
  <c r="Y235" i="431"/>
  <c r="Y228" i="431"/>
  <c r="T370" i="431"/>
  <c r="T247" i="431"/>
  <c r="T228" i="431"/>
  <c r="EB128" i="431"/>
  <c r="EB123" i="431" s="1"/>
  <c r="EB113" i="431" s="1"/>
  <c r="EF129" i="431"/>
  <c r="EF128" i="431" s="1"/>
  <c r="EF123" i="431" s="1"/>
  <c r="CU253" i="431"/>
  <c r="CU268" i="431" s="1"/>
  <c r="EZ13" i="431"/>
  <c r="EZ374" i="431" s="1"/>
  <c r="CH127" i="431"/>
  <c r="DR231" i="431"/>
  <c r="DR233" i="431"/>
  <c r="M235" i="431"/>
  <c r="M228" i="431"/>
  <c r="M247" i="431"/>
  <c r="M370" i="431"/>
  <c r="M236" i="431"/>
  <c r="DL370" i="431"/>
  <c r="H10" i="455"/>
  <c r="DL229" i="431"/>
  <c r="DL357" i="431"/>
  <c r="DF227" i="431"/>
  <c r="DH227" i="431"/>
  <c r="DF226" i="431"/>
  <c r="DX237" i="431"/>
  <c r="BS108" i="431"/>
  <c r="R226" i="431"/>
  <c r="R227" i="431"/>
  <c r="S227" i="431"/>
  <c r="EH233" i="431"/>
  <c r="EI231" i="431"/>
  <c r="EH230" i="431"/>
  <c r="DA125" i="431"/>
  <c r="CV125" i="431"/>
  <c r="DA129" i="431"/>
  <c r="DA128" i="431" s="1"/>
  <c r="DA123" i="431" s="1"/>
  <c r="DA113" i="431" s="1"/>
  <c r="DF247" i="431"/>
  <c r="DF370" i="431"/>
  <c r="DF236" i="431"/>
  <c r="DF237" i="431" s="1"/>
  <c r="DF229" i="431"/>
  <c r="DK230" i="431" s="1"/>
  <c r="DF232" i="431"/>
  <c r="DF228" i="431"/>
  <c r="DF235" i="431"/>
  <c r="CG226" i="431"/>
  <c r="CD227" i="431"/>
  <c r="BX82" i="431"/>
  <c r="BX96" i="431"/>
  <c r="BX51" i="431"/>
  <c r="CC136" i="431"/>
  <c r="BX136" i="431"/>
  <c r="BX60" i="431"/>
  <c r="EL225" i="431"/>
  <c r="DO250" i="431"/>
  <c r="DO248" i="431"/>
  <c r="DO265" i="431" s="1"/>
  <c r="DO267" i="431" s="1"/>
  <c r="DO371" i="431"/>
  <c r="AB371" i="431"/>
  <c r="AB248" i="431"/>
  <c r="AB250" i="431"/>
  <c r="W226" i="431"/>
  <c r="U224" i="431"/>
  <c r="U225" i="431"/>
  <c r="Z226" i="431" s="1"/>
  <c r="U234" i="431"/>
  <c r="BZ228" i="431"/>
  <c r="BZ247" i="431"/>
  <c r="BZ236" i="431"/>
  <c r="BZ235" i="431"/>
  <c r="BZ370" i="431"/>
  <c r="AU227" i="431"/>
  <c r="AV227" i="431"/>
  <c r="AZ226" i="431"/>
  <c r="N235" i="431"/>
  <c r="N236" i="431"/>
  <c r="N247" i="431"/>
  <c r="S228" i="431"/>
  <c r="N370" i="431"/>
  <c r="N228" i="431"/>
  <c r="S235" i="431"/>
  <c r="EJ232" i="431"/>
  <c r="EJ247" i="431"/>
  <c r="EJ229" i="431"/>
  <c r="EJ236" i="431"/>
  <c r="EJ228" i="431"/>
  <c r="EJ235" i="431"/>
  <c r="CO125" i="431"/>
  <c r="CO129" i="431"/>
  <c r="CJ125" i="431"/>
  <c r="DK226" i="431"/>
  <c r="DP237" i="431"/>
  <c r="DS371" i="431"/>
  <c r="DS250" i="431"/>
  <c r="DS248" i="431"/>
  <c r="DS265" i="431" s="1"/>
  <c r="DS267" i="431" s="1"/>
  <c r="DK250" i="431"/>
  <c r="DK371" i="431"/>
  <c r="DK248" i="431"/>
  <c r="DK265" i="431" s="1"/>
  <c r="EG110" i="431"/>
  <c r="CC225" i="431"/>
  <c r="EH237" i="431"/>
  <c r="DL236" i="431"/>
  <c r="BW222" i="431"/>
  <c r="BW225" i="431"/>
  <c r="CB226" i="431" s="1"/>
  <c r="BW234" i="431"/>
  <c r="CB228" i="431" s="1"/>
  <c r="BX221" i="431"/>
  <c r="P222" i="431"/>
  <c r="U222" i="431"/>
  <c r="P234" i="431"/>
  <c r="T226" i="431"/>
  <c r="Y226" i="431"/>
  <c r="T227" i="431"/>
  <c r="CG235" i="431"/>
  <c r="CB370" i="431"/>
  <c r="CB247" i="431"/>
  <c r="CB236" i="431"/>
  <c r="CG228" i="431"/>
  <c r="DS233" i="431"/>
  <c r="DS231" i="431"/>
  <c r="DT231" i="431"/>
  <c r="DX230" i="431"/>
  <c r="EB111" i="431"/>
  <c r="EC111" i="431"/>
  <c r="DH235" i="431"/>
  <c r="DC247" i="431"/>
  <c r="DC236" i="431"/>
  <c r="DC370" i="431"/>
  <c r="DC229" i="431"/>
  <c r="DH228" i="431"/>
  <c r="DH232" i="431"/>
  <c r="DK233" i="431"/>
  <c r="DK231" i="431"/>
  <c r="DU226" i="431"/>
  <c r="DU227" i="431"/>
  <c r="DO237" i="431"/>
  <c r="DT237" i="431"/>
  <c r="W236" i="431"/>
  <c r="AB237" i="431" s="1"/>
  <c r="W228" i="431"/>
  <c r="W370" i="431"/>
  <c r="W247" i="431"/>
  <c r="W235" i="431"/>
  <c r="CJ234" i="431"/>
  <c r="CJ225" i="431"/>
  <c r="CJ222" i="431"/>
  <c r="CM221" i="431"/>
  <c r="CO222" i="431"/>
  <c r="BZ226" i="431"/>
  <c r="CA227" i="431"/>
  <c r="DH226" i="431"/>
  <c r="DC227" i="431"/>
  <c r="DM229" i="431"/>
  <c r="DM247" i="431"/>
  <c r="DM228" i="431"/>
  <c r="DM370" i="431"/>
  <c r="DM236" i="431"/>
  <c r="DR237" i="431" s="1"/>
  <c r="DM232" i="431"/>
  <c r="DM235" i="431"/>
  <c r="I227" i="431"/>
  <c r="I226" i="431"/>
  <c r="CL227" i="431"/>
  <c r="EH371" i="431"/>
  <c r="EH248" i="431"/>
  <c r="EH250" i="431"/>
  <c r="FP115" i="431"/>
  <c r="FQ115" i="431"/>
  <c r="DK228" i="431"/>
  <c r="AL227" i="431"/>
  <c r="AL226" i="431"/>
  <c r="CN233" i="431"/>
  <c r="CN231" i="431"/>
  <c r="BQ226" i="431"/>
  <c r="BV226" i="431"/>
  <c r="BQ227" i="431"/>
  <c r="BR227" i="431"/>
  <c r="AE225" i="431"/>
  <c r="AJ222" i="431"/>
  <c r="AE234" i="431"/>
  <c r="Z224" i="431"/>
  <c r="DM125" i="431"/>
  <c r="DR129" i="431"/>
  <c r="DR125" i="431"/>
  <c r="EJ227" i="431"/>
  <c r="EJ226" i="431"/>
  <c r="CW11" i="434"/>
  <c r="EA320" i="431"/>
  <c r="DZ320" i="431" s="1"/>
  <c r="EA324" i="431"/>
  <c r="DZ324" i="431" s="1"/>
  <c r="EA234" i="431"/>
  <c r="K7" i="455"/>
  <c r="EA225" i="431"/>
  <c r="EA356" i="431"/>
  <c r="EA362" i="431" s="1"/>
  <c r="EA295" i="431"/>
  <c r="EA222" i="431"/>
  <c r="EA322" i="431"/>
  <c r="DZ322" i="431" s="1"/>
  <c r="N227" i="431"/>
  <c r="S226" i="431"/>
  <c r="N226" i="431"/>
  <c r="AM250" i="431"/>
  <c r="AM371" i="431"/>
  <c r="AM248" i="431"/>
  <c r="P224" i="431"/>
  <c r="P225" i="431"/>
  <c r="P226" i="431" s="1"/>
  <c r="EL222" i="431"/>
  <c r="EL234" i="431"/>
  <c r="FN234" i="431" s="1"/>
  <c r="AJ108" i="431"/>
  <c r="AY108" i="431"/>
  <c r="BB370" i="431"/>
  <c r="BG228" i="431"/>
  <c r="BG235" i="431"/>
  <c r="BB247" i="431"/>
  <c r="BB236" i="431"/>
  <c r="DA233" i="431"/>
  <c r="DR250" i="431"/>
  <c r="DR371" i="431"/>
  <c r="DR248" i="431"/>
  <c r="DR265" i="431" s="1"/>
  <c r="CK129" i="431"/>
  <c r="CF125" i="431"/>
  <c r="J227" i="431"/>
  <c r="J226" i="431"/>
  <c r="CX128" i="431"/>
  <c r="CX123" i="431" s="1"/>
  <c r="CX113" i="431" s="1"/>
  <c r="CD253" i="431"/>
  <c r="CD266" i="431"/>
  <c r="CD372" i="431"/>
  <c r="BI222" i="431"/>
  <c r="BI295" i="431"/>
  <c r="BI322" i="431"/>
  <c r="BI356" i="431"/>
  <c r="BN222" i="431"/>
  <c r="BI234" i="431"/>
  <c r="BI320" i="431"/>
  <c r="BI324" i="431"/>
  <c r="BI225" i="431"/>
  <c r="DN227" i="431"/>
  <c r="DM226" i="431"/>
  <c r="DM227" i="431"/>
  <c r="I236" i="431"/>
  <c r="I235" i="431"/>
  <c r="I228" i="431"/>
  <c r="I247" i="431"/>
  <c r="CK236" i="431"/>
  <c r="CK247" i="431"/>
  <c r="CK370" i="431"/>
  <c r="CK229" i="431"/>
  <c r="DT129" i="431"/>
  <c r="DT128" i="431" s="1"/>
  <c r="DT123" i="431" s="1"/>
  <c r="DT113" i="431" s="1"/>
  <c r="DM128" i="431"/>
  <c r="DM123" i="431" s="1"/>
  <c r="DM113" i="431" s="1"/>
  <c r="CO110" i="431"/>
  <c r="DA248" i="431"/>
  <c r="DA265" i="431" s="1"/>
  <c r="DA267" i="431" s="1"/>
  <c r="DA371" i="431"/>
  <c r="DA250" i="431"/>
  <c r="M226" i="431"/>
  <c r="O371" i="431"/>
  <c r="O250" i="431"/>
  <c r="O248" i="431"/>
  <c r="CP226" i="431"/>
  <c r="CU226" i="431"/>
  <c r="L234" i="431"/>
  <c r="L222" i="431"/>
  <c r="Q222" i="431"/>
  <c r="L225" i="431"/>
  <c r="CM82" i="431"/>
  <c r="CM60" i="431"/>
  <c r="CM136" i="431"/>
  <c r="CM96" i="431"/>
  <c r="CM51" i="431"/>
  <c r="K370" i="431"/>
  <c r="DW237" i="431"/>
  <c r="AU236" i="431"/>
  <c r="AU370" i="431"/>
  <c r="AU235" i="431"/>
  <c r="AZ228" i="431"/>
  <c r="AU247" i="431"/>
  <c r="AZ235" i="431"/>
  <c r="R236" i="431"/>
  <c r="R370" i="431"/>
  <c r="R228" i="431"/>
  <c r="R247" i="431"/>
  <c r="R235" i="431"/>
  <c r="DW233" i="431"/>
  <c r="DW230" i="431"/>
  <c r="DX231" i="431"/>
  <c r="CV111" i="431"/>
  <c r="CX111" i="431"/>
  <c r="DP250" i="431"/>
  <c r="DP371" i="431"/>
  <c r="DP248" i="431"/>
  <c r="DP265" i="431" s="1"/>
  <c r="DP267" i="431" s="1"/>
  <c r="EU375" i="431"/>
  <c r="BQ235" i="431"/>
  <c r="BQ370" i="431"/>
  <c r="BV235" i="431"/>
  <c r="BQ228" i="431"/>
  <c r="BQ236" i="431"/>
  <c r="BQ247" i="431"/>
  <c r="EB125" i="431"/>
  <c r="EG129" i="431"/>
  <c r="EG125" i="431"/>
  <c r="BG226" i="431"/>
  <c r="BC227" i="431"/>
  <c r="DQ320" i="431"/>
  <c r="DQ222" i="431"/>
  <c r="I7" i="455"/>
  <c r="DQ324" i="431"/>
  <c r="DQ356" i="431"/>
  <c r="DQ362" i="431" s="1"/>
  <c r="DQ225" i="431"/>
  <c r="DQ226" i="431" s="1"/>
  <c r="DQ234" i="431"/>
  <c r="DQ322" i="431"/>
  <c r="DQ295" i="431"/>
  <c r="O227" i="431"/>
  <c r="DW248" i="431"/>
  <c r="DW265" i="431" s="1"/>
  <c r="DW250" i="431"/>
  <c r="DW371" i="431"/>
  <c r="J236" i="431"/>
  <c r="J237" i="431" s="1"/>
  <c r="J247" i="431"/>
  <c r="J228" i="431"/>
  <c r="J235" i="431"/>
  <c r="CP370" i="431"/>
  <c r="CP229" i="431"/>
  <c r="CP247" i="431"/>
  <c r="CP235" i="431"/>
  <c r="CP236" i="431"/>
  <c r="CP232" i="431"/>
  <c r="CP228" i="431"/>
  <c r="CU235" i="431"/>
  <c r="CU228" i="431"/>
  <c r="CU232" i="431"/>
  <c r="CH129" i="431"/>
  <c r="CH128" i="431" s="1"/>
  <c r="CH123" i="431" s="1"/>
  <c r="DK232" i="431"/>
  <c r="DT125" i="431"/>
  <c r="DY129" i="431"/>
  <c r="DY128" i="431" s="1"/>
  <c r="DY123" i="431" s="1"/>
  <c r="DY125" i="431"/>
  <c r="AQ235" i="431"/>
  <c r="AL370" i="431"/>
  <c r="AL247" i="431"/>
  <c r="AL235" i="431"/>
  <c r="AL236" i="431"/>
  <c r="AL228" i="431"/>
  <c r="AR237" i="431"/>
  <c r="CN250" i="431"/>
  <c r="CN371" i="431"/>
  <c r="CN248" i="431"/>
  <c r="CQ228" i="431"/>
  <c r="CQ247" i="431"/>
  <c r="DW227" i="431"/>
  <c r="DP230" i="431"/>
  <c r="DP233" i="431"/>
  <c r="DP231" i="431"/>
  <c r="F248" i="431"/>
  <c r="DG127" i="431"/>
  <c r="DB127" i="431"/>
  <c r="EL203" i="431"/>
  <c r="CR127" i="431"/>
  <c r="AO108" i="431"/>
  <c r="CH124" i="431"/>
  <c r="CH108" i="431"/>
  <c r="BI108" i="431"/>
  <c r="CM124" i="431"/>
  <c r="CM109" i="431"/>
  <c r="CM108" i="431"/>
  <c r="CR114" i="431"/>
  <c r="EK108" i="431"/>
  <c r="EK124" i="431"/>
  <c r="CC124" i="431"/>
  <c r="CC108" i="431"/>
  <c r="AE108" i="431"/>
  <c r="EU376" i="431"/>
  <c r="FP69" i="431"/>
  <c r="CR124" i="431"/>
  <c r="CR109" i="431"/>
  <c r="CR108" i="431"/>
  <c r="CW114" i="431"/>
  <c r="CW110" i="431" s="1"/>
  <c r="DG108" i="431"/>
  <c r="DG114" i="431"/>
  <c r="DB108" i="431"/>
  <c r="DB110" i="431" s="1"/>
  <c r="DB124" i="431"/>
  <c r="DB109" i="431"/>
  <c r="Z108" i="431"/>
  <c r="BX108" i="431"/>
  <c r="EF124" i="431"/>
  <c r="EF125" i="431" s="1"/>
  <c r="EF108" i="431"/>
  <c r="EF110" i="431" s="1"/>
  <c r="EK114" i="431"/>
  <c r="EK127" i="431"/>
  <c r="D47" i="435"/>
  <c r="A59" i="435"/>
  <c r="D64" i="435"/>
  <c r="A76" i="435"/>
  <c r="D37" i="435"/>
  <c r="A49" i="435"/>
  <c r="A482" i="435"/>
  <c r="A534" i="435" s="1"/>
  <c r="A467" i="435"/>
  <c r="A519" i="435" s="1"/>
  <c r="A387" i="435"/>
  <c r="A470" i="435"/>
  <c r="A522" i="435" s="1"/>
  <c r="A58" i="435"/>
  <c r="D46" i="435"/>
  <c r="A56" i="435"/>
  <c r="D44" i="435"/>
  <c r="M15" i="435"/>
  <c r="D84" i="435"/>
  <c r="A96" i="435"/>
  <c r="A67" i="435"/>
  <c r="D55" i="435"/>
  <c r="A402" i="435"/>
  <c r="D89" i="435"/>
  <c r="A101" i="435"/>
  <c r="L10" i="435"/>
  <c r="AF15" i="435" s="1"/>
  <c r="M9" i="435"/>
  <c r="N4" i="435"/>
  <c r="M5" i="435"/>
  <c r="A462" i="435"/>
  <c r="A514" i="435" s="1"/>
  <c r="C180" i="435"/>
  <c r="B179" i="435"/>
  <c r="D179" i="435" s="1"/>
  <c r="A66" i="435"/>
  <c r="D54" i="435"/>
  <c r="A442" i="435"/>
  <c r="D38" i="435"/>
  <c r="A50" i="435"/>
  <c r="A93" i="435"/>
  <c r="D81" i="435"/>
  <c r="L26" i="435"/>
  <c r="AF31" i="435" s="1"/>
  <c r="M25" i="435"/>
  <c r="L27" i="435"/>
  <c r="AF32" i="435" s="1"/>
  <c r="CM278" i="431" s="1"/>
  <c r="CM279" i="431" s="1"/>
  <c r="CM280" i="431" s="1"/>
  <c r="A413" i="435"/>
  <c r="A87" i="435"/>
  <c r="D75" i="435"/>
  <c r="A436" i="435"/>
  <c r="FP30" i="431"/>
  <c r="FP219" i="431"/>
  <c r="FP31" i="431"/>
  <c r="FQ186" i="431"/>
  <c r="FP186" i="431"/>
  <c r="FP185" i="431"/>
  <c r="FQ185" i="431"/>
  <c r="FQ187" i="431"/>
  <c r="FP187" i="431"/>
  <c r="FP88" i="431"/>
  <c r="FQ88" i="431"/>
  <c r="FP87" i="431"/>
  <c r="FQ87" i="431"/>
  <c r="FQ86" i="431"/>
  <c r="FP86" i="431"/>
  <c r="FQ27" i="431"/>
  <c r="FP27" i="431"/>
  <c r="FP15" i="431"/>
  <c r="FQ15" i="431"/>
  <c r="FP197" i="431"/>
  <c r="FQ197" i="431"/>
  <c r="FQ171" i="431"/>
  <c r="FP171" i="431"/>
  <c r="FQ199" i="431"/>
  <c r="FP199" i="431"/>
  <c r="FP146" i="431"/>
  <c r="FQ146" i="431"/>
  <c r="FQ206" i="431"/>
  <c r="FP206" i="431"/>
  <c r="FQ16" i="431"/>
  <c r="FP16" i="431"/>
  <c r="FQ205" i="431"/>
  <c r="FP205" i="431"/>
  <c r="FQ34" i="431"/>
  <c r="FP34" i="431"/>
  <c r="EL109" i="431"/>
  <c r="EL108" i="431"/>
  <c r="EL124" i="431"/>
  <c r="FP144" i="431"/>
  <c r="FQ144" i="431"/>
  <c r="FP173" i="431"/>
  <c r="FQ173" i="431"/>
  <c r="FQ145" i="431"/>
  <c r="FP145" i="431"/>
  <c r="FP223" i="431"/>
  <c r="FQ223" i="431"/>
  <c r="FQ204" i="431"/>
  <c r="FP204" i="431"/>
  <c r="FQ33" i="431"/>
  <c r="FP33" i="431"/>
  <c r="FP106" i="431"/>
  <c r="FQ106" i="431"/>
  <c r="FQ127" i="431"/>
  <c r="FP127" i="431"/>
  <c r="FQ224" i="431"/>
  <c r="FP224" i="431"/>
  <c r="FQ198" i="431"/>
  <c r="FP198" i="431"/>
  <c r="FQ32" i="431"/>
  <c r="FP32" i="431"/>
  <c r="FQ172" i="431"/>
  <c r="FP172" i="431"/>
  <c r="FP105" i="431"/>
  <c r="FQ105" i="431"/>
  <c r="G906" i="433"/>
  <c r="A10" i="434"/>
  <c r="B10" i="434" s="1"/>
  <c r="E11" i="434"/>
  <c r="A8" i="433"/>
  <c r="B8" i="433" s="1"/>
  <c r="E9" i="433"/>
  <c r="C7" i="434"/>
  <c r="D8" i="434"/>
  <c r="FQ57" i="431"/>
  <c r="FP57" i="431"/>
  <c r="FP65" i="431"/>
  <c r="FQ65" i="431"/>
  <c r="EZ62" i="431"/>
  <c r="EZ84" i="431"/>
  <c r="FP55" i="431"/>
  <c r="FQ55" i="431"/>
  <c r="D9" i="433"/>
  <c r="C8" i="433"/>
  <c r="FQ64" i="431"/>
  <c r="FP64" i="431"/>
  <c r="FQ222" i="431"/>
  <c r="L44" i="451"/>
  <c r="M21" i="451"/>
  <c r="CD41" i="451"/>
  <c r="L45" i="451"/>
  <c r="M29" i="451"/>
  <c r="M32" i="451"/>
  <c r="CD42" i="451"/>
  <c r="ES166" i="431"/>
  <c r="ET166" i="431" s="1"/>
  <c r="G910" i="434"/>
  <c r="O19" i="451"/>
  <c r="N30" i="451"/>
  <c r="FQ221" i="431"/>
  <c r="FP165" i="431"/>
  <c r="FQ165" i="431"/>
  <c r="FP56" i="431"/>
  <c r="FQ56" i="431"/>
  <c r="FP63" i="431"/>
  <c r="FQ63" i="431"/>
  <c r="FQ66" i="431"/>
  <c r="FP66" i="431"/>
  <c r="EQ226" i="431" l="1"/>
  <c r="FM226" i="431" s="1"/>
  <c r="FN225" i="431"/>
  <c r="FM231" i="431"/>
  <c r="EP295" i="431"/>
  <c r="EP320" i="431"/>
  <c r="EQ235" i="431"/>
  <c r="FM235" i="431" s="1"/>
  <c r="EQ232" i="431"/>
  <c r="FM232" i="431" s="1"/>
  <c r="EQ228" i="431"/>
  <c r="FM228" i="431" s="1"/>
  <c r="FP114" i="431"/>
  <c r="FK111" i="431"/>
  <c r="DT372" i="431"/>
  <c r="DT266" i="431"/>
  <c r="DT284" i="431" s="1"/>
  <c r="DT291" i="431" s="1"/>
  <c r="DT253" i="431"/>
  <c r="EB229" i="431"/>
  <c r="EB236" i="431"/>
  <c r="EB237" i="431" s="1"/>
  <c r="EB228" i="431"/>
  <c r="EB232" i="431"/>
  <c r="EB235" i="431"/>
  <c r="EB370" i="431"/>
  <c r="EB247" i="431"/>
  <c r="EC227" i="431"/>
  <c r="EB226" i="431"/>
  <c r="EJ237" i="431"/>
  <c r="EO237" i="431"/>
  <c r="EP234" i="431"/>
  <c r="EP225" i="431"/>
  <c r="EP222" i="431"/>
  <c r="EP108" i="431"/>
  <c r="EP110" i="431" s="1"/>
  <c r="EP113" i="431" s="1"/>
  <c r="EP124" i="431"/>
  <c r="EP125" i="431" s="1"/>
  <c r="EM111" i="431"/>
  <c r="FI111" i="431" s="1"/>
  <c r="EP109" i="431"/>
  <c r="FJ111" i="431"/>
  <c r="CZ237" i="431"/>
  <c r="EO231" i="431"/>
  <c r="EO233" i="431"/>
  <c r="EO230" i="431"/>
  <c r="FQ129" i="431"/>
  <c r="EO128" i="431"/>
  <c r="CQ235" i="431"/>
  <c r="CK226" i="431"/>
  <c r="CC356" i="431"/>
  <c r="Z222" i="431"/>
  <c r="CU266" i="431"/>
  <c r="CS227" i="431"/>
  <c r="BH237" i="431"/>
  <c r="AT222" i="431"/>
  <c r="BM235" i="431"/>
  <c r="CV235" i="431"/>
  <c r="CW225" i="431"/>
  <c r="CW295" i="431"/>
  <c r="CW322" i="431"/>
  <c r="DY113" i="431"/>
  <c r="CC222" i="431"/>
  <c r="CC324" i="431"/>
  <c r="CZ233" i="431"/>
  <c r="DE230" i="431"/>
  <c r="CZ230" i="431"/>
  <c r="BB235" i="431"/>
  <c r="CC322" i="431"/>
  <c r="DZ232" i="431"/>
  <c r="DJ266" i="431"/>
  <c r="DJ253" i="431"/>
  <c r="DJ254" i="431" s="1"/>
  <c r="DJ372" i="431"/>
  <c r="CY113" i="431"/>
  <c r="AQ247" i="431"/>
  <c r="AQ370" i="431"/>
  <c r="AQ236" i="431"/>
  <c r="AV237" i="431" s="1"/>
  <c r="AV235" i="431"/>
  <c r="AV228" i="431"/>
  <c r="CV113" i="431"/>
  <c r="DJ251" i="431"/>
  <c r="CZ250" i="431"/>
  <c r="CZ251" i="431" s="1"/>
  <c r="CZ248" i="431"/>
  <c r="CZ265" i="431" s="1"/>
  <c r="CZ267" i="431" s="1"/>
  <c r="CZ371" i="431"/>
  <c r="CF228" i="431"/>
  <c r="AG370" i="431"/>
  <c r="AG236" i="431"/>
  <c r="AG237" i="431" s="1"/>
  <c r="AG247" i="431"/>
  <c r="AG235" i="431"/>
  <c r="AG228" i="431"/>
  <c r="CW125" i="431"/>
  <c r="DC232" i="431"/>
  <c r="Z234" i="431"/>
  <c r="BO226" i="431"/>
  <c r="CF226" i="431"/>
  <c r="CR225" i="431"/>
  <c r="CW226" i="431" s="1"/>
  <c r="ED226" i="431"/>
  <c r="ED227" i="431"/>
  <c r="EE227" i="431"/>
  <c r="D248" i="431"/>
  <c r="D250" i="431"/>
  <c r="CC320" i="431"/>
  <c r="EF320" i="431"/>
  <c r="EE320" i="431" s="1"/>
  <c r="EF324" i="431"/>
  <c r="EF356" i="431"/>
  <c r="EF362" i="431" s="1"/>
  <c r="EF322" i="431"/>
  <c r="EF234" i="431"/>
  <c r="EF295" i="431"/>
  <c r="EF225" i="431"/>
  <c r="L7" i="455"/>
  <c r="CH222" i="431"/>
  <c r="CR356" i="431"/>
  <c r="DA231" i="431"/>
  <c r="AE222" i="431"/>
  <c r="DQ110" i="431"/>
  <c r="DQ109" i="431" s="1"/>
  <c r="ED232" i="431"/>
  <c r="ED235" i="431"/>
  <c r="ED229" i="431"/>
  <c r="ED370" i="431"/>
  <c r="ED247" i="431"/>
  <c r="ED236" i="431"/>
  <c r="EI237" i="431" s="1"/>
  <c r="ED228" i="431"/>
  <c r="AR227" i="431"/>
  <c r="AV226" i="431"/>
  <c r="ER92" i="431"/>
  <c r="ES92" i="431" s="1"/>
  <c r="ET92" i="431" s="1"/>
  <c r="EU92" i="431" s="1"/>
  <c r="ER90" i="431"/>
  <c r="ER93" i="431"/>
  <c r="EN231" i="431"/>
  <c r="CF370" i="431"/>
  <c r="CF247" i="431"/>
  <c r="CF236" i="431"/>
  <c r="CK237" i="431" s="1"/>
  <c r="EA125" i="431"/>
  <c r="CQ232" i="431"/>
  <c r="CF235" i="431"/>
  <c r="BH228" i="431"/>
  <c r="BH235" i="431"/>
  <c r="EU58" i="431"/>
  <c r="EU59" i="431" s="1"/>
  <c r="DE273" i="431"/>
  <c r="DE268" i="431"/>
  <c r="DX253" i="431"/>
  <c r="DY255" i="431" s="1"/>
  <c r="DX372" i="431"/>
  <c r="DX266" i="431"/>
  <c r="DX284" i="431" s="1"/>
  <c r="DX291" i="431" s="1"/>
  <c r="EU138" i="431"/>
  <c r="EQ141" i="431" s="1"/>
  <c r="BM266" i="431"/>
  <c r="BM372" i="431"/>
  <c r="BM253" i="431"/>
  <c r="EU174" i="431"/>
  <c r="CQ370" i="431"/>
  <c r="M237" i="431"/>
  <c r="CR234" i="431"/>
  <c r="CR357" i="431" s="1"/>
  <c r="CW234" i="431"/>
  <c r="CW357" i="431" s="1"/>
  <c r="EN237" i="431"/>
  <c r="EU167" i="431"/>
  <c r="EI113" i="431"/>
  <c r="BE248" i="431"/>
  <c r="BE371" i="431"/>
  <c r="BE250" i="431"/>
  <c r="EU200" i="431"/>
  <c r="EQ203" i="431" s="1"/>
  <c r="FM203" i="431" s="1"/>
  <c r="FQ203" i="431" s="1"/>
  <c r="CV232" i="431"/>
  <c r="CQ229" i="431"/>
  <c r="CK228" i="431"/>
  <c r="EE273" i="431"/>
  <c r="EE268" i="431"/>
  <c r="Q372" i="431"/>
  <c r="Q253" i="431"/>
  <c r="EU80" i="431"/>
  <c r="EU81" i="431" s="1"/>
  <c r="H250" i="431"/>
  <c r="H253" i="431" s="1"/>
  <c r="H248" i="431"/>
  <c r="CK235" i="431"/>
  <c r="CG250" i="431"/>
  <c r="CG248" i="431"/>
  <c r="CG371" i="431"/>
  <c r="EU181" i="431"/>
  <c r="EQ184" i="431" s="1"/>
  <c r="FM184" i="431" s="1"/>
  <c r="EN128" i="431"/>
  <c r="EN230" i="431"/>
  <c r="EN233" i="431"/>
  <c r="AY351" i="431"/>
  <c r="AY365" i="431" s="1"/>
  <c r="AY348" i="431"/>
  <c r="FE53" i="431"/>
  <c r="EA110" i="431"/>
  <c r="ER36" i="431"/>
  <c r="ER29" i="431"/>
  <c r="ES36" i="431"/>
  <c r="ES29" i="431"/>
  <c r="EZ18" i="431"/>
  <c r="EZ197" i="431"/>
  <c r="FE197" i="431" s="1"/>
  <c r="FE193" i="431" s="1"/>
  <c r="EZ80" i="431"/>
  <c r="ES91" i="431"/>
  <c r="ET91" i="431" s="1"/>
  <c r="EN170" i="431"/>
  <c r="EN177" i="431"/>
  <c r="ET271" i="431"/>
  <c r="ES272" i="431"/>
  <c r="EN184" i="431"/>
  <c r="EM251" i="431"/>
  <c r="EM230" i="431"/>
  <c r="EM233" i="431"/>
  <c r="EM128" i="431"/>
  <c r="EH265" i="431"/>
  <c r="EH267" i="431" s="1"/>
  <c r="EH123" i="431"/>
  <c r="FE241" i="431"/>
  <c r="EM184" i="431"/>
  <c r="EL184" i="431"/>
  <c r="EL226" i="431"/>
  <c r="FN226" i="431" s="1"/>
  <c r="EM227" i="431"/>
  <c r="EM170" i="431"/>
  <c r="EL177" i="431"/>
  <c r="EM177" i="431"/>
  <c r="AY362" i="431"/>
  <c r="CL372" i="431"/>
  <c r="CL266" i="431"/>
  <c r="CL253" i="431"/>
  <c r="CZ231" i="431"/>
  <c r="CY233" i="431"/>
  <c r="CY248" i="431"/>
  <c r="CY265" i="431" s="1"/>
  <c r="CY267" i="431" s="1"/>
  <c r="CY371" i="431"/>
  <c r="CY250" i="431"/>
  <c r="FE374" i="431"/>
  <c r="FE380" i="431"/>
  <c r="EL170" i="431"/>
  <c r="FE54" i="431"/>
  <c r="FE15" i="431"/>
  <c r="FE377" i="431"/>
  <c r="FE144" i="431"/>
  <c r="EZ99" i="431"/>
  <c r="FE376" i="431"/>
  <c r="FE375" i="431"/>
  <c r="FE378" i="431"/>
  <c r="FE105" i="431"/>
  <c r="FE379" i="431"/>
  <c r="EL247" i="431"/>
  <c r="FN247" i="431" s="1"/>
  <c r="F6" i="451"/>
  <c r="G15" i="451"/>
  <c r="G54" i="451" s="1"/>
  <c r="P6" i="451"/>
  <c r="O15" i="451"/>
  <c r="O54" i="451" s="1"/>
  <c r="C566" i="435"/>
  <c r="B565" i="435"/>
  <c r="D565" i="435" s="1"/>
  <c r="EZ144" i="431"/>
  <c r="O22" i="453"/>
  <c r="O37" i="453"/>
  <c r="O38" i="453"/>
  <c r="P38" i="451"/>
  <c r="P37" i="451"/>
  <c r="P22" i="451"/>
  <c r="N31" i="453"/>
  <c r="N25" i="453"/>
  <c r="CE41" i="453"/>
  <c r="CE42" i="453" s="1"/>
  <c r="N90" i="453"/>
  <c r="N91" i="453" s="1"/>
  <c r="M66" i="453"/>
  <c r="M68" i="453" s="1"/>
  <c r="N67" i="453"/>
  <c r="CP30" i="435"/>
  <c r="O24" i="453"/>
  <c r="M61" i="453"/>
  <c r="M62" i="453" s="1"/>
  <c r="Y371" i="431"/>
  <c r="Y248" i="431"/>
  <c r="Y250" i="431"/>
  <c r="S24" i="455"/>
  <c r="T4" i="455"/>
  <c r="N35" i="453"/>
  <c r="P89" i="453"/>
  <c r="P30" i="453"/>
  <c r="BP236" i="431"/>
  <c r="BU237" i="431" s="1"/>
  <c r="BP370" i="431"/>
  <c r="BP247" i="431"/>
  <c r="BU228" i="431"/>
  <c r="BU235" i="431"/>
  <c r="N21" i="435"/>
  <c r="O31" i="435" s="1"/>
  <c r="N22" i="435"/>
  <c r="O32" i="435" s="1"/>
  <c r="BV278" i="431" s="1"/>
  <c r="BV279" i="431" s="1"/>
  <c r="BV280" i="431" s="1"/>
  <c r="O20" i="435"/>
  <c r="AK250" i="431"/>
  <c r="AK371" i="431"/>
  <c r="AK248" i="431"/>
  <c r="EC266" i="431"/>
  <c r="EC284" i="431" s="1"/>
  <c r="EC291" i="431" s="1"/>
  <c r="EC372" i="431"/>
  <c r="EC253" i="431"/>
  <c r="EC251" i="431"/>
  <c r="BV253" i="431"/>
  <c r="BV372" i="431"/>
  <c r="BV266" i="431"/>
  <c r="AT330" i="431"/>
  <c r="AT348" i="431" s="1"/>
  <c r="DN237" i="431"/>
  <c r="FE26" i="431"/>
  <c r="BL237" i="431"/>
  <c r="DC228" i="431"/>
  <c r="FE63" i="431"/>
  <c r="FE62" i="431"/>
  <c r="FE99" i="431"/>
  <c r="FE98" i="431"/>
  <c r="W227" i="431"/>
  <c r="AS266" i="431"/>
  <c r="AS253" i="431"/>
  <c r="AS268" i="431" s="1"/>
  <c r="AS372" i="431"/>
  <c r="EC268" i="431"/>
  <c r="FP126" i="431"/>
  <c r="CP227" i="431"/>
  <c r="CR370" i="431"/>
  <c r="CR229" i="431"/>
  <c r="CR233" i="431" s="1"/>
  <c r="EL232" i="431"/>
  <c r="FN232" i="431" s="1"/>
  <c r="AA372" i="431"/>
  <c r="AA253" i="431"/>
  <c r="BT228" i="431"/>
  <c r="BO247" i="431"/>
  <c r="BO370" i="431"/>
  <c r="BO236" i="431"/>
  <c r="BT237" i="431" s="1"/>
  <c r="S372" i="431"/>
  <c r="S253" i="431"/>
  <c r="EG226" i="431"/>
  <c r="EG227" i="431"/>
  <c r="EH227" i="431"/>
  <c r="BS312" i="431"/>
  <c r="BS313" i="431" s="1"/>
  <c r="BN317" i="431"/>
  <c r="DN248" i="431"/>
  <c r="DN265" i="431" s="1"/>
  <c r="DN267" i="431" s="1"/>
  <c r="DN250" i="431"/>
  <c r="DN371" i="431"/>
  <c r="EL128" i="431"/>
  <c r="EL123" i="431" s="1"/>
  <c r="EL236" i="431"/>
  <c r="FN236" i="431" s="1"/>
  <c r="EL227" i="431"/>
  <c r="K235" i="431"/>
  <c r="BO228" i="431"/>
  <c r="BT235" i="431"/>
  <c r="BP227" i="431"/>
  <c r="BO227" i="431"/>
  <c r="CS230" i="431"/>
  <c r="CS233" i="431"/>
  <c r="BD330" i="431"/>
  <c r="BI318" i="431"/>
  <c r="BH317" i="431"/>
  <c r="BI325" i="431"/>
  <c r="BI326" i="431" s="1"/>
  <c r="BI330" i="431" s="1"/>
  <c r="BI355" i="431"/>
  <c r="BH250" i="431"/>
  <c r="BH371" i="431"/>
  <c r="BH248" i="431"/>
  <c r="CV227" i="431"/>
  <c r="DA226" i="431"/>
  <c r="CT226" i="431"/>
  <c r="CY226" i="431"/>
  <c r="CT227" i="431"/>
  <c r="CU227" i="431"/>
  <c r="EB227" i="431"/>
  <c r="DZ227" i="431"/>
  <c r="EE226" i="431"/>
  <c r="AT370" i="431"/>
  <c r="AY235" i="431"/>
  <c r="AY228" i="431"/>
  <c r="CV228" i="431"/>
  <c r="DS237" i="431"/>
  <c r="FP222" i="431"/>
  <c r="AH250" i="431"/>
  <c r="AH371" i="431"/>
  <c r="AH248" i="431"/>
  <c r="BG250" i="431"/>
  <c r="BG371" i="431"/>
  <c r="BG248" i="431"/>
  <c r="EE113" i="431"/>
  <c r="CH234" i="431"/>
  <c r="CE236" i="431"/>
  <c r="CE247" i="431"/>
  <c r="CE370" i="431"/>
  <c r="CE228" i="431"/>
  <c r="EI248" i="431"/>
  <c r="EI250" i="431"/>
  <c r="EI371" i="431"/>
  <c r="DI233" i="431"/>
  <c r="DJ231" i="431"/>
  <c r="DI231" i="431"/>
  <c r="CV236" i="431"/>
  <c r="DA237" i="431" s="1"/>
  <c r="CV247" i="431"/>
  <c r="CV370" i="431"/>
  <c r="CV229" i="431"/>
  <c r="CV230" i="431" s="1"/>
  <c r="DA235" i="431"/>
  <c r="DA228" i="431"/>
  <c r="DA232" i="431"/>
  <c r="BT250" i="431"/>
  <c r="BT248" i="431"/>
  <c r="BT371" i="431"/>
  <c r="CO236" i="431"/>
  <c r="CO370" i="431"/>
  <c r="CO247" i="431"/>
  <c r="CO229" i="431"/>
  <c r="CT247" i="431"/>
  <c r="CT236" i="431"/>
  <c r="CY237" i="431" s="1"/>
  <c r="CT370" i="431"/>
  <c r="CT229" i="431"/>
  <c r="CT228" i="431"/>
  <c r="CT232" i="431"/>
  <c r="CT235" i="431"/>
  <c r="CY228" i="431"/>
  <c r="CY232" i="431"/>
  <c r="CY235" i="431"/>
  <c r="M7" i="455"/>
  <c r="EK295" i="431"/>
  <c r="EK356" i="431"/>
  <c r="EK362" i="431" s="1"/>
  <c r="EK222" i="431"/>
  <c r="EK320" i="431"/>
  <c r="EU320" i="431" s="1"/>
  <c r="EZ320" i="431" s="1"/>
  <c r="FE320" i="431" s="1"/>
  <c r="EK234" i="431"/>
  <c r="EK225" i="431"/>
  <c r="EK226" i="431" s="1"/>
  <c r="DZ370" i="431"/>
  <c r="DZ236" i="431"/>
  <c r="DZ237" i="431" s="1"/>
  <c r="DZ247" i="431"/>
  <c r="DZ229" i="431"/>
  <c r="DZ230" i="431" s="1"/>
  <c r="EE235" i="431"/>
  <c r="EE228" i="431"/>
  <c r="EE232" i="431"/>
  <c r="DN233" i="431"/>
  <c r="DN230" i="431"/>
  <c r="EF113" i="431"/>
  <c r="O237" i="431"/>
  <c r="DZ226" i="431"/>
  <c r="CS371" i="431"/>
  <c r="CS250" i="431"/>
  <c r="CS251" i="431" s="1"/>
  <c r="CS248" i="431"/>
  <c r="CS265" i="431" s="1"/>
  <c r="CS237" i="431"/>
  <c r="CF227" i="431"/>
  <c r="CE227" i="431"/>
  <c r="AR372" i="431"/>
  <c r="AR266" i="431"/>
  <c r="AR253" i="431"/>
  <c r="AR268" i="431" s="1"/>
  <c r="BA372" i="431"/>
  <c r="BA253" i="431"/>
  <c r="BA268" i="431" s="1"/>
  <c r="BA266" i="431"/>
  <c r="DI371" i="431"/>
  <c r="DI250" i="431"/>
  <c r="DI248" i="431"/>
  <c r="DI265" i="431" s="1"/>
  <c r="DI267" i="431" s="1"/>
  <c r="AZ266" i="431"/>
  <c r="AZ253" i="431"/>
  <c r="AZ268" i="431" s="1"/>
  <c r="AZ372" i="431"/>
  <c r="EI233" i="431"/>
  <c r="EI230" i="431"/>
  <c r="EL228" i="431"/>
  <c r="FN228" i="431" s="1"/>
  <c r="U226" i="431"/>
  <c r="DZ228" i="431"/>
  <c r="DO231" i="431"/>
  <c r="BO235" i="431"/>
  <c r="BC237" i="431"/>
  <c r="EG236" i="431"/>
  <c r="EG247" i="431"/>
  <c r="EK247" i="431" s="1"/>
  <c r="EK371" i="431" s="1"/>
  <c r="EG228" i="431"/>
  <c r="EG370" i="431"/>
  <c r="EG235" i="431"/>
  <c r="EG232" i="431"/>
  <c r="EG229" i="431"/>
  <c r="BD357" i="431"/>
  <c r="BD235" i="431"/>
  <c r="BD370" i="431"/>
  <c r="BD228" i="431"/>
  <c r="CH295" i="431"/>
  <c r="CH322" i="431"/>
  <c r="CH320" i="431"/>
  <c r="CH356" i="431"/>
  <c r="CH324" i="431"/>
  <c r="CH225" i="431"/>
  <c r="CH226" i="431" s="1"/>
  <c r="DB295" i="431"/>
  <c r="F7" i="455"/>
  <c r="DB324" i="431"/>
  <c r="DB222" i="431"/>
  <c r="DB322" i="431"/>
  <c r="DB356" i="431"/>
  <c r="DB320" i="431"/>
  <c r="DB225" i="431"/>
  <c r="DB226" i="431" s="1"/>
  <c r="CX226" i="431"/>
  <c r="CY227" i="431"/>
  <c r="CX227" i="431"/>
  <c r="AH226" i="431"/>
  <c r="AD227" i="431"/>
  <c r="AC227" i="431"/>
  <c r="AC226" i="431"/>
  <c r="BA251" i="431"/>
  <c r="AV372" i="431"/>
  <c r="AV266" i="431"/>
  <c r="AV253" i="431"/>
  <c r="AV268" i="431" s="1"/>
  <c r="Y227" i="431"/>
  <c r="X226" i="431"/>
  <c r="CS128" i="431"/>
  <c r="CS123" i="431" s="1"/>
  <c r="CS113" i="431" s="1"/>
  <c r="CW129" i="431"/>
  <c r="CW128" i="431" s="1"/>
  <c r="CW123" i="431" s="1"/>
  <c r="CW113" i="431" s="1"/>
  <c r="AO370" i="431"/>
  <c r="AO228" i="431"/>
  <c r="AO235" i="431"/>
  <c r="AT235" i="431"/>
  <c r="AT228" i="431"/>
  <c r="BS357" i="431"/>
  <c r="BS235" i="431"/>
  <c r="BS228" i="431"/>
  <c r="BS370" i="431"/>
  <c r="AN226" i="431"/>
  <c r="AS226" i="431"/>
  <c r="AN227" i="431"/>
  <c r="BY370" i="431"/>
  <c r="BY247" i="431"/>
  <c r="CC247" i="431" s="1"/>
  <c r="BY236" i="431"/>
  <c r="CC236" i="431" s="1"/>
  <c r="BY235" i="431"/>
  <c r="BY228" i="431"/>
  <c r="CD228" i="431"/>
  <c r="CD235" i="431"/>
  <c r="BF250" i="431"/>
  <c r="BI247" i="431"/>
  <c r="BF371" i="431"/>
  <c r="BF248" i="431"/>
  <c r="DY273" i="431"/>
  <c r="DY268" i="431"/>
  <c r="AN370" i="431"/>
  <c r="AN236" i="431"/>
  <c r="AO236" i="431" s="1"/>
  <c r="AN235" i="431"/>
  <c r="AN247" i="431"/>
  <c r="AO247" i="431" s="1"/>
  <c r="AN228" i="431"/>
  <c r="AS235" i="431"/>
  <c r="AS228" i="431"/>
  <c r="BL371" i="431"/>
  <c r="BL250" i="431"/>
  <c r="BL248" i="431"/>
  <c r="CX228" i="431"/>
  <c r="CX235" i="431"/>
  <c r="CX232" i="431"/>
  <c r="CX247" i="431"/>
  <c r="CX370" i="431"/>
  <c r="DB234" i="431"/>
  <c r="CX229" i="431"/>
  <c r="DC230" i="431" s="1"/>
  <c r="CX236" i="431"/>
  <c r="DC237" i="431" s="1"/>
  <c r="AA226" i="431"/>
  <c r="V226" i="431"/>
  <c r="BC266" i="431"/>
  <c r="BC372" i="431"/>
  <c r="BC253" i="431"/>
  <c r="BC268" i="431" s="1"/>
  <c r="DI128" i="431"/>
  <c r="DI123" i="431" s="1"/>
  <c r="DI113" i="431" s="1"/>
  <c r="DL129" i="431"/>
  <c r="DL128" i="431" s="1"/>
  <c r="DL123" i="431" s="1"/>
  <c r="DL113" i="431" s="1"/>
  <c r="CA371" i="431"/>
  <c r="CA248" i="431"/>
  <c r="CA250" i="431"/>
  <c r="BK248" i="431"/>
  <c r="BK371" i="431"/>
  <c r="BK250" i="431"/>
  <c r="AW226" i="431"/>
  <c r="AX227" i="431"/>
  <c r="AW227" i="431"/>
  <c r="AP247" i="431"/>
  <c r="AP236" i="431"/>
  <c r="AU237" i="431" s="1"/>
  <c r="AP370" i="431"/>
  <c r="AP228" i="431"/>
  <c r="AP235" i="431"/>
  <c r="AC236" i="431"/>
  <c r="AC370" i="431"/>
  <c r="AC247" i="431"/>
  <c r="AH235" i="431"/>
  <c r="AH228" i="431"/>
  <c r="AC228" i="431"/>
  <c r="AC235" i="431"/>
  <c r="AF236" i="431"/>
  <c r="AF370" i="431"/>
  <c r="AF235" i="431"/>
  <c r="AK228" i="431"/>
  <c r="AK235" i="431"/>
  <c r="AF247" i="431"/>
  <c r="AF228" i="431"/>
  <c r="CA237" i="431"/>
  <c r="BK237" i="431"/>
  <c r="BJ371" i="431"/>
  <c r="BJ250" i="431"/>
  <c r="BJ248" i="431"/>
  <c r="BJ262" i="431" s="1"/>
  <c r="BN262" i="431" s="1"/>
  <c r="BN247" i="431"/>
  <c r="V370" i="431"/>
  <c r="V236" i="431"/>
  <c r="V235" i="431"/>
  <c r="V228" i="431"/>
  <c r="AA235" i="431"/>
  <c r="AA228" i="431"/>
  <c r="V247" i="431"/>
  <c r="DD228" i="431"/>
  <c r="DD235" i="431"/>
  <c r="DD229" i="431"/>
  <c r="DD231" i="431" s="1"/>
  <c r="DD232" i="431"/>
  <c r="DI228" i="431"/>
  <c r="DI235" i="431"/>
  <c r="DI232" i="431"/>
  <c r="DD370" i="431"/>
  <c r="DD236" i="431"/>
  <c r="DG236" i="431" s="1"/>
  <c r="DL237" i="431" s="1"/>
  <c r="DD247" i="431"/>
  <c r="DG247" i="431" s="1"/>
  <c r="DB129" i="431"/>
  <c r="DB128" i="431" s="1"/>
  <c r="DB123" i="431" s="1"/>
  <c r="DB113" i="431" s="1"/>
  <c r="DV226" i="431"/>
  <c r="DG222" i="431"/>
  <c r="G7" i="455"/>
  <c r="DG295" i="431"/>
  <c r="DG322" i="431"/>
  <c r="DG320" i="431"/>
  <c r="DG234" i="431"/>
  <c r="DL222" i="431"/>
  <c r="DG324" i="431"/>
  <c r="DG356" i="431"/>
  <c r="DG225" i="431"/>
  <c r="AP226" i="431"/>
  <c r="AP227" i="431"/>
  <c r="AQ227" i="431"/>
  <c r="AW370" i="431"/>
  <c r="AW236" i="431"/>
  <c r="AW237" i="431" s="1"/>
  <c r="AW228" i="431"/>
  <c r="AW247" i="431"/>
  <c r="AY247" i="431" s="1"/>
  <c r="AW235" i="431"/>
  <c r="BN236" i="431"/>
  <c r="BJ237" i="431"/>
  <c r="CI226" i="431"/>
  <c r="CI227" i="431"/>
  <c r="CN226" i="431"/>
  <c r="DD226" i="431"/>
  <c r="DI226" i="431"/>
  <c r="DE227" i="431"/>
  <c r="BY226" i="431"/>
  <c r="CD226" i="431"/>
  <c r="BZ227" i="431"/>
  <c r="DK237" i="431"/>
  <c r="BR371" i="431"/>
  <c r="BR248" i="431"/>
  <c r="BR250" i="431"/>
  <c r="DC128" i="431"/>
  <c r="DC123" i="431" s="1"/>
  <c r="DC113" i="431" s="1"/>
  <c r="DG129" i="431"/>
  <c r="DG128" i="431" s="1"/>
  <c r="DG123" i="431" s="1"/>
  <c r="AX250" i="431"/>
  <c r="BC251" i="431" s="1"/>
  <c r="AX371" i="431"/>
  <c r="AX248" i="431"/>
  <c r="BI236" i="431"/>
  <c r="BI360" i="431" s="1"/>
  <c r="BF237" i="431"/>
  <c r="X247" i="431"/>
  <c r="X236" i="431"/>
  <c r="X237" i="431" s="1"/>
  <c r="X228" i="431"/>
  <c r="X370" i="431"/>
  <c r="X235" i="431"/>
  <c r="CN232" i="431"/>
  <c r="CI370" i="431"/>
  <c r="CI228" i="431"/>
  <c r="CI229" i="431"/>
  <c r="CI232" i="431"/>
  <c r="CN235" i="431"/>
  <c r="CI236" i="431"/>
  <c r="CI235" i="431"/>
  <c r="CN228" i="431"/>
  <c r="CI247" i="431"/>
  <c r="AO226" i="431"/>
  <c r="AT226" i="431"/>
  <c r="AG227" i="431"/>
  <c r="AF227" i="431"/>
  <c r="AK226" i="431"/>
  <c r="AF226" i="431"/>
  <c r="EZ375" i="431"/>
  <c r="EZ380" i="431"/>
  <c r="EZ54" i="431"/>
  <c r="EZ378" i="431"/>
  <c r="EZ377" i="431"/>
  <c r="EZ63" i="431"/>
  <c r="EZ26" i="431"/>
  <c r="EZ85" i="431"/>
  <c r="EZ376" i="431"/>
  <c r="EZ105" i="431"/>
  <c r="EZ106" i="431" s="1"/>
  <c r="EZ117" i="431" s="1"/>
  <c r="EZ379" i="431"/>
  <c r="EZ15" i="431"/>
  <c r="EZ27" i="431" s="1"/>
  <c r="AZ237" i="431"/>
  <c r="DA372" i="431"/>
  <c r="DA253" i="431"/>
  <c r="DA268" i="431" s="1"/>
  <c r="DA266" i="431"/>
  <c r="DV358" i="431"/>
  <c r="DV371" i="431"/>
  <c r="DV250" i="431"/>
  <c r="DV248" i="431"/>
  <c r="AE226" i="431"/>
  <c r="AJ226" i="431"/>
  <c r="CJ226" i="431"/>
  <c r="CJ227" i="431"/>
  <c r="FI227" i="431" s="1"/>
  <c r="CO226" i="431"/>
  <c r="AL250" i="431"/>
  <c r="AL248" i="431"/>
  <c r="AL371" i="431"/>
  <c r="BQ237" i="431"/>
  <c r="BV237" i="431"/>
  <c r="U236" i="431"/>
  <c r="R237" i="431"/>
  <c r="I237" i="431"/>
  <c r="K236" i="431"/>
  <c r="K237" i="431" s="1"/>
  <c r="DS253" i="431"/>
  <c r="DS268" i="431" s="1"/>
  <c r="DS251" i="431"/>
  <c r="DS372" i="431"/>
  <c r="DS266" i="431"/>
  <c r="DS284" i="431" s="1"/>
  <c r="DS291" i="431" s="1"/>
  <c r="DX251" i="431"/>
  <c r="CP237" i="431"/>
  <c r="CU237" i="431"/>
  <c r="DR253" i="431"/>
  <c r="DR266" i="431"/>
  <c r="DR372" i="431"/>
  <c r="FQ116" i="431"/>
  <c r="FP116" i="431"/>
  <c r="DR128" i="431"/>
  <c r="DR123" i="431" s="1"/>
  <c r="DR113" i="431" s="1"/>
  <c r="DV129" i="431"/>
  <c r="DV128" i="431" s="1"/>
  <c r="DV123" i="431" s="1"/>
  <c r="DV113" i="431" s="1"/>
  <c r="W248" i="431"/>
  <c r="W250" i="431"/>
  <c r="AB251" i="431" s="1"/>
  <c r="W371" i="431"/>
  <c r="CO128" i="431"/>
  <c r="CO123" i="431" s="1"/>
  <c r="CR129" i="431"/>
  <c r="CR128" i="431" s="1"/>
  <c r="CR123" i="431" s="1"/>
  <c r="M371" i="431"/>
  <c r="M248" i="431"/>
  <c r="M250" i="431"/>
  <c r="EL229" i="431"/>
  <c r="FN229" i="431" s="1"/>
  <c r="EK125" i="431"/>
  <c r="CQ231" i="431"/>
  <c r="CQ233" i="431"/>
  <c r="CQ230" i="431"/>
  <c r="CS231" i="431"/>
  <c r="DW251" i="431"/>
  <c r="DW253" i="431"/>
  <c r="DW372" i="431"/>
  <c r="DW266" i="431"/>
  <c r="DQ370" i="431"/>
  <c r="DQ229" i="431"/>
  <c r="I10" i="455"/>
  <c r="DQ228" i="431"/>
  <c r="DQ235" i="431"/>
  <c r="DQ232" i="431"/>
  <c r="DQ357" i="431"/>
  <c r="AU371" i="431"/>
  <c r="AU250" i="431"/>
  <c r="AU248" i="431"/>
  <c r="L226" i="431"/>
  <c r="L227" i="431"/>
  <c r="Q226" i="431"/>
  <c r="O253" i="431"/>
  <c r="O372" i="431"/>
  <c r="CK248" i="431"/>
  <c r="CK371" i="431"/>
  <c r="CK250" i="431"/>
  <c r="DC371" i="431"/>
  <c r="DC248" i="431"/>
  <c r="DC250" i="431"/>
  <c r="CG237" i="431"/>
  <c r="N371" i="431"/>
  <c r="N250" i="431"/>
  <c r="N248" i="431"/>
  <c r="AB253" i="431"/>
  <c r="AB372" i="431"/>
  <c r="J20" i="455"/>
  <c r="J8" i="455"/>
  <c r="J21" i="455"/>
  <c r="DU250" i="431"/>
  <c r="DU248" i="431"/>
  <c r="DU265" i="431" s="1"/>
  <c r="DU267" i="431" s="1"/>
  <c r="DU371" i="431"/>
  <c r="DU237" i="431"/>
  <c r="J248" i="431"/>
  <c r="J250" i="431"/>
  <c r="BQ250" i="431"/>
  <c r="BQ371" i="431"/>
  <c r="BQ248" i="431"/>
  <c r="CK233" i="431"/>
  <c r="CL231" i="431"/>
  <c r="BB250" i="431"/>
  <c r="BB248" i="431"/>
  <c r="BB371" i="431"/>
  <c r="BD247" i="431"/>
  <c r="EJ231" i="431"/>
  <c r="EJ230" i="431"/>
  <c r="EJ233" i="431"/>
  <c r="DU230" i="431"/>
  <c r="DU231" i="431"/>
  <c r="DU233" i="431"/>
  <c r="CK227" i="431"/>
  <c r="FJ227" i="431" s="1"/>
  <c r="DH237" i="431"/>
  <c r="CC370" i="431"/>
  <c r="CC357" i="431"/>
  <c r="CH228" i="431"/>
  <c r="CH235" i="431"/>
  <c r="Y237" i="431"/>
  <c r="T237" i="431"/>
  <c r="DK267" i="431"/>
  <c r="EL235" i="431"/>
  <c r="FN235" i="431" s="1"/>
  <c r="CR110" i="431"/>
  <c r="EK110" i="431"/>
  <c r="CH125" i="431"/>
  <c r="CQ237" i="431"/>
  <c r="CP248" i="431"/>
  <c r="CP250" i="431"/>
  <c r="CP371" i="431"/>
  <c r="DW267" i="431"/>
  <c r="BI370" i="431"/>
  <c r="BI357" i="431"/>
  <c r="BI228" i="431"/>
  <c r="BN228" i="431"/>
  <c r="BI235" i="431"/>
  <c r="BN235" i="431"/>
  <c r="AM253" i="431"/>
  <c r="AM372" i="431"/>
  <c r="AR251" i="431"/>
  <c r="EH372" i="431"/>
  <c r="EH253" i="431"/>
  <c r="EH251" i="431"/>
  <c r="DM371" i="431"/>
  <c r="DQ247" i="431"/>
  <c r="DM248" i="431"/>
  <c r="DM265" i="431" s="1"/>
  <c r="DM250" i="431"/>
  <c r="DR251" i="431" s="1"/>
  <c r="P235" i="431"/>
  <c r="P228" i="431"/>
  <c r="P370" i="431"/>
  <c r="DK253" i="431"/>
  <c r="DK372" i="431"/>
  <c r="DK266" i="431"/>
  <c r="Z228" i="431"/>
  <c r="Z235" i="431"/>
  <c r="Z370" i="431"/>
  <c r="N237" i="431"/>
  <c r="S237" i="431"/>
  <c r="BZ237" i="431"/>
  <c r="DH231" i="431"/>
  <c r="DF230" i="431"/>
  <c r="DF231" i="431"/>
  <c r="DF233" i="431"/>
  <c r="DL233" i="431"/>
  <c r="DF250" i="431"/>
  <c r="DF248" i="431"/>
  <c r="DF265" i="431" s="1"/>
  <c r="DF371" i="431"/>
  <c r="CJ235" i="431"/>
  <c r="CJ247" i="431"/>
  <c r="CJ232" i="431"/>
  <c r="CJ370" i="431"/>
  <c r="CJ228" i="431"/>
  <c r="CJ229" i="431"/>
  <c r="CJ236" i="431"/>
  <c r="CO235" i="431"/>
  <c r="CO232" i="431"/>
  <c r="CO228" i="431"/>
  <c r="CM234" i="431"/>
  <c r="DM237" i="431"/>
  <c r="DQ236" i="431"/>
  <c r="CQ250" i="431"/>
  <c r="CQ248" i="431"/>
  <c r="CQ371" i="431"/>
  <c r="CP233" i="431"/>
  <c r="CP230" i="431"/>
  <c r="CP231" i="431"/>
  <c r="CU230" i="431"/>
  <c r="EA129" i="431"/>
  <c r="EA128" i="431" s="1"/>
  <c r="EA123" i="431" s="1"/>
  <c r="DP253" i="431"/>
  <c r="DP268" i="431" s="1"/>
  <c r="DP251" i="431"/>
  <c r="DP372" i="431"/>
  <c r="DP266" i="431"/>
  <c r="R250" i="431"/>
  <c r="R248" i="431"/>
  <c r="R371" i="431"/>
  <c r="U247" i="431"/>
  <c r="I248" i="431"/>
  <c r="I250" i="431"/>
  <c r="K247" i="431"/>
  <c r="EA226" i="431"/>
  <c r="EF226" i="431"/>
  <c r="AE370" i="431"/>
  <c r="AE235" i="431"/>
  <c r="AE228" i="431"/>
  <c r="AJ228" i="431"/>
  <c r="AJ235" i="431"/>
  <c r="DM230" i="431"/>
  <c r="DM231" i="431"/>
  <c r="DM233" i="431"/>
  <c r="DN231" i="431"/>
  <c r="CM295" i="431"/>
  <c r="CM324" i="431"/>
  <c r="CM356" i="431"/>
  <c r="CM222" i="431"/>
  <c r="CM320" i="431"/>
  <c r="CM322" i="431"/>
  <c r="CR222" i="431"/>
  <c r="CM225" i="431"/>
  <c r="W237" i="431"/>
  <c r="DC231" i="431"/>
  <c r="DH230" i="431"/>
  <c r="DC233" i="431"/>
  <c r="CB250" i="431"/>
  <c r="CB371" i="431"/>
  <c r="CB248" i="431"/>
  <c r="BZ371" i="431"/>
  <c r="BZ248" i="431"/>
  <c r="BZ250" i="431"/>
  <c r="DO253" i="431"/>
  <c r="DO268" i="431" s="1"/>
  <c r="DO266" i="431"/>
  <c r="DO372" i="431"/>
  <c r="DO251" i="431"/>
  <c r="DT251" i="431"/>
  <c r="T250" i="431"/>
  <c r="T371" i="431"/>
  <c r="T248" i="431"/>
  <c r="I20" i="455"/>
  <c r="I8" i="455"/>
  <c r="I21" i="455"/>
  <c r="EA229" i="431"/>
  <c r="EA370" i="431"/>
  <c r="EA228" i="431"/>
  <c r="EA357" i="431"/>
  <c r="EA232" i="431"/>
  <c r="K10" i="455"/>
  <c r="EA235" i="431"/>
  <c r="BX320" i="431"/>
  <c r="BX356" i="431"/>
  <c r="BX322" i="431"/>
  <c r="BX295" i="431"/>
  <c r="BX222" i="431"/>
  <c r="BX324" i="431"/>
  <c r="BX225" i="431"/>
  <c r="BX226" i="431" s="1"/>
  <c r="EG128" i="431"/>
  <c r="EK129" i="431"/>
  <c r="EK128" i="431" s="1"/>
  <c r="EK123" i="431" s="1"/>
  <c r="DR267" i="431"/>
  <c r="DV360" i="431"/>
  <c r="BW370" i="431"/>
  <c r="BW235" i="431"/>
  <c r="BW228" i="431"/>
  <c r="BW236" i="431"/>
  <c r="BW247" i="431"/>
  <c r="BX234" i="431"/>
  <c r="CC235" i="431" s="1"/>
  <c r="EJ248" i="431"/>
  <c r="EJ265" i="431" s="1"/>
  <c r="EJ267" i="431" s="1"/>
  <c r="EJ250" i="431"/>
  <c r="EO251" i="431" s="1"/>
  <c r="CN372" i="431"/>
  <c r="CN253" i="431"/>
  <c r="CN266" i="431"/>
  <c r="DW231" i="431"/>
  <c r="BN226" i="431"/>
  <c r="BI226" i="431"/>
  <c r="CB235" i="431"/>
  <c r="BW227" i="431"/>
  <c r="BY227" i="431"/>
  <c r="BW226" i="431"/>
  <c r="DL371" i="431"/>
  <c r="DL248" i="431"/>
  <c r="DL368" i="431" s="1"/>
  <c r="DL250" i="431"/>
  <c r="DL358" i="431"/>
  <c r="U370" i="431"/>
  <c r="U228" i="431"/>
  <c r="U235" i="431"/>
  <c r="BV255" i="431"/>
  <c r="DV235" i="431"/>
  <c r="DV232" i="431"/>
  <c r="J10" i="455"/>
  <c r="DV370" i="431"/>
  <c r="DV229" i="431"/>
  <c r="DV357" i="431"/>
  <c r="DV228" i="431"/>
  <c r="AQ237" i="431"/>
  <c r="L228" i="431"/>
  <c r="L235" i="431"/>
  <c r="Q228" i="431"/>
  <c r="Q235" i="431"/>
  <c r="L247" i="431"/>
  <c r="L370" i="431"/>
  <c r="L236" i="431"/>
  <c r="M227" i="431"/>
  <c r="CD268" i="431"/>
  <c r="CD273" i="431"/>
  <c r="CK128" i="431"/>
  <c r="CK123" i="431" s="1"/>
  <c r="CM129" i="431"/>
  <c r="CM128" i="431" s="1"/>
  <c r="CM123" i="431" s="1"/>
  <c r="BG237" i="431"/>
  <c r="BD236" i="431"/>
  <c r="K21" i="455"/>
  <c r="K8" i="455"/>
  <c r="K20" i="455"/>
  <c r="L8" i="455"/>
  <c r="DL360" i="431"/>
  <c r="H19" i="455"/>
  <c r="H13" i="455"/>
  <c r="H12" i="455"/>
  <c r="DR230" i="431"/>
  <c r="CU273" i="431"/>
  <c r="DG125" i="431"/>
  <c r="DB125" i="431"/>
  <c r="CR125" i="431"/>
  <c r="CM125" i="431"/>
  <c r="DG110" i="431"/>
  <c r="N25" i="435"/>
  <c r="M27" i="435"/>
  <c r="AK32" i="435" s="1"/>
  <c r="CR278" i="431" s="1"/>
  <c r="CR279" i="431" s="1"/>
  <c r="CR280" i="431" s="1"/>
  <c r="M26" i="435"/>
  <c r="AK31" i="435" s="1"/>
  <c r="A494" i="435"/>
  <c r="A546" i="435" s="1"/>
  <c r="O4" i="435"/>
  <c r="N5" i="435"/>
  <c r="N9" i="435"/>
  <c r="M10" i="435"/>
  <c r="AK15" i="435" s="1"/>
  <c r="A454" i="435"/>
  <c r="A506" i="435" s="1"/>
  <c r="D66" i="435"/>
  <c r="A78" i="435"/>
  <c r="A68" i="435"/>
  <c r="D56" i="435"/>
  <c r="D76" i="435"/>
  <c r="A88" i="435"/>
  <c r="D87" i="435"/>
  <c r="A99" i="435"/>
  <c r="A105" i="435"/>
  <c r="D93" i="435"/>
  <c r="A113" i="435"/>
  <c r="D113" i="435" s="1"/>
  <c r="D101" i="435"/>
  <c r="A79" i="435"/>
  <c r="D67" i="435"/>
  <c r="A439" i="435"/>
  <c r="N15" i="435"/>
  <c r="A488" i="435"/>
  <c r="A540" i="435" s="1"/>
  <c r="D50" i="435"/>
  <c r="A62" i="435"/>
  <c r="C181" i="435"/>
  <c r="B180" i="435"/>
  <c r="D180" i="435" s="1"/>
  <c r="D96" i="435"/>
  <c r="A108" i="435"/>
  <c r="A70" i="435"/>
  <c r="D58" i="435"/>
  <c r="A71" i="435"/>
  <c r="D59" i="435"/>
  <c r="D49" i="435"/>
  <c r="A61" i="435"/>
  <c r="A465" i="435"/>
  <c r="A517" i="435" s="1"/>
  <c r="FP107" i="431"/>
  <c r="FQ107" i="431"/>
  <c r="EL111" i="431"/>
  <c r="EL110" i="431"/>
  <c r="EL125" i="431"/>
  <c r="G907" i="433"/>
  <c r="C8" i="434"/>
  <c r="D9" i="434"/>
  <c r="E10" i="433"/>
  <c r="A9" i="433"/>
  <c r="B9" i="433" s="1"/>
  <c r="E12" i="434"/>
  <c r="A11" i="434"/>
  <c r="B11" i="434" s="1"/>
  <c r="M31" i="451"/>
  <c r="M35" i="451" s="1"/>
  <c r="M25" i="451"/>
  <c r="L66" i="451"/>
  <c r="L68" i="451" s="1"/>
  <c r="L47" i="451"/>
  <c r="FQ225" i="431"/>
  <c r="FP225" i="431"/>
  <c r="FP130" i="431"/>
  <c r="FQ130" i="431"/>
  <c r="EZ55" i="431"/>
  <c r="FE55" i="431" s="1"/>
  <c r="FE49" i="431" s="1"/>
  <c r="FQ234" i="431"/>
  <c r="FP234" i="431"/>
  <c r="M23" i="451"/>
  <c r="M67" i="451"/>
  <c r="FQ166" i="431"/>
  <c r="FP166" i="431"/>
  <c r="C9" i="433"/>
  <c r="D10" i="433"/>
  <c r="EZ64" i="431"/>
  <c r="FE64" i="431" s="1"/>
  <c r="FE58" i="431" s="1"/>
  <c r="G911" i="434"/>
  <c r="O30" i="451"/>
  <c r="P19" i="451"/>
  <c r="N24" i="451"/>
  <c r="M69" i="453" l="1"/>
  <c r="FN227" i="431"/>
  <c r="FH227" i="431"/>
  <c r="FP203" i="431"/>
  <c r="FQ235" i="431"/>
  <c r="FQ228" i="431"/>
  <c r="FM141" i="431"/>
  <c r="FH141" i="431"/>
  <c r="EM231" i="431"/>
  <c r="EQ230" i="431"/>
  <c r="FM230" i="431" s="1"/>
  <c r="EP236" i="431"/>
  <c r="EQ237" i="431"/>
  <c r="FM237" i="431" s="1"/>
  <c r="EU175" i="431"/>
  <c r="EQ177" i="431"/>
  <c r="FM177" i="431" s="1"/>
  <c r="FQ177" i="431" s="1"/>
  <c r="ET170" i="431"/>
  <c r="EQ170" i="431"/>
  <c r="FM170" i="431" s="1"/>
  <c r="FP170" i="431" s="1"/>
  <c r="DT268" i="431"/>
  <c r="DT273" i="431"/>
  <c r="DV265" i="431"/>
  <c r="DY254" i="431"/>
  <c r="FK227" i="431"/>
  <c r="BS247" i="431"/>
  <c r="BS248" i="431" s="1"/>
  <c r="BS368" i="431" s="1"/>
  <c r="EB250" i="431"/>
  <c r="EB371" i="431"/>
  <c r="EB248" i="431"/>
  <c r="EB265" i="431" s="1"/>
  <c r="EB267" i="431" s="1"/>
  <c r="EB233" i="431"/>
  <c r="EB230" i="431"/>
  <c r="EC231" i="431"/>
  <c r="EL248" i="431"/>
  <c r="FN248" i="431" s="1"/>
  <c r="EP247" i="431"/>
  <c r="EP226" i="431"/>
  <c r="EO123" i="431"/>
  <c r="EP232" i="431"/>
  <c r="EP229" i="431"/>
  <c r="EP235" i="431"/>
  <c r="EP228" i="431"/>
  <c r="H251" i="431"/>
  <c r="FP129" i="431"/>
  <c r="EF370" i="431"/>
  <c r="L10" i="455"/>
  <c r="EF229" i="431"/>
  <c r="EF233" i="431" s="1"/>
  <c r="EF357" i="431"/>
  <c r="DL265" i="431"/>
  <c r="ED237" i="431"/>
  <c r="EF236" i="431"/>
  <c r="EF360" i="431" s="1"/>
  <c r="AL237" i="431"/>
  <c r="EF235" i="431"/>
  <c r="ED248" i="431"/>
  <c r="ED265" i="431" s="1"/>
  <c r="ED371" i="431"/>
  <c r="ED250" i="431"/>
  <c r="EF247" i="431"/>
  <c r="EK324" i="431"/>
  <c r="EE324" i="431"/>
  <c r="AG248" i="431"/>
  <c r="AG250" i="431"/>
  <c r="AL251" i="431" s="1"/>
  <c r="AG371" i="431"/>
  <c r="DJ268" i="431"/>
  <c r="DO269" i="431" s="1"/>
  <c r="DJ273" i="431"/>
  <c r="ED230" i="431"/>
  <c r="ED233" i="431"/>
  <c r="ED231" i="431"/>
  <c r="EE231" i="431"/>
  <c r="L21" i="455"/>
  <c r="L20" i="455"/>
  <c r="EE322" i="431"/>
  <c r="EK322" i="431"/>
  <c r="DQ113" i="431"/>
  <c r="BP237" i="431"/>
  <c r="CW229" i="431"/>
  <c r="CW230" i="431" s="1"/>
  <c r="AQ248" i="431"/>
  <c r="AQ371" i="431"/>
  <c r="AQ250" i="431"/>
  <c r="CZ253" i="431"/>
  <c r="DE251" i="431"/>
  <c r="CZ266" i="431"/>
  <c r="CZ372" i="431"/>
  <c r="EF228" i="431"/>
  <c r="EF232" i="431"/>
  <c r="EU168" i="431"/>
  <c r="ER170" i="431"/>
  <c r="EN251" i="431"/>
  <c r="EI265" i="431"/>
  <c r="EI266" i="431" s="1"/>
  <c r="CF237" i="431"/>
  <c r="ES170" i="431"/>
  <c r="DX268" i="431"/>
  <c r="EC269" i="431" s="1"/>
  <c r="DX273" i="431"/>
  <c r="BE266" i="431"/>
  <c r="BE253" i="431"/>
  <c r="BE268" i="431" s="1"/>
  <c r="BE372" i="431"/>
  <c r="EN123" i="431"/>
  <c r="FQ128" i="431"/>
  <c r="CW235" i="431"/>
  <c r="EZ81" i="431"/>
  <c r="ET184" i="431"/>
  <c r="EU185" i="431"/>
  <c r="EU186" i="431" s="1"/>
  <c r="ES184" i="431"/>
  <c r="ER184" i="431"/>
  <c r="EU182" i="431"/>
  <c r="CG372" i="431"/>
  <c r="CL251" i="431"/>
  <c r="CG253" i="431"/>
  <c r="CG266" i="431"/>
  <c r="BE251" i="431"/>
  <c r="EA113" i="431"/>
  <c r="CW370" i="431"/>
  <c r="CH236" i="431"/>
  <c r="CH360" i="431" s="1"/>
  <c r="ET203" i="431"/>
  <c r="EU204" i="431"/>
  <c r="EU205" i="431" s="1"/>
  <c r="ES203" i="431"/>
  <c r="ER203" i="431"/>
  <c r="EU201" i="431"/>
  <c r="ET177" i="431"/>
  <c r="ER177" i="431"/>
  <c r="EU178" i="431"/>
  <c r="EZ178" i="431" s="1"/>
  <c r="FE178" i="431" s="1"/>
  <c r="FE174" i="431" s="1"/>
  <c r="ES177" i="431"/>
  <c r="CF250" i="431"/>
  <c r="CF371" i="431"/>
  <c r="CF248" i="431"/>
  <c r="CW228" i="431"/>
  <c r="CW232" i="431"/>
  <c r="EU171" i="431"/>
  <c r="EU172" i="431" s="1"/>
  <c r="EU150" i="431"/>
  <c r="EU147" i="431"/>
  <c r="EU148" i="431" s="1"/>
  <c r="ER141" i="431"/>
  <c r="ES141" i="431"/>
  <c r="EU139" i="431"/>
  <c r="ET141" i="431"/>
  <c r="EZ193" i="431"/>
  <c r="EZ194" i="431" s="1"/>
  <c r="ES126" i="431"/>
  <c r="ES129" i="431" s="1"/>
  <c r="ES128" i="431" s="1"/>
  <c r="ES123" i="431" s="1"/>
  <c r="ES110" i="431" s="1"/>
  <c r="ES30" i="431"/>
  <c r="ES31" i="431"/>
  <c r="ER126" i="431"/>
  <c r="ER129" i="431" s="1"/>
  <c r="ER128" i="431" s="1"/>
  <c r="ER123" i="431" s="1"/>
  <c r="ER110" i="431" s="1"/>
  <c r="ER30" i="431"/>
  <c r="ER31" i="431"/>
  <c r="ET272" i="431"/>
  <c r="EU271" i="431"/>
  <c r="EU272" i="431" s="1"/>
  <c r="FE81" i="431"/>
  <c r="EZ92" i="431"/>
  <c r="FE92" i="431" s="1"/>
  <c r="EU91" i="431"/>
  <c r="EZ91" i="431" s="1"/>
  <c r="FE91" i="431" s="1"/>
  <c r="ES93" i="431"/>
  <c r="ET93" i="431" s="1"/>
  <c r="ES90" i="431"/>
  <c r="ET90" i="431" s="1"/>
  <c r="ER68" i="431"/>
  <c r="ER257" i="431"/>
  <c r="FQ184" i="431"/>
  <c r="EM254" i="431"/>
  <c r="EH113" i="431"/>
  <c r="EM123" i="431"/>
  <c r="EH266" i="431"/>
  <c r="EH284" i="431" s="1"/>
  <c r="FP184" i="431"/>
  <c r="CY266" i="431"/>
  <c r="CY253" i="431"/>
  <c r="CY372" i="431"/>
  <c r="CL268" i="431"/>
  <c r="CL273" i="431"/>
  <c r="EL250" i="431"/>
  <c r="FN250" i="431" s="1"/>
  <c r="FE145" i="431"/>
  <c r="P15" i="451"/>
  <c r="P54" i="451" s="1"/>
  <c r="F15" i="451"/>
  <c r="F54" i="451" s="1"/>
  <c r="E6" i="451"/>
  <c r="EZ145" i="431"/>
  <c r="B566" i="435"/>
  <c r="D566" i="435" s="1"/>
  <c r="C567" i="435"/>
  <c r="EL237" i="431"/>
  <c r="FN237" i="431" s="1"/>
  <c r="O22" i="435"/>
  <c r="P32" i="435" s="1"/>
  <c r="BW278" i="431" s="1"/>
  <c r="BW279" i="431" s="1"/>
  <c r="BW280" i="431" s="1"/>
  <c r="O21" i="435"/>
  <c r="P31" i="435" s="1"/>
  <c r="P20" i="435"/>
  <c r="O32" i="453"/>
  <c r="O23" i="453" s="1"/>
  <c r="O21" i="453"/>
  <c r="N44" i="453"/>
  <c r="O29" i="453"/>
  <c r="P24" i="453"/>
  <c r="CQ30" i="435"/>
  <c r="O67" i="453"/>
  <c r="H16" i="455"/>
  <c r="H17" i="455" s="1"/>
  <c r="Z247" i="431"/>
  <c r="Z250" i="431" s="1"/>
  <c r="BP250" i="431"/>
  <c r="BP251" i="431" s="1"/>
  <c r="BP371" i="431"/>
  <c r="BP248" i="431"/>
  <c r="T24" i="455"/>
  <c r="U4" i="455"/>
  <c r="AD251" i="431"/>
  <c r="Y372" i="431"/>
  <c r="Y253" i="431"/>
  <c r="N60" i="453"/>
  <c r="N93" i="453"/>
  <c r="N95" i="453" s="1"/>
  <c r="N99" i="453" s="1"/>
  <c r="N51" i="453"/>
  <c r="P42" i="451"/>
  <c r="N45" i="453"/>
  <c r="CF43" i="453" s="1"/>
  <c r="O42" i="453"/>
  <c r="BO237" i="431"/>
  <c r="FP228" i="431"/>
  <c r="FE106" i="431"/>
  <c r="FE117" i="431" s="1"/>
  <c r="EK113" i="431"/>
  <c r="FE27" i="431"/>
  <c r="EC273" i="431"/>
  <c r="EC254" i="431"/>
  <c r="AK372" i="431"/>
  <c r="AK253" i="431"/>
  <c r="FP232" i="431"/>
  <c r="BI348" i="431"/>
  <c r="BI351" i="431"/>
  <c r="BG266" i="431"/>
  <c r="BG253" i="431"/>
  <c r="BG268" i="431" s="1"/>
  <c r="BG372" i="431"/>
  <c r="EK248" i="431"/>
  <c r="DG113" i="431"/>
  <c r="AH253" i="431"/>
  <c r="AH372" i="431"/>
  <c r="FQ232" i="431"/>
  <c r="DV368" i="431"/>
  <c r="AM251" i="431"/>
  <c r="BS236" i="431"/>
  <c r="BS237" i="431" s="1"/>
  <c r="EK250" i="431"/>
  <c r="BI366" i="431"/>
  <c r="FP247" i="431"/>
  <c r="EG248" i="431"/>
  <c r="EG371" i="431"/>
  <c r="EG250" i="431"/>
  <c r="DZ233" i="431"/>
  <c r="EB231" i="431"/>
  <c r="EE230" i="431"/>
  <c r="DZ231" i="431"/>
  <c r="CO250" i="431"/>
  <c r="CR250" i="431" s="1"/>
  <c r="CR359" i="431" s="1"/>
  <c r="CR363" i="431" s="1"/>
  <c r="CO248" i="431"/>
  <c r="CO371" i="431"/>
  <c r="CR247" i="431"/>
  <c r="CE237" i="431"/>
  <c r="CH370" i="431"/>
  <c r="CH357" i="431"/>
  <c r="DN266" i="431"/>
  <c r="DN284" i="431" s="1"/>
  <c r="DN291" i="431" s="1"/>
  <c r="DN253" i="431"/>
  <c r="DO255" i="431" s="1"/>
  <c r="DN372" i="431"/>
  <c r="DN251" i="431"/>
  <c r="BH266" i="431"/>
  <c r="BM251" i="431"/>
  <c r="BH372" i="431"/>
  <c r="BH253" i="431"/>
  <c r="BH268" i="431" s="1"/>
  <c r="BS317" i="431"/>
  <c r="BX312" i="431"/>
  <c r="BX313" i="431" s="1"/>
  <c r="EK235" i="431"/>
  <c r="EK232" i="431"/>
  <c r="EK370" i="431"/>
  <c r="EK229" i="431"/>
  <c r="EK357" i="431"/>
  <c r="M10" i="455"/>
  <c r="EK228" i="431"/>
  <c r="CV237" i="431"/>
  <c r="EK358" i="431"/>
  <c r="EG237" i="431"/>
  <c r="EK236" i="431"/>
  <c r="DZ371" i="431"/>
  <c r="DZ250" i="431"/>
  <c r="DZ251" i="431" s="1"/>
  <c r="DZ248" i="431"/>
  <c r="DZ265" i="431" s="1"/>
  <c r="EA247" i="431"/>
  <c r="CV233" i="431"/>
  <c r="CV231" i="431"/>
  <c r="FK231" i="431" s="1"/>
  <c r="DA230" i="431"/>
  <c r="BD351" i="431"/>
  <c r="BD348" i="431"/>
  <c r="BO371" i="431"/>
  <c r="BO248" i="431"/>
  <c r="BO250" i="431"/>
  <c r="BT251" i="431" s="1"/>
  <c r="CT371" i="431"/>
  <c r="CT250" i="431"/>
  <c r="CT248" i="431"/>
  <c r="CT265" i="431" s="1"/>
  <c r="CE371" i="431"/>
  <c r="CH247" i="431"/>
  <c r="CE248" i="431"/>
  <c r="CE250" i="431"/>
  <c r="BH251" i="431"/>
  <c r="CO233" i="431"/>
  <c r="CO231" i="431"/>
  <c r="BB237" i="431"/>
  <c r="CW247" i="431"/>
  <c r="EE237" i="431"/>
  <c r="EA236" i="431"/>
  <c r="M8" i="455"/>
  <c r="M20" i="455"/>
  <c r="M21" i="455"/>
  <c r="CT237" i="431"/>
  <c r="EI372" i="431"/>
  <c r="EI253" i="431"/>
  <c r="EI251" i="431"/>
  <c r="CS372" i="431"/>
  <c r="CS266" i="431"/>
  <c r="CS253" i="431"/>
  <c r="CS273" i="431" s="1"/>
  <c r="BT263" i="431"/>
  <c r="BT262" i="431"/>
  <c r="BT253" i="431"/>
  <c r="BT372" i="431"/>
  <c r="BT266" i="431"/>
  <c r="EG231" i="431"/>
  <c r="EG230" i="431"/>
  <c r="EG233" i="431"/>
  <c r="EH231" i="431"/>
  <c r="DI372" i="431"/>
  <c r="DI266" i="431"/>
  <c r="DL266" i="431" s="1"/>
  <c r="DI253" i="431"/>
  <c r="DI268" i="431" s="1"/>
  <c r="CW233" i="431"/>
  <c r="CS267" i="431"/>
  <c r="CW236" i="431"/>
  <c r="CT233" i="431"/>
  <c r="CT230" i="431"/>
  <c r="CU231" i="431"/>
  <c r="CY230" i="431"/>
  <c r="CT231" i="431"/>
  <c r="CV371" i="431"/>
  <c r="CV248" i="431"/>
  <c r="CV265" i="431" s="1"/>
  <c r="CV267" i="431" s="1"/>
  <c r="CV250" i="431"/>
  <c r="CV251" i="431" s="1"/>
  <c r="CR236" i="431"/>
  <c r="CR360" i="431" s="1"/>
  <c r="BN355" i="431"/>
  <c r="BN325" i="431"/>
  <c r="BN326" i="431" s="1"/>
  <c r="BN330" i="431" s="1"/>
  <c r="BM317" i="431"/>
  <c r="BN318" i="431"/>
  <c r="DB235" i="431"/>
  <c r="DB228" i="431"/>
  <c r="DB357" i="431"/>
  <c r="DB370" i="431"/>
  <c r="DB232" i="431"/>
  <c r="F10" i="455"/>
  <c r="DB229" i="431"/>
  <c r="CI233" i="431"/>
  <c r="CN230" i="431"/>
  <c r="X371" i="431"/>
  <c r="X248" i="431"/>
  <c r="X250" i="431"/>
  <c r="BR253" i="431"/>
  <c r="BR266" i="431"/>
  <c r="BR372" i="431"/>
  <c r="BR251" i="431"/>
  <c r="DG229" i="431"/>
  <c r="DL228" i="431"/>
  <c r="DG228" i="431"/>
  <c r="DG232" i="431"/>
  <c r="DG235" i="431"/>
  <c r="DL232" i="431"/>
  <c r="DG357" i="431"/>
  <c r="DL235" i="431"/>
  <c r="G10" i="455"/>
  <c r="DG370" i="431"/>
  <c r="DD233" i="431"/>
  <c r="DD230" i="431"/>
  <c r="DI230" i="431"/>
  <c r="DE231" i="431"/>
  <c r="AP237" i="431"/>
  <c r="AT236" i="431"/>
  <c r="AT237" i="431" s="1"/>
  <c r="AN237" i="431"/>
  <c r="AS237" i="431"/>
  <c r="BY371" i="431"/>
  <c r="BY248" i="431"/>
  <c r="BY250" i="431"/>
  <c r="DD237" i="431"/>
  <c r="DI237" i="431"/>
  <c r="AA237" i="431"/>
  <c r="V237" i="431"/>
  <c r="AF237" i="431"/>
  <c r="AJ236" i="431"/>
  <c r="AO237" i="431" s="1"/>
  <c r="AK237" i="431"/>
  <c r="DY269" i="431"/>
  <c r="AC371" i="431"/>
  <c r="AC250" i="431"/>
  <c r="AC248" i="431"/>
  <c r="AE247" i="431"/>
  <c r="BY237" i="431"/>
  <c r="CD237" i="431"/>
  <c r="EZ49" i="431"/>
  <c r="EZ50" i="431" s="1"/>
  <c r="DD371" i="431"/>
  <c r="DD248" i="431"/>
  <c r="DD265" i="431" s="1"/>
  <c r="DD267" i="431" s="1"/>
  <c r="DD250" i="431"/>
  <c r="AH237" i="431"/>
  <c r="AE236" i="431"/>
  <c r="AC237" i="431"/>
  <c r="AP248" i="431"/>
  <c r="AP250" i="431"/>
  <c r="AU251" i="431" s="1"/>
  <c r="AP371" i="431"/>
  <c r="AT247" i="431"/>
  <c r="CA266" i="431"/>
  <c r="CA372" i="431"/>
  <c r="CA253" i="431"/>
  <c r="CA251" i="431"/>
  <c r="CX371" i="431"/>
  <c r="CX250" i="431"/>
  <c r="DC251" i="431" s="1"/>
  <c r="CX248" i="431"/>
  <c r="CX265" i="431" s="1"/>
  <c r="DB247" i="431"/>
  <c r="BL253" i="431"/>
  <c r="BL372" i="431"/>
  <c r="BL251" i="431"/>
  <c r="BL266" i="431"/>
  <c r="BI248" i="431"/>
  <c r="BI368" i="431" s="1"/>
  <c r="BI250" i="431"/>
  <c r="BI358" i="431"/>
  <c r="BI371" i="431"/>
  <c r="F20" i="455"/>
  <c r="F8" i="455"/>
  <c r="F21" i="455"/>
  <c r="EL233" i="431"/>
  <c r="FN233" i="431" s="1"/>
  <c r="DG226" i="431"/>
  <c r="DL226" i="431"/>
  <c r="G20" i="455"/>
  <c r="G8" i="455"/>
  <c r="G21" i="455"/>
  <c r="H8" i="455"/>
  <c r="BN371" i="431"/>
  <c r="BN250" i="431"/>
  <c r="BN358" i="431"/>
  <c r="BN248" i="431"/>
  <c r="BN368" i="431" s="1"/>
  <c r="BF266" i="431"/>
  <c r="BF253" i="431"/>
  <c r="BF268" i="431" s="1"/>
  <c r="BF372" i="431"/>
  <c r="BF251" i="431"/>
  <c r="CN237" i="431"/>
  <c r="CI237" i="431"/>
  <c r="AX253" i="431"/>
  <c r="AX268" i="431" s="1"/>
  <c r="AX266" i="431"/>
  <c r="AX372" i="431"/>
  <c r="AX251" i="431"/>
  <c r="AW250" i="431"/>
  <c r="BB251" i="431" s="1"/>
  <c r="AW248" i="431"/>
  <c r="AW371" i="431"/>
  <c r="V250" i="431"/>
  <c r="V248" i="431"/>
  <c r="V371" i="431"/>
  <c r="AF371" i="431"/>
  <c r="AJ247" i="431"/>
  <c r="AF250" i="431"/>
  <c r="AF248" i="431"/>
  <c r="DB236" i="431"/>
  <c r="DG237" i="431" s="1"/>
  <c r="CX237" i="431"/>
  <c r="CI248" i="431"/>
  <c r="CI250" i="431"/>
  <c r="CI371" i="431"/>
  <c r="EL231" i="431"/>
  <c r="BN237" i="431"/>
  <c r="BN360" i="431"/>
  <c r="EL230" i="431"/>
  <c r="FN230" i="431" s="1"/>
  <c r="FP110" i="431"/>
  <c r="EZ58" i="431"/>
  <c r="FE59" i="431" s="1"/>
  <c r="Z236" i="431"/>
  <c r="AY236" i="431"/>
  <c r="BJ251" i="431"/>
  <c r="BJ372" i="431"/>
  <c r="BJ266" i="431"/>
  <c r="BJ253" i="431"/>
  <c r="BK253" i="431"/>
  <c r="BK266" i="431"/>
  <c r="BK372" i="431"/>
  <c r="BK251" i="431"/>
  <c r="CX233" i="431"/>
  <c r="CX231" i="431"/>
  <c r="CX230" i="431"/>
  <c r="CY231" i="431"/>
  <c r="AN248" i="431"/>
  <c r="AN250" i="431"/>
  <c r="AN371" i="431"/>
  <c r="CJ233" i="431"/>
  <c r="CJ231" i="431"/>
  <c r="CO230" i="431"/>
  <c r="R372" i="431"/>
  <c r="R253" i="431"/>
  <c r="R251" i="431"/>
  <c r="DQ237" i="431"/>
  <c r="DQ360" i="431"/>
  <c r="DK268" i="431"/>
  <c r="DL267" i="431"/>
  <c r="DG360" i="431"/>
  <c r="BW237" i="431"/>
  <c r="BX236" i="431"/>
  <c r="CC237" i="431" s="1"/>
  <c r="N372" i="431"/>
  <c r="N251" i="431"/>
  <c r="N253" i="431"/>
  <c r="S251" i="431"/>
  <c r="EH268" i="431"/>
  <c r="DR268" i="431"/>
  <c r="DV267" i="431"/>
  <c r="DO273" i="431"/>
  <c r="DO254" i="431"/>
  <c r="DT254" i="431"/>
  <c r="Z237" i="431"/>
  <c r="I253" i="431"/>
  <c r="I251" i="431"/>
  <c r="CJ371" i="431"/>
  <c r="CJ248" i="431"/>
  <c r="CJ250" i="431"/>
  <c r="CM247" i="431"/>
  <c r="CC360" i="431"/>
  <c r="DC372" i="431"/>
  <c r="DC253" i="431"/>
  <c r="DC266" i="431"/>
  <c r="DH251" i="431"/>
  <c r="CK253" i="431"/>
  <c r="CK266" i="431"/>
  <c r="CK372" i="431"/>
  <c r="DW273" i="431"/>
  <c r="DW254" i="431"/>
  <c r="DX255" i="431"/>
  <c r="DX269" i="431"/>
  <c r="DA255" i="431"/>
  <c r="DA273" i="431"/>
  <c r="DM267" i="431"/>
  <c r="DQ265" i="431"/>
  <c r="CP253" i="431"/>
  <c r="CP266" i="431"/>
  <c r="CP251" i="431"/>
  <c r="CP372" i="431"/>
  <c r="CU251" i="431"/>
  <c r="AY371" i="431"/>
  <c r="AY250" i="431"/>
  <c r="AY358" i="431"/>
  <c r="AY248" i="431"/>
  <c r="AY368" i="431" s="1"/>
  <c r="AL372" i="431"/>
  <c r="AL253" i="431"/>
  <c r="AQ251" i="431"/>
  <c r="BD360" i="431"/>
  <c r="BD366" i="431" s="1"/>
  <c r="BI237" i="431"/>
  <c r="CB237" i="431"/>
  <c r="DW284" i="431"/>
  <c r="DW291" i="431" s="1"/>
  <c r="DV233" i="431"/>
  <c r="DV230" i="431"/>
  <c r="K12" i="455"/>
  <c r="K19" i="455"/>
  <c r="K13" i="455"/>
  <c r="K371" i="431"/>
  <c r="K248" i="431"/>
  <c r="K250" i="431"/>
  <c r="DT269" i="431"/>
  <c r="DG250" i="431"/>
  <c r="DG371" i="431"/>
  <c r="DG248" i="431"/>
  <c r="DG358" i="431"/>
  <c r="M372" i="431"/>
  <c r="M253" i="431"/>
  <c r="M251" i="431"/>
  <c r="FP235" i="431"/>
  <c r="J13" i="455"/>
  <c r="J19" i="455"/>
  <c r="J12" i="455"/>
  <c r="CC371" i="431"/>
  <c r="CC248" i="431"/>
  <c r="CC368" i="431" s="1"/>
  <c r="CC358" i="431"/>
  <c r="DP254" i="431"/>
  <c r="DP255" i="431"/>
  <c r="DP273" i="431"/>
  <c r="EH273" i="431"/>
  <c r="EH254" i="431"/>
  <c r="BQ266" i="431"/>
  <c r="BQ251" i="431"/>
  <c r="BV251" i="431"/>
  <c r="BQ253" i="431"/>
  <c r="BQ372" i="431"/>
  <c r="W251" i="431"/>
  <c r="W372" i="431"/>
  <c r="W253" i="431"/>
  <c r="BX357" i="431"/>
  <c r="BX370" i="431"/>
  <c r="BX228" i="431"/>
  <c r="BX235" i="431"/>
  <c r="DF253" i="431"/>
  <c r="DK254" i="431" s="1"/>
  <c r="DF372" i="431"/>
  <c r="DF266" i="431"/>
  <c r="DF251" i="431"/>
  <c r="L248" i="431"/>
  <c r="L371" i="431"/>
  <c r="L250" i="431"/>
  <c r="P247" i="431"/>
  <c r="BW250" i="431"/>
  <c r="CB251" i="431" s="1"/>
  <c r="BW248" i="431"/>
  <c r="BW371" i="431"/>
  <c r="BX247" i="431"/>
  <c r="DQ250" i="431"/>
  <c r="DQ358" i="431"/>
  <c r="DQ371" i="431"/>
  <c r="DQ248" i="431"/>
  <c r="DQ368" i="431" s="1"/>
  <c r="CN273" i="431"/>
  <c r="CN255" i="431"/>
  <c r="CN268" i="431"/>
  <c r="BS371" i="431"/>
  <c r="BS358" i="431"/>
  <c r="CM235" i="431"/>
  <c r="CM357" i="431"/>
  <c r="CM370" i="431"/>
  <c r="CM228" i="431"/>
  <c r="CM232" i="431"/>
  <c r="CM229" i="431"/>
  <c r="CR235" i="431"/>
  <c r="CR232" i="431"/>
  <c r="CR228" i="431"/>
  <c r="DK273" i="431"/>
  <c r="DK255" i="431"/>
  <c r="BD250" i="431"/>
  <c r="BD371" i="431"/>
  <c r="BD358" i="431"/>
  <c r="BD248" i="431"/>
  <c r="BD368" i="431" s="1"/>
  <c r="Z248" i="431"/>
  <c r="Z371" i="431"/>
  <c r="EJ253" i="431"/>
  <c r="EJ266" i="431"/>
  <c r="EJ251" i="431"/>
  <c r="EG123" i="431"/>
  <c r="BZ266" i="431"/>
  <c r="BZ251" i="431"/>
  <c r="BZ253" i="431"/>
  <c r="BZ372" i="431"/>
  <c r="CC250" i="431"/>
  <c r="CB372" i="431"/>
  <c r="CB253" i="431"/>
  <c r="CB266" i="431"/>
  <c r="CG251" i="431"/>
  <c r="CM226" i="431"/>
  <c r="CR226" i="431"/>
  <c r="U248" i="431"/>
  <c r="U250" i="431"/>
  <c r="U371" i="431"/>
  <c r="DW268" i="431"/>
  <c r="CC228" i="431"/>
  <c r="BG251" i="431"/>
  <c r="BB266" i="431"/>
  <c r="BB253" i="431"/>
  <c r="BB268" i="431" s="1"/>
  <c r="BB372" i="431"/>
  <c r="J253" i="431"/>
  <c r="J251" i="431"/>
  <c r="AU266" i="431"/>
  <c r="AZ251" i="431"/>
  <c r="AU372" i="431"/>
  <c r="AU253" i="431"/>
  <c r="AU268" i="431" s="1"/>
  <c r="I19" i="455"/>
  <c r="I12" i="455"/>
  <c r="I13" i="455"/>
  <c r="DR273" i="431"/>
  <c r="DR255" i="431"/>
  <c r="AO371" i="431"/>
  <c r="AO248" i="431"/>
  <c r="AO250" i="431"/>
  <c r="EA230" i="431"/>
  <c r="EA233" i="431"/>
  <c r="DV237" i="431"/>
  <c r="DK251" i="431"/>
  <c r="CS254" i="431"/>
  <c r="CC226" i="431"/>
  <c r="L237" i="431"/>
  <c r="Q237" i="431"/>
  <c r="P236" i="431"/>
  <c r="P237" i="431" s="1"/>
  <c r="DL359" i="431"/>
  <c r="DL363" i="431" s="1"/>
  <c r="DL372" i="431"/>
  <c r="T251" i="431"/>
  <c r="T253" i="431"/>
  <c r="T372" i="431"/>
  <c r="Y251" i="431"/>
  <c r="CQ372" i="431"/>
  <c r="CQ253" i="431"/>
  <c r="CQ266" i="431"/>
  <c r="CQ251" i="431"/>
  <c r="CJ237" i="431"/>
  <c r="CO237" i="431"/>
  <c r="CM236" i="431"/>
  <c r="DF267" i="431"/>
  <c r="DM266" i="431"/>
  <c r="DM251" i="431"/>
  <c r="DM253" i="431"/>
  <c r="DR254" i="431" s="1"/>
  <c r="DM372" i="431"/>
  <c r="CK231" i="431"/>
  <c r="DU251" i="431"/>
  <c r="DU372" i="431"/>
  <c r="DU253" i="431"/>
  <c r="DW255" i="431" s="1"/>
  <c r="DU266" i="431"/>
  <c r="DU284" i="431" s="1"/>
  <c r="DU291" i="431" s="1"/>
  <c r="O251" i="431"/>
  <c r="DQ230" i="431"/>
  <c r="DQ233" i="431"/>
  <c r="DS255" i="431"/>
  <c r="DS273" i="431"/>
  <c r="DT255" i="431"/>
  <c r="DX254" i="431"/>
  <c r="DV359" i="431"/>
  <c r="DV363" i="431" s="1"/>
  <c r="DV364" i="431" s="1"/>
  <c r="DV367" i="431" s="1"/>
  <c r="DV372" i="431"/>
  <c r="DV253" i="431"/>
  <c r="A80" i="435"/>
  <c r="D68" i="435"/>
  <c r="A90" i="435"/>
  <c r="D78" i="435"/>
  <c r="D61" i="435"/>
  <c r="A73" i="435"/>
  <c r="A117" i="435"/>
  <c r="D117" i="435" s="1"/>
  <c r="D105" i="435"/>
  <c r="C182" i="435"/>
  <c r="B181" i="435"/>
  <c r="D181" i="435" s="1"/>
  <c r="A111" i="435"/>
  <c r="D111" i="435" s="1"/>
  <c r="D99" i="435"/>
  <c r="O15" i="435"/>
  <c r="D62" i="435"/>
  <c r="A74" i="435"/>
  <c r="A491" i="435"/>
  <c r="A543" i="435" s="1"/>
  <c r="A120" i="435"/>
  <c r="D120" i="435" s="1"/>
  <c r="D108" i="435"/>
  <c r="P4" i="435"/>
  <c r="O5" i="435"/>
  <c r="D71" i="435"/>
  <c r="A83" i="435"/>
  <c r="D88" i="435"/>
  <c r="A100" i="435"/>
  <c r="N26" i="435"/>
  <c r="AP31" i="435" s="1"/>
  <c r="N27" i="435"/>
  <c r="AP32" i="435" s="1"/>
  <c r="CW278" i="431" s="1"/>
  <c r="CW279" i="431" s="1"/>
  <c r="CW280" i="431" s="1"/>
  <c r="O25" i="435"/>
  <c r="A82" i="435"/>
  <c r="D70" i="435"/>
  <c r="A91" i="435"/>
  <c r="D79" i="435"/>
  <c r="O9" i="435"/>
  <c r="N10" i="435"/>
  <c r="AP15" i="435" s="1"/>
  <c r="FQ125" i="431"/>
  <c r="FP125" i="431"/>
  <c r="FP111" i="431"/>
  <c r="FQ111" i="431"/>
  <c r="EP386" i="431"/>
  <c r="EP383" i="431"/>
  <c r="FP108" i="431"/>
  <c r="FQ108" i="431"/>
  <c r="FP124" i="431"/>
  <c r="FQ124" i="431"/>
  <c r="FQ109" i="431"/>
  <c r="FP109" i="431"/>
  <c r="FQ110" i="431"/>
  <c r="E11" i="433"/>
  <c r="A10" i="433"/>
  <c r="B10" i="433" s="1"/>
  <c r="D10" i="434"/>
  <c r="C9" i="434"/>
  <c r="A12" i="434"/>
  <c r="B12" i="434" s="1"/>
  <c r="E13" i="434"/>
  <c r="G908" i="433"/>
  <c r="G912" i="434"/>
  <c r="FP229" i="431"/>
  <c r="FQ229" i="431"/>
  <c r="EZ115" i="431"/>
  <c r="EZ118" i="431"/>
  <c r="N32" i="451"/>
  <c r="O24" i="451" s="1"/>
  <c r="M44" i="451"/>
  <c r="M66" i="451" s="1"/>
  <c r="CE42" i="451"/>
  <c r="M45" i="451"/>
  <c r="CE41" i="451"/>
  <c r="N29" i="451"/>
  <c r="N21" i="451"/>
  <c r="FQ247" i="431"/>
  <c r="M60" i="451"/>
  <c r="M51" i="451"/>
  <c r="EL113" i="431"/>
  <c r="P30" i="451"/>
  <c r="C10" i="433"/>
  <c r="D11" i="433"/>
  <c r="L61" i="451"/>
  <c r="L62" i="451" s="1"/>
  <c r="L69" i="451" s="1"/>
  <c r="EP237" i="431" l="1"/>
  <c r="EL265" i="431"/>
  <c r="FN231" i="431"/>
  <c r="FH231" i="431"/>
  <c r="FP177" i="431"/>
  <c r="FQ170" i="431"/>
  <c r="FQ141" i="431"/>
  <c r="FP141" i="431"/>
  <c r="FQ237" i="431"/>
  <c r="EL253" i="431"/>
  <c r="EQ251" i="431"/>
  <c r="FM251" i="431" s="1"/>
  <c r="FQ251" i="431" s="1"/>
  <c r="EU324" i="431"/>
  <c r="EZ324" i="431" s="1"/>
  <c r="FE324" i="431" s="1"/>
  <c r="EP324" i="431"/>
  <c r="DJ269" i="431"/>
  <c r="EP322" i="431"/>
  <c r="EU322" i="431" s="1"/>
  <c r="EZ322" i="431" s="1"/>
  <c r="FE322" i="431" s="1"/>
  <c r="DS254" i="431"/>
  <c r="FJ231" i="431"/>
  <c r="EF230" i="431"/>
  <c r="BS250" i="431"/>
  <c r="BS251" i="431" s="1"/>
  <c r="EB372" i="431"/>
  <c r="EB266" i="431"/>
  <c r="EB284" i="431" s="1"/>
  <c r="EB291" i="431" s="1"/>
  <c r="EB253" i="431"/>
  <c r="EB251" i="431"/>
  <c r="EJ268" i="431"/>
  <c r="EO254" i="431"/>
  <c r="EP233" i="431"/>
  <c r="EP230" i="431"/>
  <c r="EP250" i="431"/>
  <c r="EP248" i="431"/>
  <c r="FI231" i="431"/>
  <c r="BN366" i="431"/>
  <c r="EO113" i="431"/>
  <c r="FP123" i="431"/>
  <c r="EF371" i="431"/>
  <c r="EF248" i="431"/>
  <c r="EF368" i="431" s="1"/>
  <c r="EF358" i="431"/>
  <c r="EF250" i="431"/>
  <c r="ED266" i="431"/>
  <c r="ED251" i="431"/>
  <c r="ED253" i="431"/>
  <c r="EI254" i="431" s="1"/>
  <c r="ED372" i="431"/>
  <c r="CH237" i="431"/>
  <c r="CZ268" i="431"/>
  <c r="CZ273" i="431"/>
  <c r="CZ254" i="431"/>
  <c r="DE254" i="431"/>
  <c r="AQ372" i="431"/>
  <c r="AQ253" i="431"/>
  <c r="AQ268" i="431" s="1"/>
  <c r="AQ266" i="431"/>
  <c r="AV251" i="431"/>
  <c r="ED267" i="431"/>
  <c r="EF265" i="431"/>
  <c r="AG253" i="431"/>
  <c r="AG372" i="431"/>
  <c r="AG251" i="431"/>
  <c r="L19" i="455"/>
  <c r="L12" i="455"/>
  <c r="L13" i="455"/>
  <c r="EZ185" i="431"/>
  <c r="FE185" i="431" s="1"/>
  <c r="FE181" i="431" s="1"/>
  <c r="EU179" i="431"/>
  <c r="EZ204" i="431"/>
  <c r="FE204" i="431" s="1"/>
  <c r="FE200" i="431" s="1"/>
  <c r="FE194" i="431"/>
  <c r="EZ171" i="431"/>
  <c r="FE171" i="431" s="1"/>
  <c r="FE167" i="431" s="1"/>
  <c r="EZ150" i="431"/>
  <c r="EU151" i="431"/>
  <c r="EN113" i="431"/>
  <c r="CF266" i="431"/>
  <c r="CF372" i="431"/>
  <c r="CF253" i="431"/>
  <c r="CG255" i="431" s="1"/>
  <c r="CF251" i="431"/>
  <c r="EI267" i="431"/>
  <c r="EI268" i="431" s="1"/>
  <c r="EI284" i="431"/>
  <c r="EI291" i="431" s="1"/>
  <c r="CG268" i="431"/>
  <c r="CL269" i="431" s="1"/>
  <c r="CL254" i="431"/>
  <c r="CG273" i="431"/>
  <c r="BS360" i="431"/>
  <c r="CK251" i="431"/>
  <c r="EN254" i="431"/>
  <c r="ER108" i="431"/>
  <c r="ER107" i="431" s="1"/>
  <c r="ER109" i="431"/>
  <c r="ES108" i="431"/>
  <c r="ES107" i="431" s="1"/>
  <c r="ES109" i="431"/>
  <c r="ER127" i="431"/>
  <c r="ER33" i="431"/>
  <c r="ER32" i="431" s="1"/>
  <c r="ES127" i="431"/>
  <c r="ES33" i="431"/>
  <c r="ES32" i="431" s="1"/>
  <c r="EU93" i="431"/>
  <c r="EZ93" i="431" s="1"/>
  <c r="FE93" i="431" s="1"/>
  <c r="EU90" i="431"/>
  <c r="EZ90" i="431" s="1"/>
  <c r="FE90" i="431" s="1"/>
  <c r="ER69" i="431"/>
  <c r="ER70" i="431"/>
  <c r="ES68" i="431"/>
  <c r="ER259" i="431"/>
  <c r="ER267" i="431" s="1"/>
  <c r="ES257" i="431"/>
  <c r="EH269" i="431"/>
  <c r="EM269" i="431"/>
  <c r="EM113" i="431"/>
  <c r="EK359" i="431"/>
  <c r="EK363" i="431" s="1"/>
  <c r="EK364" i="431" s="1"/>
  <c r="EK367" i="431" s="1"/>
  <c r="EK253" i="431"/>
  <c r="EL251" i="431"/>
  <c r="FN251" i="431" s="1"/>
  <c r="AY237" i="431"/>
  <c r="CY273" i="431"/>
  <c r="CZ255" i="431"/>
  <c r="CY268" i="431"/>
  <c r="EK372" i="431"/>
  <c r="FP237" i="431"/>
  <c r="D6" i="451"/>
  <c r="E15" i="451"/>
  <c r="E54" i="451" s="1"/>
  <c r="EZ59" i="431"/>
  <c r="C568" i="435"/>
  <c r="B567" i="435"/>
  <c r="D567" i="435" s="1"/>
  <c r="FE50" i="431"/>
  <c r="P38" i="453"/>
  <c r="P22" i="453"/>
  <c r="P37" i="453"/>
  <c r="P42" i="453" s="1"/>
  <c r="V4" i="455"/>
  <c r="U24" i="455"/>
  <c r="N66" i="453"/>
  <c r="N68" i="453" s="1"/>
  <c r="CF41" i="453"/>
  <c r="CF42" i="453" s="1"/>
  <c r="O90" i="453"/>
  <c r="O91" i="453" s="1"/>
  <c r="N47" i="453"/>
  <c r="Q20" i="435"/>
  <c r="P22" i="435"/>
  <c r="R32" i="435" s="1"/>
  <c r="BY278" i="431" s="1"/>
  <c r="BY279" i="431" s="1"/>
  <c r="BY280" i="431" s="1"/>
  <c r="P21" i="435"/>
  <c r="R31" i="435" s="1"/>
  <c r="CW250" i="431"/>
  <c r="CW251" i="431" s="1"/>
  <c r="BP266" i="431"/>
  <c r="BP372" i="431"/>
  <c r="BP253" i="431"/>
  <c r="BU251" i="431"/>
  <c r="CR30" i="435"/>
  <c r="O35" i="453"/>
  <c r="O31" i="453"/>
  <c r="O25" i="453"/>
  <c r="FE115" i="431"/>
  <c r="FE118" i="431"/>
  <c r="FP128" i="431"/>
  <c r="EI255" i="431"/>
  <c r="FP236" i="431"/>
  <c r="DL253" i="431"/>
  <c r="K16" i="455"/>
  <c r="K17" i="455" s="1"/>
  <c r="CR253" i="431"/>
  <c r="CR273" i="431" s="1"/>
  <c r="DN268" i="431"/>
  <c r="DS269" i="431" s="1"/>
  <c r="CR372" i="431"/>
  <c r="EK368" i="431"/>
  <c r="CW360" i="431"/>
  <c r="CW237" i="431"/>
  <c r="EA248" i="431"/>
  <c r="EA368" i="431" s="1"/>
  <c r="EA371" i="431"/>
  <c r="EA358" i="431"/>
  <c r="EA250" i="431"/>
  <c r="CS268" i="431"/>
  <c r="CS269" i="431" s="1"/>
  <c r="CH358" i="431"/>
  <c r="CH371" i="431"/>
  <c r="CH248" i="431"/>
  <c r="CH368" i="431" s="1"/>
  <c r="DZ253" i="431"/>
  <c r="DZ254" i="431" s="1"/>
  <c r="DZ266" i="431"/>
  <c r="DZ372" i="431"/>
  <c r="EE251" i="431"/>
  <c r="BX317" i="431"/>
  <c r="CC312" i="431"/>
  <c r="CC313" i="431" s="1"/>
  <c r="DN273" i="431"/>
  <c r="DN254" i="431"/>
  <c r="CO253" i="431"/>
  <c r="CP255" i="431" s="1"/>
  <c r="CO266" i="431"/>
  <c r="CR266" i="431" s="1"/>
  <c r="CO372" i="431"/>
  <c r="EG251" i="431"/>
  <c r="FP250" i="431"/>
  <c r="EG372" i="431"/>
  <c r="EG253" i="431"/>
  <c r="EL254" i="431" s="1"/>
  <c r="FN254" i="431" s="1"/>
  <c r="CW265" i="431"/>
  <c r="EA360" i="431"/>
  <c r="EA237" i="431"/>
  <c r="EF237" i="431"/>
  <c r="FP248" i="431"/>
  <c r="EG265" i="431"/>
  <c r="EG266" i="431" s="1"/>
  <c r="FQ236" i="431"/>
  <c r="DV268" i="431"/>
  <c r="EI273" i="431"/>
  <c r="CW248" i="431"/>
  <c r="CW368" i="431" s="1"/>
  <c r="CW358" i="431"/>
  <c r="CW371" i="431"/>
  <c r="BS355" i="431"/>
  <c r="BS318" i="431"/>
  <c r="BR317" i="431"/>
  <c r="BS325" i="431"/>
  <c r="BS326" i="431" s="1"/>
  <c r="BS330" i="431" s="1"/>
  <c r="EK233" i="431"/>
  <c r="EK230" i="431"/>
  <c r="DU268" i="431"/>
  <c r="DU269" i="431" s="1"/>
  <c r="BO251" i="431"/>
  <c r="CH250" i="431"/>
  <c r="CH251" i="431" s="1"/>
  <c r="CE266" i="431"/>
  <c r="CH266" i="431" s="1"/>
  <c r="CE253" i="431"/>
  <c r="CE372" i="431"/>
  <c r="CE251" i="431"/>
  <c r="BN351" i="431"/>
  <c r="BN348" i="431"/>
  <c r="CT266" i="431"/>
  <c r="CT267" i="431"/>
  <c r="BD365" i="431"/>
  <c r="BD362" i="431"/>
  <c r="EK237" i="431"/>
  <c r="EK360" i="431"/>
  <c r="M13" i="455"/>
  <c r="M19" i="455"/>
  <c r="M12" i="455"/>
  <c r="BI365" i="431"/>
  <c r="BI362" i="431"/>
  <c r="BO372" i="431"/>
  <c r="BO266" i="431"/>
  <c r="BO253" i="431"/>
  <c r="CR371" i="431"/>
  <c r="CR358" i="431"/>
  <c r="CR248" i="431"/>
  <c r="CR368" i="431" s="1"/>
  <c r="CV253" i="431"/>
  <c r="CV266" i="431"/>
  <c r="CV372" i="431"/>
  <c r="DA251" i="431"/>
  <c r="BT268" i="431"/>
  <c r="BU255" i="431"/>
  <c r="DZ267" i="431"/>
  <c r="EA265" i="431"/>
  <c r="AE237" i="431"/>
  <c r="DI255" i="431"/>
  <c r="DI273" i="431"/>
  <c r="DJ255" i="431"/>
  <c r="CT253" i="431"/>
  <c r="CT372" i="431"/>
  <c r="CT251" i="431"/>
  <c r="CY251" i="431"/>
  <c r="DG368" i="431"/>
  <c r="BN359" i="431"/>
  <c r="BN363" i="431" s="1"/>
  <c r="BN372" i="431"/>
  <c r="BN253" i="431"/>
  <c r="BN251" i="431"/>
  <c r="DB233" i="431"/>
  <c r="DB230" i="431"/>
  <c r="DV266" i="431"/>
  <c r="DB248" i="431"/>
  <c r="DB368" i="431" s="1"/>
  <c r="DB371" i="431"/>
  <c r="DB358" i="431"/>
  <c r="DI251" i="431"/>
  <c r="DD372" i="431"/>
  <c r="DD251" i="431"/>
  <c r="DD266" i="431"/>
  <c r="DG266" i="431" s="1"/>
  <c r="DD253" i="431"/>
  <c r="DD268" i="431" s="1"/>
  <c r="AJ237" i="431"/>
  <c r="BY251" i="431"/>
  <c r="BY372" i="431"/>
  <c r="BY253" i="431"/>
  <c r="BZ255" i="431" s="1"/>
  <c r="BY266" i="431"/>
  <c r="CC266" i="431" s="1"/>
  <c r="CD251" i="431"/>
  <c r="F19" i="455"/>
  <c r="F12" i="455"/>
  <c r="F13" i="455"/>
  <c r="EZ174" i="431"/>
  <c r="FE175" i="431" s="1"/>
  <c r="BD237" i="431"/>
  <c r="DB237" i="431"/>
  <c r="DB360" i="431"/>
  <c r="BI266" i="431"/>
  <c r="BI372" i="431"/>
  <c r="BI359" i="431"/>
  <c r="BI363" i="431" s="1"/>
  <c r="BI253" i="431"/>
  <c r="BI268" i="431" s="1"/>
  <c r="CX372" i="431"/>
  <c r="CX251" i="431"/>
  <c r="CX266" i="431"/>
  <c r="DB266" i="431" s="1"/>
  <c r="CX253" i="431"/>
  <c r="DC254" i="431" s="1"/>
  <c r="DB250" i="431"/>
  <c r="DG251" i="431" s="1"/>
  <c r="AT250" i="431"/>
  <c r="AT251" i="431" s="1"/>
  <c r="AT248" i="431"/>
  <c r="AT371" i="431"/>
  <c r="X372" i="431"/>
  <c r="X251" i="431"/>
  <c r="X253" i="431"/>
  <c r="AY360" i="431"/>
  <c r="AY366" i="431" s="1"/>
  <c r="AP253" i="431"/>
  <c r="AP268" i="431" s="1"/>
  <c r="AP266" i="431"/>
  <c r="AP372" i="431"/>
  <c r="AP251" i="431"/>
  <c r="AC372" i="431"/>
  <c r="AC253" i="431"/>
  <c r="AH251" i="431"/>
  <c r="AC251" i="431"/>
  <c r="U237" i="431"/>
  <c r="CX267" i="431"/>
  <c r="DB265" i="431"/>
  <c r="AE250" i="431"/>
  <c r="AE248" i="431"/>
  <c r="AE371" i="431"/>
  <c r="DG265" i="431"/>
  <c r="AF253" i="431"/>
  <c r="AF251" i="431"/>
  <c r="AK251" i="431"/>
  <c r="AF372" i="431"/>
  <c r="AW253" i="431"/>
  <c r="AW268" i="431" s="1"/>
  <c r="AW372" i="431"/>
  <c r="AW251" i="431"/>
  <c r="AW266" i="431"/>
  <c r="G12" i="455"/>
  <c r="G13" i="455"/>
  <c r="G19" i="455"/>
  <c r="DG230" i="431"/>
  <c r="DL230" i="431"/>
  <c r="DG233" i="431"/>
  <c r="CA268" i="431"/>
  <c r="CA273" i="431"/>
  <c r="AN372" i="431"/>
  <c r="AN253" i="431"/>
  <c r="AN251" i="431"/>
  <c r="AS251" i="431"/>
  <c r="AA251" i="431"/>
  <c r="V251" i="431"/>
  <c r="V253" i="431"/>
  <c r="V372" i="431"/>
  <c r="BN266" i="431"/>
  <c r="CI253" i="431"/>
  <c r="CI266" i="431"/>
  <c r="CI251" i="431"/>
  <c r="CN251" i="431"/>
  <c r="CI372" i="431"/>
  <c r="AJ371" i="431"/>
  <c r="AJ248" i="431"/>
  <c r="AJ250" i="431"/>
  <c r="BZ273" i="431"/>
  <c r="BZ268" i="431"/>
  <c r="CA255" i="431"/>
  <c r="EK273" i="431"/>
  <c r="DQ253" i="431"/>
  <c r="DQ372" i="431"/>
  <c r="DQ251" i="431"/>
  <c r="DQ359" i="431"/>
  <c r="DQ363" i="431" s="1"/>
  <c r="DQ364" i="431" s="1"/>
  <c r="DQ367" i="431" s="1"/>
  <c r="BX248" i="431"/>
  <c r="BX368" i="431" s="1"/>
  <c r="BX371" i="431"/>
  <c r="BX358" i="431"/>
  <c r="EJ254" i="431"/>
  <c r="EJ255" i="431"/>
  <c r="EJ273" i="431"/>
  <c r="L372" i="431"/>
  <c r="L253" i="431"/>
  <c r="L251" i="431"/>
  <c r="Q251" i="431"/>
  <c r="K372" i="431"/>
  <c r="K251" i="431"/>
  <c r="K253" i="431"/>
  <c r="CJ253" i="431"/>
  <c r="CK255" i="431" s="1"/>
  <c r="CJ251" i="431"/>
  <c r="CJ372" i="431"/>
  <c r="CJ266" i="431"/>
  <c r="CO251" i="431"/>
  <c r="CM250" i="431"/>
  <c r="DM254" i="431"/>
  <c r="DM255" i="431"/>
  <c r="DN255" i="431"/>
  <c r="DM273" i="431"/>
  <c r="DG372" i="431"/>
  <c r="DG359" i="431"/>
  <c r="DG363" i="431" s="1"/>
  <c r="CQ268" i="431"/>
  <c r="CQ255" i="431"/>
  <c r="CQ273" i="431"/>
  <c r="CQ254" i="431"/>
  <c r="CV254" i="431"/>
  <c r="CS255" i="431"/>
  <c r="BS359" i="431"/>
  <c r="BS363" i="431" s="1"/>
  <c r="BS372" i="431"/>
  <c r="DF268" i="431"/>
  <c r="DF269" i="431" s="1"/>
  <c r="DG267" i="431"/>
  <c r="CB273" i="431"/>
  <c r="CB268" i="431"/>
  <c r="CB255" i="431"/>
  <c r="CG254" i="431"/>
  <c r="CD255" i="431"/>
  <c r="DL273" i="431"/>
  <c r="BW263" i="431"/>
  <c r="BX263" i="431" s="1"/>
  <c r="BW262" i="431"/>
  <c r="BX262" i="431" s="1"/>
  <c r="AY372" i="431"/>
  <c r="AY266" i="431"/>
  <c r="AY253" i="431"/>
  <c r="AY268" i="431" s="1"/>
  <c r="AY359" i="431"/>
  <c r="AY363" i="431" s="1"/>
  <c r="AY364" i="431" s="1"/>
  <c r="AY367" i="431" s="1"/>
  <c r="DQ267" i="431"/>
  <c r="DM268" i="431"/>
  <c r="DM269" i="431" s="1"/>
  <c r="CK273" i="431"/>
  <c r="CK268" i="431"/>
  <c r="CL255" i="431"/>
  <c r="CP254" i="431"/>
  <c r="CP273" i="431"/>
  <c r="CP268" i="431"/>
  <c r="CU254" i="431"/>
  <c r="CM360" i="431"/>
  <c r="CM237" i="431"/>
  <c r="CR237" i="431"/>
  <c r="U253" i="431"/>
  <c r="U372" i="431"/>
  <c r="Z253" i="431"/>
  <c r="Z251" i="431"/>
  <c r="Z372" i="431"/>
  <c r="BW266" i="431"/>
  <c r="BX266" i="431" s="1"/>
  <c r="BW251" i="431"/>
  <c r="BW372" i="431"/>
  <c r="BW253" i="431"/>
  <c r="BX250" i="431"/>
  <c r="CC251" i="431" s="1"/>
  <c r="DC268" i="431"/>
  <c r="DG253" i="431"/>
  <c r="DC273" i="431"/>
  <c r="DC255" i="431"/>
  <c r="DH254" i="431"/>
  <c r="DU273" i="431"/>
  <c r="DU255" i="431"/>
  <c r="DU254" i="431"/>
  <c r="DQ266" i="431"/>
  <c r="DQ284" i="431" s="1"/>
  <c r="DQ291" i="431" s="1"/>
  <c r="I14" i="455" s="1"/>
  <c r="I16" i="455" s="1"/>
  <c r="I17" i="455" s="1"/>
  <c r="DM284" i="431"/>
  <c r="DM291" i="431" s="1"/>
  <c r="BD266" i="431"/>
  <c r="BD251" i="431"/>
  <c r="BD359" i="431"/>
  <c r="BD363" i="431" s="1"/>
  <c r="BD372" i="431"/>
  <c r="BD253" i="431"/>
  <c r="BD268" i="431" s="1"/>
  <c r="BI251" i="431"/>
  <c r="BX360" i="431"/>
  <c r="BX237" i="431"/>
  <c r="DV273" i="431"/>
  <c r="DL251" i="431"/>
  <c r="AO253" i="431"/>
  <c r="AO372" i="431"/>
  <c r="EG113" i="431"/>
  <c r="CM233" i="431"/>
  <c r="CR230" i="431"/>
  <c r="EH291" i="431"/>
  <c r="DV251" i="431"/>
  <c r="DW269" i="431"/>
  <c r="CC253" i="431"/>
  <c r="CC372" i="431"/>
  <c r="CC359" i="431"/>
  <c r="CC363" i="431" s="1"/>
  <c r="P371" i="431"/>
  <c r="P250" i="431"/>
  <c r="U251" i="431" s="1"/>
  <c r="P248" i="431"/>
  <c r="DF273" i="431"/>
  <c r="DF255" i="431"/>
  <c r="DF254" i="431"/>
  <c r="DH255" i="431"/>
  <c r="J16" i="455"/>
  <c r="J17" i="455" s="1"/>
  <c r="DP269" i="431"/>
  <c r="CM371" i="431"/>
  <c r="CM358" i="431"/>
  <c r="CM248" i="431"/>
  <c r="CM368" i="431" s="1"/>
  <c r="DL268" i="431"/>
  <c r="P15" i="435"/>
  <c r="P9" i="435"/>
  <c r="O10" i="435"/>
  <c r="AU15" i="435" s="1"/>
  <c r="A112" i="435"/>
  <c r="D112" i="435" s="1"/>
  <c r="D100" i="435"/>
  <c r="A102" i="435"/>
  <c r="D90" i="435"/>
  <c r="D82" i="435"/>
  <c r="A94" i="435"/>
  <c r="Q4" i="435"/>
  <c r="P5" i="435"/>
  <c r="P25" i="435"/>
  <c r="O27" i="435"/>
  <c r="AU32" i="435" s="1"/>
  <c r="DB278" i="431" s="1"/>
  <c r="DB279" i="431" s="1"/>
  <c r="DB280" i="431" s="1"/>
  <c r="O26" i="435"/>
  <c r="AU31" i="435" s="1"/>
  <c r="D91" i="435"/>
  <c r="A103" i="435"/>
  <c r="D83" i="435"/>
  <c r="A95" i="435"/>
  <c r="D80" i="435"/>
  <c r="A92" i="435"/>
  <c r="D74" i="435"/>
  <c r="A86" i="435"/>
  <c r="C183" i="435"/>
  <c r="B182" i="435"/>
  <c r="D182" i="435" s="1"/>
  <c r="D73" i="435"/>
  <c r="A85" i="435"/>
  <c r="D11" i="434"/>
  <c r="C10" i="434"/>
  <c r="G909" i="433"/>
  <c r="A11" i="433"/>
  <c r="B11" i="433" s="1"/>
  <c r="E12" i="433"/>
  <c r="A13" i="434"/>
  <c r="B13" i="434" s="1"/>
  <c r="E14" i="434"/>
  <c r="FQ250" i="431"/>
  <c r="M68" i="451"/>
  <c r="M47" i="451"/>
  <c r="N67" i="451"/>
  <c r="N23" i="451"/>
  <c r="EL267" i="431"/>
  <c r="N31" i="451"/>
  <c r="N35" i="451" s="1"/>
  <c r="N25" i="451"/>
  <c r="G913" i="434"/>
  <c r="FQ248" i="431"/>
  <c r="EL273" i="431"/>
  <c r="FN273" i="431" s="1"/>
  <c r="EL255" i="431"/>
  <c r="FN255" i="431" s="1"/>
  <c r="C11" i="433"/>
  <c r="D12" i="433"/>
  <c r="EL266" i="431"/>
  <c r="FN266" i="431" s="1"/>
  <c r="EP267" i="431" l="1"/>
  <c r="FN267" i="431"/>
  <c r="EM255" i="431"/>
  <c r="FN253" i="431"/>
  <c r="EP265" i="431"/>
  <c r="FN265" i="431"/>
  <c r="FP251" i="431"/>
  <c r="EB273" i="431"/>
  <c r="EC255" i="431"/>
  <c r="EB268" i="431"/>
  <c r="EB269" i="431" s="1"/>
  <c r="EB254" i="431"/>
  <c r="BS253" i="431"/>
  <c r="FQ113" i="431"/>
  <c r="EL284" i="431"/>
  <c r="EP266" i="431"/>
  <c r="EP251" i="431"/>
  <c r="EP253" i="431"/>
  <c r="EJ269" i="431"/>
  <c r="EO269" i="431"/>
  <c r="EF359" i="431"/>
  <c r="EF363" i="431" s="1"/>
  <c r="EF364" i="431" s="1"/>
  <c r="EF367" i="431" s="1"/>
  <c r="EF372" i="431"/>
  <c r="EF253" i="431"/>
  <c r="EZ181" i="431"/>
  <c r="EZ182" i="431" s="1"/>
  <c r="EF267" i="431"/>
  <c r="EF268" i="431" s="1"/>
  <c r="ED268" i="431"/>
  <c r="ED269" i="431" s="1"/>
  <c r="CZ269" i="431"/>
  <c r="DE269" i="431"/>
  <c r="DD255" i="431"/>
  <c r="FQ123" i="431"/>
  <c r="EF266" i="431"/>
  <c r="ED284" i="431"/>
  <c r="FP113" i="431"/>
  <c r="EK251" i="431"/>
  <c r="BS366" i="431"/>
  <c r="ED254" i="431"/>
  <c r="ED273" i="431"/>
  <c r="EE255" i="431"/>
  <c r="ED255" i="431"/>
  <c r="EZ200" i="431"/>
  <c r="EZ201" i="431" s="1"/>
  <c r="EZ167" i="431"/>
  <c r="EZ168" i="431" s="1"/>
  <c r="EI269" i="431"/>
  <c r="EN269" i="431"/>
  <c r="ES111" i="431"/>
  <c r="CG269" i="431"/>
  <c r="CF254" i="431"/>
  <c r="CW359" i="431"/>
  <c r="CW363" i="431" s="1"/>
  <c r="CF273" i="431"/>
  <c r="CF268" i="431"/>
  <c r="CK269" i="431" s="1"/>
  <c r="CK254" i="431"/>
  <c r="CW372" i="431"/>
  <c r="FE150" i="431"/>
  <c r="FE147" i="431" s="1"/>
  <c r="FE138" i="431" s="1"/>
  <c r="EZ147" i="431"/>
  <c r="ES124" i="431"/>
  <c r="ES125" i="431" s="1"/>
  <c r="ES103" i="431"/>
  <c r="BI364" i="431"/>
  <c r="BI367" i="431" s="1"/>
  <c r="ES34" i="431"/>
  <c r="ES43" i="431"/>
  <c r="ER111" i="431"/>
  <c r="ER43" i="431"/>
  <c r="ER34" i="431"/>
  <c r="ER103" i="431"/>
  <c r="ER124" i="431"/>
  <c r="ER125" i="431" s="1"/>
  <c r="ER72" i="431"/>
  <c r="ER73" i="431" s="1"/>
  <c r="ER71" i="431"/>
  <c r="ES259" i="431"/>
  <c r="ES267" i="431" s="1"/>
  <c r="ET257" i="431"/>
  <c r="ET259" i="431" s="1"/>
  <c r="ET267" i="431" s="1"/>
  <c r="ES69" i="431"/>
  <c r="ES70" i="431"/>
  <c r="ET68" i="431"/>
  <c r="EU68" i="431" s="1"/>
  <c r="EU69" i="431" s="1"/>
  <c r="CT268" i="431"/>
  <c r="CY269" i="431" s="1"/>
  <c r="BS266" i="431"/>
  <c r="BD364" i="431"/>
  <c r="BD367" i="431" s="1"/>
  <c r="CW253" i="431"/>
  <c r="CW273" i="431" s="1"/>
  <c r="D15" i="451"/>
  <c r="D54" i="451" s="1"/>
  <c r="C569" i="435"/>
  <c r="B568" i="435"/>
  <c r="D568" i="435" s="1"/>
  <c r="EZ175" i="431"/>
  <c r="O60" i="453"/>
  <c r="O93" i="453"/>
  <c r="O95" i="453" s="1"/>
  <c r="O99" i="453" s="1"/>
  <c r="O51" i="453"/>
  <c r="P29" i="453"/>
  <c r="P21" i="453"/>
  <c r="O44" i="453"/>
  <c r="P32" i="453"/>
  <c r="P23" i="453" s="1"/>
  <c r="R20" i="435"/>
  <c r="Q22" i="435"/>
  <c r="S32" i="435" s="1"/>
  <c r="BZ278" i="431" s="1"/>
  <c r="BZ279" i="431" s="1"/>
  <c r="BZ280" i="431" s="1"/>
  <c r="Q21" i="435"/>
  <c r="S31" i="435" s="1"/>
  <c r="V24" i="455"/>
  <c r="W4" i="455"/>
  <c r="CW266" i="431"/>
  <c r="CS30" i="435"/>
  <c r="N61" i="453"/>
  <c r="N62" i="453" s="1"/>
  <c r="N69" i="453" s="1"/>
  <c r="Q69" i="453" s="1"/>
  <c r="O47" i="453"/>
  <c r="O45" i="453"/>
  <c r="P67" i="453"/>
  <c r="CR268" i="431"/>
  <c r="DN269" i="431"/>
  <c r="DR269" i="431"/>
  <c r="EK266" i="431"/>
  <c r="FP266" i="431"/>
  <c r="EG284" i="431"/>
  <c r="CW267" i="431"/>
  <c r="BS348" i="431"/>
  <c r="BS351" i="431"/>
  <c r="DZ284" i="431"/>
  <c r="DZ291" i="431" s="1"/>
  <c r="EA266" i="431"/>
  <c r="EA359" i="431"/>
  <c r="EA363" i="431" s="1"/>
  <c r="EA364" i="431" s="1"/>
  <c r="EA367" i="431" s="1"/>
  <c r="EA251" i="431"/>
  <c r="EA253" i="431"/>
  <c r="EF251" i="431"/>
  <c r="EA372" i="431"/>
  <c r="CE273" i="431"/>
  <c r="CF255" i="431"/>
  <c r="CE268" i="431"/>
  <c r="CE269" i="431" s="1"/>
  <c r="CE255" i="431"/>
  <c r="EG255" i="431"/>
  <c r="EG254" i="431"/>
  <c r="EG273" i="431"/>
  <c r="EH255" i="431"/>
  <c r="CO273" i="431"/>
  <c r="CO268" i="431"/>
  <c r="CT269" i="431" s="1"/>
  <c r="CO255" i="431"/>
  <c r="DZ273" i="431"/>
  <c r="EE254" i="431"/>
  <c r="EB255" i="431"/>
  <c r="DZ255" i="431"/>
  <c r="CT273" i="431"/>
  <c r="CT254" i="431"/>
  <c r="CY254" i="431"/>
  <c r="CU255" i="431"/>
  <c r="CT255" i="431"/>
  <c r="CV273" i="431"/>
  <c r="CV255" i="431"/>
  <c r="DA254" i="431"/>
  <c r="DZ268" i="431"/>
  <c r="EA267" i="431"/>
  <c r="CH372" i="431"/>
  <c r="CH253" i="431"/>
  <c r="CH254" i="431" s="1"/>
  <c r="CH359" i="431"/>
  <c r="CH363" i="431" s="1"/>
  <c r="EG267" i="431"/>
  <c r="EK265" i="431"/>
  <c r="CM266" i="431"/>
  <c r="G16" i="455"/>
  <c r="G17" i="455" s="1"/>
  <c r="F16" i="455"/>
  <c r="F17" i="455" s="1"/>
  <c r="CV268" i="431"/>
  <c r="DA269" i="431" s="1"/>
  <c r="BN365" i="431"/>
  <c r="BN362" i="431"/>
  <c r="BN364" i="431" s="1"/>
  <c r="CH312" i="431"/>
  <c r="CH313" i="431" s="1"/>
  <c r="CC317" i="431"/>
  <c r="CE254" i="431"/>
  <c r="BX355" i="431"/>
  <c r="BX366" i="431" s="1"/>
  <c r="BW317" i="431"/>
  <c r="BX325" i="431"/>
  <c r="BX326" i="431" s="1"/>
  <c r="BX330" i="431" s="1"/>
  <c r="BX318" i="431"/>
  <c r="AJ253" i="431"/>
  <c r="AJ251" i="431"/>
  <c r="AJ372" i="431"/>
  <c r="BY268" i="431"/>
  <c r="CD269" i="431" s="1"/>
  <c r="BY273" i="431"/>
  <c r="CD254" i="431"/>
  <c r="AT372" i="431"/>
  <c r="AT266" i="431"/>
  <c r="AT253" i="431"/>
  <c r="AT268" i="431" s="1"/>
  <c r="AY251" i="431"/>
  <c r="AE251" i="431"/>
  <c r="AE253" i="431"/>
  <c r="AE372" i="431"/>
  <c r="DB359" i="431"/>
  <c r="DB363" i="431" s="1"/>
  <c r="DB253" i="431"/>
  <c r="DG254" i="431" s="1"/>
  <c r="DB251" i="431"/>
  <c r="DB372" i="431"/>
  <c r="DD269" i="431"/>
  <c r="DI269" i="431"/>
  <c r="CX254" i="431"/>
  <c r="CX255" i="431"/>
  <c r="CY255" i="431"/>
  <c r="CX273" i="431"/>
  <c r="AO251" i="431"/>
  <c r="DI254" i="431"/>
  <c r="DE255" i="431"/>
  <c r="DD273" i="431"/>
  <c r="DD254" i="431"/>
  <c r="CI273" i="431"/>
  <c r="CN254" i="431"/>
  <c r="CI254" i="431"/>
  <c r="CI255" i="431"/>
  <c r="CI268" i="431"/>
  <c r="DB267" i="431"/>
  <c r="CX268" i="431"/>
  <c r="CX269" i="431" s="1"/>
  <c r="DG273" i="431"/>
  <c r="DQ254" i="431"/>
  <c r="DQ273" i="431"/>
  <c r="DH269" i="431"/>
  <c r="CQ269" i="431"/>
  <c r="DK269" i="431"/>
  <c r="CC268" i="431"/>
  <c r="CC273" i="431"/>
  <c r="BW255" i="431"/>
  <c r="BY255" i="431"/>
  <c r="CJ254" i="431"/>
  <c r="CJ268" i="431"/>
  <c r="CJ273" i="431"/>
  <c r="CJ255" i="431"/>
  <c r="CO254" i="431"/>
  <c r="CP269" i="431"/>
  <c r="CU269" i="431"/>
  <c r="CM251" i="431"/>
  <c r="CM253" i="431"/>
  <c r="CM372" i="431"/>
  <c r="CM359" i="431"/>
  <c r="CM363" i="431" s="1"/>
  <c r="CR251" i="431"/>
  <c r="DL254" i="431"/>
  <c r="DV254" i="431"/>
  <c r="P372" i="431"/>
  <c r="P253" i="431"/>
  <c r="P251" i="431"/>
  <c r="DG268" i="431"/>
  <c r="DL269" i="431" s="1"/>
  <c r="BX253" i="431"/>
  <c r="BX273" i="431" s="1"/>
  <c r="BX251" i="431"/>
  <c r="BX372" i="431"/>
  <c r="BX359" i="431"/>
  <c r="BX363" i="431" s="1"/>
  <c r="DQ268" i="431"/>
  <c r="D92" i="435"/>
  <c r="A104" i="435"/>
  <c r="P26" i="435"/>
  <c r="AZ31" i="435" s="1"/>
  <c r="P27" i="435"/>
  <c r="AZ32" i="435" s="1"/>
  <c r="DG278" i="431" s="1"/>
  <c r="DG279" i="431" s="1"/>
  <c r="DG280" i="431" s="1"/>
  <c r="Q25" i="435"/>
  <c r="P10" i="435"/>
  <c r="AZ15" i="435" s="1"/>
  <c r="Q9" i="435"/>
  <c r="D102" i="435"/>
  <c r="A114" i="435"/>
  <c r="D114" i="435" s="1"/>
  <c r="D85" i="435"/>
  <c r="A97" i="435"/>
  <c r="D95" i="435"/>
  <c r="A107" i="435"/>
  <c r="R15" i="435"/>
  <c r="A115" i="435"/>
  <c r="D115" i="435" s="1"/>
  <c r="D103" i="435"/>
  <c r="R4" i="435"/>
  <c r="Q5" i="435"/>
  <c r="D86" i="435"/>
  <c r="A98" i="435"/>
  <c r="A106" i="435"/>
  <c r="D94" i="435"/>
  <c r="C184" i="435"/>
  <c r="B183" i="435"/>
  <c r="D183" i="435" s="1"/>
  <c r="A14" i="434"/>
  <c r="B14" i="434" s="1"/>
  <c r="E15" i="434"/>
  <c r="G910" i="433"/>
  <c r="D12" i="434"/>
  <c r="C11" i="434"/>
  <c r="A12" i="433"/>
  <c r="B12" i="433" s="1"/>
  <c r="E13" i="433"/>
  <c r="C12" i="433"/>
  <c r="D13" i="433"/>
  <c r="M61" i="451"/>
  <c r="N60" i="451"/>
  <c r="N51" i="451"/>
  <c r="EU290" i="431" s="1"/>
  <c r="G914" i="434"/>
  <c r="EL268" i="431"/>
  <c r="FN268" i="431" s="1"/>
  <c r="O21" i="451"/>
  <c r="O29" i="451"/>
  <c r="CF42" i="451"/>
  <c r="CF41" i="451"/>
  <c r="N45" i="451"/>
  <c r="O32" i="451"/>
  <c r="N44" i="451"/>
  <c r="N66" i="451" s="1"/>
  <c r="N68" i="451" s="1"/>
  <c r="FQ266" i="431"/>
  <c r="EL291" i="431" l="1"/>
  <c r="EP284" i="431"/>
  <c r="EP291" i="431" s="1"/>
  <c r="FJ255" i="431"/>
  <c r="FI255" i="431"/>
  <c r="FK255" i="431"/>
  <c r="CW268" i="431"/>
  <c r="CW269" i="431" s="1"/>
  <c r="EP254" i="431"/>
  <c r="EP273" i="431"/>
  <c r="EP268" i="431"/>
  <c r="ED291" i="431"/>
  <c r="EF284" i="431"/>
  <c r="EF291" i="431" s="1"/>
  <c r="L14" i="455" s="1"/>
  <c r="L16" i="455" s="1"/>
  <c r="L17" i="455" s="1"/>
  <c r="FE182" i="431"/>
  <c r="EK254" i="431"/>
  <c r="EF273" i="431"/>
  <c r="FE201" i="431"/>
  <c r="FE168" i="431"/>
  <c r="CF269" i="431"/>
  <c r="CW254" i="431"/>
  <c r="FE148" i="431"/>
  <c r="EZ148" i="431"/>
  <c r="EZ138" i="431"/>
  <c r="EZ139" i="431" s="1"/>
  <c r="ER44" i="431"/>
  <c r="ER160" i="431"/>
  <c r="ER161" i="431" s="1"/>
  <c r="ER45" i="431"/>
  <c r="ER46" i="431" s="1"/>
  <c r="ES160" i="431"/>
  <c r="ES161" i="431" s="1"/>
  <c r="ES44" i="431"/>
  <c r="ES45" i="431"/>
  <c r="ES46" i="431" s="1"/>
  <c r="ES94" i="431"/>
  <c r="ES135" i="431"/>
  <c r="ES104" i="431"/>
  <c r="ES120" i="431"/>
  <c r="FH135" i="431"/>
  <c r="ER120" i="431"/>
  <c r="ER135" i="431"/>
  <c r="ER104" i="431"/>
  <c r="ER94" i="431"/>
  <c r="EU259" i="431"/>
  <c r="E36" i="455" s="1"/>
  <c r="EU257" i="431"/>
  <c r="ET69" i="431"/>
  <c r="ET70" i="431"/>
  <c r="EZ68" i="431"/>
  <c r="ES72" i="431"/>
  <c r="ES71" i="431"/>
  <c r="BN367" i="431"/>
  <c r="EA268" i="431"/>
  <c r="EA269" i="431" s="1"/>
  <c r="C570" i="435"/>
  <c r="B569" i="435"/>
  <c r="D569" i="435" s="1"/>
  <c r="EU340" i="431"/>
  <c r="O66" i="453"/>
  <c r="O68" i="453" s="1"/>
  <c r="P90" i="453"/>
  <c r="P91" i="453" s="1"/>
  <c r="CV269" i="431"/>
  <c r="O61" i="453"/>
  <c r="X4" i="455"/>
  <c r="X24" i="455" s="1"/>
  <c r="W24" i="455"/>
  <c r="R22" i="435"/>
  <c r="T32" i="435" s="1"/>
  <c r="CA278" i="431" s="1"/>
  <c r="CA279" i="431" s="1"/>
  <c r="CA280" i="431" s="1"/>
  <c r="S20" i="435"/>
  <c r="R21" i="435"/>
  <c r="T31" i="435" s="1"/>
  <c r="P31" i="453"/>
  <c r="P35" i="453" s="1"/>
  <c r="P25" i="453"/>
  <c r="O62" i="453"/>
  <c r="DC269" i="431"/>
  <c r="EK267" i="431"/>
  <c r="EK268" i="431" s="1"/>
  <c r="EK269" i="431" s="1"/>
  <c r="EG268" i="431"/>
  <c r="EL269" i="431" s="1"/>
  <c r="FN269" i="431" s="1"/>
  <c r="EE269" i="431"/>
  <c r="DZ269" i="431"/>
  <c r="EA273" i="431"/>
  <c r="EF254" i="431"/>
  <c r="EA254" i="431"/>
  <c r="EG291" i="431"/>
  <c r="EK284" i="431"/>
  <c r="EK291" i="431" s="1"/>
  <c r="M14" i="455" s="1"/>
  <c r="M16" i="455" s="1"/>
  <c r="BX351" i="431"/>
  <c r="BX348" i="431"/>
  <c r="CH268" i="431"/>
  <c r="CH269" i="431" s="1"/>
  <c r="CH273" i="431"/>
  <c r="BS365" i="431"/>
  <c r="BS362" i="431"/>
  <c r="BS364" i="431" s="1"/>
  <c r="CC355" i="431"/>
  <c r="CC366" i="431" s="1"/>
  <c r="CC318" i="431"/>
  <c r="CB317" i="431"/>
  <c r="CC325" i="431"/>
  <c r="CC326" i="431" s="1"/>
  <c r="CC330" i="431" s="1"/>
  <c r="CM312" i="431"/>
  <c r="CM313" i="431" s="1"/>
  <c r="CH317" i="431"/>
  <c r="CI269" i="431"/>
  <c r="CN269" i="431"/>
  <c r="DB268" i="431"/>
  <c r="DB273" i="431"/>
  <c r="DB254" i="431"/>
  <c r="DQ269" i="431"/>
  <c r="DV269" i="431"/>
  <c r="CJ269" i="431"/>
  <c r="CO269" i="431"/>
  <c r="CC254" i="431"/>
  <c r="CM273" i="431"/>
  <c r="CM254" i="431"/>
  <c r="CM268" i="431"/>
  <c r="CR254" i="431"/>
  <c r="Q26" i="435"/>
  <c r="Q27" i="435"/>
  <c r="BE32" i="435" s="1"/>
  <c r="R25" i="435"/>
  <c r="A109" i="435"/>
  <c r="D97" i="435"/>
  <c r="A118" i="435"/>
  <c r="D118" i="435" s="1"/>
  <c r="D106" i="435"/>
  <c r="D104" i="435"/>
  <c r="A116" i="435"/>
  <c r="D116" i="435" s="1"/>
  <c r="A110" i="435"/>
  <c r="D98" i="435"/>
  <c r="A119" i="435"/>
  <c r="D119" i="435" s="1"/>
  <c r="D107" i="435"/>
  <c r="S15" i="435"/>
  <c r="Q10" i="435"/>
  <c r="R9" i="435"/>
  <c r="S9" i="435" s="1"/>
  <c r="T9" i="435" s="1"/>
  <c r="U9" i="435" s="1"/>
  <c r="V9" i="435" s="1"/>
  <c r="W9" i="435" s="1"/>
  <c r="X9" i="435" s="1"/>
  <c r="Y9" i="435" s="1"/>
  <c r="C185" i="435"/>
  <c r="B184" i="435"/>
  <c r="D184" i="435" s="1"/>
  <c r="S4" i="435"/>
  <c r="R5" i="435"/>
  <c r="A13" i="433"/>
  <c r="B13" i="433" s="1"/>
  <c r="E14" i="433"/>
  <c r="E16" i="434"/>
  <c r="A15" i="434"/>
  <c r="B15" i="434" s="1"/>
  <c r="D13" i="434"/>
  <c r="C12" i="434"/>
  <c r="G911" i="433"/>
  <c r="N47" i="451"/>
  <c r="M62" i="451"/>
  <c r="M69" i="451" s="1"/>
  <c r="O23" i="451"/>
  <c r="O67" i="451"/>
  <c r="P24" i="451"/>
  <c r="D14" i="433"/>
  <c r="C13" i="433"/>
  <c r="O31" i="451"/>
  <c r="O35" i="451" s="1"/>
  <c r="O25" i="451"/>
  <c r="G915" i="434"/>
  <c r="DB269" i="431" l="1"/>
  <c r="EP269" i="431"/>
  <c r="O69" i="453"/>
  <c r="FE139" i="431"/>
  <c r="EF269" i="431"/>
  <c r="ER221" i="431"/>
  <c r="ER222" i="431" s="1"/>
  <c r="ER60" i="431"/>
  <c r="ER136" i="431"/>
  <c r="ER82" i="431"/>
  <c r="ER51" i="431"/>
  <c r="ES82" i="431"/>
  <c r="ES221" i="431"/>
  <c r="ES222" i="431" s="1"/>
  <c r="ES60" i="431"/>
  <c r="ES51" i="431"/>
  <c r="ES136" i="431"/>
  <c r="ES96" i="431"/>
  <c r="ES100" i="431"/>
  <c r="ES95" i="431"/>
  <c r="ER96" i="431"/>
  <c r="ER100" i="431"/>
  <c r="ER95" i="431"/>
  <c r="EU258" i="431"/>
  <c r="EZ258" i="431" s="1"/>
  <c r="FE258" i="431" s="1"/>
  <c r="EU260" i="431"/>
  <c r="EZ257" i="431" s="1"/>
  <c r="EU267" i="431"/>
  <c r="ES73" i="431"/>
  <c r="FE68" i="431"/>
  <c r="EZ69" i="431"/>
  <c r="EZ70" i="431"/>
  <c r="ET71" i="431"/>
  <c r="ET72" i="431"/>
  <c r="ET73" i="431" s="1"/>
  <c r="EU386" i="431"/>
  <c r="DG269" i="431"/>
  <c r="B570" i="435"/>
  <c r="D570" i="435" s="1"/>
  <c r="C571" i="435"/>
  <c r="P44" i="453"/>
  <c r="P45" i="453"/>
  <c r="P93" i="453"/>
  <c r="P95" i="453" s="1"/>
  <c r="P99" i="453" s="1"/>
  <c r="P51" i="453"/>
  <c r="P60" i="453"/>
  <c r="T20" i="435"/>
  <c r="S21" i="435"/>
  <c r="U31" i="435" s="1"/>
  <c r="S22" i="435"/>
  <c r="U32" i="435" s="1"/>
  <c r="CB278" i="431" s="1"/>
  <c r="CB279" i="431" s="1"/>
  <c r="CB280" i="431" s="1"/>
  <c r="CM317" i="431"/>
  <c r="CR312" i="431"/>
  <c r="CR313" i="431" s="1"/>
  <c r="BX362" i="431"/>
  <c r="BX364" i="431" s="1"/>
  <c r="BX365" i="431"/>
  <c r="M17" i="455"/>
  <c r="M18" i="455"/>
  <c r="CC348" i="431"/>
  <c r="CC351" i="431"/>
  <c r="EG269" i="431"/>
  <c r="BS367" i="431"/>
  <c r="CG317" i="431"/>
  <c r="CH355" i="431"/>
  <c r="CH366" i="431" s="1"/>
  <c r="CH325" i="431"/>
  <c r="CH326" i="431" s="1"/>
  <c r="CH330" i="431" s="1"/>
  <c r="CH318" i="431"/>
  <c r="CM269" i="431"/>
  <c r="CR269" i="431"/>
  <c r="T15" i="435"/>
  <c r="T4" i="435"/>
  <c r="S5" i="435"/>
  <c r="C186" i="435"/>
  <c r="B185" i="435"/>
  <c r="D185" i="435" s="1"/>
  <c r="S25" i="435"/>
  <c r="R27" i="435"/>
  <c r="BJ32" i="435" s="1"/>
  <c r="A121" i="435"/>
  <c r="D121" i="435" s="1"/>
  <c r="D109" i="435"/>
  <c r="BE15" i="435"/>
  <c r="BJ15" i="435" s="1"/>
  <c r="BO15" i="435" s="1"/>
  <c r="BT15" i="435" s="1"/>
  <c r="BY15" i="435" s="1"/>
  <c r="CD15" i="435" s="1"/>
  <c r="R10" i="435"/>
  <c r="S10" i="435" s="1"/>
  <c r="T10" i="435" s="1"/>
  <c r="U10" i="435" s="1"/>
  <c r="V10" i="435" s="1"/>
  <c r="W10" i="435" s="1"/>
  <c r="D110" i="435"/>
  <c r="A122" i="435"/>
  <c r="D122" i="435" s="1"/>
  <c r="R26" i="435"/>
  <c r="BE31" i="435"/>
  <c r="D14" i="434"/>
  <c r="C13" i="434"/>
  <c r="E17" i="434"/>
  <c r="A16" i="434"/>
  <c r="B16" i="434" s="1"/>
  <c r="A14" i="433"/>
  <c r="B14" i="433" s="1"/>
  <c r="E15" i="433"/>
  <c r="G912" i="433"/>
  <c r="P29" i="451"/>
  <c r="P21" i="451"/>
  <c r="O44" i="451"/>
  <c r="O66" i="451" s="1"/>
  <c r="P32" i="451"/>
  <c r="O45" i="451"/>
  <c r="C14" i="433"/>
  <c r="D15" i="433"/>
  <c r="N61" i="451"/>
  <c r="N62" i="451" s="1"/>
  <c r="N69" i="451" s="1"/>
  <c r="Q69" i="451" s="1"/>
  <c r="G916" i="434"/>
  <c r="O60" i="451"/>
  <c r="O51" i="451"/>
  <c r="EZ290" i="431" s="1"/>
  <c r="BX367" i="431" l="1"/>
  <c r="ER101" i="431"/>
  <c r="ER102" i="431"/>
  <c r="ES101" i="431"/>
  <c r="ES102" i="431"/>
  <c r="EU72" i="431"/>
  <c r="EZ72" i="431"/>
  <c r="FE69" i="431"/>
  <c r="FE70" i="431"/>
  <c r="FE257" i="431"/>
  <c r="EZ386" i="431"/>
  <c r="EZ259" i="431"/>
  <c r="EZ267" i="431" s="1"/>
  <c r="O47" i="451"/>
  <c r="O61" i="451" s="1"/>
  <c r="O62" i="451" s="1"/>
  <c r="B571" i="435"/>
  <c r="D571" i="435" s="1"/>
  <c r="C572" i="435"/>
  <c r="U20" i="435"/>
  <c r="T21" i="435"/>
  <c r="W31" i="435" s="1"/>
  <c r="T22" i="435"/>
  <c r="W32" i="435" s="1"/>
  <c r="CD278" i="431" s="1"/>
  <c r="CD279" i="431" s="1"/>
  <c r="CD280" i="431" s="1"/>
  <c r="P66" i="453"/>
  <c r="P68" i="453" s="1"/>
  <c r="P47" i="453"/>
  <c r="P61" i="453" s="1"/>
  <c r="P62" i="453" s="1"/>
  <c r="CC365" i="431"/>
  <c r="CC362" i="431"/>
  <c r="CC364" i="431" s="1"/>
  <c r="CH348" i="431"/>
  <c r="CH351" i="431"/>
  <c r="CW312" i="431"/>
  <c r="CW313" i="431" s="1"/>
  <c r="CR317" i="431"/>
  <c r="CM325" i="431"/>
  <c r="CM326" i="431" s="1"/>
  <c r="CM330" i="431" s="1"/>
  <c r="CL317" i="431"/>
  <c r="CM318" i="431"/>
  <c r="CM355" i="431"/>
  <c r="CM366" i="431" s="1"/>
  <c r="CI15" i="435"/>
  <c r="X10" i="435"/>
  <c r="S26" i="435"/>
  <c r="BJ31" i="435"/>
  <c r="U15" i="435"/>
  <c r="U4" i="435"/>
  <c r="T5" i="435"/>
  <c r="T25" i="435"/>
  <c r="S27" i="435"/>
  <c r="BO32" i="435" s="1"/>
  <c r="C187" i="435"/>
  <c r="B186" i="435"/>
  <c r="D186" i="435" s="1"/>
  <c r="EU329" i="431"/>
  <c r="D15" i="434"/>
  <c r="C14" i="434"/>
  <c r="G913" i="433"/>
  <c r="E18" i="434"/>
  <c r="A17" i="434"/>
  <c r="B17" i="434" s="1"/>
  <c r="A15" i="433"/>
  <c r="B15" i="433" s="1"/>
  <c r="E16" i="433"/>
  <c r="P23" i="451"/>
  <c r="P67" i="451"/>
  <c r="O68" i="451"/>
  <c r="EZ340" i="431"/>
  <c r="P31" i="451"/>
  <c r="P35" i="451" s="1"/>
  <c r="P25" i="451"/>
  <c r="C15" i="433"/>
  <c r="D16" i="433"/>
  <c r="G917" i="434"/>
  <c r="P69" i="453" l="1"/>
  <c r="EU73" i="431"/>
  <c r="EU70" i="431"/>
  <c r="EU71" i="431" s="1"/>
  <c r="FE72" i="431"/>
  <c r="FE73" i="431" s="1"/>
  <c r="FE71" i="431"/>
  <c r="FE386" i="431"/>
  <c r="FE259" i="431"/>
  <c r="FE267" i="431" s="1"/>
  <c r="EZ73" i="431"/>
  <c r="CC367" i="431"/>
  <c r="C573" i="435"/>
  <c r="B572" i="435"/>
  <c r="D572" i="435" s="1"/>
  <c r="V20" i="435"/>
  <c r="U21" i="435"/>
  <c r="X31" i="435" s="1"/>
  <c r="U22" i="435"/>
  <c r="X32" i="435" s="1"/>
  <c r="CE278" i="431" s="1"/>
  <c r="CE279" i="431" s="1"/>
  <c r="CE280" i="431" s="1"/>
  <c r="CW317" i="431"/>
  <c r="DB312" i="431"/>
  <c r="DB313" i="431" s="1"/>
  <c r="CH362" i="431"/>
  <c r="CH364" i="431" s="1"/>
  <c r="CH365" i="431"/>
  <c r="CR318" i="431"/>
  <c r="CQ317" i="431"/>
  <c r="CR355" i="431"/>
  <c r="CR366" i="431" s="1"/>
  <c r="CR325" i="431"/>
  <c r="CR326" i="431" s="1"/>
  <c r="CR330" i="431" s="1"/>
  <c r="CM348" i="431"/>
  <c r="CM351" i="431"/>
  <c r="Y10" i="435"/>
  <c r="CN15" i="435"/>
  <c r="T27" i="435"/>
  <c r="BT32" i="435" s="1"/>
  <c r="U25" i="435"/>
  <c r="C188" i="435"/>
  <c r="B187" i="435"/>
  <c r="D187" i="435" s="1"/>
  <c r="W15" i="435"/>
  <c r="V4" i="435"/>
  <c r="U5" i="435"/>
  <c r="BO31" i="435"/>
  <c r="T26" i="435"/>
  <c r="O69" i="451"/>
  <c r="E19" i="434"/>
  <c r="A18" i="434"/>
  <c r="B18" i="434" s="1"/>
  <c r="G914" i="433"/>
  <c r="C15" i="434"/>
  <c r="D16" i="434"/>
  <c r="E17" i="433"/>
  <c r="A16" i="433"/>
  <c r="B16" i="433" s="1"/>
  <c r="P45" i="451"/>
  <c r="P44" i="451"/>
  <c r="P60" i="451"/>
  <c r="P51" i="451"/>
  <c r="FE290" i="431" s="1"/>
  <c r="D17" i="433"/>
  <c r="C16" i="433"/>
  <c r="G918" i="434"/>
  <c r="EZ329" i="431"/>
  <c r="EZ71" i="431" l="1"/>
  <c r="CS15" i="435"/>
  <c r="Z10" i="435"/>
  <c r="CX15" i="435" s="1"/>
  <c r="C574" i="435"/>
  <c r="B573" i="435"/>
  <c r="D573" i="435" s="1"/>
  <c r="V22" i="435"/>
  <c r="Y32" i="435" s="1"/>
  <c r="CF278" i="431" s="1"/>
  <c r="CF279" i="431" s="1"/>
  <c r="CF280" i="431" s="1"/>
  <c r="W20" i="435"/>
  <c r="V21" i="435"/>
  <c r="Y31" i="435" s="1"/>
  <c r="CH367" i="431"/>
  <c r="CR351" i="431"/>
  <c r="CR348" i="431"/>
  <c r="CM362" i="431"/>
  <c r="CM364" i="431" s="1"/>
  <c r="CM365" i="431"/>
  <c r="DG312" i="431"/>
  <c r="DG313" i="431" s="1"/>
  <c r="DB317" i="431"/>
  <c r="CW318" i="431"/>
  <c r="CW325" i="431"/>
  <c r="CW326" i="431" s="1"/>
  <c r="CW330" i="431" s="1"/>
  <c r="CV317" i="431"/>
  <c r="CW355" i="431"/>
  <c r="CW366" i="431" s="1"/>
  <c r="W4" i="435"/>
  <c r="V5" i="435"/>
  <c r="C189" i="435"/>
  <c r="B188" i="435"/>
  <c r="D188" i="435" s="1"/>
  <c r="X15" i="435"/>
  <c r="V25" i="435"/>
  <c r="U27" i="435"/>
  <c r="BY32" i="435" s="1"/>
  <c r="U26" i="435"/>
  <c r="BT31" i="435"/>
  <c r="E18" i="433"/>
  <c r="A17" i="433"/>
  <c r="B17" i="433" s="1"/>
  <c r="E20" i="434"/>
  <c r="A19" i="434"/>
  <c r="B19" i="434" s="1"/>
  <c r="C16" i="434"/>
  <c r="D17" i="434"/>
  <c r="G915" i="433"/>
  <c r="D18" i="433"/>
  <c r="C17" i="433"/>
  <c r="G919" i="434"/>
  <c r="P66" i="451"/>
  <c r="P47" i="451"/>
  <c r="P61" i="451" s="1"/>
  <c r="P62" i="451" s="1"/>
  <c r="P68" i="451" l="1"/>
  <c r="P69" i="451" s="1"/>
  <c r="FE340" i="431"/>
  <c r="FE329" i="431"/>
  <c r="B574" i="435"/>
  <c r="D574" i="435" s="1"/>
  <c r="C575" i="435"/>
  <c r="X20" i="435"/>
  <c r="W22" i="435"/>
  <c r="Z32" i="435" s="1"/>
  <c r="CG278" i="431" s="1"/>
  <c r="CG279" i="431" s="1"/>
  <c r="CG280" i="431" s="1"/>
  <c r="W21" i="435"/>
  <c r="Z31" i="435" s="1"/>
  <c r="CM367" i="431"/>
  <c r="CW348" i="431"/>
  <c r="CW351" i="431"/>
  <c r="DB355" i="431"/>
  <c r="DB366" i="431" s="1"/>
  <c r="DB325" i="431"/>
  <c r="DB326" i="431" s="1"/>
  <c r="DB330" i="431" s="1"/>
  <c r="DB318" i="431"/>
  <c r="DA317" i="431"/>
  <c r="DL312" i="431"/>
  <c r="DL313" i="431" s="1"/>
  <c r="DG317" i="431"/>
  <c r="CR362" i="431"/>
  <c r="CR364" i="431" s="1"/>
  <c r="CR365" i="431"/>
  <c r="BY31" i="435"/>
  <c r="V26" i="435"/>
  <c r="C190" i="435"/>
  <c r="B189" i="435"/>
  <c r="D189" i="435" s="1"/>
  <c r="W25" i="435"/>
  <c r="V27" i="435"/>
  <c r="CD32" i="435" s="1"/>
  <c r="Y15" i="435"/>
  <c r="X4" i="435"/>
  <c r="W5" i="435"/>
  <c r="E21" i="434"/>
  <c r="A20" i="434"/>
  <c r="B20" i="434" s="1"/>
  <c r="G916" i="433"/>
  <c r="D18" i="434"/>
  <c r="C17" i="434"/>
  <c r="E19" i="433"/>
  <c r="A18" i="433"/>
  <c r="B18" i="433" s="1"/>
  <c r="G920" i="434"/>
  <c r="C18" i="433"/>
  <c r="D19" i="433"/>
  <c r="C576" i="435" l="1"/>
  <c r="B575" i="435"/>
  <c r="D575" i="435" s="1"/>
  <c r="W27" i="435"/>
  <c r="CI32" i="435" s="1"/>
  <c r="X25" i="435"/>
  <c r="CR367" i="431"/>
  <c r="Y20" i="435"/>
  <c r="X21" i="435"/>
  <c r="AB31" i="435" s="1"/>
  <c r="X22" i="435"/>
  <c r="AB32" i="435" s="1"/>
  <c r="CI278" i="431" s="1"/>
  <c r="CI279" i="431" s="1"/>
  <c r="CI280" i="431" s="1"/>
  <c r="DG318" i="431"/>
  <c r="DG355" i="431"/>
  <c r="DG366" i="431" s="1"/>
  <c r="DG325" i="431"/>
  <c r="DG326" i="431" s="1"/>
  <c r="DG330" i="431" s="1"/>
  <c r="DQ312" i="431"/>
  <c r="DQ313" i="431" s="1"/>
  <c r="DL317" i="431"/>
  <c r="DB348" i="431"/>
  <c r="DB351" i="431"/>
  <c r="CW362" i="431"/>
  <c r="CW364" i="431" s="1"/>
  <c r="CW365" i="431"/>
  <c r="B190" i="435"/>
  <c r="D190" i="435" s="1"/>
  <c r="C191" i="435"/>
  <c r="Y4" i="435"/>
  <c r="X5" i="435"/>
  <c r="W26" i="435"/>
  <c r="CD31" i="435"/>
  <c r="Z15" i="435"/>
  <c r="C18" i="434"/>
  <c r="D19" i="434"/>
  <c r="A19" i="433"/>
  <c r="B19" i="433" s="1"/>
  <c r="E20" i="433"/>
  <c r="G917" i="433"/>
  <c r="A21" i="434"/>
  <c r="B21" i="434" s="1"/>
  <c r="E22" i="434"/>
  <c r="D20" i="433"/>
  <c r="C19" i="433"/>
  <c r="G921" i="434"/>
  <c r="C577" i="435" l="1"/>
  <c r="B576" i="435"/>
  <c r="D576" i="435" s="1"/>
  <c r="Z20" i="435"/>
  <c r="Y22" i="435"/>
  <c r="AC32" i="435" s="1"/>
  <c r="CJ278" i="431" s="1"/>
  <c r="CJ279" i="431" s="1"/>
  <c r="CJ280" i="431" s="1"/>
  <c r="Y21" i="435"/>
  <c r="AC31" i="435" s="1"/>
  <c r="X27" i="435"/>
  <c r="CN32" i="435" s="1"/>
  <c r="Y25" i="435"/>
  <c r="Y27" i="435" s="1"/>
  <c r="CS32" i="435" s="1"/>
  <c r="CW367" i="431"/>
  <c r="DB365" i="431"/>
  <c r="DB362" i="431"/>
  <c r="DB364" i="431" s="1"/>
  <c r="DL325" i="431"/>
  <c r="DL326" i="431" s="1"/>
  <c r="DL355" i="431"/>
  <c r="DL366" i="431" s="1"/>
  <c r="DL318" i="431"/>
  <c r="DQ317" i="431"/>
  <c r="DV312" i="431"/>
  <c r="DV313" i="431" s="1"/>
  <c r="DG348" i="431"/>
  <c r="DG351" i="431"/>
  <c r="CI31" i="435"/>
  <c r="X26" i="435"/>
  <c r="AB15" i="435"/>
  <c r="Z4" i="435"/>
  <c r="Y5" i="435"/>
  <c r="C192" i="435"/>
  <c r="B191" i="435"/>
  <c r="D191" i="435" s="1"/>
  <c r="A22" i="434"/>
  <c r="B22" i="434" s="1"/>
  <c r="E23" i="434"/>
  <c r="E21" i="433"/>
  <c r="A20" i="433"/>
  <c r="B20" i="433" s="1"/>
  <c r="D20" i="434"/>
  <c r="C19" i="434"/>
  <c r="G918" i="433"/>
  <c r="G922" i="434"/>
  <c r="D21" i="433"/>
  <c r="C20" i="433"/>
  <c r="C578" i="435" l="1"/>
  <c r="B577" i="435"/>
  <c r="D577" i="435" s="1"/>
  <c r="Z22" i="435"/>
  <c r="AD32" i="435" s="1"/>
  <c r="CK278" i="431" s="1"/>
  <c r="CK279" i="431" s="1"/>
  <c r="CK280" i="431" s="1"/>
  <c r="Z21" i="435"/>
  <c r="AD31" i="435" s="1"/>
  <c r="AA20" i="435"/>
  <c r="EA312" i="431"/>
  <c r="EA313" i="431" s="1"/>
  <c r="DV317" i="431"/>
  <c r="DB367" i="431"/>
  <c r="DQ318" i="431"/>
  <c r="DQ325" i="431"/>
  <c r="DQ326" i="431" s="1"/>
  <c r="DQ355" i="431"/>
  <c r="DQ366" i="431" s="1"/>
  <c r="DG362" i="431"/>
  <c r="DG364" i="431" s="1"/>
  <c r="DG365" i="431"/>
  <c r="DL362" i="431"/>
  <c r="DL364" i="431" s="1"/>
  <c r="DL367" i="431" s="1"/>
  <c r="Y26" i="435"/>
  <c r="CN31" i="435"/>
  <c r="AC15" i="435"/>
  <c r="C193" i="435"/>
  <c r="B192" i="435"/>
  <c r="D192" i="435" s="1"/>
  <c r="AA4" i="435"/>
  <c r="Z5" i="435"/>
  <c r="G919" i="433"/>
  <c r="E24" i="434"/>
  <c r="A23" i="434"/>
  <c r="B23" i="434" s="1"/>
  <c r="E22" i="433"/>
  <c r="A21" i="433"/>
  <c r="B21" i="433" s="1"/>
  <c r="D21" i="434"/>
  <c r="C20" i="434"/>
  <c r="C21" i="433"/>
  <c r="D22" i="433"/>
  <c r="G923" i="434"/>
  <c r="CS31" i="435" l="1"/>
  <c r="Z26" i="435"/>
  <c r="CX31" i="435" s="1"/>
  <c r="B578" i="435"/>
  <c r="D578" i="435" s="1"/>
  <c r="C579" i="435"/>
  <c r="AB20" i="435"/>
  <c r="AA21" i="435"/>
  <c r="AE31" i="435" s="1"/>
  <c r="AA22" i="435"/>
  <c r="AE32" i="435" s="1"/>
  <c r="CL278" i="431" s="1"/>
  <c r="CL279" i="431" s="1"/>
  <c r="CL280" i="431" s="1"/>
  <c r="DG367" i="431"/>
  <c r="DV318" i="431"/>
  <c r="DU318" i="431" s="1"/>
  <c r="DV325" i="431"/>
  <c r="DU317" i="431"/>
  <c r="DV355" i="431"/>
  <c r="DV366" i="431" s="1"/>
  <c r="EF312" i="431"/>
  <c r="EF313" i="431" s="1"/>
  <c r="EA317" i="431"/>
  <c r="C194" i="435"/>
  <c r="B193" i="435"/>
  <c r="D193" i="435" s="1"/>
  <c r="AD15" i="435"/>
  <c r="AB4" i="435"/>
  <c r="AA5" i="435"/>
  <c r="A22" i="433"/>
  <c r="B22" i="433" s="1"/>
  <c r="E23" i="433"/>
  <c r="E25" i="434"/>
  <c r="A24" i="434"/>
  <c r="B24" i="434" s="1"/>
  <c r="C21" i="434"/>
  <c r="D22" i="434"/>
  <c r="G920" i="433"/>
  <c r="C22" i="433"/>
  <c r="D23" i="433"/>
  <c r="G924" i="434"/>
  <c r="B579" i="435" l="1"/>
  <c r="D579" i="435" s="1"/>
  <c r="C580" i="435"/>
  <c r="AC20" i="435"/>
  <c r="AB22" i="435"/>
  <c r="AG32" i="435" s="1"/>
  <c r="CN278" i="431" s="1"/>
  <c r="CN279" i="431" s="1"/>
  <c r="CN280" i="431" s="1"/>
  <c r="AB21" i="435"/>
  <c r="AG31" i="435" s="1"/>
  <c r="DZ317" i="431"/>
  <c r="EA318" i="431"/>
  <c r="DZ318" i="431" s="1"/>
  <c r="EA355" i="431"/>
  <c r="EA366" i="431" s="1"/>
  <c r="EA325" i="431"/>
  <c r="EK312" i="431"/>
  <c r="EK313" i="431" s="1"/>
  <c r="EF317" i="431"/>
  <c r="DV326" i="431"/>
  <c r="DU326" i="431" s="1"/>
  <c r="DU325" i="431"/>
  <c r="C195" i="435"/>
  <c r="B194" i="435"/>
  <c r="D194" i="435" s="1"/>
  <c r="AE15" i="435"/>
  <c r="AC4" i="435"/>
  <c r="AB5" i="435"/>
  <c r="G921" i="433"/>
  <c r="D23" i="434"/>
  <c r="C22" i="434"/>
  <c r="A23" i="433"/>
  <c r="B23" i="433" s="1"/>
  <c r="E24" i="433"/>
  <c r="A25" i="434"/>
  <c r="B25" i="434" s="1"/>
  <c r="E26" i="434"/>
  <c r="C23" i="433"/>
  <c r="D24" i="433"/>
  <c r="G925" i="434"/>
  <c r="C581" i="435" l="1"/>
  <c r="B580" i="435"/>
  <c r="D580" i="435" s="1"/>
  <c r="AD20" i="435"/>
  <c r="AC22" i="435"/>
  <c r="AH32" i="435" s="1"/>
  <c r="CO278" i="431" s="1"/>
  <c r="CO279" i="431" s="1"/>
  <c r="CO280" i="431" s="1"/>
  <c r="AC21" i="435"/>
  <c r="AH31" i="435" s="1"/>
  <c r="EE317" i="431"/>
  <c r="EF325" i="431"/>
  <c r="EF355" i="431"/>
  <c r="EF366" i="431" s="1"/>
  <c r="EF318" i="431"/>
  <c r="EE318" i="431" s="1"/>
  <c r="EK317" i="431"/>
  <c r="EP312" i="431"/>
  <c r="EA326" i="431"/>
  <c r="DZ326" i="431" s="1"/>
  <c r="DZ325" i="431"/>
  <c r="AG15" i="435"/>
  <c r="AD4" i="435"/>
  <c r="AC5" i="435"/>
  <c r="C196" i="435"/>
  <c r="B195" i="435"/>
  <c r="D195" i="435" s="1"/>
  <c r="E27" i="434"/>
  <c r="A26" i="434"/>
  <c r="B26" i="434" s="1"/>
  <c r="C23" i="434"/>
  <c r="D24" i="434"/>
  <c r="E25" i="433"/>
  <c r="A24" i="433"/>
  <c r="B24" i="433" s="1"/>
  <c r="G922" i="433"/>
  <c r="G926" i="434"/>
  <c r="C24" i="433"/>
  <c r="D25" i="433"/>
  <c r="C582" i="435" l="1"/>
  <c r="B581" i="435"/>
  <c r="D581" i="435" s="1"/>
  <c r="AD22" i="435"/>
  <c r="AI32" i="435" s="1"/>
  <c r="CP278" i="431" s="1"/>
  <c r="CP279" i="431" s="1"/>
  <c r="CP280" i="431" s="1"/>
  <c r="AD21" i="435"/>
  <c r="AI31" i="435" s="1"/>
  <c r="AE20" i="435"/>
  <c r="EK318" i="431"/>
  <c r="EK325" i="431"/>
  <c r="EK326" i="431" s="1"/>
  <c r="EK355" i="431"/>
  <c r="EK366" i="431" s="1"/>
  <c r="EE325" i="431"/>
  <c r="EF326" i="431"/>
  <c r="EE326" i="431" s="1"/>
  <c r="AH15" i="435"/>
  <c r="AE4" i="435"/>
  <c r="AD5" i="435"/>
  <c r="C197" i="435"/>
  <c r="B196" i="435"/>
  <c r="D196" i="435" s="1"/>
  <c r="C24" i="434"/>
  <c r="D25" i="434"/>
  <c r="G923" i="433"/>
  <c r="E28" i="434"/>
  <c r="A27" i="434"/>
  <c r="B27" i="434" s="1"/>
  <c r="E26" i="433"/>
  <c r="A25" i="433"/>
  <c r="B25" i="433" s="1"/>
  <c r="G927" i="434"/>
  <c r="C25" i="433"/>
  <c r="D26" i="433"/>
  <c r="B582" i="435" l="1"/>
  <c r="D582" i="435" s="1"/>
  <c r="C583" i="435"/>
  <c r="AF20" i="435"/>
  <c r="AE21" i="435"/>
  <c r="AJ31" i="435" s="1"/>
  <c r="AE22" i="435"/>
  <c r="AJ32" i="435" s="1"/>
  <c r="CQ278" i="431" s="1"/>
  <c r="CQ279" i="431" s="1"/>
  <c r="CQ280" i="431" s="1"/>
  <c r="C198" i="435"/>
  <c r="B197" i="435"/>
  <c r="D197" i="435" s="1"/>
  <c r="AI15" i="435"/>
  <c r="AF4" i="435"/>
  <c r="AE5" i="435"/>
  <c r="E29" i="434"/>
  <c r="A28" i="434"/>
  <c r="B28" i="434" s="1"/>
  <c r="C25" i="434"/>
  <c r="D26" i="434"/>
  <c r="A26" i="433"/>
  <c r="B26" i="433" s="1"/>
  <c r="E27" i="433"/>
  <c r="G924" i="433"/>
  <c r="C26" i="433"/>
  <c r="D27" i="433"/>
  <c r="G928" i="434"/>
  <c r="C584" i="435" l="1"/>
  <c r="B583" i="435"/>
  <c r="D583" i="435" s="1"/>
  <c r="AF22" i="435"/>
  <c r="AL32" i="435" s="1"/>
  <c r="CS278" i="431" s="1"/>
  <c r="CS279" i="431" s="1"/>
  <c r="CS280" i="431" s="1"/>
  <c r="AG20" i="435"/>
  <c r="AF21" i="435"/>
  <c r="AL31" i="435" s="1"/>
  <c r="AJ15" i="435"/>
  <c r="AG4" i="435"/>
  <c r="AF5" i="435"/>
  <c r="C199" i="435"/>
  <c r="B198" i="435"/>
  <c r="D198" i="435" s="1"/>
  <c r="E28" i="433"/>
  <c r="A27" i="433"/>
  <c r="B27" i="433" s="1"/>
  <c r="G925" i="433"/>
  <c r="C26" i="434"/>
  <c r="D27" i="434"/>
  <c r="E30" i="434"/>
  <c r="A29" i="434"/>
  <c r="B29" i="434" s="1"/>
  <c r="G929" i="434"/>
  <c r="D28" i="433"/>
  <c r="C27" i="433"/>
  <c r="C585" i="435" l="1"/>
  <c r="B584" i="435"/>
  <c r="D584" i="435" s="1"/>
  <c r="AG22" i="435"/>
  <c r="AM32" i="435" s="1"/>
  <c r="CT278" i="431" s="1"/>
  <c r="CT279" i="431" s="1"/>
  <c r="CT280" i="431" s="1"/>
  <c r="AG21" i="435"/>
  <c r="AM31" i="435" s="1"/>
  <c r="AH20" i="435"/>
  <c r="C200" i="435"/>
  <c r="B199" i="435"/>
  <c r="D199" i="435" s="1"/>
  <c r="AL15" i="435"/>
  <c r="AH4" i="435"/>
  <c r="AG5" i="435"/>
  <c r="C27" i="434"/>
  <c r="D28" i="434"/>
  <c r="G926" i="433"/>
  <c r="E31" i="434"/>
  <c r="A30" i="434"/>
  <c r="B30" i="434" s="1"/>
  <c r="A28" i="433"/>
  <c r="B28" i="433" s="1"/>
  <c r="E29" i="433"/>
  <c r="D29" i="433"/>
  <c r="C28" i="433"/>
  <c r="G930" i="434"/>
  <c r="C586" i="435" l="1"/>
  <c r="B585" i="435"/>
  <c r="D585" i="435" s="1"/>
  <c r="AI20" i="435"/>
  <c r="AH22" i="435"/>
  <c r="AN32" i="435" s="1"/>
  <c r="CU278" i="431" s="1"/>
  <c r="CU279" i="431" s="1"/>
  <c r="CU280" i="431" s="1"/>
  <c r="AH21" i="435"/>
  <c r="AN31" i="435" s="1"/>
  <c r="AM15" i="435"/>
  <c r="AI4" i="435"/>
  <c r="AH5" i="435"/>
  <c r="B200" i="435"/>
  <c r="D200" i="435" s="1"/>
  <c r="C201" i="435"/>
  <c r="E32" i="434"/>
  <c r="A31" i="434"/>
  <c r="B31" i="434" s="1"/>
  <c r="A29" i="433"/>
  <c r="B29" i="433" s="1"/>
  <c r="E30" i="433"/>
  <c r="C28" i="434"/>
  <c r="D29" i="434"/>
  <c r="G927" i="433"/>
  <c r="G931" i="434"/>
  <c r="D30" i="433"/>
  <c r="C29" i="433"/>
  <c r="B586" i="435" l="1"/>
  <c r="D586" i="435" s="1"/>
  <c r="C587" i="435"/>
  <c r="AI22" i="435"/>
  <c r="AO32" i="435" s="1"/>
  <c r="CV278" i="431" s="1"/>
  <c r="CV279" i="431" s="1"/>
  <c r="CV280" i="431" s="1"/>
  <c r="AJ20" i="435"/>
  <c r="AI21" i="435"/>
  <c r="AO31" i="435" s="1"/>
  <c r="AN15" i="435"/>
  <c r="AJ4" i="435"/>
  <c r="AI5" i="435"/>
  <c r="C202" i="435"/>
  <c r="B201" i="435"/>
  <c r="D201" i="435" s="1"/>
  <c r="A30" i="433"/>
  <c r="B30" i="433" s="1"/>
  <c r="E31" i="433"/>
  <c r="G928" i="433"/>
  <c r="E33" i="434"/>
  <c r="A32" i="434"/>
  <c r="B32" i="434" s="1"/>
  <c r="D30" i="434"/>
  <c r="C29" i="434"/>
  <c r="G932" i="434"/>
  <c r="C30" i="433"/>
  <c r="D31" i="433"/>
  <c r="B587" i="435" l="1"/>
  <c r="D587" i="435" s="1"/>
  <c r="C588" i="435"/>
  <c r="AK20" i="435"/>
  <c r="AJ21" i="435"/>
  <c r="AQ31" i="435" s="1"/>
  <c r="AJ22" i="435"/>
  <c r="AQ32" i="435" s="1"/>
  <c r="CX278" i="431" s="1"/>
  <c r="CX279" i="431" s="1"/>
  <c r="CX280" i="431" s="1"/>
  <c r="C203" i="435"/>
  <c r="B202" i="435"/>
  <c r="D202" i="435" s="1"/>
  <c r="AO15" i="435"/>
  <c r="AK4" i="435"/>
  <c r="AJ5" i="435"/>
  <c r="D31" i="434"/>
  <c r="C30" i="434"/>
  <c r="A33" i="434"/>
  <c r="B33" i="434" s="1"/>
  <c r="E34" i="434"/>
  <c r="G929" i="433"/>
  <c r="E32" i="433"/>
  <c r="A31" i="433"/>
  <c r="B31" i="433" s="1"/>
  <c r="G933" i="434"/>
  <c r="C31" i="433"/>
  <c r="D32" i="433"/>
  <c r="C589" i="435" l="1"/>
  <c r="B588" i="435"/>
  <c r="D588" i="435" s="1"/>
  <c r="AK22" i="435"/>
  <c r="AR32" i="435" s="1"/>
  <c r="CY278" i="431" s="1"/>
  <c r="CY279" i="431" s="1"/>
  <c r="CY280" i="431" s="1"/>
  <c r="AK21" i="435"/>
  <c r="AR31" i="435" s="1"/>
  <c r="AL20" i="435"/>
  <c r="AQ15" i="435"/>
  <c r="B203" i="435"/>
  <c r="D203" i="435" s="1"/>
  <c r="C204" i="435"/>
  <c r="AL4" i="435"/>
  <c r="AK5" i="435"/>
  <c r="G930" i="433"/>
  <c r="E35" i="434"/>
  <c r="A34" i="434"/>
  <c r="B34" i="434" s="1"/>
  <c r="A32" i="433"/>
  <c r="B32" i="433" s="1"/>
  <c r="E33" i="433"/>
  <c r="C31" i="434"/>
  <c r="D32" i="434"/>
  <c r="C32" i="433"/>
  <c r="D33" i="433"/>
  <c r="G934" i="434"/>
  <c r="C590" i="435" l="1"/>
  <c r="B589" i="435"/>
  <c r="D589" i="435" s="1"/>
  <c r="AM20" i="435"/>
  <c r="AL22" i="435"/>
  <c r="AS32" i="435" s="1"/>
  <c r="CZ278" i="431" s="1"/>
  <c r="CZ279" i="431" s="1"/>
  <c r="CZ280" i="431" s="1"/>
  <c r="AL21" i="435"/>
  <c r="AS31" i="435" s="1"/>
  <c r="C205" i="435"/>
  <c r="B204" i="435"/>
  <c r="D204" i="435" s="1"/>
  <c r="AR15" i="435"/>
  <c r="AM4" i="435"/>
  <c r="AL5" i="435"/>
  <c r="A35" i="434"/>
  <c r="B35" i="434" s="1"/>
  <c r="E36" i="434"/>
  <c r="D33" i="434"/>
  <c r="C32" i="434"/>
  <c r="E34" i="433"/>
  <c r="A33" i="433"/>
  <c r="B33" i="433" s="1"/>
  <c r="G931" i="433"/>
  <c r="G935" i="434"/>
  <c r="D34" i="433"/>
  <c r="C33" i="433"/>
  <c r="B590" i="435" l="1"/>
  <c r="D590" i="435" s="1"/>
  <c r="C591" i="435"/>
  <c r="AM22" i="435"/>
  <c r="AT32" i="435" s="1"/>
  <c r="DA278" i="431" s="1"/>
  <c r="DA279" i="431" s="1"/>
  <c r="DA280" i="431" s="1"/>
  <c r="AM21" i="435"/>
  <c r="AT31" i="435" s="1"/>
  <c r="AN20" i="435"/>
  <c r="AN4" i="435"/>
  <c r="AM5" i="435"/>
  <c r="B205" i="435"/>
  <c r="D205" i="435" s="1"/>
  <c r="C206" i="435"/>
  <c r="AS15" i="435"/>
  <c r="G932" i="433"/>
  <c r="E37" i="434"/>
  <c r="A36" i="434"/>
  <c r="B36" i="434" s="1"/>
  <c r="A34" i="433"/>
  <c r="B34" i="433" s="1"/>
  <c r="E35" i="433"/>
  <c r="C33" i="434"/>
  <c r="D34" i="434"/>
  <c r="D35" i="433"/>
  <c r="C34" i="433"/>
  <c r="G936" i="434"/>
  <c r="C592" i="435" l="1"/>
  <c r="B591" i="435"/>
  <c r="D591" i="435" s="1"/>
  <c r="AO20" i="435"/>
  <c r="AN21" i="435"/>
  <c r="AV31" i="435" s="1"/>
  <c r="AN22" i="435"/>
  <c r="AV32" i="435" s="1"/>
  <c r="DC278" i="431" s="1"/>
  <c r="DC279" i="431" s="1"/>
  <c r="DC280" i="431" s="1"/>
  <c r="AT15" i="435"/>
  <c r="AO4" i="435"/>
  <c r="AN5" i="435"/>
  <c r="B206" i="435"/>
  <c r="D206" i="435" s="1"/>
  <c r="C207" i="435"/>
  <c r="D35" i="434"/>
  <c r="C34" i="434"/>
  <c r="E38" i="434"/>
  <c r="A37" i="434"/>
  <c r="B37" i="434" s="1"/>
  <c r="A35" i="433"/>
  <c r="B35" i="433" s="1"/>
  <c r="E36" i="433"/>
  <c r="G933" i="433"/>
  <c r="D36" i="433"/>
  <c r="C35" i="433"/>
  <c r="G937" i="434"/>
  <c r="C593" i="435" l="1"/>
  <c r="B592" i="435"/>
  <c r="D592" i="435" s="1"/>
  <c r="AO22" i="435"/>
  <c r="AW32" i="435" s="1"/>
  <c r="DD278" i="431" s="1"/>
  <c r="DD279" i="431" s="1"/>
  <c r="DD280" i="431" s="1"/>
  <c r="AP20" i="435"/>
  <c r="AO21" i="435"/>
  <c r="AW31" i="435" s="1"/>
  <c r="AV15" i="435"/>
  <c r="C208" i="435"/>
  <c r="B207" i="435"/>
  <c r="D207" i="435" s="1"/>
  <c r="AP4" i="435"/>
  <c r="AO5" i="435"/>
  <c r="A38" i="434"/>
  <c r="B38" i="434" s="1"/>
  <c r="E39" i="434"/>
  <c r="A36" i="433"/>
  <c r="B36" i="433" s="1"/>
  <c r="E37" i="433"/>
  <c r="G934" i="433"/>
  <c r="D36" i="434"/>
  <c r="C35" i="434"/>
  <c r="C36" i="433"/>
  <c r="D37" i="433"/>
  <c r="G938" i="434"/>
  <c r="C594" i="435" l="1"/>
  <c r="B593" i="435"/>
  <c r="D593" i="435" s="1"/>
  <c r="AQ20" i="435"/>
  <c r="AP21" i="435"/>
  <c r="AX31" i="435" s="1"/>
  <c r="AP22" i="435"/>
  <c r="AX32" i="435" s="1"/>
  <c r="DE278" i="431" s="1"/>
  <c r="DE279" i="431" s="1"/>
  <c r="DE280" i="431" s="1"/>
  <c r="AQ4" i="435"/>
  <c r="AP5" i="435"/>
  <c r="AW15" i="435"/>
  <c r="C209" i="435"/>
  <c r="B208" i="435"/>
  <c r="D208" i="435" s="1"/>
  <c r="E38" i="433"/>
  <c r="A37" i="433"/>
  <c r="B37" i="433" s="1"/>
  <c r="E40" i="434"/>
  <c r="A39" i="434"/>
  <c r="B39" i="434" s="1"/>
  <c r="D37" i="434"/>
  <c r="C36" i="434"/>
  <c r="G935" i="433"/>
  <c r="G939" i="434"/>
  <c r="C37" i="433"/>
  <c r="D38" i="433"/>
  <c r="B594" i="435" l="1"/>
  <c r="D594" i="435" s="1"/>
  <c r="C595" i="435"/>
  <c r="AR20" i="435"/>
  <c r="AQ22" i="435"/>
  <c r="AY32" i="435" s="1"/>
  <c r="DF278" i="431" s="1"/>
  <c r="DF279" i="431" s="1"/>
  <c r="DF280" i="431" s="1"/>
  <c r="AQ21" i="435"/>
  <c r="AY31" i="435" s="1"/>
  <c r="AX15" i="435"/>
  <c r="B209" i="435"/>
  <c r="D209" i="435" s="1"/>
  <c r="C210" i="435"/>
  <c r="AR4" i="435"/>
  <c r="AQ5" i="435"/>
  <c r="D38" i="434"/>
  <c r="C37" i="434"/>
  <c r="A38" i="433"/>
  <c r="B38" i="433" s="1"/>
  <c r="E39" i="433"/>
  <c r="E41" i="434"/>
  <c r="A40" i="434"/>
  <c r="B40" i="434" s="1"/>
  <c r="G936" i="433"/>
  <c r="G940" i="434"/>
  <c r="C38" i="433"/>
  <c r="D39" i="433"/>
  <c r="B595" i="435" l="1"/>
  <c r="D595" i="435" s="1"/>
  <c r="C596" i="435"/>
  <c r="AR22" i="435"/>
  <c r="BA32" i="435" s="1"/>
  <c r="DH278" i="431" s="1"/>
  <c r="DH279" i="431" s="1"/>
  <c r="DH280" i="431" s="1"/>
  <c r="AS20" i="435"/>
  <c r="AR21" i="435"/>
  <c r="AY15" i="435"/>
  <c r="AS4" i="435"/>
  <c r="AR5" i="435"/>
  <c r="C211" i="435"/>
  <c r="B210" i="435"/>
  <c r="D210" i="435" s="1"/>
  <c r="E40" i="433"/>
  <c r="A39" i="433"/>
  <c r="B39" i="433" s="1"/>
  <c r="A41" i="434"/>
  <c r="B41" i="434" s="1"/>
  <c r="E42" i="434"/>
  <c r="D39" i="434"/>
  <c r="C38" i="434"/>
  <c r="G937" i="433"/>
  <c r="C39" i="433"/>
  <c r="D40" i="433"/>
  <c r="G941" i="434"/>
  <c r="C597" i="435" l="1"/>
  <c r="B596" i="435"/>
  <c r="D596" i="435" s="1"/>
  <c r="AS22" i="435"/>
  <c r="BB32" i="435" s="1"/>
  <c r="DI278" i="431" s="1"/>
  <c r="DI279" i="431" s="1"/>
  <c r="DI280" i="431" s="1"/>
  <c r="AT20" i="435"/>
  <c r="AS21" i="435"/>
  <c r="BA31" i="435"/>
  <c r="AV21" i="435"/>
  <c r="B211" i="435"/>
  <c r="D211" i="435" s="1"/>
  <c r="C212" i="435"/>
  <c r="AV5" i="435"/>
  <c r="BA15" i="435"/>
  <c r="AT4" i="435"/>
  <c r="AS5" i="435"/>
  <c r="D40" i="434"/>
  <c r="C39" i="434"/>
  <c r="A42" i="434"/>
  <c r="B42" i="434" s="1"/>
  <c r="E43" i="434"/>
  <c r="G938" i="433"/>
  <c r="E41" i="433"/>
  <c r="A40" i="433"/>
  <c r="B40" i="433" s="1"/>
  <c r="G942" i="434"/>
  <c r="D41" i="433"/>
  <c r="C40" i="433"/>
  <c r="C598" i="435" l="1"/>
  <c r="B597" i="435"/>
  <c r="D597" i="435" s="1"/>
  <c r="AT22" i="435"/>
  <c r="BC32" i="435" s="1"/>
  <c r="DJ278" i="431" s="1"/>
  <c r="DJ279" i="431" s="1"/>
  <c r="DJ280" i="431" s="1"/>
  <c r="AT21" i="435"/>
  <c r="AU20" i="435"/>
  <c r="BF31" i="435"/>
  <c r="AZ21" i="435"/>
  <c r="AW21" i="435"/>
  <c r="BB31" i="435"/>
  <c r="C213" i="435"/>
  <c r="B212" i="435"/>
  <c r="D212" i="435" s="1"/>
  <c r="AW5" i="435"/>
  <c r="BB15" i="435"/>
  <c r="AZ5" i="435"/>
  <c r="BF15" i="435"/>
  <c r="AU4" i="435"/>
  <c r="AT5" i="435"/>
  <c r="G939" i="433"/>
  <c r="D41" i="434"/>
  <c r="C40" i="434"/>
  <c r="A43" i="434"/>
  <c r="B43" i="434" s="1"/>
  <c r="E44" i="434"/>
  <c r="A41" i="433"/>
  <c r="B41" i="433" s="1"/>
  <c r="E42" i="433"/>
  <c r="D42" i="433"/>
  <c r="C41" i="433"/>
  <c r="G943" i="434"/>
  <c r="B598" i="435" l="1"/>
  <c r="D598" i="435" s="1"/>
  <c r="C599" i="435"/>
  <c r="BG31" i="435"/>
  <c r="BA21" i="435"/>
  <c r="BC31" i="435"/>
  <c r="AX21" i="435"/>
  <c r="BK31" i="435"/>
  <c r="BD21" i="435"/>
  <c r="AV20" i="435"/>
  <c r="AU21" i="435"/>
  <c r="AU22" i="435"/>
  <c r="BD32" i="435" s="1"/>
  <c r="DK278" i="431" s="1"/>
  <c r="BK15" i="435"/>
  <c r="BD5" i="435"/>
  <c r="AV4" i="435"/>
  <c r="AW4" i="435" s="1"/>
  <c r="AX4" i="435" s="1"/>
  <c r="AY4" i="435" s="1"/>
  <c r="AZ4" i="435" s="1"/>
  <c r="BA4" i="435" s="1"/>
  <c r="BB4" i="435" s="1"/>
  <c r="BC4" i="435" s="1"/>
  <c r="BD4" i="435" s="1"/>
  <c r="BE4" i="435" s="1"/>
  <c r="BF4" i="435" s="1"/>
  <c r="BG4" i="435" s="1"/>
  <c r="BH4" i="435" s="1"/>
  <c r="BI4" i="435" s="1"/>
  <c r="BJ4" i="435" s="1"/>
  <c r="BK4" i="435" s="1"/>
  <c r="BL4" i="435" s="1"/>
  <c r="BM4" i="435" s="1"/>
  <c r="BN4" i="435" s="1"/>
  <c r="BO4" i="435" s="1"/>
  <c r="BP4" i="435" s="1"/>
  <c r="BQ4" i="435" s="1"/>
  <c r="BR4" i="435" s="1"/>
  <c r="BS4" i="435" s="1"/>
  <c r="BT4" i="435" s="1"/>
  <c r="BU4" i="435" s="1"/>
  <c r="BV4" i="435" s="1"/>
  <c r="BW4" i="435" s="1"/>
  <c r="BX4" i="435" s="1"/>
  <c r="BY4" i="435" s="1"/>
  <c r="BZ4" i="435" s="1"/>
  <c r="CA4" i="435" s="1"/>
  <c r="AU5" i="435"/>
  <c r="BG15" i="435"/>
  <c r="BA5" i="435"/>
  <c r="BC15" i="435"/>
  <c r="AX5" i="435"/>
  <c r="C214" i="435"/>
  <c r="B213" i="435"/>
  <c r="D213" i="435" s="1"/>
  <c r="E43" i="433"/>
  <c r="A42" i="433"/>
  <c r="B42" i="433" s="1"/>
  <c r="C41" i="434"/>
  <c r="D42" i="434"/>
  <c r="A44" i="434"/>
  <c r="B44" i="434" s="1"/>
  <c r="E45" i="434"/>
  <c r="G940" i="433"/>
  <c r="D43" i="433"/>
  <c r="C42" i="433"/>
  <c r="G944" i="434"/>
  <c r="C600" i="435" l="1"/>
  <c r="B599" i="435"/>
  <c r="D599" i="435" s="1"/>
  <c r="AY21" i="435"/>
  <c r="BD31" i="435"/>
  <c r="BP31" i="435"/>
  <c r="BH21" i="435"/>
  <c r="BH31" i="435"/>
  <c r="BB21" i="435"/>
  <c r="BE21" i="435"/>
  <c r="BL31" i="435"/>
  <c r="DL278" i="431"/>
  <c r="DL279" i="431" s="1"/>
  <c r="DL280" i="431" s="1"/>
  <c r="DK279" i="431"/>
  <c r="DK280" i="431" s="1"/>
  <c r="AV22" i="435"/>
  <c r="BF32" i="435" s="1"/>
  <c r="DM278" i="431" s="1"/>
  <c r="AW20" i="435"/>
  <c r="C215" i="435"/>
  <c r="B214" i="435"/>
  <c r="D214" i="435" s="1"/>
  <c r="BE5" i="435"/>
  <c r="BL15" i="435"/>
  <c r="BH15" i="435"/>
  <c r="BB5" i="435"/>
  <c r="BH5" i="435"/>
  <c r="BP15" i="435"/>
  <c r="BD15" i="435"/>
  <c r="AY5" i="435"/>
  <c r="G941" i="433"/>
  <c r="E44" i="433"/>
  <c r="A43" i="433"/>
  <c r="B43" i="433" s="1"/>
  <c r="E46" i="434"/>
  <c r="A45" i="434"/>
  <c r="B45" i="434" s="1"/>
  <c r="C42" i="434"/>
  <c r="D43" i="434"/>
  <c r="D44" i="433"/>
  <c r="C43" i="433"/>
  <c r="G945" i="434"/>
  <c r="C601" i="435" l="1"/>
  <c r="B600" i="435"/>
  <c r="D600" i="435" s="1"/>
  <c r="DM279" i="431"/>
  <c r="DM280" i="431" s="1"/>
  <c r="AX20" i="435"/>
  <c r="AW22" i="435"/>
  <c r="BG32" i="435" s="1"/>
  <c r="DN278" i="431" s="1"/>
  <c r="DN279" i="431" s="1"/>
  <c r="DN280" i="431" s="1"/>
  <c r="BF21" i="435"/>
  <c r="BM31" i="435"/>
  <c r="BL21" i="435"/>
  <c r="BU31" i="435"/>
  <c r="BI21" i="435"/>
  <c r="BQ31" i="435"/>
  <c r="BI31" i="435"/>
  <c r="BC21" i="435"/>
  <c r="B215" i="435"/>
  <c r="D215" i="435" s="1"/>
  <c r="C216" i="435"/>
  <c r="BQ15" i="435"/>
  <c r="BI5" i="435"/>
  <c r="BC5" i="435"/>
  <c r="BI15" i="435"/>
  <c r="BU15" i="435"/>
  <c r="BL5" i="435"/>
  <c r="BF5" i="435"/>
  <c r="BM15" i="435"/>
  <c r="A46" i="434"/>
  <c r="B46" i="434" s="1"/>
  <c r="E47" i="434"/>
  <c r="A44" i="433"/>
  <c r="B44" i="433" s="1"/>
  <c r="E45" i="433"/>
  <c r="C43" i="434"/>
  <c r="D44" i="434"/>
  <c r="G942" i="433"/>
  <c r="G946" i="434"/>
  <c r="C44" i="433"/>
  <c r="D45" i="433"/>
  <c r="C602" i="435" l="1"/>
  <c r="B601" i="435"/>
  <c r="D601" i="435" s="1"/>
  <c r="BG21" i="435"/>
  <c r="BN31" i="435"/>
  <c r="BM21" i="435"/>
  <c r="BV31" i="435"/>
  <c r="BZ31" i="435"/>
  <c r="BP21" i="435"/>
  <c r="BR31" i="435"/>
  <c r="BJ21" i="435"/>
  <c r="AY20" i="435"/>
  <c r="AX22" i="435"/>
  <c r="BH32" i="435" s="1"/>
  <c r="DO278" i="431" s="1"/>
  <c r="DO279" i="431" s="1"/>
  <c r="DO280" i="431" s="1"/>
  <c r="BN15" i="435"/>
  <c r="BG5" i="435"/>
  <c r="BM5" i="435"/>
  <c r="BV15" i="435"/>
  <c r="BR15" i="435"/>
  <c r="BJ5" i="435"/>
  <c r="B216" i="435"/>
  <c r="D216" i="435" s="1"/>
  <c r="C217" i="435"/>
  <c r="BP5" i="435"/>
  <c r="BZ15" i="435"/>
  <c r="A45" i="433"/>
  <c r="B45" i="433" s="1"/>
  <c r="E46" i="433"/>
  <c r="D45" i="434"/>
  <c r="C44" i="434"/>
  <c r="A47" i="434"/>
  <c r="B47" i="434" s="1"/>
  <c r="E48" i="434"/>
  <c r="G943" i="433"/>
  <c r="G947" i="434"/>
  <c r="D46" i="433"/>
  <c r="C45" i="433"/>
  <c r="B602" i="435" l="1"/>
  <c r="D602" i="435" s="1"/>
  <c r="C603" i="435"/>
  <c r="AZ20" i="435"/>
  <c r="AY22" i="435"/>
  <c r="BI32" i="435" s="1"/>
  <c r="DP278" i="431" s="1"/>
  <c r="CA31" i="435"/>
  <c r="BQ21" i="435"/>
  <c r="BS31" i="435"/>
  <c r="BK21" i="435"/>
  <c r="BN21" i="435"/>
  <c r="BW31" i="435"/>
  <c r="CE31" i="435"/>
  <c r="BT21" i="435"/>
  <c r="C218" i="435"/>
  <c r="B217" i="435"/>
  <c r="D217" i="435" s="1"/>
  <c r="BW15" i="435"/>
  <c r="BN5" i="435"/>
  <c r="BT5" i="435"/>
  <c r="CE15" i="435"/>
  <c r="CA15" i="435"/>
  <c r="BQ5" i="435"/>
  <c r="BS15" i="435"/>
  <c r="BK5" i="435"/>
  <c r="G944" i="433"/>
  <c r="E49" i="434"/>
  <c r="A48" i="434"/>
  <c r="B48" i="434" s="1"/>
  <c r="E47" i="433"/>
  <c r="A46" i="433"/>
  <c r="B46" i="433" s="1"/>
  <c r="D46" i="434"/>
  <c r="C45" i="434"/>
  <c r="G948" i="434"/>
  <c r="D47" i="433"/>
  <c r="C46" i="433"/>
  <c r="B603" i="435" l="1"/>
  <c r="D603" i="435" s="1"/>
  <c r="C604" i="435"/>
  <c r="BX21" i="435"/>
  <c r="CJ31" i="435"/>
  <c r="BO21" i="435"/>
  <c r="BX31" i="435"/>
  <c r="CF31" i="435"/>
  <c r="BU21" i="435"/>
  <c r="DQ278" i="431"/>
  <c r="DQ279" i="431" s="1"/>
  <c r="DQ280" i="431" s="1"/>
  <c r="DP279" i="431"/>
  <c r="DP280" i="431" s="1"/>
  <c r="CB31" i="435"/>
  <c r="BR21" i="435"/>
  <c r="BA20" i="435"/>
  <c r="AZ22" i="435"/>
  <c r="BK32" i="435" s="1"/>
  <c r="DR278" i="431" s="1"/>
  <c r="BX5" i="435"/>
  <c r="CB5" i="435" s="1"/>
  <c r="CJ15" i="435"/>
  <c r="BU5" i="435"/>
  <c r="CF15" i="435"/>
  <c r="CB15" i="435"/>
  <c r="BR5" i="435"/>
  <c r="C219" i="435"/>
  <c r="B218" i="435"/>
  <c r="D218" i="435" s="1"/>
  <c r="BX15" i="435"/>
  <c r="BO5" i="435"/>
  <c r="A47" i="433"/>
  <c r="B47" i="433" s="1"/>
  <c r="E48" i="433"/>
  <c r="G945" i="433"/>
  <c r="A49" i="434"/>
  <c r="B49" i="434" s="1"/>
  <c r="E50" i="434"/>
  <c r="C46" i="434"/>
  <c r="D47" i="434"/>
  <c r="C47" i="433"/>
  <c r="D48" i="433"/>
  <c r="G949" i="434"/>
  <c r="CO31" i="435" l="1"/>
  <c r="CB21" i="435"/>
  <c r="CT31" i="435" s="1"/>
  <c r="CT15" i="435"/>
  <c r="C605" i="435"/>
  <c r="B604" i="435"/>
  <c r="D604" i="435" s="1"/>
  <c r="DR279" i="431"/>
  <c r="DR280" i="431" s="1"/>
  <c r="BV21" i="435"/>
  <c r="CG31" i="435"/>
  <c r="CK31" i="435"/>
  <c r="BY21" i="435"/>
  <c r="BA22" i="435"/>
  <c r="BL32" i="435" s="1"/>
  <c r="DS278" i="431" s="1"/>
  <c r="DS279" i="431" s="1"/>
  <c r="DS280" i="431" s="1"/>
  <c r="BB20" i="435"/>
  <c r="BS21" i="435"/>
  <c r="CC31" i="435"/>
  <c r="CO15" i="435"/>
  <c r="BY5" i="435"/>
  <c r="CC5" i="435" s="1"/>
  <c r="CK15" i="435"/>
  <c r="BS5" i="435"/>
  <c r="CC15" i="435"/>
  <c r="BV5" i="435"/>
  <c r="CG15" i="435"/>
  <c r="C220" i="435"/>
  <c r="B219" i="435"/>
  <c r="D219" i="435" s="1"/>
  <c r="G946" i="433"/>
  <c r="C47" i="434"/>
  <c r="D48" i="434"/>
  <c r="E49" i="433"/>
  <c r="A48" i="433"/>
  <c r="B48" i="433" s="1"/>
  <c r="A50" i="434"/>
  <c r="B50" i="434" s="1"/>
  <c r="E51" i="434"/>
  <c r="G950" i="434"/>
  <c r="D49" i="433"/>
  <c r="C48" i="433"/>
  <c r="CP31" i="435" l="1"/>
  <c r="CC21" i="435"/>
  <c r="CU31" i="435" s="1"/>
  <c r="CU15" i="435"/>
  <c r="C606" i="435"/>
  <c r="B605" i="435"/>
  <c r="D605" i="435" s="1"/>
  <c r="BC20" i="435"/>
  <c r="BB22" i="435"/>
  <c r="BM32" i="435" s="1"/>
  <c r="DT278" i="431" s="1"/>
  <c r="DT279" i="431" s="1"/>
  <c r="DT280" i="431" s="1"/>
  <c r="CH31" i="435"/>
  <c r="BW21" i="435"/>
  <c r="BZ21" i="435"/>
  <c r="CL31" i="435"/>
  <c r="CP15" i="435"/>
  <c r="BZ5" i="435"/>
  <c r="CD5" i="435" s="1"/>
  <c r="CL15" i="435"/>
  <c r="B220" i="435"/>
  <c r="D220" i="435" s="1"/>
  <c r="C221" i="435"/>
  <c r="BW5" i="435"/>
  <c r="CH15" i="435"/>
  <c r="E52" i="434"/>
  <c r="A51" i="434"/>
  <c r="B51" i="434" s="1"/>
  <c r="C48" i="434"/>
  <c r="D49" i="434"/>
  <c r="G947" i="433"/>
  <c r="E50" i="433"/>
  <c r="A49" i="433"/>
  <c r="B49" i="433" s="1"/>
  <c r="G951" i="434"/>
  <c r="C49" i="433"/>
  <c r="D50" i="433"/>
  <c r="CQ31" i="435" l="1"/>
  <c r="CD21" i="435"/>
  <c r="CV31" i="435" s="1"/>
  <c r="CV15" i="435"/>
  <c r="B606" i="435"/>
  <c r="D606" i="435" s="1"/>
  <c r="C607" i="435"/>
  <c r="CA21" i="435"/>
  <c r="CM31" i="435"/>
  <c r="BC22" i="435"/>
  <c r="BN32" i="435" s="1"/>
  <c r="DU278" i="431" s="1"/>
  <c r="BD20" i="435"/>
  <c r="CQ15" i="435"/>
  <c r="CA5" i="435"/>
  <c r="CE5" i="435" s="1"/>
  <c r="CM15" i="435"/>
  <c r="C222" i="435"/>
  <c r="B221" i="435"/>
  <c r="D221" i="435" s="1"/>
  <c r="D50" i="434"/>
  <c r="C49" i="434"/>
  <c r="G948" i="433"/>
  <c r="A52" i="434"/>
  <c r="B52" i="434" s="1"/>
  <c r="E53" i="434"/>
  <c r="E51" i="433"/>
  <c r="A50" i="433"/>
  <c r="B50" i="433" s="1"/>
  <c r="C50" i="433"/>
  <c r="D51" i="433"/>
  <c r="G952" i="434"/>
  <c r="CR31" i="435" l="1"/>
  <c r="CE21" i="435"/>
  <c r="CW31" i="435" s="1"/>
  <c r="CW15" i="435"/>
  <c r="C608" i="435"/>
  <c r="B607" i="435"/>
  <c r="D607" i="435" s="1"/>
  <c r="DU279" i="431"/>
  <c r="DU280" i="431" s="1"/>
  <c r="DV278" i="431"/>
  <c r="DV279" i="431" s="1"/>
  <c r="DV280" i="431" s="1"/>
  <c r="BD22" i="435"/>
  <c r="BP32" i="435" s="1"/>
  <c r="DW278" i="431" s="1"/>
  <c r="BE20" i="435"/>
  <c r="CR15" i="435"/>
  <c r="C223" i="435"/>
  <c r="B222" i="435"/>
  <c r="D222" i="435" s="1"/>
  <c r="A53" i="434"/>
  <c r="B53" i="434" s="1"/>
  <c r="E54" i="434"/>
  <c r="C50" i="434"/>
  <c r="D51" i="434"/>
  <c r="G949" i="433"/>
  <c r="A51" i="433"/>
  <c r="B51" i="433" s="1"/>
  <c r="E52" i="433"/>
  <c r="G953" i="434"/>
  <c r="C51" i="433"/>
  <c r="D52" i="433"/>
  <c r="C609" i="435" l="1"/>
  <c r="B608" i="435"/>
  <c r="D608" i="435" s="1"/>
  <c r="DW279" i="431"/>
  <c r="DW280" i="431" s="1"/>
  <c r="BE22" i="435"/>
  <c r="BQ32" i="435" s="1"/>
  <c r="DX278" i="431" s="1"/>
  <c r="DX279" i="431" s="1"/>
  <c r="DX280" i="431" s="1"/>
  <c r="BF20" i="435"/>
  <c r="C224" i="435"/>
  <c r="B223" i="435"/>
  <c r="D223" i="435" s="1"/>
  <c r="D52" i="434"/>
  <c r="C51" i="434"/>
  <c r="A52" i="433"/>
  <c r="B52" i="433" s="1"/>
  <c r="E53" i="433"/>
  <c r="G950" i="433"/>
  <c r="E55" i="434"/>
  <c r="A54" i="434"/>
  <c r="B54" i="434" s="1"/>
  <c r="G954" i="434"/>
  <c r="D53" i="433"/>
  <c r="C52" i="433"/>
  <c r="C610" i="435" l="1"/>
  <c r="B609" i="435"/>
  <c r="D609" i="435" s="1"/>
  <c r="BF22" i="435"/>
  <c r="BR32" i="435" s="1"/>
  <c r="DY278" i="431" s="1"/>
  <c r="DY279" i="431" s="1"/>
  <c r="DY280" i="431" s="1"/>
  <c r="BG20" i="435"/>
  <c r="B224" i="435"/>
  <c r="D224" i="435" s="1"/>
  <c r="C225" i="435"/>
  <c r="D53" i="434"/>
  <c r="C52" i="434"/>
  <c r="E56" i="434"/>
  <c r="A55" i="434"/>
  <c r="B55" i="434" s="1"/>
  <c r="G951" i="433"/>
  <c r="A53" i="433"/>
  <c r="B53" i="433" s="1"/>
  <c r="E54" i="433"/>
  <c r="G955" i="434"/>
  <c r="C53" i="433"/>
  <c r="D54" i="433"/>
  <c r="B610" i="435" l="1"/>
  <c r="D610" i="435" s="1"/>
  <c r="C611" i="435"/>
  <c r="BH20" i="435"/>
  <c r="BG22" i="435"/>
  <c r="BS32" i="435" s="1"/>
  <c r="DZ278" i="431" s="1"/>
  <c r="B225" i="435"/>
  <c r="D225" i="435" s="1"/>
  <c r="C226" i="435"/>
  <c r="D54" i="434"/>
  <c r="C53" i="434"/>
  <c r="A54" i="433"/>
  <c r="B54" i="433" s="1"/>
  <c r="E55" i="433"/>
  <c r="E57" i="434"/>
  <c r="A56" i="434"/>
  <c r="B56" i="434" s="1"/>
  <c r="G952" i="433"/>
  <c r="D55" i="433"/>
  <c r="C54" i="433"/>
  <c r="G956" i="434"/>
  <c r="B611" i="435" l="1"/>
  <c r="D611" i="435" s="1"/>
  <c r="C612" i="435"/>
  <c r="BI20" i="435"/>
  <c r="BH22" i="435"/>
  <c r="BU32" i="435" s="1"/>
  <c r="EB278" i="431" s="1"/>
  <c r="EA278" i="431"/>
  <c r="EA279" i="431" s="1"/>
  <c r="EA280" i="431" s="1"/>
  <c r="DZ279" i="431"/>
  <c r="DZ280" i="431" s="1"/>
  <c r="C227" i="435"/>
  <c r="B226" i="435"/>
  <c r="D226" i="435" s="1"/>
  <c r="C54" i="434"/>
  <c r="D55" i="434"/>
  <c r="A55" i="433"/>
  <c r="B55" i="433" s="1"/>
  <c r="E56" i="433"/>
  <c r="E58" i="434"/>
  <c r="A57" i="434"/>
  <c r="B57" i="434" s="1"/>
  <c r="G953" i="433"/>
  <c r="C55" i="433"/>
  <c r="D56" i="433"/>
  <c r="G957" i="434"/>
  <c r="C613" i="435" l="1"/>
  <c r="B612" i="435"/>
  <c r="D612" i="435" s="1"/>
  <c r="EB279" i="431"/>
  <c r="EB280" i="431" s="1"/>
  <c r="BJ20" i="435"/>
  <c r="BI22" i="435"/>
  <c r="BV32" i="435" s="1"/>
  <c r="EC278" i="431" s="1"/>
  <c r="EC279" i="431" s="1"/>
  <c r="EC280" i="431" s="1"/>
  <c r="C228" i="435"/>
  <c r="B227" i="435"/>
  <c r="D227" i="435" s="1"/>
  <c r="A56" i="433"/>
  <c r="B56" i="433" s="1"/>
  <c r="E57" i="433"/>
  <c r="G954" i="433"/>
  <c r="D56" i="434"/>
  <c r="C55" i="434"/>
  <c r="A58" i="434"/>
  <c r="B58" i="434" s="1"/>
  <c r="E59" i="434"/>
  <c r="D57" i="433"/>
  <c r="C56" i="433"/>
  <c r="G958" i="434"/>
  <c r="C614" i="435" l="1"/>
  <c r="B614" i="435" s="1"/>
  <c r="D614" i="435" s="1"/>
  <c r="B613" i="435"/>
  <c r="D613" i="435" s="1"/>
  <c r="BJ22" i="435"/>
  <c r="BW32" i="435" s="1"/>
  <c r="ED278" i="431" s="1"/>
  <c r="ED279" i="431" s="1"/>
  <c r="ED280" i="431" s="1"/>
  <c r="BK20" i="435"/>
  <c r="B228" i="435"/>
  <c r="D228" i="435" s="1"/>
  <c r="C229" i="435"/>
  <c r="E60" i="434"/>
  <c r="A59" i="434"/>
  <c r="B59" i="434" s="1"/>
  <c r="A57" i="433"/>
  <c r="B57" i="433" s="1"/>
  <c r="E58" i="433"/>
  <c r="G955" i="433"/>
  <c r="D57" i="434"/>
  <c r="C56" i="434"/>
  <c r="D58" i="433"/>
  <c r="C57" i="433"/>
  <c r="G959" i="434"/>
  <c r="BK22" i="435" l="1"/>
  <c r="BX32" i="435" s="1"/>
  <c r="EE278" i="431" s="1"/>
  <c r="BL20" i="435"/>
  <c r="C230" i="435"/>
  <c r="B229" i="435"/>
  <c r="D229" i="435" s="1"/>
  <c r="G956" i="433"/>
  <c r="E59" i="433"/>
  <c r="A58" i="433"/>
  <c r="B58" i="433" s="1"/>
  <c r="C57" i="434"/>
  <c r="D58" i="434"/>
  <c r="A60" i="434"/>
  <c r="B60" i="434" s="1"/>
  <c r="E61" i="434"/>
  <c r="F961" i="434"/>
  <c r="G960" i="434"/>
  <c r="D59" i="433"/>
  <c r="C58" i="433"/>
  <c r="BL22" i="435" l="1"/>
  <c r="BZ32" i="435" s="1"/>
  <c r="EG278" i="431" s="1"/>
  <c r="BM20" i="435"/>
  <c r="EF278" i="431"/>
  <c r="EF279" i="431" s="1"/>
  <c r="EF280" i="431" s="1"/>
  <c r="EE279" i="431"/>
  <c r="EE280" i="431" s="1"/>
  <c r="B230" i="435"/>
  <c r="D230" i="435" s="1"/>
  <c r="C231" i="435"/>
  <c r="A59" i="433"/>
  <c r="B59" i="433" s="1"/>
  <c r="E60" i="433"/>
  <c r="E62" i="434"/>
  <c r="A61" i="434"/>
  <c r="B61" i="434" s="1"/>
  <c r="G957" i="433"/>
  <c r="D59" i="434"/>
  <c r="C58" i="434"/>
  <c r="C59" i="433"/>
  <c r="D60" i="433"/>
  <c r="F962" i="434"/>
  <c r="G961" i="434"/>
  <c r="BM22" i="435" l="1"/>
  <c r="CA32" i="435" s="1"/>
  <c r="EH278" i="431" s="1"/>
  <c r="BN20" i="435"/>
  <c r="EG279" i="431"/>
  <c r="C232" i="435"/>
  <c r="B231" i="435"/>
  <c r="D231" i="435" s="1"/>
  <c r="C59" i="434"/>
  <c r="D60" i="434"/>
  <c r="G958" i="433"/>
  <c r="A62" i="434"/>
  <c r="B62" i="434" s="1"/>
  <c r="E63" i="434"/>
  <c r="E61" i="433"/>
  <c r="A60" i="433"/>
  <c r="B60" i="433" s="1"/>
  <c r="C60" i="433"/>
  <c r="D61" i="433"/>
  <c r="G962" i="434"/>
  <c r="F963" i="434"/>
  <c r="EH279" i="431" l="1"/>
  <c r="BO20" i="435"/>
  <c r="BN22" i="435"/>
  <c r="CB32" i="435" s="1"/>
  <c r="EI278" i="431" s="1"/>
  <c r="EG280" i="431"/>
  <c r="C233" i="435"/>
  <c r="B232" i="435"/>
  <c r="D232" i="435" s="1"/>
  <c r="A61" i="433"/>
  <c r="B61" i="433" s="1"/>
  <c r="E62" i="433"/>
  <c r="G959" i="433"/>
  <c r="A63" i="434"/>
  <c r="B63" i="434" s="1"/>
  <c r="E64" i="434"/>
  <c r="C60" i="434"/>
  <c r="D61" i="434"/>
  <c r="C61" i="433"/>
  <c r="D62" i="433"/>
  <c r="F964" i="434"/>
  <c r="G963" i="434"/>
  <c r="EI279" i="431" l="1"/>
  <c r="EH280" i="431"/>
  <c r="BO22" i="435"/>
  <c r="CC32" i="435" s="1"/>
  <c r="EJ278" i="431" s="1"/>
  <c r="BP20" i="435"/>
  <c r="B233" i="435"/>
  <c r="D233" i="435" s="1"/>
  <c r="C234" i="435"/>
  <c r="D62" i="434"/>
  <c r="C61" i="434"/>
  <c r="E65" i="434"/>
  <c r="A64" i="434"/>
  <c r="B64" i="434" s="1"/>
  <c r="A62" i="433"/>
  <c r="B62" i="433" s="1"/>
  <c r="E63" i="433"/>
  <c r="G960" i="433"/>
  <c r="F961" i="433"/>
  <c r="D63" i="433"/>
  <c r="C62" i="433"/>
  <c r="F965" i="434"/>
  <c r="G964" i="434"/>
  <c r="EI280" i="431" l="1"/>
  <c r="BQ20" i="435"/>
  <c r="BR20" i="435" s="1"/>
  <c r="BS20" i="435" s="1"/>
  <c r="BT20" i="435" s="1"/>
  <c r="BP22" i="435"/>
  <c r="CE32" i="435" s="1"/>
  <c r="EL278" i="431" s="1"/>
  <c r="FN278" i="431" s="1"/>
  <c r="EK278" i="431"/>
  <c r="EK279" i="431" s="1"/>
  <c r="EK280" i="431" s="1"/>
  <c r="EJ279" i="431"/>
  <c r="B234" i="435"/>
  <c r="D234" i="435" s="1"/>
  <c r="C235" i="435"/>
  <c r="E66" i="434"/>
  <c r="A65" i="434"/>
  <c r="B65" i="434" s="1"/>
  <c r="F962" i="433"/>
  <c r="G961" i="433"/>
  <c r="A63" i="433"/>
  <c r="B63" i="433" s="1"/>
  <c r="E64" i="433"/>
  <c r="C62" i="434"/>
  <c r="D63" i="434"/>
  <c r="D64" i="433"/>
  <c r="C63" i="433"/>
  <c r="F966" i="434"/>
  <c r="G965" i="434"/>
  <c r="EJ280" i="431" l="1"/>
  <c r="EL279" i="431"/>
  <c r="FN279" i="431" s="1"/>
  <c r="BU20" i="435"/>
  <c r="C236" i="435"/>
  <c r="B235" i="435"/>
  <c r="D235" i="435" s="1"/>
  <c r="D64" i="434"/>
  <c r="C63" i="434"/>
  <c r="E65" i="433"/>
  <c r="A64" i="433"/>
  <c r="B64" i="433" s="1"/>
  <c r="F963" i="433"/>
  <c r="G962" i="433"/>
  <c r="E67" i="434"/>
  <c r="A66" i="434"/>
  <c r="B66" i="434" s="1"/>
  <c r="F967" i="434"/>
  <c r="G966" i="434"/>
  <c r="C64" i="433"/>
  <c r="D65" i="433"/>
  <c r="EL280" i="431" l="1"/>
  <c r="FN280" i="431" s="1"/>
  <c r="BV20" i="435"/>
  <c r="C237" i="435"/>
  <c r="B236" i="435"/>
  <c r="D236" i="435" s="1"/>
  <c r="G963" i="433"/>
  <c r="F964" i="433"/>
  <c r="A67" i="434"/>
  <c r="B67" i="434" s="1"/>
  <c r="E68" i="434"/>
  <c r="D65" i="434"/>
  <c r="C64" i="434"/>
  <c r="E66" i="433"/>
  <c r="A65" i="433"/>
  <c r="B65" i="433" s="1"/>
  <c r="F968" i="434"/>
  <c r="G967" i="434"/>
  <c r="D66" i="433"/>
  <c r="C65" i="433"/>
  <c r="BW20" i="435" l="1"/>
  <c r="C238" i="435"/>
  <c r="B237" i="435"/>
  <c r="D237" i="435" s="1"/>
  <c r="D66" i="434"/>
  <c r="C65" i="434"/>
  <c r="A68" i="434"/>
  <c r="B68" i="434" s="1"/>
  <c r="E69" i="434"/>
  <c r="G964" i="433"/>
  <c r="F965" i="433"/>
  <c r="A66" i="433"/>
  <c r="B66" i="433" s="1"/>
  <c r="E67" i="433"/>
  <c r="C66" i="433"/>
  <c r="D67" i="433"/>
  <c r="F969" i="434"/>
  <c r="G968" i="434"/>
  <c r="BX20" i="435" l="1"/>
  <c r="B238" i="435"/>
  <c r="D238" i="435" s="1"/>
  <c r="C239" i="435"/>
  <c r="D67" i="434"/>
  <c r="C66" i="434"/>
  <c r="F966" i="433"/>
  <c r="G965" i="433"/>
  <c r="A69" i="434"/>
  <c r="B69" i="434" s="1"/>
  <c r="E70" i="434"/>
  <c r="A67" i="433"/>
  <c r="B67" i="433" s="1"/>
  <c r="E68" i="433"/>
  <c r="D68" i="433"/>
  <c r="C67" i="433"/>
  <c r="F970" i="434"/>
  <c r="G969" i="434"/>
  <c r="BY20" i="435" l="1"/>
  <c r="B239" i="435"/>
  <c r="D239" i="435" s="1"/>
  <c r="C240" i="435"/>
  <c r="A70" i="434"/>
  <c r="B70" i="434" s="1"/>
  <c r="E71" i="434"/>
  <c r="G966" i="433"/>
  <c r="F967" i="433"/>
  <c r="A68" i="433"/>
  <c r="B68" i="433" s="1"/>
  <c r="E69" i="433"/>
  <c r="C67" i="434"/>
  <c r="D68" i="434"/>
  <c r="C68" i="433"/>
  <c r="D69" i="433"/>
  <c r="F971" i="434"/>
  <c r="G970" i="434"/>
  <c r="BZ20" i="435" l="1"/>
  <c r="C241" i="435"/>
  <c r="B240" i="435"/>
  <c r="D240" i="435" s="1"/>
  <c r="A71" i="434"/>
  <c r="B71" i="434" s="1"/>
  <c r="E72" i="434"/>
  <c r="E70" i="433"/>
  <c r="A69" i="433"/>
  <c r="B69" i="433" s="1"/>
  <c r="D69" i="434"/>
  <c r="C68" i="434"/>
  <c r="G967" i="433"/>
  <c r="F968" i="433"/>
  <c r="C69" i="433"/>
  <c r="D70" i="433"/>
  <c r="G971" i="434"/>
  <c r="F972" i="434"/>
  <c r="CA20" i="435" l="1"/>
  <c r="B241" i="435"/>
  <c r="D241" i="435" s="1"/>
  <c r="C242" i="435"/>
  <c r="D70" i="434"/>
  <c r="C69" i="434"/>
  <c r="E71" i="433"/>
  <c r="A70" i="433"/>
  <c r="B70" i="433" s="1"/>
  <c r="F969" i="433"/>
  <c r="G968" i="433"/>
  <c r="A72" i="434"/>
  <c r="B72" i="434" s="1"/>
  <c r="E73" i="434"/>
  <c r="F973" i="434"/>
  <c r="G972" i="434"/>
  <c r="C70" i="433"/>
  <c r="D71" i="433"/>
  <c r="B242" i="435" l="1"/>
  <c r="D242" i="435" s="1"/>
  <c r="C243" i="435"/>
  <c r="E74" i="434"/>
  <c r="A73" i="434"/>
  <c r="B73" i="434" s="1"/>
  <c r="E72" i="433"/>
  <c r="A71" i="433"/>
  <c r="B71" i="433" s="1"/>
  <c r="D71" i="434"/>
  <c r="C70" i="434"/>
  <c r="F970" i="433"/>
  <c r="G969" i="433"/>
  <c r="F974" i="434"/>
  <c r="G973" i="434"/>
  <c r="C71" i="433"/>
  <c r="D72" i="433"/>
  <c r="C244" i="435" l="1"/>
  <c r="B243" i="435"/>
  <c r="D243" i="435" s="1"/>
  <c r="E73" i="433"/>
  <c r="A72" i="433"/>
  <c r="B72" i="433" s="1"/>
  <c r="D72" i="434"/>
  <c r="C71" i="434"/>
  <c r="G970" i="433"/>
  <c r="F971" i="433"/>
  <c r="A74" i="434"/>
  <c r="B74" i="434" s="1"/>
  <c r="E75" i="434"/>
  <c r="D73" i="433"/>
  <c r="C72" i="433"/>
  <c r="G974" i="434"/>
  <c r="F975" i="434"/>
  <c r="B244" i="435" l="1"/>
  <c r="D244" i="435" s="1"/>
  <c r="C245" i="435"/>
  <c r="G971" i="433"/>
  <c r="F972" i="433"/>
  <c r="A75" i="434"/>
  <c r="B75" i="434" s="1"/>
  <c r="E76" i="434"/>
  <c r="D73" i="434"/>
  <c r="C72" i="434"/>
  <c r="E74" i="433"/>
  <c r="A73" i="433"/>
  <c r="B73" i="433" s="1"/>
  <c r="F976" i="434"/>
  <c r="G975" i="434"/>
  <c r="D74" i="433"/>
  <c r="C73" i="433"/>
  <c r="B245" i="435" l="1"/>
  <c r="D245" i="435" s="1"/>
  <c r="C246" i="435"/>
  <c r="C73" i="434"/>
  <c r="D74" i="434"/>
  <c r="F973" i="433"/>
  <c r="G972" i="433"/>
  <c r="E75" i="433"/>
  <c r="A74" i="433"/>
  <c r="B74" i="433" s="1"/>
  <c r="E77" i="434"/>
  <c r="A76" i="434"/>
  <c r="B76" i="434" s="1"/>
  <c r="G976" i="434"/>
  <c r="F977" i="434"/>
  <c r="D75" i="433"/>
  <c r="C74" i="433"/>
  <c r="C247" i="435" l="1"/>
  <c r="B246" i="435"/>
  <c r="D246" i="435" s="1"/>
  <c r="A75" i="433"/>
  <c r="B75" i="433" s="1"/>
  <c r="E76" i="433"/>
  <c r="D75" i="434"/>
  <c r="C74" i="434"/>
  <c r="F974" i="433"/>
  <c r="G973" i="433"/>
  <c r="E78" i="434"/>
  <c r="A77" i="434"/>
  <c r="B77" i="434" s="1"/>
  <c r="F978" i="434"/>
  <c r="G977" i="434"/>
  <c r="C75" i="433"/>
  <c r="D76" i="433"/>
  <c r="C248" i="435" l="1"/>
  <c r="B247" i="435"/>
  <c r="D247" i="435" s="1"/>
  <c r="A78" i="434"/>
  <c r="B78" i="434" s="1"/>
  <c r="E79" i="434"/>
  <c r="D76" i="434"/>
  <c r="C75" i="434"/>
  <c r="E77" i="433"/>
  <c r="A76" i="433"/>
  <c r="B76" i="433" s="1"/>
  <c r="G974" i="433"/>
  <c r="F975" i="433"/>
  <c r="C76" i="433"/>
  <c r="D77" i="433"/>
  <c r="G978" i="434"/>
  <c r="F979" i="434"/>
  <c r="B248" i="435" l="1"/>
  <c r="D248" i="435" s="1"/>
  <c r="C249" i="435"/>
  <c r="G975" i="433"/>
  <c r="F976" i="433"/>
  <c r="E78" i="433"/>
  <c r="A77" i="433"/>
  <c r="B77" i="433" s="1"/>
  <c r="D77" i="434"/>
  <c r="C76" i="434"/>
  <c r="A79" i="434"/>
  <c r="B79" i="434" s="1"/>
  <c r="E80" i="434"/>
  <c r="D78" i="433"/>
  <c r="C77" i="433"/>
  <c r="G979" i="434"/>
  <c r="F980" i="434"/>
  <c r="B249" i="435" l="1"/>
  <c r="D249" i="435" s="1"/>
  <c r="C250" i="435"/>
  <c r="D78" i="434"/>
  <c r="C77" i="434"/>
  <c r="A78" i="433"/>
  <c r="B78" i="433" s="1"/>
  <c r="E79" i="433"/>
  <c r="A80" i="434"/>
  <c r="B80" i="434" s="1"/>
  <c r="E81" i="434"/>
  <c r="G976" i="433"/>
  <c r="F977" i="433"/>
  <c r="D79" i="433"/>
  <c r="C78" i="433"/>
  <c r="G980" i="434"/>
  <c r="F981" i="434"/>
  <c r="B250" i="435" l="1"/>
  <c r="D250" i="435" s="1"/>
  <c r="C251" i="435"/>
  <c r="A81" i="434"/>
  <c r="B81" i="434" s="1"/>
  <c r="E82" i="434"/>
  <c r="F978" i="433"/>
  <c r="G977" i="433"/>
  <c r="E80" i="433"/>
  <c r="A79" i="433"/>
  <c r="B79" i="433" s="1"/>
  <c r="D79" i="434"/>
  <c r="C78" i="434"/>
  <c r="F982" i="434"/>
  <c r="G981" i="434"/>
  <c r="D80" i="433"/>
  <c r="C79" i="433"/>
  <c r="B251" i="435" l="1"/>
  <c r="D251" i="435" s="1"/>
  <c r="C252" i="435"/>
  <c r="E83" i="434"/>
  <c r="A82" i="434"/>
  <c r="B82" i="434" s="1"/>
  <c r="D80" i="434"/>
  <c r="C79" i="434"/>
  <c r="A80" i="433"/>
  <c r="B80" i="433" s="1"/>
  <c r="E81" i="433"/>
  <c r="F979" i="433"/>
  <c r="G978" i="433"/>
  <c r="D81" i="433"/>
  <c r="C80" i="433"/>
  <c r="F983" i="434"/>
  <c r="G982" i="434"/>
  <c r="B252" i="435" l="1"/>
  <c r="D252" i="435" s="1"/>
  <c r="C253" i="435"/>
  <c r="A83" i="434"/>
  <c r="B83" i="434" s="1"/>
  <c r="E84" i="434"/>
  <c r="A81" i="433"/>
  <c r="B81" i="433" s="1"/>
  <c r="E82" i="433"/>
  <c r="G979" i="433"/>
  <c r="F980" i="433"/>
  <c r="C80" i="434"/>
  <c r="D81" i="434"/>
  <c r="G983" i="434"/>
  <c r="F984" i="434"/>
  <c r="C81" i="433"/>
  <c r="D82" i="433"/>
  <c r="C254" i="435" l="1"/>
  <c r="B253" i="435"/>
  <c r="D253" i="435" s="1"/>
  <c r="E85" i="434"/>
  <c r="A84" i="434"/>
  <c r="B84" i="434" s="1"/>
  <c r="A82" i="433"/>
  <c r="B82" i="433" s="1"/>
  <c r="E83" i="433"/>
  <c r="C81" i="434"/>
  <c r="D82" i="434"/>
  <c r="G980" i="433"/>
  <c r="F981" i="433"/>
  <c r="D83" i="433"/>
  <c r="C82" i="433"/>
  <c r="F985" i="434"/>
  <c r="G984" i="434"/>
  <c r="B254" i="435" l="1"/>
  <c r="D254" i="435" s="1"/>
  <c r="C255" i="435"/>
  <c r="E84" i="433"/>
  <c r="A83" i="433"/>
  <c r="B83" i="433" s="1"/>
  <c r="F982" i="433"/>
  <c r="G981" i="433"/>
  <c r="A85" i="434"/>
  <c r="B85" i="434" s="1"/>
  <c r="E86" i="434"/>
  <c r="C82" i="434"/>
  <c r="D83" i="434"/>
  <c r="G985" i="434"/>
  <c r="F986" i="434"/>
  <c r="D84" i="433"/>
  <c r="C83" i="433"/>
  <c r="C256" i="435" l="1"/>
  <c r="B255" i="435"/>
  <c r="D255" i="435" s="1"/>
  <c r="G982" i="433"/>
  <c r="F983" i="433"/>
  <c r="C83" i="434"/>
  <c r="D84" i="434"/>
  <c r="E85" i="433"/>
  <c r="A84" i="433"/>
  <c r="B84" i="433" s="1"/>
  <c r="E87" i="434"/>
  <c r="A86" i="434"/>
  <c r="B86" i="434" s="1"/>
  <c r="F987" i="434"/>
  <c r="G986" i="434"/>
  <c r="C84" i="433"/>
  <c r="D85" i="433"/>
  <c r="C257" i="435" l="1"/>
  <c r="B256" i="435"/>
  <c r="D256" i="435" s="1"/>
  <c r="A85" i="433"/>
  <c r="B85" i="433" s="1"/>
  <c r="E86" i="433"/>
  <c r="A87" i="434"/>
  <c r="B87" i="434" s="1"/>
  <c r="E88" i="434"/>
  <c r="D85" i="434"/>
  <c r="C84" i="434"/>
  <c r="G983" i="433"/>
  <c r="F984" i="433"/>
  <c r="C85" i="433"/>
  <c r="D86" i="433"/>
  <c r="F988" i="434"/>
  <c r="G987" i="434"/>
  <c r="B257" i="435" l="1"/>
  <c r="D257" i="435" s="1"/>
  <c r="C258" i="435"/>
  <c r="G984" i="433"/>
  <c r="F985" i="433"/>
  <c r="E87" i="433"/>
  <c r="A86" i="433"/>
  <c r="B86" i="433" s="1"/>
  <c r="D86" i="434"/>
  <c r="C85" i="434"/>
  <c r="A88" i="434"/>
  <c r="B88" i="434" s="1"/>
  <c r="E89" i="434"/>
  <c r="F989" i="434"/>
  <c r="G988" i="434"/>
  <c r="D87" i="433"/>
  <c r="C86" i="433"/>
  <c r="B258" i="435" l="1"/>
  <c r="D258" i="435" s="1"/>
  <c r="C259" i="435"/>
  <c r="G985" i="433"/>
  <c r="F986" i="433"/>
  <c r="A89" i="434"/>
  <c r="B89" i="434" s="1"/>
  <c r="E90" i="434"/>
  <c r="D87" i="434"/>
  <c r="C86" i="434"/>
  <c r="A87" i="433"/>
  <c r="B87" i="433" s="1"/>
  <c r="E88" i="433"/>
  <c r="F990" i="434"/>
  <c r="G989" i="434"/>
  <c r="D88" i="433"/>
  <c r="C87" i="433"/>
  <c r="C260" i="435" l="1"/>
  <c r="B259" i="435"/>
  <c r="D259" i="435" s="1"/>
  <c r="D88" i="434"/>
  <c r="C87" i="434"/>
  <c r="E89" i="433"/>
  <c r="A88" i="433"/>
  <c r="B88" i="433" s="1"/>
  <c r="E91" i="434"/>
  <c r="A90" i="434"/>
  <c r="B90" i="434" s="1"/>
  <c r="F987" i="433"/>
  <c r="G986" i="433"/>
  <c r="C88" i="433"/>
  <c r="D89" i="433"/>
  <c r="G990" i="434"/>
  <c r="F991" i="434"/>
  <c r="B260" i="435" l="1"/>
  <c r="D260" i="435" s="1"/>
  <c r="C261" i="435"/>
  <c r="F988" i="433"/>
  <c r="G987" i="433"/>
  <c r="A91" i="434"/>
  <c r="B91" i="434" s="1"/>
  <c r="E92" i="434"/>
  <c r="E90" i="433"/>
  <c r="A89" i="433"/>
  <c r="B89" i="433" s="1"/>
  <c r="D89" i="434"/>
  <c r="C88" i="434"/>
  <c r="D90" i="433"/>
  <c r="C89" i="433"/>
  <c r="G991" i="434"/>
  <c r="F992" i="434"/>
  <c r="C262" i="435" l="1"/>
  <c r="B261" i="435"/>
  <c r="D261" i="435" s="1"/>
  <c r="A90" i="433"/>
  <c r="B90" i="433" s="1"/>
  <c r="E91" i="433"/>
  <c r="A92" i="434"/>
  <c r="B92" i="434" s="1"/>
  <c r="E93" i="434"/>
  <c r="D90" i="434"/>
  <c r="C89" i="434"/>
  <c r="F989" i="433"/>
  <c r="G988" i="433"/>
  <c r="C90" i="433"/>
  <c r="D91" i="433"/>
  <c r="F993" i="434"/>
  <c r="G992" i="434"/>
  <c r="B262" i="435" l="1"/>
  <c r="D262" i="435" s="1"/>
  <c r="C263" i="435"/>
  <c r="E92" i="433"/>
  <c r="A91" i="433"/>
  <c r="B91" i="433" s="1"/>
  <c r="F990" i="433"/>
  <c r="G989" i="433"/>
  <c r="D91" i="434"/>
  <c r="C90" i="434"/>
  <c r="A93" i="434"/>
  <c r="B93" i="434" s="1"/>
  <c r="E94" i="434"/>
  <c r="G993" i="434"/>
  <c r="F994" i="434"/>
  <c r="D92" i="433"/>
  <c r="C91" i="433"/>
  <c r="C264" i="435" l="1"/>
  <c r="B263" i="435"/>
  <c r="D263" i="435" s="1"/>
  <c r="C91" i="434"/>
  <c r="D92" i="434"/>
  <c r="F991" i="433"/>
  <c r="G990" i="433"/>
  <c r="E95" i="434"/>
  <c r="A94" i="434"/>
  <c r="B94" i="434" s="1"/>
  <c r="A92" i="433"/>
  <c r="B92" i="433" s="1"/>
  <c r="E93" i="433"/>
  <c r="D93" i="433"/>
  <c r="C92" i="433"/>
  <c r="G994" i="434"/>
  <c r="F995" i="434"/>
  <c r="C265" i="435" l="1"/>
  <c r="B264" i="435"/>
  <c r="D264" i="435" s="1"/>
  <c r="E96" i="434"/>
  <c r="A95" i="434"/>
  <c r="B95" i="434" s="1"/>
  <c r="E94" i="433"/>
  <c r="A93" i="433"/>
  <c r="B93" i="433" s="1"/>
  <c r="F992" i="433"/>
  <c r="G991" i="433"/>
  <c r="C92" i="434"/>
  <c r="D93" i="434"/>
  <c r="D94" i="433"/>
  <c r="C93" i="433"/>
  <c r="F996" i="434"/>
  <c r="G995" i="434"/>
  <c r="C266" i="435" l="1"/>
  <c r="B265" i="435"/>
  <c r="D265" i="435" s="1"/>
  <c r="G992" i="433"/>
  <c r="F993" i="433"/>
  <c r="E95" i="433"/>
  <c r="A94" i="433"/>
  <c r="B94" i="433" s="1"/>
  <c r="A96" i="434"/>
  <c r="B96" i="434" s="1"/>
  <c r="E97" i="434"/>
  <c r="D94" i="434"/>
  <c r="C93" i="434"/>
  <c r="F997" i="434"/>
  <c r="G996" i="434"/>
  <c r="D95" i="433"/>
  <c r="C94" i="433"/>
  <c r="B266" i="435" l="1"/>
  <c r="D266" i="435" s="1"/>
  <c r="C267" i="435"/>
  <c r="E96" i="433"/>
  <c r="A95" i="433"/>
  <c r="B95" i="433" s="1"/>
  <c r="C94" i="434"/>
  <c r="D95" i="434"/>
  <c r="E98" i="434"/>
  <c r="A97" i="434"/>
  <c r="B97" i="434" s="1"/>
  <c r="G993" i="433"/>
  <c r="F994" i="433"/>
  <c r="C95" i="433"/>
  <c r="D96" i="433"/>
  <c r="F998" i="434"/>
  <c r="G997" i="434"/>
  <c r="C268" i="435" l="1"/>
  <c r="B267" i="435"/>
  <c r="D267" i="435" s="1"/>
  <c r="E97" i="433"/>
  <c r="A96" i="433"/>
  <c r="B96" i="433" s="1"/>
  <c r="C95" i="434"/>
  <c r="D96" i="434"/>
  <c r="F995" i="433"/>
  <c r="G994" i="433"/>
  <c r="A98" i="434"/>
  <c r="B98" i="434" s="1"/>
  <c r="E99" i="434"/>
  <c r="D97" i="433"/>
  <c r="C96" i="433"/>
  <c r="G998" i="434"/>
  <c r="F999" i="434"/>
  <c r="B268" i="435" l="1"/>
  <c r="D268" i="435" s="1"/>
  <c r="C269" i="435"/>
  <c r="F996" i="433"/>
  <c r="G995" i="433"/>
  <c r="C96" i="434"/>
  <c r="D97" i="434"/>
  <c r="E98" i="433"/>
  <c r="A97" i="433"/>
  <c r="B97" i="433" s="1"/>
  <c r="A99" i="434"/>
  <c r="B99" i="434" s="1"/>
  <c r="E100" i="434"/>
  <c r="C97" i="433"/>
  <c r="D98" i="433"/>
  <c r="F1000" i="434"/>
  <c r="G999" i="434"/>
  <c r="C270" i="435" l="1"/>
  <c r="B269" i="435"/>
  <c r="D269" i="435" s="1"/>
  <c r="E99" i="433"/>
  <c r="A98" i="433"/>
  <c r="B98" i="433" s="1"/>
  <c r="G996" i="433"/>
  <c r="F997" i="433"/>
  <c r="E101" i="434"/>
  <c r="A100" i="434"/>
  <c r="B100" i="434" s="1"/>
  <c r="D98" i="434"/>
  <c r="C97" i="434"/>
  <c r="D99" i="433"/>
  <c r="C98" i="433"/>
  <c r="G1000" i="434"/>
  <c r="F1001" i="434"/>
  <c r="B270" i="435" l="1"/>
  <c r="D270" i="435" s="1"/>
  <c r="C271" i="435"/>
  <c r="F998" i="433"/>
  <c r="G997" i="433"/>
  <c r="C98" i="434"/>
  <c r="D99" i="434"/>
  <c r="A101" i="434"/>
  <c r="B101" i="434" s="1"/>
  <c r="E102" i="434"/>
  <c r="E100" i="433"/>
  <c r="A99" i="433"/>
  <c r="B99" i="433" s="1"/>
  <c r="C99" i="433"/>
  <c r="D100" i="433"/>
  <c r="G1001" i="434"/>
  <c r="F1002" i="434"/>
  <c r="C272" i="435" l="1"/>
  <c r="B271" i="435"/>
  <c r="D271" i="435" s="1"/>
  <c r="A100" i="433"/>
  <c r="B100" i="433" s="1"/>
  <c r="E101" i="433"/>
  <c r="A102" i="434"/>
  <c r="B102" i="434" s="1"/>
  <c r="E103" i="434"/>
  <c r="C99" i="434"/>
  <c r="D100" i="434"/>
  <c r="G998" i="433"/>
  <c r="F999" i="433"/>
  <c r="F1003" i="434"/>
  <c r="G1002" i="434"/>
  <c r="C100" i="433"/>
  <c r="D101" i="433"/>
  <c r="B272" i="435" l="1"/>
  <c r="D272" i="435" s="1"/>
  <c r="C273" i="435"/>
  <c r="F1000" i="433"/>
  <c r="G999" i="433"/>
  <c r="E102" i="433"/>
  <c r="A101" i="433"/>
  <c r="B101" i="433" s="1"/>
  <c r="D101" i="434"/>
  <c r="C100" i="434"/>
  <c r="A103" i="434"/>
  <c r="B103" i="434" s="1"/>
  <c r="E104" i="434"/>
  <c r="F1004" i="434"/>
  <c r="G1003" i="434"/>
  <c r="C101" i="433"/>
  <c r="D102" i="433"/>
  <c r="C274" i="435" l="1"/>
  <c r="B273" i="435"/>
  <c r="D273" i="435" s="1"/>
  <c r="A102" i="433"/>
  <c r="B102" i="433" s="1"/>
  <c r="E103" i="433"/>
  <c r="A104" i="434"/>
  <c r="B104" i="434" s="1"/>
  <c r="E105" i="434"/>
  <c r="C101" i="434"/>
  <c r="D102" i="434"/>
  <c r="G1000" i="433"/>
  <c r="F1001" i="433"/>
  <c r="D103" i="433"/>
  <c r="C102" i="433"/>
  <c r="F1005" i="434"/>
  <c r="G1004" i="434"/>
  <c r="C275" i="435" l="1"/>
  <c r="B274" i="435"/>
  <c r="D274" i="435" s="1"/>
  <c r="C102" i="434"/>
  <c r="D103" i="434"/>
  <c r="E106" i="434"/>
  <c r="A105" i="434"/>
  <c r="B105" i="434" s="1"/>
  <c r="F1002" i="433"/>
  <c r="G1001" i="433"/>
  <c r="A103" i="433"/>
  <c r="B103" i="433" s="1"/>
  <c r="E104" i="433"/>
  <c r="F1006" i="434"/>
  <c r="G1005" i="434"/>
  <c r="D104" i="433"/>
  <c r="C103" i="433"/>
  <c r="B275" i="435" l="1"/>
  <c r="D275" i="435" s="1"/>
  <c r="C276" i="435"/>
  <c r="D104" i="434"/>
  <c r="C103" i="434"/>
  <c r="E105" i="433"/>
  <c r="A104" i="433"/>
  <c r="B104" i="433" s="1"/>
  <c r="F1003" i="433"/>
  <c r="G1002" i="433"/>
  <c r="E107" i="434"/>
  <c r="A106" i="434"/>
  <c r="B106" i="434" s="1"/>
  <c r="G1006" i="434"/>
  <c r="F1007" i="434"/>
  <c r="D105" i="433"/>
  <c r="C104" i="433"/>
  <c r="B276" i="435" l="1"/>
  <c r="D276" i="435" s="1"/>
  <c r="C277" i="435"/>
  <c r="A105" i="433"/>
  <c r="B105" i="433" s="1"/>
  <c r="E106" i="433"/>
  <c r="F1004" i="433"/>
  <c r="G1003" i="433"/>
  <c r="A107" i="434"/>
  <c r="B107" i="434" s="1"/>
  <c r="E108" i="434"/>
  <c r="C104" i="434"/>
  <c r="D105" i="434"/>
  <c r="C105" i="433"/>
  <c r="D106" i="433"/>
  <c r="F1008" i="434"/>
  <c r="G1007" i="434"/>
  <c r="C278" i="435" l="1"/>
  <c r="B277" i="435"/>
  <c r="D277" i="435" s="1"/>
  <c r="F1005" i="433"/>
  <c r="G1004" i="433"/>
  <c r="E109" i="434"/>
  <c r="A108" i="434"/>
  <c r="B108" i="434" s="1"/>
  <c r="D106" i="434"/>
  <c r="C105" i="434"/>
  <c r="A106" i="433"/>
  <c r="B106" i="433" s="1"/>
  <c r="E107" i="433"/>
  <c r="C106" i="433"/>
  <c r="D107" i="433"/>
  <c r="F1009" i="434"/>
  <c r="G1008" i="434"/>
  <c r="C279" i="435" l="1"/>
  <c r="B278" i="435"/>
  <c r="D278" i="435" s="1"/>
  <c r="D107" i="434"/>
  <c r="C106" i="434"/>
  <c r="F1006" i="433"/>
  <c r="G1005" i="433"/>
  <c r="A109" i="434"/>
  <c r="B109" i="434" s="1"/>
  <c r="E110" i="434"/>
  <c r="A107" i="433"/>
  <c r="B107" i="433" s="1"/>
  <c r="E108" i="433"/>
  <c r="C107" i="433"/>
  <c r="D108" i="433"/>
  <c r="G1009" i="434"/>
  <c r="F1010" i="434"/>
  <c r="C280" i="435" l="1"/>
  <c r="B279" i="435"/>
  <c r="D279" i="435" s="1"/>
  <c r="G1006" i="433"/>
  <c r="F1007" i="433"/>
  <c r="E109" i="433"/>
  <c r="A108" i="433"/>
  <c r="B108" i="433" s="1"/>
  <c r="E111" i="434"/>
  <c r="A110" i="434"/>
  <c r="B110" i="434" s="1"/>
  <c r="C107" i="434"/>
  <c r="D108" i="434"/>
  <c r="C108" i="433"/>
  <c r="D109" i="433"/>
  <c r="F1011" i="434"/>
  <c r="G1010" i="434"/>
  <c r="B280" i="435" l="1"/>
  <c r="D280" i="435" s="1"/>
  <c r="C281" i="435"/>
  <c r="G1007" i="433"/>
  <c r="F1008" i="433"/>
  <c r="D109" i="434"/>
  <c r="C108" i="434"/>
  <c r="E112" i="434"/>
  <c r="A111" i="434"/>
  <c r="B111" i="434" s="1"/>
  <c r="E110" i="433"/>
  <c r="A109" i="433"/>
  <c r="B109" i="433" s="1"/>
  <c r="C109" i="433"/>
  <c r="D110" i="433"/>
  <c r="F1012" i="434"/>
  <c r="G1011" i="434"/>
  <c r="C282" i="435" l="1"/>
  <c r="B281" i="435"/>
  <c r="D281" i="435" s="1"/>
  <c r="D110" i="434"/>
  <c r="C109" i="434"/>
  <c r="A110" i="433"/>
  <c r="B110" i="433" s="1"/>
  <c r="E111" i="433"/>
  <c r="G1008" i="433"/>
  <c r="F1009" i="433"/>
  <c r="E113" i="434"/>
  <c r="A112" i="434"/>
  <c r="B112" i="434" s="1"/>
  <c r="C110" i="433"/>
  <c r="D111" i="433"/>
  <c r="F1013" i="434"/>
  <c r="G1012" i="434"/>
  <c r="C283" i="435" l="1"/>
  <c r="B282" i="435"/>
  <c r="D282" i="435" s="1"/>
  <c r="F1010" i="433"/>
  <c r="G1009" i="433"/>
  <c r="E112" i="433"/>
  <c r="A111" i="433"/>
  <c r="B111" i="433" s="1"/>
  <c r="A113" i="434"/>
  <c r="B113" i="434" s="1"/>
  <c r="E114" i="434"/>
  <c r="C110" i="434"/>
  <c r="D111" i="434"/>
  <c r="F1014" i="434"/>
  <c r="G1013" i="434"/>
  <c r="D112" i="433"/>
  <c r="C111" i="433"/>
  <c r="C284" i="435" l="1"/>
  <c r="B283" i="435"/>
  <c r="D283" i="435" s="1"/>
  <c r="D112" i="434"/>
  <c r="C111" i="434"/>
  <c r="E115" i="434"/>
  <c r="A114" i="434"/>
  <c r="B114" i="434" s="1"/>
  <c r="A112" i="433"/>
  <c r="B112" i="433" s="1"/>
  <c r="E113" i="433"/>
  <c r="G1010" i="433"/>
  <c r="F1011" i="433"/>
  <c r="G1014" i="434"/>
  <c r="F1015" i="434"/>
  <c r="C112" i="433"/>
  <c r="D113" i="433"/>
  <c r="B284" i="435" l="1"/>
  <c r="D284" i="435" s="1"/>
  <c r="C285" i="435"/>
  <c r="A113" i="433"/>
  <c r="B113" i="433" s="1"/>
  <c r="E114" i="433"/>
  <c r="F1012" i="433"/>
  <c r="G1011" i="433"/>
  <c r="A115" i="434"/>
  <c r="B115" i="434" s="1"/>
  <c r="E116" i="434"/>
  <c r="D113" i="434"/>
  <c r="C112" i="434"/>
  <c r="G1015" i="434"/>
  <c r="F1016" i="434"/>
  <c r="D114" i="433"/>
  <c r="C113" i="433"/>
  <c r="C286" i="435" l="1"/>
  <c r="B285" i="435"/>
  <c r="D285" i="435" s="1"/>
  <c r="E115" i="433"/>
  <c r="A114" i="433"/>
  <c r="B114" i="433" s="1"/>
  <c r="D114" i="434"/>
  <c r="C113" i="434"/>
  <c r="A116" i="434"/>
  <c r="B116" i="434" s="1"/>
  <c r="E117" i="434"/>
  <c r="F1013" i="433"/>
  <c r="G1012" i="433"/>
  <c r="D115" i="433"/>
  <c r="C114" i="433"/>
  <c r="G1016" i="434"/>
  <c r="F1017" i="434"/>
  <c r="C287" i="435" l="1"/>
  <c r="B286" i="435"/>
  <c r="D286" i="435" s="1"/>
  <c r="D115" i="434"/>
  <c r="C114" i="434"/>
  <c r="A117" i="434"/>
  <c r="B117" i="434" s="1"/>
  <c r="E118" i="434"/>
  <c r="F1014" i="433"/>
  <c r="G1013" i="433"/>
  <c r="E116" i="433"/>
  <c r="A115" i="433"/>
  <c r="B115" i="433" s="1"/>
  <c r="F1018" i="434"/>
  <c r="G1017" i="434"/>
  <c r="D116" i="433"/>
  <c r="C115" i="433"/>
  <c r="C288" i="435" l="1"/>
  <c r="B287" i="435"/>
  <c r="D287" i="435" s="1"/>
  <c r="A118" i="434"/>
  <c r="B118" i="434" s="1"/>
  <c r="E119" i="434"/>
  <c r="E117" i="433"/>
  <c r="A116" i="433"/>
  <c r="B116" i="433" s="1"/>
  <c r="D116" i="434"/>
  <c r="C115" i="434"/>
  <c r="F1015" i="433"/>
  <c r="G1014" i="433"/>
  <c r="C116" i="433"/>
  <c r="D117" i="433"/>
  <c r="F1019" i="434"/>
  <c r="G1018" i="434"/>
  <c r="C289" i="435" l="1"/>
  <c r="B288" i="435"/>
  <c r="D288" i="435" s="1"/>
  <c r="D117" i="434"/>
  <c r="C116" i="434"/>
  <c r="G1015" i="433"/>
  <c r="F1016" i="433"/>
  <c r="A117" i="433"/>
  <c r="B117" i="433" s="1"/>
  <c r="E118" i="433"/>
  <c r="E120" i="434"/>
  <c r="A119" i="434"/>
  <c r="B119" i="434" s="1"/>
  <c r="C117" i="433"/>
  <c r="D118" i="433"/>
  <c r="F1020" i="434"/>
  <c r="G1019" i="434"/>
  <c r="C290" i="435" l="1"/>
  <c r="B289" i="435"/>
  <c r="D289" i="435" s="1"/>
  <c r="A118" i="433"/>
  <c r="B118" i="433" s="1"/>
  <c r="E119" i="433"/>
  <c r="F1017" i="433"/>
  <c r="G1016" i="433"/>
  <c r="D118" i="434"/>
  <c r="C117" i="434"/>
  <c r="E121" i="434"/>
  <c r="A120" i="434"/>
  <c r="B120" i="434" s="1"/>
  <c r="C118" i="433"/>
  <c r="D119" i="433"/>
  <c r="F1021" i="434"/>
  <c r="G1020" i="434"/>
  <c r="B290" i="435" l="1"/>
  <c r="D290" i="435" s="1"/>
  <c r="C291" i="435"/>
  <c r="D119" i="434"/>
  <c r="C118" i="434"/>
  <c r="F1018" i="433"/>
  <c r="G1017" i="433"/>
  <c r="E122" i="434"/>
  <c r="A121" i="434"/>
  <c r="B121" i="434" s="1"/>
  <c r="E120" i="433"/>
  <c r="A119" i="433"/>
  <c r="B119" i="433" s="1"/>
  <c r="G1021" i="434"/>
  <c r="F1022" i="434"/>
  <c r="C119" i="433"/>
  <c r="D120" i="433"/>
  <c r="C292" i="435" l="1"/>
  <c r="B291" i="435"/>
  <c r="D291" i="435" s="1"/>
  <c r="A120" i="433"/>
  <c r="B120" i="433" s="1"/>
  <c r="E121" i="433"/>
  <c r="E123" i="434"/>
  <c r="A122" i="434"/>
  <c r="B122" i="434" s="1"/>
  <c r="F1019" i="433"/>
  <c r="G1018" i="433"/>
  <c r="D120" i="434"/>
  <c r="C119" i="434"/>
  <c r="F1023" i="434"/>
  <c r="G1022" i="434"/>
  <c r="D121" i="433"/>
  <c r="C120" i="433"/>
  <c r="B292" i="435" l="1"/>
  <c r="D292" i="435" s="1"/>
  <c r="C293" i="435"/>
  <c r="E124" i="434"/>
  <c r="A123" i="434"/>
  <c r="B123" i="434" s="1"/>
  <c r="D121" i="434"/>
  <c r="C120" i="434"/>
  <c r="G1019" i="433"/>
  <c r="F1020" i="433"/>
  <c r="E122" i="433"/>
  <c r="A121" i="433"/>
  <c r="B121" i="433" s="1"/>
  <c r="C121" i="433"/>
  <c r="D122" i="433"/>
  <c r="G1023" i="434"/>
  <c r="F1024" i="434"/>
  <c r="C294" i="435" l="1"/>
  <c r="B293" i="435"/>
  <c r="D293" i="435" s="1"/>
  <c r="D122" i="434"/>
  <c r="C121" i="434"/>
  <c r="A124" i="434"/>
  <c r="B124" i="434" s="1"/>
  <c r="E125" i="434"/>
  <c r="F1021" i="433"/>
  <c r="G1020" i="433"/>
  <c r="A122" i="433"/>
  <c r="B122" i="433" s="1"/>
  <c r="E123" i="433"/>
  <c r="C122" i="433"/>
  <c r="D123" i="433"/>
  <c r="F1025" i="434"/>
  <c r="G1024" i="434"/>
  <c r="B294" i="435" l="1"/>
  <c r="D294" i="435" s="1"/>
  <c r="C295" i="435"/>
  <c r="G1021" i="433"/>
  <c r="F1022" i="433"/>
  <c r="C122" i="434"/>
  <c r="D123" i="434"/>
  <c r="A123" i="433"/>
  <c r="B123" i="433" s="1"/>
  <c r="E124" i="433"/>
  <c r="E126" i="434"/>
  <c r="A125" i="434"/>
  <c r="B125" i="434" s="1"/>
  <c r="D124" i="433"/>
  <c r="C123" i="433"/>
  <c r="G1025" i="434"/>
  <c r="F1026" i="434"/>
  <c r="C296" i="435" l="1"/>
  <c r="B295" i="435"/>
  <c r="D295" i="435" s="1"/>
  <c r="E125" i="433"/>
  <c r="A124" i="433"/>
  <c r="B124" i="433" s="1"/>
  <c r="C123" i="434"/>
  <c r="D124" i="434"/>
  <c r="E127" i="434"/>
  <c r="A126" i="434"/>
  <c r="B126" i="434" s="1"/>
  <c r="G1022" i="433"/>
  <c r="F1023" i="433"/>
  <c r="G1026" i="434"/>
  <c r="F1027" i="434"/>
  <c r="D125" i="433"/>
  <c r="C124" i="433"/>
  <c r="C297" i="435" l="1"/>
  <c r="B296" i="435"/>
  <c r="D296" i="435" s="1"/>
  <c r="E128" i="434"/>
  <c r="A127" i="434"/>
  <c r="B127" i="434" s="1"/>
  <c r="C124" i="434"/>
  <c r="D125" i="434"/>
  <c r="A125" i="433"/>
  <c r="B125" i="433" s="1"/>
  <c r="E126" i="433"/>
  <c r="G1023" i="433"/>
  <c r="F1024" i="433"/>
  <c r="G1027" i="434"/>
  <c r="F1028" i="434"/>
  <c r="D126" i="433"/>
  <c r="C125" i="433"/>
  <c r="C298" i="435" l="1"/>
  <c r="B297" i="435"/>
  <c r="D297" i="435" s="1"/>
  <c r="E129" i="434"/>
  <c r="A128" i="434"/>
  <c r="B128" i="434" s="1"/>
  <c r="F1025" i="433"/>
  <c r="G1024" i="433"/>
  <c r="A126" i="433"/>
  <c r="B126" i="433" s="1"/>
  <c r="E127" i="433"/>
  <c r="C125" i="434"/>
  <c r="D126" i="434"/>
  <c r="D127" i="433"/>
  <c r="C126" i="433"/>
  <c r="F1029" i="434"/>
  <c r="G1028" i="434"/>
  <c r="B298" i="435" l="1"/>
  <c r="D298" i="435" s="1"/>
  <c r="C299" i="435"/>
  <c r="D127" i="434"/>
  <c r="C126" i="434"/>
  <c r="A127" i="433"/>
  <c r="B127" i="433" s="1"/>
  <c r="E128" i="433"/>
  <c r="A129" i="434"/>
  <c r="B129" i="434" s="1"/>
  <c r="E130" i="434"/>
  <c r="G1025" i="433"/>
  <c r="F1026" i="433"/>
  <c r="G1029" i="434"/>
  <c r="F1030" i="434"/>
  <c r="D128" i="433"/>
  <c r="C127" i="433"/>
  <c r="C300" i="435" l="1"/>
  <c r="B299" i="435"/>
  <c r="D299" i="435" s="1"/>
  <c r="C127" i="434"/>
  <c r="D128" i="434"/>
  <c r="F1027" i="433"/>
  <c r="G1026" i="433"/>
  <c r="A128" i="433"/>
  <c r="B128" i="433" s="1"/>
  <c r="E129" i="433"/>
  <c r="E131" i="434"/>
  <c r="A130" i="434"/>
  <c r="B130" i="434" s="1"/>
  <c r="D129" i="433"/>
  <c r="C128" i="433"/>
  <c r="F1031" i="434"/>
  <c r="G1030" i="434"/>
  <c r="B300" i="435" l="1"/>
  <c r="D300" i="435" s="1"/>
  <c r="C301" i="435"/>
  <c r="G1027" i="433"/>
  <c r="F1028" i="433"/>
  <c r="A129" i="433"/>
  <c r="B129" i="433" s="1"/>
  <c r="E130" i="433"/>
  <c r="C128" i="434"/>
  <c r="D129" i="434"/>
  <c r="E132" i="434"/>
  <c r="A131" i="434"/>
  <c r="B131" i="434" s="1"/>
  <c r="D130" i="433"/>
  <c r="C129" i="433"/>
  <c r="G1031" i="434"/>
  <c r="F1032" i="434"/>
  <c r="C302" i="435" l="1"/>
  <c r="B301" i="435"/>
  <c r="D301" i="435" s="1"/>
  <c r="C129" i="434"/>
  <c r="D130" i="434"/>
  <c r="E133" i="434"/>
  <c r="A132" i="434"/>
  <c r="B132" i="434" s="1"/>
  <c r="G1028" i="433"/>
  <c r="F1029" i="433"/>
  <c r="A130" i="433"/>
  <c r="B130" i="433" s="1"/>
  <c r="E131" i="433"/>
  <c r="F1033" i="434"/>
  <c r="G1032" i="434"/>
  <c r="D131" i="433"/>
  <c r="C130" i="433"/>
  <c r="B302" i="435" l="1"/>
  <c r="D302" i="435" s="1"/>
  <c r="C303" i="435"/>
  <c r="E134" i="434"/>
  <c r="A133" i="434"/>
  <c r="B133" i="434" s="1"/>
  <c r="G1029" i="433"/>
  <c r="F1030" i="433"/>
  <c r="C130" i="434"/>
  <c r="D131" i="434"/>
  <c r="A131" i="433"/>
  <c r="B131" i="433" s="1"/>
  <c r="E132" i="433"/>
  <c r="G1033" i="434"/>
  <c r="F1034" i="434"/>
  <c r="C131" i="433"/>
  <c r="D132" i="433"/>
  <c r="C304" i="435" l="1"/>
  <c r="B303" i="435"/>
  <c r="D303" i="435" s="1"/>
  <c r="G1030" i="433"/>
  <c r="F1031" i="433"/>
  <c r="A134" i="434"/>
  <c r="B134" i="434" s="1"/>
  <c r="E135" i="434"/>
  <c r="C131" i="434"/>
  <c r="D132" i="434"/>
  <c r="A132" i="433"/>
  <c r="B132" i="433" s="1"/>
  <c r="E133" i="433"/>
  <c r="D133" i="433"/>
  <c r="C132" i="433"/>
  <c r="F1035" i="434"/>
  <c r="G1034" i="434"/>
  <c r="B304" i="435" l="1"/>
  <c r="D304" i="435" s="1"/>
  <c r="C305" i="435"/>
  <c r="D133" i="434"/>
  <c r="C132" i="434"/>
  <c r="F1032" i="433"/>
  <c r="G1031" i="433"/>
  <c r="E136" i="434"/>
  <c r="A135" i="434"/>
  <c r="B135" i="434" s="1"/>
  <c r="E134" i="433"/>
  <c r="A133" i="433"/>
  <c r="B133" i="433" s="1"/>
  <c r="C133" i="433"/>
  <c r="D134" i="433"/>
  <c r="F1036" i="434"/>
  <c r="G1035" i="434"/>
  <c r="C306" i="435" l="1"/>
  <c r="B305" i="435"/>
  <c r="D305" i="435" s="1"/>
  <c r="E135" i="433"/>
  <c r="A134" i="433"/>
  <c r="B134" i="433" s="1"/>
  <c r="A136" i="434"/>
  <c r="B136" i="434" s="1"/>
  <c r="E137" i="434"/>
  <c r="G1032" i="433"/>
  <c r="F1033" i="433"/>
  <c r="D134" i="434"/>
  <c r="C133" i="434"/>
  <c r="C134" i="433"/>
  <c r="D135" i="433"/>
  <c r="F1037" i="434"/>
  <c r="G1036" i="434"/>
  <c r="C307" i="435" l="1"/>
  <c r="B306" i="435"/>
  <c r="D306" i="435" s="1"/>
  <c r="C134" i="434"/>
  <c r="D135" i="434"/>
  <c r="A137" i="434"/>
  <c r="B137" i="434" s="1"/>
  <c r="E138" i="434"/>
  <c r="G1033" i="433"/>
  <c r="F1034" i="433"/>
  <c r="A135" i="433"/>
  <c r="B135" i="433" s="1"/>
  <c r="E136" i="433"/>
  <c r="F1038" i="434"/>
  <c r="G1037" i="434"/>
  <c r="C135" i="433"/>
  <c r="D136" i="433"/>
  <c r="C308" i="435" l="1"/>
  <c r="B307" i="435"/>
  <c r="D307" i="435" s="1"/>
  <c r="F1035" i="433"/>
  <c r="G1034" i="433"/>
  <c r="E137" i="433"/>
  <c r="A136" i="433"/>
  <c r="B136" i="433" s="1"/>
  <c r="A138" i="434"/>
  <c r="B138" i="434" s="1"/>
  <c r="E139" i="434"/>
  <c r="D136" i="434"/>
  <c r="C135" i="434"/>
  <c r="G1038" i="434"/>
  <c r="F1039" i="434"/>
  <c r="C136" i="433"/>
  <c r="D137" i="433"/>
  <c r="B308" i="435" l="1"/>
  <c r="D308" i="435" s="1"/>
  <c r="C309" i="435"/>
  <c r="D137" i="434"/>
  <c r="C136" i="434"/>
  <c r="A137" i="433"/>
  <c r="B137" i="433" s="1"/>
  <c r="E138" i="433"/>
  <c r="E140" i="434"/>
  <c r="A139" i="434"/>
  <c r="B139" i="434" s="1"/>
  <c r="F1036" i="433"/>
  <c r="G1035" i="433"/>
  <c r="F1040" i="434"/>
  <c r="G1039" i="434"/>
  <c r="D138" i="433"/>
  <c r="C137" i="433"/>
  <c r="C310" i="435" l="1"/>
  <c r="B309" i="435"/>
  <c r="D309" i="435" s="1"/>
  <c r="D138" i="434"/>
  <c r="C137" i="434"/>
  <c r="F1037" i="433"/>
  <c r="G1036" i="433"/>
  <c r="A140" i="434"/>
  <c r="B140" i="434" s="1"/>
  <c r="E141" i="434"/>
  <c r="A138" i="433"/>
  <c r="B138" i="433" s="1"/>
  <c r="E139" i="433"/>
  <c r="C138" i="433"/>
  <c r="D139" i="433"/>
  <c r="F1041" i="434"/>
  <c r="G1040" i="434"/>
  <c r="B310" i="435" l="1"/>
  <c r="D310" i="435" s="1"/>
  <c r="C311" i="435"/>
  <c r="E142" i="434"/>
  <c r="A141" i="434"/>
  <c r="B141" i="434" s="1"/>
  <c r="E140" i="433"/>
  <c r="A139" i="433"/>
  <c r="B139" i="433" s="1"/>
  <c r="F1038" i="433"/>
  <c r="G1037" i="433"/>
  <c r="C138" i="434"/>
  <c r="D139" i="434"/>
  <c r="C139" i="433"/>
  <c r="D140" i="433"/>
  <c r="F1042" i="434"/>
  <c r="G1041" i="434"/>
  <c r="C312" i="435" l="1"/>
  <c r="B311" i="435"/>
  <c r="D311" i="435" s="1"/>
  <c r="C139" i="434"/>
  <c r="D140" i="434"/>
  <c r="E141" i="433"/>
  <c r="A140" i="433"/>
  <c r="B140" i="433" s="1"/>
  <c r="G1038" i="433"/>
  <c r="F1039" i="433"/>
  <c r="A142" i="434"/>
  <c r="B142" i="434" s="1"/>
  <c r="E143" i="434"/>
  <c r="C140" i="433"/>
  <c r="D141" i="433"/>
  <c r="G1042" i="434"/>
  <c r="F1043" i="434"/>
  <c r="B312" i="435" l="1"/>
  <c r="D312" i="435" s="1"/>
  <c r="C313" i="435"/>
  <c r="F1040" i="433"/>
  <c r="G1039" i="433"/>
  <c r="A143" i="434"/>
  <c r="B143" i="434" s="1"/>
  <c r="E144" i="434"/>
  <c r="D141" i="434"/>
  <c r="C140" i="434"/>
  <c r="E142" i="433"/>
  <c r="A141" i="433"/>
  <c r="B141" i="433" s="1"/>
  <c r="G1043" i="434"/>
  <c r="F1044" i="434"/>
  <c r="D142" i="433"/>
  <c r="C141" i="433"/>
  <c r="B313" i="435" l="1"/>
  <c r="D313" i="435" s="1"/>
  <c r="C314" i="435"/>
  <c r="G1040" i="433"/>
  <c r="F1041" i="433"/>
  <c r="D142" i="434"/>
  <c r="C141" i="434"/>
  <c r="E145" i="434"/>
  <c r="A144" i="434"/>
  <c r="B144" i="434" s="1"/>
  <c r="E143" i="433"/>
  <c r="A142" i="433"/>
  <c r="B142" i="433" s="1"/>
  <c r="F1045" i="434"/>
  <c r="G1044" i="434"/>
  <c r="C142" i="433"/>
  <c r="D143" i="433"/>
  <c r="C315" i="435" l="1"/>
  <c r="B314" i="435"/>
  <c r="D314" i="435" s="1"/>
  <c r="D143" i="434"/>
  <c r="C142" i="434"/>
  <c r="E144" i="433"/>
  <c r="A143" i="433"/>
  <c r="B143" i="433" s="1"/>
  <c r="G1041" i="433"/>
  <c r="F1042" i="433"/>
  <c r="E146" i="434"/>
  <c r="A145" i="434"/>
  <c r="B145" i="434" s="1"/>
  <c r="F1046" i="434"/>
  <c r="G1045" i="434"/>
  <c r="C143" i="433"/>
  <c r="D144" i="433"/>
  <c r="C316" i="435" l="1"/>
  <c r="B315" i="435"/>
  <c r="D315" i="435" s="1"/>
  <c r="F1043" i="433"/>
  <c r="G1042" i="433"/>
  <c r="A144" i="433"/>
  <c r="B144" i="433" s="1"/>
  <c r="E145" i="433"/>
  <c r="E147" i="434"/>
  <c r="A146" i="434"/>
  <c r="B146" i="434" s="1"/>
  <c r="C143" i="434"/>
  <c r="D144" i="434"/>
  <c r="C144" i="433"/>
  <c r="D145" i="433"/>
  <c r="F1047" i="434"/>
  <c r="G1046" i="434"/>
  <c r="B316" i="435" l="1"/>
  <c r="D316" i="435" s="1"/>
  <c r="C317" i="435"/>
  <c r="C144" i="434"/>
  <c r="D145" i="434"/>
  <c r="E148" i="434"/>
  <c r="A147" i="434"/>
  <c r="B147" i="434" s="1"/>
  <c r="F1044" i="433"/>
  <c r="G1043" i="433"/>
  <c r="A145" i="433"/>
  <c r="B145" i="433" s="1"/>
  <c r="E146" i="433"/>
  <c r="C145" i="433"/>
  <c r="D146" i="433"/>
  <c r="F1048" i="434"/>
  <c r="G1047" i="434"/>
  <c r="C318" i="435" l="1"/>
  <c r="B317" i="435"/>
  <c r="D317" i="435" s="1"/>
  <c r="F1045" i="433"/>
  <c r="G1044" i="433"/>
  <c r="E149" i="434"/>
  <c r="A148" i="434"/>
  <c r="B148" i="434" s="1"/>
  <c r="A146" i="433"/>
  <c r="B146" i="433" s="1"/>
  <c r="E147" i="433"/>
  <c r="C145" i="434"/>
  <c r="D146" i="434"/>
  <c r="C146" i="433"/>
  <c r="D147" i="433"/>
  <c r="G1048" i="434"/>
  <c r="F1049" i="434"/>
  <c r="B318" i="435" l="1"/>
  <c r="D318" i="435" s="1"/>
  <c r="C319" i="435"/>
  <c r="D147" i="434"/>
  <c r="C146" i="434"/>
  <c r="E148" i="433"/>
  <c r="A147" i="433"/>
  <c r="B147" i="433" s="1"/>
  <c r="E150" i="434"/>
  <c r="A149" i="434"/>
  <c r="B149" i="434" s="1"/>
  <c r="G1045" i="433"/>
  <c r="F1046" i="433"/>
  <c r="F1050" i="434"/>
  <c r="G1049" i="434"/>
  <c r="C147" i="433"/>
  <c r="D148" i="433"/>
  <c r="C320" i="435" l="1"/>
  <c r="B319" i="435"/>
  <c r="D319" i="435" s="1"/>
  <c r="F1047" i="433"/>
  <c r="G1046" i="433"/>
  <c r="D148" i="434"/>
  <c r="C147" i="434"/>
  <c r="A148" i="433"/>
  <c r="B148" i="433" s="1"/>
  <c r="E149" i="433"/>
  <c r="E151" i="434"/>
  <c r="A150" i="434"/>
  <c r="B150" i="434" s="1"/>
  <c r="G1050" i="434"/>
  <c r="F1051" i="434"/>
  <c r="C148" i="433"/>
  <c r="D149" i="433"/>
  <c r="C321" i="435" l="1"/>
  <c r="B320" i="435"/>
  <c r="D320" i="435" s="1"/>
  <c r="F1048" i="433"/>
  <c r="G1047" i="433"/>
  <c r="D149" i="434"/>
  <c r="C148" i="434"/>
  <c r="A149" i="433"/>
  <c r="B149" i="433" s="1"/>
  <c r="E150" i="433"/>
  <c r="A151" i="434"/>
  <c r="B151" i="434" s="1"/>
  <c r="E152" i="434"/>
  <c r="F1052" i="434"/>
  <c r="G1051" i="434"/>
  <c r="D150" i="433"/>
  <c r="C149" i="433"/>
  <c r="B321" i="435" l="1"/>
  <c r="D321" i="435" s="1"/>
  <c r="C322" i="435"/>
  <c r="A152" i="434"/>
  <c r="B152" i="434" s="1"/>
  <c r="E153" i="434"/>
  <c r="G1048" i="433"/>
  <c r="F1049" i="433"/>
  <c r="E151" i="433"/>
  <c r="A150" i="433"/>
  <c r="B150" i="433" s="1"/>
  <c r="C149" i="434"/>
  <c r="D150" i="434"/>
  <c r="G1052" i="434"/>
  <c r="F1053" i="434"/>
  <c r="D151" i="433"/>
  <c r="C150" i="433"/>
  <c r="C323" i="435" l="1"/>
  <c r="B322" i="435"/>
  <c r="D322" i="435" s="1"/>
  <c r="C150" i="434"/>
  <c r="D151" i="434"/>
  <c r="A153" i="434"/>
  <c r="B153" i="434" s="1"/>
  <c r="E154" i="434"/>
  <c r="A151" i="433"/>
  <c r="B151" i="433" s="1"/>
  <c r="E152" i="433"/>
  <c r="F1050" i="433"/>
  <c r="G1049" i="433"/>
  <c r="C151" i="433"/>
  <c r="D152" i="433"/>
  <c r="F1054" i="434"/>
  <c r="G1053" i="434"/>
  <c r="C324" i="435" l="1"/>
  <c r="B323" i="435"/>
  <c r="D323" i="435" s="1"/>
  <c r="G1050" i="433"/>
  <c r="F1051" i="433"/>
  <c r="E153" i="433"/>
  <c r="A152" i="433"/>
  <c r="B152" i="433" s="1"/>
  <c r="E155" i="434"/>
  <c r="A154" i="434"/>
  <c r="B154" i="434" s="1"/>
  <c r="C151" i="434"/>
  <c r="D152" i="434"/>
  <c r="G1054" i="434"/>
  <c r="F1055" i="434"/>
  <c r="C152" i="433"/>
  <c r="D153" i="433"/>
  <c r="B324" i="435" l="1"/>
  <c r="D324" i="435" s="1"/>
  <c r="C325" i="435"/>
  <c r="A155" i="434"/>
  <c r="B155" i="434" s="1"/>
  <c r="E156" i="434"/>
  <c r="A153" i="433"/>
  <c r="B153" i="433" s="1"/>
  <c r="E154" i="433"/>
  <c r="D153" i="434"/>
  <c r="C152" i="434"/>
  <c r="F1052" i="433"/>
  <c r="G1051" i="433"/>
  <c r="D154" i="433"/>
  <c r="C153" i="433"/>
  <c r="F1056" i="434"/>
  <c r="G1055" i="434"/>
  <c r="G1056" i="434" l="1"/>
  <c r="F1057" i="434"/>
  <c r="C326" i="435"/>
  <c r="B325" i="435"/>
  <c r="D325" i="435" s="1"/>
  <c r="F1053" i="433"/>
  <c r="G1052" i="433"/>
  <c r="C153" i="434"/>
  <c r="D154" i="434"/>
  <c r="E155" i="433"/>
  <c r="A154" i="433"/>
  <c r="B154" i="433" s="1"/>
  <c r="E157" i="434"/>
  <c r="A156" i="434"/>
  <c r="B156" i="434" s="1"/>
  <c r="C154" i="433"/>
  <c r="D155" i="433"/>
  <c r="F1058" i="434" l="1"/>
  <c r="G1057" i="434"/>
  <c r="B326" i="435"/>
  <c r="D326" i="435" s="1"/>
  <c r="C327" i="435"/>
  <c r="A157" i="434"/>
  <c r="B157" i="434" s="1"/>
  <c r="E158" i="434"/>
  <c r="G1053" i="433"/>
  <c r="F1054" i="433"/>
  <c r="E156" i="433"/>
  <c r="A155" i="433"/>
  <c r="B155" i="433" s="1"/>
  <c r="C154" i="434"/>
  <c r="D155" i="434"/>
  <c r="D156" i="433"/>
  <c r="C155" i="433"/>
  <c r="G1058" i="434" l="1"/>
  <c r="F1059" i="434"/>
  <c r="C328" i="435"/>
  <c r="B327" i="435"/>
  <c r="D327" i="435" s="1"/>
  <c r="C155" i="434"/>
  <c r="D156" i="434"/>
  <c r="E157" i="433"/>
  <c r="A156" i="433"/>
  <c r="B156" i="433" s="1"/>
  <c r="F1055" i="433"/>
  <c r="G1054" i="433"/>
  <c r="E159" i="434"/>
  <c r="A158" i="434"/>
  <c r="B158" i="434" s="1"/>
  <c r="D157" i="433"/>
  <c r="C156" i="433"/>
  <c r="F1060" i="434" l="1"/>
  <c r="G1059" i="434"/>
  <c r="C329" i="435"/>
  <c r="B328" i="435"/>
  <c r="D328" i="435" s="1"/>
  <c r="A159" i="434"/>
  <c r="B159" i="434" s="1"/>
  <c r="E160" i="434"/>
  <c r="F1056" i="433"/>
  <c r="G1055" i="433"/>
  <c r="A157" i="433"/>
  <c r="B157" i="433" s="1"/>
  <c r="E158" i="433"/>
  <c r="D157" i="434"/>
  <c r="C156" i="434"/>
  <c r="D158" i="433"/>
  <c r="C157" i="433"/>
  <c r="F1061" i="434" l="1"/>
  <c r="G1060" i="434"/>
  <c r="C330" i="435"/>
  <c r="B329" i="435"/>
  <c r="D329" i="435" s="1"/>
  <c r="C157" i="434"/>
  <c r="D158" i="434"/>
  <c r="E159" i="433"/>
  <c r="A158" i="433"/>
  <c r="B158" i="433" s="1"/>
  <c r="G1056" i="433"/>
  <c r="F1057" i="433"/>
  <c r="E161" i="434"/>
  <c r="A160" i="434"/>
  <c r="B160" i="434" s="1"/>
  <c r="D159" i="433"/>
  <c r="C158" i="433"/>
  <c r="F1062" i="434" l="1"/>
  <c r="G1061" i="434"/>
  <c r="B330" i="435"/>
  <c r="D330" i="435" s="1"/>
  <c r="C331" i="435"/>
  <c r="A161" i="434"/>
  <c r="B161" i="434" s="1"/>
  <c r="E162" i="434"/>
  <c r="G1057" i="433"/>
  <c r="F1058" i="433"/>
  <c r="E160" i="433"/>
  <c r="A159" i="433"/>
  <c r="B159" i="433" s="1"/>
  <c r="D159" i="434"/>
  <c r="C158" i="434"/>
  <c r="C159" i="433"/>
  <c r="D160" i="433"/>
  <c r="G1062" i="434" l="1"/>
  <c r="F1063" i="434"/>
  <c r="C332" i="435"/>
  <c r="B331" i="435"/>
  <c r="D331" i="435" s="1"/>
  <c r="C159" i="434"/>
  <c r="D160" i="434"/>
  <c r="A160" i="433"/>
  <c r="B160" i="433" s="1"/>
  <c r="E161" i="433"/>
  <c r="F1059" i="433"/>
  <c r="G1058" i="433"/>
  <c r="E163" i="434"/>
  <c r="A162" i="434"/>
  <c r="B162" i="434" s="1"/>
  <c r="C160" i="433"/>
  <c r="D161" i="433"/>
  <c r="G1063" i="434" l="1"/>
  <c r="F1064" i="434"/>
  <c r="B332" i="435"/>
  <c r="D332" i="435" s="1"/>
  <c r="C333" i="435"/>
  <c r="D161" i="434"/>
  <c r="C160" i="434"/>
  <c r="A163" i="434"/>
  <c r="B163" i="434" s="1"/>
  <c r="E164" i="434"/>
  <c r="G1059" i="433"/>
  <c r="F1060" i="433"/>
  <c r="A161" i="433"/>
  <c r="B161" i="433" s="1"/>
  <c r="E162" i="433"/>
  <c r="C161" i="433"/>
  <c r="D162" i="433"/>
  <c r="F1065" i="434" l="1"/>
  <c r="G1064" i="434"/>
  <c r="C334" i="435"/>
  <c r="B333" i="435"/>
  <c r="D333" i="435" s="1"/>
  <c r="E165" i="434"/>
  <c r="A164" i="434"/>
  <c r="B164" i="434" s="1"/>
  <c r="D162" i="434"/>
  <c r="C161" i="434"/>
  <c r="A162" i="433"/>
  <c r="B162" i="433" s="1"/>
  <c r="E163" i="433"/>
  <c r="F1061" i="433"/>
  <c r="G1060" i="433"/>
  <c r="D163" i="433"/>
  <c r="C162" i="433"/>
  <c r="F1066" i="434" l="1"/>
  <c r="G1065" i="434"/>
  <c r="B334" i="435"/>
  <c r="D334" i="435" s="1"/>
  <c r="C335" i="435"/>
  <c r="E166" i="434"/>
  <c r="A165" i="434"/>
  <c r="B165" i="434" s="1"/>
  <c r="F1062" i="433"/>
  <c r="G1061" i="433"/>
  <c r="A163" i="433"/>
  <c r="B163" i="433" s="1"/>
  <c r="E164" i="433"/>
  <c r="D163" i="434"/>
  <c r="C162" i="434"/>
  <c r="D164" i="433"/>
  <c r="C163" i="433"/>
  <c r="G1066" i="434" l="1"/>
  <c r="F1067" i="434"/>
  <c r="C336" i="435"/>
  <c r="B335" i="435"/>
  <c r="D335" i="435" s="1"/>
  <c r="D164" i="434"/>
  <c r="C163" i="434"/>
  <c r="E165" i="433"/>
  <c r="A164" i="433"/>
  <c r="B164" i="433" s="1"/>
  <c r="F1063" i="433"/>
  <c r="G1062" i="433"/>
  <c r="A166" i="434"/>
  <c r="B166" i="434" s="1"/>
  <c r="E167" i="434"/>
  <c r="D165" i="433"/>
  <c r="C164" i="433"/>
  <c r="F1068" i="434" l="1"/>
  <c r="G1067" i="434"/>
  <c r="B336" i="435"/>
  <c r="D336" i="435" s="1"/>
  <c r="C337" i="435"/>
  <c r="A165" i="433"/>
  <c r="B165" i="433" s="1"/>
  <c r="E166" i="433"/>
  <c r="D165" i="434"/>
  <c r="C164" i="434"/>
  <c r="A167" i="434"/>
  <c r="B167" i="434" s="1"/>
  <c r="E168" i="434"/>
  <c r="F1064" i="433"/>
  <c r="G1063" i="433"/>
  <c r="D166" i="433"/>
  <c r="C165" i="433"/>
  <c r="F1069" i="434" l="1"/>
  <c r="G1068" i="434"/>
  <c r="C338" i="435"/>
  <c r="B337" i="435"/>
  <c r="D337" i="435" s="1"/>
  <c r="F1065" i="433"/>
  <c r="G1064" i="433"/>
  <c r="A168" i="434"/>
  <c r="B168" i="434" s="1"/>
  <c r="E169" i="434"/>
  <c r="C165" i="434"/>
  <c r="D166" i="434"/>
  <c r="A166" i="433"/>
  <c r="B166" i="433" s="1"/>
  <c r="E167" i="433"/>
  <c r="C166" i="433"/>
  <c r="D167" i="433"/>
  <c r="F1070" i="434" l="1"/>
  <c r="G1069" i="434"/>
  <c r="C339" i="435"/>
  <c r="B338" i="435"/>
  <c r="D338" i="435" s="1"/>
  <c r="A169" i="434"/>
  <c r="B169" i="434" s="1"/>
  <c r="E170" i="434"/>
  <c r="D167" i="434"/>
  <c r="C166" i="434"/>
  <c r="A167" i="433"/>
  <c r="B167" i="433" s="1"/>
  <c r="E168" i="433"/>
  <c r="F1066" i="433"/>
  <c r="G1065" i="433"/>
  <c r="C167" i="433"/>
  <c r="D168" i="433"/>
  <c r="G1070" i="434" l="1"/>
  <c r="F1071" i="434"/>
  <c r="C340" i="435"/>
  <c r="B339" i="435"/>
  <c r="D339" i="435" s="1"/>
  <c r="C167" i="434"/>
  <c r="D168" i="434"/>
  <c r="F1067" i="433"/>
  <c r="G1066" i="433"/>
  <c r="E169" i="433"/>
  <c r="A168" i="433"/>
  <c r="B168" i="433" s="1"/>
  <c r="E171" i="434"/>
  <c r="A170" i="434"/>
  <c r="B170" i="434" s="1"/>
  <c r="C168" i="433"/>
  <c r="D169" i="433"/>
  <c r="G1071" i="434" l="1"/>
  <c r="F1072" i="434"/>
  <c r="B340" i="435"/>
  <c r="D340" i="435" s="1"/>
  <c r="C341" i="435"/>
  <c r="G1067" i="433"/>
  <c r="F1068" i="433"/>
  <c r="A171" i="434"/>
  <c r="B171" i="434" s="1"/>
  <c r="E172" i="434"/>
  <c r="E170" i="433"/>
  <c r="A169" i="433"/>
  <c r="B169" i="433" s="1"/>
  <c r="C168" i="434"/>
  <c r="D169" i="434"/>
  <c r="D170" i="433"/>
  <c r="C169" i="433"/>
  <c r="G1072" i="434" l="1"/>
  <c r="F1073" i="434"/>
  <c r="C342" i="435"/>
  <c r="B341" i="435"/>
  <c r="D341" i="435" s="1"/>
  <c r="C169" i="434"/>
  <c r="D170" i="434"/>
  <c r="A170" i="433"/>
  <c r="B170" i="433" s="1"/>
  <c r="E171" i="433"/>
  <c r="E173" i="434"/>
  <c r="A172" i="434"/>
  <c r="B172" i="434" s="1"/>
  <c r="G1068" i="433"/>
  <c r="F1069" i="433"/>
  <c r="C170" i="433"/>
  <c r="D171" i="433"/>
  <c r="F1074" i="434" l="1"/>
  <c r="G1073" i="434"/>
  <c r="C343" i="435"/>
  <c r="B342" i="435"/>
  <c r="D342" i="435" s="1"/>
  <c r="G1069" i="433"/>
  <c r="F1070" i="433"/>
  <c r="E174" i="434"/>
  <c r="A173" i="434"/>
  <c r="B173" i="434" s="1"/>
  <c r="A171" i="433"/>
  <c r="B171" i="433" s="1"/>
  <c r="E172" i="433"/>
  <c r="C170" i="434"/>
  <c r="D171" i="434"/>
  <c r="C171" i="433"/>
  <c r="D172" i="433"/>
  <c r="F1075" i="434" l="1"/>
  <c r="G1074" i="434"/>
  <c r="C344" i="435"/>
  <c r="B343" i="435"/>
  <c r="D343" i="435" s="1"/>
  <c r="C171" i="434"/>
  <c r="D172" i="434"/>
  <c r="E173" i="433"/>
  <c r="A172" i="433"/>
  <c r="B172" i="433" s="1"/>
  <c r="A174" i="434"/>
  <c r="B174" i="434" s="1"/>
  <c r="E175" i="434"/>
  <c r="F1071" i="433"/>
  <c r="G1070" i="433"/>
  <c r="C172" i="433"/>
  <c r="D173" i="433"/>
  <c r="F1076" i="434" l="1"/>
  <c r="G1075" i="434"/>
  <c r="B344" i="435"/>
  <c r="D344" i="435" s="1"/>
  <c r="C345" i="435"/>
  <c r="A173" i="433"/>
  <c r="B173" i="433" s="1"/>
  <c r="E174" i="433"/>
  <c r="D173" i="434"/>
  <c r="C172" i="434"/>
  <c r="G1071" i="433"/>
  <c r="F1072" i="433"/>
  <c r="E176" i="434"/>
  <c r="A175" i="434"/>
  <c r="B175" i="434" s="1"/>
  <c r="D174" i="433"/>
  <c r="C173" i="433"/>
  <c r="G1072" i="433" l="1"/>
  <c r="F1073" i="433"/>
  <c r="F1077" i="434"/>
  <c r="G1076" i="434"/>
  <c r="C346" i="435"/>
  <c r="B345" i="435"/>
  <c r="D345" i="435" s="1"/>
  <c r="E177" i="434"/>
  <c r="A176" i="434"/>
  <c r="B176" i="434" s="1"/>
  <c r="C173" i="434"/>
  <c r="D174" i="434"/>
  <c r="A174" i="433"/>
  <c r="B174" i="433" s="1"/>
  <c r="E175" i="433"/>
  <c r="C174" i="433"/>
  <c r="D175" i="433"/>
  <c r="F1074" i="433" l="1"/>
  <c r="G1073" i="433"/>
  <c r="F1078" i="434"/>
  <c r="G1077" i="434"/>
  <c r="C347" i="435"/>
  <c r="B346" i="435"/>
  <c r="D346" i="435" s="1"/>
  <c r="E178" i="434"/>
  <c r="A177" i="434"/>
  <c r="B177" i="434" s="1"/>
  <c r="E176" i="433"/>
  <c r="A175" i="433"/>
  <c r="B175" i="433" s="1"/>
  <c r="D175" i="434"/>
  <c r="C174" i="434"/>
  <c r="D176" i="433"/>
  <c r="C175" i="433"/>
  <c r="F1075" i="433" l="1"/>
  <c r="G1074" i="433"/>
  <c r="G1078" i="434"/>
  <c r="F1079" i="434"/>
  <c r="C348" i="435"/>
  <c r="B347" i="435"/>
  <c r="D347" i="435" s="1"/>
  <c r="E177" i="433"/>
  <c r="A176" i="433"/>
  <c r="B176" i="433" s="1"/>
  <c r="C175" i="434"/>
  <c r="D176" i="434"/>
  <c r="E179" i="434"/>
  <c r="A178" i="434"/>
  <c r="B178" i="434" s="1"/>
  <c r="C176" i="433"/>
  <c r="D177" i="433"/>
  <c r="F1076" i="433" l="1"/>
  <c r="G1075" i="433"/>
  <c r="G1079" i="434"/>
  <c r="F1080" i="434"/>
  <c r="B348" i="435"/>
  <c r="D348" i="435" s="1"/>
  <c r="C349" i="435"/>
  <c r="E178" i="433"/>
  <c r="A177" i="433"/>
  <c r="B177" i="433" s="1"/>
  <c r="A179" i="434"/>
  <c r="B179" i="434" s="1"/>
  <c r="E180" i="434"/>
  <c r="D177" i="434"/>
  <c r="C176" i="434"/>
  <c r="C177" i="433"/>
  <c r="D178" i="433"/>
  <c r="G1076" i="433" l="1"/>
  <c r="F1077" i="433"/>
  <c r="F1081" i="434"/>
  <c r="G1080" i="434"/>
  <c r="C350" i="435"/>
  <c r="B349" i="435"/>
  <c r="D349" i="435" s="1"/>
  <c r="E179" i="433"/>
  <c r="A178" i="433"/>
  <c r="B178" i="433" s="1"/>
  <c r="D178" i="434"/>
  <c r="C177" i="434"/>
  <c r="E181" i="434"/>
  <c r="A180" i="434"/>
  <c r="B180" i="434" s="1"/>
  <c r="C178" i="433"/>
  <c r="D179" i="433"/>
  <c r="G1077" i="433" l="1"/>
  <c r="F1078" i="433"/>
  <c r="G1081" i="434"/>
  <c r="F1082" i="434"/>
  <c r="C351" i="435"/>
  <c r="B350" i="435"/>
  <c r="D350" i="435" s="1"/>
  <c r="D179" i="434"/>
  <c r="C178" i="434"/>
  <c r="A181" i="434"/>
  <c r="B181" i="434" s="1"/>
  <c r="E182" i="434"/>
  <c r="E180" i="433"/>
  <c r="A179" i="433"/>
  <c r="B179" i="433" s="1"/>
  <c r="D180" i="433"/>
  <c r="C179" i="433"/>
  <c r="G1078" i="433" l="1"/>
  <c r="F1079" i="433"/>
  <c r="G1082" i="434"/>
  <c r="F1083" i="434"/>
  <c r="C352" i="435"/>
  <c r="B351" i="435"/>
  <c r="D351" i="435" s="1"/>
  <c r="C179" i="434"/>
  <c r="D180" i="434"/>
  <c r="A180" i="433"/>
  <c r="B180" i="433" s="1"/>
  <c r="E181" i="433"/>
  <c r="E183" i="434"/>
  <c r="A182" i="434"/>
  <c r="B182" i="434" s="1"/>
  <c r="C180" i="433"/>
  <c r="D181" i="433"/>
  <c r="F1080" i="433" l="1"/>
  <c r="G1079" i="433"/>
  <c r="F1084" i="434"/>
  <c r="G1083" i="434"/>
  <c r="B352" i="435"/>
  <c r="D352" i="435" s="1"/>
  <c r="C353" i="435"/>
  <c r="E184" i="434"/>
  <c r="A183" i="434"/>
  <c r="B183" i="434" s="1"/>
  <c r="E182" i="433"/>
  <c r="A181" i="433"/>
  <c r="B181" i="433" s="1"/>
  <c r="D181" i="434"/>
  <c r="C180" i="434"/>
  <c r="C181" i="433"/>
  <c r="D182" i="433"/>
  <c r="G1080" i="433" l="1"/>
  <c r="F1081" i="433"/>
  <c r="G1084" i="434"/>
  <c r="F1085" i="434"/>
  <c r="B353" i="435"/>
  <c r="D353" i="435" s="1"/>
  <c r="C354" i="435"/>
  <c r="A182" i="433"/>
  <c r="B182" i="433" s="1"/>
  <c r="E183" i="433"/>
  <c r="C181" i="434"/>
  <c r="D182" i="434"/>
  <c r="A184" i="434"/>
  <c r="B184" i="434" s="1"/>
  <c r="E185" i="434"/>
  <c r="C182" i="433"/>
  <c r="D183" i="433"/>
  <c r="F1082" i="433" l="1"/>
  <c r="G1081" i="433"/>
  <c r="F1086" i="434"/>
  <c r="G1085" i="434"/>
  <c r="C355" i="435"/>
  <c r="B354" i="435"/>
  <c r="D354" i="435" s="1"/>
  <c r="A185" i="434"/>
  <c r="B185" i="434" s="1"/>
  <c r="E186" i="434"/>
  <c r="E184" i="433"/>
  <c r="A183" i="433"/>
  <c r="B183" i="433" s="1"/>
  <c r="D183" i="434"/>
  <c r="C182" i="434"/>
  <c r="D184" i="433"/>
  <c r="C183" i="433"/>
  <c r="G1082" i="433" l="1"/>
  <c r="F1083" i="433"/>
  <c r="F1087" i="434"/>
  <c r="G1086" i="434"/>
  <c r="B355" i="435"/>
  <c r="D355" i="435" s="1"/>
  <c r="C356" i="435"/>
  <c r="D184" i="434"/>
  <c r="C183" i="434"/>
  <c r="E185" i="433"/>
  <c r="A184" i="433"/>
  <c r="B184" i="433" s="1"/>
  <c r="A186" i="434"/>
  <c r="B186" i="434" s="1"/>
  <c r="E187" i="434"/>
  <c r="D185" i="433"/>
  <c r="C184" i="433"/>
  <c r="F1084" i="433" l="1"/>
  <c r="G1083" i="433"/>
  <c r="G1087" i="434"/>
  <c r="F1088" i="434"/>
  <c r="B356" i="435"/>
  <c r="D356" i="435" s="1"/>
  <c r="C357" i="435"/>
  <c r="A187" i="434"/>
  <c r="B187" i="434" s="1"/>
  <c r="E188" i="434"/>
  <c r="E186" i="433"/>
  <c r="A185" i="433"/>
  <c r="B185" i="433" s="1"/>
  <c r="C184" i="434"/>
  <c r="D185" i="434"/>
  <c r="D186" i="433"/>
  <c r="C185" i="433"/>
  <c r="F1085" i="433" l="1"/>
  <c r="G1084" i="433"/>
  <c r="G1088" i="434"/>
  <c r="F1089" i="434"/>
  <c r="C358" i="435"/>
  <c r="B357" i="435"/>
  <c r="D357" i="435" s="1"/>
  <c r="A186" i="433"/>
  <c r="B186" i="433" s="1"/>
  <c r="E187" i="433"/>
  <c r="C185" i="434"/>
  <c r="D186" i="434"/>
  <c r="E189" i="434"/>
  <c r="A188" i="434"/>
  <c r="B188" i="434" s="1"/>
  <c r="D187" i="433"/>
  <c r="C186" i="433"/>
  <c r="G1085" i="433" l="1"/>
  <c r="F1086" i="433"/>
  <c r="F1090" i="434"/>
  <c r="G1089" i="434"/>
  <c r="C359" i="435"/>
  <c r="B358" i="435"/>
  <c r="D358" i="435" s="1"/>
  <c r="E190" i="434"/>
  <c r="A189" i="434"/>
  <c r="B189" i="434" s="1"/>
  <c r="D187" i="434"/>
  <c r="C186" i="434"/>
  <c r="E188" i="433"/>
  <c r="A187" i="433"/>
  <c r="B187" i="433" s="1"/>
  <c r="D188" i="433"/>
  <c r="C187" i="433"/>
  <c r="G1086" i="433" l="1"/>
  <c r="F1087" i="433"/>
  <c r="F1091" i="434"/>
  <c r="G1090" i="434"/>
  <c r="C360" i="435"/>
  <c r="B359" i="435"/>
  <c r="D359" i="435" s="1"/>
  <c r="C187" i="434"/>
  <c r="D188" i="434"/>
  <c r="E189" i="433"/>
  <c r="A188" i="433"/>
  <c r="B188" i="433" s="1"/>
  <c r="E191" i="434"/>
  <c r="A190" i="434"/>
  <c r="B190" i="434" s="1"/>
  <c r="D189" i="433"/>
  <c r="C188" i="433"/>
  <c r="G1087" i="433" l="1"/>
  <c r="F1088" i="433"/>
  <c r="G1091" i="434"/>
  <c r="F1092" i="434"/>
  <c r="C361" i="435"/>
  <c r="B360" i="435"/>
  <c r="D360" i="435" s="1"/>
  <c r="A189" i="433"/>
  <c r="B189" i="433" s="1"/>
  <c r="E190" i="433"/>
  <c r="A191" i="434"/>
  <c r="B191" i="434" s="1"/>
  <c r="E192" i="434"/>
  <c r="C188" i="434"/>
  <c r="D189" i="434"/>
  <c r="C189" i="433"/>
  <c r="D190" i="433"/>
  <c r="G1088" i="433" l="1"/>
  <c r="F1089" i="433"/>
  <c r="F1093" i="434"/>
  <c r="G1092" i="434"/>
  <c r="B361" i="435"/>
  <c r="D361" i="435" s="1"/>
  <c r="C362" i="435"/>
  <c r="C189" i="434"/>
  <c r="D190" i="434"/>
  <c r="A192" i="434"/>
  <c r="B192" i="434" s="1"/>
  <c r="E193" i="434"/>
  <c r="A190" i="433"/>
  <c r="B190" i="433" s="1"/>
  <c r="E191" i="433"/>
  <c r="C190" i="433"/>
  <c r="D191" i="433"/>
  <c r="G1089" i="433" l="1"/>
  <c r="F1090" i="433"/>
  <c r="F1094" i="434"/>
  <c r="G1093" i="434"/>
  <c r="C363" i="435"/>
  <c r="B362" i="435"/>
  <c r="D362" i="435" s="1"/>
  <c r="E192" i="433"/>
  <c r="A191" i="433"/>
  <c r="B191" i="433" s="1"/>
  <c r="A193" i="434"/>
  <c r="B193" i="434" s="1"/>
  <c r="E194" i="434"/>
  <c r="C190" i="434"/>
  <c r="D191" i="434"/>
  <c r="D192" i="433"/>
  <c r="C191" i="433"/>
  <c r="F1091" i="433" l="1"/>
  <c r="G1090" i="433"/>
  <c r="F1095" i="434"/>
  <c r="G1094" i="434"/>
  <c r="B363" i="435"/>
  <c r="D363" i="435" s="1"/>
  <c r="C364" i="435"/>
  <c r="A192" i="433"/>
  <c r="B192" i="433" s="1"/>
  <c r="E193" i="433"/>
  <c r="D192" i="434"/>
  <c r="C191" i="434"/>
  <c r="A194" i="434"/>
  <c r="B194" i="434" s="1"/>
  <c r="E195" i="434"/>
  <c r="D193" i="433"/>
  <c r="C192" i="433"/>
  <c r="F1092" i="433" l="1"/>
  <c r="G1091" i="433"/>
  <c r="F1096" i="434"/>
  <c r="G1095" i="434"/>
  <c r="B364" i="435"/>
  <c r="D364" i="435" s="1"/>
  <c r="C365" i="435"/>
  <c r="E196" i="434"/>
  <c r="A195" i="434"/>
  <c r="B195" i="434" s="1"/>
  <c r="C192" i="434"/>
  <c r="D193" i="434"/>
  <c r="A193" i="433"/>
  <c r="B193" i="433" s="1"/>
  <c r="E194" i="433"/>
  <c r="C193" i="433"/>
  <c r="D194" i="433"/>
  <c r="G1092" i="433" l="1"/>
  <c r="F1093" i="433"/>
  <c r="G1096" i="434"/>
  <c r="F1097" i="434"/>
  <c r="C366" i="435"/>
  <c r="B365" i="435"/>
  <c r="D365" i="435" s="1"/>
  <c r="A196" i="434"/>
  <c r="B196" i="434" s="1"/>
  <c r="E197" i="434"/>
  <c r="A194" i="433"/>
  <c r="B194" i="433" s="1"/>
  <c r="E195" i="433"/>
  <c r="C193" i="434"/>
  <c r="D194" i="434"/>
  <c r="D195" i="433"/>
  <c r="C194" i="433"/>
  <c r="F1094" i="433" l="1"/>
  <c r="G1093" i="433"/>
  <c r="G1097" i="434"/>
  <c r="F1098" i="434"/>
  <c r="C367" i="435"/>
  <c r="B366" i="435"/>
  <c r="D366" i="435" s="1"/>
  <c r="C194" i="434"/>
  <c r="D195" i="434"/>
  <c r="E196" i="433"/>
  <c r="A195" i="433"/>
  <c r="B195" i="433" s="1"/>
  <c r="E198" i="434"/>
  <c r="A197" i="434"/>
  <c r="B197" i="434" s="1"/>
  <c r="C195" i="433"/>
  <c r="D196" i="433"/>
  <c r="G1094" i="433" l="1"/>
  <c r="F1095" i="433"/>
  <c r="G1098" i="434"/>
  <c r="F1099" i="434"/>
  <c r="C368" i="435"/>
  <c r="B367" i="435"/>
  <c r="D367" i="435" s="1"/>
  <c r="E199" i="434"/>
  <c r="A198" i="434"/>
  <c r="B198" i="434" s="1"/>
  <c r="A196" i="433"/>
  <c r="B196" i="433" s="1"/>
  <c r="E197" i="433"/>
  <c r="C195" i="434"/>
  <c r="D196" i="434"/>
  <c r="C196" i="433"/>
  <c r="D197" i="433"/>
  <c r="F1096" i="433" l="1"/>
  <c r="G1095" i="433"/>
  <c r="F1100" i="434"/>
  <c r="G1099" i="434"/>
  <c r="C369" i="435"/>
  <c r="B368" i="435"/>
  <c r="D368" i="435" s="1"/>
  <c r="A199" i="434"/>
  <c r="B199" i="434" s="1"/>
  <c r="E200" i="434"/>
  <c r="C196" i="434"/>
  <c r="D197" i="434"/>
  <c r="A197" i="433"/>
  <c r="B197" i="433" s="1"/>
  <c r="E198" i="433"/>
  <c r="C197" i="433"/>
  <c r="D198" i="433"/>
  <c r="F1097" i="433" l="1"/>
  <c r="G1096" i="433"/>
  <c r="F1101" i="434"/>
  <c r="G1100" i="434"/>
  <c r="B369" i="435"/>
  <c r="D369" i="435" s="1"/>
  <c r="C370" i="435"/>
  <c r="E199" i="433"/>
  <c r="A198" i="433"/>
  <c r="B198" i="433" s="1"/>
  <c r="E201" i="434"/>
  <c r="A200" i="434"/>
  <c r="B200" i="434" s="1"/>
  <c r="D198" i="434"/>
  <c r="C197" i="434"/>
  <c r="D199" i="433"/>
  <c r="C198" i="433"/>
  <c r="F1098" i="433" l="1"/>
  <c r="G1097" i="433"/>
  <c r="G1101" i="434"/>
  <c r="F1102" i="434"/>
  <c r="C371" i="435"/>
  <c r="B370" i="435"/>
  <c r="D370" i="435" s="1"/>
  <c r="E202" i="434"/>
  <c r="A201" i="434"/>
  <c r="B201" i="434" s="1"/>
  <c r="D199" i="434"/>
  <c r="C198" i="434"/>
  <c r="E200" i="433"/>
  <c r="A199" i="433"/>
  <c r="B199" i="433" s="1"/>
  <c r="C199" i="433"/>
  <c r="D200" i="433"/>
  <c r="F1099" i="433" l="1"/>
  <c r="G1098" i="433"/>
  <c r="G1102" i="434"/>
  <c r="F1103" i="434"/>
  <c r="B371" i="435"/>
  <c r="D371" i="435" s="1"/>
  <c r="C372" i="435"/>
  <c r="C199" i="434"/>
  <c r="D200" i="434"/>
  <c r="E201" i="433"/>
  <c r="A200" i="433"/>
  <c r="B200" i="433" s="1"/>
  <c r="A202" i="434"/>
  <c r="B202" i="434" s="1"/>
  <c r="E203" i="434"/>
  <c r="C200" i="433"/>
  <c r="D201" i="433"/>
  <c r="F1100" i="433" l="1"/>
  <c r="G1099" i="433"/>
  <c r="G1103" i="434"/>
  <c r="F1104" i="434"/>
  <c r="B372" i="435"/>
  <c r="D372" i="435" s="1"/>
  <c r="C373" i="435"/>
  <c r="A201" i="433"/>
  <c r="B201" i="433" s="1"/>
  <c r="E202" i="433"/>
  <c r="C200" i="434"/>
  <c r="D201" i="434"/>
  <c r="E204" i="434"/>
  <c r="A203" i="434"/>
  <c r="B203" i="434" s="1"/>
  <c r="D202" i="433"/>
  <c r="C201" i="433"/>
  <c r="F1101" i="433" l="1"/>
  <c r="G1100" i="433"/>
  <c r="G1104" i="434"/>
  <c r="C374" i="435"/>
  <c r="B373" i="435"/>
  <c r="D373" i="435" s="1"/>
  <c r="D202" i="434"/>
  <c r="C201" i="434"/>
  <c r="A204" i="434"/>
  <c r="B204" i="434" s="1"/>
  <c r="E205" i="434"/>
  <c r="A202" i="433"/>
  <c r="B202" i="433" s="1"/>
  <c r="E203" i="433"/>
  <c r="D203" i="433"/>
  <c r="C202" i="433"/>
  <c r="F1102" i="433" l="1"/>
  <c r="G1101" i="433"/>
  <c r="C375" i="435"/>
  <c r="B374" i="435"/>
  <c r="D374" i="435" s="1"/>
  <c r="A205" i="434"/>
  <c r="B205" i="434" s="1"/>
  <c r="E206" i="434"/>
  <c r="E204" i="433"/>
  <c r="A203" i="433"/>
  <c r="B203" i="433" s="1"/>
  <c r="D203" i="434"/>
  <c r="C202" i="434"/>
  <c r="D204" i="433"/>
  <c r="C203" i="433"/>
  <c r="G1102" i="433" l="1"/>
  <c r="C376" i="435"/>
  <c r="B375" i="435"/>
  <c r="D375" i="435" s="1"/>
  <c r="C203" i="434"/>
  <c r="D204" i="434"/>
  <c r="A204" i="433"/>
  <c r="B204" i="433" s="1"/>
  <c r="E205" i="433"/>
  <c r="E207" i="434"/>
  <c r="A206" i="434"/>
  <c r="B206" i="434" s="1"/>
  <c r="D205" i="433"/>
  <c r="C204" i="433"/>
  <c r="B376" i="435" l="1"/>
  <c r="D376" i="435" s="1"/>
  <c r="C377" i="435"/>
  <c r="E208" i="434"/>
  <c r="A207" i="434"/>
  <c r="B207" i="434" s="1"/>
  <c r="E206" i="433"/>
  <c r="A205" i="433"/>
  <c r="B205" i="433" s="1"/>
  <c r="C204" i="434"/>
  <c r="D205" i="434"/>
  <c r="D206" i="433"/>
  <c r="C205" i="433"/>
  <c r="B377" i="435" l="1"/>
  <c r="D377" i="435" s="1"/>
  <c r="C378" i="435"/>
  <c r="C205" i="434"/>
  <c r="D206" i="434"/>
  <c r="A206" i="433"/>
  <c r="B206" i="433" s="1"/>
  <c r="E207" i="433"/>
  <c r="E209" i="434"/>
  <c r="A208" i="434"/>
  <c r="B208" i="434" s="1"/>
  <c r="D207" i="433"/>
  <c r="C206" i="433"/>
  <c r="B378" i="435" l="1"/>
  <c r="D378" i="435" s="1"/>
  <c r="C379" i="435"/>
  <c r="D207" i="434"/>
  <c r="C206" i="434"/>
  <c r="E210" i="434"/>
  <c r="A209" i="434"/>
  <c r="B209" i="434" s="1"/>
  <c r="E208" i="433"/>
  <c r="A207" i="433"/>
  <c r="B207" i="433" s="1"/>
  <c r="D208" i="433"/>
  <c r="C207" i="433"/>
  <c r="C380" i="435" l="1"/>
  <c r="B379" i="435"/>
  <c r="D379" i="435" s="1"/>
  <c r="C207" i="434"/>
  <c r="D208" i="434"/>
  <c r="A208" i="433"/>
  <c r="B208" i="433" s="1"/>
  <c r="E209" i="433"/>
  <c r="E211" i="434"/>
  <c r="A210" i="434"/>
  <c r="B210" i="434" s="1"/>
  <c r="C208" i="433"/>
  <c r="D209" i="433"/>
  <c r="C381" i="435" l="1"/>
  <c r="B380" i="435"/>
  <c r="D380" i="435" s="1"/>
  <c r="A211" i="434"/>
  <c r="B211" i="434" s="1"/>
  <c r="E212" i="434"/>
  <c r="E210" i="433"/>
  <c r="A209" i="433"/>
  <c r="B209" i="433" s="1"/>
  <c r="D209" i="434"/>
  <c r="C208" i="434"/>
  <c r="D210" i="433"/>
  <c r="C209" i="433"/>
  <c r="B381" i="435" l="1"/>
  <c r="D381" i="435" s="1"/>
  <c r="C382" i="435"/>
  <c r="E211" i="433"/>
  <c r="A210" i="433"/>
  <c r="B210" i="433" s="1"/>
  <c r="D210" i="434"/>
  <c r="C209" i="434"/>
  <c r="A212" i="434"/>
  <c r="B212" i="434" s="1"/>
  <c r="E213" i="434"/>
  <c r="D211" i="433"/>
  <c r="C210" i="433"/>
  <c r="C383" i="435" l="1"/>
  <c r="B382" i="435"/>
  <c r="D382" i="435" s="1"/>
  <c r="E212" i="433"/>
  <c r="A211" i="433"/>
  <c r="B211" i="433" s="1"/>
  <c r="E214" i="434"/>
  <c r="A213" i="434"/>
  <c r="B213" i="434" s="1"/>
  <c r="D211" i="434"/>
  <c r="C210" i="434"/>
  <c r="D212" i="433"/>
  <c r="C211" i="433"/>
  <c r="B383" i="435" l="1"/>
  <c r="D383" i="435" s="1"/>
  <c r="C384" i="435"/>
  <c r="E213" i="433"/>
  <c r="A212" i="433"/>
  <c r="B212" i="433" s="1"/>
  <c r="A214" i="434"/>
  <c r="B214" i="434" s="1"/>
  <c r="E215" i="434"/>
  <c r="C211" i="434"/>
  <c r="D212" i="434"/>
  <c r="D213" i="433"/>
  <c r="C212" i="433"/>
  <c r="C385" i="435" l="1"/>
  <c r="B384" i="435"/>
  <c r="D384" i="435" s="1"/>
  <c r="A213" i="433"/>
  <c r="B213" i="433" s="1"/>
  <c r="E214" i="433"/>
  <c r="D213" i="434"/>
  <c r="C212" i="434"/>
  <c r="A215" i="434"/>
  <c r="B215" i="434" s="1"/>
  <c r="E216" i="434"/>
  <c r="C213" i="433"/>
  <c r="D214" i="433"/>
  <c r="C386" i="435" l="1"/>
  <c r="B385" i="435"/>
  <c r="D385" i="435" s="1"/>
  <c r="E217" i="434"/>
  <c r="A216" i="434"/>
  <c r="B216" i="434" s="1"/>
  <c r="D214" i="434"/>
  <c r="C213" i="434"/>
  <c r="E215" i="433"/>
  <c r="A214" i="433"/>
  <c r="B214" i="433" s="1"/>
  <c r="D215" i="433"/>
  <c r="C214" i="433"/>
  <c r="B386" i="435" l="1"/>
  <c r="D386" i="435" s="1"/>
  <c r="C387" i="435"/>
  <c r="D215" i="434"/>
  <c r="C214" i="434"/>
  <c r="E218" i="434"/>
  <c r="A217" i="434"/>
  <c r="B217" i="434" s="1"/>
  <c r="E216" i="433"/>
  <c r="A215" i="433"/>
  <c r="B215" i="433" s="1"/>
  <c r="D216" i="433"/>
  <c r="C215" i="433"/>
  <c r="B387" i="435" l="1"/>
  <c r="D387" i="435" s="1"/>
  <c r="C388" i="435"/>
  <c r="E217" i="433"/>
  <c r="A216" i="433"/>
  <c r="B216" i="433" s="1"/>
  <c r="A218" i="434"/>
  <c r="B218" i="434" s="1"/>
  <c r="E219" i="434"/>
  <c r="D216" i="434"/>
  <c r="C215" i="434"/>
  <c r="C216" i="433"/>
  <c r="D217" i="433"/>
  <c r="C389" i="435" l="1"/>
  <c r="B388" i="435"/>
  <c r="D388" i="435" s="1"/>
  <c r="D217" i="434"/>
  <c r="C216" i="434"/>
  <c r="A219" i="434"/>
  <c r="B219" i="434" s="1"/>
  <c r="E220" i="434"/>
  <c r="A217" i="433"/>
  <c r="B217" i="433" s="1"/>
  <c r="E218" i="433"/>
  <c r="D218" i="433"/>
  <c r="C217" i="433"/>
  <c r="C390" i="435" l="1"/>
  <c r="B389" i="435"/>
  <c r="D389" i="435" s="1"/>
  <c r="C217" i="434"/>
  <c r="D218" i="434"/>
  <c r="A218" i="433"/>
  <c r="B218" i="433" s="1"/>
  <c r="E219" i="433"/>
  <c r="A220" i="434"/>
  <c r="B220" i="434" s="1"/>
  <c r="E221" i="434"/>
  <c r="D219" i="433"/>
  <c r="C218" i="433"/>
  <c r="C391" i="435" l="1"/>
  <c r="B390" i="435"/>
  <c r="D390" i="435" s="1"/>
  <c r="E222" i="434"/>
  <c r="A221" i="434"/>
  <c r="B221" i="434" s="1"/>
  <c r="E220" i="433"/>
  <c r="A219" i="433"/>
  <c r="B219" i="433" s="1"/>
  <c r="C218" i="434"/>
  <c r="D219" i="434"/>
  <c r="C219" i="433"/>
  <c r="D220" i="433"/>
  <c r="C392" i="435" l="1"/>
  <c r="B391" i="435"/>
  <c r="D391" i="435" s="1"/>
  <c r="A220" i="433"/>
  <c r="B220" i="433" s="1"/>
  <c r="E221" i="433"/>
  <c r="A222" i="434"/>
  <c r="B222" i="434" s="1"/>
  <c r="E223" i="434"/>
  <c r="C219" i="434"/>
  <c r="D220" i="434"/>
  <c r="C220" i="433"/>
  <c r="D221" i="433"/>
  <c r="C393" i="435" l="1"/>
  <c r="B392" i="435"/>
  <c r="D392" i="435" s="1"/>
  <c r="C220" i="434"/>
  <c r="D221" i="434"/>
  <c r="A223" i="434"/>
  <c r="B223" i="434" s="1"/>
  <c r="E224" i="434"/>
  <c r="A221" i="433"/>
  <c r="B221" i="433" s="1"/>
  <c r="E222" i="433"/>
  <c r="D222" i="433"/>
  <c r="C221" i="433"/>
  <c r="C394" i="435" l="1"/>
  <c r="B393" i="435"/>
  <c r="A222" i="433"/>
  <c r="B222" i="433" s="1"/>
  <c r="E223" i="433"/>
  <c r="A224" i="434"/>
  <c r="B224" i="434" s="1"/>
  <c r="E225" i="434"/>
  <c r="C221" i="434"/>
  <c r="D222" i="434"/>
  <c r="C222" i="433"/>
  <c r="D223" i="433"/>
  <c r="B394" i="435" l="1"/>
  <c r="D394" i="435" s="1"/>
  <c r="C395" i="435"/>
  <c r="D223" i="434"/>
  <c r="C222" i="434"/>
  <c r="E226" i="434"/>
  <c r="A225" i="434"/>
  <c r="B225" i="434" s="1"/>
  <c r="E224" i="433"/>
  <c r="A223" i="433"/>
  <c r="B223" i="433" s="1"/>
  <c r="D224" i="433"/>
  <c r="C223" i="433"/>
  <c r="B395" i="435" l="1"/>
  <c r="D395" i="435" s="1"/>
  <c r="C396" i="435"/>
  <c r="C223" i="434"/>
  <c r="D224" i="434"/>
  <c r="A224" i="433"/>
  <c r="B224" i="433" s="1"/>
  <c r="E225" i="433"/>
  <c r="A226" i="434"/>
  <c r="B226" i="434" s="1"/>
  <c r="E227" i="434"/>
  <c r="D225" i="433"/>
  <c r="C224" i="433"/>
  <c r="C397" i="435" l="1"/>
  <c r="B396" i="435"/>
  <c r="D396" i="435" s="1"/>
  <c r="A225" i="433"/>
  <c r="B225" i="433" s="1"/>
  <c r="E226" i="433"/>
  <c r="A227" i="434"/>
  <c r="B227" i="434" s="1"/>
  <c r="E228" i="434"/>
  <c r="C224" i="434"/>
  <c r="D225" i="434"/>
  <c r="C225" i="433"/>
  <c r="D226" i="433"/>
  <c r="C398" i="435" l="1"/>
  <c r="B397" i="435"/>
  <c r="D397" i="435" s="1"/>
  <c r="D226" i="434"/>
  <c r="C225" i="434"/>
  <c r="E229" i="434"/>
  <c r="A228" i="434"/>
  <c r="B228" i="434" s="1"/>
  <c r="A226" i="433"/>
  <c r="B226" i="433" s="1"/>
  <c r="E227" i="433"/>
  <c r="D227" i="433"/>
  <c r="C226" i="433"/>
  <c r="C399" i="435" l="1"/>
  <c r="B398" i="435"/>
  <c r="D398" i="435" s="1"/>
  <c r="E228" i="433"/>
  <c r="A227" i="433"/>
  <c r="B227" i="433" s="1"/>
  <c r="A229" i="434"/>
  <c r="B229" i="434" s="1"/>
  <c r="E230" i="434"/>
  <c r="C226" i="434"/>
  <c r="D227" i="434"/>
  <c r="C227" i="433"/>
  <c r="D228" i="433"/>
  <c r="C400" i="435" l="1"/>
  <c r="B399" i="435"/>
  <c r="D399" i="435" s="1"/>
  <c r="E231" i="434"/>
  <c r="A230" i="434"/>
  <c r="B230" i="434" s="1"/>
  <c r="C227" i="434"/>
  <c r="D228" i="434"/>
  <c r="E229" i="433"/>
  <c r="A228" i="433"/>
  <c r="B228" i="433" s="1"/>
  <c r="C228" i="433"/>
  <c r="D229" i="433"/>
  <c r="B400" i="435" l="1"/>
  <c r="D400" i="435" s="1"/>
  <c r="C401" i="435"/>
  <c r="A231" i="434"/>
  <c r="B231" i="434" s="1"/>
  <c r="E232" i="434"/>
  <c r="A229" i="433"/>
  <c r="B229" i="433" s="1"/>
  <c r="E230" i="433"/>
  <c r="D229" i="434"/>
  <c r="C228" i="434"/>
  <c r="C229" i="433"/>
  <c r="D230" i="433"/>
  <c r="C402" i="435" l="1"/>
  <c r="B401" i="435"/>
  <c r="D401" i="435" s="1"/>
  <c r="D230" i="434"/>
  <c r="C229" i="434"/>
  <c r="A230" i="433"/>
  <c r="B230" i="433" s="1"/>
  <c r="E231" i="433"/>
  <c r="A232" i="434"/>
  <c r="B232" i="434" s="1"/>
  <c r="E233" i="434"/>
  <c r="D231" i="433"/>
  <c r="C230" i="433"/>
  <c r="C403" i="435" l="1"/>
  <c r="B402" i="435"/>
  <c r="D402" i="435" s="1"/>
  <c r="A233" i="434"/>
  <c r="B233" i="434" s="1"/>
  <c r="E234" i="434"/>
  <c r="A231" i="433"/>
  <c r="B231" i="433" s="1"/>
  <c r="E232" i="433"/>
  <c r="D231" i="434"/>
  <c r="C230" i="434"/>
  <c r="C231" i="433"/>
  <c r="D232" i="433"/>
  <c r="B403" i="435" l="1"/>
  <c r="D403" i="435" s="1"/>
  <c r="C404" i="435"/>
  <c r="C231" i="434"/>
  <c r="D232" i="434"/>
  <c r="A232" i="433"/>
  <c r="B232" i="433" s="1"/>
  <c r="E233" i="433"/>
  <c r="E235" i="434"/>
  <c r="A234" i="434"/>
  <c r="B234" i="434" s="1"/>
  <c r="D233" i="433"/>
  <c r="C232" i="433"/>
  <c r="B404" i="435" l="1"/>
  <c r="D404" i="435" s="1"/>
  <c r="C405" i="435"/>
  <c r="C232" i="434"/>
  <c r="D233" i="434"/>
  <c r="E236" i="434"/>
  <c r="A235" i="434"/>
  <c r="B235" i="434" s="1"/>
  <c r="A233" i="433"/>
  <c r="B233" i="433" s="1"/>
  <c r="E234" i="433"/>
  <c r="D234" i="433"/>
  <c r="C233" i="433"/>
  <c r="C406" i="435" l="1"/>
  <c r="B405" i="435"/>
  <c r="D405" i="435" s="1"/>
  <c r="D234" i="434"/>
  <c r="C233" i="434"/>
  <c r="E235" i="433"/>
  <c r="A234" i="433"/>
  <c r="B234" i="433" s="1"/>
  <c r="E237" i="434"/>
  <c r="A236" i="434"/>
  <c r="B236" i="434" s="1"/>
  <c r="D235" i="433"/>
  <c r="C234" i="433"/>
  <c r="C407" i="435" l="1"/>
  <c r="B406" i="435"/>
  <c r="D406" i="435" s="1"/>
  <c r="E238" i="434"/>
  <c r="A237" i="434"/>
  <c r="B237" i="434" s="1"/>
  <c r="E236" i="433"/>
  <c r="A235" i="433"/>
  <c r="B235" i="433" s="1"/>
  <c r="D235" i="434"/>
  <c r="C234" i="434"/>
  <c r="D236" i="433"/>
  <c r="C235" i="433"/>
  <c r="B407" i="435" l="1"/>
  <c r="D407" i="435" s="1"/>
  <c r="C408" i="435"/>
  <c r="E237" i="433"/>
  <c r="A236" i="433"/>
  <c r="B236" i="433" s="1"/>
  <c r="C235" i="434"/>
  <c r="D236" i="434"/>
  <c r="E239" i="434"/>
  <c r="A238" i="434"/>
  <c r="B238" i="434" s="1"/>
  <c r="D237" i="433"/>
  <c r="C236" i="433"/>
  <c r="C409" i="435" l="1"/>
  <c r="B408" i="435"/>
  <c r="D408" i="435" s="1"/>
  <c r="E240" i="434"/>
  <c r="A239" i="434"/>
  <c r="B239" i="434" s="1"/>
  <c r="C236" i="434"/>
  <c r="D237" i="434"/>
  <c r="A237" i="433"/>
  <c r="B237" i="433" s="1"/>
  <c r="E238" i="433"/>
  <c r="C237" i="433"/>
  <c r="D238" i="433"/>
  <c r="C410" i="435" l="1"/>
  <c r="B409" i="435"/>
  <c r="D409" i="435" s="1"/>
  <c r="E241" i="434"/>
  <c r="A240" i="434"/>
  <c r="B240" i="434" s="1"/>
  <c r="E239" i="433"/>
  <c r="A238" i="433"/>
  <c r="B238" i="433" s="1"/>
  <c r="C237" i="434"/>
  <c r="D238" i="434"/>
  <c r="D239" i="433"/>
  <c r="C238" i="433"/>
  <c r="B410" i="435" l="1"/>
  <c r="D410" i="435" s="1"/>
  <c r="C411" i="435"/>
  <c r="C238" i="434"/>
  <c r="D239" i="434"/>
  <c r="E240" i="433"/>
  <c r="A239" i="433"/>
  <c r="B239" i="433" s="1"/>
  <c r="A241" i="434"/>
  <c r="B241" i="434" s="1"/>
  <c r="E242" i="434"/>
  <c r="C239" i="433"/>
  <c r="D240" i="433"/>
  <c r="C412" i="435" l="1"/>
  <c r="B411" i="435"/>
  <c r="D411" i="435" s="1"/>
  <c r="BQ22" i="435"/>
  <c r="CF32" i="435" s="1"/>
  <c r="EM278" i="431" s="1"/>
  <c r="A240" i="433"/>
  <c r="B240" i="433" s="1"/>
  <c r="E241" i="433"/>
  <c r="E243" i="434"/>
  <c r="A242" i="434"/>
  <c r="B242" i="434" s="1"/>
  <c r="C239" i="434"/>
  <c r="D240" i="434"/>
  <c r="C240" i="433"/>
  <c r="D241" i="433"/>
  <c r="EM279" i="431" l="1"/>
  <c r="BR22" i="435"/>
  <c r="CG32" i="435" s="1"/>
  <c r="EN278" i="431" s="1"/>
  <c r="B412" i="435"/>
  <c r="D412" i="435" s="1"/>
  <c r="C413" i="435"/>
  <c r="C240" i="434"/>
  <c r="D241" i="434"/>
  <c r="E244" i="434"/>
  <c r="A243" i="434"/>
  <c r="B243" i="434" s="1"/>
  <c r="A241" i="433"/>
  <c r="B241" i="433" s="1"/>
  <c r="E242" i="433"/>
  <c r="C241" i="433"/>
  <c r="D242" i="433"/>
  <c r="EN279" i="431" l="1"/>
  <c r="EM280" i="431"/>
  <c r="B413" i="435"/>
  <c r="D413" i="435" s="1"/>
  <c r="C414" i="435"/>
  <c r="BS22" i="435"/>
  <c r="CH32" i="435" s="1"/>
  <c r="EO278" i="431" s="1"/>
  <c r="A242" i="433"/>
  <c r="B242" i="433" s="1"/>
  <c r="E243" i="433"/>
  <c r="A244" i="434"/>
  <c r="B244" i="434" s="1"/>
  <c r="E245" i="434"/>
  <c r="C241" i="434"/>
  <c r="D242" i="434"/>
  <c r="D243" i="433"/>
  <c r="C242" i="433"/>
  <c r="EP278" i="431" l="1"/>
  <c r="EP279" i="431" s="1"/>
  <c r="EP280" i="431" s="1"/>
  <c r="EO279" i="431"/>
  <c r="EN280" i="431"/>
  <c r="E463" i="435"/>
  <c r="E464" i="435" s="1"/>
  <c r="E465" i="435" s="1"/>
  <c r="E466" i="435" s="1"/>
  <c r="E467" i="435" s="1"/>
  <c r="E468" i="435" s="1"/>
  <c r="E469" i="435" s="1"/>
  <c r="E470" i="435" s="1"/>
  <c r="BT22" i="435"/>
  <c r="CJ32" i="435" s="1"/>
  <c r="EQ278" i="431" s="1"/>
  <c r="C415" i="435"/>
  <c r="B414" i="435"/>
  <c r="D414" i="435" s="1"/>
  <c r="D243" i="434"/>
  <c r="C242" i="434"/>
  <c r="E246" i="434"/>
  <c r="A245" i="434"/>
  <c r="B245" i="434" s="1"/>
  <c r="E244" i="433"/>
  <c r="A243" i="433"/>
  <c r="B243" i="433" s="1"/>
  <c r="C243" i="433"/>
  <c r="D244" i="433"/>
  <c r="EQ279" i="431" l="1"/>
  <c r="FM278" i="431"/>
  <c r="EO280" i="431"/>
  <c r="E471" i="435"/>
  <c r="E472" i="435" s="1"/>
  <c r="E473" i="435" s="1"/>
  <c r="E474" i="435" s="1"/>
  <c r="E475" i="435" s="1"/>
  <c r="E476" i="435" s="1"/>
  <c r="E477" i="435" s="1"/>
  <c r="E478" i="435" s="1"/>
  <c r="E479" i="435" s="1"/>
  <c r="E480" i="435" s="1"/>
  <c r="E481" i="435" s="1"/>
  <c r="E482" i="435" s="1"/>
  <c r="E483" i="435" s="1"/>
  <c r="BU22" i="435"/>
  <c r="CK32" i="435" s="1"/>
  <c r="ER278" i="431" s="1"/>
  <c r="ER279" i="431" s="1"/>
  <c r="ER280" i="431" s="1"/>
  <c r="C416" i="435"/>
  <c r="B415" i="435"/>
  <c r="D415" i="435" s="1"/>
  <c r="A246" i="434"/>
  <c r="B246" i="434" s="1"/>
  <c r="E247" i="434"/>
  <c r="D244" i="434"/>
  <c r="C243" i="434"/>
  <c r="E245" i="433"/>
  <c r="A244" i="433"/>
  <c r="B244" i="433" s="1"/>
  <c r="C244" i="433"/>
  <c r="D245" i="433"/>
  <c r="FQ278" i="431" l="1"/>
  <c r="EQ280" i="431"/>
  <c r="FM280" i="431" s="1"/>
  <c r="FP280" i="431" s="1"/>
  <c r="FM279" i="431"/>
  <c r="FP279" i="431" s="1"/>
  <c r="E484" i="435"/>
  <c r="E485" i="435" s="1"/>
  <c r="E486" i="435" s="1"/>
  <c r="E487" i="435" s="1"/>
  <c r="E488" i="435" s="1"/>
  <c r="E489" i="435" s="1"/>
  <c r="E490" i="435" s="1"/>
  <c r="E491" i="435" s="1"/>
  <c r="E492" i="435" s="1"/>
  <c r="E493" i="435" s="1"/>
  <c r="E494" i="435" s="1"/>
  <c r="E495" i="435" s="1"/>
  <c r="E496" i="435" s="1"/>
  <c r="BV22" i="435"/>
  <c r="CL32" i="435" s="1"/>
  <c r="C417" i="435"/>
  <c r="B416" i="435"/>
  <c r="D416" i="435" s="1"/>
  <c r="D245" i="434"/>
  <c r="C244" i="434"/>
  <c r="A245" i="433"/>
  <c r="B245" i="433" s="1"/>
  <c r="E246" i="433"/>
  <c r="A247" i="434"/>
  <c r="B247" i="434" s="1"/>
  <c r="E248" i="434"/>
  <c r="C245" i="433"/>
  <c r="D246" i="433"/>
  <c r="FQ279" i="431" l="1"/>
  <c r="FQ280" i="431"/>
  <c r="E497" i="435"/>
  <c r="E498" i="435" s="1"/>
  <c r="E499" i="435" s="1"/>
  <c r="E500" i="435" s="1"/>
  <c r="E501" i="435" s="1"/>
  <c r="E502" i="435" s="1"/>
  <c r="E503" i="435" s="1"/>
  <c r="E504" i="435" s="1"/>
  <c r="E505" i="435" s="1"/>
  <c r="E506" i="435" s="1"/>
  <c r="E507" i="435" s="1"/>
  <c r="E508" i="435" s="1"/>
  <c r="E509" i="435" s="1"/>
  <c r="BW22" i="435"/>
  <c r="CM32" i="435" s="1"/>
  <c r="C418" i="435"/>
  <c r="B417" i="435"/>
  <c r="D417" i="435" s="1"/>
  <c r="D246" i="434"/>
  <c r="C245" i="434"/>
  <c r="E247" i="433"/>
  <c r="A246" i="433"/>
  <c r="B246" i="433" s="1"/>
  <c r="E249" i="434"/>
  <c r="A248" i="434"/>
  <c r="B248" i="434" s="1"/>
  <c r="D247" i="433"/>
  <c r="C246" i="433"/>
  <c r="E510" i="435" l="1"/>
  <c r="E511" i="435" s="1"/>
  <c r="E512" i="435" s="1"/>
  <c r="E513" i="435" s="1"/>
  <c r="E514" i="435" s="1"/>
  <c r="E515" i="435" s="1"/>
  <c r="E516" i="435" s="1"/>
  <c r="E517" i="435" s="1"/>
  <c r="E518" i="435" s="1"/>
  <c r="E519" i="435" s="1"/>
  <c r="E520" i="435" s="1"/>
  <c r="E521" i="435" s="1"/>
  <c r="E522" i="435" s="1"/>
  <c r="BX22" i="435"/>
  <c r="CO32" i="435" s="1"/>
  <c r="B418" i="435"/>
  <c r="D418" i="435" s="1"/>
  <c r="C419" i="435"/>
  <c r="D247" i="434"/>
  <c r="C246" i="434"/>
  <c r="A249" i="434"/>
  <c r="B249" i="434" s="1"/>
  <c r="E250" i="434"/>
  <c r="A247" i="433"/>
  <c r="B247" i="433" s="1"/>
  <c r="E248" i="433"/>
  <c r="D248" i="433"/>
  <c r="C247" i="433"/>
  <c r="E523" i="435" l="1"/>
  <c r="E524" i="435" s="1"/>
  <c r="E525" i="435" s="1"/>
  <c r="E526" i="435" s="1"/>
  <c r="E527" i="435" s="1"/>
  <c r="E528" i="435" s="1"/>
  <c r="E529" i="435" s="1"/>
  <c r="E530" i="435" s="1"/>
  <c r="E531" i="435" s="1"/>
  <c r="E532" i="435" s="1"/>
  <c r="E533" i="435" s="1"/>
  <c r="E534" i="435" s="1"/>
  <c r="E535" i="435" s="1"/>
  <c r="BY22" i="435"/>
  <c r="CP32" i="435" s="1"/>
  <c r="B419" i="435"/>
  <c r="D419" i="435" s="1"/>
  <c r="C420" i="435"/>
  <c r="C247" i="434"/>
  <c r="D248" i="434"/>
  <c r="A250" i="434"/>
  <c r="B250" i="434" s="1"/>
  <c r="E251" i="434"/>
  <c r="E249" i="433"/>
  <c r="A248" i="433"/>
  <c r="B248" i="433" s="1"/>
  <c r="C248" i="433"/>
  <c r="D249" i="433"/>
  <c r="E536" i="435" l="1"/>
  <c r="E537" i="435" s="1"/>
  <c r="E538" i="435" s="1"/>
  <c r="E539" i="435" s="1"/>
  <c r="E540" i="435" s="1"/>
  <c r="E541" i="435" s="1"/>
  <c r="E542" i="435" s="1"/>
  <c r="E543" i="435" s="1"/>
  <c r="E544" i="435" s="1"/>
  <c r="E545" i="435" s="1"/>
  <c r="E546" i="435" s="1"/>
  <c r="E547" i="435" s="1"/>
  <c r="E548" i="435" s="1"/>
  <c r="BZ22" i="435"/>
  <c r="CQ32" i="435" s="1"/>
  <c r="B420" i="435"/>
  <c r="D420" i="435" s="1"/>
  <c r="C421" i="435"/>
  <c r="A249" i="433"/>
  <c r="B249" i="433" s="1"/>
  <c r="E250" i="433"/>
  <c r="E252" i="434"/>
  <c r="A251" i="434"/>
  <c r="B251" i="434" s="1"/>
  <c r="D249" i="434"/>
  <c r="C248" i="434"/>
  <c r="D250" i="433"/>
  <c r="C249" i="433"/>
  <c r="E549" i="435" l="1"/>
  <c r="E550" i="435" s="1"/>
  <c r="CA22" i="435"/>
  <c r="CR32" i="435" s="1"/>
  <c r="C422" i="435"/>
  <c r="B421" i="435"/>
  <c r="D421" i="435" s="1"/>
  <c r="D250" i="434"/>
  <c r="C249" i="434"/>
  <c r="A252" i="434"/>
  <c r="B252" i="434" s="1"/>
  <c r="E253" i="434"/>
  <c r="A250" i="433"/>
  <c r="B250" i="433" s="1"/>
  <c r="E251" i="433"/>
  <c r="D251" i="433"/>
  <c r="C250" i="433"/>
  <c r="E551" i="435" l="1"/>
  <c r="E552" i="435" s="1"/>
  <c r="E553" i="435" s="1"/>
  <c r="E554" i="435" s="1"/>
  <c r="E555" i="435" s="1"/>
  <c r="E556" i="435" s="1"/>
  <c r="E557" i="435" s="1"/>
  <c r="E558" i="435" s="1"/>
  <c r="E559" i="435" s="1"/>
  <c r="E560" i="435" s="1"/>
  <c r="E561" i="435" s="1"/>
  <c r="C423" i="435"/>
  <c r="B422" i="435"/>
  <c r="D422" i="435" s="1"/>
  <c r="C250" i="434"/>
  <c r="D251" i="434"/>
  <c r="E254" i="434"/>
  <c r="A253" i="434"/>
  <c r="B253" i="434" s="1"/>
  <c r="E252" i="433"/>
  <c r="A251" i="433"/>
  <c r="B251" i="433" s="1"/>
  <c r="C251" i="433"/>
  <c r="D252" i="433"/>
  <c r="E562" i="435" l="1"/>
  <c r="CB22" i="435"/>
  <c r="CT32" i="435" s="1"/>
  <c r="B423" i="435"/>
  <c r="D423" i="435" s="1"/>
  <c r="C424" i="435"/>
  <c r="A252" i="433"/>
  <c r="B252" i="433" s="1"/>
  <c r="E253" i="433"/>
  <c r="A254" i="434"/>
  <c r="B254" i="434" s="1"/>
  <c r="E255" i="434"/>
  <c r="C251" i="434"/>
  <c r="D252" i="434"/>
  <c r="C252" i="433"/>
  <c r="D253" i="433"/>
  <c r="E563" i="435" l="1"/>
  <c r="E564" i="435" s="1"/>
  <c r="E565" i="435" s="1"/>
  <c r="E566" i="435" s="1"/>
  <c r="E567" i="435" s="1"/>
  <c r="E568" i="435" s="1"/>
  <c r="E569" i="435" s="1"/>
  <c r="E570" i="435" s="1"/>
  <c r="E571" i="435" s="1"/>
  <c r="E572" i="435" s="1"/>
  <c r="E573" i="435" s="1"/>
  <c r="E574" i="435" s="1"/>
  <c r="CC6" i="435"/>
  <c r="CU16" i="435" s="1"/>
  <c r="C425" i="435"/>
  <c r="B424" i="435"/>
  <c r="D424" i="435" s="1"/>
  <c r="C252" i="434"/>
  <c r="D253" i="434"/>
  <c r="A255" i="434"/>
  <c r="B255" i="434" s="1"/>
  <c r="E256" i="434"/>
  <c r="E254" i="433"/>
  <c r="A253" i="433"/>
  <c r="B253" i="433" s="1"/>
  <c r="D254" i="433"/>
  <c r="C253" i="433"/>
  <c r="E575" i="435" l="1"/>
  <c r="CC22" i="435"/>
  <c r="CU32" i="435" s="1"/>
  <c r="C426" i="435"/>
  <c r="B425" i="435"/>
  <c r="D425" i="435" s="1"/>
  <c r="A254" i="433"/>
  <c r="B254" i="433" s="1"/>
  <c r="E255" i="433"/>
  <c r="E257" i="434"/>
  <c r="A256" i="434"/>
  <c r="B256" i="434" s="1"/>
  <c r="D254" i="434"/>
  <c r="C253" i="434"/>
  <c r="D255" i="433"/>
  <c r="C254" i="433"/>
  <c r="E576" i="435" l="1"/>
  <c r="E577" i="435" s="1"/>
  <c r="E578" i="435" s="1"/>
  <c r="E579" i="435" s="1"/>
  <c r="E580" i="435" s="1"/>
  <c r="E581" i="435" s="1"/>
  <c r="E582" i="435" s="1"/>
  <c r="E583" i="435" s="1"/>
  <c r="E584" i="435" s="1"/>
  <c r="E585" i="435" s="1"/>
  <c r="E586" i="435" s="1"/>
  <c r="E587" i="435" s="1"/>
  <c r="CD6" i="435"/>
  <c r="CV16" i="435" s="1"/>
  <c r="B426" i="435"/>
  <c r="D426" i="435" s="1"/>
  <c r="C427" i="435"/>
  <c r="E258" i="434"/>
  <c r="A257" i="434"/>
  <c r="B257" i="434" s="1"/>
  <c r="A255" i="433"/>
  <c r="B255" i="433" s="1"/>
  <c r="E256" i="433"/>
  <c r="C254" i="434"/>
  <c r="D255" i="434"/>
  <c r="C255" i="433"/>
  <c r="D256" i="433"/>
  <c r="E588" i="435" l="1"/>
  <c r="CD22" i="435"/>
  <c r="CV32" i="435" s="1"/>
  <c r="B427" i="435"/>
  <c r="D427" i="435" s="1"/>
  <c r="C428" i="435"/>
  <c r="A256" i="433"/>
  <c r="B256" i="433" s="1"/>
  <c r="E257" i="433"/>
  <c r="D256" i="434"/>
  <c r="C255" i="434"/>
  <c r="E259" i="434"/>
  <c r="A258" i="434"/>
  <c r="B258" i="434" s="1"/>
  <c r="D257" i="433"/>
  <c r="C256" i="433"/>
  <c r="E589" i="435" l="1"/>
  <c r="E590" i="435" s="1"/>
  <c r="E591" i="435" s="1"/>
  <c r="E592" i="435" s="1"/>
  <c r="E593" i="435" s="1"/>
  <c r="E594" i="435" s="1"/>
  <c r="E595" i="435" s="1"/>
  <c r="E596" i="435" s="1"/>
  <c r="E597" i="435" s="1"/>
  <c r="E598" i="435" s="1"/>
  <c r="E599" i="435" s="1"/>
  <c r="E600" i="435" s="1"/>
  <c r="CE6" i="435"/>
  <c r="CW16" i="435" s="1"/>
  <c r="B428" i="435"/>
  <c r="D428" i="435" s="1"/>
  <c r="C429" i="435"/>
  <c r="A259" i="434"/>
  <c r="B259" i="434" s="1"/>
  <c r="E260" i="434"/>
  <c r="C256" i="434"/>
  <c r="D257" i="434"/>
  <c r="E258" i="433"/>
  <c r="A257" i="433"/>
  <c r="B257" i="433" s="1"/>
  <c r="D258" i="433"/>
  <c r="C257" i="433"/>
  <c r="E601" i="435" l="1"/>
  <c r="CE22" i="435"/>
  <c r="CW32" i="435" s="1"/>
  <c r="C430" i="435"/>
  <c r="B429" i="435"/>
  <c r="D429" i="435" s="1"/>
  <c r="E259" i="433"/>
  <c r="A258" i="433"/>
  <c r="B258" i="433" s="1"/>
  <c r="D258" i="434"/>
  <c r="C257" i="434"/>
  <c r="A260" i="434"/>
  <c r="B260" i="434" s="1"/>
  <c r="E261" i="434"/>
  <c r="D259" i="433"/>
  <c r="C258" i="433"/>
  <c r="E602" i="435" l="1"/>
  <c r="E603" i="435" s="1"/>
  <c r="E604" i="435" s="1"/>
  <c r="E605" i="435" s="1"/>
  <c r="E606" i="435" s="1"/>
  <c r="E607" i="435" s="1"/>
  <c r="E608" i="435" s="1"/>
  <c r="E609" i="435" s="1"/>
  <c r="E610" i="435" s="1"/>
  <c r="E611" i="435" s="1"/>
  <c r="E612" i="435" s="1"/>
  <c r="E613" i="435" s="1"/>
  <c r="E614" i="435" s="1"/>
  <c r="CB6" i="435"/>
  <c r="C431" i="435"/>
  <c r="B430" i="435"/>
  <c r="D430" i="435" s="1"/>
  <c r="A261" i="434"/>
  <c r="B261" i="434" s="1"/>
  <c r="E262" i="434"/>
  <c r="D259" i="434"/>
  <c r="C258" i="434"/>
  <c r="E260" i="433"/>
  <c r="A259" i="433"/>
  <c r="B259" i="433" s="1"/>
  <c r="D260" i="433"/>
  <c r="C259" i="433"/>
  <c r="CT16" i="435" l="1"/>
  <c r="Z11" i="435"/>
  <c r="CX16" i="435" s="1"/>
  <c r="B431" i="435"/>
  <c r="D431" i="435" s="1"/>
  <c r="C432" i="435"/>
  <c r="A260" i="433"/>
  <c r="B260" i="433" s="1"/>
  <c r="E261" i="433"/>
  <c r="D260" i="434"/>
  <c r="C259" i="434"/>
  <c r="E263" i="434"/>
  <c r="A262" i="434"/>
  <c r="B262" i="434" s="1"/>
  <c r="D261" i="433"/>
  <c r="C260" i="433"/>
  <c r="B432" i="435" l="1"/>
  <c r="D432" i="435" s="1"/>
  <c r="C433" i="435"/>
  <c r="A263" i="434"/>
  <c r="B263" i="434" s="1"/>
  <c r="E264" i="434"/>
  <c r="D261" i="434"/>
  <c r="C260" i="434"/>
  <c r="E262" i="433"/>
  <c r="A261" i="433"/>
  <c r="B261" i="433" s="1"/>
  <c r="C261" i="433"/>
  <c r="D262" i="433"/>
  <c r="C434" i="435" l="1"/>
  <c r="B433" i="435"/>
  <c r="D433" i="435" s="1"/>
  <c r="A262" i="433"/>
  <c r="B262" i="433" s="1"/>
  <c r="E263" i="433"/>
  <c r="C261" i="434"/>
  <c r="D262" i="434"/>
  <c r="A264" i="434"/>
  <c r="B264" i="434" s="1"/>
  <c r="E265" i="434"/>
  <c r="D263" i="433"/>
  <c r="C262" i="433"/>
  <c r="B434" i="435" l="1"/>
  <c r="D434" i="435" s="1"/>
  <c r="C435" i="435"/>
  <c r="E266" i="434"/>
  <c r="A265" i="434"/>
  <c r="B265" i="434" s="1"/>
  <c r="D263" i="434"/>
  <c r="C262" i="434"/>
  <c r="E264" i="433"/>
  <c r="A263" i="433"/>
  <c r="B263" i="433" s="1"/>
  <c r="D264" i="433"/>
  <c r="C263" i="433"/>
  <c r="C436" i="435" l="1"/>
  <c r="B435" i="435"/>
  <c r="D435" i="435" s="1"/>
  <c r="A264" i="433"/>
  <c r="B264" i="433" s="1"/>
  <c r="E265" i="433"/>
  <c r="C263" i="434"/>
  <c r="D264" i="434"/>
  <c r="A266" i="434"/>
  <c r="B266" i="434" s="1"/>
  <c r="E267" i="434"/>
  <c r="D265" i="433"/>
  <c r="C264" i="433"/>
  <c r="B436" i="435" l="1"/>
  <c r="D436" i="435" s="1"/>
  <c r="C437" i="435"/>
  <c r="E268" i="434"/>
  <c r="A267" i="434"/>
  <c r="B267" i="434" s="1"/>
  <c r="C264" i="434"/>
  <c r="D265" i="434"/>
  <c r="E266" i="433"/>
  <c r="A265" i="433"/>
  <c r="B265" i="433" s="1"/>
  <c r="D266" i="433"/>
  <c r="C265" i="433"/>
  <c r="C438" i="435" l="1"/>
  <c r="B437" i="435"/>
  <c r="D437" i="435" s="1"/>
  <c r="A266" i="433"/>
  <c r="B266" i="433" s="1"/>
  <c r="E267" i="433"/>
  <c r="D266" i="434"/>
  <c r="C265" i="434"/>
  <c r="A268" i="434"/>
  <c r="B268" i="434" s="1"/>
  <c r="E269" i="434"/>
  <c r="D267" i="433"/>
  <c r="C266" i="433"/>
  <c r="B438" i="435" l="1"/>
  <c r="D438" i="435" s="1"/>
  <c r="C439" i="435"/>
  <c r="A269" i="434"/>
  <c r="B269" i="434" s="1"/>
  <c r="E270" i="434"/>
  <c r="D267" i="434"/>
  <c r="C266" i="434"/>
  <c r="A267" i="433"/>
  <c r="B267" i="433" s="1"/>
  <c r="E268" i="433"/>
  <c r="C267" i="433"/>
  <c r="D268" i="433"/>
  <c r="B439" i="435" l="1"/>
  <c r="D439" i="435" s="1"/>
  <c r="C440" i="435"/>
  <c r="A268" i="433"/>
  <c r="B268" i="433" s="1"/>
  <c r="E269" i="433"/>
  <c r="D268" i="434"/>
  <c r="C267" i="434"/>
  <c r="E271" i="434"/>
  <c r="A270" i="434"/>
  <c r="B270" i="434" s="1"/>
  <c r="D269" i="433"/>
  <c r="C268" i="433"/>
  <c r="C441" i="435" l="1"/>
  <c r="B440" i="435"/>
  <c r="D440" i="435" s="1"/>
  <c r="E272" i="434"/>
  <c r="A271" i="434"/>
  <c r="B271" i="434" s="1"/>
  <c r="D269" i="434"/>
  <c r="C268" i="434"/>
  <c r="A269" i="433"/>
  <c r="B269" i="433" s="1"/>
  <c r="E270" i="433"/>
  <c r="D270" i="433"/>
  <c r="C269" i="433"/>
  <c r="C442" i="435" l="1"/>
  <c r="B441" i="435"/>
  <c r="D441" i="435" s="1"/>
  <c r="E271" i="433"/>
  <c r="A270" i="433"/>
  <c r="B270" i="433" s="1"/>
  <c r="C269" i="434"/>
  <c r="D270" i="434"/>
  <c r="A272" i="434"/>
  <c r="B272" i="434" s="1"/>
  <c r="E273" i="434"/>
  <c r="C270" i="433"/>
  <c r="D271" i="433"/>
  <c r="B442" i="435" l="1"/>
  <c r="D442" i="435" s="1"/>
  <c r="C443" i="435"/>
  <c r="A273" i="434"/>
  <c r="B273" i="434" s="1"/>
  <c r="E274" i="434"/>
  <c r="C270" i="434"/>
  <c r="D271" i="434"/>
  <c r="A271" i="433"/>
  <c r="B271" i="433" s="1"/>
  <c r="E272" i="433"/>
  <c r="D272" i="433"/>
  <c r="C271" i="433"/>
  <c r="B443" i="435" l="1"/>
  <c r="D443" i="435" s="1"/>
  <c r="C444" i="435"/>
  <c r="A272" i="433"/>
  <c r="B272" i="433" s="1"/>
  <c r="E273" i="433"/>
  <c r="D272" i="434"/>
  <c r="C271" i="434"/>
  <c r="E275" i="434"/>
  <c r="A274" i="434"/>
  <c r="B274" i="434" s="1"/>
  <c r="D273" i="433"/>
  <c r="C272" i="433"/>
  <c r="C445" i="435" l="1"/>
  <c r="B444" i="435"/>
  <c r="D444" i="435" s="1"/>
  <c r="E276" i="434"/>
  <c r="A275" i="434"/>
  <c r="B275" i="434" s="1"/>
  <c r="C272" i="434"/>
  <c r="D273" i="434"/>
  <c r="A273" i="433"/>
  <c r="B273" i="433" s="1"/>
  <c r="E274" i="433"/>
  <c r="C273" i="433"/>
  <c r="D274" i="433"/>
  <c r="C446" i="435" l="1"/>
  <c r="B445" i="435"/>
  <c r="A274" i="433"/>
  <c r="B274" i="433" s="1"/>
  <c r="E275" i="433"/>
  <c r="D274" i="434"/>
  <c r="C273" i="434"/>
  <c r="E277" i="434"/>
  <c r="A276" i="434"/>
  <c r="B276" i="434" s="1"/>
  <c r="C274" i="433"/>
  <c r="D275" i="433"/>
  <c r="B446" i="435" l="1"/>
  <c r="D446" i="435" s="1"/>
  <c r="C447" i="435"/>
  <c r="D275" i="434"/>
  <c r="C274" i="434"/>
  <c r="A277" i="434"/>
  <c r="B277" i="434" s="1"/>
  <c r="E278" i="434"/>
  <c r="A275" i="433"/>
  <c r="B275" i="433" s="1"/>
  <c r="E276" i="433"/>
  <c r="D276" i="433"/>
  <c r="C275" i="433"/>
  <c r="C448" i="435" l="1"/>
  <c r="B447" i="435"/>
  <c r="D447" i="435" s="1"/>
  <c r="E277" i="433"/>
  <c r="A276" i="433"/>
  <c r="B276" i="433" s="1"/>
  <c r="E279" i="434"/>
  <c r="A278" i="434"/>
  <c r="B278" i="434" s="1"/>
  <c r="C275" i="434"/>
  <c r="D276" i="434"/>
  <c r="D277" i="433"/>
  <c r="C276" i="433"/>
  <c r="C449" i="435" l="1"/>
  <c r="B448" i="435"/>
  <c r="D448" i="435" s="1"/>
  <c r="C276" i="434"/>
  <c r="D277" i="434"/>
  <c r="A279" i="434"/>
  <c r="B279" i="434" s="1"/>
  <c r="E280" i="434"/>
  <c r="E278" i="433"/>
  <c r="A277" i="433"/>
  <c r="B277" i="433" s="1"/>
  <c r="D278" i="433"/>
  <c r="C277" i="433"/>
  <c r="B449" i="435" l="1"/>
  <c r="D449" i="435" s="1"/>
  <c r="C450" i="435"/>
  <c r="A278" i="433"/>
  <c r="B278" i="433" s="1"/>
  <c r="E279" i="433"/>
  <c r="E281" i="434"/>
  <c r="A280" i="434"/>
  <c r="B280" i="434" s="1"/>
  <c r="C277" i="434"/>
  <c r="D278" i="434"/>
  <c r="D279" i="433"/>
  <c r="C278" i="433"/>
  <c r="C451" i="435" l="1"/>
  <c r="B450" i="435"/>
  <c r="D450" i="435" s="1"/>
  <c r="D279" i="434"/>
  <c r="C278" i="434"/>
  <c r="E282" i="434"/>
  <c r="A281" i="434"/>
  <c r="B281" i="434" s="1"/>
  <c r="E280" i="433"/>
  <c r="A279" i="433"/>
  <c r="B279" i="433" s="1"/>
  <c r="C279" i="433"/>
  <c r="D280" i="433"/>
  <c r="C452" i="435" l="1"/>
  <c r="B451" i="435"/>
  <c r="D451" i="435" s="1"/>
  <c r="A280" i="433"/>
  <c r="B280" i="433" s="1"/>
  <c r="E281" i="433"/>
  <c r="A282" i="434"/>
  <c r="B282" i="434" s="1"/>
  <c r="E283" i="434"/>
  <c r="D280" i="434"/>
  <c r="C279" i="434"/>
  <c r="D281" i="433"/>
  <c r="C280" i="433"/>
  <c r="B452" i="435" l="1"/>
  <c r="D452" i="435" s="1"/>
  <c r="C453" i="435"/>
  <c r="C280" i="434"/>
  <c r="D281" i="434"/>
  <c r="A283" i="434"/>
  <c r="B283" i="434" s="1"/>
  <c r="E284" i="434"/>
  <c r="A281" i="433"/>
  <c r="B281" i="433" s="1"/>
  <c r="E282" i="433"/>
  <c r="C281" i="433"/>
  <c r="D282" i="433"/>
  <c r="B453" i="435" l="1"/>
  <c r="D453" i="435" s="1"/>
  <c r="C454" i="435"/>
  <c r="E283" i="433"/>
  <c r="A282" i="433"/>
  <c r="B282" i="433" s="1"/>
  <c r="A284" i="434"/>
  <c r="B284" i="434" s="1"/>
  <c r="E285" i="434"/>
  <c r="D282" i="434"/>
  <c r="C281" i="434"/>
  <c r="C282" i="433"/>
  <c r="D283" i="433"/>
  <c r="B454" i="435" l="1"/>
  <c r="D454" i="435" s="1"/>
  <c r="C455" i="435"/>
  <c r="C282" i="434"/>
  <c r="D283" i="434"/>
  <c r="A285" i="434"/>
  <c r="B285" i="434" s="1"/>
  <c r="E286" i="434"/>
  <c r="A283" i="433"/>
  <c r="B283" i="433" s="1"/>
  <c r="E284" i="433"/>
  <c r="D284" i="433"/>
  <c r="C283" i="433"/>
  <c r="C456" i="435" l="1"/>
  <c r="B455" i="435"/>
  <c r="D455" i="435" s="1"/>
  <c r="E285" i="433"/>
  <c r="A284" i="433"/>
  <c r="B284" i="433" s="1"/>
  <c r="E287" i="434"/>
  <c r="A286" i="434"/>
  <c r="B286" i="434" s="1"/>
  <c r="C283" i="434"/>
  <c r="D284" i="434"/>
  <c r="D285" i="433"/>
  <c r="C284" i="433"/>
  <c r="C457" i="435" l="1"/>
  <c r="B456" i="435"/>
  <c r="D456" i="435" s="1"/>
  <c r="E286" i="433"/>
  <c r="A285" i="433"/>
  <c r="B285" i="433" s="1"/>
  <c r="D285" i="434"/>
  <c r="C284" i="434"/>
  <c r="E288" i="434"/>
  <c r="A287" i="434"/>
  <c r="B287" i="434" s="1"/>
  <c r="D286" i="433"/>
  <c r="C285" i="433"/>
  <c r="B457" i="435" l="1"/>
  <c r="D457" i="435" s="1"/>
  <c r="C458" i="435"/>
  <c r="E289" i="434"/>
  <c r="A288" i="434"/>
  <c r="B288" i="434" s="1"/>
  <c r="C285" i="434"/>
  <c r="D286" i="434"/>
  <c r="A286" i="433"/>
  <c r="B286" i="433" s="1"/>
  <c r="E287" i="433"/>
  <c r="D287" i="433"/>
  <c r="C286" i="433"/>
  <c r="C459" i="435" l="1"/>
  <c r="B458" i="435"/>
  <c r="A287" i="433"/>
  <c r="B287" i="433" s="1"/>
  <c r="E288" i="433"/>
  <c r="D287" i="434"/>
  <c r="C286" i="434"/>
  <c r="A289" i="434"/>
  <c r="B289" i="434" s="1"/>
  <c r="E290" i="434"/>
  <c r="D288" i="433"/>
  <c r="C287" i="433"/>
  <c r="C460" i="435" l="1"/>
  <c r="B459" i="435"/>
  <c r="D459" i="435" s="1"/>
  <c r="A290" i="434"/>
  <c r="B290" i="434" s="1"/>
  <c r="E291" i="434"/>
  <c r="D288" i="434"/>
  <c r="C287" i="434"/>
  <c r="A288" i="433"/>
  <c r="B288" i="433" s="1"/>
  <c r="E289" i="433"/>
  <c r="C288" i="433"/>
  <c r="D289" i="433"/>
  <c r="B460" i="435" l="1"/>
  <c r="D460" i="435" s="1"/>
  <c r="C461" i="435"/>
  <c r="A289" i="433"/>
  <c r="B289" i="433" s="1"/>
  <c r="E290" i="433"/>
  <c r="C288" i="434"/>
  <c r="D289" i="434"/>
  <c r="E292" i="434"/>
  <c r="A291" i="434"/>
  <c r="B291" i="434" s="1"/>
  <c r="C289" i="433"/>
  <c r="D290" i="433"/>
  <c r="B461" i="435" l="1"/>
  <c r="D461" i="435" s="1"/>
  <c r="C462" i="435"/>
  <c r="A292" i="434"/>
  <c r="B292" i="434" s="1"/>
  <c r="E293" i="434"/>
  <c r="D290" i="434"/>
  <c r="C289" i="434"/>
  <c r="A290" i="433"/>
  <c r="B290" i="433" s="1"/>
  <c r="E291" i="433"/>
  <c r="C290" i="433"/>
  <c r="D291" i="433"/>
  <c r="B462" i="435" l="1"/>
  <c r="D462" i="435" s="1"/>
  <c r="C463" i="435"/>
  <c r="E292" i="433"/>
  <c r="A291" i="433"/>
  <c r="B291" i="433" s="1"/>
  <c r="C290" i="434"/>
  <c r="D291" i="434"/>
  <c r="E294" i="434"/>
  <c r="A293" i="434"/>
  <c r="B293" i="434" s="1"/>
  <c r="C291" i="433"/>
  <c r="D292" i="433"/>
  <c r="C464" i="435" l="1"/>
  <c r="B463" i="435"/>
  <c r="D463" i="435" s="1"/>
  <c r="E295" i="434"/>
  <c r="A294" i="434"/>
  <c r="B294" i="434" s="1"/>
  <c r="C291" i="434"/>
  <c r="D292" i="434"/>
  <c r="A292" i="433"/>
  <c r="B292" i="433" s="1"/>
  <c r="E293" i="433"/>
  <c r="C292" i="433"/>
  <c r="D293" i="433"/>
  <c r="C465" i="435" l="1"/>
  <c r="B464" i="435"/>
  <c r="D464" i="435" s="1"/>
  <c r="E294" i="433"/>
  <c r="A293" i="433"/>
  <c r="B293" i="433" s="1"/>
  <c r="D293" i="434"/>
  <c r="C292" i="434"/>
  <c r="E296" i="434"/>
  <c r="A295" i="434"/>
  <c r="B295" i="434" s="1"/>
  <c r="D294" i="433"/>
  <c r="C293" i="433"/>
  <c r="B465" i="435" l="1"/>
  <c r="D465" i="435" s="1"/>
  <c r="C466" i="435"/>
  <c r="E297" i="434"/>
  <c r="A296" i="434"/>
  <c r="B296" i="434" s="1"/>
  <c r="C293" i="434"/>
  <c r="D294" i="434"/>
  <c r="A294" i="433"/>
  <c r="B294" i="433" s="1"/>
  <c r="E295" i="433"/>
  <c r="C294" i="433"/>
  <c r="D295" i="433"/>
  <c r="C467" i="435" l="1"/>
  <c r="B466" i="435"/>
  <c r="D466" i="435" s="1"/>
  <c r="E296" i="433"/>
  <c r="A295" i="433"/>
  <c r="B295" i="433" s="1"/>
  <c r="D295" i="434"/>
  <c r="C294" i="434"/>
  <c r="A297" i="434"/>
  <c r="B297" i="434" s="1"/>
  <c r="E298" i="434"/>
  <c r="D296" i="433"/>
  <c r="C295" i="433"/>
  <c r="C468" i="435" l="1"/>
  <c r="B467" i="435"/>
  <c r="D467" i="435" s="1"/>
  <c r="A298" i="434"/>
  <c r="B298" i="434" s="1"/>
  <c r="E299" i="434"/>
  <c r="D296" i="434"/>
  <c r="C295" i="434"/>
  <c r="A296" i="433"/>
  <c r="B296" i="433" s="1"/>
  <c r="E297" i="433"/>
  <c r="D297" i="433"/>
  <c r="C296" i="433"/>
  <c r="B468" i="435" l="1"/>
  <c r="D468" i="435" s="1"/>
  <c r="C469" i="435"/>
  <c r="A297" i="433"/>
  <c r="B297" i="433" s="1"/>
  <c r="E298" i="433"/>
  <c r="C296" i="434"/>
  <c r="D297" i="434"/>
  <c r="E300" i="434"/>
  <c r="A299" i="434"/>
  <c r="B299" i="434" s="1"/>
  <c r="D298" i="433"/>
  <c r="C297" i="433"/>
  <c r="B469" i="435" l="1"/>
  <c r="D469" i="435" s="1"/>
  <c r="C470" i="435"/>
  <c r="D298" i="434"/>
  <c r="C297" i="434"/>
  <c r="E301" i="434"/>
  <c r="A300" i="434"/>
  <c r="B300" i="434" s="1"/>
  <c r="A298" i="433"/>
  <c r="B298" i="433" s="1"/>
  <c r="E299" i="433"/>
  <c r="C298" i="433"/>
  <c r="D299" i="433"/>
  <c r="B470" i="435" l="1"/>
  <c r="D470" i="435" s="1"/>
  <c r="C471" i="435"/>
  <c r="E300" i="433"/>
  <c r="A299" i="433"/>
  <c r="B299" i="433" s="1"/>
  <c r="A301" i="434"/>
  <c r="B301" i="434" s="1"/>
  <c r="E302" i="434"/>
  <c r="D299" i="434"/>
  <c r="C298" i="434"/>
  <c r="C299" i="433"/>
  <c r="D300" i="433"/>
  <c r="C472" i="435" l="1"/>
  <c r="B471" i="435"/>
  <c r="D471" i="435" s="1"/>
  <c r="D300" i="434"/>
  <c r="C299" i="434"/>
  <c r="A302" i="434"/>
  <c r="B302" i="434" s="1"/>
  <c r="E303" i="434"/>
  <c r="A300" i="433"/>
  <c r="B300" i="433" s="1"/>
  <c r="E301" i="433"/>
  <c r="C300" i="433"/>
  <c r="D301" i="433"/>
  <c r="C473" i="435" l="1"/>
  <c r="B472" i="435"/>
  <c r="D472" i="435" s="1"/>
  <c r="E304" i="434"/>
  <c r="A303" i="434"/>
  <c r="B303" i="434" s="1"/>
  <c r="A301" i="433"/>
  <c r="B301" i="433" s="1"/>
  <c r="E302" i="433"/>
  <c r="D301" i="434"/>
  <c r="C300" i="434"/>
  <c r="C301" i="433"/>
  <c r="D302" i="433"/>
  <c r="B473" i="435" l="1"/>
  <c r="D473" i="435" s="1"/>
  <c r="C474" i="435"/>
  <c r="A304" i="434"/>
  <c r="B304" i="434" s="1"/>
  <c r="E305" i="434"/>
  <c r="C301" i="434"/>
  <c r="D302" i="434"/>
  <c r="A302" i="433"/>
  <c r="B302" i="433" s="1"/>
  <c r="E303" i="433"/>
  <c r="D303" i="433"/>
  <c r="C302" i="433"/>
  <c r="C475" i="435" l="1"/>
  <c r="B474" i="435"/>
  <c r="D474" i="435" s="1"/>
  <c r="A303" i="433"/>
  <c r="B303" i="433" s="1"/>
  <c r="E304" i="433"/>
  <c r="C302" i="434"/>
  <c r="D303" i="434"/>
  <c r="A305" i="434"/>
  <c r="B305" i="434" s="1"/>
  <c r="E306" i="434"/>
  <c r="D304" i="433"/>
  <c r="C303" i="433"/>
  <c r="C476" i="435" l="1"/>
  <c r="B475" i="435"/>
  <c r="D475" i="435" s="1"/>
  <c r="C303" i="434"/>
  <c r="D304" i="434"/>
  <c r="A306" i="434"/>
  <c r="B306" i="434" s="1"/>
  <c r="E307" i="434"/>
  <c r="E305" i="433"/>
  <c r="A304" i="433"/>
  <c r="B304" i="433" s="1"/>
  <c r="D305" i="433"/>
  <c r="C304" i="433"/>
  <c r="B476" i="435" l="1"/>
  <c r="D476" i="435" s="1"/>
  <c r="C477" i="435"/>
  <c r="E306" i="433"/>
  <c r="A305" i="433"/>
  <c r="B305" i="433" s="1"/>
  <c r="E308" i="434"/>
  <c r="A307" i="434"/>
  <c r="B307" i="434" s="1"/>
  <c r="D305" i="434"/>
  <c r="C304" i="434"/>
  <c r="D306" i="433"/>
  <c r="C305" i="433"/>
  <c r="B477" i="435" l="1"/>
  <c r="D477" i="435" s="1"/>
  <c r="C478" i="435"/>
  <c r="C305" i="434"/>
  <c r="D306" i="434"/>
  <c r="A308" i="434"/>
  <c r="B308" i="434" s="1"/>
  <c r="E309" i="434"/>
  <c r="A306" i="433"/>
  <c r="B306" i="433" s="1"/>
  <c r="E307" i="433"/>
  <c r="C306" i="433"/>
  <c r="D307" i="433"/>
  <c r="B478" i="435" l="1"/>
  <c r="D478" i="435" s="1"/>
  <c r="C479" i="435"/>
  <c r="E308" i="433"/>
  <c r="A307" i="433"/>
  <c r="B307" i="433" s="1"/>
  <c r="A309" i="434"/>
  <c r="B309" i="434" s="1"/>
  <c r="E310" i="434"/>
  <c r="C306" i="434"/>
  <c r="D307" i="434"/>
  <c r="D308" i="433"/>
  <c r="C307" i="433"/>
  <c r="C480" i="435" l="1"/>
  <c r="B479" i="435"/>
  <c r="D479" i="435" s="1"/>
  <c r="C307" i="434"/>
  <c r="D308" i="434"/>
  <c r="A310" i="434"/>
  <c r="B310" i="434" s="1"/>
  <c r="E311" i="434"/>
  <c r="A308" i="433"/>
  <c r="B308" i="433" s="1"/>
  <c r="E309" i="433"/>
  <c r="C308" i="433"/>
  <c r="D309" i="433"/>
  <c r="C481" i="435" l="1"/>
  <c r="B480" i="435"/>
  <c r="D480" i="435" s="1"/>
  <c r="A309" i="433"/>
  <c r="B309" i="433" s="1"/>
  <c r="E310" i="433"/>
  <c r="E312" i="434"/>
  <c r="A311" i="434"/>
  <c r="B311" i="434" s="1"/>
  <c r="D309" i="434"/>
  <c r="C308" i="434"/>
  <c r="D310" i="433"/>
  <c r="C309" i="433"/>
  <c r="B481" i="435" l="1"/>
  <c r="D481" i="435" s="1"/>
  <c r="C482" i="435"/>
  <c r="E313" i="434"/>
  <c r="A312" i="434"/>
  <c r="B312" i="434" s="1"/>
  <c r="A310" i="433"/>
  <c r="B310" i="433" s="1"/>
  <c r="E311" i="433"/>
  <c r="D310" i="434"/>
  <c r="C309" i="434"/>
  <c r="C310" i="433"/>
  <c r="D311" i="433"/>
  <c r="C483" i="435" l="1"/>
  <c r="B482" i="435"/>
  <c r="D482" i="435" s="1"/>
  <c r="A311" i="433"/>
  <c r="B311" i="433" s="1"/>
  <c r="E312" i="433"/>
  <c r="D311" i="434"/>
  <c r="C310" i="434"/>
  <c r="A313" i="434"/>
  <c r="B313" i="434" s="1"/>
  <c r="E314" i="434"/>
  <c r="C311" i="433"/>
  <c r="D312" i="433"/>
  <c r="C484" i="435" l="1"/>
  <c r="B483" i="435"/>
  <c r="D483" i="435" s="1"/>
  <c r="E315" i="434"/>
  <c r="A314" i="434"/>
  <c r="B314" i="434" s="1"/>
  <c r="C311" i="434"/>
  <c r="D312" i="434"/>
  <c r="A312" i="433"/>
  <c r="B312" i="433" s="1"/>
  <c r="E313" i="433"/>
  <c r="D313" i="433"/>
  <c r="C312" i="433"/>
  <c r="B484" i="435" l="1"/>
  <c r="D484" i="435" s="1"/>
  <c r="C485" i="435"/>
  <c r="E314" i="433"/>
  <c r="A313" i="433"/>
  <c r="B313" i="433" s="1"/>
  <c r="D313" i="434"/>
  <c r="C312" i="434"/>
  <c r="A315" i="434"/>
  <c r="B315" i="434" s="1"/>
  <c r="E316" i="434"/>
  <c r="C313" i="433"/>
  <c r="D314" i="433"/>
  <c r="B485" i="435" l="1"/>
  <c r="D485" i="435" s="1"/>
  <c r="C486" i="435"/>
  <c r="A316" i="434"/>
  <c r="B316" i="434" s="1"/>
  <c r="E317" i="434"/>
  <c r="C313" i="434"/>
  <c r="D314" i="434"/>
  <c r="E315" i="433"/>
  <c r="A314" i="433"/>
  <c r="B314" i="433" s="1"/>
  <c r="D315" i="433"/>
  <c r="C314" i="433"/>
  <c r="B486" i="435" l="1"/>
  <c r="D486" i="435" s="1"/>
  <c r="C487" i="435"/>
  <c r="E316" i="433"/>
  <c r="A315" i="433"/>
  <c r="B315" i="433" s="1"/>
  <c r="C314" i="434"/>
  <c r="D315" i="434"/>
  <c r="E318" i="434"/>
  <c r="A317" i="434"/>
  <c r="B317" i="434" s="1"/>
  <c r="D316" i="433"/>
  <c r="C315" i="433"/>
  <c r="C488" i="435" l="1"/>
  <c r="B487" i="435"/>
  <c r="D487" i="435" s="1"/>
  <c r="A318" i="434"/>
  <c r="B318" i="434" s="1"/>
  <c r="E319" i="434"/>
  <c r="D316" i="434"/>
  <c r="C315" i="434"/>
  <c r="E317" i="433"/>
  <c r="A316" i="433"/>
  <c r="B316" i="433" s="1"/>
  <c r="D317" i="433"/>
  <c r="C316" i="433"/>
  <c r="C489" i="435" l="1"/>
  <c r="B488" i="435"/>
  <c r="D488" i="435" s="1"/>
  <c r="A317" i="433"/>
  <c r="B317" i="433" s="1"/>
  <c r="E318" i="433"/>
  <c r="D317" i="434"/>
  <c r="C316" i="434"/>
  <c r="A319" i="434"/>
  <c r="B319" i="434" s="1"/>
  <c r="E320" i="434"/>
  <c r="C317" i="433"/>
  <c r="D318" i="433"/>
  <c r="B489" i="435" l="1"/>
  <c r="D489" i="435" s="1"/>
  <c r="C490" i="435"/>
  <c r="E321" i="434"/>
  <c r="A320" i="434"/>
  <c r="B320" i="434" s="1"/>
  <c r="D318" i="434"/>
  <c r="C317" i="434"/>
  <c r="E319" i="433"/>
  <c r="A318" i="433"/>
  <c r="B318" i="433" s="1"/>
  <c r="D319" i="433"/>
  <c r="C318" i="433"/>
  <c r="C491" i="435" l="1"/>
  <c r="B490" i="435"/>
  <c r="D490" i="435" s="1"/>
  <c r="E320" i="433"/>
  <c r="A319" i="433"/>
  <c r="B319" i="433" s="1"/>
  <c r="D319" i="434"/>
  <c r="C318" i="434"/>
  <c r="A321" i="434"/>
  <c r="B321" i="434" s="1"/>
  <c r="E322" i="434"/>
  <c r="D320" i="433"/>
  <c r="C319" i="433"/>
  <c r="C492" i="435" l="1"/>
  <c r="B491" i="435"/>
  <c r="D491" i="435" s="1"/>
  <c r="A322" i="434"/>
  <c r="B322" i="434" s="1"/>
  <c r="E323" i="434"/>
  <c r="D320" i="434"/>
  <c r="C319" i="434"/>
  <c r="E321" i="433"/>
  <c r="A320" i="433"/>
  <c r="B320" i="433" s="1"/>
  <c r="D321" i="433"/>
  <c r="C320" i="433"/>
  <c r="B492" i="435" l="1"/>
  <c r="D492" i="435" s="1"/>
  <c r="C493" i="435"/>
  <c r="A321" i="433"/>
  <c r="B321" i="433" s="1"/>
  <c r="E322" i="433"/>
  <c r="D321" i="434"/>
  <c r="C320" i="434"/>
  <c r="A323" i="434"/>
  <c r="B323" i="434" s="1"/>
  <c r="E324" i="434"/>
  <c r="C321" i="433"/>
  <c r="D322" i="433"/>
  <c r="B493" i="435" l="1"/>
  <c r="D493" i="435" s="1"/>
  <c r="C494" i="435"/>
  <c r="E325" i="434"/>
  <c r="A324" i="434"/>
  <c r="B324" i="434" s="1"/>
  <c r="D322" i="434"/>
  <c r="C321" i="434"/>
  <c r="A322" i="433"/>
  <c r="B322" i="433" s="1"/>
  <c r="E323" i="433"/>
  <c r="C322" i="433"/>
  <c r="D323" i="433"/>
  <c r="B494" i="435" l="1"/>
  <c r="D494" i="435" s="1"/>
  <c r="C495" i="435"/>
  <c r="E324" i="433"/>
  <c r="A323" i="433"/>
  <c r="B323" i="433" s="1"/>
  <c r="D323" i="434"/>
  <c r="C322" i="434"/>
  <c r="A325" i="434"/>
  <c r="B325" i="434" s="1"/>
  <c r="E326" i="434"/>
  <c r="C323" i="433"/>
  <c r="D324" i="433"/>
  <c r="C496" i="435" l="1"/>
  <c r="B495" i="435"/>
  <c r="D495" i="435" s="1"/>
  <c r="A326" i="434"/>
  <c r="B326" i="434" s="1"/>
  <c r="E327" i="434"/>
  <c r="C323" i="434"/>
  <c r="D324" i="434"/>
  <c r="A324" i="433"/>
  <c r="B324" i="433" s="1"/>
  <c r="E325" i="433"/>
  <c r="C324" i="433"/>
  <c r="D325" i="433"/>
  <c r="C497" i="435" l="1"/>
  <c r="B496" i="435"/>
  <c r="D496" i="435" s="1"/>
  <c r="A325" i="433"/>
  <c r="B325" i="433" s="1"/>
  <c r="E326" i="433"/>
  <c r="D325" i="434"/>
  <c r="C324" i="434"/>
  <c r="A327" i="434"/>
  <c r="B327" i="434" s="1"/>
  <c r="E328" i="434"/>
  <c r="D326" i="433"/>
  <c r="C325" i="433"/>
  <c r="B497" i="435" l="1"/>
  <c r="D497" i="435" s="1"/>
  <c r="C498" i="435"/>
  <c r="A328" i="434"/>
  <c r="B328" i="434" s="1"/>
  <c r="E329" i="434"/>
  <c r="C325" i="434"/>
  <c r="D326" i="434"/>
  <c r="A326" i="433"/>
  <c r="B326" i="433" s="1"/>
  <c r="E327" i="433"/>
  <c r="C326" i="433"/>
  <c r="D327" i="433"/>
  <c r="C499" i="435" l="1"/>
  <c r="B498" i="435"/>
  <c r="D498" i="435" s="1"/>
  <c r="A327" i="433"/>
  <c r="B327" i="433" s="1"/>
  <c r="E328" i="433"/>
  <c r="D327" i="434"/>
  <c r="C326" i="434"/>
  <c r="A329" i="434"/>
  <c r="B329" i="434" s="1"/>
  <c r="E330" i="434"/>
  <c r="C327" i="433"/>
  <c r="D328" i="433"/>
  <c r="C500" i="435" l="1"/>
  <c r="B499" i="435"/>
  <c r="D499" i="435" s="1"/>
  <c r="E331" i="434"/>
  <c r="A330" i="434"/>
  <c r="B330" i="434" s="1"/>
  <c r="C327" i="434"/>
  <c r="D328" i="434"/>
  <c r="A328" i="433"/>
  <c r="B328" i="433" s="1"/>
  <c r="E329" i="433"/>
  <c r="C328" i="433"/>
  <c r="D329" i="433"/>
  <c r="C501" i="435" l="1"/>
  <c r="B500" i="435"/>
  <c r="D500" i="435" s="1"/>
  <c r="C328" i="434"/>
  <c r="D329" i="434"/>
  <c r="A329" i="433"/>
  <c r="B329" i="433" s="1"/>
  <c r="E330" i="433"/>
  <c r="E332" i="434"/>
  <c r="A331" i="434"/>
  <c r="B331" i="434" s="1"/>
  <c r="D330" i="433"/>
  <c r="C329" i="433"/>
  <c r="B501" i="435" l="1"/>
  <c r="D501" i="435" s="1"/>
  <c r="C502" i="435"/>
  <c r="A332" i="434"/>
  <c r="B332" i="434" s="1"/>
  <c r="E333" i="434"/>
  <c r="E331" i="433"/>
  <c r="A330" i="433"/>
  <c r="B330" i="433" s="1"/>
  <c r="D330" i="434"/>
  <c r="C329" i="434"/>
  <c r="C330" i="433"/>
  <c r="D331" i="433"/>
  <c r="B502" i="435" l="1"/>
  <c r="D502" i="435" s="1"/>
  <c r="C503" i="435"/>
  <c r="C330" i="434"/>
  <c r="D331" i="434"/>
  <c r="E332" i="433"/>
  <c r="A331" i="433"/>
  <c r="B331" i="433" s="1"/>
  <c r="E334" i="434"/>
  <c r="A333" i="434"/>
  <c r="B333" i="434" s="1"/>
  <c r="D332" i="433"/>
  <c r="C331" i="433"/>
  <c r="C504" i="435" l="1"/>
  <c r="B503" i="435"/>
  <c r="D503" i="435" s="1"/>
  <c r="E335" i="434"/>
  <c r="A334" i="434"/>
  <c r="B334" i="434" s="1"/>
  <c r="E333" i="433"/>
  <c r="A332" i="433"/>
  <c r="B332" i="433" s="1"/>
  <c r="C331" i="434"/>
  <c r="D332" i="434"/>
  <c r="D333" i="433"/>
  <c r="C332" i="433"/>
  <c r="C505" i="435" l="1"/>
  <c r="B504" i="435"/>
  <c r="D504" i="435" s="1"/>
  <c r="E334" i="433"/>
  <c r="A333" i="433"/>
  <c r="B333" i="433" s="1"/>
  <c r="C332" i="434"/>
  <c r="D333" i="434"/>
  <c r="A335" i="434"/>
  <c r="B335" i="434" s="1"/>
  <c r="E336" i="434"/>
  <c r="C333" i="433"/>
  <c r="D334" i="433"/>
  <c r="B505" i="435" l="1"/>
  <c r="D505" i="435" s="1"/>
  <c r="C506" i="435"/>
  <c r="E337" i="434"/>
  <c r="A336" i="434"/>
  <c r="B336" i="434" s="1"/>
  <c r="C333" i="434"/>
  <c r="D334" i="434"/>
  <c r="E335" i="433"/>
  <c r="A334" i="433"/>
  <c r="B334" i="433" s="1"/>
  <c r="D335" i="433"/>
  <c r="C334" i="433"/>
  <c r="C507" i="435" l="1"/>
  <c r="B506" i="435"/>
  <c r="D506" i="435" s="1"/>
  <c r="E336" i="433"/>
  <c r="A335" i="433"/>
  <c r="B335" i="433" s="1"/>
  <c r="D335" i="434"/>
  <c r="C334" i="434"/>
  <c r="E338" i="434"/>
  <c r="A337" i="434"/>
  <c r="B337" i="434" s="1"/>
  <c r="C335" i="433"/>
  <c r="D336" i="433"/>
  <c r="C508" i="435" l="1"/>
  <c r="B507" i="435"/>
  <c r="D507" i="435" s="1"/>
  <c r="E337" i="433"/>
  <c r="A336" i="433"/>
  <c r="B336" i="433" s="1"/>
  <c r="A338" i="434"/>
  <c r="B338" i="434" s="1"/>
  <c r="E339" i="434"/>
  <c r="C335" i="434"/>
  <c r="D336" i="434"/>
  <c r="C336" i="433"/>
  <c r="D337" i="433"/>
  <c r="C509" i="435" l="1"/>
  <c r="B508" i="435"/>
  <c r="D508" i="435" s="1"/>
  <c r="E338" i="433"/>
  <c r="A337" i="433"/>
  <c r="B337" i="433" s="1"/>
  <c r="D337" i="434"/>
  <c r="C336" i="434"/>
  <c r="A339" i="434"/>
  <c r="B339" i="434" s="1"/>
  <c r="E340" i="434"/>
  <c r="D338" i="433"/>
  <c r="C337" i="433"/>
  <c r="B509" i="435" l="1"/>
  <c r="D509" i="435" s="1"/>
  <c r="C510" i="435"/>
  <c r="E339" i="433"/>
  <c r="A338" i="433"/>
  <c r="B338" i="433" s="1"/>
  <c r="A340" i="434"/>
  <c r="B340" i="434" s="1"/>
  <c r="E341" i="434"/>
  <c r="C337" i="434"/>
  <c r="D338" i="434"/>
  <c r="D339" i="433"/>
  <c r="C338" i="433"/>
  <c r="B510" i="435" l="1"/>
  <c r="D510" i="435" s="1"/>
  <c r="C511" i="435"/>
  <c r="E340" i="433"/>
  <c r="A339" i="433"/>
  <c r="B339" i="433" s="1"/>
  <c r="C338" i="434"/>
  <c r="D339" i="434"/>
  <c r="E342" i="434"/>
  <c r="A341" i="434"/>
  <c r="B341" i="434" s="1"/>
  <c r="D340" i="433"/>
  <c r="C339" i="433"/>
  <c r="C512" i="435" l="1"/>
  <c r="B511" i="435"/>
  <c r="D511" i="435" s="1"/>
  <c r="A340" i="433"/>
  <c r="B340" i="433" s="1"/>
  <c r="E341" i="433"/>
  <c r="A342" i="434"/>
  <c r="B342" i="434" s="1"/>
  <c r="E343" i="434"/>
  <c r="C339" i="434"/>
  <c r="D340" i="434"/>
  <c r="C340" i="433"/>
  <c r="D341" i="433"/>
  <c r="C513" i="435" l="1"/>
  <c r="B512" i="435"/>
  <c r="D512" i="435" s="1"/>
  <c r="C340" i="434"/>
  <c r="D341" i="434"/>
  <c r="A343" i="434"/>
  <c r="B343" i="434" s="1"/>
  <c r="E344" i="434"/>
  <c r="A341" i="433"/>
  <c r="B341" i="433" s="1"/>
  <c r="E342" i="433"/>
  <c r="D342" i="433"/>
  <c r="C341" i="433"/>
  <c r="B513" i="435" l="1"/>
  <c r="D513" i="435" s="1"/>
  <c r="C514" i="435"/>
  <c r="A342" i="433"/>
  <c r="B342" i="433" s="1"/>
  <c r="E343" i="433"/>
  <c r="E345" i="434"/>
  <c r="A344" i="434"/>
  <c r="B344" i="434" s="1"/>
  <c r="C341" i="434"/>
  <c r="D342" i="434"/>
  <c r="D343" i="433"/>
  <c r="C342" i="433"/>
  <c r="C515" i="435" l="1"/>
  <c r="B514" i="435"/>
  <c r="D514" i="435" s="1"/>
  <c r="C342" i="434"/>
  <c r="D343" i="434"/>
  <c r="A345" i="434"/>
  <c r="B345" i="434" s="1"/>
  <c r="E346" i="434"/>
  <c r="E344" i="433"/>
  <c r="A343" i="433"/>
  <c r="B343" i="433" s="1"/>
  <c r="C343" i="433"/>
  <c r="D344" i="433"/>
  <c r="C516" i="435" l="1"/>
  <c r="B515" i="435"/>
  <c r="D515" i="435" s="1"/>
  <c r="A344" i="433"/>
  <c r="B344" i="433" s="1"/>
  <c r="E345" i="433"/>
  <c r="E347" i="434"/>
  <c r="A346" i="434"/>
  <c r="B346" i="434" s="1"/>
  <c r="D344" i="434"/>
  <c r="C343" i="434"/>
  <c r="C344" i="433"/>
  <c r="D345" i="433"/>
  <c r="B516" i="435" l="1"/>
  <c r="D516" i="435" s="1"/>
  <c r="C517" i="435"/>
  <c r="D345" i="434"/>
  <c r="C344" i="434"/>
  <c r="E348" i="434"/>
  <c r="A347" i="434"/>
  <c r="B347" i="434" s="1"/>
  <c r="E346" i="433"/>
  <c r="A345" i="433"/>
  <c r="B345" i="433" s="1"/>
  <c r="C345" i="433"/>
  <c r="D346" i="433"/>
  <c r="B517" i="435" l="1"/>
  <c r="D517" i="435" s="1"/>
  <c r="C518" i="435"/>
  <c r="E347" i="433"/>
  <c r="A346" i="433"/>
  <c r="B346" i="433" s="1"/>
  <c r="A348" i="434"/>
  <c r="B348" i="434" s="1"/>
  <c r="E349" i="434"/>
  <c r="D346" i="434"/>
  <c r="C345" i="434"/>
  <c r="C346" i="433"/>
  <c r="D347" i="433"/>
  <c r="B518" i="435" l="1"/>
  <c r="D518" i="435" s="1"/>
  <c r="C519" i="435"/>
  <c r="C346" i="434"/>
  <c r="D347" i="434"/>
  <c r="E350" i="434"/>
  <c r="A349" i="434"/>
  <c r="B349" i="434" s="1"/>
  <c r="E348" i="433"/>
  <c r="A347" i="433"/>
  <c r="B347" i="433" s="1"/>
  <c r="D348" i="433"/>
  <c r="C347" i="433"/>
  <c r="B519" i="435" l="1"/>
  <c r="D519" i="435" s="1"/>
  <c r="C520" i="435"/>
  <c r="E349" i="433"/>
  <c r="A348" i="433"/>
  <c r="B348" i="433" s="1"/>
  <c r="E351" i="434"/>
  <c r="A350" i="434"/>
  <c r="B350" i="434" s="1"/>
  <c r="D348" i="434"/>
  <c r="C347" i="434"/>
  <c r="C348" i="433"/>
  <c r="D349" i="433"/>
  <c r="C521" i="435" l="1"/>
  <c r="B520" i="435"/>
  <c r="D520" i="435" s="1"/>
  <c r="C348" i="434"/>
  <c r="D349" i="434"/>
  <c r="A351" i="434"/>
  <c r="B351" i="434" s="1"/>
  <c r="E352" i="434"/>
  <c r="A349" i="433"/>
  <c r="B349" i="433" s="1"/>
  <c r="E350" i="433"/>
  <c r="D350" i="433"/>
  <c r="C349" i="433"/>
  <c r="B521" i="435" l="1"/>
  <c r="D521" i="435" s="1"/>
  <c r="C522" i="435"/>
  <c r="A350" i="433"/>
  <c r="B350" i="433" s="1"/>
  <c r="E351" i="433"/>
  <c r="A352" i="434"/>
  <c r="B352" i="434" s="1"/>
  <c r="E353" i="434"/>
  <c r="D350" i="434"/>
  <c r="C349" i="434"/>
  <c r="D351" i="433"/>
  <c r="C350" i="433"/>
  <c r="C523" i="435" l="1"/>
  <c r="B522" i="435"/>
  <c r="D522" i="435" s="1"/>
  <c r="D351" i="434"/>
  <c r="C350" i="434"/>
  <c r="E354" i="434"/>
  <c r="A353" i="434"/>
  <c r="B353" i="434" s="1"/>
  <c r="A351" i="433"/>
  <c r="B351" i="433" s="1"/>
  <c r="E352" i="433"/>
  <c r="D352" i="433"/>
  <c r="C351" i="433"/>
  <c r="C524" i="435" l="1"/>
  <c r="B523" i="435"/>
  <c r="D523" i="435" s="1"/>
  <c r="E353" i="433"/>
  <c r="A352" i="433"/>
  <c r="B352" i="433" s="1"/>
  <c r="A354" i="434"/>
  <c r="B354" i="434" s="1"/>
  <c r="E355" i="434"/>
  <c r="D352" i="434"/>
  <c r="C351" i="434"/>
  <c r="D353" i="433"/>
  <c r="C352" i="433"/>
  <c r="B524" i="435" l="1"/>
  <c r="D524" i="435" s="1"/>
  <c r="C525" i="435"/>
  <c r="D353" i="434"/>
  <c r="C352" i="434"/>
  <c r="A355" i="434"/>
  <c r="B355" i="434" s="1"/>
  <c r="E356" i="434"/>
  <c r="A353" i="433"/>
  <c r="B353" i="433" s="1"/>
  <c r="E354" i="433"/>
  <c r="C353" i="433"/>
  <c r="D354" i="433"/>
  <c r="C526" i="435" l="1"/>
  <c r="B525" i="435"/>
  <c r="D525" i="435" s="1"/>
  <c r="E355" i="433"/>
  <c r="A354" i="433"/>
  <c r="B354" i="433" s="1"/>
  <c r="E357" i="434"/>
  <c r="A356" i="434"/>
  <c r="B356" i="434" s="1"/>
  <c r="D354" i="434"/>
  <c r="C353" i="434"/>
  <c r="D355" i="433"/>
  <c r="C354" i="433"/>
  <c r="B526" i="435" l="1"/>
  <c r="D526" i="435" s="1"/>
  <c r="C527" i="435"/>
  <c r="C354" i="434"/>
  <c r="D355" i="434"/>
  <c r="A357" i="434"/>
  <c r="B357" i="434" s="1"/>
  <c r="E358" i="434"/>
  <c r="E356" i="433"/>
  <c r="A355" i="433"/>
  <c r="B355" i="433" s="1"/>
  <c r="C355" i="433"/>
  <c r="D356" i="433"/>
  <c r="B527" i="435" l="1"/>
  <c r="D527" i="435" s="1"/>
  <c r="C528" i="435"/>
  <c r="A356" i="433"/>
  <c r="B356" i="433" s="1"/>
  <c r="E357" i="433"/>
  <c r="E359" i="434"/>
  <c r="A358" i="434"/>
  <c r="B358" i="434" s="1"/>
  <c r="D356" i="434"/>
  <c r="C355" i="434"/>
  <c r="D357" i="433"/>
  <c r="C356" i="433"/>
  <c r="C529" i="435" l="1"/>
  <c r="B528" i="435"/>
  <c r="D528" i="435" s="1"/>
  <c r="C356" i="434"/>
  <c r="D357" i="434"/>
  <c r="A359" i="434"/>
  <c r="B359" i="434" s="1"/>
  <c r="E360" i="434"/>
  <c r="A357" i="433"/>
  <c r="B357" i="433" s="1"/>
  <c r="E358" i="433"/>
  <c r="D358" i="433"/>
  <c r="C357" i="433"/>
  <c r="B529" i="435" l="1"/>
  <c r="D529" i="435" s="1"/>
  <c r="C530" i="435"/>
  <c r="E359" i="433"/>
  <c r="A358" i="433"/>
  <c r="B358" i="433" s="1"/>
  <c r="E361" i="434"/>
  <c r="A360" i="434"/>
  <c r="B360" i="434" s="1"/>
  <c r="D358" i="434"/>
  <c r="C357" i="434"/>
  <c r="D359" i="433"/>
  <c r="C358" i="433"/>
  <c r="C531" i="435" l="1"/>
  <c r="B530" i="435"/>
  <c r="D530" i="435" s="1"/>
  <c r="D359" i="434"/>
  <c r="C358" i="434"/>
  <c r="A361" i="434"/>
  <c r="B361" i="434" s="1"/>
  <c r="E362" i="434"/>
  <c r="E360" i="433"/>
  <c r="A359" i="433"/>
  <c r="B359" i="433" s="1"/>
  <c r="C359" i="433"/>
  <c r="D360" i="433"/>
  <c r="C532" i="435" l="1"/>
  <c r="B531" i="435"/>
  <c r="D531" i="435" s="1"/>
  <c r="E361" i="433"/>
  <c r="A360" i="433"/>
  <c r="B360" i="433" s="1"/>
  <c r="A362" i="434"/>
  <c r="B362" i="434" s="1"/>
  <c r="E363" i="434"/>
  <c r="D360" i="434"/>
  <c r="C359" i="434"/>
  <c r="D361" i="433"/>
  <c r="C360" i="433"/>
  <c r="B532" i="435" l="1"/>
  <c r="D532" i="435" s="1"/>
  <c r="C533" i="435"/>
  <c r="C360" i="434"/>
  <c r="D361" i="434"/>
  <c r="A363" i="434"/>
  <c r="B363" i="434" s="1"/>
  <c r="E364" i="434"/>
  <c r="A361" i="433"/>
  <c r="B361" i="433" s="1"/>
  <c r="E362" i="433"/>
  <c r="C361" i="433"/>
  <c r="D362" i="433"/>
  <c r="C534" i="435" l="1"/>
  <c r="B533" i="435"/>
  <c r="D533" i="435" s="1"/>
  <c r="E363" i="433"/>
  <c r="A362" i="433"/>
  <c r="B362" i="433" s="1"/>
  <c r="E365" i="434"/>
  <c r="A364" i="434"/>
  <c r="B364" i="434" s="1"/>
  <c r="C361" i="434"/>
  <c r="D362" i="434"/>
  <c r="D363" i="433"/>
  <c r="C362" i="433"/>
  <c r="B534" i="435" l="1"/>
  <c r="D534" i="435" s="1"/>
  <c r="C535" i="435"/>
  <c r="C362" i="434"/>
  <c r="D363" i="434"/>
  <c r="A365" i="434"/>
  <c r="B365" i="434" s="1"/>
  <c r="E366" i="434"/>
  <c r="E364" i="433"/>
  <c r="A363" i="433"/>
  <c r="B363" i="433" s="1"/>
  <c r="C363" i="433"/>
  <c r="D364" i="433"/>
  <c r="B535" i="435" l="1"/>
  <c r="D535" i="435" s="1"/>
  <c r="C536" i="435"/>
  <c r="E365" i="433"/>
  <c r="A364" i="433"/>
  <c r="B364" i="433" s="1"/>
  <c r="A366" i="434"/>
  <c r="B366" i="434" s="1"/>
  <c r="E367" i="434"/>
  <c r="D364" i="434"/>
  <c r="C363" i="434"/>
  <c r="D365" i="433"/>
  <c r="C364" i="433"/>
  <c r="C537" i="435" l="1"/>
  <c r="B536" i="435"/>
  <c r="D536" i="435" s="1"/>
  <c r="C364" i="434"/>
  <c r="D365" i="434"/>
  <c r="A367" i="434"/>
  <c r="B367" i="434" s="1"/>
  <c r="E368" i="434"/>
  <c r="A365" i="433"/>
  <c r="B365" i="433" s="1"/>
  <c r="E366" i="433"/>
  <c r="C365" i="433"/>
  <c r="D366" i="433"/>
  <c r="B537" i="435" l="1"/>
  <c r="D537" i="435" s="1"/>
  <c r="C538" i="435"/>
  <c r="E367" i="433"/>
  <c r="A366" i="433"/>
  <c r="B366" i="433" s="1"/>
  <c r="A368" i="434"/>
  <c r="B368" i="434" s="1"/>
  <c r="E369" i="434"/>
  <c r="D366" i="434"/>
  <c r="C365" i="434"/>
  <c r="D367" i="433"/>
  <c r="C366" i="433"/>
  <c r="C539" i="435" l="1"/>
  <c r="B538" i="435"/>
  <c r="D538" i="435" s="1"/>
  <c r="C366" i="434"/>
  <c r="D367" i="434"/>
  <c r="E370" i="434"/>
  <c r="A369" i="434"/>
  <c r="B369" i="434" s="1"/>
  <c r="A367" i="433"/>
  <c r="B367" i="433" s="1"/>
  <c r="E368" i="433"/>
  <c r="D368" i="433"/>
  <c r="C367" i="433"/>
  <c r="C540" i="435" l="1"/>
  <c r="B539" i="435"/>
  <c r="D539" i="435" s="1"/>
  <c r="E369" i="433"/>
  <c r="A368" i="433"/>
  <c r="B368" i="433" s="1"/>
  <c r="E371" i="434"/>
  <c r="A370" i="434"/>
  <c r="B370" i="434" s="1"/>
  <c r="C367" i="434"/>
  <c r="D368" i="434"/>
  <c r="D369" i="433"/>
  <c r="C368" i="433"/>
  <c r="B540" i="435" l="1"/>
  <c r="D540" i="435" s="1"/>
  <c r="C541" i="435"/>
  <c r="C368" i="434"/>
  <c r="D369" i="434"/>
  <c r="A371" i="434"/>
  <c r="B371" i="434" s="1"/>
  <c r="E372" i="434"/>
  <c r="E370" i="433"/>
  <c r="A369" i="433"/>
  <c r="B369" i="433" s="1"/>
  <c r="C369" i="433"/>
  <c r="D370" i="433"/>
  <c r="C542" i="435" l="1"/>
  <c r="B541" i="435"/>
  <c r="D541" i="435" s="1"/>
  <c r="E371" i="433"/>
  <c r="A370" i="433"/>
  <c r="B370" i="433" s="1"/>
  <c r="E373" i="434"/>
  <c r="A372" i="434"/>
  <c r="B372" i="434" s="1"/>
  <c r="C369" i="434"/>
  <c r="D370" i="434"/>
  <c r="D371" i="433"/>
  <c r="C370" i="433"/>
  <c r="B542" i="435" l="1"/>
  <c r="D542" i="435" s="1"/>
  <c r="C543" i="435"/>
  <c r="C370" i="434"/>
  <c r="D371" i="434"/>
  <c r="E374" i="434"/>
  <c r="A373" i="434"/>
  <c r="B373" i="434" s="1"/>
  <c r="A371" i="433"/>
  <c r="B371" i="433" s="1"/>
  <c r="E372" i="433"/>
  <c r="C371" i="433"/>
  <c r="D372" i="433"/>
  <c r="C544" i="435" l="1"/>
  <c r="B543" i="435"/>
  <c r="D543" i="435" s="1"/>
  <c r="E373" i="433"/>
  <c r="A372" i="433"/>
  <c r="B372" i="433" s="1"/>
  <c r="A374" i="434"/>
  <c r="B374" i="434" s="1"/>
  <c r="E375" i="434"/>
  <c r="C371" i="434"/>
  <c r="D372" i="434"/>
  <c r="D373" i="433"/>
  <c r="C372" i="433"/>
  <c r="C545" i="435" l="1"/>
  <c r="B544" i="435"/>
  <c r="D544" i="435" s="1"/>
  <c r="D373" i="434"/>
  <c r="C372" i="434"/>
  <c r="E376" i="434"/>
  <c r="A375" i="434"/>
  <c r="B375" i="434" s="1"/>
  <c r="E374" i="433"/>
  <c r="A373" i="433"/>
  <c r="B373" i="433" s="1"/>
  <c r="C373" i="433"/>
  <c r="D374" i="433"/>
  <c r="B545" i="435" l="1"/>
  <c r="D545" i="435" s="1"/>
  <c r="C546" i="435"/>
  <c r="A374" i="433"/>
  <c r="B374" i="433" s="1"/>
  <c r="E375" i="433"/>
  <c r="E377" i="434"/>
  <c r="A376" i="434"/>
  <c r="B376" i="434" s="1"/>
  <c r="C373" i="434"/>
  <c r="D374" i="434"/>
  <c r="C374" i="433"/>
  <c r="D375" i="433"/>
  <c r="C547" i="435" l="1"/>
  <c r="B546" i="435"/>
  <c r="D546" i="435" s="1"/>
  <c r="C374" i="434"/>
  <c r="D375" i="434"/>
  <c r="A377" i="434"/>
  <c r="B377" i="434" s="1"/>
  <c r="E378" i="434"/>
  <c r="E376" i="433"/>
  <c r="A375" i="433"/>
  <c r="B375" i="433" s="1"/>
  <c r="D376" i="433"/>
  <c r="C375" i="433"/>
  <c r="C548" i="435" l="1"/>
  <c r="B547" i="435"/>
  <c r="D547" i="435" s="1"/>
  <c r="E379" i="434"/>
  <c r="A378" i="434"/>
  <c r="B378" i="434" s="1"/>
  <c r="E377" i="433"/>
  <c r="A376" i="433"/>
  <c r="B376" i="433" s="1"/>
  <c r="D376" i="434"/>
  <c r="C375" i="434"/>
  <c r="D377" i="433"/>
  <c r="C376" i="433"/>
  <c r="B548" i="435" l="1"/>
  <c r="D548" i="435" s="1"/>
  <c r="C549" i="435"/>
  <c r="D377" i="434"/>
  <c r="C376" i="434"/>
  <c r="A377" i="433"/>
  <c r="B377" i="433" s="1"/>
  <c r="E378" i="433"/>
  <c r="E380" i="434"/>
  <c r="A379" i="434"/>
  <c r="B379" i="434" s="1"/>
  <c r="D378" i="433"/>
  <c r="C377" i="433"/>
  <c r="C550" i="435" l="1"/>
  <c r="B549" i="435"/>
  <c r="D549" i="435" s="1"/>
  <c r="A378" i="433"/>
  <c r="B378" i="433" s="1"/>
  <c r="E379" i="433"/>
  <c r="A380" i="434"/>
  <c r="B380" i="434" s="1"/>
  <c r="E381" i="434"/>
  <c r="C377" i="434"/>
  <c r="D378" i="434"/>
  <c r="C378" i="433"/>
  <c r="D379" i="433"/>
  <c r="B550" i="435" l="1"/>
  <c r="D550" i="435" s="1"/>
  <c r="C551" i="435"/>
  <c r="A381" i="434"/>
  <c r="B381" i="434" s="1"/>
  <c r="E382" i="434"/>
  <c r="A379" i="433"/>
  <c r="B379" i="433" s="1"/>
  <c r="E380" i="433"/>
  <c r="C378" i="434"/>
  <c r="D379" i="434"/>
  <c r="C379" i="433"/>
  <c r="D380" i="433"/>
  <c r="C552" i="435" l="1"/>
  <c r="B551" i="435"/>
  <c r="D551" i="435" s="1"/>
  <c r="C379" i="434"/>
  <c r="D380" i="434"/>
  <c r="E381" i="433"/>
  <c r="A380" i="433"/>
  <c r="B380" i="433" s="1"/>
  <c r="A382" i="434"/>
  <c r="B382" i="434" s="1"/>
  <c r="E383" i="434"/>
  <c r="C380" i="433"/>
  <c r="D381" i="433"/>
  <c r="C553" i="435" l="1"/>
  <c r="B552" i="435"/>
  <c r="D552" i="435" s="1"/>
  <c r="E384" i="434"/>
  <c r="A383" i="434"/>
  <c r="B383" i="434" s="1"/>
  <c r="E382" i="433"/>
  <c r="A381" i="433"/>
  <c r="B381" i="433" s="1"/>
  <c r="D381" i="434"/>
  <c r="C380" i="434"/>
  <c r="D382" i="433"/>
  <c r="C381" i="433"/>
  <c r="B553" i="435" l="1"/>
  <c r="D553" i="435" s="1"/>
  <c r="C554" i="435"/>
  <c r="B554" i="435" s="1"/>
  <c r="D554" i="435" s="1"/>
  <c r="D382" i="434"/>
  <c r="C381" i="434"/>
  <c r="E383" i="433"/>
  <c r="A382" i="433"/>
  <c r="B382" i="433" s="1"/>
  <c r="A384" i="434"/>
  <c r="B384" i="434" s="1"/>
  <c r="E385" i="434"/>
  <c r="D383" i="433"/>
  <c r="C382" i="433"/>
  <c r="BX6" i="435" l="1"/>
  <c r="BZ6" i="435"/>
  <c r="CQ16" i="435" s="1"/>
  <c r="BY6" i="435"/>
  <c r="CP16" i="435" s="1"/>
  <c r="CA6" i="435"/>
  <c r="CR16" i="435" s="1"/>
  <c r="I6" i="435"/>
  <c r="I16" i="435" s="1"/>
  <c r="BP275" i="431" s="1"/>
  <c r="J6" i="435"/>
  <c r="J16" i="435" s="1"/>
  <c r="BQ275" i="431" s="1"/>
  <c r="M6" i="435"/>
  <c r="N16" i="435" s="1"/>
  <c r="BU275" i="431" s="1"/>
  <c r="H6" i="435"/>
  <c r="O6" i="435"/>
  <c r="P16" i="435" s="1"/>
  <c r="BW275" i="431" s="1"/>
  <c r="K6" i="435"/>
  <c r="K16" i="435" s="1"/>
  <c r="BR275" i="431" s="1"/>
  <c r="L6" i="435"/>
  <c r="P6" i="435"/>
  <c r="N6" i="435"/>
  <c r="O16" i="435" s="1"/>
  <c r="BV275" i="431" s="1"/>
  <c r="T6" i="435"/>
  <c r="R6" i="435"/>
  <c r="T16" i="435" s="1"/>
  <c r="CA275" i="431" s="1"/>
  <c r="S6" i="435"/>
  <c r="U16" i="435" s="1"/>
  <c r="CB275" i="431" s="1"/>
  <c r="Q6" i="435"/>
  <c r="S16" i="435" s="1"/>
  <c r="BZ275" i="431" s="1"/>
  <c r="V6" i="435"/>
  <c r="Y16" i="435" s="1"/>
  <c r="CF275" i="431" s="1"/>
  <c r="U6" i="435"/>
  <c r="X16" i="435" s="1"/>
  <c r="CE275" i="431" s="1"/>
  <c r="W6" i="435"/>
  <c r="Z16" i="435" s="1"/>
  <c r="CG275" i="431" s="1"/>
  <c r="X6" i="435"/>
  <c r="AA6" i="435"/>
  <c r="AE16" i="435" s="1"/>
  <c r="CL275" i="431" s="1"/>
  <c r="AB6" i="435"/>
  <c r="Z6" i="435"/>
  <c r="AD16" i="435" s="1"/>
  <c r="CK275" i="431" s="1"/>
  <c r="Y6" i="435"/>
  <c r="AC16" i="435" s="1"/>
  <c r="CJ275" i="431" s="1"/>
  <c r="AC6" i="435"/>
  <c r="AH16" i="435" s="1"/>
  <c r="CO275" i="431" s="1"/>
  <c r="AD6" i="435"/>
  <c r="AI16" i="435" s="1"/>
  <c r="CP275" i="431" s="1"/>
  <c r="AF6" i="435"/>
  <c r="AE6" i="435"/>
  <c r="AJ16" i="435" s="1"/>
  <c r="CQ275" i="431" s="1"/>
  <c r="AG6" i="435"/>
  <c r="AM16" i="435" s="1"/>
  <c r="CT275" i="431" s="1"/>
  <c r="AH6" i="435"/>
  <c r="AN16" i="435" s="1"/>
  <c r="CU275" i="431" s="1"/>
  <c r="AJ6" i="435"/>
  <c r="AI6" i="435"/>
  <c r="AO16" i="435" s="1"/>
  <c r="CV275" i="431" s="1"/>
  <c r="AK6" i="435"/>
  <c r="AR16" i="435" s="1"/>
  <c r="CY275" i="431" s="1"/>
  <c r="AL6" i="435"/>
  <c r="AS16" i="435" s="1"/>
  <c r="CZ275" i="431" s="1"/>
  <c r="AN6" i="435"/>
  <c r="AM6" i="435"/>
  <c r="AT16" i="435" s="1"/>
  <c r="DA275" i="431" s="1"/>
  <c r="AO6" i="435"/>
  <c r="AW16" i="435" s="1"/>
  <c r="DD275" i="431" s="1"/>
  <c r="AP6" i="435"/>
  <c r="AX16" i="435" s="1"/>
  <c r="DE275" i="431" s="1"/>
  <c r="AV6" i="435"/>
  <c r="AQ6" i="435"/>
  <c r="AY16" i="435" s="1"/>
  <c r="DF275" i="431" s="1"/>
  <c r="BA6" i="435"/>
  <c r="BL16" i="435" s="1"/>
  <c r="DS275" i="431" s="1"/>
  <c r="AR6" i="435"/>
  <c r="AS6" i="435"/>
  <c r="BB16" i="435" s="1"/>
  <c r="DI275" i="431" s="1"/>
  <c r="BD6" i="435"/>
  <c r="BE6" i="435"/>
  <c r="BQ16" i="435" s="1"/>
  <c r="DX275" i="431" s="1"/>
  <c r="AT6" i="435"/>
  <c r="BC16" i="435" s="1"/>
  <c r="DJ275" i="431" s="1"/>
  <c r="AZ6" i="435"/>
  <c r="BF6" i="435"/>
  <c r="BR16" i="435" s="1"/>
  <c r="DY275" i="431" s="1"/>
  <c r="BB6" i="435"/>
  <c r="BM16" i="435" s="1"/>
  <c r="DT275" i="431" s="1"/>
  <c r="AW6" i="435"/>
  <c r="BG16" i="435" s="1"/>
  <c r="DN275" i="431" s="1"/>
  <c r="BH6" i="435"/>
  <c r="BT6" i="435"/>
  <c r="CJ16" i="435" s="1"/>
  <c r="EQ275" i="431" s="1"/>
  <c r="FM275" i="431" s="1"/>
  <c r="BQ6" i="435"/>
  <c r="CF16" i="435" s="1"/>
  <c r="EM275" i="431" s="1"/>
  <c r="AY6" i="435"/>
  <c r="BI16" i="435" s="1"/>
  <c r="DP275" i="431" s="1"/>
  <c r="BC6" i="435"/>
  <c r="BN16" i="435" s="1"/>
  <c r="DU275" i="431" s="1"/>
  <c r="BM6" i="435"/>
  <c r="CA16" i="435" s="1"/>
  <c r="EH275" i="431" s="1"/>
  <c r="BP6" i="435"/>
  <c r="BL6" i="435"/>
  <c r="BJ6" i="435"/>
  <c r="BW16" i="435" s="1"/>
  <c r="ED275" i="431" s="1"/>
  <c r="BG6" i="435"/>
  <c r="BS16" i="435" s="1"/>
  <c r="DZ275" i="431" s="1"/>
  <c r="AU6" i="435"/>
  <c r="BD16" i="435" s="1"/>
  <c r="DK275" i="431" s="1"/>
  <c r="AX6" i="435"/>
  <c r="BH16" i="435" s="1"/>
  <c r="DO275" i="431" s="1"/>
  <c r="BI6" i="435"/>
  <c r="BV16" i="435" s="1"/>
  <c r="EC275" i="431" s="1"/>
  <c r="BN6" i="435"/>
  <c r="CB16" i="435" s="1"/>
  <c r="EI275" i="431" s="1"/>
  <c r="BU6" i="435"/>
  <c r="CK16" i="435" s="1"/>
  <c r="ER275" i="431" s="1"/>
  <c r="BS6" i="435"/>
  <c r="CH16" i="435" s="1"/>
  <c r="EO275" i="431" s="1"/>
  <c r="BR6" i="435"/>
  <c r="CG16" i="435" s="1"/>
  <c r="EN275" i="431" s="1"/>
  <c r="BO6" i="435"/>
  <c r="CC16" i="435" s="1"/>
  <c r="EJ275" i="431" s="1"/>
  <c r="BK6" i="435"/>
  <c r="BX16" i="435" s="1"/>
  <c r="EE275" i="431" s="1"/>
  <c r="BV6" i="435"/>
  <c r="CL16" i="435" s="1"/>
  <c r="BW6" i="435"/>
  <c r="CM16" i="435" s="1"/>
  <c r="E386" i="434"/>
  <c r="A385" i="434"/>
  <c r="B385" i="434" s="1"/>
  <c r="E384" i="433"/>
  <c r="A383" i="433"/>
  <c r="B383" i="433" s="1"/>
  <c r="D383" i="434"/>
  <c r="C382" i="434"/>
  <c r="D384" i="433"/>
  <c r="C383" i="433"/>
  <c r="ER277" i="431" l="1"/>
  <c r="ER276" i="431"/>
  <c r="EQ276" i="431"/>
  <c r="FM276" i="431" s="1"/>
  <c r="EO276" i="431"/>
  <c r="EO277" i="431"/>
  <c r="EN276" i="431"/>
  <c r="EN277" i="431"/>
  <c r="EM277" i="431"/>
  <c r="CO16" i="435"/>
  <c r="Y11" i="435"/>
  <c r="CS16" i="435" s="1"/>
  <c r="BR276" i="431"/>
  <c r="BV276" i="431"/>
  <c r="X11" i="435"/>
  <c r="CN16" i="435" s="1"/>
  <c r="ED277" i="431"/>
  <c r="ED276" i="431"/>
  <c r="AV16" i="435"/>
  <c r="DC275" i="431" s="1"/>
  <c r="DD276" i="431" s="1"/>
  <c r="P11" i="435"/>
  <c r="AZ16" i="435" s="1"/>
  <c r="DG275" i="431" s="1"/>
  <c r="R16" i="435"/>
  <c r="BY275" i="431" s="1"/>
  <c r="BZ276" i="431" s="1"/>
  <c r="J11" i="435"/>
  <c r="V16" i="435" s="1"/>
  <c r="CC275" i="431" s="1"/>
  <c r="DN277" i="431"/>
  <c r="CP277" i="431"/>
  <c r="CP276" i="431"/>
  <c r="DS277" i="431"/>
  <c r="CF277" i="431"/>
  <c r="CF276" i="431"/>
  <c r="EH277" i="431"/>
  <c r="CV277" i="431"/>
  <c r="CV276" i="431"/>
  <c r="BW276" i="431"/>
  <c r="BW277" i="431"/>
  <c r="DU277" i="431"/>
  <c r="DU276" i="431"/>
  <c r="AQ16" i="435"/>
  <c r="CX275" i="431" s="1"/>
  <c r="CY276" i="431" s="1"/>
  <c r="O11" i="435"/>
  <c r="AU16" i="435" s="1"/>
  <c r="DB275" i="431" s="1"/>
  <c r="H16" i="435"/>
  <c r="BO275" i="431" s="1"/>
  <c r="BP276" i="431" s="1"/>
  <c r="H11" i="435"/>
  <c r="L16" i="435" s="1"/>
  <c r="BS275" i="431" s="1"/>
  <c r="DO277" i="431"/>
  <c r="DO276" i="431"/>
  <c r="DP277" i="431"/>
  <c r="DP276" i="431"/>
  <c r="DJ277" i="431"/>
  <c r="DJ276" i="431"/>
  <c r="DE277" i="431"/>
  <c r="DE276" i="431"/>
  <c r="CU277" i="431"/>
  <c r="CU276" i="431"/>
  <c r="AG16" i="435"/>
  <c r="CN275" i="431" s="1"/>
  <c r="CO276" i="431" s="1"/>
  <c r="M11" i="435"/>
  <c r="AK16" i="435" s="1"/>
  <c r="CR275" i="431" s="1"/>
  <c r="CA277" i="431"/>
  <c r="CA276" i="431"/>
  <c r="BU277" i="431"/>
  <c r="BU16" i="435"/>
  <c r="EB275" i="431" s="1"/>
  <c r="EC276" i="431" s="1"/>
  <c r="U11" i="435"/>
  <c r="BY16" i="435" s="1"/>
  <c r="AL16" i="435"/>
  <c r="CS275" i="431" s="1"/>
  <c r="CT276" i="431" s="1"/>
  <c r="N11" i="435"/>
  <c r="AP16" i="435" s="1"/>
  <c r="CW275" i="431" s="1"/>
  <c r="BA16" i="435"/>
  <c r="DH275" i="431" s="1"/>
  <c r="DI276" i="431" s="1"/>
  <c r="Q11" i="435"/>
  <c r="BE16" i="435" s="1"/>
  <c r="DL275" i="431" s="1"/>
  <c r="CE277" i="431"/>
  <c r="DT277" i="431"/>
  <c r="DT276" i="431"/>
  <c r="CO277" i="431"/>
  <c r="EI277" i="431"/>
  <c r="EI276" i="431"/>
  <c r="DF277" i="431"/>
  <c r="DF276" i="431"/>
  <c r="BZ277" i="431"/>
  <c r="BK16" i="435"/>
  <c r="DR275" i="431" s="1"/>
  <c r="S11" i="435"/>
  <c r="BO16" i="435" s="1"/>
  <c r="CK277" i="431"/>
  <c r="CK276" i="431"/>
  <c r="EE277" i="431"/>
  <c r="EE276" i="431"/>
  <c r="DK277" i="431"/>
  <c r="DK276" i="431"/>
  <c r="DX277" i="431"/>
  <c r="DD277" i="431"/>
  <c r="CT277" i="431"/>
  <c r="CL277" i="431"/>
  <c r="CL276" i="431"/>
  <c r="W16" i="435"/>
  <c r="CD275" i="431" s="1"/>
  <c r="CE276" i="431" s="1"/>
  <c r="K11" i="435"/>
  <c r="AA16" i="435" s="1"/>
  <c r="CH275" i="431" s="1"/>
  <c r="BV277" i="431"/>
  <c r="BQ276" i="431"/>
  <c r="DI277" i="431"/>
  <c r="CG277" i="431"/>
  <c r="CG276" i="431"/>
  <c r="BZ16" i="435"/>
  <c r="EG275" i="431" s="1"/>
  <c r="EH276" i="431" s="1"/>
  <c r="V11" i="435"/>
  <c r="CD16" i="435" s="1"/>
  <c r="CZ277" i="431"/>
  <c r="CZ276" i="431"/>
  <c r="M16" i="435"/>
  <c r="BT275" i="431" s="1"/>
  <c r="I11" i="435"/>
  <c r="Q16" i="435" s="1"/>
  <c r="BX275" i="431" s="1"/>
  <c r="CE16" i="435"/>
  <c r="EL275" i="431" s="1"/>
  <c r="W11" i="435"/>
  <c r="CI16" i="435" s="1"/>
  <c r="CY277" i="431"/>
  <c r="DY277" i="431"/>
  <c r="DY276" i="431"/>
  <c r="CJ277" i="431"/>
  <c r="EC277" i="431"/>
  <c r="BF16" i="435"/>
  <c r="DM275" i="431" s="1"/>
  <c r="DN276" i="431" s="1"/>
  <c r="R11" i="435"/>
  <c r="BJ16" i="435" s="1"/>
  <c r="CB277" i="431"/>
  <c r="CB276" i="431"/>
  <c r="EJ277" i="431"/>
  <c r="EJ276" i="431"/>
  <c r="DZ277" i="431"/>
  <c r="DZ276" i="431"/>
  <c r="BP16" i="435"/>
  <c r="DW275" i="431" s="1"/>
  <c r="T11" i="435"/>
  <c r="BT16" i="435" s="1"/>
  <c r="DA277" i="431"/>
  <c r="DA276" i="431"/>
  <c r="CQ277" i="431"/>
  <c r="CQ276" i="431"/>
  <c r="AB16" i="435"/>
  <c r="CI275" i="431" s="1"/>
  <c r="CJ276" i="431" s="1"/>
  <c r="L11" i="435"/>
  <c r="AF16" i="435" s="1"/>
  <c r="CM275" i="431" s="1"/>
  <c r="D384" i="434"/>
  <c r="C383" i="434"/>
  <c r="E385" i="433"/>
  <c r="A384" i="433"/>
  <c r="B384" i="433" s="1"/>
  <c r="E387" i="434"/>
  <c r="A386" i="434"/>
  <c r="B386" i="434" s="1"/>
  <c r="D385" i="433"/>
  <c r="C384" i="433"/>
  <c r="EQ277" i="431" l="1"/>
  <c r="FM277" i="431" s="1"/>
  <c r="FN275" i="431"/>
  <c r="EM276" i="431"/>
  <c r="EP275" i="431"/>
  <c r="CM277" i="431"/>
  <c r="CM276" i="431" s="1"/>
  <c r="BX277" i="431"/>
  <c r="BX276" i="431" s="1"/>
  <c r="DL277" i="431"/>
  <c r="DL276" i="431" s="1"/>
  <c r="CW277" i="431"/>
  <c r="CW276" i="431" s="1"/>
  <c r="DB277" i="431"/>
  <c r="DB276" i="431" s="1"/>
  <c r="CI277" i="431"/>
  <c r="CI276" i="431"/>
  <c r="EL277" i="431"/>
  <c r="FN277" i="431" s="1"/>
  <c r="EL276" i="431"/>
  <c r="FN276" i="431" s="1"/>
  <c r="DH277" i="431"/>
  <c r="DH276" i="431"/>
  <c r="CX277" i="431"/>
  <c r="CX276" i="431"/>
  <c r="CR277" i="431"/>
  <c r="CR276" i="431" s="1"/>
  <c r="FH302" i="431"/>
  <c r="DR276" i="431"/>
  <c r="DR277" i="431"/>
  <c r="DV275" i="431"/>
  <c r="CS277" i="431"/>
  <c r="CS276" i="431"/>
  <c r="CN277" i="431"/>
  <c r="CN276" i="431"/>
  <c r="BY276" i="431"/>
  <c r="BY277" i="431"/>
  <c r="DS276" i="431"/>
  <c r="DG277" i="431"/>
  <c r="DG276" i="431" s="1"/>
  <c r="BT276" i="431"/>
  <c r="BT277" i="431"/>
  <c r="EB277" i="431"/>
  <c r="EB276" i="431"/>
  <c r="EF275" i="431"/>
  <c r="DC277" i="431"/>
  <c r="DC276" i="431"/>
  <c r="CH277" i="431"/>
  <c r="CH276" i="431" s="1"/>
  <c r="CC277" i="431"/>
  <c r="CC276" i="431" s="1"/>
  <c r="DW277" i="431"/>
  <c r="DW276" i="431"/>
  <c r="EA275" i="431"/>
  <c r="DM277" i="431"/>
  <c r="DM276" i="431"/>
  <c r="DQ275" i="431"/>
  <c r="DQ277" i="431" s="1"/>
  <c r="DQ276" i="431" s="1"/>
  <c r="EG276" i="431"/>
  <c r="EG277" i="431"/>
  <c r="EK275" i="431"/>
  <c r="CD276" i="431"/>
  <c r="CD277" i="431"/>
  <c r="DX276" i="431"/>
  <c r="BU276" i="431"/>
  <c r="E388" i="434"/>
  <c r="A387" i="434"/>
  <c r="B387" i="434" s="1"/>
  <c r="A385" i="433"/>
  <c r="B385" i="433" s="1"/>
  <c r="E386" i="433"/>
  <c r="D385" i="434"/>
  <c r="C384" i="434"/>
  <c r="D386" i="433"/>
  <c r="C385" i="433"/>
  <c r="EP277" i="431" l="1"/>
  <c r="EP276" i="431" s="1"/>
  <c r="EA277" i="431"/>
  <c r="EA276" i="431" s="1"/>
  <c r="EF277" i="431"/>
  <c r="EF276" i="431" s="1"/>
  <c r="FQ276" i="431"/>
  <c r="FQ277" i="431"/>
  <c r="FQ275" i="431"/>
  <c r="DV277" i="431"/>
  <c r="DV276" i="431" s="1"/>
  <c r="EK277" i="431"/>
  <c r="EK276" i="431" s="1"/>
  <c r="C385" i="434"/>
  <c r="D386" i="434"/>
  <c r="A386" i="433"/>
  <c r="B386" i="433" s="1"/>
  <c r="E387" i="433"/>
  <c r="E389" i="434"/>
  <c r="A388" i="434"/>
  <c r="B388" i="434" s="1"/>
  <c r="C386" i="433"/>
  <c r="D387" i="433"/>
  <c r="A389" i="434" l="1"/>
  <c r="B389" i="434" s="1"/>
  <c r="E390" i="434"/>
  <c r="A387" i="433"/>
  <c r="B387" i="433" s="1"/>
  <c r="E388" i="433"/>
  <c r="C386" i="434"/>
  <c r="D387" i="434"/>
  <c r="C387" i="433"/>
  <c r="D388" i="433"/>
  <c r="D388" i="434" l="1"/>
  <c r="C387" i="434"/>
  <c r="E389" i="433"/>
  <c r="A388" i="433"/>
  <c r="B388" i="433" s="1"/>
  <c r="A390" i="434"/>
  <c r="B390" i="434" s="1"/>
  <c r="E391" i="434"/>
  <c r="D389" i="433"/>
  <c r="C388" i="433"/>
  <c r="E392" i="434" l="1"/>
  <c r="A391" i="434"/>
  <c r="B391" i="434" s="1"/>
  <c r="E390" i="433"/>
  <c r="A389" i="433"/>
  <c r="B389" i="433" s="1"/>
  <c r="D389" i="434"/>
  <c r="C388" i="434"/>
  <c r="C389" i="433"/>
  <c r="D390" i="433"/>
  <c r="C389" i="434" l="1"/>
  <c r="D390" i="434"/>
  <c r="E391" i="433"/>
  <c r="A390" i="433"/>
  <c r="B390" i="433" s="1"/>
  <c r="A392" i="434"/>
  <c r="B392" i="434" s="1"/>
  <c r="E393" i="434"/>
  <c r="D391" i="433"/>
  <c r="C390" i="433"/>
  <c r="E394" i="434" l="1"/>
  <c r="A393" i="434"/>
  <c r="B393" i="434" s="1"/>
  <c r="A391" i="433"/>
  <c r="B391" i="433" s="1"/>
  <c r="E392" i="433"/>
  <c r="D391" i="434"/>
  <c r="C390" i="434"/>
  <c r="D392" i="433"/>
  <c r="C391" i="433"/>
  <c r="C391" i="434" l="1"/>
  <c r="D392" i="434"/>
  <c r="A392" i="433"/>
  <c r="B392" i="433" s="1"/>
  <c r="E393" i="433"/>
  <c r="E395" i="434"/>
  <c r="A394" i="434"/>
  <c r="B394" i="434" s="1"/>
  <c r="C392" i="433"/>
  <c r="D393" i="433"/>
  <c r="A395" i="434" l="1"/>
  <c r="B395" i="434" s="1"/>
  <c r="E396" i="434"/>
  <c r="E394" i="433"/>
  <c r="A393" i="433"/>
  <c r="B393" i="433" s="1"/>
  <c r="D393" i="434"/>
  <c r="C392" i="434"/>
  <c r="C393" i="433"/>
  <c r="D394" i="433"/>
  <c r="C393" i="434" l="1"/>
  <c r="D394" i="434"/>
  <c r="E395" i="433"/>
  <c r="A394" i="433"/>
  <c r="B394" i="433" s="1"/>
  <c r="A396" i="434"/>
  <c r="B396" i="434" s="1"/>
  <c r="E397" i="434"/>
  <c r="D395" i="433"/>
  <c r="C394" i="433"/>
  <c r="A397" i="434" l="1"/>
  <c r="B397" i="434" s="1"/>
  <c r="E398" i="434"/>
  <c r="E396" i="433"/>
  <c r="A395" i="433"/>
  <c r="B395" i="433" s="1"/>
  <c r="C394" i="434"/>
  <c r="D395" i="434"/>
  <c r="C395" i="433"/>
  <c r="D396" i="433"/>
  <c r="C395" i="434" l="1"/>
  <c r="D396" i="434"/>
  <c r="E397" i="433"/>
  <c r="A396" i="433"/>
  <c r="B396" i="433" s="1"/>
  <c r="E399" i="434"/>
  <c r="A398" i="434"/>
  <c r="B398" i="434" s="1"/>
  <c r="D397" i="433"/>
  <c r="C396" i="433"/>
  <c r="E400" i="434" l="1"/>
  <c r="A399" i="434"/>
  <c r="B399" i="434" s="1"/>
  <c r="E398" i="433"/>
  <c r="A397" i="433"/>
  <c r="B397" i="433" s="1"/>
  <c r="D397" i="434"/>
  <c r="C396" i="434"/>
  <c r="D398" i="433"/>
  <c r="C397" i="433"/>
  <c r="A400" i="434" l="1"/>
  <c r="B400" i="434" s="1"/>
  <c r="E401" i="434"/>
  <c r="C397" i="434"/>
  <c r="D398" i="434"/>
  <c r="A398" i="433"/>
  <c r="B398" i="433" s="1"/>
  <c r="E399" i="433"/>
  <c r="D399" i="433"/>
  <c r="C398" i="433"/>
  <c r="C398" i="434" l="1"/>
  <c r="D399" i="434"/>
  <c r="A399" i="433"/>
  <c r="B399" i="433" s="1"/>
  <c r="E400" i="433"/>
  <c r="E402" i="434"/>
  <c r="A401" i="434"/>
  <c r="B401" i="434" s="1"/>
  <c r="C399" i="433"/>
  <c r="D400" i="433"/>
  <c r="E403" i="434" l="1"/>
  <c r="A402" i="434"/>
  <c r="B402" i="434" s="1"/>
  <c r="A400" i="433"/>
  <c r="B400" i="433" s="1"/>
  <c r="E401" i="433"/>
  <c r="C399" i="434"/>
  <c r="D400" i="434"/>
  <c r="C400" i="433"/>
  <c r="D401" i="433"/>
  <c r="D401" i="434" l="1"/>
  <c r="C400" i="434"/>
  <c r="E402" i="433"/>
  <c r="A401" i="433"/>
  <c r="B401" i="433" s="1"/>
  <c r="E404" i="434"/>
  <c r="A403" i="434"/>
  <c r="B403" i="434" s="1"/>
  <c r="D402" i="433"/>
  <c r="C401" i="433"/>
  <c r="A404" i="434" l="1"/>
  <c r="B404" i="434" s="1"/>
  <c r="E405" i="434"/>
  <c r="A402" i="433"/>
  <c r="B402" i="433" s="1"/>
  <c r="E403" i="433"/>
  <c r="D402" i="434"/>
  <c r="C401" i="434"/>
  <c r="D403" i="433"/>
  <c r="C402" i="433"/>
  <c r="C402" i="434" l="1"/>
  <c r="D403" i="434"/>
  <c r="A403" i="433"/>
  <c r="B403" i="433" s="1"/>
  <c r="E404" i="433"/>
  <c r="E406" i="434"/>
  <c r="A405" i="434"/>
  <c r="B405" i="434" s="1"/>
  <c r="D404" i="433"/>
  <c r="C403" i="433"/>
  <c r="E407" i="434" l="1"/>
  <c r="A406" i="434"/>
  <c r="B406" i="434" s="1"/>
  <c r="A404" i="433"/>
  <c r="B404" i="433" s="1"/>
  <c r="E405" i="433"/>
  <c r="D404" i="434"/>
  <c r="C403" i="434"/>
  <c r="C404" i="433"/>
  <c r="D405" i="433"/>
  <c r="D405" i="434" l="1"/>
  <c r="C404" i="434"/>
  <c r="E406" i="433"/>
  <c r="A405" i="433"/>
  <c r="B405" i="433" s="1"/>
  <c r="E408" i="434"/>
  <c r="A407" i="434"/>
  <c r="B407" i="434" s="1"/>
  <c r="C405" i="433"/>
  <c r="D406" i="433"/>
  <c r="E409" i="434" l="1"/>
  <c r="A408" i="434"/>
  <c r="B408" i="434" s="1"/>
  <c r="E407" i="433"/>
  <c r="A406" i="433"/>
  <c r="B406" i="433" s="1"/>
  <c r="C405" i="434"/>
  <c r="D406" i="434"/>
  <c r="D407" i="433"/>
  <c r="C406" i="433"/>
  <c r="C406" i="434" l="1"/>
  <c r="D407" i="434"/>
  <c r="A407" i="433"/>
  <c r="B407" i="433" s="1"/>
  <c r="E408" i="433"/>
  <c r="A409" i="434"/>
  <c r="B409" i="434" s="1"/>
  <c r="E410" i="434"/>
  <c r="D408" i="433"/>
  <c r="C407" i="433"/>
  <c r="A410" i="434" l="1"/>
  <c r="B410" i="434" s="1"/>
  <c r="E411" i="434"/>
  <c r="A408" i="433"/>
  <c r="B408" i="433" s="1"/>
  <c r="E409" i="433"/>
  <c r="D408" i="434"/>
  <c r="C407" i="434"/>
  <c r="D409" i="433"/>
  <c r="C408" i="433"/>
  <c r="D409" i="434" l="1"/>
  <c r="C408" i="434"/>
  <c r="E410" i="433"/>
  <c r="A409" i="433"/>
  <c r="B409" i="433" s="1"/>
  <c r="E412" i="434"/>
  <c r="A411" i="434"/>
  <c r="B411" i="434" s="1"/>
  <c r="C409" i="433"/>
  <c r="D410" i="433"/>
  <c r="E413" i="434" l="1"/>
  <c r="A412" i="434"/>
  <c r="B412" i="434" s="1"/>
  <c r="E411" i="433"/>
  <c r="A410" i="433"/>
  <c r="B410" i="433" s="1"/>
  <c r="C409" i="434"/>
  <c r="D410" i="434"/>
  <c r="D411" i="433"/>
  <c r="C410" i="433"/>
  <c r="C410" i="434" l="1"/>
  <c r="D411" i="434"/>
  <c r="A411" i="433"/>
  <c r="B411" i="433" s="1"/>
  <c r="E412" i="433"/>
  <c r="A413" i="434"/>
  <c r="B413" i="434" s="1"/>
  <c r="E414" i="434"/>
  <c r="D412" i="433"/>
  <c r="C411" i="433"/>
  <c r="E413" i="433" l="1"/>
  <c r="A412" i="433"/>
  <c r="B412" i="433" s="1"/>
  <c r="A414" i="434"/>
  <c r="B414" i="434" s="1"/>
  <c r="E415" i="434"/>
  <c r="C411" i="434"/>
  <c r="D412" i="434"/>
  <c r="D413" i="433"/>
  <c r="C412" i="433"/>
  <c r="D413" i="434" l="1"/>
  <c r="C412" i="434"/>
  <c r="A415" i="434"/>
  <c r="B415" i="434" s="1"/>
  <c r="E416" i="434"/>
  <c r="A413" i="433"/>
  <c r="B413" i="433" s="1"/>
  <c r="E414" i="433"/>
  <c r="C413" i="433"/>
  <c r="D414" i="433"/>
  <c r="E415" i="433" l="1"/>
  <c r="A414" i="433"/>
  <c r="B414" i="433" s="1"/>
  <c r="A416" i="434"/>
  <c r="B416" i="434" s="1"/>
  <c r="E417" i="434"/>
  <c r="C413" i="434"/>
  <c r="D414" i="434"/>
  <c r="D415" i="433"/>
  <c r="C414" i="433"/>
  <c r="C414" i="434" l="1"/>
  <c r="D415" i="434"/>
  <c r="A417" i="434"/>
  <c r="B417" i="434" s="1"/>
  <c r="E418" i="434"/>
  <c r="E416" i="433"/>
  <c r="A415" i="433"/>
  <c r="B415" i="433" s="1"/>
  <c r="C415" i="433"/>
  <c r="D416" i="433"/>
  <c r="E417" i="433" l="1"/>
  <c r="A416" i="433"/>
  <c r="B416" i="433" s="1"/>
  <c r="E419" i="434"/>
  <c r="A418" i="434"/>
  <c r="B418" i="434" s="1"/>
  <c r="D416" i="434"/>
  <c r="C415" i="434"/>
  <c r="D417" i="433"/>
  <c r="C416" i="433"/>
  <c r="D417" i="434" l="1"/>
  <c r="C416" i="434"/>
  <c r="E420" i="434"/>
  <c r="A419" i="434"/>
  <c r="B419" i="434" s="1"/>
  <c r="A417" i="433"/>
  <c r="B417" i="433" s="1"/>
  <c r="E418" i="433"/>
  <c r="D418" i="433"/>
  <c r="C417" i="433"/>
  <c r="A418" i="433" l="1"/>
  <c r="B418" i="433" s="1"/>
  <c r="E419" i="433"/>
  <c r="A420" i="434"/>
  <c r="B420" i="434" s="1"/>
  <c r="E421" i="434"/>
  <c r="D418" i="434"/>
  <c r="C417" i="434"/>
  <c r="D419" i="433"/>
  <c r="C418" i="433"/>
  <c r="C418" i="434" l="1"/>
  <c r="D419" i="434"/>
  <c r="A421" i="434"/>
  <c r="B421" i="434" s="1"/>
  <c r="E422" i="434"/>
  <c r="A419" i="433"/>
  <c r="B419" i="433" s="1"/>
  <c r="E420" i="433"/>
  <c r="D420" i="433"/>
  <c r="C419" i="433"/>
  <c r="E421" i="433" l="1"/>
  <c r="A420" i="433"/>
  <c r="B420" i="433" s="1"/>
  <c r="E423" i="434"/>
  <c r="A422" i="434"/>
  <c r="B422" i="434" s="1"/>
  <c r="D420" i="434"/>
  <c r="C419" i="434"/>
  <c r="D421" i="433"/>
  <c r="C420" i="433"/>
  <c r="D421" i="434" l="1"/>
  <c r="C420" i="434"/>
  <c r="E424" i="434"/>
  <c r="A423" i="434"/>
  <c r="B423" i="434" s="1"/>
  <c r="E422" i="433"/>
  <c r="A421" i="433"/>
  <c r="B421" i="433" s="1"/>
  <c r="C421" i="433"/>
  <c r="D422" i="433"/>
  <c r="E423" i="433" l="1"/>
  <c r="A422" i="433"/>
  <c r="B422" i="433" s="1"/>
  <c r="A424" i="434"/>
  <c r="B424" i="434" s="1"/>
  <c r="E425" i="434"/>
  <c r="D422" i="434"/>
  <c r="C421" i="434"/>
  <c r="D423" i="433"/>
  <c r="C422" i="433"/>
  <c r="D423" i="434" l="1"/>
  <c r="C422" i="434"/>
  <c r="E426" i="434"/>
  <c r="A425" i="434"/>
  <c r="B425" i="434" s="1"/>
  <c r="E424" i="433"/>
  <c r="A423" i="433"/>
  <c r="B423" i="433" s="1"/>
  <c r="C423" i="433"/>
  <c r="D424" i="433"/>
  <c r="A424" i="433" l="1"/>
  <c r="B424" i="433" s="1"/>
  <c r="E425" i="433"/>
  <c r="E427" i="434"/>
  <c r="A426" i="434"/>
  <c r="B426" i="434" s="1"/>
  <c r="D424" i="434"/>
  <c r="C423" i="434"/>
  <c r="D425" i="433"/>
  <c r="C424" i="433"/>
  <c r="D425" i="434" l="1"/>
  <c r="C424" i="434"/>
  <c r="E428" i="434"/>
  <c r="A427" i="434"/>
  <c r="B427" i="434" s="1"/>
  <c r="A425" i="433"/>
  <c r="B425" i="433" s="1"/>
  <c r="E426" i="433"/>
  <c r="D426" i="433"/>
  <c r="C425" i="433"/>
  <c r="A426" i="433" l="1"/>
  <c r="B426" i="433" s="1"/>
  <c r="E427" i="433"/>
  <c r="A428" i="434"/>
  <c r="B428" i="434" s="1"/>
  <c r="E429" i="434"/>
  <c r="C425" i="434"/>
  <c r="D426" i="434"/>
  <c r="D427" i="433"/>
  <c r="C426" i="433"/>
  <c r="D427" i="434" l="1"/>
  <c r="C426" i="434"/>
  <c r="E430" i="434"/>
  <c r="A429" i="434"/>
  <c r="B429" i="434" s="1"/>
  <c r="A427" i="433"/>
  <c r="B427" i="433" s="1"/>
  <c r="E428" i="433"/>
  <c r="D428" i="433"/>
  <c r="C427" i="433"/>
  <c r="E431" i="434" l="1"/>
  <c r="A430" i="434"/>
  <c r="B430" i="434" s="1"/>
  <c r="E429" i="433"/>
  <c r="A428" i="433"/>
  <c r="B428" i="433" s="1"/>
  <c r="C427" i="434"/>
  <c r="D428" i="434"/>
  <c r="C428" i="433"/>
  <c r="D429" i="433"/>
  <c r="A429" i="433" l="1"/>
  <c r="B429" i="433" s="1"/>
  <c r="E430" i="433"/>
  <c r="D429" i="434"/>
  <c r="C428" i="434"/>
  <c r="E432" i="434"/>
  <c r="A431" i="434"/>
  <c r="B431" i="434" s="1"/>
  <c r="D430" i="433"/>
  <c r="C429" i="433"/>
  <c r="A432" i="434" l="1"/>
  <c r="B432" i="434" s="1"/>
  <c r="E433" i="434"/>
  <c r="C429" i="434"/>
  <c r="D430" i="434"/>
  <c r="E431" i="433"/>
  <c r="A430" i="433"/>
  <c r="B430" i="433" s="1"/>
  <c r="D431" i="433"/>
  <c r="C430" i="433"/>
  <c r="A431" i="433" l="1"/>
  <c r="B431" i="433" s="1"/>
  <c r="E432" i="433"/>
  <c r="C430" i="434"/>
  <c r="D431" i="434"/>
  <c r="E434" i="434"/>
  <c r="A433" i="434"/>
  <c r="B433" i="434" s="1"/>
  <c r="C431" i="433"/>
  <c r="D432" i="433"/>
  <c r="E435" i="434" l="1"/>
  <c r="A434" i="434"/>
  <c r="B434" i="434" s="1"/>
  <c r="D432" i="434"/>
  <c r="C431" i="434"/>
  <c r="E433" i="433"/>
  <c r="A432" i="433"/>
  <c r="B432" i="433" s="1"/>
  <c r="C432" i="433"/>
  <c r="D433" i="433"/>
  <c r="A433" i="433" l="1"/>
  <c r="B433" i="433" s="1"/>
  <c r="E434" i="433"/>
  <c r="C432" i="434"/>
  <c r="D433" i="434"/>
  <c r="E436" i="434"/>
  <c r="A435" i="434"/>
  <c r="B435" i="434" s="1"/>
  <c r="C433" i="433"/>
  <c r="D434" i="433"/>
  <c r="A436" i="434" l="1"/>
  <c r="B436" i="434" s="1"/>
  <c r="E437" i="434"/>
  <c r="D434" i="434"/>
  <c r="C433" i="434"/>
  <c r="A434" i="433"/>
  <c r="B434" i="433" s="1"/>
  <c r="E435" i="433"/>
  <c r="C434" i="433"/>
  <c r="D435" i="433"/>
  <c r="A435" i="433" l="1"/>
  <c r="B435" i="433" s="1"/>
  <c r="E436" i="433"/>
  <c r="C434" i="434"/>
  <c r="D435" i="434"/>
  <c r="A437" i="434"/>
  <c r="B437" i="434" s="1"/>
  <c r="E438" i="434"/>
  <c r="C435" i="433"/>
  <c r="D436" i="433"/>
  <c r="A438" i="434" l="1"/>
  <c r="B438" i="434" s="1"/>
  <c r="E439" i="434"/>
  <c r="C435" i="434"/>
  <c r="D436" i="434"/>
  <c r="E437" i="433"/>
  <c r="A436" i="433"/>
  <c r="B436" i="433" s="1"/>
  <c r="D437" i="433"/>
  <c r="C436" i="433"/>
  <c r="A437" i="433" l="1"/>
  <c r="B437" i="433" s="1"/>
  <c r="E438" i="433"/>
  <c r="D437" i="434"/>
  <c r="C436" i="434"/>
  <c r="E440" i="434"/>
  <c r="A439" i="434"/>
  <c r="B439" i="434" s="1"/>
  <c r="C437" i="433"/>
  <c r="D438" i="433"/>
  <c r="E441" i="434" l="1"/>
  <c r="A440" i="434"/>
  <c r="B440" i="434" s="1"/>
  <c r="D438" i="434"/>
  <c r="C437" i="434"/>
  <c r="A438" i="433"/>
  <c r="B438" i="433" s="1"/>
  <c r="E439" i="433"/>
  <c r="D439" i="433"/>
  <c r="C438" i="433"/>
  <c r="A439" i="433" l="1"/>
  <c r="B439" i="433" s="1"/>
  <c r="E440" i="433"/>
  <c r="D439" i="434"/>
  <c r="C438" i="434"/>
  <c r="E442" i="434"/>
  <c r="A441" i="434"/>
  <c r="B441" i="434" s="1"/>
  <c r="C439" i="433"/>
  <c r="D440" i="433"/>
  <c r="E443" i="434" l="1"/>
  <c r="A442" i="434"/>
  <c r="B442" i="434" s="1"/>
  <c r="C439" i="434"/>
  <c r="D440" i="434"/>
  <c r="E441" i="433"/>
  <c r="A440" i="433"/>
  <c r="B440" i="433" s="1"/>
  <c r="C440" i="433"/>
  <c r="D441" i="433"/>
  <c r="A441" i="433" l="1"/>
  <c r="B441" i="433" s="1"/>
  <c r="E442" i="433"/>
  <c r="C440" i="434"/>
  <c r="D441" i="434"/>
  <c r="A443" i="434"/>
  <c r="B443" i="434" s="1"/>
  <c r="E444" i="434"/>
  <c r="C441" i="433"/>
  <c r="D442" i="433"/>
  <c r="E445" i="434" l="1"/>
  <c r="A444" i="434"/>
  <c r="B444" i="434" s="1"/>
  <c r="D442" i="434"/>
  <c r="C441" i="434"/>
  <c r="A442" i="433"/>
  <c r="B442" i="433" s="1"/>
  <c r="E443" i="433"/>
  <c r="C442" i="433"/>
  <c r="D443" i="433"/>
  <c r="E444" i="433" l="1"/>
  <c r="A443" i="433"/>
  <c r="B443" i="433" s="1"/>
  <c r="D443" i="434"/>
  <c r="C442" i="434"/>
  <c r="E446" i="434"/>
  <c r="A445" i="434"/>
  <c r="B445" i="434" s="1"/>
  <c r="C443" i="433"/>
  <c r="D444" i="433"/>
  <c r="A446" i="434" l="1"/>
  <c r="B446" i="434" s="1"/>
  <c r="E447" i="434"/>
  <c r="D444" i="434"/>
  <c r="C443" i="434"/>
  <c r="A444" i="433"/>
  <c r="B444" i="433" s="1"/>
  <c r="E445" i="433"/>
  <c r="D445" i="433"/>
  <c r="C444" i="433"/>
  <c r="E446" i="433" l="1"/>
  <c r="A445" i="433"/>
  <c r="B445" i="433" s="1"/>
  <c r="C444" i="434"/>
  <c r="D445" i="434"/>
  <c r="A447" i="434"/>
  <c r="B447" i="434" s="1"/>
  <c r="E448" i="434"/>
  <c r="C445" i="433"/>
  <c r="D446" i="433"/>
  <c r="A448" i="434" l="1"/>
  <c r="B448" i="434" s="1"/>
  <c r="E449" i="434"/>
  <c r="C445" i="434"/>
  <c r="D446" i="434"/>
  <c r="E447" i="433"/>
  <c r="A446" i="433"/>
  <c r="B446" i="433" s="1"/>
  <c r="C446" i="433"/>
  <c r="D447" i="433"/>
  <c r="A447" i="433" l="1"/>
  <c r="B447" i="433" s="1"/>
  <c r="E448" i="433"/>
  <c r="D447" i="434"/>
  <c r="C446" i="434"/>
  <c r="A449" i="434"/>
  <c r="B449" i="434" s="1"/>
  <c r="E450" i="434"/>
  <c r="D448" i="433"/>
  <c r="C447" i="433"/>
  <c r="E451" i="434" l="1"/>
  <c r="A450" i="434"/>
  <c r="B450" i="434" s="1"/>
  <c r="C447" i="434"/>
  <c r="D448" i="434"/>
  <c r="A448" i="433"/>
  <c r="B448" i="433" s="1"/>
  <c r="E449" i="433"/>
  <c r="C448" i="433"/>
  <c r="D449" i="433"/>
  <c r="A449" i="433" l="1"/>
  <c r="B449" i="433" s="1"/>
  <c r="E450" i="433"/>
  <c r="D449" i="434"/>
  <c r="C448" i="434"/>
  <c r="E452" i="434"/>
  <c r="A451" i="434"/>
  <c r="B451" i="434" s="1"/>
  <c r="C449" i="433"/>
  <c r="D450" i="433"/>
  <c r="A452" i="434" l="1"/>
  <c r="B452" i="434" s="1"/>
  <c r="E453" i="434"/>
  <c r="D450" i="434"/>
  <c r="C449" i="434"/>
  <c r="E451" i="433"/>
  <c r="A450" i="433"/>
  <c r="B450" i="433" s="1"/>
  <c r="C450" i="433"/>
  <c r="D451" i="433"/>
  <c r="E452" i="433" l="1"/>
  <c r="A451" i="433"/>
  <c r="B451" i="433" s="1"/>
  <c r="C450" i="434"/>
  <c r="D451" i="434"/>
  <c r="A453" i="434"/>
  <c r="B453" i="434" s="1"/>
  <c r="E454" i="434"/>
  <c r="D452" i="433"/>
  <c r="C451" i="433"/>
  <c r="E455" i="434" l="1"/>
  <c r="A454" i="434"/>
  <c r="B454" i="434" s="1"/>
  <c r="D452" i="434"/>
  <c r="C451" i="434"/>
  <c r="A452" i="433"/>
  <c r="B452" i="433" s="1"/>
  <c r="E453" i="433"/>
  <c r="D453" i="433"/>
  <c r="C452" i="433"/>
  <c r="E454" i="433" l="1"/>
  <c r="A453" i="433"/>
  <c r="B453" i="433" s="1"/>
  <c r="D453" i="434"/>
  <c r="C452" i="434"/>
  <c r="A455" i="434"/>
  <c r="B455" i="434" s="1"/>
  <c r="E456" i="434"/>
  <c r="C453" i="433"/>
  <c r="D454" i="433"/>
  <c r="E457" i="434" l="1"/>
  <c r="A456" i="434"/>
  <c r="B456" i="434" s="1"/>
  <c r="D454" i="434"/>
  <c r="C453" i="434"/>
  <c r="A454" i="433"/>
  <c r="B454" i="433" s="1"/>
  <c r="E455" i="433"/>
  <c r="C454" i="433"/>
  <c r="D455" i="433"/>
  <c r="A455" i="433" l="1"/>
  <c r="B455" i="433" s="1"/>
  <c r="E456" i="433"/>
  <c r="C454" i="434"/>
  <c r="D455" i="434"/>
  <c r="A457" i="434"/>
  <c r="B457" i="434" s="1"/>
  <c r="E458" i="434"/>
  <c r="D456" i="433"/>
  <c r="C455" i="433"/>
  <c r="A458" i="434" l="1"/>
  <c r="B458" i="434" s="1"/>
  <c r="E459" i="434"/>
  <c r="D456" i="434"/>
  <c r="C455" i="434"/>
  <c r="E457" i="433"/>
  <c r="A456" i="433"/>
  <c r="B456" i="433" s="1"/>
  <c r="C456" i="433"/>
  <c r="D457" i="433"/>
  <c r="E458" i="433" l="1"/>
  <c r="A457" i="433"/>
  <c r="B457" i="433" s="1"/>
  <c r="C456" i="434"/>
  <c r="D457" i="434"/>
  <c r="A459" i="434"/>
  <c r="B459" i="434" s="1"/>
  <c r="E460" i="434"/>
  <c r="D458" i="433"/>
  <c r="C457" i="433"/>
  <c r="A460" i="434" l="1"/>
  <c r="B460" i="434" s="1"/>
  <c r="E461" i="434"/>
  <c r="C457" i="434"/>
  <c r="D458" i="434"/>
  <c r="E459" i="433"/>
  <c r="A458" i="433"/>
  <c r="B458" i="433" s="1"/>
  <c r="D459" i="433"/>
  <c r="C458" i="433"/>
  <c r="E460" i="433" l="1"/>
  <c r="A459" i="433"/>
  <c r="B459" i="433" s="1"/>
  <c r="D459" i="434"/>
  <c r="C458" i="434"/>
  <c r="E462" i="434"/>
  <c r="A461" i="434"/>
  <c r="B461" i="434" s="1"/>
  <c r="D460" i="433"/>
  <c r="C459" i="433"/>
  <c r="A460" i="433" l="1"/>
  <c r="B460" i="433" s="1"/>
  <c r="E461" i="433"/>
  <c r="A462" i="434"/>
  <c r="B462" i="434" s="1"/>
  <c r="E463" i="434"/>
  <c r="C459" i="434"/>
  <c r="D460" i="434"/>
  <c r="C460" i="433"/>
  <c r="D461" i="433"/>
  <c r="C460" i="434" l="1"/>
  <c r="D461" i="434"/>
  <c r="A463" i="434"/>
  <c r="B463" i="434" s="1"/>
  <c r="E464" i="434"/>
  <c r="E462" i="433"/>
  <c r="A461" i="433"/>
  <c r="B461" i="433" s="1"/>
  <c r="C461" i="433"/>
  <c r="D462" i="433"/>
  <c r="E463" i="433" l="1"/>
  <c r="A462" i="433"/>
  <c r="B462" i="433" s="1"/>
  <c r="A464" i="434"/>
  <c r="B464" i="434" s="1"/>
  <c r="E465" i="434"/>
  <c r="C461" i="434"/>
  <c r="D462" i="434"/>
  <c r="C462" i="433"/>
  <c r="D463" i="433"/>
  <c r="D463" i="434" l="1"/>
  <c r="C462" i="434"/>
  <c r="A465" i="434"/>
  <c r="B465" i="434" s="1"/>
  <c r="E466" i="434"/>
  <c r="A463" i="433"/>
  <c r="B463" i="433" s="1"/>
  <c r="E464" i="433"/>
  <c r="D464" i="433"/>
  <c r="C463" i="433"/>
  <c r="A466" i="434" l="1"/>
  <c r="B466" i="434" s="1"/>
  <c r="E467" i="434"/>
  <c r="A464" i="433"/>
  <c r="B464" i="433" s="1"/>
  <c r="E465" i="433"/>
  <c r="D464" i="434"/>
  <c r="C463" i="434"/>
  <c r="D465" i="433"/>
  <c r="C464" i="433"/>
  <c r="C464" i="434" l="1"/>
  <c r="D465" i="434"/>
  <c r="A465" i="433"/>
  <c r="B465" i="433" s="1"/>
  <c r="E466" i="433"/>
  <c r="E468" i="434"/>
  <c r="A467" i="434"/>
  <c r="B467" i="434" s="1"/>
  <c r="D466" i="433"/>
  <c r="C465" i="433"/>
  <c r="A468" i="434" l="1"/>
  <c r="B468" i="434" s="1"/>
  <c r="E469" i="434"/>
  <c r="E467" i="433"/>
  <c r="A466" i="433"/>
  <c r="B466" i="433" s="1"/>
  <c r="D466" i="434"/>
  <c r="C465" i="434"/>
  <c r="D467" i="433"/>
  <c r="C466" i="433"/>
  <c r="C466" i="434" l="1"/>
  <c r="D467" i="434"/>
  <c r="E468" i="433"/>
  <c r="A467" i="433"/>
  <c r="B467" i="433" s="1"/>
  <c r="A469" i="434"/>
  <c r="B469" i="434" s="1"/>
  <c r="E470" i="434"/>
  <c r="D468" i="433"/>
  <c r="C467" i="433"/>
  <c r="E471" i="434" l="1"/>
  <c r="A470" i="434"/>
  <c r="B470" i="434" s="1"/>
  <c r="A468" i="433"/>
  <c r="B468" i="433" s="1"/>
  <c r="E469" i="433"/>
  <c r="C467" i="434"/>
  <c r="D468" i="434"/>
  <c r="C468" i="433"/>
  <c r="D469" i="433"/>
  <c r="D469" i="434" l="1"/>
  <c r="C468" i="434"/>
  <c r="A469" i="433"/>
  <c r="B469" i="433" s="1"/>
  <c r="E470" i="433"/>
  <c r="E472" i="434"/>
  <c r="A471" i="434"/>
  <c r="B471" i="434" s="1"/>
  <c r="C469" i="433"/>
  <c r="D470" i="433"/>
  <c r="A472" i="434" l="1"/>
  <c r="B472" i="434" s="1"/>
  <c r="E473" i="434"/>
  <c r="A470" i="433"/>
  <c r="B470" i="433" s="1"/>
  <c r="E471" i="433"/>
  <c r="D470" i="434"/>
  <c r="C469" i="434"/>
  <c r="C470" i="433"/>
  <c r="D471" i="433"/>
  <c r="D471" i="434" l="1"/>
  <c r="C470" i="434"/>
  <c r="A471" i="433"/>
  <c r="B471" i="433" s="1"/>
  <c r="E472" i="433"/>
  <c r="E474" i="434"/>
  <c r="A473" i="434"/>
  <c r="B473" i="434" s="1"/>
  <c r="D472" i="433"/>
  <c r="C471" i="433"/>
  <c r="E475" i="434" l="1"/>
  <c r="A474" i="434"/>
  <c r="B474" i="434" s="1"/>
  <c r="A472" i="433"/>
  <c r="B472" i="433" s="1"/>
  <c r="E473" i="433"/>
  <c r="D472" i="434"/>
  <c r="C471" i="434"/>
  <c r="C472" i="433"/>
  <c r="D473" i="433"/>
  <c r="D473" i="434" l="1"/>
  <c r="C472" i="434"/>
  <c r="A473" i="433"/>
  <c r="B473" i="433" s="1"/>
  <c r="E474" i="433"/>
  <c r="A475" i="434"/>
  <c r="B475" i="434" s="1"/>
  <c r="E476" i="434"/>
  <c r="D474" i="433"/>
  <c r="C473" i="433"/>
  <c r="A476" i="434" l="1"/>
  <c r="B476" i="434" s="1"/>
  <c r="E477" i="434"/>
  <c r="E475" i="433"/>
  <c r="A474" i="433"/>
  <c r="B474" i="433" s="1"/>
  <c r="C473" i="434"/>
  <c r="D474" i="434"/>
  <c r="C474" i="433"/>
  <c r="D475" i="433"/>
  <c r="A477" i="434" l="1"/>
  <c r="B477" i="434" s="1"/>
  <c r="E478" i="434"/>
  <c r="D475" i="434"/>
  <c r="C474" i="434"/>
  <c r="E476" i="433"/>
  <c r="A475" i="433"/>
  <c r="B475" i="433" s="1"/>
  <c r="D476" i="433"/>
  <c r="C475" i="433"/>
  <c r="E477" i="433" l="1"/>
  <c r="A476" i="433"/>
  <c r="B476" i="433" s="1"/>
  <c r="D476" i="434"/>
  <c r="C475" i="434"/>
  <c r="E479" i="434"/>
  <c r="A478" i="434"/>
  <c r="B478" i="434" s="1"/>
  <c r="C476" i="433"/>
  <c r="D477" i="433"/>
  <c r="E480" i="434" l="1"/>
  <c r="A479" i="434"/>
  <c r="B479" i="434" s="1"/>
  <c r="C476" i="434"/>
  <c r="D477" i="434"/>
  <c r="E478" i="433"/>
  <c r="A477" i="433"/>
  <c r="B477" i="433" s="1"/>
  <c r="C477" i="433"/>
  <c r="D478" i="433"/>
  <c r="E479" i="433" l="1"/>
  <c r="A478" i="433"/>
  <c r="B478" i="433" s="1"/>
  <c r="D478" i="434"/>
  <c r="C477" i="434"/>
  <c r="E481" i="434"/>
  <c r="A480" i="434"/>
  <c r="B480" i="434" s="1"/>
  <c r="C478" i="433"/>
  <c r="D479" i="433"/>
  <c r="A481" i="434" l="1"/>
  <c r="B481" i="434" s="1"/>
  <c r="E482" i="434"/>
  <c r="D479" i="434"/>
  <c r="C478" i="434"/>
  <c r="A479" i="433"/>
  <c r="B479" i="433" s="1"/>
  <c r="E480" i="433"/>
  <c r="D480" i="433"/>
  <c r="C479" i="433"/>
  <c r="A480" i="433" l="1"/>
  <c r="B480" i="433" s="1"/>
  <c r="E481" i="433"/>
  <c r="C479" i="434"/>
  <c r="D480" i="434"/>
  <c r="A482" i="434"/>
  <c r="B482" i="434" s="1"/>
  <c r="E483" i="434"/>
  <c r="C480" i="433"/>
  <c r="D481" i="433"/>
  <c r="C480" i="434" l="1"/>
  <c r="D481" i="434"/>
  <c r="A483" i="434"/>
  <c r="B483" i="434" s="1"/>
  <c r="E484" i="434"/>
  <c r="A481" i="433"/>
  <c r="B481" i="433" s="1"/>
  <c r="E482" i="433"/>
  <c r="C481" i="433"/>
  <c r="D482" i="433"/>
  <c r="E483" i="433" l="1"/>
  <c r="A482" i="433"/>
  <c r="B482" i="433" s="1"/>
  <c r="A484" i="434"/>
  <c r="B484" i="434" s="1"/>
  <c r="E485" i="434"/>
  <c r="D482" i="434"/>
  <c r="C481" i="434"/>
  <c r="C482" i="433"/>
  <c r="D483" i="433"/>
  <c r="C482" i="434" l="1"/>
  <c r="D483" i="434"/>
  <c r="E486" i="434"/>
  <c r="A485" i="434"/>
  <c r="B485" i="434" s="1"/>
  <c r="E484" i="433"/>
  <c r="A483" i="433"/>
  <c r="B483" i="433" s="1"/>
  <c r="D484" i="433"/>
  <c r="C483" i="433"/>
  <c r="E487" i="434" l="1"/>
  <c r="A486" i="434"/>
  <c r="B486" i="434" s="1"/>
  <c r="A484" i="433"/>
  <c r="B484" i="433" s="1"/>
  <c r="E485" i="433"/>
  <c r="D484" i="434"/>
  <c r="C483" i="434"/>
  <c r="C484" i="433"/>
  <c r="D485" i="433"/>
  <c r="E488" i="434" l="1"/>
  <c r="A487" i="434"/>
  <c r="B487" i="434" s="1"/>
  <c r="C484" i="434"/>
  <c r="D485" i="434"/>
  <c r="E486" i="433"/>
  <c r="A485" i="433"/>
  <c r="B485" i="433" s="1"/>
  <c r="C485" i="433"/>
  <c r="D486" i="433"/>
  <c r="E489" i="434" l="1"/>
  <c r="A488" i="434"/>
  <c r="B488" i="434" s="1"/>
  <c r="A486" i="433"/>
  <c r="B486" i="433" s="1"/>
  <c r="E487" i="433"/>
  <c r="D486" i="434"/>
  <c r="C485" i="434"/>
  <c r="C486" i="433"/>
  <c r="D487" i="433"/>
  <c r="E490" i="434" l="1"/>
  <c r="A489" i="434"/>
  <c r="B489" i="434" s="1"/>
  <c r="C486" i="434"/>
  <c r="D487" i="434"/>
  <c r="E488" i="433"/>
  <c r="A487" i="433"/>
  <c r="B487" i="433" s="1"/>
  <c r="C487" i="433"/>
  <c r="D488" i="433"/>
  <c r="A490" i="434" l="1"/>
  <c r="B490" i="434" s="1"/>
  <c r="E491" i="434"/>
  <c r="A488" i="433"/>
  <c r="B488" i="433" s="1"/>
  <c r="E489" i="433"/>
  <c r="D488" i="434"/>
  <c r="C487" i="434"/>
  <c r="C488" i="433"/>
  <c r="D489" i="433"/>
  <c r="C488" i="434" l="1"/>
  <c r="D489" i="434"/>
  <c r="E490" i="433"/>
  <c r="A489" i="433"/>
  <c r="B489" i="433" s="1"/>
  <c r="E492" i="434"/>
  <c r="A491" i="434"/>
  <c r="B491" i="434" s="1"/>
  <c r="C489" i="433"/>
  <c r="D490" i="433"/>
  <c r="E493" i="434" l="1"/>
  <c r="A492" i="434"/>
  <c r="B492" i="434" s="1"/>
  <c r="A490" i="433"/>
  <c r="B490" i="433" s="1"/>
  <c r="E491" i="433"/>
  <c r="D490" i="434"/>
  <c r="C489" i="434"/>
  <c r="D491" i="433"/>
  <c r="C490" i="433"/>
  <c r="A493" i="434" l="1"/>
  <c r="B493" i="434" s="1"/>
  <c r="E494" i="434"/>
  <c r="C490" i="434"/>
  <c r="D491" i="434"/>
  <c r="A491" i="433"/>
  <c r="B491" i="433" s="1"/>
  <c r="E492" i="433"/>
  <c r="D492" i="433"/>
  <c r="C491" i="433"/>
  <c r="E493" i="433" l="1"/>
  <c r="A492" i="433"/>
  <c r="B492" i="433" s="1"/>
  <c r="D492" i="434"/>
  <c r="C491" i="434"/>
  <c r="E495" i="434"/>
  <c r="A494" i="434"/>
  <c r="B494" i="434" s="1"/>
  <c r="C492" i="433"/>
  <c r="D493" i="433"/>
  <c r="E494" i="433" l="1"/>
  <c r="A493" i="433"/>
  <c r="B493" i="433" s="1"/>
  <c r="E496" i="434"/>
  <c r="A495" i="434"/>
  <c r="B495" i="434" s="1"/>
  <c r="C492" i="434"/>
  <c r="D493" i="434"/>
  <c r="D494" i="433"/>
  <c r="C493" i="433"/>
  <c r="E495" i="433" l="1"/>
  <c r="A494" i="433"/>
  <c r="B494" i="433" s="1"/>
  <c r="D494" i="434"/>
  <c r="C493" i="434"/>
  <c r="E497" i="434"/>
  <c r="A496" i="434"/>
  <c r="B496" i="434" s="1"/>
  <c r="D495" i="433"/>
  <c r="C494" i="433"/>
  <c r="C494" i="434" l="1"/>
  <c r="D495" i="434"/>
  <c r="E498" i="434"/>
  <c r="A497" i="434"/>
  <c r="B497" i="434" s="1"/>
  <c r="E496" i="433"/>
  <c r="A495" i="433"/>
  <c r="B495" i="433" s="1"/>
  <c r="C495" i="433"/>
  <c r="D496" i="433"/>
  <c r="A496" i="433" l="1"/>
  <c r="B496" i="433" s="1"/>
  <c r="E497" i="433"/>
  <c r="E499" i="434"/>
  <c r="A498" i="434"/>
  <c r="B498" i="434" s="1"/>
  <c r="D496" i="434"/>
  <c r="C495" i="434"/>
  <c r="D497" i="433"/>
  <c r="C496" i="433"/>
  <c r="D497" i="434" l="1"/>
  <c r="C496" i="434"/>
  <c r="A499" i="434"/>
  <c r="B499" i="434" s="1"/>
  <c r="E500" i="434"/>
  <c r="A497" i="433"/>
  <c r="B497" i="433" s="1"/>
  <c r="E498" i="433"/>
  <c r="D498" i="433"/>
  <c r="C497" i="433"/>
  <c r="E501" i="434" l="1"/>
  <c r="A500" i="434"/>
  <c r="B500" i="434" s="1"/>
  <c r="A498" i="433"/>
  <c r="B498" i="433" s="1"/>
  <c r="E499" i="433"/>
  <c r="D498" i="434"/>
  <c r="C497" i="434"/>
  <c r="C498" i="433"/>
  <c r="D499" i="433"/>
  <c r="D499" i="434" l="1"/>
  <c r="C498" i="434"/>
  <c r="E500" i="433"/>
  <c r="A499" i="433"/>
  <c r="B499" i="433" s="1"/>
  <c r="A501" i="434"/>
  <c r="B501" i="434" s="1"/>
  <c r="E502" i="434"/>
  <c r="D500" i="433"/>
  <c r="C499" i="433"/>
  <c r="A502" i="434" l="1"/>
  <c r="B502" i="434" s="1"/>
  <c r="E503" i="434"/>
  <c r="A500" i="433"/>
  <c r="B500" i="433" s="1"/>
  <c r="E501" i="433"/>
  <c r="C499" i="434"/>
  <c r="D500" i="434"/>
  <c r="D501" i="433"/>
  <c r="C500" i="433"/>
  <c r="C500" i="434" l="1"/>
  <c r="D501" i="434"/>
  <c r="E502" i="433"/>
  <c r="A501" i="433"/>
  <c r="B501" i="433" s="1"/>
  <c r="E504" i="434"/>
  <c r="A503" i="434"/>
  <c r="B503" i="434" s="1"/>
  <c r="C501" i="433"/>
  <c r="D502" i="433"/>
  <c r="A504" i="434" l="1"/>
  <c r="B504" i="434" s="1"/>
  <c r="E505" i="434"/>
  <c r="E503" i="433"/>
  <c r="A502" i="433"/>
  <c r="B502" i="433" s="1"/>
  <c r="C501" i="434"/>
  <c r="D502" i="434"/>
  <c r="D503" i="433"/>
  <c r="C502" i="433"/>
  <c r="C502" i="434" l="1"/>
  <c r="D503" i="434"/>
  <c r="E504" i="433"/>
  <c r="A503" i="433"/>
  <c r="B503" i="433" s="1"/>
  <c r="E506" i="434"/>
  <c r="A505" i="434"/>
  <c r="B505" i="434" s="1"/>
  <c r="C503" i="433"/>
  <c r="D504" i="433"/>
  <c r="E507" i="434" l="1"/>
  <c r="A506" i="434"/>
  <c r="B506" i="434" s="1"/>
  <c r="A504" i="433"/>
  <c r="B504" i="433" s="1"/>
  <c r="E505" i="433"/>
  <c r="D504" i="434"/>
  <c r="C503" i="434"/>
  <c r="C504" i="433"/>
  <c r="D505" i="433"/>
  <c r="D505" i="434" l="1"/>
  <c r="C504" i="434"/>
  <c r="A505" i="433"/>
  <c r="B505" i="433" s="1"/>
  <c r="E506" i="433"/>
  <c r="E508" i="434"/>
  <c r="A507" i="434"/>
  <c r="B507" i="434" s="1"/>
  <c r="C505" i="433"/>
  <c r="D506" i="433"/>
  <c r="E509" i="434" l="1"/>
  <c r="A508" i="434"/>
  <c r="B508" i="434" s="1"/>
  <c r="E507" i="433"/>
  <c r="A506" i="433"/>
  <c r="B506" i="433" s="1"/>
  <c r="C505" i="434"/>
  <c r="D506" i="434"/>
  <c r="C506" i="433"/>
  <c r="D507" i="433"/>
  <c r="E508" i="433" l="1"/>
  <c r="A507" i="433"/>
  <c r="B507" i="433" s="1"/>
  <c r="C506" i="434"/>
  <c r="D507" i="434"/>
  <c r="A509" i="434"/>
  <c r="B509" i="434" s="1"/>
  <c r="E510" i="434"/>
  <c r="C507" i="433"/>
  <c r="D508" i="433"/>
  <c r="E511" i="434" l="1"/>
  <c r="A510" i="434"/>
  <c r="B510" i="434" s="1"/>
  <c r="D508" i="434"/>
  <c r="C507" i="434"/>
  <c r="A508" i="433"/>
  <c r="B508" i="433" s="1"/>
  <c r="E509" i="433"/>
  <c r="C508" i="433"/>
  <c r="D509" i="433"/>
  <c r="E510" i="433" l="1"/>
  <c r="A509" i="433"/>
  <c r="B509" i="433" s="1"/>
  <c r="C508" i="434"/>
  <c r="D509" i="434"/>
  <c r="A511" i="434"/>
  <c r="B511" i="434" s="1"/>
  <c r="E512" i="434"/>
  <c r="C509" i="433"/>
  <c r="D510" i="433"/>
  <c r="A512" i="434" l="1"/>
  <c r="B512" i="434" s="1"/>
  <c r="E513" i="434"/>
  <c r="C509" i="434"/>
  <c r="D510" i="434"/>
  <c r="E511" i="433"/>
  <c r="A510" i="433"/>
  <c r="B510" i="433" s="1"/>
  <c r="D511" i="433"/>
  <c r="C510" i="433"/>
  <c r="D511" i="434" l="1"/>
  <c r="C510" i="434"/>
  <c r="A511" i="433"/>
  <c r="B511" i="433" s="1"/>
  <c r="E512" i="433"/>
  <c r="A513" i="434"/>
  <c r="B513" i="434" s="1"/>
  <c r="E514" i="434"/>
  <c r="D512" i="433"/>
  <c r="C511" i="433"/>
  <c r="A514" i="434" l="1"/>
  <c r="B514" i="434" s="1"/>
  <c r="E515" i="434"/>
  <c r="E513" i="433"/>
  <c r="A512" i="433"/>
  <c r="B512" i="433" s="1"/>
  <c r="D512" i="434"/>
  <c r="C511" i="434"/>
  <c r="C512" i="433"/>
  <c r="D513" i="433"/>
  <c r="C512" i="434" l="1"/>
  <c r="D513" i="434"/>
  <c r="A513" i="433"/>
  <c r="B513" i="433" s="1"/>
  <c r="E514" i="433"/>
  <c r="E516" i="434"/>
  <c r="A515" i="434"/>
  <c r="B515" i="434" s="1"/>
  <c r="D514" i="433"/>
  <c r="C513" i="433"/>
  <c r="E517" i="434" l="1"/>
  <c r="A516" i="434"/>
  <c r="B516" i="434" s="1"/>
  <c r="A514" i="433"/>
  <c r="B514" i="433" s="1"/>
  <c r="E515" i="433"/>
  <c r="C513" i="434"/>
  <c r="D514" i="434"/>
  <c r="D515" i="433"/>
  <c r="C514" i="433"/>
  <c r="C514" i="434" l="1"/>
  <c r="D515" i="434"/>
  <c r="A515" i="433"/>
  <c r="B515" i="433" s="1"/>
  <c r="E516" i="433"/>
  <c r="E518" i="434"/>
  <c r="A517" i="434"/>
  <c r="B517" i="434" s="1"/>
  <c r="D516" i="433"/>
  <c r="C515" i="433"/>
  <c r="A518" i="434" l="1"/>
  <c r="B518" i="434" s="1"/>
  <c r="E519" i="434"/>
  <c r="A516" i="433"/>
  <c r="B516" i="433" s="1"/>
  <c r="E517" i="433"/>
  <c r="D516" i="434"/>
  <c r="C515" i="434"/>
  <c r="D517" i="433"/>
  <c r="C516" i="433"/>
  <c r="C516" i="434" l="1"/>
  <c r="D517" i="434"/>
  <c r="A517" i="433"/>
  <c r="B517" i="433" s="1"/>
  <c r="E518" i="433"/>
  <c r="A519" i="434"/>
  <c r="B519" i="434" s="1"/>
  <c r="E520" i="434"/>
  <c r="C517" i="433"/>
  <c r="D518" i="433"/>
  <c r="A520" i="434" l="1"/>
  <c r="B520" i="434" s="1"/>
  <c r="E521" i="434"/>
  <c r="E519" i="433"/>
  <c r="A518" i="433"/>
  <c r="B518" i="433" s="1"/>
  <c r="D518" i="434"/>
  <c r="C517" i="434"/>
  <c r="D519" i="433"/>
  <c r="C518" i="433"/>
  <c r="C518" i="434" l="1"/>
  <c r="D519" i="434"/>
  <c r="E520" i="433"/>
  <c r="A519" i="433"/>
  <c r="B519" i="433" s="1"/>
  <c r="E522" i="434"/>
  <c r="A521" i="434"/>
  <c r="B521" i="434" s="1"/>
  <c r="D520" i="433"/>
  <c r="C519" i="433"/>
  <c r="E523" i="434" l="1"/>
  <c r="A522" i="434"/>
  <c r="B522" i="434" s="1"/>
  <c r="A520" i="433"/>
  <c r="B520" i="433" s="1"/>
  <c r="E521" i="433"/>
  <c r="C519" i="434"/>
  <c r="D520" i="434"/>
  <c r="C520" i="433"/>
  <c r="D521" i="433"/>
  <c r="D521" i="434" l="1"/>
  <c r="C520" i="434"/>
  <c r="A521" i="433"/>
  <c r="B521" i="433" s="1"/>
  <c r="E522" i="433"/>
  <c r="E524" i="434"/>
  <c r="A523" i="434"/>
  <c r="B523" i="434" s="1"/>
  <c r="C521" i="433"/>
  <c r="D522" i="433"/>
  <c r="A524" i="434" l="1"/>
  <c r="B524" i="434" s="1"/>
  <c r="E525" i="434"/>
  <c r="A522" i="433"/>
  <c r="B522" i="433" s="1"/>
  <c r="E523" i="433"/>
  <c r="D522" i="434"/>
  <c r="C521" i="434"/>
  <c r="D523" i="433"/>
  <c r="C522" i="433"/>
  <c r="D523" i="434" l="1"/>
  <c r="C522" i="434"/>
  <c r="E524" i="433"/>
  <c r="A523" i="433"/>
  <c r="B523" i="433" s="1"/>
  <c r="E526" i="434"/>
  <c r="A525" i="434"/>
  <c r="B525" i="434" s="1"/>
  <c r="C523" i="433"/>
  <c r="D524" i="433"/>
  <c r="E527" i="434" l="1"/>
  <c r="A526" i="434"/>
  <c r="B526" i="434" s="1"/>
  <c r="E525" i="433"/>
  <c r="A524" i="433"/>
  <c r="B524" i="433" s="1"/>
  <c r="C523" i="434"/>
  <c r="D524" i="434"/>
  <c r="C524" i="433"/>
  <c r="D525" i="433"/>
  <c r="D525" i="434" l="1"/>
  <c r="C524" i="434"/>
  <c r="E526" i="433"/>
  <c r="A525" i="433"/>
  <c r="B525" i="433" s="1"/>
  <c r="A527" i="434"/>
  <c r="B527" i="434" s="1"/>
  <c r="E528" i="434"/>
  <c r="D526" i="433"/>
  <c r="C525" i="433"/>
  <c r="E529" i="434" l="1"/>
  <c r="A528" i="434"/>
  <c r="B528" i="434" s="1"/>
  <c r="E527" i="433"/>
  <c r="A526" i="433"/>
  <c r="B526" i="433" s="1"/>
  <c r="C525" i="434"/>
  <c r="D526" i="434"/>
  <c r="D527" i="433"/>
  <c r="C526" i="433"/>
  <c r="C526" i="434" l="1"/>
  <c r="D527" i="434"/>
  <c r="A527" i="433"/>
  <c r="B527" i="433" s="1"/>
  <c r="E528" i="433"/>
  <c r="E530" i="434"/>
  <c r="A529" i="434"/>
  <c r="B529" i="434" s="1"/>
  <c r="D528" i="433"/>
  <c r="C527" i="433"/>
  <c r="E531" i="434" l="1"/>
  <c r="A530" i="434"/>
  <c r="B530" i="434" s="1"/>
  <c r="E529" i="433"/>
  <c r="A528" i="433"/>
  <c r="B528" i="433" s="1"/>
  <c r="D528" i="434"/>
  <c r="C527" i="434"/>
  <c r="D529" i="433"/>
  <c r="C528" i="433"/>
  <c r="C528" i="434" l="1"/>
  <c r="D529" i="434"/>
  <c r="A529" i="433"/>
  <c r="B529" i="433" s="1"/>
  <c r="E530" i="433"/>
  <c r="E532" i="434"/>
  <c r="A531" i="434"/>
  <c r="B531" i="434" s="1"/>
  <c r="C529" i="433"/>
  <c r="D530" i="433"/>
  <c r="A532" i="434" l="1"/>
  <c r="B532" i="434" s="1"/>
  <c r="E533" i="434"/>
  <c r="A530" i="433"/>
  <c r="B530" i="433" s="1"/>
  <c r="E531" i="433"/>
  <c r="D530" i="434"/>
  <c r="C529" i="434"/>
  <c r="C530" i="433"/>
  <c r="D531" i="433"/>
  <c r="D531" i="434" l="1"/>
  <c r="C530" i="434"/>
  <c r="E532" i="433"/>
  <c r="A531" i="433"/>
  <c r="B531" i="433" s="1"/>
  <c r="A533" i="434"/>
  <c r="B533" i="434" s="1"/>
  <c r="E534" i="434"/>
  <c r="D532" i="433"/>
  <c r="C531" i="433"/>
  <c r="E533" i="433" l="1"/>
  <c r="A532" i="433"/>
  <c r="B532" i="433" s="1"/>
  <c r="A534" i="434"/>
  <c r="B534" i="434" s="1"/>
  <c r="E535" i="434"/>
  <c r="D532" i="434"/>
  <c r="C531" i="434"/>
  <c r="C532" i="433"/>
  <c r="D533" i="433"/>
  <c r="C532" i="434" l="1"/>
  <c r="D533" i="434"/>
  <c r="E536" i="434"/>
  <c r="A535" i="434"/>
  <c r="B535" i="434" s="1"/>
  <c r="E534" i="433"/>
  <c r="A533" i="433"/>
  <c r="B533" i="433" s="1"/>
  <c r="D534" i="433"/>
  <c r="C533" i="433"/>
  <c r="E535" i="433" l="1"/>
  <c r="A534" i="433"/>
  <c r="B534" i="433" s="1"/>
  <c r="A536" i="434"/>
  <c r="B536" i="434" s="1"/>
  <c r="E537" i="434"/>
  <c r="D534" i="434"/>
  <c r="C533" i="434"/>
  <c r="C534" i="433"/>
  <c r="D535" i="433"/>
  <c r="D535" i="434" l="1"/>
  <c r="C534" i="434"/>
  <c r="A537" i="434"/>
  <c r="B537" i="434" s="1"/>
  <c r="E538" i="434"/>
  <c r="A535" i="433"/>
  <c r="B535" i="433" s="1"/>
  <c r="E536" i="433"/>
  <c r="D536" i="433"/>
  <c r="C535" i="433"/>
  <c r="E537" i="433" l="1"/>
  <c r="A536" i="433"/>
  <c r="B536" i="433" s="1"/>
  <c r="A538" i="434"/>
  <c r="B538" i="434" s="1"/>
  <c r="E539" i="434"/>
  <c r="C535" i="434"/>
  <c r="D536" i="434"/>
  <c r="C536" i="433"/>
  <c r="D537" i="433"/>
  <c r="D537" i="434" l="1"/>
  <c r="C536" i="434"/>
  <c r="E540" i="434"/>
  <c r="A539" i="434"/>
  <c r="B539" i="434" s="1"/>
  <c r="A537" i="433"/>
  <c r="B537" i="433" s="1"/>
  <c r="E538" i="433"/>
  <c r="D538" i="433"/>
  <c r="C537" i="433"/>
  <c r="E539" i="433" l="1"/>
  <c r="A538" i="433"/>
  <c r="B538" i="433" s="1"/>
  <c r="D538" i="434"/>
  <c r="C537" i="434"/>
  <c r="A540" i="434"/>
  <c r="B540" i="434" s="1"/>
  <c r="E541" i="434"/>
  <c r="D539" i="433"/>
  <c r="C538" i="433"/>
  <c r="A541" i="434" l="1"/>
  <c r="B541" i="434" s="1"/>
  <c r="E542" i="434"/>
  <c r="D539" i="434"/>
  <c r="C538" i="434"/>
  <c r="A539" i="433"/>
  <c r="B539" i="433" s="1"/>
  <c r="E540" i="433"/>
  <c r="C539" i="433"/>
  <c r="D540" i="433"/>
  <c r="A540" i="433" l="1"/>
  <c r="B540" i="433" s="1"/>
  <c r="E541" i="433"/>
  <c r="D540" i="434"/>
  <c r="C539" i="434"/>
  <c r="E543" i="434"/>
  <c r="A542" i="434"/>
  <c r="B542" i="434" s="1"/>
  <c r="D541" i="433"/>
  <c r="C540" i="433"/>
  <c r="A543" i="434" l="1"/>
  <c r="B543" i="434" s="1"/>
  <c r="E544" i="434"/>
  <c r="C540" i="434"/>
  <c r="D541" i="434"/>
  <c r="E542" i="433"/>
  <c r="A541" i="433"/>
  <c r="B541" i="433" s="1"/>
  <c r="C541" i="433"/>
  <c r="D542" i="433"/>
  <c r="E543" i="433" l="1"/>
  <c r="A542" i="433"/>
  <c r="B542" i="433" s="1"/>
  <c r="D542" i="434"/>
  <c r="C541" i="434"/>
  <c r="E545" i="434"/>
  <c r="A544" i="434"/>
  <c r="B544" i="434" s="1"/>
  <c r="C542" i="433"/>
  <c r="D543" i="433"/>
  <c r="A545" i="434" l="1"/>
  <c r="B545" i="434" s="1"/>
  <c r="E546" i="434"/>
  <c r="C542" i="434"/>
  <c r="D543" i="434"/>
  <c r="A543" i="433"/>
  <c r="B543" i="433" s="1"/>
  <c r="E544" i="433"/>
  <c r="D544" i="433"/>
  <c r="C543" i="433"/>
  <c r="D544" i="434" l="1"/>
  <c r="C543" i="434"/>
  <c r="A546" i="434"/>
  <c r="B546" i="434" s="1"/>
  <c r="E547" i="434"/>
  <c r="E545" i="433"/>
  <c r="A544" i="433"/>
  <c r="B544" i="433" s="1"/>
  <c r="C544" i="433"/>
  <c r="D545" i="433"/>
  <c r="E546" i="433" l="1"/>
  <c r="A545" i="433"/>
  <c r="B545" i="433" s="1"/>
  <c r="E548" i="434"/>
  <c r="A547" i="434"/>
  <c r="B547" i="434" s="1"/>
  <c r="D545" i="434"/>
  <c r="C544" i="434"/>
  <c r="C545" i="433"/>
  <c r="D546" i="433"/>
  <c r="C545" i="434" l="1"/>
  <c r="D546" i="434"/>
  <c r="E549" i="434"/>
  <c r="A548" i="434"/>
  <c r="B548" i="434" s="1"/>
  <c r="E547" i="433"/>
  <c r="A546" i="433"/>
  <c r="B546" i="433" s="1"/>
  <c r="D547" i="433"/>
  <c r="C546" i="433"/>
  <c r="E548" i="433" l="1"/>
  <c r="A547" i="433"/>
  <c r="B547" i="433" s="1"/>
  <c r="A549" i="434"/>
  <c r="B549" i="434" s="1"/>
  <c r="E550" i="434"/>
  <c r="C546" i="434"/>
  <c r="D547" i="434"/>
  <c r="D548" i="433"/>
  <c r="C547" i="433"/>
  <c r="D548" i="434" l="1"/>
  <c r="C547" i="434"/>
  <c r="E551" i="434"/>
  <c r="A550" i="434"/>
  <c r="B550" i="434" s="1"/>
  <c r="A548" i="433"/>
  <c r="B548" i="433" s="1"/>
  <c r="E549" i="433"/>
  <c r="C548" i="433"/>
  <c r="D549" i="433"/>
  <c r="A549" i="433" l="1"/>
  <c r="B549" i="433" s="1"/>
  <c r="E550" i="433"/>
  <c r="A551" i="434"/>
  <c r="B551" i="434" s="1"/>
  <c r="E552" i="434"/>
  <c r="D549" i="434"/>
  <c r="C548" i="434"/>
  <c r="D550" i="433"/>
  <c r="C549" i="433"/>
  <c r="D550" i="434" l="1"/>
  <c r="C549" i="434"/>
  <c r="E553" i="434"/>
  <c r="A552" i="434"/>
  <c r="B552" i="434" s="1"/>
  <c r="A550" i="433"/>
  <c r="B550" i="433" s="1"/>
  <c r="E551" i="433"/>
  <c r="D551" i="433"/>
  <c r="C550" i="433"/>
  <c r="E552" i="433" l="1"/>
  <c r="A551" i="433"/>
  <c r="B551" i="433" s="1"/>
  <c r="E554" i="434"/>
  <c r="A553" i="434"/>
  <c r="B553" i="434" s="1"/>
  <c r="D551" i="434"/>
  <c r="C550" i="434"/>
  <c r="C551" i="433"/>
  <c r="D552" i="433"/>
  <c r="D552" i="434" l="1"/>
  <c r="C551" i="434"/>
  <c r="E555" i="434"/>
  <c r="A554" i="434"/>
  <c r="B554" i="434" s="1"/>
  <c r="E553" i="433"/>
  <c r="A552" i="433"/>
  <c r="B552" i="433" s="1"/>
  <c r="C552" i="433"/>
  <c r="D553" i="433"/>
  <c r="E554" i="433" l="1"/>
  <c r="A553" i="433"/>
  <c r="B553" i="433" s="1"/>
  <c r="E556" i="434"/>
  <c r="A555" i="434"/>
  <c r="B555" i="434" s="1"/>
  <c r="C552" i="434"/>
  <c r="D553" i="434"/>
  <c r="D554" i="433"/>
  <c r="C553" i="433"/>
  <c r="A556" i="434" l="1"/>
  <c r="B556" i="434" s="1"/>
  <c r="E557" i="434"/>
  <c r="D554" i="434"/>
  <c r="C553" i="434"/>
  <c r="E555" i="433"/>
  <c r="A554" i="433"/>
  <c r="B554" i="433" s="1"/>
  <c r="D555" i="433"/>
  <c r="C554" i="433"/>
  <c r="E556" i="433" l="1"/>
  <c r="A555" i="433"/>
  <c r="B555" i="433" s="1"/>
  <c r="C554" i="434"/>
  <c r="D555" i="434"/>
  <c r="A557" i="434"/>
  <c r="B557" i="434" s="1"/>
  <c r="E558" i="434"/>
  <c r="D556" i="433"/>
  <c r="C555" i="433"/>
  <c r="D556" i="434" l="1"/>
  <c r="C555" i="434"/>
  <c r="E557" i="433"/>
  <c r="A556" i="433"/>
  <c r="B556" i="433" s="1"/>
  <c r="E559" i="434"/>
  <c r="A558" i="434"/>
  <c r="B558" i="434" s="1"/>
  <c r="C556" i="433"/>
  <c r="D557" i="433"/>
  <c r="D557" i="434" l="1"/>
  <c r="C556" i="434"/>
  <c r="A559" i="434"/>
  <c r="B559" i="434" s="1"/>
  <c r="E560" i="434"/>
  <c r="E558" i="433"/>
  <c r="A557" i="433"/>
  <c r="B557" i="433" s="1"/>
  <c r="D558" i="433"/>
  <c r="C557" i="433"/>
  <c r="D558" i="434" l="1"/>
  <c r="C557" i="434"/>
  <c r="A558" i="433"/>
  <c r="B558" i="433" s="1"/>
  <c r="E559" i="433"/>
  <c r="E561" i="434"/>
  <c r="A560" i="434"/>
  <c r="B560" i="434" s="1"/>
  <c r="C558" i="433"/>
  <c r="D559" i="433"/>
  <c r="C558" i="434" l="1"/>
  <c r="D559" i="434"/>
  <c r="A561" i="434"/>
  <c r="B561" i="434" s="1"/>
  <c r="E562" i="434"/>
  <c r="A559" i="433"/>
  <c r="B559" i="433" s="1"/>
  <c r="E560" i="433"/>
  <c r="C559" i="433"/>
  <c r="D560" i="433"/>
  <c r="A560" i="433" l="1"/>
  <c r="B560" i="433" s="1"/>
  <c r="E561" i="433"/>
  <c r="A562" i="434"/>
  <c r="B562" i="434" s="1"/>
  <c r="E563" i="434"/>
  <c r="D560" i="434"/>
  <c r="C559" i="434"/>
  <c r="C560" i="433"/>
  <c r="D561" i="433"/>
  <c r="C560" i="434" l="1"/>
  <c r="D561" i="434"/>
  <c r="A563" i="434"/>
  <c r="B563" i="434" s="1"/>
  <c r="E564" i="434"/>
  <c r="E562" i="433"/>
  <c r="A561" i="433"/>
  <c r="B561" i="433" s="1"/>
  <c r="C561" i="433"/>
  <c r="D562" i="433"/>
  <c r="E563" i="433" l="1"/>
  <c r="A562" i="433"/>
  <c r="B562" i="433" s="1"/>
  <c r="A564" i="434"/>
  <c r="B564" i="434" s="1"/>
  <c r="E565" i="434"/>
  <c r="C561" i="434"/>
  <c r="D562" i="434"/>
  <c r="C562" i="433"/>
  <c r="D563" i="433"/>
  <c r="A563" i="433" l="1"/>
  <c r="B563" i="433" s="1"/>
  <c r="E564" i="433"/>
  <c r="D563" i="434"/>
  <c r="C562" i="434"/>
  <c r="E566" i="434"/>
  <c r="A565" i="434"/>
  <c r="B565" i="434" s="1"/>
  <c r="C563" i="433"/>
  <c r="D564" i="433"/>
  <c r="E567" i="434" l="1"/>
  <c r="A566" i="434"/>
  <c r="B566" i="434" s="1"/>
  <c r="C563" i="434"/>
  <c r="D564" i="434"/>
  <c r="A564" i="433"/>
  <c r="B564" i="433" s="1"/>
  <c r="E565" i="433"/>
  <c r="D565" i="433"/>
  <c r="C564" i="433"/>
  <c r="A567" i="434" l="1"/>
  <c r="B567" i="434" s="1"/>
  <c r="E568" i="434"/>
  <c r="A565" i="433"/>
  <c r="B565" i="433" s="1"/>
  <c r="E566" i="433"/>
  <c r="C564" i="434"/>
  <c r="D565" i="434"/>
  <c r="C565" i="433"/>
  <c r="D566" i="433"/>
  <c r="C565" i="434" l="1"/>
  <c r="D566" i="434"/>
  <c r="A566" i="433"/>
  <c r="B566" i="433" s="1"/>
  <c r="E567" i="433"/>
  <c r="E569" i="434"/>
  <c r="A568" i="434"/>
  <c r="B568" i="434" s="1"/>
  <c r="D567" i="433"/>
  <c r="C566" i="433"/>
  <c r="A569" i="434" l="1"/>
  <c r="B569" i="434" s="1"/>
  <c r="E570" i="434"/>
  <c r="A567" i="433"/>
  <c r="B567" i="433" s="1"/>
  <c r="E568" i="433"/>
  <c r="C566" i="434"/>
  <c r="D567" i="434"/>
  <c r="D568" i="433"/>
  <c r="C567" i="433"/>
  <c r="C567" i="434" l="1"/>
  <c r="D568" i="434"/>
  <c r="E569" i="433"/>
  <c r="A568" i="433"/>
  <c r="B568" i="433" s="1"/>
  <c r="A570" i="434"/>
  <c r="B570" i="434" s="1"/>
  <c r="E571" i="434"/>
  <c r="C568" i="433"/>
  <c r="D569" i="433"/>
  <c r="A571" i="434" l="1"/>
  <c r="B571" i="434" s="1"/>
  <c r="E572" i="434"/>
  <c r="A569" i="433"/>
  <c r="B569" i="433" s="1"/>
  <c r="E570" i="433"/>
  <c r="D569" i="434"/>
  <c r="C568" i="434"/>
  <c r="C569" i="433"/>
  <c r="D570" i="433"/>
  <c r="D570" i="434" l="1"/>
  <c r="C569" i="434"/>
  <c r="A570" i="433"/>
  <c r="B570" i="433" s="1"/>
  <c r="E571" i="433"/>
  <c r="E573" i="434"/>
  <c r="A572" i="434"/>
  <c r="B572" i="434" s="1"/>
  <c r="D571" i="433"/>
  <c r="C570" i="433"/>
  <c r="E574" i="434" l="1"/>
  <c r="A573" i="434"/>
  <c r="B573" i="434" s="1"/>
  <c r="E572" i="433"/>
  <c r="A571" i="433"/>
  <c r="B571" i="433" s="1"/>
  <c r="D571" i="434"/>
  <c r="C570" i="434"/>
  <c r="C571" i="433"/>
  <c r="D572" i="433"/>
  <c r="C571" i="434" l="1"/>
  <c r="D572" i="434"/>
  <c r="E573" i="433"/>
  <c r="A572" i="433"/>
  <c r="B572" i="433" s="1"/>
  <c r="A574" i="434"/>
  <c r="B574" i="434" s="1"/>
  <c r="E575" i="434"/>
  <c r="D573" i="433"/>
  <c r="C572" i="433"/>
  <c r="E576" i="434" l="1"/>
  <c r="A575" i="434"/>
  <c r="B575" i="434" s="1"/>
  <c r="E574" i="433"/>
  <c r="A573" i="433"/>
  <c r="B573" i="433" s="1"/>
  <c r="C572" i="434"/>
  <c r="D573" i="434"/>
  <c r="D574" i="433"/>
  <c r="C573" i="433"/>
  <c r="D574" i="434" l="1"/>
  <c r="C573" i="434"/>
  <c r="A574" i="433"/>
  <c r="B574" i="433" s="1"/>
  <c r="E575" i="433"/>
  <c r="E577" i="434"/>
  <c r="A576" i="434"/>
  <c r="B576" i="434" s="1"/>
  <c r="C574" i="433"/>
  <c r="D575" i="433"/>
  <c r="E578" i="434" l="1"/>
  <c r="A577" i="434"/>
  <c r="B577" i="434" s="1"/>
  <c r="E576" i="433"/>
  <c r="A575" i="433"/>
  <c r="B575" i="433" s="1"/>
  <c r="C574" i="434"/>
  <c r="D575" i="434"/>
  <c r="D576" i="433"/>
  <c r="C575" i="433"/>
  <c r="C575" i="434" l="1"/>
  <c r="D576" i="434"/>
  <c r="A576" i="433"/>
  <c r="B576" i="433" s="1"/>
  <c r="E577" i="433"/>
  <c r="E579" i="434"/>
  <c r="A578" i="434"/>
  <c r="B578" i="434" s="1"/>
  <c r="D577" i="433"/>
  <c r="C576" i="433"/>
  <c r="A579" i="434" l="1"/>
  <c r="B579" i="434" s="1"/>
  <c r="E580" i="434"/>
  <c r="E578" i="433"/>
  <c r="A577" i="433"/>
  <c r="B577" i="433" s="1"/>
  <c r="D577" i="434"/>
  <c r="C576" i="434"/>
  <c r="D578" i="433"/>
  <c r="C577" i="433"/>
  <c r="D578" i="434" l="1"/>
  <c r="C577" i="434"/>
  <c r="A578" i="433"/>
  <c r="B578" i="433" s="1"/>
  <c r="E579" i="433"/>
  <c r="E581" i="434"/>
  <c r="A580" i="434"/>
  <c r="B580" i="434" s="1"/>
  <c r="C578" i="433"/>
  <c r="D579" i="433"/>
  <c r="E582" i="434" l="1"/>
  <c r="A581" i="434"/>
  <c r="B581" i="434" s="1"/>
  <c r="E580" i="433"/>
  <c r="A579" i="433"/>
  <c r="B579" i="433" s="1"/>
  <c r="C578" i="434"/>
  <c r="D579" i="434"/>
  <c r="C579" i="433"/>
  <c r="D580" i="433"/>
  <c r="A580" i="433" l="1"/>
  <c r="B580" i="433" s="1"/>
  <c r="E581" i="433"/>
  <c r="D580" i="434"/>
  <c r="C579" i="434"/>
  <c r="E583" i="434"/>
  <c r="A582" i="434"/>
  <c r="B582" i="434" s="1"/>
  <c r="D581" i="433"/>
  <c r="C580" i="433"/>
  <c r="E584" i="434" l="1"/>
  <c r="A583" i="434"/>
  <c r="B583" i="434" s="1"/>
  <c r="C580" i="434"/>
  <c r="D581" i="434"/>
  <c r="E582" i="433"/>
  <c r="A581" i="433"/>
  <c r="B581" i="433" s="1"/>
  <c r="C581" i="433"/>
  <c r="D582" i="433"/>
  <c r="E583" i="433" l="1"/>
  <c r="A582" i="433"/>
  <c r="B582" i="433" s="1"/>
  <c r="D582" i="434"/>
  <c r="C581" i="434"/>
  <c r="E585" i="434"/>
  <c r="A584" i="434"/>
  <c r="B584" i="434" s="1"/>
  <c r="C582" i="433"/>
  <c r="D583" i="433"/>
  <c r="E586" i="434" l="1"/>
  <c r="A585" i="434"/>
  <c r="B585" i="434" s="1"/>
  <c r="C582" i="434"/>
  <c r="D583" i="434"/>
  <c r="E584" i="433"/>
  <c r="A583" i="433"/>
  <c r="B583" i="433" s="1"/>
  <c r="D584" i="433"/>
  <c r="C583" i="433"/>
  <c r="A584" i="433" l="1"/>
  <c r="B584" i="433" s="1"/>
  <c r="E585" i="433"/>
  <c r="C583" i="434"/>
  <c r="D584" i="434"/>
  <c r="A586" i="434"/>
  <c r="B586" i="434" s="1"/>
  <c r="E587" i="434"/>
  <c r="C584" i="433"/>
  <c r="D585" i="433"/>
  <c r="D585" i="434" l="1"/>
  <c r="C584" i="434"/>
  <c r="A585" i="433"/>
  <c r="B585" i="433" s="1"/>
  <c r="E586" i="433"/>
  <c r="E588" i="434"/>
  <c r="A587" i="434"/>
  <c r="B587" i="434" s="1"/>
  <c r="C585" i="433"/>
  <c r="D586" i="433"/>
  <c r="E589" i="434" l="1"/>
  <c r="A588" i="434"/>
  <c r="B588" i="434" s="1"/>
  <c r="E587" i="433"/>
  <c r="A586" i="433"/>
  <c r="B586" i="433" s="1"/>
  <c r="D586" i="434"/>
  <c r="C585" i="434"/>
  <c r="D587" i="433"/>
  <c r="C586" i="433"/>
  <c r="C586" i="434" l="1"/>
  <c r="D587" i="434"/>
  <c r="E588" i="433"/>
  <c r="A587" i="433"/>
  <c r="B587" i="433" s="1"/>
  <c r="A589" i="434"/>
  <c r="B589" i="434" s="1"/>
  <c r="E590" i="434"/>
  <c r="D588" i="433"/>
  <c r="C587" i="433"/>
  <c r="A590" i="434" l="1"/>
  <c r="B590" i="434" s="1"/>
  <c r="E591" i="434"/>
  <c r="E589" i="433"/>
  <c r="A588" i="433"/>
  <c r="B588" i="433" s="1"/>
  <c r="D588" i="434"/>
  <c r="C587" i="434"/>
  <c r="D589" i="433"/>
  <c r="C588" i="433"/>
  <c r="D589" i="434" l="1"/>
  <c r="C588" i="434"/>
  <c r="E590" i="433"/>
  <c r="A589" i="433"/>
  <c r="B589" i="433" s="1"/>
  <c r="A591" i="434"/>
  <c r="B591" i="434" s="1"/>
  <c r="E592" i="434"/>
  <c r="D590" i="433"/>
  <c r="C589" i="433"/>
  <c r="A592" i="434" l="1"/>
  <c r="B592" i="434" s="1"/>
  <c r="E593" i="434"/>
  <c r="A590" i="433"/>
  <c r="B590" i="433" s="1"/>
  <c r="E591" i="433"/>
  <c r="C589" i="434"/>
  <c r="D590" i="434"/>
  <c r="D591" i="433"/>
  <c r="C590" i="433"/>
  <c r="D591" i="434" l="1"/>
  <c r="C590" i="434"/>
  <c r="A591" i="433"/>
  <c r="B591" i="433" s="1"/>
  <c r="E592" i="433"/>
  <c r="E594" i="434"/>
  <c r="A593" i="434"/>
  <c r="B593" i="434" s="1"/>
  <c r="C591" i="433"/>
  <c r="D592" i="433"/>
  <c r="E595" i="434" l="1"/>
  <c r="A594" i="434"/>
  <c r="B594" i="434" s="1"/>
  <c r="E593" i="433"/>
  <c r="A592" i="433"/>
  <c r="B592" i="433" s="1"/>
  <c r="D592" i="434"/>
  <c r="C591" i="434"/>
  <c r="C592" i="433"/>
  <c r="D593" i="433"/>
  <c r="D593" i="434" l="1"/>
  <c r="C592" i="434"/>
  <c r="E594" i="433"/>
  <c r="A593" i="433"/>
  <c r="B593" i="433" s="1"/>
  <c r="E596" i="434"/>
  <c r="A595" i="434"/>
  <c r="B595" i="434" s="1"/>
  <c r="C593" i="433"/>
  <c r="D594" i="433"/>
  <c r="E597" i="434" l="1"/>
  <c r="A596" i="434"/>
  <c r="B596" i="434" s="1"/>
  <c r="A594" i="433"/>
  <c r="B594" i="433" s="1"/>
  <c r="E595" i="433"/>
  <c r="C593" i="434"/>
  <c r="D594" i="434"/>
  <c r="C594" i="433"/>
  <c r="D595" i="433"/>
  <c r="C594" i="434" l="1"/>
  <c r="D595" i="434"/>
  <c r="A595" i="433"/>
  <c r="B595" i="433" s="1"/>
  <c r="E596" i="433"/>
  <c r="E598" i="434"/>
  <c r="A597" i="434"/>
  <c r="B597" i="434" s="1"/>
  <c r="C595" i="433"/>
  <c r="D596" i="433"/>
  <c r="E599" i="434" l="1"/>
  <c r="A598" i="434"/>
  <c r="B598" i="434" s="1"/>
  <c r="E597" i="433"/>
  <c r="A596" i="433"/>
  <c r="B596" i="433" s="1"/>
  <c r="C595" i="434"/>
  <c r="D596" i="434"/>
  <c r="D597" i="433"/>
  <c r="C596" i="433"/>
  <c r="D597" i="434" l="1"/>
  <c r="C596" i="434"/>
  <c r="A597" i="433"/>
  <c r="B597" i="433" s="1"/>
  <c r="E598" i="433"/>
  <c r="A599" i="434"/>
  <c r="B599" i="434" s="1"/>
  <c r="E600" i="434"/>
  <c r="D598" i="433"/>
  <c r="C597" i="433"/>
  <c r="E601" i="434" l="1"/>
  <c r="A600" i="434"/>
  <c r="B600" i="434" s="1"/>
  <c r="A598" i="433"/>
  <c r="B598" i="433" s="1"/>
  <c r="E599" i="433"/>
  <c r="C597" i="434"/>
  <c r="D598" i="434"/>
  <c r="C598" i="433"/>
  <c r="D599" i="433"/>
  <c r="C598" i="434" l="1"/>
  <c r="D599" i="434"/>
  <c r="E600" i="433"/>
  <c r="A599" i="433"/>
  <c r="B599" i="433" s="1"/>
  <c r="A601" i="434"/>
  <c r="B601" i="434" s="1"/>
  <c r="E602" i="434"/>
  <c r="C599" i="433"/>
  <c r="D600" i="433"/>
  <c r="A602" i="434" l="1"/>
  <c r="B602" i="434" s="1"/>
  <c r="E603" i="434"/>
  <c r="A600" i="433"/>
  <c r="B600" i="433" s="1"/>
  <c r="E601" i="433"/>
  <c r="D600" i="434"/>
  <c r="C599" i="434"/>
  <c r="D601" i="433"/>
  <c r="C600" i="433"/>
  <c r="E604" i="434" l="1"/>
  <c r="A603" i="434"/>
  <c r="B603" i="434" s="1"/>
  <c r="C600" i="434"/>
  <c r="D601" i="434"/>
  <c r="E602" i="433"/>
  <c r="A601" i="433"/>
  <c r="B601" i="433" s="1"/>
  <c r="C601" i="433"/>
  <c r="D602" i="433"/>
  <c r="E603" i="433" l="1"/>
  <c r="A602" i="433"/>
  <c r="B602" i="433" s="1"/>
  <c r="D602" i="434"/>
  <c r="C601" i="434"/>
  <c r="E605" i="434"/>
  <c r="A604" i="434"/>
  <c r="B604" i="434" s="1"/>
  <c r="D603" i="433"/>
  <c r="C602" i="433"/>
  <c r="E606" i="434" l="1"/>
  <c r="A605" i="434"/>
  <c r="B605" i="434" s="1"/>
  <c r="C602" i="434"/>
  <c r="D603" i="434"/>
  <c r="A603" i="433"/>
  <c r="B603" i="433" s="1"/>
  <c r="E604" i="433"/>
  <c r="D604" i="433"/>
  <c r="C603" i="433"/>
  <c r="A604" i="433" l="1"/>
  <c r="B604" i="433" s="1"/>
  <c r="E605" i="433"/>
  <c r="C603" i="434"/>
  <c r="D604" i="434"/>
  <c r="E607" i="434"/>
  <c r="A606" i="434"/>
  <c r="B606" i="434" s="1"/>
  <c r="D605" i="433"/>
  <c r="C604" i="433"/>
  <c r="E608" i="434" l="1"/>
  <c r="A607" i="434"/>
  <c r="B607" i="434" s="1"/>
  <c r="D605" i="434"/>
  <c r="C604" i="434"/>
  <c r="A605" i="433"/>
  <c r="B605" i="433" s="1"/>
  <c r="E606" i="433"/>
  <c r="C605" i="433"/>
  <c r="D606" i="433"/>
  <c r="A606" i="433" l="1"/>
  <c r="B606" i="433" s="1"/>
  <c r="E607" i="433"/>
  <c r="D606" i="434"/>
  <c r="C605" i="434"/>
  <c r="E609" i="434"/>
  <c r="A608" i="434"/>
  <c r="B608" i="434" s="1"/>
  <c r="D607" i="433"/>
  <c r="C606" i="433"/>
  <c r="A609" i="434" l="1"/>
  <c r="B609" i="434" s="1"/>
  <c r="E610" i="434"/>
  <c r="D607" i="434"/>
  <c r="C606" i="434"/>
  <c r="E608" i="433"/>
  <c r="A607" i="433"/>
  <c r="B607" i="433" s="1"/>
  <c r="D608" i="433"/>
  <c r="C607" i="433"/>
  <c r="A608" i="433" l="1"/>
  <c r="B608" i="433" s="1"/>
  <c r="E609" i="433"/>
  <c r="D608" i="434"/>
  <c r="C607" i="434"/>
  <c r="A610" i="434"/>
  <c r="B610" i="434" s="1"/>
  <c r="E611" i="434"/>
  <c r="C608" i="433"/>
  <c r="D609" i="433"/>
  <c r="E612" i="434" l="1"/>
  <c r="A611" i="434"/>
  <c r="B611" i="434" s="1"/>
  <c r="C608" i="434"/>
  <c r="D609" i="434"/>
  <c r="E610" i="433"/>
  <c r="A609" i="433"/>
  <c r="B609" i="433" s="1"/>
  <c r="D610" i="433"/>
  <c r="C609" i="433"/>
  <c r="A610" i="433" l="1"/>
  <c r="B610" i="433" s="1"/>
  <c r="E611" i="433"/>
  <c r="C609" i="434"/>
  <c r="D610" i="434"/>
  <c r="A612" i="434"/>
  <c r="B612" i="434" s="1"/>
  <c r="E613" i="434"/>
  <c r="D611" i="433"/>
  <c r="C610" i="433"/>
  <c r="E612" i="433" l="1"/>
  <c r="A611" i="433"/>
  <c r="B611" i="433" s="1"/>
  <c r="A613" i="434"/>
  <c r="B613" i="434" s="1"/>
  <c r="E614" i="434"/>
  <c r="D611" i="434"/>
  <c r="C610" i="434"/>
  <c r="C611" i="433"/>
  <c r="D612" i="433"/>
  <c r="C611" i="434" l="1"/>
  <c r="D612" i="434"/>
  <c r="E615" i="434"/>
  <c r="A614" i="434"/>
  <c r="B614" i="434" s="1"/>
  <c r="E613" i="433"/>
  <c r="A612" i="433"/>
  <c r="B612" i="433" s="1"/>
  <c r="D613" i="433"/>
  <c r="C612" i="433"/>
  <c r="A615" i="434" l="1"/>
  <c r="B615" i="434" s="1"/>
  <c r="E616" i="434"/>
  <c r="C612" i="434"/>
  <c r="D613" i="434"/>
  <c r="E614" i="433"/>
  <c r="A613" i="433"/>
  <c r="B613" i="433" s="1"/>
  <c r="D614" i="433"/>
  <c r="C613" i="433"/>
  <c r="A614" i="433" l="1"/>
  <c r="B614" i="433" s="1"/>
  <c r="E615" i="433"/>
  <c r="D614" i="434"/>
  <c r="C613" i="434"/>
  <c r="E617" i="434"/>
  <c r="A616" i="434"/>
  <c r="B616" i="434" s="1"/>
  <c r="C614" i="433"/>
  <c r="D615" i="433"/>
  <c r="A617" i="434" l="1"/>
  <c r="B617" i="434" s="1"/>
  <c r="E618" i="434"/>
  <c r="C614" i="434"/>
  <c r="D615" i="434"/>
  <c r="A615" i="433"/>
  <c r="B615" i="433" s="1"/>
  <c r="E616" i="433"/>
  <c r="D616" i="433"/>
  <c r="C615" i="433"/>
  <c r="D616" i="434" l="1"/>
  <c r="C615" i="434"/>
  <c r="E617" i="433"/>
  <c r="A616" i="433"/>
  <c r="B616" i="433" s="1"/>
  <c r="E619" i="434"/>
  <c r="A618" i="434"/>
  <c r="B618" i="434" s="1"/>
  <c r="D617" i="433"/>
  <c r="C616" i="433"/>
  <c r="E620" i="434" l="1"/>
  <c r="A619" i="434"/>
  <c r="B619" i="434" s="1"/>
  <c r="A617" i="433"/>
  <c r="B617" i="433" s="1"/>
  <c r="E618" i="433"/>
  <c r="C616" i="434"/>
  <c r="D617" i="434"/>
  <c r="C617" i="433"/>
  <c r="D618" i="433"/>
  <c r="C617" i="434" l="1"/>
  <c r="D618" i="434"/>
  <c r="E619" i="433"/>
  <c r="A618" i="433"/>
  <c r="B618" i="433" s="1"/>
  <c r="E621" i="434"/>
  <c r="A620" i="434"/>
  <c r="B620" i="434" s="1"/>
  <c r="D619" i="433"/>
  <c r="C618" i="433"/>
  <c r="E620" i="433" l="1"/>
  <c r="A619" i="433"/>
  <c r="B619" i="433" s="1"/>
  <c r="C618" i="434"/>
  <c r="D619" i="434"/>
  <c r="A621" i="434"/>
  <c r="B621" i="434" s="1"/>
  <c r="E622" i="434"/>
  <c r="D620" i="433"/>
  <c r="C619" i="433"/>
  <c r="C619" i="434" l="1"/>
  <c r="D620" i="434"/>
  <c r="A622" i="434"/>
  <c r="B622" i="434" s="1"/>
  <c r="E623" i="434"/>
  <c r="A620" i="433"/>
  <c r="B620" i="433" s="1"/>
  <c r="E621" i="433"/>
  <c r="C620" i="433"/>
  <c r="D621" i="433"/>
  <c r="E622" i="433" l="1"/>
  <c r="A621" i="433"/>
  <c r="B621" i="433" s="1"/>
  <c r="E624" i="434"/>
  <c r="A623" i="434"/>
  <c r="B623" i="434" s="1"/>
  <c r="D621" i="434"/>
  <c r="C620" i="434"/>
  <c r="D622" i="433"/>
  <c r="C621" i="433"/>
  <c r="C621" i="434" l="1"/>
  <c r="D622" i="434"/>
  <c r="E625" i="434"/>
  <c r="A624" i="434"/>
  <c r="B624" i="434" s="1"/>
  <c r="E623" i="433"/>
  <c r="A622" i="433"/>
  <c r="B622" i="433" s="1"/>
  <c r="D623" i="433"/>
  <c r="C622" i="433"/>
  <c r="E624" i="433" l="1"/>
  <c r="A623" i="433"/>
  <c r="B623" i="433" s="1"/>
  <c r="A625" i="434"/>
  <c r="B625" i="434" s="1"/>
  <c r="E626" i="434"/>
  <c r="C622" i="434"/>
  <c r="D623" i="434"/>
  <c r="C623" i="433"/>
  <c r="D624" i="433"/>
  <c r="A626" i="434" l="1"/>
  <c r="B626" i="434" s="1"/>
  <c r="E627" i="434"/>
  <c r="C623" i="434"/>
  <c r="D624" i="434"/>
  <c r="A624" i="433"/>
  <c r="B624" i="433" s="1"/>
  <c r="E625" i="433"/>
  <c r="D625" i="433"/>
  <c r="C624" i="433"/>
  <c r="C624" i="434" l="1"/>
  <c r="D625" i="434"/>
  <c r="A627" i="434"/>
  <c r="B627" i="434" s="1"/>
  <c r="E628" i="434"/>
  <c r="E626" i="433"/>
  <c r="A625" i="433"/>
  <c r="B625" i="433" s="1"/>
  <c r="D626" i="433"/>
  <c r="C625" i="433"/>
  <c r="C625" i="434" l="1"/>
  <c r="D626" i="434"/>
  <c r="E627" i="433"/>
  <c r="A626" i="433"/>
  <c r="B626" i="433" s="1"/>
  <c r="E629" i="434"/>
  <c r="A628" i="434"/>
  <c r="B628" i="434" s="1"/>
  <c r="C626" i="433"/>
  <c r="D627" i="433"/>
  <c r="E628" i="433" l="1"/>
  <c r="A627" i="433"/>
  <c r="B627" i="433" s="1"/>
  <c r="C626" i="434"/>
  <c r="D627" i="434"/>
  <c r="E630" i="434"/>
  <c r="A629" i="434"/>
  <c r="B629" i="434" s="1"/>
  <c r="D628" i="433"/>
  <c r="C627" i="433"/>
  <c r="D628" i="434" l="1"/>
  <c r="C627" i="434"/>
  <c r="A630" i="434"/>
  <c r="B630" i="434" s="1"/>
  <c r="E631" i="434"/>
  <c r="E629" i="433"/>
  <c r="A628" i="433"/>
  <c r="B628" i="433" s="1"/>
  <c r="D629" i="433"/>
  <c r="C628" i="433"/>
  <c r="A629" i="433" l="1"/>
  <c r="B629" i="433" s="1"/>
  <c r="E630" i="433"/>
  <c r="E632" i="434"/>
  <c r="A631" i="434"/>
  <c r="B631" i="434" s="1"/>
  <c r="C628" i="434"/>
  <c r="D629" i="434"/>
  <c r="C629" i="433"/>
  <c r="D630" i="433"/>
  <c r="C629" i="434" l="1"/>
  <c r="D630" i="434"/>
  <c r="E633" i="434"/>
  <c r="A632" i="434"/>
  <c r="B632" i="434" s="1"/>
  <c r="E631" i="433"/>
  <c r="A630" i="433"/>
  <c r="B630" i="433" s="1"/>
  <c r="C630" i="433"/>
  <c r="D631" i="433"/>
  <c r="E634" i="434" l="1"/>
  <c r="A633" i="434"/>
  <c r="B633" i="434" s="1"/>
  <c r="D631" i="434"/>
  <c r="C630" i="434"/>
  <c r="A631" i="433"/>
  <c r="B631" i="433" s="1"/>
  <c r="E632" i="433"/>
  <c r="D632" i="433"/>
  <c r="C631" i="433"/>
  <c r="E633" i="433" l="1"/>
  <c r="A632" i="433"/>
  <c r="B632" i="433" s="1"/>
  <c r="D632" i="434"/>
  <c r="C631" i="434"/>
  <c r="A634" i="434"/>
  <c r="B634" i="434" s="1"/>
  <c r="E635" i="434"/>
  <c r="D633" i="433"/>
  <c r="C632" i="433"/>
  <c r="A635" i="434" l="1"/>
  <c r="B635" i="434" s="1"/>
  <c r="E636" i="434"/>
  <c r="D633" i="434"/>
  <c r="C632" i="434"/>
  <c r="E634" i="433"/>
  <c r="A633" i="433"/>
  <c r="B633" i="433" s="1"/>
  <c r="D634" i="433"/>
  <c r="C633" i="433"/>
  <c r="D634" i="434" l="1"/>
  <c r="C633" i="434"/>
  <c r="E637" i="434"/>
  <c r="A636" i="434"/>
  <c r="B636" i="434" s="1"/>
  <c r="E635" i="433"/>
  <c r="A634" i="433"/>
  <c r="B634" i="433" s="1"/>
  <c r="D635" i="433"/>
  <c r="C634" i="433"/>
  <c r="E636" i="433" l="1"/>
  <c r="A635" i="433"/>
  <c r="B635" i="433" s="1"/>
  <c r="E638" i="434"/>
  <c r="A637" i="434"/>
  <c r="B637" i="434" s="1"/>
  <c r="D635" i="434"/>
  <c r="C634" i="434"/>
  <c r="D636" i="433"/>
  <c r="C635" i="433"/>
  <c r="D636" i="434" l="1"/>
  <c r="C635" i="434"/>
  <c r="E639" i="434"/>
  <c r="A638" i="434"/>
  <c r="B638" i="434" s="1"/>
  <c r="E637" i="433"/>
  <c r="A636" i="433"/>
  <c r="B636" i="433" s="1"/>
  <c r="D637" i="433"/>
  <c r="C636" i="433"/>
  <c r="E638" i="433" l="1"/>
  <c r="A637" i="433"/>
  <c r="B637" i="433" s="1"/>
  <c r="E640" i="434"/>
  <c r="A639" i="434"/>
  <c r="B639" i="434" s="1"/>
  <c r="C636" i="434"/>
  <c r="D637" i="434"/>
  <c r="C637" i="433"/>
  <c r="D638" i="433"/>
  <c r="C637" i="434" l="1"/>
  <c r="D638" i="434"/>
  <c r="E641" i="434"/>
  <c r="A640" i="434"/>
  <c r="B640" i="434" s="1"/>
  <c r="E639" i="433"/>
  <c r="A638" i="433"/>
  <c r="B638" i="433" s="1"/>
  <c r="C638" i="433"/>
  <c r="D639" i="433"/>
  <c r="E640" i="433" l="1"/>
  <c r="A639" i="433"/>
  <c r="B639" i="433" s="1"/>
  <c r="E642" i="434"/>
  <c r="A641" i="434"/>
  <c r="B641" i="434" s="1"/>
  <c r="C638" i="434"/>
  <c r="D639" i="434"/>
  <c r="C639" i="433"/>
  <c r="D640" i="433"/>
  <c r="D640" i="434" l="1"/>
  <c r="C639" i="434"/>
  <c r="A642" i="434"/>
  <c r="B642" i="434" s="1"/>
  <c r="E643" i="434"/>
  <c r="A640" i="433"/>
  <c r="B640" i="433" s="1"/>
  <c r="E641" i="433"/>
  <c r="C640" i="433"/>
  <c r="D641" i="433"/>
  <c r="E644" i="434" l="1"/>
  <c r="A643" i="434"/>
  <c r="B643" i="434" s="1"/>
  <c r="A641" i="433"/>
  <c r="B641" i="433" s="1"/>
  <c r="E642" i="433"/>
  <c r="C640" i="434"/>
  <c r="D641" i="434"/>
  <c r="C641" i="433"/>
  <c r="D642" i="433"/>
  <c r="D642" i="434" l="1"/>
  <c r="C641" i="434"/>
  <c r="A642" i="433"/>
  <c r="B642" i="433" s="1"/>
  <c r="E643" i="433"/>
  <c r="A644" i="434"/>
  <c r="B644" i="434" s="1"/>
  <c r="E645" i="434"/>
  <c r="D643" i="433"/>
  <c r="C642" i="433"/>
  <c r="E644" i="433" l="1"/>
  <c r="A643" i="433"/>
  <c r="B643" i="433" s="1"/>
  <c r="A645" i="434"/>
  <c r="B645" i="434" s="1"/>
  <c r="E646" i="434"/>
  <c r="D643" i="434"/>
  <c r="C642" i="434"/>
  <c r="D644" i="433"/>
  <c r="C643" i="433"/>
  <c r="A646" i="434" l="1"/>
  <c r="B646" i="434" s="1"/>
  <c r="E647" i="434"/>
  <c r="D644" i="434"/>
  <c r="C643" i="434"/>
  <c r="A644" i="433"/>
  <c r="B644" i="433" s="1"/>
  <c r="E645" i="433"/>
  <c r="C644" i="433"/>
  <c r="D645" i="433"/>
  <c r="A645" i="433" l="1"/>
  <c r="B645" i="433" s="1"/>
  <c r="E646" i="433"/>
  <c r="C644" i="434"/>
  <c r="D645" i="434"/>
  <c r="E648" i="434"/>
  <c r="A647" i="434"/>
  <c r="B647" i="434" s="1"/>
  <c r="D646" i="433"/>
  <c r="C645" i="433"/>
  <c r="E647" i="433" l="1"/>
  <c r="A646" i="433"/>
  <c r="B646" i="433" s="1"/>
  <c r="E649" i="434"/>
  <c r="A648" i="434"/>
  <c r="B648" i="434" s="1"/>
  <c r="D646" i="434"/>
  <c r="C645" i="434"/>
  <c r="C646" i="433"/>
  <c r="D647" i="433"/>
  <c r="C646" i="434" l="1"/>
  <c r="D647" i="434"/>
  <c r="A649" i="434"/>
  <c r="B649" i="434" s="1"/>
  <c r="E650" i="434"/>
  <c r="E648" i="433"/>
  <c r="A647" i="433"/>
  <c r="B647" i="433" s="1"/>
  <c r="D648" i="433"/>
  <c r="C647" i="433"/>
  <c r="E649" i="433" l="1"/>
  <c r="A648" i="433"/>
  <c r="B648" i="433" s="1"/>
  <c r="A650" i="434"/>
  <c r="B650" i="434" s="1"/>
  <c r="E651" i="434"/>
  <c r="D648" i="434"/>
  <c r="C647" i="434"/>
  <c r="C648" i="433"/>
  <c r="D649" i="433"/>
  <c r="C648" i="434" l="1"/>
  <c r="D649" i="434"/>
  <c r="A651" i="434"/>
  <c r="B651" i="434" s="1"/>
  <c r="E652" i="434"/>
  <c r="E650" i="433"/>
  <c r="A649" i="433"/>
  <c r="B649" i="433" s="1"/>
  <c r="C649" i="433"/>
  <c r="D650" i="433"/>
  <c r="D650" i="434" l="1"/>
  <c r="C649" i="434"/>
  <c r="E651" i="433"/>
  <c r="A650" i="433"/>
  <c r="B650" i="433" s="1"/>
  <c r="E653" i="434"/>
  <c r="A652" i="434"/>
  <c r="B652" i="434" s="1"/>
  <c r="D651" i="433"/>
  <c r="C650" i="433"/>
  <c r="E654" i="434" l="1"/>
  <c r="A653" i="434"/>
  <c r="B653" i="434" s="1"/>
  <c r="E652" i="433"/>
  <c r="A651" i="433"/>
  <c r="B651" i="433" s="1"/>
  <c r="D651" i="434"/>
  <c r="C650" i="434"/>
  <c r="D652" i="433"/>
  <c r="C651" i="433"/>
  <c r="C651" i="434" l="1"/>
  <c r="D652" i="434"/>
  <c r="A652" i="433"/>
  <c r="B652" i="433" s="1"/>
  <c r="E653" i="433"/>
  <c r="A654" i="434"/>
  <c r="B654" i="434" s="1"/>
  <c r="E655" i="434"/>
  <c r="C652" i="433"/>
  <c r="D653" i="433"/>
  <c r="E654" i="433" l="1"/>
  <c r="A653" i="433"/>
  <c r="B653" i="433" s="1"/>
  <c r="C652" i="434"/>
  <c r="D653" i="434"/>
  <c r="A655" i="434"/>
  <c r="B655" i="434" s="1"/>
  <c r="E656" i="434"/>
  <c r="D654" i="433"/>
  <c r="C653" i="433"/>
  <c r="D654" i="434" l="1"/>
  <c r="C653" i="434"/>
  <c r="E657" i="434"/>
  <c r="A656" i="434"/>
  <c r="B656" i="434" s="1"/>
  <c r="A654" i="433"/>
  <c r="B654" i="433" s="1"/>
  <c r="E655" i="433"/>
  <c r="C654" i="433"/>
  <c r="D655" i="433"/>
  <c r="A655" i="433" l="1"/>
  <c r="B655" i="433" s="1"/>
  <c r="E656" i="433"/>
  <c r="E658" i="434"/>
  <c r="A657" i="434"/>
  <c r="B657" i="434" s="1"/>
  <c r="D655" i="434"/>
  <c r="C654" i="434"/>
  <c r="C655" i="433"/>
  <c r="D656" i="433"/>
  <c r="A658" i="434" l="1"/>
  <c r="B658" i="434" s="1"/>
  <c r="E659" i="434"/>
  <c r="E657" i="433"/>
  <c r="A656" i="433"/>
  <c r="B656" i="433" s="1"/>
  <c r="C655" i="434"/>
  <c r="D656" i="434"/>
  <c r="D657" i="433"/>
  <c r="C656" i="433"/>
  <c r="C656" i="434" l="1"/>
  <c r="D657" i="434"/>
  <c r="E658" i="433"/>
  <c r="A657" i="433"/>
  <c r="B657" i="433" s="1"/>
  <c r="E660" i="434"/>
  <c r="A659" i="434"/>
  <c r="B659" i="434" s="1"/>
  <c r="C657" i="433"/>
  <c r="D658" i="433"/>
  <c r="E661" i="434" l="1"/>
  <c r="A660" i="434"/>
  <c r="B660" i="434" s="1"/>
  <c r="E659" i="433"/>
  <c r="A658" i="433"/>
  <c r="B658" i="433" s="1"/>
  <c r="D658" i="434"/>
  <c r="C657" i="434"/>
  <c r="D659" i="433"/>
  <c r="C658" i="433"/>
  <c r="D659" i="434" l="1"/>
  <c r="C658" i="434"/>
  <c r="E660" i="433"/>
  <c r="A659" i="433"/>
  <c r="B659" i="433" s="1"/>
  <c r="E662" i="434"/>
  <c r="A661" i="434"/>
  <c r="B661" i="434" s="1"/>
  <c r="D660" i="433"/>
  <c r="C659" i="433"/>
  <c r="E663" i="434" l="1"/>
  <c r="A662" i="434"/>
  <c r="B662" i="434" s="1"/>
  <c r="A660" i="433"/>
  <c r="B660" i="433" s="1"/>
  <c r="E661" i="433"/>
  <c r="C659" i="434"/>
  <c r="D660" i="434"/>
  <c r="C660" i="433"/>
  <c r="D661" i="433"/>
  <c r="C660" i="434" l="1"/>
  <c r="D661" i="434"/>
  <c r="E662" i="433"/>
  <c r="A661" i="433"/>
  <c r="B661" i="433" s="1"/>
  <c r="E664" i="434"/>
  <c r="A663" i="434"/>
  <c r="B663" i="434" s="1"/>
  <c r="D662" i="433"/>
  <c r="C661" i="433"/>
  <c r="A664" i="434" l="1"/>
  <c r="B664" i="434" s="1"/>
  <c r="E665" i="434"/>
  <c r="E663" i="433"/>
  <c r="A662" i="433"/>
  <c r="B662" i="433" s="1"/>
  <c r="C661" i="434"/>
  <c r="D662" i="434"/>
  <c r="C662" i="433"/>
  <c r="D663" i="433"/>
  <c r="D663" i="434" l="1"/>
  <c r="C662" i="434"/>
  <c r="A663" i="433"/>
  <c r="B663" i="433" s="1"/>
  <c r="E664" i="433"/>
  <c r="E666" i="434"/>
  <c r="A665" i="434"/>
  <c r="B665" i="434" s="1"/>
  <c r="C663" i="433"/>
  <c r="D664" i="433"/>
  <c r="A666" i="434" l="1"/>
  <c r="B666" i="434" s="1"/>
  <c r="E667" i="434"/>
  <c r="E665" i="433"/>
  <c r="A664" i="433"/>
  <c r="B664" i="433" s="1"/>
  <c r="C663" i="434"/>
  <c r="D664" i="434"/>
  <c r="D665" i="433"/>
  <c r="C664" i="433"/>
  <c r="E666" i="433" l="1"/>
  <c r="A665" i="433"/>
  <c r="B665" i="433" s="1"/>
  <c r="A667" i="434"/>
  <c r="B667" i="434" s="1"/>
  <c r="E668" i="434"/>
  <c r="D665" i="434"/>
  <c r="C664" i="434"/>
  <c r="D666" i="433"/>
  <c r="C665" i="433"/>
  <c r="C665" i="434" l="1"/>
  <c r="D666" i="434"/>
  <c r="E669" i="434"/>
  <c r="A668" i="434"/>
  <c r="B668" i="434" s="1"/>
  <c r="A666" i="433"/>
  <c r="B666" i="433" s="1"/>
  <c r="E667" i="433"/>
  <c r="C666" i="433"/>
  <c r="D667" i="433"/>
  <c r="E668" i="433" l="1"/>
  <c r="A667" i="433"/>
  <c r="B667" i="433" s="1"/>
  <c r="A669" i="434"/>
  <c r="B669" i="434" s="1"/>
  <c r="E670" i="434"/>
  <c r="D667" i="434"/>
  <c r="C666" i="434"/>
  <c r="C667" i="433"/>
  <c r="D668" i="433"/>
  <c r="C667" i="434" l="1"/>
  <c r="D668" i="434"/>
  <c r="A670" i="434"/>
  <c r="B670" i="434" s="1"/>
  <c r="E671" i="434"/>
  <c r="E669" i="433"/>
  <c r="A668" i="433"/>
  <c r="B668" i="433" s="1"/>
  <c r="D669" i="433"/>
  <c r="C668" i="433"/>
  <c r="A669" i="433" l="1"/>
  <c r="B669" i="433" s="1"/>
  <c r="E670" i="433"/>
  <c r="E672" i="434"/>
  <c r="A671" i="434"/>
  <c r="B671" i="434" s="1"/>
  <c r="C668" i="434"/>
  <c r="D669" i="434"/>
  <c r="C669" i="433"/>
  <c r="D670" i="433"/>
  <c r="E673" i="434" l="1"/>
  <c r="A672" i="434"/>
  <c r="B672" i="434" s="1"/>
  <c r="E671" i="433"/>
  <c r="A670" i="433"/>
  <c r="B670" i="433" s="1"/>
  <c r="D670" i="434"/>
  <c r="C669" i="434"/>
  <c r="C670" i="433"/>
  <c r="D671" i="433"/>
  <c r="A671" i="433" l="1"/>
  <c r="B671" i="433" s="1"/>
  <c r="E672" i="433"/>
  <c r="D671" i="434"/>
  <c r="C670" i="434"/>
  <c r="A673" i="434"/>
  <c r="B673" i="434" s="1"/>
  <c r="E674" i="434"/>
  <c r="D672" i="433"/>
  <c r="C671" i="433"/>
  <c r="E675" i="434" l="1"/>
  <c r="A674" i="434"/>
  <c r="B674" i="434" s="1"/>
  <c r="D672" i="434"/>
  <c r="C671" i="434"/>
  <c r="A672" i="433"/>
  <c r="B672" i="433" s="1"/>
  <c r="E673" i="433"/>
  <c r="D673" i="433"/>
  <c r="C672" i="433"/>
  <c r="A673" i="433" l="1"/>
  <c r="B673" i="433" s="1"/>
  <c r="E674" i="433"/>
  <c r="D673" i="434"/>
  <c r="C672" i="434"/>
  <c r="A675" i="434"/>
  <c r="B675" i="434" s="1"/>
  <c r="E676" i="434"/>
  <c r="C673" i="433"/>
  <c r="D674" i="433"/>
  <c r="C673" i="434" l="1"/>
  <c r="D674" i="434"/>
  <c r="E675" i="433"/>
  <c r="A674" i="433"/>
  <c r="B674" i="433" s="1"/>
  <c r="A676" i="434"/>
  <c r="B676" i="434" s="1"/>
  <c r="E677" i="434"/>
  <c r="D675" i="433"/>
  <c r="C674" i="433"/>
  <c r="A677" i="434" l="1"/>
  <c r="B677" i="434" s="1"/>
  <c r="E678" i="434"/>
  <c r="E676" i="433"/>
  <c r="A675" i="433"/>
  <c r="B675" i="433" s="1"/>
  <c r="D675" i="434"/>
  <c r="C674" i="434"/>
  <c r="D676" i="433"/>
  <c r="C675" i="433"/>
  <c r="D676" i="434" l="1"/>
  <c r="C675" i="434"/>
  <c r="A676" i="433"/>
  <c r="B676" i="433" s="1"/>
  <c r="E677" i="433"/>
  <c r="A678" i="434"/>
  <c r="B678" i="434" s="1"/>
  <c r="E679" i="434"/>
  <c r="C676" i="433"/>
  <c r="D677" i="433"/>
  <c r="C676" i="434" l="1"/>
  <c r="D677" i="434"/>
  <c r="A679" i="434"/>
  <c r="B679" i="434" s="1"/>
  <c r="E680" i="434"/>
  <c r="E678" i="433"/>
  <c r="A677" i="433"/>
  <c r="B677" i="433" s="1"/>
  <c r="D678" i="433"/>
  <c r="C677" i="433"/>
  <c r="A678" i="433" l="1"/>
  <c r="B678" i="433" s="1"/>
  <c r="E679" i="433"/>
  <c r="A680" i="434"/>
  <c r="B680" i="434" s="1"/>
  <c r="E681" i="434"/>
  <c r="D678" i="434"/>
  <c r="C677" i="434"/>
  <c r="D679" i="433"/>
  <c r="C678" i="433"/>
  <c r="C678" i="434" l="1"/>
  <c r="D679" i="434"/>
  <c r="A681" i="434"/>
  <c r="B681" i="434" s="1"/>
  <c r="E682" i="434"/>
  <c r="A679" i="433"/>
  <c r="B679" i="433" s="1"/>
  <c r="E680" i="433"/>
  <c r="C679" i="433"/>
  <c r="D680" i="433"/>
  <c r="A682" i="434" l="1"/>
  <c r="B682" i="434" s="1"/>
  <c r="E683" i="434"/>
  <c r="E681" i="433"/>
  <c r="A680" i="433"/>
  <c r="B680" i="433" s="1"/>
  <c r="C679" i="434"/>
  <c r="D680" i="434"/>
  <c r="D681" i="433"/>
  <c r="C680" i="433"/>
  <c r="D681" i="434" l="1"/>
  <c r="C680" i="434"/>
  <c r="E682" i="433"/>
  <c r="A681" i="433"/>
  <c r="B681" i="433" s="1"/>
  <c r="A683" i="434"/>
  <c r="B683" i="434" s="1"/>
  <c r="E684" i="434"/>
  <c r="D682" i="433"/>
  <c r="C681" i="433"/>
  <c r="A684" i="434" l="1"/>
  <c r="B684" i="434" s="1"/>
  <c r="E685" i="434"/>
  <c r="E683" i="433"/>
  <c r="A682" i="433"/>
  <c r="B682" i="433" s="1"/>
  <c r="C681" i="434"/>
  <c r="D682" i="434"/>
  <c r="D683" i="433"/>
  <c r="C682" i="433"/>
  <c r="D683" i="434" l="1"/>
  <c r="C682" i="434"/>
  <c r="E684" i="433"/>
  <c r="A683" i="433"/>
  <c r="B683" i="433" s="1"/>
  <c r="A685" i="434"/>
  <c r="B685" i="434" s="1"/>
  <c r="E686" i="434"/>
  <c r="C683" i="433"/>
  <c r="D684" i="433"/>
  <c r="E687" i="434" l="1"/>
  <c r="A686" i="434"/>
  <c r="B686" i="434" s="1"/>
  <c r="A684" i="433"/>
  <c r="B684" i="433" s="1"/>
  <c r="E685" i="433"/>
  <c r="D684" i="434"/>
  <c r="C683" i="434"/>
  <c r="D685" i="433"/>
  <c r="C684" i="433"/>
  <c r="D685" i="434" l="1"/>
  <c r="C684" i="434"/>
  <c r="E686" i="433"/>
  <c r="A685" i="433"/>
  <c r="B685" i="433" s="1"/>
  <c r="E688" i="434"/>
  <c r="A687" i="434"/>
  <c r="B687" i="434" s="1"/>
  <c r="D686" i="433"/>
  <c r="C685" i="433"/>
  <c r="E689" i="434" l="1"/>
  <c r="A688" i="434"/>
  <c r="B688" i="434" s="1"/>
  <c r="A686" i="433"/>
  <c r="B686" i="433" s="1"/>
  <c r="E687" i="433"/>
  <c r="D686" i="434"/>
  <c r="C685" i="434"/>
  <c r="D687" i="433"/>
  <c r="C686" i="433"/>
  <c r="D687" i="434" l="1"/>
  <c r="C686" i="434"/>
  <c r="E688" i="433"/>
  <c r="A687" i="433"/>
  <c r="B687" i="433" s="1"/>
  <c r="A689" i="434"/>
  <c r="B689" i="434" s="1"/>
  <c r="E690" i="434"/>
  <c r="C687" i="433"/>
  <c r="D688" i="433"/>
  <c r="A690" i="434" l="1"/>
  <c r="B690" i="434" s="1"/>
  <c r="E691" i="434"/>
  <c r="A688" i="433"/>
  <c r="B688" i="433" s="1"/>
  <c r="E689" i="433"/>
  <c r="D688" i="434"/>
  <c r="C687" i="434"/>
  <c r="C688" i="433"/>
  <c r="D689" i="433"/>
  <c r="C688" i="434" l="1"/>
  <c r="D689" i="434"/>
  <c r="E690" i="433"/>
  <c r="A689" i="433"/>
  <c r="B689" i="433" s="1"/>
  <c r="E692" i="434"/>
  <c r="A691" i="434"/>
  <c r="B691" i="434" s="1"/>
  <c r="D690" i="433"/>
  <c r="C689" i="433"/>
  <c r="E693" i="434" l="1"/>
  <c r="A692" i="434"/>
  <c r="B692" i="434" s="1"/>
  <c r="E691" i="433"/>
  <c r="A690" i="433"/>
  <c r="B690" i="433" s="1"/>
  <c r="D690" i="434"/>
  <c r="C689" i="434"/>
  <c r="C690" i="433"/>
  <c r="D691" i="433"/>
  <c r="C690" i="434" l="1"/>
  <c r="D691" i="434"/>
  <c r="A691" i="433"/>
  <c r="B691" i="433" s="1"/>
  <c r="E692" i="433"/>
  <c r="A693" i="434"/>
  <c r="B693" i="434" s="1"/>
  <c r="E694" i="434"/>
  <c r="C691" i="433"/>
  <c r="D692" i="433"/>
  <c r="E695" i="434" l="1"/>
  <c r="A694" i="434"/>
  <c r="B694" i="434" s="1"/>
  <c r="A692" i="433"/>
  <c r="B692" i="433" s="1"/>
  <c r="E693" i="433"/>
  <c r="D692" i="434"/>
  <c r="C691" i="434"/>
  <c r="C692" i="433"/>
  <c r="D693" i="433"/>
  <c r="D693" i="434" l="1"/>
  <c r="C692" i="434"/>
  <c r="E694" i="433"/>
  <c r="A693" i="433"/>
  <c r="B693" i="433" s="1"/>
  <c r="A695" i="434"/>
  <c r="B695" i="434" s="1"/>
  <c r="E696" i="434"/>
  <c r="C693" i="433"/>
  <c r="D694" i="433"/>
  <c r="A696" i="434" l="1"/>
  <c r="B696" i="434" s="1"/>
  <c r="E697" i="434"/>
  <c r="A694" i="433"/>
  <c r="B694" i="433" s="1"/>
  <c r="E695" i="433"/>
  <c r="D694" i="434"/>
  <c r="C693" i="434"/>
  <c r="C694" i="433"/>
  <c r="D695" i="433"/>
  <c r="C694" i="434" l="1"/>
  <c r="D695" i="434"/>
  <c r="A695" i="433"/>
  <c r="B695" i="433" s="1"/>
  <c r="E696" i="433"/>
  <c r="E698" i="434"/>
  <c r="A697" i="434"/>
  <c r="B697" i="434" s="1"/>
  <c r="D696" i="433"/>
  <c r="C695" i="433"/>
  <c r="A698" i="434" l="1"/>
  <c r="B698" i="434" s="1"/>
  <c r="E699" i="434"/>
  <c r="A696" i="433"/>
  <c r="B696" i="433" s="1"/>
  <c r="E697" i="433"/>
  <c r="C695" i="434"/>
  <c r="D696" i="434"/>
  <c r="C696" i="433"/>
  <c r="D697" i="433"/>
  <c r="A699" i="434" l="1"/>
  <c r="B699" i="434" s="1"/>
  <c r="E700" i="434"/>
  <c r="A697" i="433"/>
  <c r="B697" i="433" s="1"/>
  <c r="E698" i="433"/>
  <c r="C696" i="434"/>
  <c r="D697" i="434"/>
  <c r="D698" i="433"/>
  <c r="C697" i="433"/>
  <c r="C697" i="434" l="1"/>
  <c r="D698" i="434"/>
  <c r="E699" i="433"/>
  <c r="A698" i="433"/>
  <c r="B698" i="433" s="1"/>
  <c r="E701" i="434"/>
  <c r="A700" i="434"/>
  <c r="B700" i="434" s="1"/>
  <c r="D699" i="433"/>
  <c r="C698" i="433"/>
  <c r="A701" i="434" l="1"/>
  <c r="B701" i="434" s="1"/>
  <c r="E702" i="434"/>
  <c r="E700" i="433"/>
  <c r="A699" i="433"/>
  <c r="B699" i="433" s="1"/>
  <c r="C698" i="434"/>
  <c r="D699" i="434"/>
  <c r="C699" i="433"/>
  <c r="D700" i="433"/>
  <c r="D700" i="434" l="1"/>
  <c r="C699" i="434"/>
  <c r="A700" i="433"/>
  <c r="B700" i="433" s="1"/>
  <c r="E701" i="433"/>
  <c r="A702" i="434"/>
  <c r="B702" i="434" s="1"/>
  <c r="E703" i="434"/>
  <c r="D701" i="433"/>
  <c r="C700" i="433"/>
  <c r="A703" i="434" l="1"/>
  <c r="B703" i="434" s="1"/>
  <c r="E704" i="434"/>
  <c r="A701" i="433"/>
  <c r="B701" i="433" s="1"/>
  <c r="E702" i="433"/>
  <c r="D701" i="434"/>
  <c r="C700" i="434"/>
  <c r="C701" i="433"/>
  <c r="D702" i="433"/>
  <c r="D702" i="434" l="1"/>
  <c r="C701" i="434"/>
  <c r="A702" i="433"/>
  <c r="B702" i="433" s="1"/>
  <c r="E703" i="433"/>
  <c r="A704" i="434"/>
  <c r="B704" i="434" s="1"/>
  <c r="E705" i="434"/>
  <c r="C702" i="433"/>
  <c r="D703" i="433"/>
  <c r="A705" i="434" l="1"/>
  <c r="B705" i="434" s="1"/>
  <c r="E706" i="434"/>
  <c r="E704" i="433"/>
  <c r="A703" i="433"/>
  <c r="B703" i="433" s="1"/>
  <c r="D703" i="434"/>
  <c r="C702" i="434"/>
  <c r="C703" i="433"/>
  <c r="D704" i="433"/>
  <c r="C703" i="434" l="1"/>
  <c r="D704" i="434"/>
  <c r="E705" i="433"/>
  <c r="A704" i="433"/>
  <c r="B704" i="433" s="1"/>
  <c r="E707" i="434"/>
  <c r="A706" i="434"/>
  <c r="B706" i="434" s="1"/>
  <c r="D705" i="433"/>
  <c r="C704" i="433"/>
  <c r="A707" i="434" l="1"/>
  <c r="B707" i="434" s="1"/>
  <c r="E708" i="434"/>
  <c r="A705" i="433"/>
  <c r="B705" i="433" s="1"/>
  <c r="E706" i="433"/>
  <c r="D705" i="434"/>
  <c r="C704" i="434"/>
  <c r="D706" i="433"/>
  <c r="C705" i="433"/>
  <c r="C705" i="434" l="1"/>
  <c r="D706" i="434"/>
  <c r="E707" i="433"/>
  <c r="A706" i="433"/>
  <c r="B706" i="433" s="1"/>
  <c r="A708" i="434"/>
  <c r="B708" i="434" s="1"/>
  <c r="E709" i="434"/>
  <c r="C706" i="433"/>
  <c r="D707" i="433"/>
  <c r="A709" i="434" l="1"/>
  <c r="B709" i="434" s="1"/>
  <c r="E710" i="434"/>
  <c r="A707" i="433"/>
  <c r="B707" i="433" s="1"/>
  <c r="E708" i="433"/>
  <c r="D707" i="434"/>
  <c r="C706" i="434"/>
  <c r="D708" i="433"/>
  <c r="C707" i="433"/>
  <c r="D708" i="434" l="1"/>
  <c r="C707" i="434"/>
  <c r="A708" i="433"/>
  <c r="B708" i="433" s="1"/>
  <c r="E709" i="433"/>
  <c r="E711" i="434"/>
  <c r="A710" i="434"/>
  <c r="B710" i="434" s="1"/>
  <c r="C708" i="433"/>
  <c r="D709" i="433"/>
  <c r="A711" i="434" l="1"/>
  <c r="B711" i="434" s="1"/>
  <c r="E712" i="434"/>
  <c r="E710" i="433"/>
  <c r="A709" i="433"/>
  <c r="B709" i="433" s="1"/>
  <c r="C708" i="434"/>
  <c r="D709" i="434"/>
  <c r="C709" i="433"/>
  <c r="D710" i="433"/>
  <c r="C709" i="434" l="1"/>
  <c r="D710" i="434"/>
  <c r="E711" i="433"/>
  <c r="A710" i="433"/>
  <c r="B710" i="433" s="1"/>
  <c r="A712" i="434"/>
  <c r="B712" i="434" s="1"/>
  <c r="E713" i="434"/>
  <c r="D711" i="433"/>
  <c r="C710" i="433"/>
  <c r="E712" i="433" l="1"/>
  <c r="A711" i="433"/>
  <c r="B711" i="433" s="1"/>
  <c r="E714" i="434"/>
  <c r="A713" i="434"/>
  <c r="B713" i="434" s="1"/>
  <c r="C710" i="434"/>
  <c r="D711" i="434"/>
  <c r="C711" i="433"/>
  <c r="D712" i="433"/>
  <c r="C711" i="434" l="1"/>
  <c r="D712" i="434"/>
  <c r="E715" i="434"/>
  <c r="A714" i="434"/>
  <c r="B714" i="434" s="1"/>
  <c r="E713" i="433"/>
  <c r="A712" i="433"/>
  <c r="B712" i="433" s="1"/>
  <c r="C712" i="433"/>
  <c r="D713" i="433"/>
  <c r="A713" i="433" l="1"/>
  <c r="B713" i="433" s="1"/>
  <c r="E714" i="433"/>
  <c r="A715" i="434"/>
  <c r="B715" i="434" s="1"/>
  <c r="E716" i="434"/>
  <c r="C712" i="434"/>
  <c r="D713" i="434"/>
  <c r="C713" i="433"/>
  <c r="D714" i="433"/>
  <c r="A716" i="434" l="1"/>
  <c r="B716" i="434" s="1"/>
  <c r="E717" i="434"/>
  <c r="E715" i="433"/>
  <c r="A714" i="433"/>
  <c r="B714" i="433" s="1"/>
  <c r="D714" i="434"/>
  <c r="C713" i="434"/>
  <c r="C714" i="433"/>
  <c r="D715" i="433"/>
  <c r="A715" i="433" l="1"/>
  <c r="B715" i="433" s="1"/>
  <c r="E716" i="433"/>
  <c r="A717" i="434"/>
  <c r="B717" i="434" s="1"/>
  <c r="E718" i="434"/>
  <c r="C714" i="434"/>
  <c r="D715" i="434"/>
  <c r="C715" i="433"/>
  <c r="D716" i="433"/>
  <c r="C715" i="434" l="1"/>
  <c r="D716" i="434"/>
  <c r="A718" i="434"/>
  <c r="B718" i="434" s="1"/>
  <c r="E719" i="434"/>
  <c r="A716" i="433"/>
  <c r="B716" i="433" s="1"/>
  <c r="E717" i="433"/>
  <c r="C716" i="433"/>
  <c r="D717" i="433"/>
  <c r="A717" i="433" l="1"/>
  <c r="B717" i="433" s="1"/>
  <c r="E718" i="433"/>
  <c r="E720" i="434"/>
  <c r="A719" i="434"/>
  <c r="B719" i="434" s="1"/>
  <c r="C716" i="434"/>
  <c r="D717" i="434"/>
  <c r="C717" i="433"/>
  <c r="D718" i="433"/>
  <c r="E721" i="434" l="1"/>
  <c r="A720" i="434"/>
  <c r="B720" i="434" s="1"/>
  <c r="A718" i="433"/>
  <c r="B718" i="433" s="1"/>
  <c r="E719" i="433"/>
  <c r="D718" i="434"/>
  <c r="C717" i="434"/>
  <c r="C718" i="433"/>
  <c r="D719" i="433"/>
  <c r="C718" i="434" l="1"/>
  <c r="D719" i="434"/>
  <c r="E720" i="433"/>
  <c r="A719" i="433"/>
  <c r="B719" i="433" s="1"/>
  <c r="A721" i="434"/>
  <c r="B721" i="434" s="1"/>
  <c r="E722" i="434"/>
  <c r="D720" i="433"/>
  <c r="C719" i="433"/>
  <c r="A720" i="433" l="1"/>
  <c r="B720" i="433" s="1"/>
  <c r="E721" i="433"/>
  <c r="A722" i="434"/>
  <c r="B722" i="434" s="1"/>
  <c r="E723" i="434"/>
  <c r="D720" i="434"/>
  <c r="C719" i="434"/>
  <c r="D721" i="433"/>
  <c r="C720" i="433"/>
  <c r="C720" i="434" l="1"/>
  <c r="D721" i="434"/>
  <c r="E724" i="434"/>
  <c r="A723" i="434"/>
  <c r="B723" i="434" s="1"/>
  <c r="E722" i="433"/>
  <c r="A721" i="433"/>
  <c r="B721" i="433" s="1"/>
  <c r="D722" i="433"/>
  <c r="C721" i="433"/>
  <c r="A722" i="433" l="1"/>
  <c r="B722" i="433" s="1"/>
  <c r="E723" i="433"/>
  <c r="E725" i="434"/>
  <c r="A724" i="434"/>
  <c r="B724" i="434" s="1"/>
  <c r="D722" i="434"/>
  <c r="C721" i="434"/>
  <c r="C722" i="433"/>
  <c r="D723" i="433"/>
  <c r="C722" i="434" l="1"/>
  <c r="D723" i="434"/>
  <c r="A725" i="434"/>
  <c r="B725" i="434" s="1"/>
  <c r="E726" i="434"/>
  <c r="E724" i="433"/>
  <c r="A723" i="433"/>
  <c r="B723" i="433" s="1"/>
  <c r="C723" i="433"/>
  <c r="D724" i="433"/>
  <c r="A724" i="433" l="1"/>
  <c r="B724" i="433" s="1"/>
  <c r="E725" i="433"/>
  <c r="A726" i="434"/>
  <c r="B726" i="434" s="1"/>
  <c r="E727" i="434"/>
  <c r="D724" i="434"/>
  <c r="C723" i="434"/>
  <c r="C724" i="433"/>
  <c r="D725" i="433"/>
  <c r="A725" i="433" l="1"/>
  <c r="B725" i="433" s="1"/>
  <c r="E726" i="433"/>
  <c r="D725" i="434"/>
  <c r="C724" i="434"/>
  <c r="E728" i="434"/>
  <c r="A727" i="434"/>
  <c r="B727" i="434" s="1"/>
  <c r="D726" i="433"/>
  <c r="C725" i="433"/>
  <c r="E729" i="434" l="1"/>
  <c r="A728" i="434"/>
  <c r="B728" i="434" s="1"/>
  <c r="C725" i="434"/>
  <c r="D726" i="434"/>
  <c r="A726" i="433"/>
  <c r="B726" i="433" s="1"/>
  <c r="E727" i="433"/>
  <c r="D727" i="433"/>
  <c r="C726" i="433"/>
  <c r="E728" i="433" l="1"/>
  <c r="A727" i="433"/>
  <c r="B727" i="433" s="1"/>
  <c r="D727" i="434"/>
  <c r="C726" i="434"/>
  <c r="A729" i="434"/>
  <c r="B729" i="434" s="1"/>
  <c r="E730" i="434"/>
  <c r="D728" i="433"/>
  <c r="C727" i="433"/>
  <c r="E731" i="434" l="1"/>
  <c r="A730" i="434"/>
  <c r="B730" i="434" s="1"/>
  <c r="C727" i="434"/>
  <c r="D728" i="434"/>
  <c r="E729" i="433"/>
  <c r="A728" i="433"/>
  <c r="B728" i="433" s="1"/>
  <c r="C728" i="433"/>
  <c r="D729" i="433"/>
  <c r="A729" i="433" l="1"/>
  <c r="B729" i="433" s="1"/>
  <c r="E730" i="433"/>
  <c r="D729" i="434"/>
  <c r="C728" i="434"/>
  <c r="A731" i="434"/>
  <c r="B731" i="434" s="1"/>
  <c r="E732" i="434"/>
  <c r="D730" i="433"/>
  <c r="C729" i="433"/>
  <c r="E733" i="434" l="1"/>
  <c r="A732" i="434"/>
  <c r="B732" i="434" s="1"/>
  <c r="D730" i="434"/>
  <c r="C729" i="434"/>
  <c r="E731" i="433"/>
  <c r="A730" i="433"/>
  <c r="B730" i="433" s="1"/>
  <c r="C730" i="433"/>
  <c r="D731" i="433"/>
  <c r="D731" i="434" l="1"/>
  <c r="C730" i="434"/>
  <c r="E732" i="433"/>
  <c r="A731" i="433"/>
  <c r="B731" i="433" s="1"/>
  <c r="E734" i="434"/>
  <c r="A733" i="434"/>
  <c r="B733" i="434" s="1"/>
  <c r="D732" i="433"/>
  <c r="C731" i="433"/>
  <c r="E735" i="434" l="1"/>
  <c r="A734" i="434"/>
  <c r="B734" i="434" s="1"/>
  <c r="A732" i="433"/>
  <c r="B732" i="433" s="1"/>
  <c r="E733" i="433"/>
  <c r="D732" i="434"/>
  <c r="C731" i="434"/>
  <c r="D733" i="433"/>
  <c r="C732" i="433"/>
  <c r="C732" i="434" l="1"/>
  <c r="D733" i="434"/>
  <c r="E734" i="433"/>
  <c r="A733" i="433"/>
  <c r="B733" i="433" s="1"/>
  <c r="A735" i="434"/>
  <c r="B735" i="434" s="1"/>
  <c r="E736" i="434"/>
  <c r="C733" i="433"/>
  <c r="D734" i="433"/>
  <c r="A736" i="434" l="1"/>
  <c r="B736" i="434" s="1"/>
  <c r="E737" i="434"/>
  <c r="E735" i="433"/>
  <c r="A734" i="433"/>
  <c r="B734" i="433" s="1"/>
  <c r="D734" i="434"/>
  <c r="C733" i="434"/>
  <c r="C734" i="433"/>
  <c r="D735" i="433"/>
  <c r="D735" i="434" l="1"/>
  <c r="C734" i="434"/>
  <c r="E736" i="433"/>
  <c r="A735" i="433"/>
  <c r="B735" i="433" s="1"/>
  <c r="E738" i="434"/>
  <c r="A737" i="434"/>
  <c r="B737" i="434" s="1"/>
  <c r="C735" i="433"/>
  <c r="D736" i="433"/>
  <c r="E739" i="434" l="1"/>
  <c r="A738" i="434"/>
  <c r="B738" i="434" s="1"/>
  <c r="A736" i="433"/>
  <c r="B736" i="433" s="1"/>
  <c r="E737" i="433"/>
  <c r="D736" i="434"/>
  <c r="C735" i="434"/>
  <c r="C736" i="433"/>
  <c r="D737" i="433"/>
  <c r="D737" i="434" l="1"/>
  <c r="C736" i="434"/>
  <c r="A737" i="433"/>
  <c r="B737" i="433" s="1"/>
  <c r="E738" i="433"/>
  <c r="E740" i="434"/>
  <c r="A739" i="434"/>
  <c r="B739" i="434" s="1"/>
  <c r="D738" i="433"/>
  <c r="C737" i="433"/>
  <c r="A740" i="434" l="1"/>
  <c r="B740" i="434" s="1"/>
  <c r="E741" i="434"/>
  <c r="E739" i="433"/>
  <c r="A738" i="433"/>
  <c r="B738" i="433" s="1"/>
  <c r="C737" i="434"/>
  <c r="D738" i="434"/>
  <c r="D739" i="433"/>
  <c r="C738" i="433"/>
  <c r="D739" i="434" l="1"/>
  <c r="C738" i="434"/>
  <c r="A739" i="433"/>
  <c r="B739" i="433" s="1"/>
  <c r="E740" i="433"/>
  <c r="A741" i="434"/>
  <c r="B741" i="434" s="1"/>
  <c r="E742" i="434"/>
  <c r="C739" i="433"/>
  <c r="D740" i="433"/>
  <c r="A742" i="434" l="1"/>
  <c r="B742" i="434" s="1"/>
  <c r="E743" i="434"/>
  <c r="E741" i="433"/>
  <c r="A740" i="433"/>
  <c r="B740" i="433" s="1"/>
  <c r="C739" i="434"/>
  <c r="D740" i="434"/>
  <c r="D741" i="433"/>
  <c r="C740" i="433"/>
  <c r="A741" i="433" l="1"/>
  <c r="B741" i="433" s="1"/>
  <c r="E742" i="433"/>
  <c r="A743" i="434"/>
  <c r="B743" i="434" s="1"/>
  <c r="E744" i="434"/>
  <c r="D741" i="434"/>
  <c r="C740" i="434"/>
  <c r="C741" i="433"/>
  <c r="D742" i="433"/>
  <c r="D742" i="434" l="1"/>
  <c r="C741" i="434"/>
  <c r="E745" i="434"/>
  <c r="A744" i="434"/>
  <c r="B744" i="434" s="1"/>
  <c r="E743" i="433"/>
  <c r="A742" i="433"/>
  <c r="B742" i="433" s="1"/>
  <c r="C742" i="433"/>
  <c r="D743" i="433"/>
  <c r="E746" i="434" l="1"/>
  <c r="A745" i="434"/>
  <c r="B745" i="434" s="1"/>
  <c r="A743" i="433"/>
  <c r="B743" i="433" s="1"/>
  <c r="E744" i="433"/>
  <c r="C742" i="434"/>
  <c r="D743" i="434"/>
  <c r="C743" i="433"/>
  <c r="D744" i="433"/>
  <c r="D744" i="434" l="1"/>
  <c r="C743" i="434"/>
  <c r="E745" i="433"/>
  <c r="A744" i="433"/>
  <c r="B744" i="433" s="1"/>
  <c r="A746" i="434"/>
  <c r="B746" i="434" s="1"/>
  <c r="E747" i="434"/>
  <c r="D745" i="433"/>
  <c r="C744" i="433"/>
  <c r="E746" i="433" l="1"/>
  <c r="A745" i="433"/>
  <c r="B745" i="433" s="1"/>
  <c r="E748" i="434"/>
  <c r="A747" i="434"/>
  <c r="B747" i="434" s="1"/>
  <c r="C744" i="434"/>
  <c r="D745" i="434"/>
  <c r="D746" i="433"/>
  <c r="C745" i="433"/>
  <c r="D746" i="434" l="1"/>
  <c r="C745" i="434"/>
  <c r="A748" i="434"/>
  <c r="B748" i="434" s="1"/>
  <c r="E749" i="434"/>
  <c r="E747" i="433"/>
  <c r="A746" i="433"/>
  <c r="B746" i="433" s="1"/>
  <c r="C746" i="433"/>
  <c r="D747" i="433"/>
  <c r="E748" i="433" l="1"/>
  <c r="A747" i="433"/>
  <c r="B747" i="433" s="1"/>
  <c r="E750" i="434"/>
  <c r="A749" i="434"/>
  <c r="B749" i="434" s="1"/>
  <c r="C746" i="434"/>
  <c r="D747" i="434"/>
  <c r="C747" i="433"/>
  <c r="D748" i="433"/>
  <c r="D748" i="434" l="1"/>
  <c r="C747" i="434"/>
  <c r="A750" i="434"/>
  <c r="B750" i="434" s="1"/>
  <c r="E751" i="434"/>
  <c r="E749" i="433"/>
  <c r="A748" i="433"/>
  <c r="B748" i="433" s="1"/>
  <c r="C748" i="433"/>
  <c r="D749" i="433"/>
  <c r="A749" i="433" l="1"/>
  <c r="B749" i="433" s="1"/>
  <c r="E750" i="433"/>
  <c r="A751" i="434"/>
  <c r="B751" i="434" s="1"/>
  <c r="E752" i="434"/>
  <c r="D749" i="434"/>
  <c r="C748" i="434"/>
  <c r="D750" i="433"/>
  <c r="C749" i="433"/>
  <c r="D750" i="434" l="1"/>
  <c r="C749" i="434"/>
  <c r="E753" i="434"/>
  <c r="A752" i="434"/>
  <c r="B752" i="434" s="1"/>
  <c r="E751" i="433"/>
  <c r="A750" i="433"/>
  <c r="B750" i="433" s="1"/>
  <c r="D751" i="433"/>
  <c r="C750" i="433"/>
  <c r="D751" i="434" l="1"/>
  <c r="C750" i="434"/>
  <c r="E752" i="433"/>
  <c r="A751" i="433"/>
  <c r="B751" i="433" s="1"/>
  <c r="A753" i="434"/>
  <c r="B753" i="434" s="1"/>
  <c r="E754" i="434"/>
  <c r="C751" i="433"/>
  <c r="D752" i="433"/>
  <c r="D752" i="434" l="1"/>
  <c r="C751" i="434"/>
  <c r="A754" i="434"/>
  <c r="B754" i="434" s="1"/>
  <c r="E755" i="434"/>
  <c r="E753" i="433"/>
  <c r="A752" i="433"/>
  <c r="B752" i="433" s="1"/>
  <c r="D753" i="433"/>
  <c r="C752" i="433"/>
  <c r="C752" i="434" l="1"/>
  <c r="D753" i="434"/>
  <c r="A753" i="433"/>
  <c r="B753" i="433" s="1"/>
  <c r="E754" i="433"/>
  <c r="A755" i="434"/>
  <c r="B755" i="434" s="1"/>
  <c r="E756" i="434"/>
  <c r="C753" i="433"/>
  <c r="D754" i="433"/>
  <c r="E757" i="434" l="1"/>
  <c r="A756" i="434"/>
  <c r="B756" i="434" s="1"/>
  <c r="E755" i="433"/>
  <c r="A754" i="433"/>
  <c r="B754" i="433" s="1"/>
  <c r="D754" i="434"/>
  <c r="C753" i="434"/>
  <c r="C754" i="433"/>
  <c r="D755" i="433"/>
  <c r="D755" i="434" l="1"/>
  <c r="C754" i="434"/>
  <c r="A757" i="434"/>
  <c r="B757" i="434" s="1"/>
  <c r="E758" i="434"/>
  <c r="E756" i="433"/>
  <c r="A755" i="433"/>
  <c r="B755" i="433" s="1"/>
  <c r="C755" i="433"/>
  <c r="D756" i="433"/>
  <c r="D756" i="434" l="1"/>
  <c r="C755" i="434"/>
  <c r="A756" i="433"/>
  <c r="B756" i="433" s="1"/>
  <c r="E757" i="433"/>
  <c r="E759" i="434"/>
  <c r="A758" i="434"/>
  <c r="B758" i="434" s="1"/>
  <c r="C756" i="433"/>
  <c r="D757" i="433"/>
  <c r="A759" i="434" l="1"/>
  <c r="B759" i="434" s="1"/>
  <c r="E760" i="434"/>
  <c r="A757" i="433"/>
  <c r="B757" i="433" s="1"/>
  <c r="E758" i="433"/>
  <c r="D757" i="434"/>
  <c r="C756" i="434"/>
  <c r="C757" i="433"/>
  <c r="D758" i="433"/>
  <c r="C757" i="434" l="1"/>
  <c r="D758" i="434"/>
  <c r="E759" i="433"/>
  <c r="A758" i="433"/>
  <c r="B758" i="433" s="1"/>
  <c r="E761" i="434"/>
  <c r="A760" i="434"/>
  <c r="B760" i="434" s="1"/>
  <c r="D759" i="433"/>
  <c r="C758" i="433"/>
  <c r="E762" i="434" l="1"/>
  <c r="A761" i="434"/>
  <c r="B761" i="434" s="1"/>
  <c r="E760" i="433"/>
  <c r="A759" i="433"/>
  <c r="B759" i="433" s="1"/>
  <c r="C758" i="434"/>
  <c r="D759" i="434"/>
  <c r="C759" i="433"/>
  <c r="D760" i="433"/>
  <c r="E761" i="433" l="1"/>
  <c r="A760" i="433"/>
  <c r="B760" i="433" s="1"/>
  <c r="D760" i="434"/>
  <c r="C759" i="434"/>
  <c r="A762" i="434"/>
  <c r="B762" i="434" s="1"/>
  <c r="E763" i="434"/>
  <c r="D761" i="433"/>
  <c r="C760" i="433"/>
  <c r="E764" i="434" l="1"/>
  <c r="A763" i="434"/>
  <c r="B763" i="434" s="1"/>
  <c r="D761" i="434"/>
  <c r="C760" i="434"/>
  <c r="A761" i="433"/>
  <c r="B761" i="433" s="1"/>
  <c r="E762" i="433"/>
  <c r="C761" i="433"/>
  <c r="D762" i="433"/>
  <c r="E763" i="433" l="1"/>
  <c r="A762" i="433"/>
  <c r="B762" i="433" s="1"/>
  <c r="C761" i="434"/>
  <c r="D762" i="434"/>
  <c r="E765" i="434"/>
  <c r="A764" i="434"/>
  <c r="B764" i="434" s="1"/>
  <c r="C762" i="433"/>
  <c r="D763" i="433"/>
  <c r="E766" i="434" l="1"/>
  <c r="A765" i="434"/>
  <c r="B765" i="434" s="1"/>
  <c r="D763" i="434"/>
  <c r="C762" i="434"/>
  <c r="E764" i="433"/>
  <c r="A763" i="433"/>
  <c r="B763" i="433" s="1"/>
  <c r="C763" i="433"/>
  <c r="D764" i="433"/>
  <c r="D764" i="434" l="1"/>
  <c r="C763" i="434"/>
  <c r="A764" i="433"/>
  <c r="B764" i="433" s="1"/>
  <c r="E765" i="433"/>
  <c r="E767" i="434"/>
  <c r="A766" i="434"/>
  <c r="B766" i="434" s="1"/>
  <c r="C764" i="433"/>
  <c r="D765" i="433"/>
  <c r="A767" i="434" l="1"/>
  <c r="B767" i="434" s="1"/>
  <c r="E768" i="434"/>
  <c r="A765" i="433"/>
  <c r="B765" i="433" s="1"/>
  <c r="E766" i="433"/>
  <c r="C764" i="434"/>
  <c r="D765" i="434"/>
  <c r="D766" i="433"/>
  <c r="C765" i="433"/>
  <c r="D766" i="434" l="1"/>
  <c r="C765" i="434"/>
  <c r="E767" i="433"/>
  <c r="A766" i="433"/>
  <c r="B766" i="433" s="1"/>
  <c r="A768" i="434"/>
  <c r="B768" i="434" s="1"/>
  <c r="E769" i="434"/>
  <c r="C766" i="433"/>
  <c r="D767" i="433"/>
  <c r="A769" i="434" l="1"/>
  <c r="B769" i="434" s="1"/>
  <c r="E770" i="434"/>
  <c r="E768" i="433"/>
  <c r="A767" i="433"/>
  <c r="B767" i="433" s="1"/>
  <c r="C766" i="434"/>
  <c r="D767" i="434"/>
  <c r="C767" i="433"/>
  <c r="D768" i="433"/>
  <c r="C767" i="434" l="1"/>
  <c r="D768" i="434"/>
  <c r="A768" i="433"/>
  <c r="B768" i="433" s="1"/>
  <c r="E769" i="433"/>
  <c r="E771" i="434"/>
  <c r="A770" i="434"/>
  <c r="B770" i="434" s="1"/>
  <c r="D769" i="433"/>
  <c r="C768" i="433"/>
  <c r="E772" i="434" l="1"/>
  <c r="A771" i="434"/>
  <c r="B771" i="434" s="1"/>
  <c r="E770" i="433"/>
  <c r="A769" i="433"/>
  <c r="B769" i="433" s="1"/>
  <c r="C768" i="434"/>
  <c r="D769" i="434"/>
  <c r="D770" i="433"/>
  <c r="C769" i="433"/>
  <c r="C769" i="434" l="1"/>
  <c r="D770" i="434"/>
  <c r="A770" i="433"/>
  <c r="B770" i="433" s="1"/>
  <c r="E771" i="433"/>
  <c r="E773" i="434"/>
  <c r="A772" i="434"/>
  <c r="B772" i="434" s="1"/>
  <c r="D771" i="433"/>
  <c r="C770" i="433"/>
  <c r="A773" i="434" l="1"/>
  <c r="B773" i="434" s="1"/>
  <c r="E774" i="434"/>
  <c r="A771" i="433"/>
  <c r="B771" i="433" s="1"/>
  <c r="E772" i="433"/>
  <c r="C770" i="434"/>
  <c r="D771" i="434"/>
  <c r="C771" i="433"/>
  <c r="D772" i="433"/>
  <c r="C771" i="434" l="1"/>
  <c r="D772" i="434"/>
  <c r="E773" i="433"/>
  <c r="A772" i="433"/>
  <c r="B772" i="433" s="1"/>
  <c r="E775" i="434"/>
  <c r="A774" i="434"/>
  <c r="B774" i="434" s="1"/>
  <c r="D773" i="433"/>
  <c r="C772" i="433"/>
  <c r="E776" i="434" l="1"/>
  <c r="A775" i="434"/>
  <c r="B775" i="434" s="1"/>
  <c r="E774" i="433"/>
  <c r="A773" i="433"/>
  <c r="B773" i="433" s="1"/>
  <c r="C772" i="434"/>
  <c r="D773" i="434"/>
  <c r="D774" i="433"/>
  <c r="C773" i="433"/>
  <c r="C773" i="434" l="1"/>
  <c r="D774" i="434"/>
  <c r="A774" i="433"/>
  <c r="B774" i="433" s="1"/>
  <c r="E775" i="433"/>
  <c r="A776" i="434"/>
  <c r="B776" i="434" s="1"/>
  <c r="E777" i="434"/>
  <c r="D775" i="433"/>
  <c r="C774" i="433"/>
  <c r="E778" i="434" l="1"/>
  <c r="A777" i="434"/>
  <c r="B777" i="434" s="1"/>
  <c r="A775" i="433"/>
  <c r="B775" i="433" s="1"/>
  <c r="E776" i="433"/>
  <c r="D775" i="434"/>
  <c r="C774" i="434"/>
  <c r="C775" i="433"/>
  <c r="D776" i="433"/>
  <c r="D776" i="434" l="1"/>
  <c r="C775" i="434"/>
  <c r="A776" i="433"/>
  <c r="B776" i="433" s="1"/>
  <c r="E777" i="433"/>
  <c r="A778" i="434"/>
  <c r="B778" i="434" s="1"/>
  <c r="E779" i="434"/>
  <c r="D777" i="433"/>
  <c r="C776" i="433"/>
  <c r="A779" i="434" l="1"/>
  <c r="B779" i="434" s="1"/>
  <c r="E780" i="434"/>
  <c r="A777" i="433"/>
  <c r="B777" i="433" s="1"/>
  <c r="E778" i="433"/>
  <c r="C776" i="434"/>
  <c r="D777" i="434"/>
  <c r="D778" i="433"/>
  <c r="C777" i="433"/>
  <c r="C777" i="434" l="1"/>
  <c r="D778" i="434"/>
  <c r="A778" i="433"/>
  <c r="B778" i="433" s="1"/>
  <c r="E779" i="433"/>
  <c r="E781" i="434"/>
  <c r="A780" i="434"/>
  <c r="B780" i="434" s="1"/>
  <c r="D779" i="433"/>
  <c r="C778" i="433"/>
  <c r="A781" i="434" l="1"/>
  <c r="B781" i="434" s="1"/>
  <c r="E782" i="434"/>
  <c r="E780" i="433"/>
  <c r="A779" i="433"/>
  <c r="B779" i="433" s="1"/>
  <c r="D779" i="434"/>
  <c r="C778" i="434"/>
  <c r="D780" i="433"/>
  <c r="C779" i="433"/>
  <c r="E783" i="434" l="1"/>
  <c r="A782" i="434"/>
  <c r="B782" i="434" s="1"/>
  <c r="D780" i="434"/>
  <c r="C779" i="434"/>
  <c r="E781" i="433"/>
  <c r="A780" i="433"/>
  <c r="B780" i="433" s="1"/>
  <c r="D781" i="433"/>
  <c r="C780" i="433"/>
  <c r="E782" i="433" l="1"/>
  <c r="A781" i="433"/>
  <c r="B781" i="433" s="1"/>
  <c r="D781" i="434"/>
  <c r="C780" i="434"/>
  <c r="A783" i="434"/>
  <c r="B783" i="434" s="1"/>
  <c r="E784" i="434"/>
  <c r="C781" i="433"/>
  <c r="D782" i="433"/>
  <c r="C781" i="434" l="1"/>
  <c r="D782" i="434"/>
  <c r="A784" i="434"/>
  <c r="B784" i="434" s="1"/>
  <c r="E785" i="434"/>
  <c r="E783" i="433"/>
  <c r="A782" i="433"/>
  <c r="B782" i="433" s="1"/>
  <c r="C782" i="433"/>
  <c r="D783" i="433"/>
  <c r="E784" i="433" l="1"/>
  <c r="A783" i="433"/>
  <c r="B783" i="433" s="1"/>
  <c r="A785" i="434"/>
  <c r="B785" i="434" s="1"/>
  <c r="E786" i="434"/>
  <c r="D783" i="434"/>
  <c r="C782" i="434"/>
  <c r="C783" i="433"/>
  <c r="D784" i="433"/>
  <c r="C783" i="434" l="1"/>
  <c r="D784" i="434"/>
  <c r="A786" i="434"/>
  <c r="B786" i="434" s="1"/>
  <c r="E787" i="434"/>
  <c r="A784" i="433"/>
  <c r="B784" i="433" s="1"/>
  <c r="E785" i="433"/>
  <c r="C784" i="433"/>
  <c r="D785" i="433"/>
  <c r="E786" i="433" l="1"/>
  <c r="A785" i="433"/>
  <c r="B785" i="433" s="1"/>
  <c r="E788" i="434"/>
  <c r="A787" i="434"/>
  <c r="B787" i="434" s="1"/>
  <c r="C784" i="434"/>
  <c r="D785" i="434"/>
  <c r="C785" i="433"/>
  <c r="D786" i="433"/>
  <c r="A788" i="434" l="1"/>
  <c r="B788" i="434" s="1"/>
  <c r="E789" i="434"/>
  <c r="C785" i="434"/>
  <c r="D786" i="434"/>
  <c r="A786" i="433"/>
  <c r="B786" i="433" s="1"/>
  <c r="E787" i="433"/>
  <c r="C786" i="433"/>
  <c r="D787" i="433"/>
  <c r="E790" i="434" l="1"/>
  <c r="A789" i="434"/>
  <c r="B789" i="434" s="1"/>
  <c r="A787" i="433"/>
  <c r="B787" i="433" s="1"/>
  <c r="E788" i="433"/>
  <c r="C786" i="434"/>
  <c r="D787" i="434"/>
  <c r="D788" i="433"/>
  <c r="C787" i="433"/>
  <c r="D788" i="434" l="1"/>
  <c r="C787" i="434"/>
  <c r="A788" i="433"/>
  <c r="B788" i="433" s="1"/>
  <c r="E789" i="433"/>
  <c r="A790" i="434"/>
  <c r="B790" i="434" s="1"/>
  <c r="E791" i="434"/>
  <c r="C788" i="433"/>
  <c r="D789" i="433"/>
  <c r="E792" i="434" l="1"/>
  <c r="A791" i="434"/>
  <c r="B791" i="434" s="1"/>
  <c r="A789" i="433"/>
  <c r="B789" i="433" s="1"/>
  <c r="E790" i="433"/>
  <c r="C788" i="434"/>
  <c r="D789" i="434"/>
  <c r="D790" i="433"/>
  <c r="C789" i="433"/>
  <c r="D790" i="434" l="1"/>
  <c r="C789" i="434"/>
  <c r="A790" i="433"/>
  <c r="B790" i="433" s="1"/>
  <c r="E791" i="433"/>
  <c r="E793" i="434"/>
  <c r="A792" i="434"/>
  <c r="B792" i="434" s="1"/>
  <c r="C790" i="433"/>
  <c r="D791" i="433"/>
  <c r="E794" i="434" l="1"/>
  <c r="A793" i="434"/>
  <c r="B793" i="434" s="1"/>
  <c r="E792" i="433"/>
  <c r="A791" i="433"/>
  <c r="B791" i="433" s="1"/>
  <c r="D791" i="434"/>
  <c r="C790" i="434"/>
  <c r="D792" i="433"/>
  <c r="C791" i="433"/>
  <c r="D792" i="434" l="1"/>
  <c r="C791" i="434"/>
  <c r="E793" i="433"/>
  <c r="A792" i="433"/>
  <c r="B792" i="433" s="1"/>
  <c r="E795" i="434"/>
  <c r="A794" i="434"/>
  <c r="B794" i="434" s="1"/>
  <c r="C792" i="433"/>
  <c r="D793" i="433"/>
  <c r="A795" i="434" l="1"/>
  <c r="B795" i="434" s="1"/>
  <c r="E796" i="434"/>
  <c r="E794" i="433"/>
  <c r="A793" i="433"/>
  <c r="B793" i="433" s="1"/>
  <c r="D793" i="434"/>
  <c r="C792" i="434"/>
  <c r="C793" i="433"/>
  <c r="D794" i="433"/>
  <c r="D794" i="434" l="1"/>
  <c r="C793" i="434"/>
  <c r="E795" i="433"/>
  <c r="A794" i="433"/>
  <c r="B794" i="433" s="1"/>
  <c r="E797" i="434"/>
  <c r="A796" i="434"/>
  <c r="B796" i="434" s="1"/>
  <c r="C794" i="433"/>
  <c r="D795" i="433"/>
  <c r="A797" i="434" l="1"/>
  <c r="B797" i="434" s="1"/>
  <c r="E798" i="434"/>
  <c r="E796" i="433"/>
  <c r="A795" i="433"/>
  <c r="B795" i="433" s="1"/>
  <c r="D795" i="434"/>
  <c r="C794" i="434"/>
  <c r="C795" i="433"/>
  <c r="D796" i="433"/>
  <c r="C795" i="434" l="1"/>
  <c r="D796" i="434"/>
  <c r="E797" i="433"/>
  <c r="A796" i="433"/>
  <c r="B796" i="433" s="1"/>
  <c r="A798" i="434"/>
  <c r="B798" i="434" s="1"/>
  <c r="E799" i="434"/>
  <c r="D797" i="433"/>
  <c r="C796" i="433"/>
  <c r="C796" i="434" l="1"/>
  <c r="D797" i="434"/>
  <c r="E800" i="434"/>
  <c r="A799" i="434"/>
  <c r="B799" i="434" s="1"/>
  <c r="A797" i="433"/>
  <c r="B797" i="433" s="1"/>
  <c r="E798" i="433"/>
  <c r="C797" i="433"/>
  <c r="D798" i="433"/>
  <c r="E799" i="433" l="1"/>
  <c r="A798" i="433"/>
  <c r="B798" i="433" s="1"/>
  <c r="A800" i="434"/>
  <c r="B800" i="434" s="1"/>
  <c r="E801" i="434"/>
  <c r="D798" i="434"/>
  <c r="C797" i="434"/>
  <c r="C798" i="433"/>
  <c r="D799" i="433"/>
  <c r="C798" i="434" l="1"/>
  <c r="D799" i="434"/>
  <c r="A801" i="434"/>
  <c r="B801" i="434" s="1"/>
  <c r="E802" i="434"/>
  <c r="E800" i="433"/>
  <c r="A799" i="433"/>
  <c r="B799" i="433" s="1"/>
  <c r="D800" i="433"/>
  <c r="C799" i="433"/>
  <c r="A802" i="434" l="1"/>
  <c r="B802" i="434" s="1"/>
  <c r="E803" i="434"/>
  <c r="E801" i="433"/>
  <c r="A800" i="433"/>
  <c r="B800" i="433" s="1"/>
  <c r="C799" i="434"/>
  <c r="D800" i="434"/>
  <c r="C800" i="433"/>
  <c r="D801" i="433"/>
  <c r="D801" i="434" l="1"/>
  <c r="C800" i="434"/>
  <c r="A801" i="433"/>
  <c r="B801" i="433" s="1"/>
  <c r="E802" i="433"/>
  <c r="A803" i="434"/>
  <c r="B803" i="434" s="1"/>
  <c r="E804" i="434"/>
  <c r="D802" i="433"/>
  <c r="C801" i="433"/>
  <c r="C801" i="434" l="1"/>
  <c r="D802" i="434"/>
  <c r="A804" i="434"/>
  <c r="B804" i="434" s="1"/>
  <c r="E805" i="434"/>
  <c r="A802" i="433"/>
  <c r="B802" i="433" s="1"/>
  <c r="E803" i="433"/>
  <c r="C802" i="433"/>
  <c r="D803" i="433"/>
  <c r="E804" i="433" l="1"/>
  <c r="A803" i="433"/>
  <c r="B803" i="433" s="1"/>
  <c r="E806" i="434"/>
  <c r="A805" i="434"/>
  <c r="B805" i="434" s="1"/>
  <c r="C802" i="434"/>
  <c r="D803" i="434"/>
  <c r="C803" i="433"/>
  <c r="D804" i="433"/>
  <c r="C803" i="434" l="1"/>
  <c r="D804" i="434"/>
  <c r="A804" i="433"/>
  <c r="B804" i="433" s="1"/>
  <c r="E805" i="433"/>
  <c r="A806" i="434"/>
  <c r="B806" i="434" s="1"/>
  <c r="E807" i="434"/>
  <c r="D805" i="433"/>
  <c r="C804" i="433"/>
  <c r="A807" i="434" l="1"/>
  <c r="B807" i="434" s="1"/>
  <c r="E808" i="434"/>
  <c r="A805" i="433"/>
  <c r="B805" i="433" s="1"/>
  <c r="E806" i="433"/>
  <c r="C804" i="434"/>
  <c r="D805" i="434"/>
  <c r="D806" i="433"/>
  <c r="C805" i="433"/>
  <c r="C805" i="434" l="1"/>
  <c r="D806" i="434"/>
  <c r="A806" i="433"/>
  <c r="B806" i="433" s="1"/>
  <c r="E807" i="433"/>
  <c r="A808" i="434"/>
  <c r="B808" i="434" s="1"/>
  <c r="E809" i="434"/>
  <c r="D807" i="433"/>
  <c r="C806" i="433"/>
  <c r="A807" i="433" l="1"/>
  <c r="B807" i="433" s="1"/>
  <c r="E808" i="433"/>
  <c r="E810" i="434"/>
  <c r="A809" i="434"/>
  <c r="B809" i="434" s="1"/>
  <c r="D807" i="434"/>
  <c r="C806" i="434"/>
  <c r="D808" i="433"/>
  <c r="C807" i="433"/>
  <c r="C807" i="434" l="1"/>
  <c r="D808" i="434"/>
  <c r="A810" i="434"/>
  <c r="B810" i="434" s="1"/>
  <c r="E811" i="434"/>
  <c r="E809" i="433"/>
  <c r="A808" i="433"/>
  <c r="B808" i="433" s="1"/>
  <c r="D809" i="433"/>
  <c r="C808" i="433"/>
  <c r="E810" i="433" l="1"/>
  <c r="A809" i="433"/>
  <c r="B809" i="433" s="1"/>
  <c r="A811" i="434"/>
  <c r="B811" i="434" s="1"/>
  <c r="E812" i="434"/>
  <c r="D809" i="434"/>
  <c r="C808" i="434"/>
  <c r="D810" i="433"/>
  <c r="C809" i="433"/>
  <c r="E811" i="433" l="1"/>
  <c r="A810" i="433"/>
  <c r="B810" i="433" s="1"/>
  <c r="C809" i="434"/>
  <c r="D810" i="434"/>
  <c r="A812" i="434"/>
  <c r="B812" i="434" s="1"/>
  <c r="E813" i="434"/>
  <c r="D811" i="433"/>
  <c r="C810" i="433"/>
  <c r="D811" i="434" l="1"/>
  <c r="C810" i="434"/>
  <c r="A813" i="434"/>
  <c r="B813" i="434" s="1"/>
  <c r="E814" i="434"/>
  <c r="E812" i="433"/>
  <c r="A811" i="433"/>
  <c r="B811" i="433" s="1"/>
  <c r="D812" i="433"/>
  <c r="C811" i="433"/>
  <c r="A812" i="433" l="1"/>
  <c r="B812" i="433" s="1"/>
  <c r="E813" i="433"/>
  <c r="A814" i="434"/>
  <c r="B814" i="434" s="1"/>
  <c r="E815" i="434"/>
  <c r="C811" i="434"/>
  <c r="D812" i="434"/>
  <c r="C812" i="433"/>
  <c r="D813" i="433"/>
  <c r="D813" i="434" l="1"/>
  <c r="C812" i="434"/>
  <c r="E816" i="434"/>
  <c r="A815" i="434"/>
  <c r="B815" i="434" s="1"/>
  <c r="E814" i="433"/>
  <c r="A813" i="433"/>
  <c r="B813" i="433" s="1"/>
  <c r="D814" i="433"/>
  <c r="C813" i="433"/>
  <c r="E815" i="433" l="1"/>
  <c r="A814" i="433"/>
  <c r="B814" i="433" s="1"/>
  <c r="E817" i="434"/>
  <c r="A816" i="434"/>
  <c r="B816" i="434" s="1"/>
  <c r="C813" i="434"/>
  <c r="D814" i="434"/>
  <c r="C814" i="433"/>
  <c r="D815" i="433"/>
  <c r="A817" i="434" l="1"/>
  <c r="B817" i="434" s="1"/>
  <c r="E818" i="434"/>
  <c r="D815" i="434"/>
  <c r="C814" i="434"/>
  <c r="A815" i="433"/>
  <c r="B815" i="433" s="1"/>
  <c r="E816" i="433"/>
  <c r="C815" i="433"/>
  <c r="D816" i="433"/>
  <c r="A816" i="433" l="1"/>
  <c r="B816" i="433" s="1"/>
  <c r="E817" i="433"/>
  <c r="D816" i="434"/>
  <c r="C815" i="434"/>
  <c r="A818" i="434"/>
  <c r="B818" i="434" s="1"/>
  <c r="E819" i="434"/>
  <c r="C816" i="433"/>
  <c r="D817" i="433"/>
  <c r="D817" i="434" l="1"/>
  <c r="C816" i="434"/>
  <c r="E818" i="433"/>
  <c r="A817" i="433"/>
  <c r="B817" i="433" s="1"/>
  <c r="E820" i="434"/>
  <c r="A819" i="434"/>
  <c r="B819" i="434" s="1"/>
  <c r="C817" i="433"/>
  <c r="D818" i="433"/>
  <c r="E821" i="434" l="1"/>
  <c r="A820" i="434"/>
  <c r="B820" i="434" s="1"/>
  <c r="A818" i="433"/>
  <c r="B818" i="433" s="1"/>
  <c r="E819" i="433"/>
  <c r="C817" i="434"/>
  <c r="D818" i="434"/>
  <c r="C818" i="433"/>
  <c r="D819" i="433"/>
  <c r="A821" i="434" l="1"/>
  <c r="B821" i="434" s="1"/>
  <c r="E822" i="434"/>
  <c r="C818" i="434"/>
  <c r="D819" i="434"/>
  <c r="A819" i="433"/>
  <c r="B819" i="433" s="1"/>
  <c r="E820" i="433"/>
  <c r="C819" i="433"/>
  <c r="D820" i="433"/>
  <c r="E821" i="433" l="1"/>
  <c r="A820" i="433"/>
  <c r="B820" i="433" s="1"/>
  <c r="C819" i="434"/>
  <c r="D820" i="434"/>
  <c r="E823" i="434"/>
  <c r="A822" i="434"/>
  <c r="B822" i="434" s="1"/>
  <c r="C820" i="433"/>
  <c r="D821" i="433"/>
  <c r="E822" i="433" l="1"/>
  <c r="A821" i="433"/>
  <c r="B821" i="433" s="1"/>
  <c r="A823" i="434"/>
  <c r="B823" i="434" s="1"/>
  <c r="E824" i="434"/>
  <c r="D821" i="434"/>
  <c r="C820" i="434"/>
  <c r="C821" i="433"/>
  <c r="D822" i="433"/>
  <c r="A822" i="433" l="1"/>
  <c r="B822" i="433" s="1"/>
  <c r="E823" i="433"/>
  <c r="D822" i="434"/>
  <c r="C821" i="434"/>
  <c r="A824" i="434"/>
  <c r="B824" i="434" s="1"/>
  <c r="E825" i="434"/>
  <c r="D823" i="433"/>
  <c r="C822" i="433"/>
  <c r="A825" i="434" l="1"/>
  <c r="B825" i="434" s="1"/>
  <c r="E826" i="434"/>
  <c r="C822" i="434"/>
  <c r="D823" i="434"/>
  <c r="A823" i="433"/>
  <c r="B823" i="433" s="1"/>
  <c r="E824" i="433"/>
  <c r="D824" i="433"/>
  <c r="C823" i="433"/>
  <c r="E825" i="433" l="1"/>
  <c r="A824" i="433"/>
  <c r="B824" i="433" s="1"/>
  <c r="C823" i="434"/>
  <c r="D824" i="434"/>
  <c r="E827" i="434"/>
  <c r="A826" i="434"/>
  <c r="B826" i="434" s="1"/>
  <c r="D825" i="433"/>
  <c r="C824" i="433"/>
  <c r="A825" i="433" l="1"/>
  <c r="B825" i="433" s="1"/>
  <c r="E826" i="433"/>
  <c r="A827" i="434"/>
  <c r="B827" i="434" s="1"/>
  <c r="E828" i="434"/>
  <c r="C824" i="434"/>
  <c r="D825" i="434"/>
  <c r="C825" i="433"/>
  <c r="D826" i="433"/>
  <c r="C825" i="434" l="1"/>
  <c r="D826" i="434"/>
  <c r="A828" i="434"/>
  <c r="B828" i="434" s="1"/>
  <c r="E829" i="434"/>
  <c r="A826" i="433"/>
  <c r="B826" i="433" s="1"/>
  <c r="E827" i="433"/>
  <c r="D827" i="433"/>
  <c r="C826" i="433"/>
  <c r="A827" i="433" l="1"/>
  <c r="B827" i="433" s="1"/>
  <c r="E828" i="433"/>
  <c r="A829" i="434"/>
  <c r="B829" i="434" s="1"/>
  <c r="E830" i="434"/>
  <c r="D827" i="434"/>
  <c r="C826" i="434"/>
  <c r="C827" i="433"/>
  <c r="D828" i="433"/>
  <c r="C827" i="434" l="1"/>
  <c r="D828" i="434"/>
  <c r="A830" i="434"/>
  <c r="B830" i="434" s="1"/>
  <c r="E831" i="434"/>
  <c r="E829" i="433"/>
  <c r="A828" i="433"/>
  <c r="B828" i="433" s="1"/>
  <c r="C828" i="433"/>
  <c r="D829" i="433"/>
  <c r="A829" i="433" l="1"/>
  <c r="B829" i="433" s="1"/>
  <c r="E830" i="433"/>
  <c r="A831" i="434"/>
  <c r="B831" i="434" s="1"/>
  <c r="E832" i="434"/>
  <c r="C828" i="434"/>
  <c r="D829" i="434"/>
  <c r="C829" i="433"/>
  <c r="D830" i="433"/>
  <c r="C829" i="434" l="1"/>
  <c r="D830" i="434"/>
  <c r="E833" i="434"/>
  <c r="A832" i="434"/>
  <c r="B832" i="434" s="1"/>
  <c r="E831" i="433"/>
  <c r="A830" i="433"/>
  <c r="B830" i="433" s="1"/>
  <c r="C830" i="433"/>
  <c r="D831" i="433"/>
  <c r="A831" i="433" l="1"/>
  <c r="B831" i="433" s="1"/>
  <c r="E832" i="433"/>
  <c r="A833" i="434"/>
  <c r="B833" i="434" s="1"/>
  <c r="E834" i="434"/>
  <c r="C830" i="434"/>
  <c r="D831" i="434"/>
  <c r="C831" i="433"/>
  <c r="D832" i="433"/>
  <c r="C831" i="434" l="1"/>
  <c r="D832" i="434"/>
  <c r="A834" i="434"/>
  <c r="B834" i="434" s="1"/>
  <c r="E835" i="434"/>
  <c r="E833" i="433"/>
  <c r="A832" i="433"/>
  <c r="B832" i="433" s="1"/>
  <c r="C832" i="433"/>
  <c r="D833" i="433"/>
  <c r="E834" i="433" l="1"/>
  <c r="A833" i="433"/>
  <c r="B833" i="433" s="1"/>
  <c r="E836" i="434"/>
  <c r="A835" i="434"/>
  <c r="B835" i="434" s="1"/>
  <c r="C832" i="434"/>
  <c r="D833" i="434"/>
  <c r="D834" i="433"/>
  <c r="C833" i="433"/>
  <c r="D834" i="434" l="1"/>
  <c r="C833" i="434"/>
  <c r="A836" i="434"/>
  <c r="B836" i="434" s="1"/>
  <c r="E837" i="434"/>
  <c r="A834" i="433"/>
  <c r="B834" i="433" s="1"/>
  <c r="E835" i="433"/>
  <c r="D835" i="433"/>
  <c r="C834" i="433"/>
  <c r="E838" i="434" l="1"/>
  <c r="A837" i="434"/>
  <c r="B837" i="434" s="1"/>
  <c r="A835" i="433"/>
  <c r="B835" i="433" s="1"/>
  <c r="E836" i="433"/>
  <c r="D835" i="434"/>
  <c r="C834" i="434"/>
  <c r="C835" i="433"/>
  <c r="D836" i="433"/>
  <c r="D836" i="434" l="1"/>
  <c r="C835" i="434"/>
  <c r="E837" i="433"/>
  <c r="A836" i="433"/>
  <c r="B836" i="433" s="1"/>
  <c r="A838" i="434"/>
  <c r="B838" i="434" s="1"/>
  <c r="E839" i="434"/>
  <c r="D837" i="433"/>
  <c r="C836" i="433"/>
  <c r="E838" i="433" l="1"/>
  <c r="A837" i="433"/>
  <c r="B837" i="433" s="1"/>
  <c r="E840" i="434"/>
  <c r="A839" i="434"/>
  <c r="B839" i="434" s="1"/>
  <c r="C836" i="434"/>
  <c r="D837" i="434"/>
  <c r="D838" i="433"/>
  <c r="C837" i="433"/>
  <c r="E841" i="434" l="1"/>
  <c r="A840" i="434"/>
  <c r="B840" i="434" s="1"/>
  <c r="C837" i="434"/>
  <c r="D838" i="434"/>
  <c r="A838" i="433"/>
  <c r="B838" i="433" s="1"/>
  <c r="E839" i="433"/>
  <c r="D839" i="433"/>
  <c r="C838" i="433"/>
  <c r="E840" i="433" l="1"/>
  <c r="A839" i="433"/>
  <c r="B839" i="433" s="1"/>
  <c r="C838" i="434"/>
  <c r="D839" i="434"/>
  <c r="E842" i="434"/>
  <c r="A841" i="434"/>
  <c r="B841" i="434" s="1"/>
  <c r="D840" i="433"/>
  <c r="C839" i="433"/>
  <c r="A842" i="434" l="1"/>
  <c r="B842" i="434" s="1"/>
  <c r="E843" i="434"/>
  <c r="D840" i="434"/>
  <c r="C839" i="434"/>
  <c r="E841" i="433"/>
  <c r="A840" i="433"/>
  <c r="B840" i="433" s="1"/>
  <c r="D841" i="433"/>
  <c r="C840" i="433"/>
  <c r="E842" i="433" l="1"/>
  <c r="A841" i="433"/>
  <c r="B841" i="433" s="1"/>
  <c r="D841" i="434"/>
  <c r="C840" i="434"/>
  <c r="E844" i="434"/>
  <c r="A843" i="434"/>
  <c r="B843" i="434" s="1"/>
  <c r="C841" i="433"/>
  <c r="D842" i="433"/>
  <c r="A844" i="434" l="1"/>
  <c r="B844" i="434" s="1"/>
  <c r="E845" i="434"/>
  <c r="C841" i="434"/>
  <c r="D842" i="434"/>
  <c r="A842" i="433"/>
  <c r="B842" i="433" s="1"/>
  <c r="E843" i="433"/>
  <c r="C842" i="433"/>
  <c r="D843" i="433"/>
  <c r="E846" i="434" l="1"/>
  <c r="A845" i="434"/>
  <c r="B845" i="434" s="1"/>
  <c r="E844" i="433"/>
  <c r="A843" i="433"/>
  <c r="B843" i="433" s="1"/>
  <c r="D843" i="434"/>
  <c r="C842" i="434"/>
  <c r="C843" i="433"/>
  <c r="D844" i="433"/>
  <c r="D844" i="434" l="1"/>
  <c r="C843" i="434"/>
  <c r="A844" i="433"/>
  <c r="B844" i="433" s="1"/>
  <c r="E845" i="433"/>
  <c r="E847" i="434"/>
  <c r="A846" i="434"/>
  <c r="B846" i="434" s="1"/>
  <c r="D845" i="433"/>
  <c r="C844" i="433"/>
  <c r="E846" i="433" l="1"/>
  <c r="A845" i="433"/>
  <c r="B845" i="433" s="1"/>
  <c r="E848" i="434"/>
  <c r="A847" i="434"/>
  <c r="B847" i="434" s="1"/>
  <c r="D845" i="434"/>
  <c r="C844" i="434"/>
  <c r="D846" i="433"/>
  <c r="C845" i="433"/>
  <c r="C845" i="434" l="1"/>
  <c r="D846" i="434"/>
  <c r="E849" i="434"/>
  <c r="A848" i="434"/>
  <c r="B848" i="434" s="1"/>
  <c r="A846" i="433"/>
  <c r="B846" i="433" s="1"/>
  <c r="E847" i="433"/>
  <c r="C846" i="433"/>
  <c r="D847" i="433"/>
  <c r="A847" i="433" l="1"/>
  <c r="B847" i="433" s="1"/>
  <c r="E848" i="433"/>
  <c r="E850" i="434"/>
  <c r="A849" i="434"/>
  <c r="B849" i="434" s="1"/>
  <c r="D847" i="434"/>
  <c r="C846" i="434"/>
  <c r="D848" i="433"/>
  <c r="C847" i="433"/>
  <c r="C847" i="434" l="1"/>
  <c r="D848" i="434"/>
  <c r="E851" i="434"/>
  <c r="A850" i="434"/>
  <c r="B850" i="434" s="1"/>
  <c r="E849" i="433"/>
  <c r="A848" i="433"/>
  <c r="B848" i="433" s="1"/>
  <c r="C848" i="433"/>
  <c r="D849" i="433"/>
  <c r="A849" i="433" l="1"/>
  <c r="B849" i="433" s="1"/>
  <c r="E850" i="433"/>
  <c r="E852" i="434"/>
  <c r="A851" i="434"/>
  <c r="B851" i="434" s="1"/>
  <c r="D849" i="434"/>
  <c r="C848" i="434"/>
  <c r="D850" i="433"/>
  <c r="C849" i="433"/>
  <c r="D850" i="434" l="1"/>
  <c r="C849" i="434"/>
  <c r="E853" i="434"/>
  <c r="A852" i="434"/>
  <c r="B852" i="434" s="1"/>
  <c r="A850" i="433"/>
  <c r="B850" i="433" s="1"/>
  <c r="E851" i="433"/>
  <c r="D851" i="433"/>
  <c r="C850" i="433"/>
  <c r="A851" i="433" l="1"/>
  <c r="B851" i="433" s="1"/>
  <c r="E852" i="433"/>
  <c r="E854" i="434"/>
  <c r="A853" i="434"/>
  <c r="B853" i="434" s="1"/>
  <c r="D851" i="434"/>
  <c r="C850" i="434"/>
  <c r="C851" i="433"/>
  <c r="D852" i="433"/>
  <c r="C851" i="434" l="1"/>
  <c r="D852" i="434"/>
  <c r="E855" i="434"/>
  <c r="A854" i="434"/>
  <c r="B854" i="434" s="1"/>
  <c r="A852" i="433"/>
  <c r="B852" i="433" s="1"/>
  <c r="E853" i="433"/>
  <c r="D853" i="433"/>
  <c r="C852" i="433"/>
  <c r="E854" i="433" l="1"/>
  <c r="A853" i="433"/>
  <c r="B853" i="433" s="1"/>
  <c r="A855" i="434"/>
  <c r="B855" i="434" s="1"/>
  <c r="E856" i="434"/>
  <c r="C852" i="434"/>
  <c r="D853" i="434"/>
  <c r="D854" i="433"/>
  <c r="C853" i="433"/>
  <c r="E855" i="433" l="1"/>
  <c r="A854" i="433"/>
  <c r="B854" i="433" s="1"/>
  <c r="C853" i="434"/>
  <c r="D854" i="434"/>
  <c r="E857" i="434"/>
  <c r="A856" i="434"/>
  <c r="B856" i="434" s="1"/>
  <c r="D855" i="433"/>
  <c r="C854" i="433"/>
  <c r="E856" i="433" l="1"/>
  <c r="A855" i="433"/>
  <c r="B855" i="433" s="1"/>
  <c r="A857" i="434"/>
  <c r="B857" i="434" s="1"/>
  <c r="E858" i="434"/>
  <c r="D855" i="434"/>
  <c r="C854" i="434"/>
  <c r="D856" i="433"/>
  <c r="C855" i="433"/>
  <c r="E857" i="433" l="1"/>
  <c r="A856" i="433"/>
  <c r="B856" i="433" s="1"/>
  <c r="C855" i="434"/>
  <c r="D856" i="434"/>
  <c r="E859" i="434"/>
  <c r="A858" i="434"/>
  <c r="B858" i="434" s="1"/>
  <c r="D857" i="433"/>
  <c r="C856" i="433"/>
  <c r="A857" i="433" l="1"/>
  <c r="B857" i="433" s="1"/>
  <c r="E858" i="433"/>
  <c r="E860" i="434"/>
  <c r="A859" i="434"/>
  <c r="B859" i="434" s="1"/>
  <c r="C856" i="434"/>
  <c r="D857" i="434"/>
  <c r="C857" i="433"/>
  <c r="D858" i="433"/>
  <c r="C857" i="434" l="1"/>
  <c r="D858" i="434"/>
  <c r="E861" i="434"/>
  <c r="A860" i="434"/>
  <c r="B860" i="434" s="1"/>
  <c r="A858" i="433"/>
  <c r="B858" i="433" s="1"/>
  <c r="E859" i="433"/>
  <c r="D859" i="433"/>
  <c r="C858" i="433"/>
  <c r="E860" i="433" l="1"/>
  <c r="A859" i="433"/>
  <c r="B859" i="433" s="1"/>
  <c r="E862" i="434"/>
  <c r="A861" i="434"/>
  <c r="B861" i="434" s="1"/>
  <c r="D859" i="434"/>
  <c r="C858" i="434"/>
  <c r="C859" i="433"/>
  <c r="D860" i="433"/>
  <c r="E861" i="433" l="1"/>
  <c r="A860" i="433"/>
  <c r="B860" i="433" s="1"/>
  <c r="C859" i="434"/>
  <c r="D860" i="434"/>
  <c r="A862" i="434"/>
  <c r="B862" i="434" s="1"/>
  <c r="E863" i="434"/>
  <c r="D861" i="433"/>
  <c r="C860" i="433"/>
  <c r="D861" i="434" l="1"/>
  <c r="C860" i="434"/>
  <c r="A863" i="434"/>
  <c r="B863" i="434" s="1"/>
  <c r="E864" i="434"/>
  <c r="A861" i="433"/>
  <c r="B861" i="433" s="1"/>
  <c r="E862" i="433"/>
  <c r="D862" i="433"/>
  <c r="C861" i="433"/>
  <c r="C861" i="434" l="1"/>
  <c r="D862" i="434"/>
  <c r="E863" i="433"/>
  <c r="A862" i="433"/>
  <c r="B862" i="433" s="1"/>
  <c r="A864" i="434"/>
  <c r="B864" i="434" s="1"/>
  <c r="E865" i="434"/>
  <c r="D863" i="433"/>
  <c r="C862" i="433"/>
  <c r="E866" i="434" l="1"/>
  <c r="A865" i="434"/>
  <c r="B865" i="434" s="1"/>
  <c r="A863" i="433"/>
  <c r="B863" i="433" s="1"/>
  <c r="E864" i="433"/>
  <c r="D863" i="434"/>
  <c r="C862" i="434"/>
  <c r="C863" i="433"/>
  <c r="D864" i="433"/>
  <c r="A866" i="434" l="1"/>
  <c r="B866" i="434" s="1"/>
  <c r="E867" i="434"/>
  <c r="D864" i="434"/>
  <c r="C863" i="434"/>
  <c r="A864" i="433"/>
  <c r="B864" i="433" s="1"/>
  <c r="E865" i="433"/>
  <c r="D865" i="433"/>
  <c r="C864" i="433"/>
  <c r="E866" i="433" l="1"/>
  <c r="A865" i="433"/>
  <c r="B865" i="433" s="1"/>
  <c r="D865" i="434"/>
  <c r="C864" i="434"/>
  <c r="E868" i="434"/>
  <c r="A867" i="434"/>
  <c r="B867" i="434" s="1"/>
  <c r="C865" i="433"/>
  <c r="D866" i="433"/>
  <c r="A866" i="433" l="1"/>
  <c r="B866" i="433" s="1"/>
  <c r="E867" i="433"/>
  <c r="E869" i="434"/>
  <c r="A868" i="434"/>
  <c r="B868" i="434" s="1"/>
  <c r="C865" i="434"/>
  <c r="D866" i="434"/>
  <c r="D867" i="433"/>
  <c r="C866" i="433"/>
  <c r="C866" i="434" l="1"/>
  <c r="D867" i="434"/>
  <c r="A869" i="434"/>
  <c r="B869" i="434" s="1"/>
  <c r="E870" i="434"/>
  <c r="A867" i="433"/>
  <c r="B867" i="433" s="1"/>
  <c r="E868" i="433"/>
  <c r="D868" i="433"/>
  <c r="C867" i="433"/>
  <c r="A868" i="433" l="1"/>
  <c r="B868" i="433" s="1"/>
  <c r="E869" i="433"/>
  <c r="C867" i="434"/>
  <c r="D868" i="434"/>
  <c r="E871" i="434"/>
  <c r="A870" i="434"/>
  <c r="B870" i="434" s="1"/>
  <c r="C868" i="433"/>
  <c r="D869" i="433"/>
  <c r="A871" i="434" l="1"/>
  <c r="B871" i="434" s="1"/>
  <c r="E872" i="434"/>
  <c r="C868" i="434"/>
  <c r="D869" i="434"/>
  <c r="E870" i="433"/>
  <c r="A869" i="433"/>
  <c r="B869" i="433" s="1"/>
  <c r="C869" i="433"/>
  <c r="D870" i="433"/>
  <c r="A870" i="433" l="1"/>
  <c r="B870" i="433" s="1"/>
  <c r="E871" i="433"/>
  <c r="D870" i="434"/>
  <c r="C869" i="434"/>
  <c r="A872" i="434"/>
  <c r="B872" i="434" s="1"/>
  <c r="E873" i="434"/>
  <c r="C870" i="433"/>
  <c r="D871" i="433"/>
  <c r="C870" i="434" l="1"/>
  <c r="D871" i="434"/>
  <c r="A871" i="433"/>
  <c r="B871" i="433" s="1"/>
  <c r="E872" i="433"/>
  <c r="A873" i="434"/>
  <c r="B873" i="434" s="1"/>
  <c r="E874" i="434"/>
  <c r="C871" i="433"/>
  <c r="D872" i="433"/>
  <c r="A874" i="434" l="1"/>
  <c r="B874" i="434" s="1"/>
  <c r="E875" i="434"/>
  <c r="A872" i="433"/>
  <c r="B872" i="433" s="1"/>
  <c r="E873" i="433"/>
  <c r="D872" i="434"/>
  <c r="C871" i="434"/>
  <c r="D873" i="433"/>
  <c r="C872" i="433"/>
  <c r="D873" i="434" l="1"/>
  <c r="C872" i="434"/>
  <c r="E874" i="433"/>
  <c r="A873" i="433"/>
  <c r="B873" i="433" s="1"/>
  <c r="A875" i="434"/>
  <c r="B875" i="434" s="1"/>
  <c r="E876" i="434"/>
  <c r="D874" i="433"/>
  <c r="C873" i="433"/>
  <c r="D874" i="434" l="1"/>
  <c r="C873" i="434"/>
  <c r="E877" i="434"/>
  <c r="A876" i="434"/>
  <c r="B876" i="434" s="1"/>
  <c r="E875" i="433"/>
  <c r="A874" i="433"/>
  <c r="B874" i="433" s="1"/>
  <c r="D875" i="433"/>
  <c r="C874" i="433"/>
  <c r="C874" i="434" l="1"/>
  <c r="D875" i="434"/>
  <c r="E876" i="433"/>
  <c r="A875" i="433"/>
  <c r="B875" i="433" s="1"/>
  <c r="E878" i="434"/>
  <c r="A877" i="434"/>
  <c r="B877" i="434" s="1"/>
  <c r="D876" i="433"/>
  <c r="C875" i="433"/>
  <c r="E879" i="434" l="1"/>
  <c r="A878" i="434"/>
  <c r="B878" i="434" s="1"/>
  <c r="E877" i="433"/>
  <c r="A876" i="433"/>
  <c r="B876" i="433" s="1"/>
  <c r="D876" i="434"/>
  <c r="C875" i="434"/>
  <c r="C876" i="433"/>
  <c r="D877" i="433"/>
  <c r="E880" i="434" l="1"/>
  <c r="A879" i="434"/>
  <c r="B879" i="434" s="1"/>
  <c r="D877" i="434"/>
  <c r="C876" i="434"/>
  <c r="E878" i="433"/>
  <c r="A877" i="433"/>
  <c r="B877" i="433" s="1"/>
  <c r="D878" i="433"/>
  <c r="C877" i="433"/>
  <c r="A880" i="434" l="1"/>
  <c r="B880" i="434" s="1"/>
  <c r="E881" i="434"/>
  <c r="E879" i="433"/>
  <c r="A878" i="433"/>
  <c r="B878" i="433" s="1"/>
  <c r="C877" i="434"/>
  <c r="D878" i="434"/>
  <c r="D879" i="433"/>
  <c r="C878" i="433"/>
  <c r="C878" i="434" l="1"/>
  <c r="D879" i="434"/>
  <c r="E880" i="433"/>
  <c r="A879" i="433"/>
  <c r="B879" i="433" s="1"/>
  <c r="A881" i="434"/>
  <c r="B881" i="434" s="1"/>
  <c r="E882" i="434"/>
  <c r="C879" i="433"/>
  <c r="D880" i="433"/>
  <c r="E883" i="434" l="1"/>
  <c r="A882" i="434"/>
  <c r="B882" i="434" s="1"/>
  <c r="E881" i="433"/>
  <c r="A880" i="433"/>
  <c r="B880" i="433" s="1"/>
  <c r="C879" i="434"/>
  <c r="D880" i="434"/>
  <c r="C880" i="433"/>
  <c r="D881" i="433"/>
  <c r="E884" i="434" l="1"/>
  <c r="A883" i="434"/>
  <c r="B883" i="434" s="1"/>
  <c r="D881" i="434"/>
  <c r="C880" i="434"/>
  <c r="A881" i="433"/>
  <c r="B881" i="433" s="1"/>
  <c r="E882" i="433"/>
  <c r="D882" i="433"/>
  <c r="C881" i="433"/>
  <c r="C881" i="434" l="1"/>
  <c r="D882" i="434"/>
  <c r="A884" i="434"/>
  <c r="B884" i="434" s="1"/>
  <c r="E885" i="434"/>
  <c r="A882" i="433"/>
  <c r="B882" i="433" s="1"/>
  <c r="E883" i="433"/>
  <c r="D883" i="433"/>
  <c r="C882" i="433"/>
  <c r="E884" i="433" l="1"/>
  <c r="A883" i="433"/>
  <c r="B883" i="433" s="1"/>
  <c r="A885" i="434"/>
  <c r="B885" i="434" s="1"/>
  <c r="E886" i="434"/>
  <c r="C882" i="434"/>
  <c r="D883" i="434"/>
  <c r="D884" i="433"/>
  <c r="C883" i="433"/>
  <c r="E885" i="433" l="1"/>
  <c r="A884" i="433"/>
  <c r="B884" i="433" s="1"/>
  <c r="D884" i="434"/>
  <c r="C883" i="434"/>
  <c r="E887" i="434"/>
  <c r="A886" i="434"/>
  <c r="B886" i="434" s="1"/>
  <c r="C884" i="433"/>
  <c r="D885" i="433"/>
  <c r="D885" i="434" l="1"/>
  <c r="C884" i="434"/>
  <c r="E888" i="434"/>
  <c r="A887" i="434"/>
  <c r="B887" i="434" s="1"/>
  <c r="A885" i="433"/>
  <c r="B885" i="433" s="1"/>
  <c r="E886" i="433"/>
  <c r="D886" i="433"/>
  <c r="C885" i="433"/>
  <c r="A886" i="433" l="1"/>
  <c r="B886" i="433" s="1"/>
  <c r="E887" i="433"/>
  <c r="A888" i="434"/>
  <c r="B888" i="434" s="1"/>
  <c r="E889" i="434"/>
  <c r="D886" i="434"/>
  <c r="C885" i="434"/>
  <c r="D887" i="433"/>
  <c r="C886" i="433"/>
  <c r="E888" i="433" l="1"/>
  <c r="A887" i="433"/>
  <c r="B887" i="433" s="1"/>
  <c r="C886" i="434"/>
  <c r="D887" i="434"/>
  <c r="A889" i="434"/>
  <c r="B889" i="434" s="1"/>
  <c r="E890" i="434"/>
  <c r="C887" i="433"/>
  <c r="D888" i="433"/>
  <c r="A890" i="434" l="1"/>
  <c r="B890" i="434" s="1"/>
  <c r="E891" i="434"/>
  <c r="C887" i="434"/>
  <c r="D888" i="434"/>
  <c r="A888" i="433"/>
  <c r="B888" i="433" s="1"/>
  <c r="E889" i="433"/>
  <c r="D889" i="433"/>
  <c r="C888" i="433"/>
  <c r="E892" i="434" l="1"/>
  <c r="A891" i="434"/>
  <c r="B891" i="434" s="1"/>
  <c r="A889" i="433"/>
  <c r="B889" i="433" s="1"/>
  <c r="E890" i="433"/>
  <c r="D889" i="434"/>
  <c r="C888" i="434"/>
  <c r="C889" i="433"/>
  <c r="D890" i="433"/>
  <c r="D890" i="434" l="1"/>
  <c r="C889" i="434"/>
  <c r="E891" i="433"/>
  <c r="A890" i="433"/>
  <c r="B890" i="433" s="1"/>
  <c r="A892" i="434"/>
  <c r="B892" i="434" s="1"/>
  <c r="E893" i="434"/>
  <c r="D891" i="433"/>
  <c r="C890" i="433"/>
  <c r="E894" i="434" l="1"/>
  <c r="A893" i="434"/>
  <c r="B893" i="434" s="1"/>
  <c r="E892" i="433"/>
  <c r="A891" i="433"/>
  <c r="B891" i="433" s="1"/>
  <c r="D891" i="434"/>
  <c r="C890" i="434"/>
  <c r="D892" i="433"/>
  <c r="C891" i="433"/>
  <c r="C891" i="434" l="1"/>
  <c r="D892" i="434"/>
  <c r="E893" i="433"/>
  <c r="A892" i="433"/>
  <c r="B892" i="433" s="1"/>
  <c r="A894" i="434"/>
  <c r="B894" i="434" s="1"/>
  <c r="E895" i="434"/>
  <c r="C892" i="433"/>
  <c r="D893" i="433"/>
  <c r="A895" i="434" l="1"/>
  <c r="B895" i="434" s="1"/>
  <c r="E896" i="434"/>
  <c r="A893" i="433"/>
  <c r="B893" i="433" s="1"/>
  <c r="E894" i="433"/>
  <c r="C892" i="434"/>
  <c r="D893" i="434"/>
  <c r="D894" i="433"/>
  <c r="C893" i="433"/>
  <c r="E895" i="433" l="1"/>
  <c r="A894" i="433"/>
  <c r="B894" i="433" s="1"/>
  <c r="C893" i="434"/>
  <c r="D894" i="434"/>
  <c r="E897" i="434"/>
  <c r="A896" i="434"/>
  <c r="B896" i="434" s="1"/>
  <c r="D895" i="433"/>
  <c r="C894" i="433"/>
  <c r="A897" i="434" l="1"/>
  <c r="B897" i="434" s="1"/>
  <c r="E898" i="434"/>
  <c r="C894" i="434"/>
  <c r="D895" i="434"/>
  <c r="E896" i="433"/>
  <c r="A895" i="433"/>
  <c r="B895" i="433" s="1"/>
  <c r="C895" i="433"/>
  <c r="D896" i="433"/>
  <c r="E897" i="433" l="1"/>
  <c r="A896" i="433"/>
  <c r="B896" i="433" s="1"/>
  <c r="C895" i="434"/>
  <c r="D896" i="434"/>
  <c r="E899" i="434"/>
  <c r="A898" i="434"/>
  <c r="B898" i="434" s="1"/>
  <c r="D897" i="433"/>
  <c r="C896" i="433"/>
  <c r="A899" i="434" l="1"/>
  <c r="B899" i="434" s="1"/>
  <c r="E900" i="434"/>
  <c r="C896" i="434"/>
  <c r="D897" i="434"/>
  <c r="A897" i="433"/>
  <c r="B897" i="433" s="1"/>
  <c r="E898" i="433"/>
  <c r="D898" i="433"/>
  <c r="C897" i="433"/>
  <c r="C897" i="434" l="1"/>
  <c r="D898" i="434"/>
  <c r="A900" i="434"/>
  <c r="B900" i="434" s="1"/>
  <c r="E901" i="434"/>
  <c r="A898" i="433"/>
  <c r="B898" i="433" s="1"/>
  <c r="E899" i="433"/>
  <c r="D899" i="433"/>
  <c r="C898" i="433"/>
  <c r="A899" i="433" l="1"/>
  <c r="B899" i="433" s="1"/>
  <c r="E900" i="433"/>
  <c r="A901" i="434"/>
  <c r="B901" i="434" s="1"/>
  <c r="E902" i="434"/>
  <c r="C898" i="434"/>
  <c r="D899" i="434"/>
  <c r="C899" i="433"/>
  <c r="D900" i="433"/>
  <c r="C899" i="434" l="1"/>
  <c r="D900" i="434"/>
  <c r="E903" i="434"/>
  <c r="A902" i="434"/>
  <c r="B902" i="434" s="1"/>
  <c r="E901" i="433"/>
  <c r="A900" i="433"/>
  <c r="B900" i="433" s="1"/>
  <c r="D901" i="433"/>
  <c r="C900" i="433"/>
  <c r="A903" i="434" l="1"/>
  <c r="B903" i="434" s="1"/>
  <c r="E904" i="434"/>
  <c r="A901" i="433"/>
  <c r="B901" i="433" s="1"/>
  <c r="E902" i="433"/>
  <c r="D901" i="434"/>
  <c r="C900" i="434"/>
  <c r="D902" i="433"/>
  <c r="C901" i="433"/>
  <c r="A904" i="434" l="1"/>
  <c r="B904" i="434" s="1"/>
  <c r="E905" i="434"/>
  <c r="C901" i="434"/>
  <c r="D902" i="434"/>
  <c r="E903" i="433"/>
  <c r="A902" i="433"/>
  <c r="B902" i="433" s="1"/>
  <c r="C902" i="433"/>
  <c r="D903" i="433"/>
  <c r="D903" i="434" l="1"/>
  <c r="C902" i="434"/>
  <c r="A905" i="434"/>
  <c r="B905" i="434" s="1"/>
  <c r="E906" i="434"/>
  <c r="A903" i="433"/>
  <c r="B903" i="433" s="1"/>
  <c r="E904" i="433"/>
  <c r="D904" i="433"/>
  <c r="C903" i="433"/>
  <c r="A904" i="433" l="1"/>
  <c r="B904" i="433" s="1"/>
  <c r="E905" i="433"/>
  <c r="E907" i="434"/>
  <c r="A906" i="434"/>
  <c r="B906" i="434" s="1"/>
  <c r="C903" i="434"/>
  <c r="D904" i="434"/>
  <c r="D905" i="433"/>
  <c r="C904" i="433"/>
  <c r="D905" i="434" l="1"/>
  <c r="C904" i="434"/>
  <c r="A907" i="434"/>
  <c r="B907" i="434" s="1"/>
  <c r="E908" i="434"/>
  <c r="A905" i="433"/>
  <c r="B905" i="433" s="1"/>
  <c r="E906" i="433"/>
  <c r="C905" i="433"/>
  <c r="D906" i="433"/>
  <c r="E907" i="433" l="1"/>
  <c r="A906" i="433"/>
  <c r="B906" i="433" s="1"/>
  <c r="E909" i="434"/>
  <c r="A908" i="434"/>
  <c r="B908" i="434" s="1"/>
  <c r="C905" i="434"/>
  <c r="D906" i="434"/>
  <c r="C906" i="433"/>
  <c r="D907" i="433"/>
  <c r="C906" i="434" l="1"/>
  <c r="D907" i="434"/>
  <c r="A909" i="434"/>
  <c r="B909" i="434" s="1"/>
  <c r="E910" i="434"/>
  <c r="E908" i="433"/>
  <c r="A907" i="433"/>
  <c r="B907" i="433" s="1"/>
  <c r="C907" i="433"/>
  <c r="D908" i="433"/>
  <c r="A908" i="433" l="1"/>
  <c r="B908" i="433" s="1"/>
  <c r="E909" i="433"/>
  <c r="A910" i="434"/>
  <c r="B910" i="434" s="1"/>
  <c r="E911" i="434"/>
  <c r="D908" i="434"/>
  <c r="C907" i="434"/>
  <c r="C908" i="433"/>
  <c r="D909" i="433"/>
  <c r="D909" i="434" l="1"/>
  <c r="C908" i="434"/>
  <c r="E912" i="434"/>
  <c r="A911" i="434"/>
  <c r="B911" i="434" s="1"/>
  <c r="A909" i="433"/>
  <c r="B909" i="433" s="1"/>
  <c r="E910" i="433"/>
  <c r="D910" i="433"/>
  <c r="C909" i="433"/>
  <c r="A912" i="434" l="1"/>
  <c r="B912" i="434" s="1"/>
  <c r="E913" i="434"/>
  <c r="E911" i="433"/>
  <c r="A910" i="433"/>
  <c r="B910" i="433" s="1"/>
  <c r="C909" i="434"/>
  <c r="D910" i="434"/>
  <c r="C910" i="433"/>
  <c r="D911" i="433"/>
  <c r="A911" i="433" l="1"/>
  <c r="B911" i="433" s="1"/>
  <c r="E912" i="433"/>
  <c r="A913" i="434"/>
  <c r="B913" i="434" s="1"/>
  <c r="E914" i="434"/>
  <c r="C910" i="434"/>
  <c r="D911" i="434"/>
  <c r="C911" i="433"/>
  <c r="D912" i="433"/>
  <c r="C911" i="434" l="1"/>
  <c r="D912" i="434"/>
  <c r="E915" i="434"/>
  <c r="A914" i="434"/>
  <c r="B914" i="434" s="1"/>
  <c r="E913" i="433"/>
  <c r="A912" i="433"/>
  <c r="B912" i="433" s="1"/>
  <c r="C912" i="433"/>
  <c r="D913" i="433"/>
  <c r="A913" i="433" l="1"/>
  <c r="B913" i="433" s="1"/>
  <c r="E914" i="433"/>
  <c r="A915" i="434"/>
  <c r="B915" i="434" s="1"/>
  <c r="E916" i="434"/>
  <c r="D913" i="434"/>
  <c r="C912" i="434"/>
  <c r="C913" i="433"/>
  <c r="D914" i="433"/>
  <c r="E915" i="433" l="1"/>
  <c r="A914" i="433"/>
  <c r="B914" i="433" s="1"/>
  <c r="D914" i="434"/>
  <c r="C913" i="434"/>
  <c r="A916" i="434"/>
  <c r="B916" i="434" s="1"/>
  <c r="E917" i="434"/>
  <c r="C914" i="433"/>
  <c r="D915" i="433"/>
  <c r="A917" i="434" l="1"/>
  <c r="B917" i="434" s="1"/>
  <c r="E918" i="434"/>
  <c r="D915" i="434"/>
  <c r="C914" i="434"/>
  <c r="E916" i="433"/>
  <c r="A915" i="433"/>
  <c r="B915" i="433" s="1"/>
  <c r="C915" i="433"/>
  <c r="D916" i="433"/>
  <c r="E917" i="433" l="1"/>
  <c r="A916" i="433"/>
  <c r="B916" i="433" s="1"/>
  <c r="C915" i="434"/>
  <c r="D916" i="434"/>
  <c r="E919" i="434"/>
  <c r="A918" i="434"/>
  <c r="B918" i="434" s="1"/>
  <c r="C916" i="433"/>
  <c r="D917" i="433"/>
  <c r="E920" i="434" l="1"/>
  <c r="A919" i="434"/>
  <c r="B919" i="434" s="1"/>
  <c r="C916" i="434"/>
  <c r="D917" i="434"/>
  <c r="A917" i="433"/>
  <c r="B917" i="433" s="1"/>
  <c r="E918" i="433"/>
  <c r="C917" i="433"/>
  <c r="D918" i="433"/>
  <c r="C917" i="434" l="1"/>
  <c r="D918" i="434"/>
  <c r="A918" i="433"/>
  <c r="B918" i="433" s="1"/>
  <c r="E919" i="433"/>
  <c r="E921" i="434"/>
  <c r="A920" i="434"/>
  <c r="B920" i="434" s="1"/>
  <c r="C918" i="433"/>
  <c r="D919" i="433"/>
  <c r="A921" i="434" l="1"/>
  <c r="B921" i="434" s="1"/>
  <c r="E922" i="434"/>
  <c r="E920" i="433"/>
  <c r="A919" i="433"/>
  <c r="B919" i="433" s="1"/>
  <c r="C918" i="434"/>
  <c r="D919" i="434"/>
  <c r="D920" i="433"/>
  <c r="C919" i="433"/>
  <c r="C919" i="434" l="1"/>
  <c r="D920" i="434"/>
  <c r="A920" i="433"/>
  <c r="B920" i="433" s="1"/>
  <c r="E921" i="433"/>
  <c r="E923" i="434"/>
  <c r="A922" i="434"/>
  <c r="B922" i="434" s="1"/>
  <c r="D921" i="433"/>
  <c r="C920" i="433"/>
  <c r="D921" i="434" l="1"/>
  <c r="C920" i="434"/>
  <c r="A923" i="434"/>
  <c r="B923" i="434" s="1"/>
  <c r="E924" i="434"/>
  <c r="E922" i="433"/>
  <c r="A921" i="433"/>
  <c r="B921" i="433" s="1"/>
  <c r="D922" i="433"/>
  <c r="C921" i="433"/>
  <c r="E923" i="433" l="1"/>
  <c r="A922" i="433"/>
  <c r="B922" i="433" s="1"/>
  <c r="A924" i="434"/>
  <c r="B924" i="434" s="1"/>
  <c r="E925" i="434"/>
  <c r="C921" i="434"/>
  <c r="D922" i="434"/>
  <c r="D923" i="433"/>
  <c r="C922" i="433"/>
  <c r="E926" i="434" l="1"/>
  <c r="A925" i="434"/>
  <c r="B925" i="434" s="1"/>
  <c r="C922" i="434"/>
  <c r="D923" i="434"/>
  <c r="A923" i="433"/>
  <c r="B923" i="433" s="1"/>
  <c r="E924" i="433"/>
  <c r="C923" i="433"/>
  <c r="D924" i="433"/>
  <c r="E925" i="433" l="1"/>
  <c r="A924" i="433"/>
  <c r="B924" i="433" s="1"/>
  <c r="C923" i="434"/>
  <c r="D924" i="434"/>
  <c r="A926" i="434"/>
  <c r="B926" i="434" s="1"/>
  <c r="E927" i="434"/>
  <c r="D925" i="433"/>
  <c r="C924" i="433"/>
  <c r="E928" i="434" l="1"/>
  <c r="A927" i="434"/>
  <c r="B927" i="434" s="1"/>
  <c r="C924" i="434"/>
  <c r="D925" i="434"/>
  <c r="A925" i="433"/>
  <c r="B925" i="433" s="1"/>
  <c r="E926" i="433"/>
  <c r="D926" i="433"/>
  <c r="C925" i="433"/>
  <c r="E927" i="433" l="1"/>
  <c r="A926" i="433"/>
  <c r="B926" i="433" s="1"/>
  <c r="C925" i="434"/>
  <c r="D926" i="434"/>
  <c r="E929" i="434"/>
  <c r="A928" i="434"/>
  <c r="B928" i="434" s="1"/>
  <c r="D927" i="433"/>
  <c r="C926" i="433"/>
  <c r="C926" i="434" l="1"/>
  <c r="D927" i="434"/>
  <c r="A929" i="434"/>
  <c r="B929" i="434" s="1"/>
  <c r="E930" i="434"/>
  <c r="A927" i="433"/>
  <c r="B927" i="433" s="1"/>
  <c r="E928" i="433"/>
  <c r="C927" i="433"/>
  <c r="D928" i="433"/>
  <c r="A928" i="433" l="1"/>
  <c r="B928" i="433" s="1"/>
  <c r="E929" i="433"/>
  <c r="D928" i="434"/>
  <c r="C927" i="434"/>
  <c r="E931" i="434"/>
  <c r="A930" i="434"/>
  <c r="B930" i="434" s="1"/>
  <c r="D929" i="433"/>
  <c r="C928" i="433"/>
  <c r="A931" i="434" l="1"/>
  <c r="B931" i="434" s="1"/>
  <c r="E932" i="434"/>
  <c r="A929" i="433"/>
  <c r="B929" i="433" s="1"/>
  <c r="E930" i="433"/>
  <c r="C928" i="434"/>
  <c r="D929" i="434"/>
  <c r="D930" i="433"/>
  <c r="C929" i="433"/>
  <c r="D930" i="434" l="1"/>
  <c r="C929" i="434"/>
  <c r="E931" i="433"/>
  <c r="A930" i="433"/>
  <c r="B930" i="433" s="1"/>
  <c r="A932" i="434"/>
  <c r="B932" i="434" s="1"/>
  <c r="E933" i="434"/>
  <c r="C930" i="433"/>
  <c r="D931" i="433"/>
  <c r="A933" i="434" l="1"/>
  <c r="B933" i="434" s="1"/>
  <c r="E934" i="434"/>
  <c r="E932" i="433"/>
  <c r="A931" i="433"/>
  <c r="B931" i="433" s="1"/>
  <c r="C930" i="434"/>
  <c r="D931" i="434"/>
  <c r="D932" i="433"/>
  <c r="C931" i="433"/>
  <c r="E933" i="433" l="1"/>
  <c r="A932" i="433"/>
  <c r="B932" i="433" s="1"/>
  <c r="E935" i="434"/>
  <c r="A934" i="434"/>
  <c r="B934" i="434" s="1"/>
  <c r="D932" i="434"/>
  <c r="C931" i="434"/>
  <c r="D933" i="433"/>
  <c r="C932" i="433"/>
  <c r="D933" i="434" l="1"/>
  <c r="C932" i="434"/>
  <c r="A935" i="434"/>
  <c r="B935" i="434" s="1"/>
  <c r="E936" i="434"/>
  <c r="E934" i="433"/>
  <c r="A933" i="433"/>
  <c r="B933" i="433" s="1"/>
  <c r="C933" i="433"/>
  <c r="D934" i="433"/>
  <c r="A934" i="433" l="1"/>
  <c r="B934" i="433" s="1"/>
  <c r="E935" i="433"/>
  <c r="E937" i="434"/>
  <c r="A936" i="434"/>
  <c r="B936" i="434" s="1"/>
  <c r="C933" i="434"/>
  <c r="D934" i="434"/>
  <c r="D935" i="433"/>
  <c r="C934" i="433"/>
  <c r="D935" i="434" l="1"/>
  <c r="C934" i="434"/>
  <c r="A937" i="434"/>
  <c r="B937" i="434" s="1"/>
  <c r="E938" i="434"/>
  <c r="E936" i="433"/>
  <c r="A935" i="433"/>
  <c r="B935" i="433" s="1"/>
  <c r="D936" i="433"/>
  <c r="C935" i="433"/>
  <c r="E939" i="434" l="1"/>
  <c r="A938" i="434"/>
  <c r="B938" i="434" s="1"/>
  <c r="E937" i="433"/>
  <c r="A936" i="433"/>
  <c r="B936" i="433" s="1"/>
  <c r="D936" i="434"/>
  <c r="C935" i="434"/>
  <c r="C936" i="433"/>
  <c r="D937" i="433"/>
  <c r="D937" i="434" l="1"/>
  <c r="C936" i="434"/>
  <c r="E938" i="433"/>
  <c r="A937" i="433"/>
  <c r="B937" i="433" s="1"/>
  <c r="E940" i="434"/>
  <c r="A939" i="434"/>
  <c r="B939" i="434" s="1"/>
  <c r="C937" i="433"/>
  <c r="D938" i="433"/>
  <c r="A940" i="434" l="1"/>
  <c r="B940" i="434" s="1"/>
  <c r="E941" i="434"/>
  <c r="A938" i="433"/>
  <c r="B938" i="433" s="1"/>
  <c r="E939" i="433"/>
  <c r="D938" i="434"/>
  <c r="C937" i="434"/>
  <c r="D939" i="433"/>
  <c r="C938" i="433"/>
  <c r="A941" i="434" l="1"/>
  <c r="B941" i="434" s="1"/>
  <c r="E942" i="434"/>
  <c r="C938" i="434"/>
  <c r="D939" i="434"/>
  <c r="E940" i="433"/>
  <c r="A939" i="433"/>
  <c r="B939" i="433" s="1"/>
  <c r="C939" i="433"/>
  <c r="D940" i="433"/>
  <c r="A940" i="433" l="1"/>
  <c r="B940" i="433" s="1"/>
  <c r="E941" i="433"/>
  <c r="C939" i="434"/>
  <c r="D940" i="434"/>
  <c r="A942" i="434"/>
  <c r="B942" i="434" s="1"/>
  <c r="E943" i="434"/>
  <c r="C940" i="433"/>
  <c r="D941" i="433"/>
  <c r="A943" i="434" l="1"/>
  <c r="B943" i="434" s="1"/>
  <c r="E944" i="434"/>
  <c r="C940" i="434"/>
  <c r="D941" i="434"/>
  <c r="E942" i="433"/>
  <c r="A941" i="433"/>
  <c r="B941" i="433" s="1"/>
  <c r="C941" i="433"/>
  <c r="D942" i="433"/>
  <c r="E943" i="433" l="1"/>
  <c r="A942" i="433"/>
  <c r="B942" i="433" s="1"/>
  <c r="D942" i="434"/>
  <c r="C941" i="434"/>
  <c r="A944" i="434"/>
  <c r="B944" i="434" s="1"/>
  <c r="E945" i="434"/>
  <c r="C942" i="433"/>
  <c r="D943" i="433"/>
  <c r="E946" i="434" l="1"/>
  <c r="A945" i="434"/>
  <c r="B945" i="434" s="1"/>
  <c r="C942" i="434"/>
  <c r="D943" i="434"/>
  <c r="A943" i="433"/>
  <c r="B943" i="433" s="1"/>
  <c r="E944" i="433"/>
  <c r="D944" i="433"/>
  <c r="C943" i="433"/>
  <c r="E945" i="433" l="1"/>
  <c r="A944" i="433"/>
  <c r="B944" i="433" s="1"/>
  <c r="D944" i="434"/>
  <c r="C943" i="434"/>
  <c r="E947" i="434"/>
  <c r="A946" i="434"/>
  <c r="B946" i="434" s="1"/>
  <c r="C944" i="433"/>
  <c r="D945" i="433"/>
  <c r="C944" i="434" l="1"/>
  <c r="D945" i="434"/>
  <c r="E948" i="434"/>
  <c r="A947" i="434"/>
  <c r="B947" i="434" s="1"/>
  <c r="E946" i="433"/>
  <c r="A945" i="433"/>
  <c r="B945" i="433" s="1"/>
  <c r="C945" i="433"/>
  <c r="D946" i="433"/>
  <c r="E947" i="433" l="1"/>
  <c r="A946" i="433"/>
  <c r="B946" i="433" s="1"/>
  <c r="E949" i="434"/>
  <c r="A948" i="434"/>
  <c r="B948" i="434" s="1"/>
  <c r="D946" i="434"/>
  <c r="C945" i="434"/>
  <c r="C946" i="433"/>
  <c r="D947" i="433"/>
  <c r="C946" i="434" l="1"/>
  <c r="D947" i="434"/>
  <c r="A949" i="434"/>
  <c r="B949" i="434" s="1"/>
  <c r="E950" i="434"/>
  <c r="E948" i="433"/>
  <c r="A947" i="433"/>
  <c r="B947" i="433" s="1"/>
  <c r="D948" i="433"/>
  <c r="C947" i="433"/>
  <c r="A948" i="433" l="1"/>
  <c r="B948" i="433" s="1"/>
  <c r="E949" i="433"/>
  <c r="E951" i="434"/>
  <c r="A950" i="434"/>
  <c r="B950" i="434" s="1"/>
  <c r="C947" i="434"/>
  <c r="D948" i="434"/>
  <c r="C948" i="433"/>
  <c r="D949" i="433"/>
  <c r="D949" i="434" l="1"/>
  <c r="C948" i="434"/>
  <c r="E952" i="434"/>
  <c r="A951" i="434"/>
  <c r="B951" i="434" s="1"/>
  <c r="A949" i="433"/>
  <c r="B949" i="433" s="1"/>
  <c r="E950" i="433"/>
  <c r="D950" i="433"/>
  <c r="C949" i="433"/>
  <c r="E951" i="433" l="1"/>
  <c r="A950" i="433"/>
  <c r="B950" i="433" s="1"/>
  <c r="A952" i="434"/>
  <c r="B952" i="434" s="1"/>
  <c r="E953" i="434"/>
  <c r="C949" i="434"/>
  <c r="D950" i="434"/>
  <c r="D951" i="433"/>
  <c r="C950" i="433"/>
  <c r="D951" i="434" l="1"/>
  <c r="C950" i="434"/>
  <c r="A953" i="434"/>
  <c r="B953" i="434" s="1"/>
  <c r="E954" i="434"/>
  <c r="E952" i="433"/>
  <c r="A951" i="433"/>
  <c r="B951" i="433" s="1"/>
  <c r="C951" i="433"/>
  <c r="D952" i="433"/>
  <c r="A952" i="433" l="1"/>
  <c r="B952" i="433" s="1"/>
  <c r="E953" i="433"/>
  <c r="A954" i="434"/>
  <c r="B954" i="434" s="1"/>
  <c r="E955" i="434"/>
  <c r="D952" i="434"/>
  <c r="C951" i="434"/>
  <c r="C952" i="433"/>
  <c r="D953" i="433"/>
  <c r="A953" i="433" l="1"/>
  <c r="B953" i="433" s="1"/>
  <c r="E954" i="433"/>
  <c r="C952" i="434"/>
  <c r="D953" i="434"/>
  <c r="E956" i="434"/>
  <c r="A955" i="434"/>
  <c r="B955" i="434" s="1"/>
  <c r="C953" i="433"/>
  <c r="D954" i="433"/>
  <c r="A954" i="433" l="1"/>
  <c r="B954" i="433" s="1"/>
  <c r="E955" i="433"/>
  <c r="E957" i="434"/>
  <c r="A956" i="434"/>
  <c r="B956" i="434" s="1"/>
  <c r="C953" i="434"/>
  <c r="D954" i="434"/>
  <c r="D955" i="433"/>
  <c r="C954" i="433"/>
  <c r="A957" i="434" l="1"/>
  <c r="B957" i="434" s="1"/>
  <c r="E958" i="434"/>
  <c r="A955" i="433"/>
  <c r="B955" i="433" s="1"/>
  <c r="E956" i="433"/>
  <c r="D955" i="434"/>
  <c r="C954" i="434"/>
  <c r="C955" i="433"/>
  <c r="D956" i="433"/>
  <c r="A956" i="433" l="1"/>
  <c r="B956" i="433" s="1"/>
  <c r="E957" i="433"/>
  <c r="E959" i="434"/>
  <c r="A958" i="434"/>
  <c r="B958" i="434" s="1"/>
  <c r="D956" i="434"/>
  <c r="C955" i="434"/>
  <c r="D957" i="433"/>
  <c r="C956" i="433"/>
  <c r="E960" i="434" l="1"/>
  <c r="A959" i="434"/>
  <c r="B959" i="434" s="1"/>
  <c r="E958" i="433"/>
  <c r="A957" i="433"/>
  <c r="B957" i="433" s="1"/>
  <c r="D957" i="434"/>
  <c r="C956" i="434"/>
  <c r="D958" i="433"/>
  <c r="C957" i="433"/>
  <c r="D958" i="434" l="1"/>
  <c r="C957" i="434"/>
  <c r="E959" i="433"/>
  <c r="A958" i="433"/>
  <c r="B958" i="433" s="1"/>
  <c r="A960" i="434"/>
  <c r="B960" i="434" s="1"/>
  <c r="E961" i="434"/>
  <c r="C958" i="433"/>
  <c r="D959" i="433"/>
  <c r="E962" i="434" l="1"/>
  <c r="A961" i="434"/>
  <c r="B961" i="434" s="1"/>
  <c r="A959" i="433"/>
  <c r="B959" i="433" s="1"/>
  <c r="E960" i="433"/>
  <c r="D959" i="434"/>
  <c r="C958" i="434"/>
  <c r="D960" i="433"/>
  <c r="C959" i="433"/>
  <c r="D960" i="434" l="1"/>
  <c r="C959" i="434"/>
  <c r="A960" i="433"/>
  <c r="B960" i="433" s="1"/>
  <c r="E961" i="433"/>
  <c r="A962" i="434"/>
  <c r="B962" i="434" s="1"/>
  <c r="E963" i="434"/>
  <c r="C960" i="433"/>
  <c r="D961" i="433"/>
  <c r="A961" i="433" l="1"/>
  <c r="B961" i="433" s="1"/>
  <c r="E962" i="433"/>
  <c r="A963" i="434"/>
  <c r="B963" i="434" s="1"/>
  <c r="E964" i="434"/>
  <c r="C960" i="434"/>
  <c r="D961" i="434"/>
  <c r="C961" i="433"/>
  <c r="D962" i="433"/>
  <c r="A964" i="434" l="1"/>
  <c r="B964" i="434" s="1"/>
  <c r="E965" i="434"/>
  <c r="A962" i="433"/>
  <c r="B962" i="433" s="1"/>
  <c r="E963" i="433"/>
  <c r="D962" i="434"/>
  <c r="C961" i="434"/>
  <c r="D963" i="433"/>
  <c r="C962" i="433"/>
  <c r="A965" i="434" l="1"/>
  <c r="B965" i="434" s="1"/>
  <c r="E966" i="434"/>
  <c r="D963" i="434"/>
  <c r="C962" i="434"/>
  <c r="E964" i="433"/>
  <c r="A963" i="433"/>
  <c r="B963" i="433" s="1"/>
  <c r="C963" i="433"/>
  <c r="D964" i="433"/>
  <c r="E965" i="433" l="1"/>
  <c r="A964" i="433"/>
  <c r="B964" i="433" s="1"/>
  <c r="D964" i="434"/>
  <c r="C963" i="434"/>
  <c r="E967" i="434"/>
  <c r="A966" i="434"/>
  <c r="B966" i="434" s="1"/>
  <c r="C964" i="433"/>
  <c r="D965" i="433"/>
  <c r="D965" i="434" l="1"/>
  <c r="C964" i="434"/>
  <c r="E968" i="434"/>
  <c r="A967" i="434"/>
  <c r="B967" i="434" s="1"/>
  <c r="E966" i="433"/>
  <c r="A965" i="433"/>
  <c r="B965" i="433" s="1"/>
  <c r="D966" i="433"/>
  <c r="C965" i="433"/>
  <c r="E967" i="433" l="1"/>
  <c r="A966" i="433"/>
  <c r="B966" i="433" s="1"/>
  <c r="A968" i="434"/>
  <c r="B968" i="434" s="1"/>
  <c r="E969" i="434"/>
  <c r="D966" i="434"/>
  <c r="C965" i="434"/>
  <c r="C966" i="433"/>
  <c r="D967" i="433"/>
  <c r="D967" i="434" l="1"/>
  <c r="C966" i="434"/>
  <c r="A969" i="434"/>
  <c r="B969" i="434" s="1"/>
  <c r="E970" i="434"/>
  <c r="A967" i="433"/>
  <c r="B967" i="433" s="1"/>
  <c r="E968" i="433"/>
  <c r="D968" i="433"/>
  <c r="C967" i="433"/>
  <c r="A968" i="433" l="1"/>
  <c r="B968" i="433" s="1"/>
  <c r="E969" i="433"/>
  <c r="E971" i="434"/>
  <c r="A970" i="434"/>
  <c r="B970" i="434" s="1"/>
  <c r="D968" i="434"/>
  <c r="C967" i="434"/>
  <c r="C968" i="433"/>
  <c r="D969" i="433"/>
  <c r="C968" i="434" l="1"/>
  <c r="D969" i="434"/>
  <c r="A971" i="434"/>
  <c r="B971" i="434" s="1"/>
  <c r="E972" i="434"/>
  <c r="A969" i="433"/>
  <c r="B969" i="433" s="1"/>
  <c r="E970" i="433"/>
  <c r="D970" i="433"/>
  <c r="C969" i="433"/>
  <c r="E971" i="433" l="1"/>
  <c r="A970" i="433"/>
  <c r="B970" i="433" s="1"/>
  <c r="A972" i="434"/>
  <c r="B972" i="434" s="1"/>
  <c r="E973" i="434"/>
  <c r="D970" i="434"/>
  <c r="C969" i="434"/>
  <c r="C970" i="433"/>
  <c r="D971" i="433"/>
  <c r="C970" i="434" l="1"/>
  <c r="D971" i="434"/>
  <c r="E974" i="434"/>
  <c r="A973" i="434"/>
  <c r="B973" i="434" s="1"/>
  <c r="A971" i="433"/>
  <c r="B971" i="433" s="1"/>
  <c r="E972" i="433"/>
  <c r="D972" i="433"/>
  <c r="C971" i="433"/>
  <c r="A972" i="433" l="1"/>
  <c r="B972" i="433" s="1"/>
  <c r="E973" i="433"/>
  <c r="A974" i="434"/>
  <c r="B974" i="434" s="1"/>
  <c r="E975" i="434"/>
  <c r="C971" i="434"/>
  <c r="D972" i="434"/>
  <c r="D973" i="433"/>
  <c r="C972" i="433"/>
  <c r="A975" i="434" l="1"/>
  <c r="B975" i="434" s="1"/>
  <c r="E976" i="434"/>
  <c r="D973" i="434"/>
  <c r="C972" i="434"/>
  <c r="E974" i="433"/>
  <c r="A973" i="433"/>
  <c r="B973" i="433" s="1"/>
  <c r="C973" i="433"/>
  <c r="D974" i="433"/>
  <c r="C973" i="434" l="1"/>
  <c r="D974" i="434"/>
  <c r="E977" i="434"/>
  <c r="A976" i="434"/>
  <c r="B976" i="434" s="1"/>
  <c r="E975" i="433"/>
  <c r="A974" i="433"/>
  <c r="B974" i="433" s="1"/>
  <c r="D975" i="433"/>
  <c r="C974" i="433"/>
  <c r="E978" i="434" l="1"/>
  <c r="A977" i="434"/>
  <c r="B977" i="434" s="1"/>
  <c r="C974" i="434"/>
  <c r="D975" i="434"/>
  <c r="E976" i="433"/>
  <c r="A975" i="433"/>
  <c r="B975" i="433" s="1"/>
  <c r="C975" i="433"/>
  <c r="D976" i="433"/>
  <c r="A976" i="433" l="1"/>
  <c r="B976" i="433" s="1"/>
  <c r="E977" i="433"/>
  <c r="D976" i="434"/>
  <c r="C975" i="434"/>
  <c r="E979" i="434"/>
  <c r="A978" i="434"/>
  <c r="B978" i="434" s="1"/>
  <c r="D977" i="433"/>
  <c r="C976" i="433"/>
  <c r="D977" i="434" l="1"/>
  <c r="C976" i="434"/>
  <c r="A977" i="433"/>
  <c r="B977" i="433" s="1"/>
  <c r="E978" i="433"/>
  <c r="E980" i="434"/>
  <c r="A979" i="434"/>
  <c r="B979" i="434" s="1"/>
  <c r="C977" i="433"/>
  <c r="D978" i="433"/>
  <c r="A980" i="434" l="1"/>
  <c r="B980" i="434" s="1"/>
  <c r="E981" i="434"/>
  <c r="E979" i="433"/>
  <c r="A978" i="433"/>
  <c r="B978" i="433" s="1"/>
  <c r="D978" i="434"/>
  <c r="C977" i="434"/>
  <c r="D979" i="433"/>
  <c r="C978" i="433"/>
  <c r="A979" i="433" l="1"/>
  <c r="B979" i="433" s="1"/>
  <c r="E980" i="433"/>
  <c r="E982" i="434"/>
  <c r="A981" i="434"/>
  <c r="B981" i="434" s="1"/>
  <c r="C978" i="434"/>
  <c r="D979" i="434"/>
  <c r="C979" i="433"/>
  <c r="D980" i="433"/>
  <c r="D980" i="434" l="1"/>
  <c r="C979" i="434"/>
  <c r="E983" i="434"/>
  <c r="A982" i="434"/>
  <c r="B982" i="434" s="1"/>
  <c r="A980" i="433"/>
  <c r="B980" i="433" s="1"/>
  <c r="E981" i="433"/>
  <c r="D981" i="433"/>
  <c r="C980" i="433"/>
  <c r="E982" i="433" l="1"/>
  <c r="A981" i="433"/>
  <c r="B981" i="433" s="1"/>
  <c r="E984" i="434"/>
  <c r="A983" i="434"/>
  <c r="B983" i="434" s="1"/>
  <c r="C980" i="434"/>
  <c r="D981" i="434"/>
  <c r="C981" i="433"/>
  <c r="D982" i="433"/>
  <c r="C981" i="434" l="1"/>
  <c r="D982" i="434"/>
  <c r="A984" i="434"/>
  <c r="B984" i="434" s="1"/>
  <c r="E985" i="434"/>
  <c r="E983" i="433"/>
  <c r="A982" i="433"/>
  <c r="B982" i="433" s="1"/>
  <c r="D983" i="433"/>
  <c r="C982" i="433"/>
  <c r="E984" i="433" l="1"/>
  <c r="A983" i="433"/>
  <c r="B983" i="433" s="1"/>
  <c r="E986" i="434"/>
  <c r="A985" i="434"/>
  <c r="B985" i="434" s="1"/>
  <c r="C982" i="434"/>
  <c r="D983" i="434"/>
  <c r="D984" i="433"/>
  <c r="C983" i="433"/>
  <c r="C983" i="434" l="1"/>
  <c r="D984" i="434"/>
  <c r="A986" i="434"/>
  <c r="B986" i="434" s="1"/>
  <c r="E987" i="434"/>
  <c r="E985" i="433"/>
  <c r="A984" i="433"/>
  <c r="B984" i="433" s="1"/>
  <c r="C984" i="433"/>
  <c r="D985" i="433"/>
  <c r="A985" i="433" l="1"/>
  <c r="B985" i="433" s="1"/>
  <c r="E986" i="433"/>
  <c r="E988" i="434"/>
  <c r="A987" i="434"/>
  <c r="B987" i="434" s="1"/>
  <c r="D985" i="434"/>
  <c r="C984" i="434"/>
  <c r="C985" i="433"/>
  <c r="D986" i="433"/>
  <c r="C985" i="434" l="1"/>
  <c r="D986" i="434"/>
  <c r="A988" i="434"/>
  <c r="B988" i="434" s="1"/>
  <c r="E989" i="434"/>
  <c r="E987" i="433"/>
  <c r="A986" i="433"/>
  <c r="B986" i="433" s="1"/>
  <c r="D987" i="433"/>
  <c r="C986" i="433"/>
  <c r="E988" i="433" l="1"/>
  <c r="A987" i="433"/>
  <c r="B987" i="433" s="1"/>
  <c r="E990" i="434"/>
  <c r="A989" i="434"/>
  <c r="B989" i="434" s="1"/>
  <c r="D987" i="434"/>
  <c r="C986" i="434"/>
  <c r="D988" i="433"/>
  <c r="C987" i="433"/>
  <c r="E991" i="434" l="1"/>
  <c r="A990" i="434"/>
  <c r="B990" i="434" s="1"/>
  <c r="C987" i="434"/>
  <c r="D988" i="434"/>
  <c r="A988" i="433"/>
  <c r="B988" i="433" s="1"/>
  <c r="E989" i="433"/>
  <c r="D989" i="433"/>
  <c r="C988" i="433"/>
  <c r="C988" i="434" l="1"/>
  <c r="D989" i="434"/>
  <c r="E990" i="433"/>
  <c r="A989" i="433"/>
  <c r="B989" i="433" s="1"/>
  <c r="A991" i="434"/>
  <c r="B991" i="434" s="1"/>
  <c r="E992" i="434"/>
  <c r="C989" i="433"/>
  <c r="D990" i="433"/>
  <c r="E993" i="434" l="1"/>
  <c r="A992" i="434"/>
  <c r="B992" i="434" s="1"/>
  <c r="E991" i="433"/>
  <c r="A990" i="433"/>
  <c r="B990" i="433" s="1"/>
  <c r="C989" i="434"/>
  <c r="D990" i="434"/>
  <c r="D991" i="433"/>
  <c r="C990" i="433"/>
  <c r="D991" i="434" l="1"/>
  <c r="C990" i="434"/>
  <c r="A991" i="433"/>
  <c r="B991" i="433" s="1"/>
  <c r="E992" i="433"/>
  <c r="A993" i="434"/>
  <c r="B993" i="434" s="1"/>
  <c r="E994" i="434"/>
  <c r="D992" i="433"/>
  <c r="C991" i="433"/>
  <c r="E993" i="433" l="1"/>
  <c r="A992" i="433"/>
  <c r="B992" i="433" s="1"/>
  <c r="E995" i="434"/>
  <c r="A994" i="434"/>
  <c r="B994" i="434" s="1"/>
  <c r="D992" i="434"/>
  <c r="C991" i="434"/>
  <c r="D993" i="433"/>
  <c r="C992" i="433"/>
  <c r="D993" i="434" l="1"/>
  <c r="C992" i="434"/>
  <c r="E996" i="434"/>
  <c r="A995" i="434"/>
  <c r="B995" i="434" s="1"/>
  <c r="A993" i="433"/>
  <c r="B993" i="433" s="1"/>
  <c r="E994" i="433"/>
  <c r="D994" i="433"/>
  <c r="C993" i="433"/>
  <c r="E995" i="433" l="1"/>
  <c r="A994" i="433"/>
  <c r="B994" i="433" s="1"/>
  <c r="A996" i="434"/>
  <c r="B996" i="434" s="1"/>
  <c r="E997" i="434"/>
  <c r="C993" i="434"/>
  <c r="D994" i="434"/>
  <c r="C994" i="433"/>
  <c r="D995" i="433"/>
  <c r="E998" i="434" l="1"/>
  <c r="A997" i="434"/>
  <c r="B997" i="434" s="1"/>
  <c r="D995" i="434"/>
  <c r="C994" i="434"/>
  <c r="A995" i="433"/>
  <c r="B995" i="433" s="1"/>
  <c r="E996" i="433"/>
  <c r="D996" i="433"/>
  <c r="C995" i="433"/>
  <c r="E997" i="433" l="1"/>
  <c r="A996" i="433"/>
  <c r="B996" i="433" s="1"/>
  <c r="C995" i="434"/>
  <c r="D996" i="434"/>
  <c r="E999" i="434"/>
  <c r="A998" i="434"/>
  <c r="B998" i="434" s="1"/>
  <c r="C996" i="433"/>
  <c r="D997" i="433"/>
  <c r="C996" i="434" l="1"/>
  <c r="D997" i="434"/>
  <c r="A999" i="434"/>
  <c r="B999" i="434" s="1"/>
  <c r="E1000" i="434"/>
  <c r="E998" i="433"/>
  <c r="A997" i="433"/>
  <c r="B997" i="433" s="1"/>
  <c r="D998" i="433"/>
  <c r="C997" i="433"/>
  <c r="E999" i="433" l="1"/>
  <c r="A998" i="433"/>
  <c r="B998" i="433" s="1"/>
  <c r="A1000" i="434"/>
  <c r="B1000" i="434" s="1"/>
  <c r="E1001" i="434"/>
  <c r="C997" i="434"/>
  <c r="D998" i="434"/>
  <c r="D999" i="433"/>
  <c r="C998" i="433"/>
  <c r="A1001" i="434" l="1"/>
  <c r="B1001" i="434" s="1"/>
  <c r="E1002" i="434"/>
  <c r="C998" i="434"/>
  <c r="D999" i="434"/>
  <c r="A999" i="433"/>
  <c r="B999" i="433" s="1"/>
  <c r="E1000" i="433"/>
  <c r="D1000" i="433"/>
  <c r="C999" i="433"/>
  <c r="E1001" i="433" l="1"/>
  <c r="A1000" i="433"/>
  <c r="B1000" i="433" s="1"/>
  <c r="C999" i="434"/>
  <c r="D1000" i="434"/>
  <c r="E1003" i="434"/>
  <c r="A1002" i="434"/>
  <c r="B1002" i="434" s="1"/>
  <c r="D1001" i="433"/>
  <c r="C1000" i="433"/>
  <c r="A1003" i="434" l="1"/>
  <c r="B1003" i="434" s="1"/>
  <c r="E1004" i="434"/>
  <c r="C1000" i="434"/>
  <c r="D1001" i="434"/>
  <c r="E1002" i="433"/>
  <c r="A1001" i="433"/>
  <c r="B1001" i="433" s="1"/>
  <c r="D1002" i="433"/>
  <c r="C1001" i="433"/>
  <c r="A1004" i="434" l="1"/>
  <c r="B1004" i="434" s="1"/>
  <c r="E1005" i="434"/>
  <c r="A1002" i="433"/>
  <c r="B1002" i="433" s="1"/>
  <c r="E1003" i="433"/>
  <c r="C1001" i="434"/>
  <c r="D1002" i="434"/>
  <c r="C1002" i="433"/>
  <c r="D1003" i="433"/>
  <c r="D1003" i="434" l="1"/>
  <c r="C1002" i="434"/>
  <c r="E1004" i="433"/>
  <c r="A1003" i="433"/>
  <c r="B1003" i="433" s="1"/>
  <c r="E1006" i="434"/>
  <c r="A1005" i="434"/>
  <c r="B1005" i="434" s="1"/>
  <c r="C1003" i="433"/>
  <c r="D1004" i="433"/>
  <c r="E1007" i="434" l="1"/>
  <c r="A1006" i="434"/>
  <c r="B1006" i="434" s="1"/>
  <c r="E1005" i="433"/>
  <c r="A1004" i="433"/>
  <c r="B1004" i="433" s="1"/>
  <c r="C1003" i="434"/>
  <c r="D1004" i="434"/>
  <c r="C1004" i="433"/>
  <c r="D1005" i="433"/>
  <c r="D1005" i="434" l="1"/>
  <c r="C1004" i="434"/>
  <c r="A1005" i="433"/>
  <c r="B1005" i="433" s="1"/>
  <c r="E1006" i="433"/>
  <c r="A1007" i="434"/>
  <c r="B1007" i="434" s="1"/>
  <c r="E1008" i="434"/>
  <c r="D1006" i="433"/>
  <c r="C1005" i="433"/>
  <c r="A1008" i="434" l="1"/>
  <c r="B1008" i="434" s="1"/>
  <c r="E1009" i="434"/>
  <c r="A1006" i="433"/>
  <c r="B1006" i="433" s="1"/>
  <c r="E1007" i="433"/>
  <c r="C1005" i="434"/>
  <c r="D1006" i="434"/>
  <c r="C1006" i="433"/>
  <c r="D1007" i="433"/>
  <c r="C1006" i="434" l="1"/>
  <c r="D1007" i="434"/>
  <c r="E1008" i="433"/>
  <c r="A1007" i="433"/>
  <c r="B1007" i="433" s="1"/>
  <c r="A1009" i="434"/>
  <c r="B1009" i="434" s="1"/>
  <c r="E1010" i="434"/>
  <c r="C1007" i="433"/>
  <c r="D1008" i="433"/>
  <c r="E1011" i="434" l="1"/>
  <c r="A1010" i="434"/>
  <c r="B1010" i="434" s="1"/>
  <c r="A1008" i="433"/>
  <c r="B1008" i="433" s="1"/>
  <c r="E1009" i="433"/>
  <c r="C1007" i="434"/>
  <c r="D1008" i="434"/>
  <c r="D1009" i="433"/>
  <c r="C1008" i="433"/>
  <c r="C1008" i="434" l="1"/>
  <c r="D1009" i="434"/>
  <c r="E1010" i="433"/>
  <c r="A1009" i="433"/>
  <c r="B1009" i="433" s="1"/>
  <c r="A1011" i="434"/>
  <c r="B1011" i="434" s="1"/>
  <c r="E1012" i="434"/>
  <c r="D1010" i="433"/>
  <c r="C1009" i="433"/>
  <c r="A1012" i="434" l="1"/>
  <c r="B1012" i="434" s="1"/>
  <c r="E1013" i="434"/>
  <c r="E1011" i="433"/>
  <c r="A1010" i="433"/>
  <c r="B1010" i="433" s="1"/>
  <c r="D1010" i="434"/>
  <c r="C1009" i="434"/>
  <c r="C1010" i="433"/>
  <c r="D1011" i="433"/>
  <c r="A1011" i="433" l="1"/>
  <c r="B1011" i="433" s="1"/>
  <c r="E1012" i="433"/>
  <c r="E1014" i="434"/>
  <c r="A1013" i="434"/>
  <c r="B1013" i="434" s="1"/>
  <c r="C1010" i="434"/>
  <c r="D1011" i="434"/>
  <c r="C1011" i="433"/>
  <c r="D1012" i="433"/>
  <c r="C1011" i="434" l="1"/>
  <c r="D1012" i="434"/>
  <c r="A1014" i="434"/>
  <c r="B1014" i="434" s="1"/>
  <c r="E1015" i="434"/>
  <c r="A1012" i="433"/>
  <c r="B1012" i="433" s="1"/>
  <c r="E1013" i="433"/>
  <c r="D1013" i="433"/>
  <c r="C1012" i="433"/>
  <c r="E1016" i="434" l="1"/>
  <c r="A1015" i="434"/>
  <c r="B1015" i="434" s="1"/>
  <c r="D1013" i="434"/>
  <c r="C1012" i="434"/>
  <c r="E1014" i="433"/>
  <c r="A1013" i="433"/>
  <c r="B1013" i="433" s="1"/>
  <c r="C1013" i="433"/>
  <c r="D1014" i="433"/>
  <c r="E1015" i="433" l="1"/>
  <c r="A1014" i="433"/>
  <c r="B1014" i="433" s="1"/>
  <c r="D1014" i="434"/>
  <c r="C1013" i="434"/>
  <c r="E1017" i="434"/>
  <c r="A1016" i="434"/>
  <c r="B1016" i="434" s="1"/>
  <c r="C1014" i="433"/>
  <c r="D1015" i="433"/>
  <c r="E1018" i="434" l="1"/>
  <c r="A1017" i="434"/>
  <c r="B1017" i="434" s="1"/>
  <c r="D1015" i="434"/>
  <c r="C1014" i="434"/>
  <c r="E1016" i="433"/>
  <c r="A1015" i="433"/>
  <c r="B1015" i="433" s="1"/>
  <c r="D1016" i="433"/>
  <c r="C1015" i="433"/>
  <c r="A1016" i="433" l="1"/>
  <c r="B1016" i="433" s="1"/>
  <c r="E1017" i="433"/>
  <c r="C1015" i="434"/>
  <c r="D1016" i="434"/>
  <c r="E1019" i="434"/>
  <c r="A1018" i="434"/>
  <c r="B1018" i="434" s="1"/>
  <c r="C1016" i="433"/>
  <c r="D1017" i="433"/>
  <c r="E1020" i="434" l="1"/>
  <c r="A1019" i="434"/>
  <c r="B1019" i="434" s="1"/>
  <c r="D1017" i="434"/>
  <c r="C1016" i="434"/>
  <c r="E1018" i="433"/>
  <c r="A1017" i="433"/>
  <c r="B1017" i="433" s="1"/>
  <c r="D1018" i="433"/>
  <c r="C1017" i="433"/>
  <c r="A1018" i="433" l="1"/>
  <c r="B1018" i="433" s="1"/>
  <c r="E1019" i="433"/>
  <c r="C1017" i="434"/>
  <c r="D1018" i="434"/>
  <c r="E1021" i="434"/>
  <c r="A1020" i="434"/>
  <c r="B1020" i="434" s="1"/>
  <c r="D1019" i="433"/>
  <c r="C1018" i="433"/>
  <c r="A1019" i="433" l="1"/>
  <c r="B1019" i="433" s="1"/>
  <c r="E1020" i="433"/>
  <c r="A1021" i="434"/>
  <c r="B1021" i="434" s="1"/>
  <c r="E1022" i="434"/>
  <c r="C1018" i="434"/>
  <c r="D1019" i="434"/>
  <c r="C1019" i="433"/>
  <c r="D1020" i="433"/>
  <c r="D1020" i="434" l="1"/>
  <c r="C1019" i="434"/>
  <c r="E1023" i="434"/>
  <c r="A1022" i="434"/>
  <c r="B1022" i="434" s="1"/>
  <c r="A1020" i="433"/>
  <c r="B1020" i="433" s="1"/>
  <c r="E1021" i="433"/>
  <c r="D1021" i="433"/>
  <c r="C1020" i="433"/>
  <c r="E1022" i="433" l="1"/>
  <c r="A1021" i="433"/>
  <c r="B1021" i="433" s="1"/>
  <c r="E1024" i="434"/>
  <c r="A1023" i="434"/>
  <c r="B1023" i="434" s="1"/>
  <c r="C1020" i="434"/>
  <c r="D1021" i="434"/>
  <c r="C1021" i="433"/>
  <c r="D1022" i="433"/>
  <c r="C1021" i="434" l="1"/>
  <c r="D1022" i="434"/>
  <c r="A1024" i="434"/>
  <c r="B1024" i="434" s="1"/>
  <c r="E1025" i="434"/>
  <c r="A1022" i="433"/>
  <c r="B1022" i="433" s="1"/>
  <c r="E1023" i="433"/>
  <c r="D1023" i="433"/>
  <c r="C1022" i="433"/>
  <c r="A1025" i="434" l="1"/>
  <c r="B1025" i="434" s="1"/>
  <c r="E1026" i="434"/>
  <c r="A1023" i="433"/>
  <c r="B1023" i="433" s="1"/>
  <c r="E1024" i="433"/>
  <c r="D1023" i="434"/>
  <c r="C1022" i="434"/>
  <c r="C1023" i="433"/>
  <c r="D1024" i="433"/>
  <c r="C1023" i="434" l="1"/>
  <c r="D1024" i="434"/>
  <c r="E1025" i="433"/>
  <c r="A1024" i="433"/>
  <c r="B1024" i="433" s="1"/>
  <c r="E1027" i="434"/>
  <c r="A1026" i="434"/>
  <c r="B1026" i="434" s="1"/>
  <c r="C1024" i="433"/>
  <c r="D1025" i="433"/>
  <c r="E1026" i="433" l="1"/>
  <c r="A1025" i="433"/>
  <c r="B1025" i="433" s="1"/>
  <c r="C1024" i="434"/>
  <c r="D1025" i="434"/>
  <c r="A1027" i="434"/>
  <c r="B1027" i="434" s="1"/>
  <c r="E1028" i="434"/>
  <c r="D1026" i="433"/>
  <c r="C1025" i="433"/>
  <c r="C1025" i="434" l="1"/>
  <c r="D1026" i="434"/>
  <c r="A1028" i="434"/>
  <c r="B1028" i="434" s="1"/>
  <c r="E1029" i="434"/>
  <c r="A1026" i="433"/>
  <c r="B1026" i="433" s="1"/>
  <c r="E1027" i="433"/>
  <c r="D1027" i="433"/>
  <c r="C1026" i="433"/>
  <c r="A1027" i="433" l="1"/>
  <c r="B1027" i="433" s="1"/>
  <c r="E1028" i="433"/>
  <c r="D1027" i="434"/>
  <c r="C1026" i="434"/>
  <c r="A1029" i="434"/>
  <c r="B1029" i="434" s="1"/>
  <c r="E1030" i="434"/>
  <c r="D1028" i="433"/>
  <c r="C1027" i="433"/>
  <c r="A1030" i="434" l="1"/>
  <c r="B1030" i="434" s="1"/>
  <c r="E1031" i="434"/>
  <c r="E1029" i="433"/>
  <c r="A1028" i="433"/>
  <c r="B1028" i="433" s="1"/>
  <c r="D1028" i="434"/>
  <c r="C1027" i="434"/>
  <c r="D1029" i="433"/>
  <c r="C1028" i="433"/>
  <c r="C1028" i="434" l="1"/>
  <c r="D1029" i="434"/>
  <c r="E1030" i="433"/>
  <c r="A1029" i="433"/>
  <c r="B1029" i="433" s="1"/>
  <c r="E1032" i="434"/>
  <c r="A1031" i="434"/>
  <c r="B1031" i="434" s="1"/>
  <c r="D1030" i="433"/>
  <c r="C1029" i="433"/>
  <c r="E1033" i="434" l="1"/>
  <c r="A1032" i="434"/>
  <c r="B1032" i="434" s="1"/>
  <c r="A1030" i="433"/>
  <c r="B1030" i="433" s="1"/>
  <c r="E1031" i="433"/>
  <c r="D1030" i="434"/>
  <c r="C1029" i="434"/>
  <c r="D1031" i="433"/>
  <c r="C1030" i="433"/>
  <c r="E1032" i="433" l="1"/>
  <c r="A1031" i="433"/>
  <c r="B1031" i="433" s="1"/>
  <c r="D1031" i="434"/>
  <c r="C1030" i="434"/>
  <c r="A1033" i="434"/>
  <c r="B1033" i="434" s="1"/>
  <c r="E1034" i="434"/>
  <c r="D1032" i="433"/>
  <c r="C1031" i="433"/>
  <c r="A1034" i="434" l="1"/>
  <c r="B1034" i="434" s="1"/>
  <c r="E1035" i="434"/>
  <c r="D1032" i="434"/>
  <c r="C1031" i="434"/>
  <c r="A1032" i="433"/>
  <c r="B1032" i="433" s="1"/>
  <c r="E1033" i="433"/>
  <c r="D1033" i="433"/>
  <c r="C1032" i="433"/>
  <c r="A1033" i="433" l="1"/>
  <c r="B1033" i="433" s="1"/>
  <c r="E1034" i="433"/>
  <c r="C1032" i="434"/>
  <c r="D1033" i="434"/>
  <c r="A1035" i="434"/>
  <c r="B1035" i="434" s="1"/>
  <c r="E1036" i="434"/>
  <c r="D1034" i="433"/>
  <c r="C1033" i="433"/>
  <c r="A1036" i="434" l="1"/>
  <c r="B1036" i="434" s="1"/>
  <c r="E1037" i="434"/>
  <c r="D1034" i="434"/>
  <c r="C1033" i="434"/>
  <c r="A1034" i="433"/>
  <c r="B1034" i="433" s="1"/>
  <c r="E1035" i="433"/>
  <c r="C1034" i="433"/>
  <c r="D1035" i="433"/>
  <c r="A1035" i="433" l="1"/>
  <c r="B1035" i="433" s="1"/>
  <c r="E1036" i="433"/>
  <c r="D1035" i="434"/>
  <c r="C1034" i="434"/>
  <c r="E1038" i="434"/>
  <c r="A1037" i="434"/>
  <c r="B1037" i="434" s="1"/>
  <c r="C1035" i="433"/>
  <c r="D1036" i="433"/>
  <c r="E1039" i="434" l="1"/>
  <c r="A1038" i="434"/>
  <c r="B1038" i="434" s="1"/>
  <c r="C1035" i="434"/>
  <c r="D1036" i="434"/>
  <c r="E1037" i="433"/>
  <c r="A1036" i="433"/>
  <c r="B1036" i="433" s="1"/>
  <c r="D1037" i="433"/>
  <c r="C1036" i="433"/>
  <c r="E1038" i="433" l="1"/>
  <c r="A1037" i="433"/>
  <c r="B1037" i="433" s="1"/>
  <c r="C1036" i="434"/>
  <c r="D1037" i="434"/>
  <c r="A1039" i="434"/>
  <c r="B1039" i="434" s="1"/>
  <c r="E1040" i="434"/>
  <c r="D1038" i="433"/>
  <c r="C1037" i="433"/>
  <c r="C1037" i="434" l="1"/>
  <c r="D1038" i="434"/>
  <c r="E1041" i="434"/>
  <c r="A1040" i="434"/>
  <c r="B1040" i="434" s="1"/>
  <c r="A1038" i="433"/>
  <c r="B1038" i="433" s="1"/>
  <c r="E1039" i="433"/>
  <c r="C1038" i="433"/>
  <c r="D1039" i="433"/>
  <c r="E1040" i="433" l="1"/>
  <c r="A1039" i="433"/>
  <c r="B1039" i="433" s="1"/>
  <c r="A1041" i="434"/>
  <c r="B1041" i="434" s="1"/>
  <c r="E1042" i="434"/>
  <c r="D1039" i="434"/>
  <c r="C1038" i="434"/>
  <c r="C1039" i="433"/>
  <c r="D1040" i="433"/>
  <c r="C1039" i="434" l="1"/>
  <c r="D1040" i="434"/>
  <c r="E1043" i="434"/>
  <c r="A1042" i="434"/>
  <c r="B1042" i="434" s="1"/>
  <c r="A1040" i="433"/>
  <c r="B1040" i="433" s="1"/>
  <c r="E1041" i="433"/>
  <c r="C1040" i="433"/>
  <c r="D1041" i="433"/>
  <c r="E1044" i="434" l="1"/>
  <c r="A1043" i="434"/>
  <c r="B1043" i="434" s="1"/>
  <c r="C1040" i="434"/>
  <c r="D1041" i="434"/>
  <c r="E1042" i="433"/>
  <c r="A1041" i="433"/>
  <c r="B1041" i="433" s="1"/>
  <c r="C1041" i="433"/>
  <c r="D1042" i="433"/>
  <c r="A1042" i="433" l="1"/>
  <c r="B1042" i="433" s="1"/>
  <c r="E1043" i="433"/>
  <c r="D1042" i="434"/>
  <c r="C1041" i="434"/>
  <c r="A1044" i="434"/>
  <c r="B1044" i="434" s="1"/>
  <c r="E1045" i="434"/>
  <c r="D1043" i="433"/>
  <c r="C1042" i="433"/>
  <c r="D1043" i="434" l="1"/>
  <c r="C1042" i="434"/>
  <c r="E1044" i="433"/>
  <c r="A1043" i="433"/>
  <c r="B1043" i="433" s="1"/>
  <c r="E1046" i="434"/>
  <c r="A1045" i="434"/>
  <c r="B1045" i="434" s="1"/>
  <c r="C1043" i="433"/>
  <c r="D1044" i="433"/>
  <c r="E1047" i="434" l="1"/>
  <c r="A1046" i="434"/>
  <c r="B1046" i="434" s="1"/>
  <c r="A1044" i="433"/>
  <c r="B1044" i="433" s="1"/>
  <c r="E1045" i="433"/>
  <c r="D1044" i="434"/>
  <c r="C1043" i="434"/>
  <c r="C1044" i="433"/>
  <c r="D1045" i="433"/>
  <c r="C1044" i="434" l="1"/>
  <c r="D1045" i="434"/>
  <c r="E1046" i="433"/>
  <c r="A1045" i="433"/>
  <c r="B1045" i="433" s="1"/>
  <c r="E1048" i="434"/>
  <c r="A1047" i="434"/>
  <c r="B1047" i="434" s="1"/>
  <c r="C1045" i="433"/>
  <c r="D1046" i="433"/>
  <c r="A1046" i="433" l="1"/>
  <c r="B1046" i="433" s="1"/>
  <c r="E1047" i="433"/>
  <c r="D1046" i="434"/>
  <c r="C1045" i="434"/>
  <c r="E1049" i="434"/>
  <c r="A1048" i="434"/>
  <c r="B1048" i="434" s="1"/>
  <c r="C1046" i="433"/>
  <c r="D1047" i="433"/>
  <c r="A1049" i="434" l="1"/>
  <c r="B1049" i="434" s="1"/>
  <c r="E1050" i="434"/>
  <c r="D1047" i="434"/>
  <c r="C1046" i="434"/>
  <c r="E1048" i="433"/>
  <c r="A1047" i="433"/>
  <c r="B1047" i="433" s="1"/>
  <c r="C1047" i="433"/>
  <c r="D1048" i="433"/>
  <c r="E1049" i="433" l="1"/>
  <c r="A1048" i="433"/>
  <c r="B1048" i="433" s="1"/>
  <c r="D1048" i="434"/>
  <c r="C1047" i="434"/>
  <c r="A1050" i="434"/>
  <c r="B1050" i="434" s="1"/>
  <c r="E1051" i="434"/>
  <c r="D1049" i="433"/>
  <c r="C1048" i="433"/>
  <c r="A1051" i="434" l="1"/>
  <c r="B1051" i="434" s="1"/>
  <c r="E1052" i="434"/>
  <c r="D1049" i="434"/>
  <c r="C1048" i="434"/>
  <c r="E1050" i="433"/>
  <c r="A1049" i="433"/>
  <c r="B1049" i="433" s="1"/>
  <c r="C1049" i="433"/>
  <c r="D1050" i="433"/>
  <c r="D1050" i="434" l="1"/>
  <c r="C1049" i="434"/>
  <c r="A1052" i="434"/>
  <c r="B1052" i="434" s="1"/>
  <c r="E1053" i="434"/>
  <c r="A1050" i="433"/>
  <c r="B1050" i="433" s="1"/>
  <c r="E1051" i="433"/>
  <c r="D1051" i="433"/>
  <c r="C1050" i="433"/>
  <c r="A1051" i="433" l="1"/>
  <c r="B1051" i="433" s="1"/>
  <c r="E1052" i="433"/>
  <c r="A1053" i="434"/>
  <c r="B1053" i="434" s="1"/>
  <c r="E1054" i="434"/>
  <c r="C1050" i="434"/>
  <c r="D1051" i="434"/>
  <c r="D1052" i="433"/>
  <c r="C1051" i="433"/>
  <c r="A1054" i="434" l="1"/>
  <c r="B1054" i="434" s="1"/>
  <c r="E1055" i="434"/>
  <c r="D1052" i="434"/>
  <c r="C1051" i="434"/>
  <c r="E1053" i="433"/>
  <c r="A1052" i="433"/>
  <c r="B1052" i="433" s="1"/>
  <c r="D1053" i="433"/>
  <c r="C1052" i="433"/>
  <c r="E1054" i="433" l="1"/>
  <c r="A1053" i="433"/>
  <c r="B1053" i="433" s="1"/>
  <c r="D1053" i="434"/>
  <c r="C1052" i="434"/>
  <c r="E1056" i="434"/>
  <c r="A1055" i="434"/>
  <c r="B1055" i="434" s="1"/>
  <c r="D1054" i="433"/>
  <c r="C1053" i="433"/>
  <c r="A1056" i="434" l="1"/>
  <c r="B1056" i="434" s="1"/>
  <c r="E1057" i="434"/>
  <c r="C1053" i="434"/>
  <c r="D1054" i="434"/>
  <c r="E1055" i="433"/>
  <c r="A1054" i="433"/>
  <c r="B1054" i="433" s="1"/>
  <c r="C1054" i="433"/>
  <c r="D1055" i="433"/>
  <c r="A1057" i="434" l="1"/>
  <c r="B1057" i="434" s="1"/>
  <c r="E1058" i="434"/>
  <c r="C1054" i="434"/>
  <c r="D1055" i="434"/>
  <c r="E1056" i="433"/>
  <c r="A1055" i="433"/>
  <c r="B1055" i="433" s="1"/>
  <c r="D1056" i="433"/>
  <c r="C1055" i="433"/>
  <c r="E1059" i="434" l="1"/>
  <c r="A1058" i="434"/>
  <c r="B1058" i="434" s="1"/>
  <c r="A1056" i="433"/>
  <c r="B1056" i="433" s="1"/>
  <c r="E1057" i="433"/>
  <c r="D1056" i="434"/>
  <c r="C1055" i="434"/>
  <c r="C1056" i="433"/>
  <c r="D1057" i="433"/>
  <c r="C1056" i="434" l="1"/>
  <c r="D1057" i="434"/>
  <c r="E1060" i="434"/>
  <c r="A1059" i="434"/>
  <c r="B1059" i="434" s="1"/>
  <c r="E1058" i="433"/>
  <c r="A1057" i="433"/>
  <c r="B1057" i="433" s="1"/>
  <c r="D1058" i="433"/>
  <c r="C1057" i="433"/>
  <c r="A1060" i="434" l="1"/>
  <c r="B1060" i="434" s="1"/>
  <c r="E1061" i="434"/>
  <c r="D1058" i="434"/>
  <c r="C1057" i="434"/>
  <c r="A1058" i="433"/>
  <c r="B1058" i="433" s="1"/>
  <c r="E1059" i="433"/>
  <c r="D1059" i="433"/>
  <c r="C1058" i="433"/>
  <c r="A1061" i="434" l="1"/>
  <c r="B1061" i="434" s="1"/>
  <c r="E1062" i="434"/>
  <c r="C1058" i="434"/>
  <c r="D1059" i="434"/>
  <c r="A1059" i="433"/>
  <c r="B1059" i="433" s="1"/>
  <c r="E1060" i="433"/>
  <c r="D1060" i="433"/>
  <c r="C1059" i="433"/>
  <c r="C1059" i="434" l="1"/>
  <c r="D1060" i="434"/>
  <c r="A1062" i="434"/>
  <c r="B1062" i="434" s="1"/>
  <c r="E1063" i="434"/>
  <c r="E1061" i="433"/>
  <c r="A1060" i="433"/>
  <c r="B1060" i="433" s="1"/>
  <c r="C1060" i="433"/>
  <c r="D1061" i="433"/>
  <c r="A1063" i="434" l="1"/>
  <c r="B1063" i="434" s="1"/>
  <c r="E1064" i="434"/>
  <c r="C1060" i="434"/>
  <c r="D1061" i="434"/>
  <c r="E1062" i="433"/>
  <c r="A1061" i="433"/>
  <c r="B1061" i="433" s="1"/>
  <c r="D1062" i="433"/>
  <c r="C1061" i="433"/>
  <c r="A1064" i="434" l="1"/>
  <c r="B1064" i="434" s="1"/>
  <c r="E1065" i="434"/>
  <c r="C1061" i="434"/>
  <c r="D1062" i="434"/>
  <c r="A1062" i="433"/>
  <c r="B1062" i="433" s="1"/>
  <c r="E1063" i="433"/>
  <c r="D1063" i="433"/>
  <c r="C1062" i="433"/>
  <c r="D1063" i="434" l="1"/>
  <c r="C1062" i="434"/>
  <c r="A1065" i="434"/>
  <c r="B1065" i="434" s="1"/>
  <c r="E1066" i="434"/>
  <c r="A1063" i="433"/>
  <c r="B1063" i="433" s="1"/>
  <c r="E1064" i="433"/>
  <c r="D1064" i="433"/>
  <c r="C1063" i="433"/>
  <c r="E1067" i="434" l="1"/>
  <c r="A1066" i="434"/>
  <c r="B1066" i="434" s="1"/>
  <c r="D1064" i="434"/>
  <c r="C1063" i="434"/>
  <c r="E1065" i="433"/>
  <c r="A1064" i="433"/>
  <c r="B1064" i="433" s="1"/>
  <c r="C1064" i="433"/>
  <c r="D1065" i="433"/>
  <c r="A1067" i="434" l="1"/>
  <c r="B1067" i="434" s="1"/>
  <c r="E1068" i="434"/>
  <c r="C1064" i="434"/>
  <c r="D1065" i="434"/>
  <c r="A1065" i="433"/>
  <c r="B1065" i="433" s="1"/>
  <c r="E1066" i="433"/>
  <c r="D1066" i="433"/>
  <c r="C1065" i="433"/>
  <c r="D1066" i="434" l="1"/>
  <c r="C1065" i="434"/>
  <c r="A1068" i="434"/>
  <c r="B1068" i="434" s="1"/>
  <c r="E1069" i="434"/>
  <c r="E1067" i="433"/>
  <c r="A1066" i="433"/>
  <c r="B1066" i="433" s="1"/>
  <c r="C1066" i="433"/>
  <c r="D1067" i="433"/>
  <c r="C1066" i="434" l="1"/>
  <c r="D1067" i="434"/>
  <c r="A1069" i="434"/>
  <c r="B1069" i="434" s="1"/>
  <c r="E1070" i="434"/>
  <c r="E1068" i="433"/>
  <c r="A1067" i="433"/>
  <c r="B1067" i="433" s="1"/>
  <c r="D1068" i="433"/>
  <c r="C1067" i="433"/>
  <c r="A1070" i="434" l="1"/>
  <c r="B1070" i="434" s="1"/>
  <c r="E1071" i="434"/>
  <c r="D1068" i="434"/>
  <c r="C1067" i="434"/>
  <c r="A1068" i="433"/>
  <c r="B1068" i="433" s="1"/>
  <c r="E1069" i="433"/>
  <c r="C1068" i="433"/>
  <c r="D1069" i="433"/>
  <c r="C1068" i="434" l="1"/>
  <c r="D1069" i="434"/>
  <c r="E1072" i="434"/>
  <c r="A1071" i="434"/>
  <c r="B1071" i="434" s="1"/>
  <c r="E1070" i="433"/>
  <c r="A1069" i="433"/>
  <c r="B1069" i="433" s="1"/>
  <c r="C1069" i="433"/>
  <c r="D1070" i="433"/>
  <c r="A1072" i="434" l="1"/>
  <c r="B1072" i="434" s="1"/>
  <c r="E1073" i="434"/>
  <c r="C1069" i="434"/>
  <c r="D1070" i="434"/>
  <c r="A1070" i="433"/>
  <c r="B1070" i="433" s="1"/>
  <c r="E1071" i="433"/>
  <c r="D1071" i="433"/>
  <c r="C1070" i="433"/>
  <c r="C1070" i="434" l="1"/>
  <c r="D1071" i="434"/>
  <c r="A1073" i="434"/>
  <c r="B1073" i="434" s="1"/>
  <c r="E1074" i="434"/>
  <c r="E1072" i="433"/>
  <c r="A1071" i="433"/>
  <c r="B1071" i="433" s="1"/>
  <c r="C1071" i="433"/>
  <c r="D1072" i="433"/>
  <c r="A1072" i="433" l="1"/>
  <c r="B1072" i="433" s="1"/>
  <c r="E1073" i="433"/>
  <c r="A1074" i="434"/>
  <c r="B1074" i="434" s="1"/>
  <c r="E1075" i="434"/>
  <c r="C1072" i="433"/>
  <c r="D1073" i="433"/>
  <c r="C1071" i="434"/>
  <c r="D1072" i="434"/>
  <c r="C1073" i="433" l="1"/>
  <c r="D1074" i="433"/>
  <c r="E1076" i="434"/>
  <c r="A1075" i="434"/>
  <c r="B1075" i="434" s="1"/>
  <c r="A1073" i="433"/>
  <c r="B1073" i="433" s="1"/>
  <c r="E1074" i="433"/>
  <c r="C1072" i="434"/>
  <c r="D1073" i="434"/>
  <c r="E1075" i="433" l="1"/>
  <c r="A1074" i="433"/>
  <c r="B1074" i="433" s="1"/>
  <c r="E1077" i="434"/>
  <c r="A1076" i="434"/>
  <c r="B1076" i="434" s="1"/>
  <c r="C1074" i="433"/>
  <c r="D1075" i="433"/>
  <c r="D1074" i="434"/>
  <c r="C1073" i="434"/>
  <c r="A1077" i="434" l="1"/>
  <c r="B1077" i="434" s="1"/>
  <c r="E1078" i="434"/>
  <c r="C1074" i="434"/>
  <c r="D1075" i="434"/>
  <c r="C1075" i="433"/>
  <c r="D1076" i="433"/>
  <c r="A1075" i="433"/>
  <c r="B1075" i="433" s="1"/>
  <c r="E1076" i="433"/>
  <c r="A1078" i="434" l="1"/>
  <c r="B1078" i="434" s="1"/>
  <c r="E1079" i="434"/>
  <c r="C1076" i="433"/>
  <c r="D1077" i="433"/>
  <c r="E1077" i="433"/>
  <c r="A1076" i="433"/>
  <c r="B1076" i="433" s="1"/>
  <c r="C1075" i="434"/>
  <c r="D1076" i="434"/>
  <c r="C1076" i="434" l="1"/>
  <c r="D1077" i="434"/>
  <c r="A1077" i="433"/>
  <c r="B1077" i="433" s="1"/>
  <c r="E1078" i="433"/>
  <c r="C1077" i="433"/>
  <c r="D1078" i="433"/>
  <c r="A1079" i="434"/>
  <c r="B1079" i="434" s="1"/>
  <c r="E1080" i="434"/>
  <c r="C1078" i="433" l="1"/>
  <c r="D1079" i="433"/>
  <c r="A1078" i="433"/>
  <c r="B1078" i="433" s="1"/>
  <c r="E1079" i="433"/>
  <c r="A1080" i="434"/>
  <c r="B1080" i="434" s="1"/>
  <c r="E1081" i="434"/>
  <c r="C1077" i="434"/>
  <c r="D1078" i="434"/>
  <c r="EZ42" i="431"/>
  <c r="EZ40" i="431"/>
  <c r="EZ38" i="431"/>
  <c r="ET39" i="431"/>
  <c r="EU39" i="431" s="1"/>
  <c r="ET41" i="431"/>
  <c r="EU41" i="431" s="1"/>
  <c r="ET37" i="431"/>
  <c r="EU37" i="431" s="1"/>
  <c r="ET35" i="431" l="1"/>
  <c r="EU35" i="431" s="1"/>
  <c r="A1081" i="434"/>
  <c r="B1081" i="434" s="1"/>
  <c r="E1082" i="434"/>
  <c r="E1080" i="433"/>
  <c r="A1079" i="433"/>
  <c r="B1079" i="433" s="1"/>
  <c r="D1080" i="433"/>
  <c r="C1079" i="433"/>
  <c r="D1079" i="434"/>
  <c r="C1078" i="434"/>
  <c r="EU38" i="431"/>
  <c r="EU40" i="431"/>
  <c r="EU42" i="431" l="1"/>
  <c r="EU29" i="431"/>
  <c r="ET36" i="431"/>
  <c r="ET29" i="431"/>
  <c r="EZ41" i="431"/>
  <c r="FE41" i="431" s="1"/>
  <c r="E1081" i="433"/>
  <c r="A1080" i="433"/>
  <c r="B1080" i="433" s="1"/>
  <c r="D1080" i="434"/>
  <c r="C1079" i="434"/>
  <c r="E1083" i="434"/>
  <c r="A1082" i="434"/>
  <c r="B1082" i="434" s="1"/>
  <c r="C1080" i="433"/>
  <c r="D1081" i="433"/>
  <c r="EZ39" i="431"/>
  <c r="FE39" i="431" s="1"/>
  <c r="EU36" i="431" l="1"/>
  <c r="EU30" i="431"/>
  <c r="EU33" i="431" s="1"/>
  <c r="EU126" i="431"/>
  <c r="ET126" i="431"/>
  <c r="ET30" i="431"/>
  <c r="ET31" i="431"/>
  <c r="ET114" i="431"/>
  <c r="C1081" i="433"/>
  <c r="D1082" i="433"/>
  <c r="D1081" i="434"/>
  <c r="C1080" i="434"/>
  <c r="A1081" i="433"/>
  <c r="B1081" i="433" s="1"/>
  <c r="E1082" i="433"/>
  <c r="E1084" i="434"/>
  <c r="A1083" i="434"/>
  <c r="B1083" i="434" s="1"/>
  <c r="EZ37" i="431"/>
  <c r="EU127" i="431" l="1"/>
  <c r="EU32" i="431"/>
  <c r="ET127" i="431"/>
  <c r="ET33" i="431"/>
  <c r="ET32" i="431" s="1"/>
  <c r="E1085" i="434"/>
  <c r="A1084" i="434"/>
  <c r="B1084" i="434" s="1"/>
  <c r="E1083" i="433"/>
  <c r="A1082" i="433"/>
  <c r="B1082" i="433" s="1"/>
  <c r="C1081" i="434"/>
  <c r="D1082" i="434"/>
  <c r="C1082" i="433"/>
  <c r="D1083" i="433"/>
  <c r="EZ35" i="431"/>
  <c r="EZ36" i="431" s="1"/>
  <c r="FE37" i="431"/>
  <c r="FE35" i="431" s="1"/>
  <c r="ET43" i="431" l="1"/>
  <c r="EU43" i="431" s="1"/>
  <c r="ET34" i="431"/>
  <c r="ET129" i="431"/>
  <c r="EU129" i="431" s="1"/>
  <c r="C1082" i="434"/>
  <c r="D1083" i="434"/>
  <c r="C1083" i="433"/>
  <c r="D1084" i="433"/>
  <c r="E1084" i="433"/>
  <c r="A1083" i="433"/>
  <c r="B1083" i="433" s="1"/>
  <c r="A1085" i="434"/>
  <c r="B1085" i="434" s="1"/>
  <c r="E1086" i="434"/>
  <c r="EZ29" i="431"/>
  <c r="EZ30" i="431" s="1"/>
  <c r="FE29" i="431"/>
  <c r="FE36" i="431"/>
  <c r="EU44" i="431" l="1"/>
  <c r="EU45" i="431"/>
  <c r="ET160" i="431"/>
  <c r="ET44" i="431"/>
  <c r="ET45" i="431"/>
  <c r="ET46" i="431" s="1"/>
  <c r="EU114" i="431"/>
  <c r="E1087" i="434"/>
  <c r="A1086" i="434"/>
  <c r="B1086" i="434" s="1"/>
  <c r="A1084" i="433"/>
  <c r="B1084" i="433" s="1"/>
  <c r="E1085" i="433"/>
  <c r="C1084" i="433"/>
  <c r="D1085" i="433"/>
  <c r="C1083" i="434"/>
  <c r="D1084" i="434"/>
  <c r="EZ126" i="431"/>
  <c r="FE30" i="431"/>
  <c r="FE126" i="431"/>
  <c r="EZ33" i="431"/>
  <c r="EZ127" i="431"/>
  <c r="EU46" i="431" l="1"/>
  <c r="EU160" i="431"/>
  <c r="ET130" i="431"/>
  <c r="EU130" i="431" s="1"/>
  <c r="EU128" i="431" s="1"/>
  <c r="EU123" i="431" s="1"/>
  <c r="ET161" i="431"/>
  <c r="C1085" i="433"/>
  <c r="D1086" i="433"/>
  <c r="E1086" i="433"/>
  <c r="A1085" i="433"/>
  <c r="B1085" i="433" s="1"/>
  <c r="C1084" i="434"/>
  <c r="D1085" i="434"/>
  <c r="A1087" i="434"/>
  <c r="B1087" i="434" s="1"/>
  <c r="E1088" i="434"/>
  <c r="FE33" i="431"/>
  <c r="FE127" i="431"/>
  <c r="EZ32" i="431"/>
  <c r="EU161" i="431" l="1"/>
  <c r="EU162" i="431"/>
  <c r="EU163" i="431" s="1"/>
  <c r="ET128" i="431"/>
  <c r="ET123" i="431" s="1"/>
  <c r="ET110" i="431" s="1"/>
  <c r="C1085" i="434"/>
  <c r="D1086" i="434"/>
  <c r="A1086" i="433"/>
  <c r="B1086" i="433" s="1"/>
  <c r="E1087" i="433"/>
  <c r="D1087" i="433"/>
  <c r="C1086" i="433"/>
  <c r="E1089" i="434"/>
  <c r="A1088" i="434"/>
  <c r="B1088" i="434" s="1"/>
  <c r="EZ43" i="431"/>
  <c r="EZ44" i="431" s="1"/>
  <c r="FE32" i="431"/>
  <c r="FE43" i="431" s="1"/>
  <c r="ET108" i="431" l="1"/>
  <c r="ET107" i="431" s="1"/>
  <c r="EU107" i="431" s="1"/>
  <c r="ET109" i="431"/>
  <c r="EU109" i="431" s="1"/>
  <c r="A1089" i="434"/>
  <c r="B1089" i="434" s="1"/>
  <c r="E1090" i="434"/>
  <c r="C1087" i="433"/>
  <c r="D1088" i="433"/>
  <c r="E1088" i="433"/>
  <c r="A1087" i="433"/>
  <c r="B1087" i="433" s="1"/>
  <c r="D1087" i="434"/>
  <c r="C1086" i="434"/>
  <c r="EZ45" i="431"/>
  <c r="EZ46" i="431" s="1"/>
  <c r="FE44" i="431"/>
  <c r="FE45" i="431"/>
  <c r="EZ162" i="431"/>
  <c r="EU124" i="431" l="1"/>
  <c r="EU125" i="431" s="1"/>
  <c r="EU108" i="431"/>
  <c r="EU110" i="431" s="1"/>
  <c r="EU113" i="431" s="1"/>
  <c r="ET111" i="431"/>
  <c r="ET124" i="431"/>
  <c r="ET125" i="431" s="1"/>
  <c r="ET103" i="431"/>
  <c r="EU103" i="431" s="1"/>
  <c r="EP212" i="431"/>
  <c r="EP356" i="431"/>
  <c r="N7" i="455"/>
  <c r="N20" i="455" s="1"/>
  <c r="C1088" i="433"/>
  <c r="D1089" i="433"/>
  <c r="D1088" i="434"/>
  <c r="C1087" i="434"/>
  <c r="E1089" i="433"/>
  <c r="A1088" i="433"/>
  <c r="B1088" i="433" s="1"/>
  <c r="A1090" i="434"/>
  <c r="B1090" i="434" s="1"/>
  <c r="E1091" i="434"/>
  <c r="FE46" i="431"/>
  <c r="EZ160" i="431"/>
  <c r="FE162" i="431"/>
  <c r="FE160" i="431" s="1"/>
  <c r="EU135" i="431" l="1"/>
  <c r="EU120" i="431"/>
  <c r="EU104" i="431"/>
  <c r="ET135" i="431"/>
  <c r="ET104" i="431"/>
  <c r="ET120" i="431"/>
  <c r="ET94" i="431"/>
  <c r="EU94" i="431" s="1"/>
  <c r="N8" i="455"/>
  <c r="N15" i="455"/>
  <c r="N21" i="455" s="1"/>
  <c r="EP213" i="431"/>
  <c r="E1092" i="434"/>
  <c r="A1091" i="434"/>
  <c r="B1091" i="434" s="1"/>
  <c r="D1089" i="434"/>
  <c r="C1088" i="434"/>
  <c r="C1089" i="433"/>
  <c r="D1090" i="433"/>
  <c r="A1089" i="433"/>
  <c r="B1089" i="433" s="1"/>
  <c r="E1090" i="433"/>
  <c r="EZ161" i="431"/>
  <c r="FE161" i="431"/>
  <c r="EZ114" i="431"/>
  <c r="EU95" i="431" l="1"/>
  <c r="EU96" i="431"/>
  <c r="EU51" i="431"/>
  <c r="EU82" i="431"/>
  <c r="EU60" i="431"/>
  <c r="EU221" i="431"/>
  <c r="EU222" i="431" s="1"/>
  <c r="EU136" i="431"/>
  <c r="ET96" i="431"/>
  <c r="ET100" i="431"/>
  <c r="EU100" i="431" s="1"/>
  <c r="EU101" i="431" s="1"/>
  <c r="ET95" i="431"/>
  <c r="ET221" i="431"/>
  <c r="ET222" i="431" s="1"/>
  <c r="ET51" i="431"/>
  <c r="ET60" i="431"/>
  <c r="ET136" i="431"/>
  <c r="ET82" i="431"/>
  <c r="C1090" i="433"/>
  <c r="D1091" i="433"/>
  <c r="C1089" i="434"/>
  <c r="D1090" i="434"/>
  <c r="E1091" i="433"/>
  <c r="A1090" i="433"/>
  <c r="B1090" i="433" s="1"/>
  <c r="A1092" i="434"/>
  <c r="B1092" i="434" s="1"/>
  <c r="E1093" i="434"/>
  <c r="EZ129" i="431"/>
  <c r="ET102" i="431" l="1"/>
  <c r="ET101" i="431"/>
  <c r="A1093" i="434"/>
  <c r="B1093" i="434" s="1"/>
  <c r="E1094" i="434"/>
  <c r="C1090" i="434"/>
  <c r="D1091" i="434"/>
  <c r="A1091" i="433"/>
  <c r="B1091" i="433" s="1"/>
  <c r="E1092" i="433"/>
  <c r="C1091" i="433"/>
  <c r="D1092" i="433"/>
  <c r="C1092" i="433" l="1"/>
  <c r="D1093" i="433"/>
  <c r="C1091" i="434"/>
  <c r="D1092" i="434"/>
  <c r="A1092" i="433"/>
  <c r="B1092" i="433" s="1"/>
  <c r="E1093" i="433"/>
  <c r="A1094" i="434"/>
  <c r="B1094" i="434" s="1"/>
  <c r="E1095" i="434"/>
  <c r="EZ130" i="431"/>
  <c r="EZ128" i="431" s="1"/>
  <c r="EZ123" i="431" s="1"/>
  <c r="EZ110" i="431" s="1"/>
  <c r="O7" i="455"/>
  <c r="EU321" i="431"/>
  <c r="EU319" i="431"/>
  <c r="EU294" i="431"/>
  <c r="EU212" i="431" s="1"/>
  <c r="EU323" i="431"/>
  <c r="EU356" i="431"/>
  <c r="A1095" i="434" l="1"/>
  <c r="B1095" i="434" s="1"/>
  <c r="E1096" i="434"/>
  <c r="C1092" i="434"/>
  <c r="D1093" i="434"/>
  <c r="E1094" i="433"/>
  <c r="A1093" i="433"/>
  <c r="B1093" i="433" s="1"/>
  <c r="C1093" i="433"/>
  <c r="D1094" i="433"/>
  <c r="O20" i="455"/>
  <c r="O8" i="455"/>
  <c r="EZ108" i="431"/>
  <c r="EZ107" i="431" s="1"/>
  <c r="EZ109" i="431"/>
  <c r="EU299" i="431"/>
  <c r="O15" i="455"/>
  <c r="O21" i="455" s="1"/>
  <c r="EU328" i="431"/>
  <c r="EU213" i="431" s="1"/>
  <c r="C1094" i="433" l="1"/>
  <c r="D1095" i="433"/>
  <c r="A1094" i="433"/>
  <c r="B1094" i="433" s="1"/>
  <c r="E1095" i="433"/>
  <c r="D1094" i="434"/>
  <c r="C1093" i="434"/>
  <c r="E1097" i="434"/>
  <c r="A1096" i="434"/>
  <c r="B1096" i="434" s="1"/>
  <c r="FE114" i="431"/>
  <c r="EZ124" i="431"/>
  <c r="EZ103" i="431"/>
  <c r="E1096" i="433" l="1"/>
  <c r="A1095" i="433"/>
  <c r="B1095" i="433" s="1"/>
  <c r="D1096" i="433"/>
  <c r="C1095" i="433"/>
  <c r="A1097" i="434"/>
  <c r="B1097" i="434" s="1"/>
  <c r="E1098" i="434"/>
  <c r="D1095" i="434"/>
  <c r="C1094" i="434"/>
  <c r="EZ125" i="431"/>
  <c r="FE129" i="431"/>
  <c r="EZ104" i="431"/>
  <c r="EZ135" i="431"/>
  <c r="EZ94" i="431"/>
  <c r="EZ120" i="431"/>
  <c r="D1097" i="433" l="1"/>
  <c r="C1096" i="433"/>
  <c r="A1096" i="433"/>
  <c r="B1096" i="433" s="1"/>
  <c r="E1097" i="433"/>
  <c r="A1098" i="434"/>
  <c r="B1098" i="434" s="1"/>
  <c r="E1099" i="434"/>
  <c r="D1096" i="434"/>
  <c r="C1095" i="434"/>
  <c r="EZ96" i="431"/>
  <c r="EZ95" i="431"/>
  <c r="EZ100" i="431"/>
  <c r="EZ82" i="431"/>
  <c r="EZ136" i="431"/>
  <c r="EZ221" i="431"/>
  <c r="EZ60" i="431"/>
  <c r="EZ51" i="431"/>
  <c r="D1098" i="433" l="1"/>
  <c r="C1097" i="433"/>
  <c r="E1098" i="433"/>
  <c r="A1097" i="433"/>
  <c r="B1097" i="433" s="1"/>
  <c r="E1100" i="434"/>
  <c r="A1099" i="434"/>
  <c r="B1099" i="434" s="1"/>
  <c r="D1097" i="434"/>
  <c r="C1096" i="434"/>
  <c r="EZ101" i="431"/>
  <c r="FE130" i="431"/>
  <c r="FE128" i="431" s="1"/>
  <c r="FE123" i="431" s="1"/>
  <c r="FE110" i="431" s="1"/>
  <c r="EZ323" i="431"/>
  <c r="EZ356" i="431"/>
  <c r="EZ321" i="431"/>
  <c r="EZ222" i="431"/>
  <c r="P7" i="455"/>
  <c r="EZ319" i="431"/>
  <c r="EZ294" i="431"/>
  <c r="A1098" i="433" l="1"/>
  <c r="B1098" i="433" s="1"/>
  <c r="E1099" i="433"/>
  <c r="D1099" i="433"/>
  <c r="C1098" i="433"/>
  <c r="C1097" i="434"/>
  <c r="D1098" i="434"/>
  <c r="E1101" i="434"/>
  <c r="A1100" i="434"/>
  <c r="B1100" i="434" s="1"/>
  <c r="FE108" i="431"/>
  <c r="FE107" i="431" s="1"/>
  <c r="FE109" i="431"/>
  <c r="P8" i="455"/>
  <c r="P20" i="455"/>
  <c r="P15" i="455"/>
  <c r="P21" i="455" s="1"/>
  <c r="EZ299" i="431"/>
  <c r="EZ212" i="431"/>
  <c r="EZ328" i="431"/>
  <c r="D1100" i="433" l="1"/>
  <c r="C1099" i="433"/>
  <c r="E1100" i="433"/>
  <c r="A1099" i="433"/>
  <c r="B1099" i="433" s="1"/>
  <c r="E1102" i="434"/>
  <c r="A1101" i="434"/>
  <c r="B1101" i="434" s="1"/>
  <c r="C1098" i="434"/>
  <c r="D1099" i="434"/>
  <c r="FE124" i="431"/>
  <c r="FE125" i="431" s="1"/>
  <c r="FE103" i="431"/>
  <c r="EZ213" i="431"/>
  <c r="A1100" i="433" l="1"/>
  <c r="B1100" i="433" s="1"/>
  <c r="E1101" i="433"/>
  <c r="D1101" i="433"/>
  <c r="C1100" i="433"/>
  <c r="C1099" i="434"/>
  <c r="D1100" i="434"/>
  <c r="A1102" i="434"/>
  <c r="B1102" i="434" s="1"/>
  <c r="E1103" i="434"/>
  <c r="FE135" i="431"/>
  <c r="FE104" i="431"/>
  <c r="FE94" i="431"/>
  <c r="FE120" i="431"/>
  <c r="D1102" i="433" l="1"/>
  <c r="C1101" i="433"/>
  <c r="E1102" i="433"/>
  <c r="A1101" i="433"/>
  <c r="B1101" i="433" s="1"/>
  <c r="A1103" i="434"/>
  <c r="B1103" i="434" s="1"/>
  <c r="E1104" i="434"/>
  <c r="A1104" i="434" s="1"/>
  <c r="B1104" i="434" s="1"/>
  <c r="D1101" i="434"/>
  <c r="C1100" i="434"/>
  <c r="FE96" i="431"/>
  <c r="FE100" i="431"/>
  <c r="FE101" i="431" s="1"/>
  <c r="FE95" i="431"/>
  <c r="FE136" i="431"/>
  <c r="FE221" i="431"/>
  <c r="Q7" i="455" s="1"/>
  <c r="FE82" i="431"/>
  <c r="FE51" i="431"/>
  <c r="FE60" i="431"/>
  <c r="C1102" i="433" l="1"/>
  <c r="A1102" i="433"/>
  <c r="B1102" i="433" s="1"/>
  <c r="DL4" i="434"/>
  <c r="DM4" i="434"/>
  <c r="DO4" i="434"/>
  <c r="DN4" i="434"/>
  <c r="CI4" i="434"/>
  <c r="DJ4" i="434"/>
  <c r="CK4" i="434"/>
  <c r="BU4" i="434"/>
  <c r="DB4" i="434"/>
  <c r="AQ4" i="434"/>
  <c r="AW4" i="434"/>
  <c r="BB4" i="434"/>
  <c r="BV4" i="434"/>
  <c r="CF4" i="434"/>
  <c r="CP4" i="434"/>
  <c r="DI4" i="434"/>
  <c r="CO4" i="434"/>
  <c r="AT4" i="434"/>
  <c r="CU4" i="434"/>
  <c r="BZ4" i="434"/>
  <c r="CM4" i="434"/>
  <c r="AL4" i="434"/>
  <c r="CA4" i="434"/>
  <c r="BF4" i="434"/>
  <c r="DG4" i="434"/>
  <c r="CH4" i="434"/>
  <c r="CZ4" i="434"/>
  <c r="AU4" i="434"/>
  <c r="AK4" i="434"/>
  <c r="AV4" i="434"/>
  <c r="AO4" i="434"/>
  <c r="V4" i="434"/>
  <c r="AY4" i="434"/>
  <c r="CT4" i="434"/>
  <c r="X4" i="434"/>
  <c r="AH4" i="434"/>
  <c r="U4" i="434"/>
  <c r="AF4" i="434"/>
  <c r="CJ4" i="434"/>
  <c r="BO4" i="434"/>
  <c r="AR4" i="434"/>
  <c r="Q4" i="434"/>
  <c r="BL4" i="434"/>
  <c r="BK4" i="434"/>
  <c r="DE4" i="434"/>
  <c r="CR4" i="434"/>
  <c r="AC4" i="434"/>
  <c r="CW4" i="434"/>
  <c r="BJ4" i="434"/>
  <c r="AE4" i="434"/>
  <c r="CY4" i="434"/>
  <c r="DH4" i="434"/>
  <c r="CX4" i="434"/>
  <c r="CN4" i="434"/>
  <c r="BN4" i="434"/>
  <c r="AJ4" i="434"/>
  <c r="S4" i="434"/>
  <c r="R4" i="434"/>
  <c r="BX4" i="434"/>
  <c r="BG4" i="434"/>
  <c r="AB4" i="434"/>
  <c r="BI4" i="434"/>
  <c r="CS4" i="434"/>
  <c r="BA4" i="434"/>
  <c r="BE4" i="434"/>
  <c r="BP4" i="434"/>
  <c r="DD4" i="434"/>
  <c r="AZ4" i="434"/>
  <c r="AA4" i="434"/>
  <c r="AP4" i="434"/>
  <c r="CD4" i="434"/>
  <c r="BT4" i="434"/>
  <c r="AG4" i="434"/>
  <c r="BY4" i="434"/>
  <c r="Z4" i="434"/>
  <c r="BS4" i="434"/>
  <c r="CC4" i="434"/>
  <c r="W4" i="434"/>
  <c r="CE4" i="434"/>
  <c r="BQ4" i="434"/>
  <c r="AM4" i="434"/>
  <c r="DC4" i="434"/>
  <c r="BD4" i="434"/>
  <c r="D1102" i="434"/>
  <c r="C1101" i="434"/>
  <c r="Q20" i="455"/>
  <c r="S20" i="455" s="1"/>
  <c r="T20" i="455" s="1"/>
  <c r="U20" i="455" s="1"/>
  <c r="V20" i="455" s="1"/>
  <c r="W20" i="455" s="1"/>
  <c r="X20" i="455" s="1"/>
  <c r="Y20" i="455" s="1"/>
  <c r="Q8" i="455"/>
  <c r="R7" i="455"/>
  <c r="R14" i="455" s="1"/>
  <c r="FE356" i="431"/>
  <c r="FE222" i="431"/>
  <c r="FE294" i="431"/>
  <c r="FE323" i="431"/>
  <c r="FE321" i="431"/>
  <c r="FE319" i="431"/>
  <c r="Q15" i="455" l="1"/>
  <c r="Q21" i="455" s="1"/>
  <c r="R21" i="455" s="1"/>
  <c r="S21" i="455" s="1"/>
  <c r="T21" i="455" s="1"/>
  <c r="U21" i="455" s="1"/>
  <c r="V21" i="455" s="1"/>
  <c r="W21" i="455" s="1"/>
  <c r="X21" i="455" s="1"/>
  <c r="Y21" i="455" s="1"/>
  <c r="FE212" i="431"/>
  <c r="CI5" i="433"/>
  <c r="AR5" i="433"/>
  <c r="X5" i="433"/>
  <c r="AE5" i="433"/>
  <c r="BU5" i="433"/>
  <c r="AV5" i="433"/>
  <c r="AQ5" i="433"/>
  <c r="CS5" i="433"/>
  <c r="S5" i="433"/>
  <c r="DN5" i="433"/>
  <c r="BP5" i="433"/>
  <c r="W5" i="433"/>
  <c r="CH5" i="433"/>
  <c r="CN5" i="433"/>
  <c r="DK4" i="434"/>
  <c r="DP4" i="434"/>
  <c r="CB4" i="434"/>
  <c r="CG4" i="434"/>
  <c r="BH4" i="434"/>
  <c r="BW4" i="434"/>
  <c r="T4" i="434"/>
  <c r="AI4" i="434"/>
  <c r="CL4" i="434"/>
  <c r="AX4" i="434"/>
  <c r="DF4" i="434"/>
  <c r="AS4" i="434"/>
  <c r="AD4" i="434"/>
  <c r="BC4" i="434"/>
  <c r="AN4" i="434"/>
  <c r="D1103" i="434"/>
  <c r="C1102" i="434"/>
  <c r="BR4" i="434"/>
  <c r="BM4" i="434"/>
  <c r="CV4" i="434"/>
  <c r="DA4" i="434"/>
  <c r="Y4" i="434"/>
  <c r="CQ4" i="434"/>
  <c r="S7" i="455"/>
  <c r="S14" i="455" s="1"/>
  <c r="FE299" i="431"/>
  <c r="FE328" i="431"/>
  <c r="R11" i="455" l="1"/>
  <c r="CA5" i="433"/>
  <c r="AL5" i="433"/>
  <c r="CF5" i="433"/>
  <c r="BV5" i="433"/>
  <c r="R5" i="433"/>
  <c r="CK5" i="433"/>
  <c r="CM5" i="433"/>
  <c r="DI5" i="433"/>
  <c r="AK5" i="433"/>
  <c r="BO5" i="433"/>
  <c r="BA5" i="433"/>
  <c r="BZ5" i="433"/>
  <c r="DM10" i="433"/>
  <c r="BF4" i="433"/>
  <c r="BV4" i="433"/>
  <c r="BG9" i="433"/>
  <c r="BO10" i="433"/>
  <c r="CR9" i="433"/>
  <c r="AL9" i="433"/>
  <c r="BY10" i="433"/>
  <c r="DM4" i="433"/>
  <c r="BK9" i="433"/>
  <c r="BL4" i="433"/>
  <c r="BQ4" i="433"/>
  <c r="S10" i="433"/>
  <c r="CO10" i="433"/>
  <c r="CP10" i="433" s="1"/>
  <c r="AA4" i="433"/>
  <c r="R9" i="433"/>
  <c r="BB9" i="433"/>
  <c r="AL4" i="433"/>
  <c r="AU4" i="433"/>
  <c r="CX4" i="433"/>
  <c r="EM157" i="431" s="1"/>
  <c r="DH9" i="433"/>
  <c r="DJ4" i="433"/>
  <c r="Q4" i="433"/>
  <c r="DN10" i="433"/>
  <c r="DO10" i="433" s="1"/>
  <c r="BX4" i="433"/>
  <c r="AH9" i="433"/>
  <c r="BZ9" i="433"/>
  <c r="AV10" i="433"/>
  <c r="DI4" i="433"/>
  <c r="BN10" i="433"/>
  <c r="BS9" i="433"/>
  <c r="W9" i="433"/>
  <c r="BL9" i="433"/>
  <c r="R4" i="433"/>
  <c r="CW9" i="433"/>
  <c r="Z4" i="433"/>
  <c r="BE10" i="433"/>
  <c r="W10" i="433"/>
  <c r="R10" i="433"/>
  <c r="DB9" i="433"/>
  <c r="CP9" i="433"/>
  <c r="DL10" i="433"/>
  <c r="DB10" i="433"/>
  <c r="BT10" i="433"/>
  <c r="BD10" i="433"/>
  <c r="BU4" i="433"/>
  <c r="BO4" i="433"/>
  <c r="BP10" i="433"/>
  <c r="AE9" i="433"/>
  <c r="BA9" i="433"/>
  <c r="DE9" i="433"/>
  <c r="CN9" i="433"/>
  <c r="AC9" i="433"/>
  <c r="W4" i="433"/>
  <c r="W6" i="433" s="1"/>
  <c r="AM4" i="433"/>
  <c r="CS10" i="433"/>
  <c r="AC4" i="433"/>
  <c r="AK10" i="433"/>
  <c r="AQ9" i="433"/>
  <c r="DN9" i="433"/>
  <c r="AB4" i="433"/>
  <c r="BD4" i="433"/>
  <c r="BV10" i="433"/>
  <c r="S4" i="433"/>
  <c r="S6" i="433" s="1"/>
  <c r="AM9" i="433"/>
  <c r="AA9" i="433"/>
  <c r="AA10" i="433"/>
  <c r="BX9" i="433"/>
  <c r="BP9" i="433"/>
  <c r="DG9" i="433"/>
  <c r="CY9" i="433"/>
  <c r="AJ4" i="433"/>
  <c r="CE9" i="433"/>
  <c r="DE4" i="433"/>
  <c r="ET157" i="431" s="1"/>
  <c r="Q9" i="433"/>
  <c r="AR10" i="433"/>
  <c r="BQ9" i="433"/>
  <c r="CF9" i="433"/>
  <c r="BG4" i="433"/>
  <c r="BF10" i="433"/>
  <c r="Z10" i="433"/>
  <c r="DH10" i="433"/>
  <c r="CX10" i="433"/>
  <c r="BZ4" i="433"/>
  <c r="BZ10" i="433"/>
  <c r="BO9" i="433"/>
  <c r="AO4" i="433"/>
  <c r="CH4" i="433"/>
  <c r="AP10" i="433"/>
  <c r="BJ10" i="433"/>
  <c r="DL4" i="433"/>
  <c r="CM4" i="433"/>
  <c r="BA10" i="433"/>
  <c r="CZ4" i="433"/>
  <c r="EO157" i="431" s="1"/>
  <c r="AQ10" i="433"/>
  <c r="CP4" i="433"/>
  <c r="BY4" i="433"/>
  <c r="BK4" i="433"/>
  <c r="CA4" i="433"/>
  <c r="AZ9" i="433"/>
  <c r="AE4" i="433"/>
  <c r="AQ4" i="433"/>
  <c r="BS4" i="433"/>
  <c r="AJ9" i="433"/>
  <c r="BI9" i="433"/>
  <c r="DL9" i="433"/>
  <c r="CW4" i="433"/>
  <c r="AU9" i="433"/>
  <c r="CA10" i="433"/>
  <c r="CN4" i="433"/>
  <c r="BP4" i="433"/>
  <c r="DD10" i="433"/>
  <c r="DE10" i="433" s="1"/>
  <c r="DM9" i="433"/>
  <c r="DM11" i="433" s="1"/>
  <c r="CR10" i="433"/>
  <c r="S9" i="433"/>
  <c r="DI9" i="433"/>
  <c r="U4" i="433"/>
  <c r="AR9" i="433"/>
  <c r="DG4" i="433"/>
  <c r="U9" i="433"/>
  <c r="CS4" i="433"/>
  <c r="CA9" i="433"/>
  <c r="AT9" i="433"/>
  <c r="AG4" i="433"/>
  <c r="AH4" i="433"/>
  <c r="DC9" i="433"/>
  <c r="V4" i="433"/>
  <c r="DO9" i="433"/>
  <c r="DO11" i="433" s="1"/>
  <c r="CM10" i="433"/>
  <c r="BN9" i="433"/>
  <c r="AB10" i="433"/>
  <c r="BL10" i="433"/>
  <c r="CU4" i="433"/>
  <c r="AO9" i="433"/>
  <c r="CI9" i="433"/>
  <c r="BF9" i="433"/>
  <c r="BF11" i="433" s="1"/>
  <c r="CT10" i="433"/>
  <c r="CU10" i="433" s="1"/>
  <c r="CD9" i="433"/>
  <c r="AW9" i="433"/>
  <c r="AP4" i="433"/>
  <c r="V9" i="433"/>
  <c r="DB4" i="433"/>
  <c r="EQ157" i="431" s="1"/>
  <c r="DC4" i="433"/>
  <c r="ER157" i="431" s="1"/>
  <c r="AK9" i="433"/>
  <c r="DG10" i="433"/>
  <c r="DD9" i="433"/>
  <c r="X9" i="433"/>
  <c r="CC10" i="433"/>
  <c r="Q10" i="433"/>
  <c r="CX9" i="433"/>
  <c r="CI10" i="433"/>
  <c r="X4" i="433"/>
  <c r="X6" i="433" s="1"/>
  <c r="AC10" i="433"/>
  <c r="CH9" i="433"/>
  <c r="AY9" i="433"/>
  <c r="AP9" i="433"/>
  <c r="AL10" i="433"/>
  <c r="BG10" i="433"/>
  <c r="AW10" i="433"/>
  <c r="BS10" i="433"/>
  <c r="DC10" i="433"/>
  <c r="CK9" i="433"/>
  <c r="AV9" i="433"/>
  <c r="AT10" i="433"/>
  <c r="BB10" i="433"/>
  <c r="BK10" i="433"/>
  <c r="AZ4" i="433"/>
  <c r="CE10" i="433"/>
  <c r="CF10" i="433" s="1"/>
  <c r="AU10" i="433"/>
  <c r="AM10" i="433"/>
  <c r="AB9" i="433"/>
  <c r="AB11" i="433" s="1"/>
  <c r="X10" i="433"/>
  <c r="BX10" i="433"/>
  <c r="AH10" i="433"/>
  <c r="DI10" i="433"/>
  <c r="DJ10" i="433" s="1"/>
  <c r="BN4" i="433"/>
  <c r="AV4" i="433"/>
  <c r="CC9" i="433"/>
  <c r="BI10" i="433"/>
  <c r="CZ9" i="433"/>
  <c r="AE10" i="433"/>
  <c r="AY4" i="433"/>
  <c r="BD9" i="433"/>
  <c r="CE4" i="433"/>
  <c r="AJ10" i="433"/>
  <c r="CY10" i="433"/>
  <c r="CZ10" i="433" s="1"/>
  <c r="CN10" i="433"/>
  <c r="CM9" i="433"/>
  <c r="CD10" i="433"/>
  <c r="BT4" i="433"/>
  <c r="CR4" i="433"/>
  <c r="BE9" i="433"/>
  <c r="BY9" i="433"/>
  <c r="DN4" i="433"/>
  <c r="DN6" i="433" s="1"/>
  <c r="CH10" i="433"/>
  <c r="V10" i="433"/>
  <c r="CK4" i="433"/>
  <c r="AK4" i="433"/>
  <c r="CY4" i="433"/>
  <c r="EN157" i="431" s="1"/>
  <c r="AR4" i="433"/>
  <c r="BB4" i="433"/>
  <c r="AF9" i="433"/>
  <c r="CJ10" i="433"/>
  <c r="CK10" i="433" s="1"/>
  <c r="AW4" i="433"/>
  <c r="DO4" i="433"/>
  <c r="DJ9" i="433"/>
  <c r="DD4" i="433"/>
  <c r="ES157" i="431" s="1"/>
  <c r="BQ10" i="433"/>
  <c r="BU9" i="433"/>
  <c r="AT4" i="433"/>
  <c r="U10" i="433"/>
  <c r="DH4" i="433"/>
  <c r="CO9" i="433"/>
  <c r="AG10" i="433"/>
  <c r="CI4" i="433"/>
  <c r="BV9" i="433"/>
  <c r="AG9" i="433"/>
  <c r="CS9" i="433"/>
  <c r="BI4" i="433"/>
  <c r="BT9" i="433"/>
  <c r="BT11" i="433" s="1"/>
  <c r="CT4" i="433"/>
  <c r="CU9" i="433"/>
  <c r="CC4" i="433"/>
  <c r="AF10" i="433"/>
  <c r="AF4" i="433"/>
  <c r="AY10" i="433"/>
  <c r="CF4" i="433"/>
  <c r="CJ4" i="433"/>
  <c r="CD4" i="433"/>
  <c r="AZ10" i="433"/>
  <c r="Z9" i="433"/>
  <c r="BA4" i="433"/>
  <c r="CJ9" i="433"/>
  <c r="BJ9" i="433"/>
  <c r="BJ11" i="433" s="1"/>
  <c r="AO10" i="433"/>
  <c r="BE4" i="433"/>
  <c r="CT9" i="433"/>
  <c r="CO4" i="433"/>
  <c r="CW10" i="433"/>
  <c r="BJ4" i="433"/>
  <c r="BU10" i="433"/>
  <c r="BE5" i="433"/>
  <c r="CY5" i="433"/>
  <c r="CR5" i="433"/>
  <c r="CC5" i="433"/>
  <c r="DG5" i="433"/>
  <c r="BF5" i="433"/>
  <c r="DL5" i="433"/>
  <c r="CW5" i="433"/>
  <c r="BS5" i="433"/>
  <c r="DJ5" i="433"/>
  <c r="AT5" i="433"/>
  <c r="CT5" i="433"/>
  <c r="BK5" i="433"/>
  <c r="Q5" i="433"/>
  <c r="AZ5" i="433"/>
  <c r="AH5" i="433"/>
  <c r="AA5" i="433"/>
  <c r="V5" i="433"/>
  <c r="DH5" i="433"/>
  <c r="BL5" i="433"/>
  <c r="AF5" i="433"/>
  <c r="BI5" i="433"/>
  <c r="AM5" i="433"/>
  <c r="CZ5" i="433"/>
  <c r="DM5" i="433"/>
  <c r="CX5" i="433"/>
  <c r="AB5" i="433"/>
  <c r="AC5" i="433"/>
  <c r="BY5" i="433"/>
  <c r="DD5" i="433"/>
  <c r="AO5" i="433"/>
  <c r="AU5" i="433"/>
  <c r="CD5" i="433"/>
  <c r="CU5" i="433"/>
  <c r="BB5" i="433"/>
  <c r="AJ5" i="433"/>
  <c r="BT5" i="433"/>
  <c r="U5" i="433"/>
  <c r="AP5" i="433"/>
  <c r="DB5" i="433"/>
  <c r="BN5" i="433"/>
  <c r="BQ5" i="433"/>
  <c r="DC5" i="433"/>
  <c r="CP5" i="433"/>
  <c r="BJ5" i="433"/>
  <c r="DO5" i="433"/>
  <c r="BG5" i="433"/>
  <c r="P5" i="433"/>
  <c r="AY5" i="433"/>
  <c r="CE5" i="433"/>
  <c r="DE5" i="433"/>
  <c r="BD5" i="433"/>
  <c r="CJ5" i="433"/>
  <c r="AG5" i="433"/>
  <c r="BX5" i="433"/>
  <c r="CO5" i="433"/>
  <c r="Z5" i="433"/>
  <c r="AW5" i="433"/>
  <c r="R15" i="455"/>
  <c r="D1104" i="434"/>
  <c r="C1104" i="434" s="1"/>
  <c r="C1103" i="434"/>
  <c r="S11" i="455"/>
  <c r="T7" i="455"/>
  <c r="T14" i="455" s="1"/>
  <c r="FE213" i="431"/>
  <c r="EQ158" i="431" l="1"/>
  <c r="FM157" i="431"/>
  <c r="S11" i="433"/>
  <c r="EO158" i="431"/>
  <c r="EU157" i="431"/>
  <c r="EN158" i="431"/>
  <c r="S15" i="455"/>
  <c r="EM158" i="431"/>
  <c r="BV11" i="433"/>
  <c r="R6" i="433"/>
  <c r="CS11" i="433"/>
  <c r="DD11" i="433"/>
  <c r="DP10" i="433"/>
  <c r="T10" i="433"/>
  <c r="AP11" i="433"/>
  <c r="DN11" i="433"/>
  <c r="DJ11" i="433"/>
  <c r="CU11" i="433"/>
  <c r="CL5" i="433"/>
  <c r="CT11" i="433"/>
  <c r="T5" i="433"/>
  <c r="CA11" i="433"/>
  <c r="BE11" i="433"/>
  <c r="BO11" i="433"/>
  <c r="AD5" i="433"/>
  <c r="BC5" i="433"/>
  <c r="AA11" i="433"/>
  <c r="CJ11" i="433"/>
  <c r="CB5" i="433"/>
  <c r="AK11" i="433"/>
  <c r="BR5" i="433"/>
  <c r="Y5" i="433"/>
  <c r="CX11" i="433"/>
  <c r="AR11" i="433"/>
  <c r="AI5" i="433"/>
  <c r="AX5" i="433"/>
  <c r="CV5" i="433"/>
  <c r="AX10" i="433"/>
  <c r="CK11" i="433"/>
  <c r="BW10" i="433"/>
  <c r="CD11" i="433"/>
  <c r="DC11" i="433"/>
  <c r="DI11" i="433"/>
  <c r="CV10" i="433"/>
  <c r="AU11" i="433"/>
  <c r="CN11" i="433"/>
  <c r="BA11" i="433"/>
  <c r="DJ6" i="433"/>
  <c r="R11" i="433"/>
  <c r="AS5" i="433"/>
  <c r="BW5" i="433"/>
  <c r="DP5" i="433"/>
  <c r="DK5" i="433"/>
  <c r="BJ6" i="433"/>
  <c r="CY157" i="431"/>
  <c r="CY158" i="431" s="1"/>
  <c r="CO6" i="433"/>
  <c r="ED157" i="431"/>
  <c r="ED158" i="431" s="1"/>
  <c r="BE6" i="433"/>
  <c r="CT157" i="431"/>
  <c r="CT158" i="431" s="1"/>
  <c r="BA6" i="433"/>
  <c r="CP157" i="431"/>
  <c r="CP158" i="431" s="1"/>
  <c r="CJ6" i="433"/>
  <c r="DY157" i="431"/>
  <c r="DY158" i="431" s="1"/>
  <c r="BC10" i="433"/>
  <c r="DH6" i="433"/>
  <c r="AT6" i="433"/>
  <c r="CI157" i="431"/>
  <c r="CI158" i="431" s="1"/>
  <c r="AX4" i="433"/>
  <c r="AW6" i="433"/>
  <c r="CL157" i="431"/>
  <c r="CL158" i="431" s="1"/>
  <c r="AF11" i="433"/>
  <c r="CG157" i="431"/>
  <c r="CG158" i="431" s="1"/>
  <c r="AR6" i="433"/>
  <c r="BZ157" i="431"/>
  <c r="BZ158" i="431" s="1"/>
  <c r="AK6" i="433"/>
  <c r="DI157" i="431"/>
  <c r="DI158" i="431" s="1"/>
  <c r="BT6" i="433"/>
  <c r="CQ9" i="433"/>
  <c r="CM11" i="433"/>
  <c r="CE6" i="433"/>
  <c r="DT157" i="431"/>
  <c r="DT158" i="431" s="1"/>
  <c r="AY6" i="433"/>
  <c r="BC4" i="433"/>
  <c r="CN157" i="431"/>
  <c r="CN158" i="431" s="1"/>
  <c r="CZ11" i="433"/>
  <c r="CG9" i="433"/>
  <c r="CC11" i="433"/>
  <c r="BR4" i="433"/>
  <c r="BN6" i="433"/>
  <c r="DC157" i="431"/>
  <c r="DC158" i="431" s="1"/>
  <c r="CH11" i="433"/>
  <c r="CL9" i="433"/>
  <c r="CG10" i="433"/>
  <c r="DF4" i="433"/>
  <c r="DB6" i="433"/>
  <c r="AP6" i="433"/>
  <c r="CE157" i="431"/>
  <c r="CE158" i="431" s="1"/>
  <c r="AS9" i="433"/>
  <c r="AO11" i="433"/>
  <c r="BR9" i="433"/>
  <c r="BN11" i="433"/>
  <c r="AG6" i="433"/>
  <c r="BV157" i="431"/>
  <c r="BV158" i="431" s="1"/>
  <c r="Y9" i="433"/>
  <c r="U11" i="433"/>
  <c r="EC157" i="431"/>
  <c r="EC158" i="431" s="1"/>
  <c r="CN6" i="433"/>
  <c r="DL11" i="433"/>
  <c r="DP9" i="433"/>
  <c r="DP11" i="433" s="1"/>
  <c r="AN9" i="433"/>
  <c r="AJ11" i="433"/>
  <c r="CF157" i="431"/>
  <c r="CF158" i="431" s="1"/>
  <c r="AQ6" i="433"/>
  <c r="AZ11" i="433"/>
  <c r="CZ157" i="431"/>
  <c r="CZ158" i="431" s="1"/>
  <c r="BK6" i="433"/>
  <c r="CP6" i="433"/>
  <c r="EE157" i="431"/>
  <c r="EE158" i="431" s="1"/>
  <c r="CZ6" i="433"/>
  <c r="CM6" i="433"/>
  <c r="EB157" i="431"/>
  <c r="CQ4" i="433"/>
  <c r="DW157" i="431"/>
  <c r="CH6" i="433"/>
  <c r="CL4" i="433"/>
  <c r="DO157" i="431"/>
  <c r="DO158" i="431" s="1"/>
  <c r="BZ6" i="433"/>
  <c r="CF11" i="433"/>
  <c r="DE6" i="433"/>
  <c r="AN4" i="433"/>
  <c r="BY157" i="431"/>
  <c r="BY158" i="431" s="1"/>
  <c r="AJ6" i="433"/>
  <c r="DK9" i="433"/>
  <c r="DG11" i="433"/>
  <c r="CB9" i="433"/>
  <c r="BX11" i="433"/>
  <c r="BH4" i="433"/>
  <c r="CS157" i="431"/>
  <c r="CS158" i="431" s="1"/>
  <c r="BD6" i="433"/>
  <c r="DJ157" i="431"/>
  <c r="DJ158" i="431" s="1"/>
  <c r="BU6" i="433"/>
  <c r="DF9" i="433"/>
  <c r="DB11" i="433"/>
  <c r="BO157" i="431"/>
  <c r="BO158" i="431" s="1"/>
  <c r="Z6" i="433"/>
  <c r="AD4" i="433"/>
  <c r="W11" i="433"/>
  <c r="BR10" i="433"/>
  <c r="AH11" i="433"/>
  <c r="CX6" i="433"/>
  <c r="CA157" i="431"/>
  <c r="CA158" i="431" s="1"/>
  <c r="AL6" i="433"/>
  <c r="BQ6" i="433"/>
  <c r="DF157" i="431"/>
  <c r="DF158" i="431" s="1"/>
  <c r="BK11" i="433"/>
  <c r="CR11" i="433"/>
  <c r="CV9" i="433"/>
  <c r="BG11" i="433"/>
  <c r="CU157" i="431"/>
  <c r="CU158" i="431" s="1"/>
  <c r="BF6" i="433"/>
  <c r="BH5" i="433"/>
  <c r="DF5" i="433"/>
  <c r="AN5" i="433"/>
  <c r="BM5" i="433"/>
  <c r="DA5" i="433"/>
  <c r="CG5" i="433"/>
  <c r="DA10" i="433"/>
  <c r="AS10" i="433"/>
  <c r="AD9" i="433"/>
  <c r="Z11" i="433"/>
  <c r="CD6" i="433"/>
  <c r="DS157" i="431"/>
  <c r="DS158" i="431" s="1"/>
  <c r="CF6" i="433"/>
  <c r="DU157" i="431"/>
  <c r="DU158" i="431" s="1"/>
  <c r="AF6" i="433"/>
  <c r="BU157" i="431"/>
  <c r="BU158" i="431" s="1"/>
  <c r="DR157" i="431"/>
  <c r="CG4" i="433"/>
  <c r="CC6" i="433"/>
  <c r="EI157" i="431"/>
  <c r="CT6" i="433"/>
  <c r="BI6" i="433"/>
  <c r="BM4" i="433"/>
  <c r="CX157" i="431"/>
  <c r="CX158" i="431" s="1"/>
  <c r="AG11" i="433"/>
  <c r="DX157" i="431"/>
  <c r="DX158" i="431" s="1"/>
  <c r="CI6" i="433"/>
  <c r="CO11" i="433"/>
  <c r="Y10" i="433"/>
  <c r="BU11" i="433"/>
  <c r="DD6" i="433"/>
  <c r="DO6" i="433"/>
  <c r="BB6" i="433"/>
  <c r="CQ157" i="431"/>
  <c r="CQ158" i="431" s="1"/>
  <c r="CY6" i="433"/>
  <c r="DZ157" i="431"/>
  <c r="DZ158" i="431" s="1"/>
  <c r="CK6" i="433"/>
  <c r="CL10" i="433"/>
  <c r="BY11" i="433"/>
  <c r="EG157" i="431"/>
  <c r="CV4" i="433"/>
  <c r="CR6" i="433"/>
  <c r="AN10" i="433"/>
  <c r="BH9" i="433"/>
  <c r="BD11" i="433"/>
  <c r="AI10" i="433"/>
  <c r="BM10" i="433"/>
  <c r="CK157" i="431"/>
  <c r="CK158" i="431" s="1"/>
  <c r="AV6" i="433"/>
  <c r="CB10" i="433"/>
  <c r="AZ6" i="433"/>
  <c r="CO157" i="431"/>
  <c r="CO158" i="431" s="1"/>
  <c r="AV11" i="433"/>
  <c r="AY11" i="433"/>
  <c r="BC9" i="433"/>
  <c r="X11" i="433"/>
  <c r="DK10" i="433"/>
  <c r="DC6" i="433"/>
  <c r="V11" i="433"/>
  <c r="AW11" i="433"/>
  <c r="CI11" i="433"/>
  <c r="EJ157" i="431"/>
  <c r="EJ158" i="431" s="1"/>
  <c r="CU6" i="433"/>
  <c r="CQ10" i="433"/>
  <c r="V6" i="433"/>
  <c r="BW157" i="431"/>
  <c r="BW158" i="431" s="1"/>
  <c r="AH6" i="433"/>
  <c r="AX9" i="433"/>
  <c r="AT11" i="433"/>
  <c r="EH157" i="431"/>
  <c r="CS6" i="433"/>
  <c r="DG6" i="433"/>
  <c r="DK4" i="433"/>
  <c r="Y4" i="433"/>
  <c r="U6" i="433"/>
  <c r="BP6" i="433"/>
  <c r="DE157" i="431"/>
  <c r="DE158" i="431" s="1"/>
  <c r="EL157" i="431"/>
  <c r="DA4" i="433"/>
  <c r="CW6" i="433"/>
  <c r="BM9" i="433"/>
  <c r="BI11" i="433"/>
  <c r="BS6" i="433"/>
  <c r="DH157" i="431"/>
  <c r="DH158" i="431" s="1"/>
  <c r="BW4" i="433"/>
  <c r="AE6" i="433"/>
  <c r="BT157" i="431"/>
  <c r="BT158" i="431" s="1"/>
  <c r="AI4" i="433"/>
  <c r="DP157" i="431"/>
  <c r="DP158" i="431" s="1"/>
  <c r="CA6" i="433"/>
  <c r="BY6" i="433"/>
  <c r="DN157" i="431"/>
  <c r="DN158" i="431" s="1"/>
  <c r="DP4" i="433"/>
  <c r="DL6" i="433"/>
  <c r="AS4" i="433"/>
  <c r="AO6" i="433"/>
  <c r="CD157" i="431"/>
  <c r="CD158" i="431" s="1"/>
  <c r="AD10" i="433"/>
  <c r="BG6" i="433"/>
  <c r="CV157" i="431"/>
  <c r="CV158" i="431" s="1"/>
  <c r="BQ11" i="433"/>
  <c r="T9" i="433"/>
  <c r="Q11" i="433"/>
  <c r="CE11" i="433"/>
  <c r="CY11" i="433"/>
  <c r="BP11" i="433"/>
  <c r="AM11" i="433"/>
  <c r="BQ157" i="431"/>
  <c r="BQ158" i="431" s="1"/>
  <c r="AB6" i="433"/>
  <c r="AQ11" i="433"/>
  <c r="AC6" i="433"/>
  <c r="BR157" i="431"/>
  <c r="BR158" i="431" s="1"/>
  <c r="AM6" i="433"/>
  <c r="CB157" i="431"/>
  <c r="CB158" i="431" s="1"/>
  <c r="AC11" i="433"/>
  <c r="DE11" i="433"/>
  <c r="AE11" i="433"/>
  <c r="AI9" i="433"/>
  <c r="DD157" i="431"/>
  <c r="DD158" i="431" s="1"/>
  <c r="BO6" i="433"/>
  <c r="BH10" i="433"/>
  <c r="DF10" i="433"/>
  <c r="CP11" i="433"/>
  <c r="CW11" i="433"/>
  <c r="DA9" i="433"/>
  <c r="BL11" i="433"/>
  <c r="BS11" i="433"/>
  <c r="BW9" i="433"/>
  <c r="DI6" i="433"/>
  <c r="BZ11" i="433"/>
  <c r="DM157" i="431"/>
  <c r="DM158" i="431" s="1"/>
  <c r="BX6" i="433"/>
  <c r="CB4" i="433"/>
  <c r="Q6" i="433"/>
  <c r="T4" i="433"/>
  <c r="DH11" i="433"/>
  <c r="AU6" i="433"/>
  <c r="CJ157" i="431"/>
  <c r="CJ158" i="431" s="1"/>
  <c r="BB11" i="433"/>
  <c r="BP157" i="431"/>
  <c r="BP158" i="431" s="1"/>
  <c r="AA6" i="433"/>
  <c r="DA157" i="431"/>
  <c r="DA158" i="431" s="1"/>
  <c r="BL6" i="433"/>
  <c r="DM6" i="433"/>
  <c r="AL11" i="433"/>
  <c r="DK157" i="431"/>
  <c r="DK158" i="431" s="1"/>
  <c r="BV6" i="433"/>
  <c r="CQ5" i="433"/>
  <c r="DO5" i="434"/>
  <c r="DO13" i="434" s="1"/>
  <c r="DL5" i="434"/>
  <c r="DL13" i="434" s="1"/>
  <c r="DM5" i="434"/>
  <c r="DM13" i="434" s="1"/>
  <c r="DN5" i="434"/>
  <c r="DN13" i="434" s="1"/>
  <c r="BS5" i="434"/>
  <c r="BS14" i="434" s="1"/>
  <c r="BB5" i="434"/>
  <c r="BB14" i="434" s="1"/>
  <c r="DB5" i="434"/>
  <c r="DB14" i="434" s="1"/>
  <c r="DB658" i="434" s="1"/>
  <c r="CI5" i="434"/>
  <c r="CI14" i="434" s="1"/>
  <c r="AK5" i="434"/>
  <c r="AK6" i="434" s="1"/>
  <c r="CK5" i="434"/>
  <c r="CK14" i="434" s="1"/>
  <c r="DJ5" i="434"/>
  <c r="DJ13" i="434" s="1"/>
  <c r="CF5" i="434"/>
  <c r="CF14" i="434" s="1"/>
  <c r="AC5" i="434"/>
  <c r="AC6" i="434" s="1"/>
  <c r="BA5" i="434"/>
  <c r="BA14" i="434" s="1"/>
  <c r="CH5" i="434"/>
  <c r="CH14" i="434" s="1"/>
  <c r="AO5" i="434"/>
  <c r="BX5" i="434"/>
  <c r="BX14" i="434" s="1"/>
  <c r="BY5" i="434"/>
  <c r="BY14" i="434" s="1"/>
  <c r="AQ5" i="434"/>
  <c r="AQ6" i="434" s="1"/>
  <c r="AM5" i="434"/>
  <c r="AM6" i="434" s="1"/>
  <c r="CR5" i="434"/>
  <c r="CR14" i="434" s="1"/>
  <c r="AT5" i="434"/>
  <c r="AT14" i="434" s="1"/>
  <c r="BG5" i="434"/>
  <c r="BG14" i="434" s="1"/>
  <c r="X5" i="434"/>
  <c r="X6" i="434" s="1"/>
  <c r="CO5" i="434"/>
  <c r="CO14" i="434" s="1"/>
  <c r="U5" i="434"/>
  <c r="CY5" i="434"/>
  <c r="CY14" i="434" s="1"/>
  <c r="CA5" i="434"/>
  <c r="CA14" i="434" s="1"/>
  <c r="R5" i="434"/>
  <c r="R6" i="434" s="1"/>
  <c r="AL5" i="434"/>
  <c r="AL6" i="434" s="1"/>
  <c r="BD5" i="434"/>
  <c r="BD14" i="434" s="1"/>
  <c r="CP5" i="434"/>
  <c r="CP14" i="434" s="1"/>
  <c r="CN5" i="434"/>
  <c r="CN14" i="434" s="1"/>
  <c r="AR5" i="434"/>
  <c r="AR6" i="434" s="1"/>
  <c r="BI5" i="434"/>
  <c r="BI14" i="434" s="1"/>
  <c r="Q5" i="434"/>
  <c r="Q6" i="434" s="1"/>
  <c r="BV5" i="434"/>
  <c r="BV14" i="434" s="1"/>
  <c r="DD5" i="434"/>
  <c r="DD13" i="434" s="1"/>
  <c r="CX5" i="434"/>
  <c r="CX14" i="434" s="1"/>
  <c r="BP5" i="434"/>
  <c r="BP14" i="434" s="1"/>
  <c r="AW5" i="434"/>
  <c r="AW14" i="434" s="1"/>
  <c r="DC5" i="434"/>
  <c r="DC13" i="434" s="1"/>
  <c r="BK5" i="434"/>
  <c r="BK14" i="434" s="1"/>
  <c r="AV5" i="434"/>
  <c r="AV14" i="434" s="1"/>
  <c r="CT5" i="434"/>
  <c r="CT14" i="434" s="1"/>
  <c r="BT5" i="434"/>
  <c r="BT14" i="434" s="1"/>
  <c r="CZ5" i="434"/>
  <c r="CJ5" i="434"/>
  <c r="CJ14" i="434" s="1"/>
  <c r="AJ5" i="434"/>
  <c r="CE5" i="434"/>
  <c r="CE14" i="434" s="1"/>
  <c r="BZ5" i="434"/>
  <c r="BZ14" i="434" s="1"/>
  <c r="S5" i="434"/>
  <c r="S6" i="434" s="1"/>
  <c r="AZ5" i="434"/>
  <c r="AZ14" i="434" s="1"/>
  <c r="BE5" i="434"/>
  <c r="BE14" i="434" s="1"/>
  <c r="DI5" i="434"/>
  <c r="DI13" i="434" s="1"/>
  <c r="CM5" i="434"/>
  <c r="CM14" i="434" s="1"/>
  <c r="Z5" i="434"/>
  <c r="AG5" i="434"/>
  <c r="AG6" i="434" s="1"/>
  <c r="AP5" i="434"/>
  <c r="AP6" i="434" s="1"/>
  <c r="BJ5" i="434"/>
  <c r="BJ14" i="434" s="1"/>
  <c r="AE5" i="434"/>
  <c r="AB5" i="434"/>
  <c r="AB6" i="434" s="1"/>
  <c r="CW5" i="434"/>
  <c r="CW14" i="434" s="1"/>
  <c r="CC5" i="434"/>
  <c r="CC14" i="434" s="1"/>
  <c r="AY5" i="434"/>
  <c r="AY14" i="434" s="1"/>
  <c r="BU5" i="434"/>
  <c r="BU14" i="434" s="1"/>
  <c r="V5" i="434"/>
  <c r="V6" i="434" s="1"/>
  <c r="CS5" i="434"/>
  <c r="CS14" i="434" s="1"/>
  <c r="CD5" i="434"/>
  <c r="CD14" i="434" s="1"/>
  <c r="P5" i="434"/>
  <c r="CU5" i="434"/>
  <c r="CU14" i="434" s="1"/>
  <c r="BQ5" i="434"/>
  <c r="BQ14" i="434" s="1"/>
  <c r="DG5" i="434"/>
  <c r="DG13" i="434" s="1"/>
  <c r="AH5" i="434"/>
  <c r="AH6" i="434" s="1"/>
  <c r="AA5" i="434"/>
  <c r="AA6" i="434" s="1"/>
  <c r="AU5" i="434"/>
  <c r="AU14" i="434" s="1"/>
  <c r="AF5" i="434"/>
  <c r="AF6" i="434" s="1"/>
  <c r="DH5" i="434"/>
  <c r="DH13" i="434" s="1"/>
  <c r="W5" i="434"/>
  <c r="W6" i="434" s="1"/>
  <c r="DE5" i="434"/>
  <c r="DE13" i="434" s="1"/>
  <c r="BN5" i="434"/>
  <c r="BN14" i="434" s="1"/>
  <c r="BO5" i="434"/>
  <c r="BO14" i="434" s="1"/>
  <c r="BL5" i="434"/>
  <c r="BL14" i="434" s="1"/>
  <c r="BF5" i="434"/>
  <c r="BF14" i="434" s="1"/>
  <c r="T11" i="455"/>
  <c r="U7" i="455"/>
  <c r="U14" i="455" s="1"/>
  <c r="CZ14" i="434" l="1"/>
  <c r="CZ658" i="434" s="1"/>
  <c r="EP157" i="431"/>
  <c r="EP158" i="431" s="1"/>
  <c r="FN157" i="431"/>
  <c r="ER158" i="431"/>
  <c r="FM158" i="431"/>
  <c r="EQ122" i="431"/>
  <c r="EQ121" i="431" s="1"/>
  <c r="AI11" i="433"/>
  <c r="CY658" i="434"/>
  <c r="EO122" i="431"/>
  <c r="EO121" i="431" s="1"/>
  <c r="EN122" i="431"/>
  <c r="EN121" i="431" s="1"/>
  <c r="ET122" i="431"/>
  <c r="ET121" i="431" s="1"/>
  <c r="ER122" i="431"/>
  <c r="ER121" i="431" s="1"/>
  <c r="ES122" i="431"/>
  <c r="ES121" i="431" s="1"/>
  <c r="EI158" i="431"/>
  <c r="T15" i="455"/>
  <c r="EM122" i="431"/>
  <c r="EM121" i="431" s="1"/>
  <c r="CX658" i="434"/>
  <c r="EH158" i="431"/>
  <c r="T11" i="433"/>
  <c r="AX11" i="433"/>
  <c r="CV11" i="433"/>
  <c r="CL6" i="433"/>
  <c r="T5" i="434"/>
  <c r="T6" i="434" s="1"/>
  <c r="CV6" i="433"/>
  <c r="T6" i="433"/>
  <c r="Y6" i="433"/>
  <c r="BM11" i="433"/>
  <c r="CG6" i="433"/>
  <c r="BW11" i="433"/>
  <c r="BC11" i="433"/>
  <c r="BH11" i="433"/>
  <c r="BX157" i="431"/>
  <c r="BX158" i="431" s="1"/>
  <c r="AI6" i="433"/>
  <c r="EL158" i="431"/>
  <c r="FN158" i="431" s="1"/>
  <c r="EG158" i="431"/>
  <c r="EK157" i="431"/>
  <c r="EK158" i="431" s="1"/>
  <c r="DB157" i="431"/>
  <c r="DB158" i="431" s="1"/>
  <c r="BM6" i="433"/>
  <c r="DV157" i="431"/>
  <c r="DV158" i="431" s="1"/>
  <c r="DR158" i="431"/>
  <c r="AD11" i="433"/>
  <c r="AD6" i="433"/>
  <c r="BS157" i="431"/>
  <c r="BS158" i="431" s="1"/>
  <c r="DF11" i="433"/>
  <c r="CC157" i="431"/>
  <c r="CC158" i="431" s="1"/>
  <c r="AN6" i="433"/>
  <c r="CQ6" i="433"/>
  <c r="CR157" i="431"/>
  <c r="CR158" i="431" s="1"/>
  <c r="BC6" i="433"/>
  <c r="DQ157" i="431"/>
  <c r="DQ158" i="431" s="1"/>
  <c r="CB6" i="433"/>
  <c r="DA11" i="433"/>
  <c r="CH157" i="431"/>
  <c r="CH158" i="431" s="1"/>
  <c r="AS6" i="433"/>
  <c r="FE157" i="431"/>
  <c r="DP6" i="433"/>
  <c r="BW6" i="433"/>
  <c r="DL157" i="431"/>
  <c r="DL158" i="431" s="1"/>
  <c r="DA6" i="433"/>
  <c r="EZ157" i="431"/>
  <c r="DK6" i="433"/>
  <c r="CW157" i="431"/>
  <c r="CW158" i="431" s="1"/>
  <c r="BH6" i="433"/>
  <c r="CB11" i="433"/>
  <c r="DK11" i="433"/>
  <c r="EA157" i="431"/>
  <c r="EA158" i="431" s="1"/>
  <c r="DW158" i="431"/>
  <c r="EB158" i="431"/>
  <c r="EF157" i="431"/>
  <c r="EF158" i="431" s="1"/>
  <c r="AN11" i="433"/>
  <c r="Y11" i="433"/>
  <c r="BR11" i="433"/>
  <c r="AS11" i="433"/>
  <c r="DF6" i="433"/>
  <c r="CL11" i="433"/>
  <c r="DG157" i="431"/>
  <c r="DG158" i="431" s="1"/>
  <c r="BR6" i="433"/>
  <c r="CG11" i="433"/>
  <c r="CQ11" i="433"/>
  <c r="CM157" i="431"/>
  <c r="CM158" i="431" s="1"/>
  <c r="AX6" i="433"/>
  <c r="AY658" i="434"/>
  <c r="CN122" i="431"/>
  <c r="BC5" i="434"/>
  <c r="BC14" i="434" s="1"/>
  <c r="AY6" i="434"/>
  <c r="CN658" i="434"/>
  <c r="EC122" i="431"/>
  <c r="EC121" i="431" s="1"/>
  <c r="CN6" i="434"/>
  <c r="CN8" i="434" s="1"/>
  <c r="CN10" i="434" s="1"/>
  <c r="DO6" i="434"/>
  <c r="CM658" i="434"/>
  <c r="EB122" i="431"/>
  <c r="EB121" i="431" s="1"/>
  <c r="CM6" i="434"/>
  <c r="CM8" i="434" s="1"/>
  <c r="CM10" i="434" s="1"/>
  <c r="CQ5" i="434"/>
  <c r="CQ14" i="434" s="1"/>
  <c r="CU658" i="434"/>
  <c r="EJ122" i="431"/>
  <c r="EJ121" i="431" s="1"/>
  <c r="CU6" i="434"/>
  <c r="CU8" i="434" s="1"/>
  <c r="CU10" i="434" s="1"/>
  <c r="BL658" i="434"/>
  <c r="DA122" i="431"/>
  <c r="BL6" i="434"/>
  <c r="BO658" i="434"/>
  <c r="DD122" i="431"/>
  <c r="DD121" i="431" s="1"/>
  <c r="BO6" i="434"/>
  <c r="BU658" i="434"/>
  <c r="BU6" i="434"/>
  <c r="BU8" i="434" s="1"/>
  <c r="BU10" i="434" s="1"/>
  <c r="DJ122" i="431"/>
  <c r="DJ121" i="431" s="1"/>
  <c r="CE658" i="434"/>
  <c r="DT122" i="431"/>
  <c r="DT121" i="431" s="1"/>
  <c r="CE6" i="434"/>
  <c r="CE8" i="434" s="1"/>
  <c r="CE10" i="434" s="1"/>
  <c r="DC6" i="434"/>
  <c r="Y5" i="434"/>
  <c r="Y6" i="434" s="1"/>
  <c r="U6" i="434"/>
  <c r="BY658" i="434"/>
  <c r="DN122" i="431"/>
  <c r="DN121" i="431" s="1"/>
  <c r="BY6" i="434"/>
  <c r="BY8" i="434" s="1"/>
  <c r="BY10" i="434" s="1"/>
  <c r="CK658" i="434"/>
  <c r="DZ122" i="431"/>
  <c r="DZ121" i="431" s="1"/>
  <c r="CK6" i="434"/>
  <c r="CK8" i="434" s="1"/>
  <c r="CK10" i="434" s="1"/>
  <c r="DP5" i="434"/>
  <c r="DP13" i="434" s="1"/>
  <c r="DL6" i="434"/>
  <c r="BN658" i="434"/>
  <c r="DC122" i="431"/>
  <c r="DC121" i="431" s="1"/>
  <c r="BR5" i="434"/>
  <c r="BR14" i="434" s="1"/>
  <c r="BN6" i="434"/>
  <c r="AW658" i="434"/>
  <c r="CL122" i="431"/>
  <c r="AW6" i="434"/>
  <c r="CC658" i="434"/>
  <c r="CG5" i="434"/>
  <c r="CG14" i="434" s="1"/>
  <c r="DR122" i="431"/>
  <c r="DR121" i="431" s="1"/>
  <c r="CC6" i="434"/>
  <c r="CC8" i="434" s="1"/>
  <c r="CC10" i="434" s="1"/>
  <c r="CX6" i="434"/>
  <c r="CX8" i="434" s="1"/>
  <c r="CX10" i="434" s="1"/>
  <c r="DH6" i="434"/>
  <c r="BT658" i="434"/>
  <c r="DI122" i="431"/>
  <c r="DI121" i="431" s="1"/>
  <c r="BT6" i="434"/>
  <c r="BT8" i="434" s="1"/>
  <c r="BT10" i="434" s="1"/>
  <c r="DD6" i="434"/>
  <c r="AT658" i="434"/>
  <c r="AX5" i="434"/>
  <c r="AX14" i="434" s="1"/>
  <c r="CI122" i="431"/>
  <c r="AT6" i="434"/>
  <c r="BA658" i="434"/>
  <c r="CP122" i="431"/>
  <c r="BA6" i="434"/>
  <c r="BB658" i="434"/>
  <c r="CQ122" i="431"/>
  <c r="BB6" i="434"/>
  <c r="AN5" i="434"/>
  <c r="AN6" i="434" s="1"/>
  <c r="AJ6" i="434"/>
  <c r="BX658" i="434"/>
  <c r="DM122" i="431"/>
  <c r="DM121" i="431" s="1"/>
  <c r="CB5" i="434"/>
  <c r="CB14" i="434" s="1"/>
  <c r="BX6" i="434"/>
  <c r="BX8" i="434" s="1"/>
  <c r="BX10" i="434" s="1"/>
  <c r="BQ658" i="434"/>
  <c r="DF122" i="431"/>
  <c r="DF121" i="431" s="1"/>
  <c r="BQ6" i="434"/>
  <c r="BP658" i="434"/>
  <c r="DE122" i="431"/>
  <c r="DE121" i="431" s="1"/>
  <c r="BP6" i="434"/>
  <c r="CI658" i="434"/>
  <c r="DX122" i="431"/>
  <c r="DX121" i="431" s="1"/>
  <c r="CI6" i="434"/>
  <c r="CI8" i="434" s="1"/>
  <c r="CI10" i="434" s="1"/>
  <c r="DI6" i="434"/>
  <c r="BD658" i="434"/>
  <c r="CS122" i="431"/>
  <c r="BH5" i="434"/>
  <c r="BH14" i="434" s="1"/>
  <c r="BD6" i="434"/>
  <c r="CH658" i="434"/>
  <c r="CL5" i="434"/>
  <c r="CL14" i="434" s="1"/>
  <c r="DW122" i="431"/>
  <c r="DW121" i="431" s="1"/>
  <c r="CH6" i="434"/>
  <c r="CH8" i="434" s="1"/>
  <c r="CH10" i="434" s="1"/>
  <c r="BE658" i="434"/>
  <c r="CT122" i="431"/>
  <c r="BE6" i="434"/>
  <c r="CD658" i="434"/>
  <c r="CD6" i="434"/>
  <c r="CD8" i="434" s="1"/>
  <c r="CD10" i="434" s="1"/>
  <c r="DS122" i="431"/>
  <c r="DS121" i="431" s="1"/>
  <c r="AI5" i="434"/>
  <c r="AI6" i="434" s="1"/>
  <c r="AE6" i="434"/>
  <c r="AZ658" i="434"/>
  <c r="CO122" i="431"/>
  <c r="AZ6" i="434"/>
  <c r="CT658" i="434"/>
  <c r="EI122" i="431"/>
  <c r="EI121" i="431" s="1"/>
  <c r="CT6" i="434"/>
  <c r="CT8" i="434" s="1"/>
  <c r="CT10" i="434" s="1"/>
  <c r="BV658" i="434"/>
  <c r="DK122" i="431"/>
  <c r="DK121" i="431" s="1"/>
  <c r="BV6" i="434"/>
  <c r="BV8" i="434" s="1"/>
  <c r="BV10" i="434" s="1"/>
  <c r="CR658" i="434"/>
  <c r="EG122" i="431"/>
  <c r="EG121" i="431" s="1"/>
  <c r="CV5" i="434"/>
  <c r="CV14" i="434" s="1"/>
  <c r="CR6" i="434"/>
  <c r="CR8" i="434" s="1"/>
  <c r="CR10" i="434" s="1"/>
  <c r="BS658" i="434"/>
  <c r="BS6" i="434"/>
  <c r="BS8" i="434" s="1"/>
  <c r="BS10" i="434" s="1"/>
  <c r="BW5" i="434"/>
  <c r="BW14" i="434" s="1"/>
  <c r="DH122" i="431"/>
  <c r="DH121" i="431" s="1"/>
  <c r="AD5" i="434"/>
  <c r="AD6" i="434" s="1"/>
  <c r="Z6" i="434"/>
  <c r="CO658" i="434"/>
  <c r="CO6" i="434"/>
  <c r="CO8" i="434" s="1"/>
  <c r="CO10" i="434" s="1"/>
  <c r="ED122" i="431"/>
  <c r="ED121" i="431" s="1"/>
  <c r="DE6" i="434"/>
  <c r="CJ658" i="434"/>
  <c r="CJ6" i="434"/>
  <c r="CJ8" i="434" s="1"/>
  <c r="CJ10" i="434" s="1"/>
  <c r="DY122" i="431"/>
  <c r="DY121" i="431" s="1"/>
  <c r="AS5" i="434"/>
  <c r="AS6" i="434" s="1"/>
  <c r="AO6" i="434"/>
  <c r="CZ6" i="434"/>
  <c r="CZ8" i="434" s="1"/>
  <c r="CZ10" i="434" s="1"/>
  <c r="BG658" i="434"/>
  <c r="CV122" i="431"/>
  <c r="BG6" i="434"/>
  <c r="DF5" i="434"/>
  <c r="DF13" i="434" s="1"/>
  <c r="DB6" i="434"/>
  <c r="DB8" i="434" s="1"/>
  <c r="DB10" i="434" s="1"/>
  <c r="BF658" i="434"/>
  <c r="CU122" i="431"/>
  <c r="BF6" i="434"/>
  <c r="AU658" i="434"/>
  <c r="CJ122" i="431"/>
  <c r="AU6" i="434"/>
  <c r="CS658" i="434"/>
  <c r="EH122" i="431"/>
  <c r="EH121" i="431" s="1"/>
  <c r="CS6" i="434"/>
  <c r="CS8" i="434" s="1"/>
  <c r="CS10" i="434" s="1"/>
  <c r="BJ658" i="434"/>
  <c r="CY122" i="431"/>
  <c r="BJ6" i="434"/>
  <c r="AV658" i="434"/>
  <c r="CK122" i="431"/>
  <c r="AV6" i="434"/>
  <c r="CA658" i="434"/>
  <c r="CA6" i="434"/>
  <c r="CA8" i="434" s="1"/>
  <c r="CA10" i="434" s="1"/>
  <c r="DP122" i="431"/>
  <c r="DP121" i="431" s="1"/>
  <c r="CF658" i="434"/>
  <c r="DU122" i="431"/>
  <c r="DU121" i="431" s="1"/>
  <c r="CF6" i="434"/>
  <c r="CF8" i="434" s="1"/>
  <c r="CF10" i="434" s="1"/>
  <c r="DN6" i="434"/>
  <c r="DG6" i="434"/>
  <c r="DK5" i="434"/>
  <c r="DK13" i="434" s="1"/>
  <c r="CP658" i="434"/>
  <c r="EE122" i="431"/>
  <c r="EE121" i="431" s="1"/>
  <c r="CP6" i="434"/>
  <c r="CP8" i="434" s="1"/>
  <c r="CP10" i="434" s="1"/>
  <c r="CW658" i="434"/>
  <c r="DA5" i="434"/>
  <c r="CW6" i="434"/>
  <c r="CW8" i="434" s="1"/>
  <c r="CW10" i="434" s="1"/>
  <c r="EL122" i="431"/>
  <c r="EL121" i="431" s="1"/>
  <c r="BZ658" i="434"/>
  <c r="BZ6" i="434"/>
  <c r="BZ8" i="434" s="1"/>
  <c r="BZ10" i="434" s="1"/>
  <c r="DO122" i="431"/>
  <c r="DO121" i="431" s="1"/>
  <c r="BK658" i="434"/>
  <c r="CZ122" i="431"/>
  <c r="BK6" i="434"/>
  <c r="BI658" i="434"/>
  <c r="BM5" i="434"/>
  <c r="BM14" i="434" s="1"/>
  <c r="CX122" i="431"/>
  <c r="BI6" i="434"/>
  <c r="CY6" i="434"/>
  <c r="CY8" i="434" s="1"/>
  <c r="CY10" i="434" s="1"/>
  <c r="DJ6" i="434"/>
  <c r="DM6" i="434"/>
  <c r="U11" i="455"/>
  <c r="V7" i="455"/>
  <c r="V14" i="455" s="1"/>
  <c r="U15" i="455"/>
  <c r="DA14" i="434" l="1"/>
  <c r="DA658" i="434" s="1"/>
  <c r="FM122" i="431"/>
  <c r="ES158" i="431"/>
  <c r="ER159" i="431"/>
  <c r="FN121" i="431"/>
  <c r="FN122" i="431"/>
  <c r="EU122" i="431"/>
  <c r="EP122" i="431"/>
  <c r="EP121" i="431" s="1"/>
  <c r="EB119" i="431"/>
  <c r="EE119" i="431"/>
  <c r="ET119" i="431"/>
  <c r="ES119" i="431"/>
  <c r="ED119" i="431"/>
  <c r="EJ119" i="431"/>
  <c r="EC119" i="431"/>
  <c r="ER119" i="431"/>
  <c r="FP157" i="431"/>
  <c r="FQ157" i="431"/>
  <c r="BM658" i="434"/>
  <c r="DB122" i="431"/>
  <c r="BM6" i="434"/>
  <c r="CB658" i="434"/>
  <c r="CB6" i="434"/>
  <c r="DQ122" i="431"/>
  <c r="BW658" i="434"/>
  <c r="BW6" i="434"/>
  <c r="DL122" i="431"/>
  <c r="BH658" i="434"/>
  <c r="CW122" i="431"/>
  <c r="BH6" i="434"/>
  <c r="BR658" i="434"/>
  <c r="DG122" i="431"/>
  <c r="BR6" i="434"/>
  <c r="BC658" i="434"/>
  <c r="CR122" i="431"/>
  <c r="BC6" i="434"/>
  <c r="FE122" i="431"/>
  <c r="FE121" i="431" s="1"/>
  <c r="DP6" i="434"/>
  <c r="CL658" i="434"/>
  <c r="CL6" i="434"/>
  <c r="CL8" i="434" s="1"/>
  <c r="CL10" i="434" s="1"/>
  <c r="EA122" i="431"/>
  <c r="EA121" i="431" s="1"/>
  <c r="EZ122" i="431"/>
  <c r="EZ121" i="431" s="1"/>
  <c r="DK6" i="434"/>
  <c r="DA6" i="434"/>
  <c r="DA8" i="434" s="1"/>
  <c r="DA10" i="434" s="1"/>
  <c r="AX658" i="434"/>
  <c r="CM122" i="431"/>
  <c r="AX6" i="434"/>
  <c r="CQ658" i="434"/>
  <c r="CQ6" i="434"/>
  <c r="CQ8" i="434" s="1"/>
  <c r="CQ10" i="434" s="1"/>
  <c r="EF122" i="431"/>
  <c r="EF121" i="431" s="1"/>
  <c r="DF6" i="434"/>
  <c r="CV658" i="434"/>
  <c r="EK122" i="431"/>
  <c r="EK121" i="431" s="1"/>
  <c r="CV6" i="434"/>
  <c r="CV8" i="434" s="1"/>
  <c r="CV10" i="434" s="1"/>
  <c r="CG658" i="434"/>
  <c r="CG6" i="434"/>
  <c r="CG8" i="434" s="1"/>
  <c r="CG10" i="434" s="1"/>
  <c r="DV122" i="431"/>
  <c r="DV121" i="431" s="1"/>
  <c r="V15" i="455"/>
  <c r="W7" i="455"/>
  <c r="W14" i="455" s="1"/>
  <c r="V11" i="455"/>
  <c r="EU121" i="431" l="1"/>
  <c r="EU119" i="431" s="1"/>
  <c r="ER156" i="431"/>
  <c r="ER165" i="431" s="1"/>
  <c r="ER153" i="431" s="1"/>
  <c r="ET158" i="431"/>
  <c r="ET159" i="431" s="1"/>
  <c r="ET156" i="431" s="1"/>
  <c r="ET165" i="431" s="1"/>
  <c r="ET153" i="431" s="1"/>
  <c r="ES159" i="431"/>
  <c r="ES156" i="431" s="1"/>
  <c r="ES165" i="431" s="1"/>
  <c r="ES153" i="431" s="1"/>
  <c r="EQ119" i="431"/>
  <c r="FM121" i="431"/>
  <c r="EP119" i="431"/>
  <c r="EO119" i="431"/>
  <c r="FE119" i="431"/>
  <c r="EZ119" i="431"/>
  <c r="EK119" i="431"/>
  <c r="EF119" i="431"/>
  <c r="EN119" i="431"/>
  <c r="EI119" i="431"/>
  <c r="EM119" i="431"/>
  <c r="EH119" i="431"/>
  <c r="FP158" i="431"/>
  <c r="FQ158" i="431"/>
  <c r="FP122" i="431"/>
  <c r="FQ122" i="431"/>
  <c r="EG119" i="431"/>
  <c r="EL119" i="431"/>
  <c r="W11" i="455"/>
  <c r="X7" i="455"/>
  <c r="X14" i="455" s="1"/>
  <c r="W15" i="455"/>
  <c r="EU159" i="431" l="1"/>
  <c r="EU158" i="431" s="1"/>
  <c r="ES154" i="431"/>
  <c r="ES214" i="431"/>
  <c r="ES155" i="431" s="1"/>
  <c r="ES116" i="431"/>
  <c r="ET214" i="431"/>
  <c r="ET155" i="431" s="1"/>
  <c r="ER116" i="431"/>
  <c r="ER154" i="431"/>
  <c r="ER214" i="431"/>
  <c r="ER155" i="431" s="1"/>
  <c r="EU153" i="431"/>
  <c r="Y7" i="455"/>
  <c r="Y14" i="455" s="1"/>
  <c r="FP121" i="431"/>
  <c r="FQ121" i="431"/>
  <c r="X11" i="455"/>
  <c r="X15" i="455"/>
  <c r="EU156" i="431" l="1"/>
  <c r="EU165" i="431" s="1"/>
  <c r="EU166" i="431" s="1"/>
  <c r="EZ166" i="431" s="1"/>
  <c r="FE166" i="431" s="1"/>
  <c r="ET183" i="431"/>
  <c r="ET140" i="431"/>
  <c r="ET218" i="431"/>
  <c r="ET216" i="431"/>
  <c r="ET176" i="431"/>
  <c r="ET195" i="431"/>
  <c r="ET169" i="431"/>
  <c r="ET210" i="431"/>
  <c r="ET223" i="431"/>
  <c r="ET202" i="431"/>
  <c r="ES223" i="431"/>
  <c r="ES195" i="431"/>
  <c r="ES216" i="431"/>
  <c r="ES217" i="431" s="1"/>
  <c r="ES215" i="431"/>
  <c r="ES210" i="431"/>
  <c r="ES140" i="431"/>
  <c r="ES202" i="431"/>
  <c r="ES218" i="431"/>
  <c r="ES219" i="431" s="1"/>
  <c r="ES169" i="431"/>
  <c r="ES176" i="431"/>
  <c r="ES183" i="431"/>
  <c r="EU214" i="431"/>
  <c r="EU155" i="431" s="1"/>
  <c r="ER210" i="431"/>
  <c r="ER202" i="431"/>
  <c r="ER223" i="431"/>
  <c r="ER169" i="431"/>
  <c r="ER215" i="431"/>
  <c r="ER216" i="431"/>
  <c r="ER217" i="431" s="1"/>
  <c r="ER140" i="431"/>
  <c r="ER195" i="431"/>
  <c r="ER183" i="431"/>
  <c r="ER176" i="431"/>
  <c r="ER218" i="431"/>
  <c r="ER219" i="431" s="1"/>
  <c r="Y15" i="455"/>
  <c r="Y11" i="455"/>
  <c r="ET154" i="431"/>
  <c r="ET116" i="431"/>
  <c r="ET215" i="431"/>
  <c r="EU176" i="431" l="1"/>
  <c r="EU195" i="431"/>
  <c r="EU223" i="431"/>
  <c r="EU225" i="431" s="1"/>
  <c r="EU218" i="431"/>
  <c r="EU216" i="431"/>
  <c r="EU169" i="431"/>
  <c r="EU183" i="431"/>
  <c r="EU202" i="431"/>
  <c r="EU140" i="431"/>
  <c r="EU210" i="431"/>
  <c r="ER224" i="431"/>
  <c r="ER234" i="431"/>
  <c r="ER225" i="431"/>
  <c r="ES225" i="431"/>
  <c r="ES224" i="431"/>
  <c r="ES234" i="431"/>
  <c r="ET225" i="431"/>
  <c r="ET234" i="431"/>
  <c r="EU154" i="431"/>
  <c r="EU116" i="431"/>
  <c r="ET224" i="431"/>
  <c r="EU215" i="431"/>
  <c r="ET227" i="431" l="1"/>
  <c r="ES227" i="431"/>
  <c r="ES226" i="431"/>
  <c r="ER226" i="431"/>
  <c r="ER227" i="431"/>
  <c r="ER229" i="431"/>
  <c r="ER228" i="431"/>
  <c r="ER235" i="431"/>
  <c r="ER247" i="431"/>
  <c r="ER236" i="431"/>
  <c r="ER237" i="431" s="1"/>
  <c r="ER232" i="431"/>
  <c r="EU234" i="431"/>
  <c r="EU236" i="431" s="1"/>
  <c r="ET247" i="431"/>
  <c r="ET249" i="431" s="1"/>
  <c r="ET250" i="431" s="1"/>
  <c r="ET236" i="431"/>
  <c r="ES236" i="431"/>
  <c r="ES237" i="431" s="1"/>
  <c r="ES247" i="431"/>
  <c r="ES249" i="431" s="1"/>
  <c r="ES250" i="431" s="1"/>
  <c r="ES232" i="431"/>
  <c r="ES228" i="431"/>
  <c r="ES229" i="431"/>
  <c r="ES235" i="431"/>
  <c r="ET229" i="431"/>
  <c r="ET217" i="431"/>
  <c r="ET219" i="431"/>
  <c r="EU224" i="431"/>
  <c r="EU219" i="431"/>
  <c r="EU217" i="431"/>
  <c r="EZ158" i="431"/>
  <c r="EU229" i="431" l="1"/>
  <c r="EU233" i="431" s="1"/>
  <c r="ET233" i="431"/>
  <c r="ET231" i="431"/>
  <c r="ET266" i="431"/>
  <c r="ET253" i="431"/>
  <c r="ER233" i="431"/>
  <c r="ER230" i="431"/>
  <c r="ER231" i="431"/>
  <c r="ES233" i="431"/>
  <c r="ES230" i="431"/>
  <c r="ES231" i="431"/>
  <c r="ER249" i="431"/>
  <c r="EU247" i="431"/>
  <c r="ES251" i="431"/>
  <c r="ES253" i="431"/>
  <c r="ES266" i="431"/>
  <c r="ET226" i="431"/>
  <c r="ET235" i="431"/>
  <c r="ET232" i="431"/>
  <c r="ET228" i="431"/>
  <c r="ET251" i="431"/>
  <c r="FE158" i="431"/>
  <c r="FE159" i="431" s="1"/>
  <c r="FE156" i="431" s="1"/>
  <c r="FE165" i="431" s="1"/>
  <c r="FE153" i="431" s="1"/>
  <c r="EZ159" i="431"/>
  <c r="EZ156" i="431" s="1"/>
  <c r="EZ165" i="431" s="1"/>
  <c r="EZ153" i="431" s="1"/>
  <c r="EU226" i="431"/>
  <c r="ES268" i="431" l="1"/>
  <c r="ES269" i="431" s="1"/>
  <c r="ES254" i="431"/>
  <c r="ES273" i="431"/>
  <c r="ET273" i="431"/>
  <c r="ET268" i="431"/>
  <c r="ET255" i="431"/>
  <c r="ER250" i="431"/>
  <c r="EU249" i="431"/>
  <c r="EU248" i="431" s="1"/>
  <c r="FE248" i="431" s="1"/>
  <c r="EU232" i="431"/>
  <c r="EU235" i="431"/>
  <c r="EU228" i="431"/>
  <c r="ET237" i="431"/>
  <c r="ET230" i="431"/>
  <c r="N14" i="455"/>
  <c r="EZ154" i="431"/>
  <c r="EZ116" i="431"/>
  <c r="EZ214" i="431"/>
  <c r="EP370" i="431"/>
  <c r="EU230" i="431"/>
  <c r="N10" i="455"/>
  <c r="EU237" i="431"/>
  <c r="EP357" i="431"/>
  <c r="FE154" i="431"/>
  <c r="FE116" i="431"/>
  <c r="FE214" i="431"/>
  <c r="EU250" i="431" l="1"/>
  <c r="ER251" i="431"/>
  <c r="ER253" i="431"/>
  <c r="ER266" i="431"/>
  <c r="ET254" i="431"/>
  <c r="EP360" i="431"/>
  <c r="FE155" i="431"/>
  <c r="FE216" i="431"/>
  <c r="FE223" i="431"/>
  <c r="FE176" i="431"/>
  <c r="FE210" i="431"/>
  <c r="FE183" i="431"/>
  <c r="FE169" i="431"/>
  <c r="FE140" i="431"/>
  <c r="FE215" i="431"/>
  <c r="FE202" i="431"/>
  <c r="FE218" i="431"/>
  <c r="FE195" i="431"/>
  <c r="N19" i="455"/>
  <c r="N13" i="455"/>
  <c r="N12" i="455"/>
  <c r="EU333" i="431"/>
  <c r="EU335" i="431"/>
  <c r="EP371" i="431"/>
  <c r="EP358" i="431"/>
  <c r="EZ155" i="431"/>
  <c r="EZ176" i="431"/>
  <c r="EZ202" i="431"/>
  <c r="EZ169" i="431"/>
  <c r="EZ140" i="431"/>
  <c r="EZ223" i="431"/>
  <c r="EZ210" i="431"/>
  <c r="EZ218" i="431"/>
  <c r="EZ219" i="431" s="1"/>
  <c r="EZ216" i="431"/>
  <c r="EZ217" i="431" s="1"/>
  <c r="EZ195" i="431"/>
  <c r="EZ183" i="431"/>
  <c r="EZ215" i="431"/>
  <c r="ER268" i="431" l="1"/>
  <c r="ER269" i="431" s="1"/>
  <c r="ER254" i="431"/>
  <c r="ER273" i="431"/>
  <c r="ES255" i="431"/>
  <c r="EU253" i="431"/>
  <c r="EU266" i="431"/>
  <c r="ET269" i="431"/>
  <c r="EU251" i="431"/>
  <c r="N16" i="455"/>
  <c r="N18" i="455" s="1"/>
  <c r="EU337" i="431"/>
  <c r="EZ224" i="431"/>
  <c r="EZ234" i="431"/>
  <c r="EZ333" i="431"/>
  <c r="EZ335" i="431"/>
  <c r="EZ225" i="431"/>
  <c r="EZ226" i="431" s="1"/>
  <c r="FE219" i="431"/>
  <c r="FE333" i="431"/>
  <c r="FE225" i="431"/>
  <c r="FE224" i="431"/>
  <c r="FE335" i="431"/>
  <c r="FE234" i="431"/>
  <c r="EU370" i="431"/>
  <c r="O10" i="455"/>
  <c r="EU357" i="431"/>
  <c r="FE217" i="431"/>
  <c r="FH253" i="431" l="1"/>
  <c r="FH254" i="431"/>
  <c r="EU268" i="431"/>
  <c r="EU273" i="431"/>
  <c r="EZ273" i="431" s="1"/>
  <c r="FE273" i="431" s="1"/>
  <c r="EP372" i="431"/>
  <c r="EP359" i="431"/>
  <c r="EP363" i="431" s="1"/>
  <c r="N17" i="455"/>
  <c r="FE226" i="431"/>
  <c r="EZ337" i="431"/>
  <c r="O13" i="455"/>
  <c r="O12" i="455"/>
  <c r="O19" i="455"/>
  <c r="EU360" i="431"/>
  <c r="Q10" i="455"/>
  <c r="FE229" i="431"/>
  <c r="FE232" i="431"/>
  <c r="FE236" i="431"/>
  <c r="FE247" i="431"/>
  <c r="FE370" i="431"/>
  <c r="FE235" i="431"/>
  <c r="FE357" i="431"/>
  <c r="FE228" i="431"/>
  <c r="EZ357" i="431"/>
  <c r="EZ247" i="431"/>
  <c r="EZ228" i="431"/>
  <c r="EZ236" i="431"/>
  <c r="EZ232" i="431"/>
  <c r="EZ229" i="431"/>
  <c r="EZ235" i="431"/>
  <c r="P10" i="455"/>
  <c r="EZ370" i="431"/>
  <c r="EU288" i="431"/>
  <c r="EU339" i="431" s="1"/>
  <c r="EU358" i="431"/>
  <c r="EU371" i="431"/>
  <c r="FE337" i="431"/>
  <c r="EU254" i="431" l="1"/>
  <c r="EU269" i="431"/>
  <c r="EU341" i="431"/>
  <c r="P19" i="455"/>
  <c r="P12" i="455"/>
  <c r="P13" i="455"/>
  <c r="EZ230" i="431"/>
  <c r="EZ233" i="431"/>
  <c r="EZ360" i="431"/>
  <c r="EZ237" i="431"/>
  <c r="EZ249" i="431"/>
  <c r="EZ288" i="431" s="1"/>
  <c r="EZ339" i="431" s="1"/>
  <c r="EZ371" i="431"/>
  <c r="EZ358" i="431"/>
  <c r="FE358" i="431"/>
  <c r="FE249" i="431"/>
  <c r="FE288" i="431" s="1"/>
  <c r="FE371" i="431"/>
  <c r="Q19" i="455"/>
  <c r="R19" i="455" s="1"/>
  <c r="S19" i="455" s="1"/>
  <c r="T19" i="455" s="1"/>
  <c r="Q12" i="455"/>
  <c r="Q13" i="455"/>
  <c r="EP353" i="431"/>
  <c r="EP354" i="431" s="1"/>
  <c r="EP368" i="431" s="1"/>
  <c r="FE237" i="431"/>
  <c r="FE360" i="431"/>
  <c r="FE230" i="431"/>
  <c r="FE233" i="431"/>
  <c r="U19" i="455" l="1"/>
  <c r="V19" i="455" s="1"/>
  <c r="W19" i="455" s="1"/>
  <c r="X19" i="455" s="1"/>
  <c r="Y19" i="455" s="1"/>
  <c r="FE250" i="431"/>
  <c r="FE372" i="431" s="1"/>
  <c r="EZ341" i="431"/>
  <c r="FE339" i="431"/>
  <c r="FE341" i="431" s="1"/>
  <c r="EU372" i="431"/>
  <c r="EU359" i="431"/>
  <c r="EU363" i="431" s="1"/>
  <c r="EU284" i="431"/>
  <c r="EZ250" i="431"/>
  <c r="R10" i="455" l="1"/>
  <c r="R12" i="455" s="1"/>
  <c r="EP351" i="431"/>
  <c r="EP365" i="431" s="1"/>
  <c r="FE359" i="431"/>
  <c r="FE363" i="431" s="1"/>
  <c r="FE253" i="431"/>
  <c r="FJ254" i="431" s="1"/>
  <c r="FE266" i="431"/>
  <c r="FE284" i="431" s="1"/>
  <c r="EZ266" i="431"/>
  <c r="EZ284" i="431" s="1"/>
  <c r="EZ251" i="431"/>
  <c r="EZ372" i="431"/>
  <c r="EZ359" i="431"/>
  <c r="EZ363" i="431" s="1"/>
  <c r="EZ253" i="431"/>
  <c r="FE251" i="431"/>
  <c r="S10" i="455"/>
  <c r="FI253" i="431" l="1"/>
  <c r="FI254" i="431"/>
  <c r="FE271" i="431"/>
  <c r="FE301" i="431" s="1"/>
  <c r="FJ253" i="431"/>
  <c r="FV240" i="431"/>
  <c r="AA19" i="455"/>
  <c r="Y10" i="455"/>
  <c r="R13" i="455"/>
  <c r="R16" i="455" s="1"/>
  <c r="EP362" i="431"/>
  <c r="EP364" i="431" s="1"/>
  <c r="EP367" i="431" s="1"/>
  <c r="EP348" i="431"/>
  <c r="FE268" i="431"/>
  <c r="FE254" i="431"/>
  <c r="S13" i="455"/>
  <c r="S12" i="455"/>
  <c r="T10" i="455"/>
  <c r="EU301" i="431"/>
  <c r="EZ268" i="431"/>
  <c r="EZ269" i="431" s="1"/>
  <c r="EZ254" i="431"/>
  <c r="EZ271" i="431"/>
  <c r="Y13" i="455" l="1"/>
  <c r="Y12" i="455"/>
  <c r="FE269" i="431"/>
  <c r="S16" i="455"/>
  <c r="S18" i="455" s="1"/>
  <c r="EZ272" i="431"/>
  <c r="EZ301" i="431"/>
  <c r="U10" i="455"/>
  <c r="FE272" i="431"/>
  <c r="EU383" i="431"/>
  <c r="EU344" i="431"/>
  <c r="R26" i="455"/>
  <c r="R17" i="455"/>
  <c r="T13" i="455"/>
  <c r="T12" i="455"/>
  <c r="FE383" i="431"/>
  <c r="Y16" i="455" l="1"/>
  <c r="Y17" i="455" s="1"/>
  <c r="S26" i="455"/>
  <c r="S17" i="455"/>
  <c r="T16" i="455"/>
  <c r="T18" i="455" s="1"/>
  <c r="U13" i="455"/>
  <c r="U12" i="455"/>
  <c r="EZ383" i="431"/>
  <c r="EZ344" i="431"/>
  <c r="V10" i="455"/>
  <c r="E31" i="455" l="1"/>
  <c r="Y26" i="455"/>
  <c r="E38" i="455"/>
  <c r="T26" i="455"/>
  <c r="T17" i="455"/>
  <c r="W10" i="455"/>
  <c r="V12" i="455"/>
  <c r="V13" i="455"/>
  <c r="FE344" i="431"/>
  <c r="U16" i="455"/>
  <c r="U18" i="455" l="1"/>
  <c r="U26" i="455"/>
  <c r="U17" i="455"/>
  <c r="X10" i="455"/>
  <c r="V16" i="455"/>
  <c r="W13" i="455"/>
  <c r="W12" i="455"/>
  <c r="W16" i="455" l="1"/>
  <c r="W18" i="455" s="1"/>
  <c r="X12" i="455"/>
  <c r="X13" i="455"/>
  <c r="V26" i="455"/>
  <c r="V18" i="455"/>
  <c r="V17" i="455"/>
  <c r="W17" i="455" l="1"/>
  <c r="W26" i="455"/>
  <c r="X16" i="455"/>
  <c r="Y18" i="455" s="1"/>
  <c r="X18" i="455" l="1"/>
  <c r="X26" i="455"/>
  <c r="X17" i="455"/>
  <c r="ES278" i="431" l="1"/>
  <c r="FP278" i="431" s="1"/>
  <c r="ET278" i="431" l="1"/>
  <c r="EU278" i="431" s="1"/>
  <c r="ER302" i="431" l="1"/>
  <c r="ES275" i="431"/>
  <c r="ES302" i="431" l="1"/>
  <c r="FP275" i="431"/>
  <c r="FP276" i="431"/>
  <c r="ET275" i="431"/>
  <c r="ES277" i="431"/>
  <c r="FP277" i="431" s="1"/>
  <c r="ES276" i="431"/>
  <c r="ET302" i="431" l="1"/>
  <c r="EU302" i="431" s="1"/>
  <c r="EU275" i="431"/>
  <c r="EU277" i="431" s="1"/>
  <c r="EU276" i="431" s="1"/>
  <c r="ET276" i="431"/>
  <c r="ET277" i="431"/>
  <c r="EZ278" i="431" l="1"/>
  <c r="FE278" i="431" s="1"/>
  <c r="EZ275" i="431"/>
  <c r="EU304" i="431" l="1"/>
  <c r="EU309" i="431" s="1"/>
  <c r="EU345" i="431"/>
  <c r="EZ276" i="431"/>
  <c r="EZ277" i="431"/>
  <c r="FE275" i="431"/>
  <c r="EZ302" i="431"/>
  <c r="EZ304" i="431" s="1"/>
  <c r="EZ309" i="431" s="1"/>
  <c r="EU346" i="431" l="1"/>
  <c r="EZ345" i="431"/>
  <c r="FE277" i="431"/>
  <c r="FE302" i="431"/>
  <c r="FE304" i="431" s="1"/>
  <c r="FE309" i="431" s="1"/>
  <c r="FE276" i="431"/>
  <c r="EU347" i="431" l="1"/>
  <c r="EU353" i="431"/>
  <c r="EU354" i="431" s="1"/>
  <c r="EZ346" i="431"/>
  <c r="FE345" i="431"/>
  <c r="FE346" i="431" s="1"/>
  <c r="EZ347" i="431" l="1"/>
  <c r="EZ353" i="431"/>
  <c r="EZ354" i="431" s="1"/>
  <c r="EZ368" i="431" s="1"/>
  <c r="FE347" i="431"/>
  <c r="FE353" i="431"/>
  <c r="FE354" i="431" s="1"/>
  <c r="FH352" i="431"/>
  <c r="EU368" i="431"/>
  <c r="FE368" i="431" l="1"/>
  <c r="EP311" i="431"/>
  <c r="EP313" i="431" s="1"/>
  <c r="EU312" i="431" l="1"/>
  <c r="EP317" i="431"/>
  <c r="EP318" i="431" l="1"/>
  <c r="EP355" i="431"/>
  <c r="EP366" i="431" s="1"/>
  <c r="EP325" i="431"/>
  <c r="EP326" i="431" l="1"/>
  <c r="EU326" i="431" s="1"/>
  <c r="EU325" i="431" l="1"/>
  <c r="EZ326" i="431"/>
  <c r="EU291" i="431" l="1"/>
  <c r="FE326" i="431"/>
  <c r="FE325" i="431" s="1"/>
  <c r="EZ325" i="431"/>
  <c r="EU292" i="431" l="1"/>
  <c r="O14" i="455"/>
  <c r="O16" i="455" s="1"/>
  <c r="FE291" i="431"/>
  <c r="EZ291" i="431"/>
  <c r="FE292" i="431" l="1"/>
  <c r="Q14" i="455"/>
  <c r="Q16" i="455" s="1"/>
  <c r="O17" i="455"/>
  <c r="O18" i="455"/>
  <c r="P14" i="455"/>
  <c r="P16" i="455" s="1"/>
  <c r="EZ292" i="431"/>
  <c r="EU296" i="431"/>
  <c r="EU311" i="431"/>
  <c r="EU313" i="431" s="1"/>
  <c r="EZ312" i="431" l="1"/>
  <c r="EU317" i="431"/>
  <c r="E34" i="455" s="1"/>
  <c r="FE296" i="431"/>
  <c r="FE311" i="431"/>
  <c r="EZ296" i="431"/>
  <c r="EZ311" i="431"/>
  <c r="P26" i="455"/>
  <c r="P17" i="455"/>
  <c r="P18" i="455"/>
  <c r="Q26" i="455"/>
  <c r="Q18" i="455"/>
  <c r="R18" i="455"/>
  <c r="Q17" i="455"/>
  <c r="E30" i="455" l="1"/>
  <c r="E32" i="455" s="1"/>
  <c r="E35" i="455" s="1"/>
  <c r="E37" i="455" s="1"/>
  <c r="EZ313" i="431"/>
  <c r="FE312" i="431" s="1"/>
  <c r="FE313" i="431" s="1"/>
  <c r="FE317" i="431" s="1"/>
  <c r="EU355" i="431"/>
  <c r="EU366" i="431" s="1"/>
  <c r="EU318" i="431"/>
  <c r="EU327" i="431"/>
  <c r="EU330" i="431" s="1"/>
  <c r="N33" i="455" l="1"/>
  <c r="N39" i="455" s="1"/>
  <c r="M32" i="455"/>
  <c r="M38" i="455" s="1"/>
  <c r="EZ317" i="431"/>
  <c r="EZ355" i="431" s="1"/>
  <c r="EZ366" i="431" s="1"/>
  <c r="K32" i="455"/>
  <c r="K38" i="455" s="1"/>
  <c r="K34" i="455"/>
  <c r="K40" i="455" s="1"/>
  <c r="L33" i="455"/>
  <c r="L39" i="455" s="1"/>
  <c r="FE355" i="431"/>
  <c r="FE366" i="431" s="1"/>
  <c r="FE318" i="431"/>
  <c r="FE327" i="431"/>
  <c r="FE330" i="431" s="1"/>
  <c r="K33" i="455"/>
  <c r="K39" i="455" s="1"/>
  <c r="O32" i="455"/>
  <c r="O38" i="455" s="1"/>
  <c r="FV242" i="431"/>
  <c r="N32" i="455"/>
  <c r="N38" i="455" s="1"/>
  <c r="L34" i="455"/>
  <c r="L40" i="455" s="1"/>
  <c r="L32" i="455"/>
  <c r="L38" i="455" s="1"/>
  <c r="M33" i="455"/>
  <c r="M39" i="455" s="1"/>
  <c r="M34" i="455"/>
  <c r="M40" i="455" s="1"/>
  <c r="EU348" i="431"/>
  <c r="EU351" i="431"/>
  <c r="O34" i="455"/>
  <c r="O40" i="455" s="1"/>
  <c r="O33" i="455"/>
  <c r="O39" i="455" s="1"/>
  <c r="N34" i="455"/>
  <c r="N40" i="455" s="1"/>
  <c r="EZ327" i="431" l="1"/>
  <c r="EZ330" i="431" s="1"/>
  <c r="EZ348" i="431" s="1"/>
  <c r="EZ318" i="431"/>
  <c r="FE348" i="431"/>
  <c r="FE351" i="431"/>
  <c r="EU365" i="431"/>
  <c r="EU362" i="431"/>
  <c r="EU364" i="431" s="1"/>
  <c r="J31" i="455"/>
  <c r="EZ351" i="431" l="1"/>
  <c r="FE362" i="431" s="1"/>
  <c r="FE364" i="431" s="1"/>
  <c r="FE365" i="431"/>
  <c r="J37" i="455"/>
  <c r="EU367" i="431"/>
  <c r="FE367" i="431" l="1"/>
  <c r="EZ365" i="431"/>
  <c r="EZ362" i="431"/>
  <c r="EZ364" i="431" s="1"/>
  <c r="FV241" i="431"/>
  <c r="FV244" i="431"/>
  <c r="EZ367" i="431" l="1"/>
  <c r="EQ253" i="431" l="1"/>
  <c r="ER255" i="431" l="1"/>
  <c r="FM253" i="431"/>
  <c r="EQ273" i="431"/>
  <c r="FM273" i="431" s="1"/>
  <c r="EQ268" i="431"/>
  <c r="EQ255" i="431"/>
  <c r="EQ254" i="431"/>
  <c r="FM254" i="431" s="1"/>
  <c r="FQ254" i="431" l="1"/>
  <c r="FP254" i="431"/>
  <c r="FQ273" i="431"/>
  <c r="FP273" i="431"/>
  <c r="EQ269" i="431"/>
  <c r="FM269" i="431" s="1"/>
  <c r="FM268" i="431"/>
  <c r="FH255" i="431"/>
  <c r="FM255" i="431"/>
  <c r="FP253" i="431"/>
  <c r="FQ253" i="431"/>
  <c r="FQ255" i="431" l="1"/>
  <c r="FP255" i="431"/>
  <c r="FQ268" i="431"/>
  <c r="FP268" i="431"/>
</calcChain>
</file>

<file path=xl/comments1.xml><?xml version="1.0" encoding="utf-8"?>
<comments xmlns="http://schemas.openxmlformats.org/spreadsheetml/2006/main">
  <authors>
    <author>Vecchio, Alexander (Research)</author>
    <author>Huang, Diane (Research)</author>
    <author>A satisfied Microsoft Office user</author>
    <author>diahuang</author>
    <author>godjohn</author>
    <author>elizthys</author>
    <author>vecchale</author>
    <author>Huang, Tracy (Research)</author>
  </authors>
  <commentList>
    <comment ref="EB9" authorId="0">
      <text>
        <r>
          <rPr>
            <b/>
            <sz val="9"/>
            <color indexed="81"/>
            <rFont val="Tahoma"/>
            <family val="2"/>
          </rPr>
          <t>Vecchio, Alexander (Research):</t>
        </r>
        <r>
          <rPr>
            <sz val="9"/>
            <color indexed="81"/>
            <rFont val="Tahoma"/>
            <family val="2"/>
          </rPr>
          <t xml:space="preserve">
abt 70k carloads from TCS in 1Q15 (~8%); 551k dom ex TCS (~60%); 312k intl (~32%)</t>
        </r>
      </text>
    </comment>
    <comment ref="EU19" authorId="1">
      <text>
        <r>
          <rPr>
            <b/>
            <sz val="9"/>
            <color indexed="81"/>
            <rFont val="Tahoma"/>
            <family val="2"/>
          </rPr>
          <t>Huang, Diane (Research):</t>
        </r>
        <r>
          <rPr>
            <sz val="9"/>
            <color indexed="81"/>
            <rFont val="Tahoma"/>
            <family val="2"/>
          </rPr>
          <t xml:space="preserve">
1Q18: Expect coal vols flat y/y for rest of yr</t>
        </r>
      </text>
    </comment>
    <comment ref="EG22" authorId="1">
      <text>
        <r>
          <rPr>
            <b/>
            <sz val="9"/>
            <color indexed="81"/>
            <rFont val="Tahoma"/>
            <family val="2"/>
          </rPr>
          <t>Huang, Diane (Research):</t>
        </r>
        <r>
          <rPr>
            <sz val="9"/>
            <color indexed="81"/>
            <rFont val="Tahoma"/>
            <family val="2"/>
          </rPr>
          <t xml:space="preserve">
ex. TCS, intermodal +6% yoy</t>
        </r>
      </text>
    </comment>
    <comment ref="EJ22" authorId="1">
      <text>
        <r>
          <rPr>
            <b/>
            <sz val="9"/>
            <color indexed="81"/>
            <rFont val="Tahoma"/>
            <family val="2"/>
          </rPr>
          <t>Huang, Diane (Research):</t>
        </r>
        <r>
          <rPr>
            <sz val="9"/>
            <color indexed="81"/>
            <rFont val="Tahoma"/>
            <family val="2"/>
          </rPr>
          <t xml:space="preserve">
lap TCS restructuring in mid 4Q</t>
        </r>
      </text>
    </comment>
    <comment ref="ED38" authorId="1">
      <text>
        <r>
          <rPr>
            <b/>
            <sz val="9"/>
            <color indexed="81"/>
            <rFont val="Tahoma"/>
            <family val="2"/>
          </rPr>
          <t>Huang, Diane (Research):</t>
        </r>
        <r>
          <rPr>
            <sz val="9"/>
            <color indexed="81"/>
            <rFont val="Tahoma"/>
            <family val="2"/>
          </rPr>
          <t xml:space="preserve">
y = 1.0931x + 0.0103
R² = 0.9249
2008-present</t>
        </r>
      </text>
    </comment>
    <comment ref="ED40" authorId="1">
      <text>
        <r>
          <rPr>
            <b/>
            <sz val="9"/>
            <color indexed="81"/>
            <rFont val="Tahoma"/>
            <family val="2"/>
          </rPr>
          <t>Huang, Diane (Research):</t>
        </r>
        <r>
          <rPr>
            <sz val="9"/>
            <color indexed="81"/>
            <rFont val="Tahoma"/>
            <family val="2"/>
          </rPr>
          <t xml:space="preserve">
y = 0.6908x + 0.0036
R² = 0.6177
2010-present (excluding 2Q10)</t>
        </r>
      </text>
    </comment>
    <comment ref="ED42" authorId="1">
      <text>
        <r>
          <rPr>
            <b/>
            <sz val="9"/>
            <color indexed="81"/>
            <rFont val="Tahoma"/>
            <family val="2"/>
          </rPr>
          <t>Huang, Diane (Research):</t>
        </r>
        <r>
          <rPr>
            <sz val="9"/>
            <color indexed="81"/>
            <rFont val="Tahoma"/>
            <family val="2"/>
          </rPr>
          <t xml:space="preserve">
y = 0.8427x + 0.0221
R² = 0.7629
2008-present</t>
        </r>
      </text>
    </comment>
    <comment ref="A49" authorId="2">
      <text>
        <r>
          <rPr>
            <sz val="8"/>
            <color indexed="81"/>
            <rFont val="Tahoma"/>
            <family val="2"/>
          </rPr>
          <t>Coal is 60%-65% of CSF -- 
per MacDiarmid 6/16/97</t>
        </r>
      </text>
    </comment>
    <comment ref="A58" authorId="2">
      <text>
        <r>
          <rPr>
            <sz val="8"/>
            <color indexed="81"/>
            <rFont val="Tahoma"/>
            <family val="2"/>
          </rPr>
          <t>Coal is 60%-65% of CSF -- 
per MacDiarmid 6/16/97</t>
        </r>
      </text>
    </comment>
    <comment ref="DU58" authorId="3">
      <text>
        <r>
          <rPr>
            <b/>
            <sz val="8"/>
            <color indexed="81"/>
            <rFont val="Tahoma"/>
            <family val="2"/>
          </rPr>
          <t>diahuang:</t>
        </r>
        <r>
          <rPr>
            <sz val="8"/>
            <color indexed="81"/>
            <rFont val="Tahoma"/>
            <family val="2"/>
          </rPr>
          <t xml:space="preserve">
$15m liqiduated damages in 4Q13;
$626 without liquidated damages</t>
        </r>
      </text>
    </comment>
    <comment ref="CS112" authorId="4">
      <text>
        <r>
          <rPr>
            <b/>
            <sz val="8"/>
            <color indexed="81"/>
            <rFont val="Tahoma"/>
            <family val="2"/>
          </rPr>
          <t>godjohn:</t>
        </r>
        <r>
          <rPr>
            <sz val="8"/>
            <color indexed="81"/>
            <rFont val="Tahoma"/>
            <family val="2"/>
          </rPr>
          <t xml:space="preserve">
7% per mgmt</t>
        </r>
      </text>
    </comment>
    <comment ref="CT112" authorId="4">
      <text>
        <r>
          <rPr>
            <b/>
            <sz val="8"/>
            <color indexed="81"/>
            <rFont val="Tahoma"/>
            <family val="2"/>
          </rPr>
          <t>godjohn:</t>
        </r>
        <r>
          <rPr>
            <sz val="8"/>
            <color indexed="81"/>
            <rFont val="Tahoma"/>
            <family val="2"/>
          </rPr>
          <t xml:space="preserve">
9% per mgmt</t>
        </r>
      </text>
    </comment>
    <comment ref="CU112" authorId="4">
      <text>
        <r>
          <rPr>
            <b/>
            <sz val="8"/>
            <color indexed="81"/>
            <rFont val="Tahoma"/>
            <family val="2"/>
          </rPr>
          <t>godjohn:</t>
        </r>
        <r>
          <rPr>
            <sz val="8"/>
            <color indexed="81"/>
            <rFont val="Tahoma"/>
            <family val="2"/>
          </rPr>
          <t xml:space="preserve">
9.5% price</t>
        </r>
      </text>
    </comment>
    <comment ref="CV112" authorId="4">
      <text>
        <r>
          <rPr>
            <b/>
            <sz val="8"/>
            <color indexed="81"/>
            <rFont val="Tahoma"/>
            <family val="2"/>
          </rPr>
          <t>godjohn:</t>
        </r>
        <r>
          <rPr>
            <sz val="8"/>
            <color indexed="81"/>
            <rFont val="Tahoma"/>
            <family val="2"/>
          </rPr>
          <t xml:space="preserve">
7% price 2% RCAF</t>
        </r>
      </text>
    </comment>
    <comment ref="CX112" authorId="4">
      <text>
        <r>
          <rPr>
            <b/>
            <sz val="8"/>
            <color indexed="81"/>
            <rFont val="Tahoma"/>
            <family val="2"/>
          </rPr>
          <t>godjohn:</t>
        </r>
        <r>
          <rPr>
            <sz val="8"/>
            <color indexed="81"/>
            <rFont val="Tahoma"/>
            <family val="2"/>
          </rPr>
          <t xml:space="preserve">
8.5% ex mix</t>
        </r>
      </text>
    </comment>
    <comment ref="CY112" authorId="4">
      <text>
        <r>
          <rPr>
            <b/>
            <sz val="8"/>
            <color indexed="81"/>
            <rFont val="Tahoma"/>
            <family val="2"/>
          </rPr>
          <t>godjohn:</t>
        </r>
        <r>
          <rPr>
            <sz val="8"/>
            <color indexed="81"/>
            <rFont val="Tahoma"/>
            <family val="2"/>
          </rPr>
          <t xml:space="preserve">
8.3% excl RCAF</t>
        </r>
      </text>
    </comment>
    <comment ref="CZ112" authorId="4">
      <text>
        <r>
          <rPr>
            <b/>
            <sz val="8"/>
            <color indexed="81"/>
            <rFont val="Tahoma"/>
            <family val="2"/>
          </rPr>
          <t>godjohn:</t>
        </r>
        <r>
          <rPr>
            <sz val="8"/>
            <color indexed="81"/>
            <rFont val="Tahoma"/>
            <family val="2"/>
          </rPr>
          <t xml:space="preserve">
includes 0.9% of negative RCAF so would be 7.1%</t>
        </r>
      </text>
    </comment>
    <comment ref="DA112" authorId="4">
      <text>
        <r>
          <rPr>
            <b/>
            <sz val="8"/>
            <color indexed="81"/>
            <rFont val="Tahoma"/>
            <family val="2"/>
          </rPr>
          <t>godjohn:</t>
        </r>
        <r>
          <rPr>
            <sz val="8"/>
            <color indexed="81"/>
            <rFont val="Tahoma"/>
            <family val="2"/>
          </rPr>
          <t xml:space="preserve">
4% price</t>
        </r>
      </text>
    </comment>
    <comment ref="DC112" authorId="4">
      <text>
        <r>
          <rPr>
            <b/>
            <sz val="8"/>
            <color indexed="81"/>
            <rFont val="Tahoma"/>
            <family val="2"/>
          </rPr>
          <t>godjohn:</t>
        </r>
        <r>
          <rPr>
            <sz val="8"/>
            <color indexed="81"/>
            <rFont val="Tahoma"/>
            <family val="2"/>
          </rPr>
          <t xml:space="preserve">
price was 56 million
for the quarter or ~3%</t>
        </r>
      </text>
    </comment>
    <comment ref="DD112" authorId="4">
      <text>
        <r>
          <rPr>
            <b/>
            <sz val="8"/>
            <color indexed="81"/>
            <rFont val="Tahoma"/>
            <family val="2"/>
          </rPr>
          <t>godjohn:</t>
        </r>
        <r>
          <rPr>
            <sz val="8"/>
            <color indexed="81"/>
            <rFont val="Tahoma"/>
            <family val="2"/>
          </rPr>
          <t xml:space="preserve">
we feel that RPU is the best proxy for the indicator of price -- but that includes sig export coal</t>
        </r>
      </text>
    </comment>
    <comment ref="DE112" authorId="5">
      <text>
        <r>
          <rPr>
            <b/>
            <sz val="8"/>
            <color indexed="81"/>
            <rFont val="Tahoma"/>
            <family val="2"/>
          </rPr>
          <t>elizthys:</t>
        </r>
        <r>
          <rPr>
            <sz val="8"/>
            <color indexed="81"/>
            <rFont val="Tahoma"/>
            <family val="2"/>
          </rPr>
          <t xml:space="preserve">
Used RPU of 3% as best proxy for price</t>
        </r>
      </text>
    </comment>
    <comment ref="DF112" authorId="5">
      <text>
        <r>
          <rPr>
            <b/>
            <sz val="8"/>
            <color indexed="81"/>
            <rFont val="Tahoma"/>
            <family val="2"/>
          </rPr>
          <t>elizthys:</t>
        </r>
        <r>
          <rPr>
            <sz val="8"/>
            <color indexed="81"/>
            <rFont val="Tahoma"/>
            <family val="2"/>
          </rPr>
          <t xml:space="preserve">
RPU up 4%</t>
        </r>
      </text>
    </comment>
    <comment ref="DH112" authorId="4">
      <text>
        <r>
          <rPr>
            <b/>
            <sz val="8"/>
            <color indexed="81"/>
            <rFont val="Tahoma"/>
            <family val="2"/>
          </rPr>
          <t>godjohn:</t>
        </r>
        <r>
          <rPr>
            <sz val="8"/>
            <color indexed="81"/>
            <rFont val="Tahoma"/>
            <family val="2"/>
          </rPr>
          <t xml:space="preserve">
mgmt claims RPU matched price, we don't believe it so we set a price that maintains a net negative mix to stay within mgmt mix guid</t>
        </r>
      </text>
    </comment>
    <comment ref="DM112" authorId="1">
      <text>
        <r>
          <rPr>
            <b/>
            <sz val="9"/>
            <color indexed="81"/>
            <rFont val="Tahoma"/>
            <family val="2"/>
          </rPr>
          <t>Huang, Diane (Research):</t>
        </r>
        <r>
          <rPr>
            <sz val="9"/>
            <color indexed="81"/>
            <rFont val="Tahoma"/>
            <family val="2"/>
          </rPr>
          <t xml:space="preserve">
Starting in 1Q12, we assume NSC and CSX have the same SSS pricing growth given that NS does not disclose SSS pricing</t>
        </r>
      </text>
    </comment>
    <comment ref="EG112" authorId="0">
      <text>
        <r>
          <rPr>
            <b/>
            <sz val="9"/>
            <color indexed="81"/>
            <rFont val="Tahoma"/>
            <family val="2"/>
          </rPr>
          <t>Vecchio, Alexander (Research):</t>
        </r>
        <r>
          <rPr>
            <sz val="9"/>
            <color indexed="81"/>
            <rFont val="Tahoma"/>
            <family val="2"/>
          </rPr>
          <t xml:space="preserve">
assume similar to CSX reported core price</t>
        </r>
      </text>
    </comment>
    <comment ref="EH112" authorId="1">
      <text>
        <r>
          <rPr>
            <b/>
            <sz val="9"/>
            <color indexed="81"/>
            <rFont val="Tahoma"/>
            <family val="2"/>
          </rPr>
          <t>Huang, Diane (Research):</t>
        </r>
        <r>
          <rPr>
            <sz val="9"/>
            <color indexed="81"/>
            <rFont val="Tahoma"/>
            <family val="2"/>
          </rPr>
          <t xml:space="preserve">
core pricing accelerated YoY and seq. in 2Q</t>
        </r>
      </text>
    </comment>
    <comment ref="EI112" authorId="1">
      <text>
        <r>
          <rPr>
            <b/>
            <sz val="9"/>
            <color indexed="81"/>
            <rFont val="Tahoma"/>
            <family val="2"/>
          </rPr>
          <t>Huang, Diane (Research):</t>
        </r>
        <r>
          <rPr>
            <sz val="9"/>
            <color indexed="81"/>
            <rFont val="Tahoma"/>
            <family val="2"/>
          </rPr>
          <t xml:space="preserve">
Marta follow-up call: Flattish seq. vs. 2Q</t>
        </r>
      </text>
    </comment>
    <comment ref="EJ112" authorId="1">
      <text>
        <r>
          <rPr>
            <b/>
            <sz val="9"/>
            <color indexed="81"/>
            <rFont val="Tahoma"/>
            <family val="2"/>
          </rPr>
          <t>Huang, Diane (Research):</t>
        </r>
        <r>
          <rPr>
            <sz val="9"/>
            <color indexed="81"/>
            <rFont val="Tahoma"/>
            <family val="2"/>
          </rPr>
          <t xml:space="preserve">
MSe - did not provide color during or after the call. 
4Q16 call: Although they grewexport coal vols, the mix was neg as the growth came from shorter LoH Baltimore moves rather than Lambert's Point</t>
        </r>
      </text>
    </comment>
    <comment ref="EN112" authorId="1">
      <text>
        <r>
          <rPr>
            <b/>
            <sz val="9"/>
            <color indexed="81"/>
            <rFont val="Tahoma"/>
            <family val="2"/>
          </rPr>
          <t>Huang, Diane (Research):</t>
        </r>
        <r>
          <rPr>
            <sz val="9"/>
            <color indexed="81"/>
            <rFont val="Tahoma"/>
            <family val="2"/>
          </rPr>
          <t xml:space="preserve">
MSe - did not provide color during or after the call. 
3Q17 call: Contracts that were renegotiated in 3Q17 saw some strength vs. 2Q especially in truck competitive business (IM and some merch). 54% of rev has already been negotatiated heading into 2018.</t>
        </r>
      </text>
    </comment>
    <comment ref="DP116" authorId="6">
      <text>
        <r>
          <rPr>
            <b/>
            <sz val="8"/>
            <color indexed="81"/>
            <rFont val="Tahoma"/>
            <family val="2"/>
          </rPr>
          <t>vecchale:</t>
        </r>
        <r>
          <rPr>
            <sz val="8"/>
            <color indexed="81"/>
            <rFont val="Tahoma"/>
            <family val="2"/>
          </rPr>
          <t xml:space="preserve">
4Q12 - $25M fuel lag benefit</t>
        </r>
      </text>
    </comment>
    <comment ref="DK117" authorId="6">
      <text>
        <r>
          <rPr>
            <b/>
            <sz val="8"/>
            <color indexed="81"/>
            <rFont val="Tahoma"/>
            <family val="2"/>
          </rPr>
          <t>vecchale:</t>
        </r>
        <r>
          <rPr>
            <sz val="8"/>
            <color indexed="81"/>
            <rFont val="Tahoma"/>
            <family val="2"/>
          </rPr>
          <t xml:space="preserve">
4Q12 - $302M fuel surcharge rev in 4Q12, up $15M YoY</t>
        </r>
      </text>
    </comment>
    <comment ref="CY128" authorId="4">
      <text>
        <r>
          <rPr>
            <b/>
            <sz val="8"/>
            <color indexed="81"/>
            <rFont val="Tahoma"/>
            <family val="2"/>
          </rPr>
          <t>godjohn:</t>
        </r>
        <r>
          <rPr>
            <sz val="8"/>
            <color indexed="81"/>
            <rFont val="Tahoma"/>
            <family val="2"/>
          </rPr>
          <t xml:space="preserve">
-53 per mgmt</t>
        </r>
      </text>
    </comment>
    <comment ref="CZ128" authorId="4">
      <text>
        <r>
          <rPr>
            <b/>
            <sz val="8"/>
            <color indexed="81"/>
            <rFont val="Tahoma"/>
            <family val="2"/>
          </rPr>
          <t>godjohn:</t>
        </r>
        <r>
          <rPr>
            <sz val="8"/>
            <color indexed="81"/>
            <rFont val="Tahoma"/>
            <family val="2"/>
          </rPr>
          <t xml:space="preserve">
19m per mgmt</t>
        </r>
      </text>
    </comment>
    <comment ref="DO128" authorId="5">
      <text>
        <r>
          <rPr>
            <b/>
            <sz val="8"/>
            <color indexed="81"/>
            <rFont val="Tahoma"/>
            <family val="2"/>
          </rPr>
          <t>elizthys:</t>
        </r>
        <r>
          <rPr>
            <sz val="8"/>
            <color indexed="81"/>
            <rFont val="Tahoma"/>
            <family val="2"/>
          </rPr>
          <t xml:space="preserve">
Neg mix of $69m</t>
        </r>
      </text>
    </comment>
    <comment ref="A130" authorId="1">
      <text>
        <r>
          <rPr>
            <b/>
            <sz val="9"/>
            <color indexed="81"/>
            <rFont val="Tahoma"/>
            <family val="2"/>
          </rPr>
          <t>Huang, Diane (Research):</t>
        </r>
        <r>
          <rPr>
            <sz val="9"/>
            <color indexed="81"/>
            <rFont val="Tahoma"/>
            <family val="2"/>
          </rPr>
          <t xml:space="preserve">
weighting of carloads</t>
        </r>
      </text>
    </comment>
    <comment ref="EH137" authorId="1">
      <text>
        <r>
          <rPr>
            <b/>
            <sz val="9"/>
            <color indexed="81"/>
            <rFont val="Tahoma"/>
            <family val="2"/>
          </rPr>
          <t>Huang, Diane (Research):</t>
        </r>
        <r>
          <rPr>
            <sz val="9"/>
            <color indexed="81"/>
            <rFont val="Tahoma"/>
            <family val="2"/>
          </rPr>
          <t xml:space="preserve">
$10m pension tailwind
IR: Lowered inc comp accrual</t>
        </r>
      </text>
    </comment>
    <comment ref="EJ137" authorId="1">
      <text>
        <r>
          <rPr>
            <b/>
            <sz val="9"/>
            <color indexed="81"/>
            <rFont val="Tahoma"/>
            <family val="2"/>
          </rPr>
          <t>Huang, Diane (Research):</t>
        </r>
        <r>
          <rPr>
            <sz val="9"/>
            <color indexed="81"/>
            <rFont val="Tahoma"/>
            <family val="2"/>
          </rPr>
          <t xml:space="preserve">
Assume 2.5% wage inflation
Includes $21M inc comp headwind ($45M tailwind LY)
$10M pension tailwind</t>
        </r>
      </text>
    </comment>
    <comment ref="EL137" authorId="1">
      <text>
        <r>
          <rPr>
            <b/>
            <sz val="9"/>
            <color indexed="81"/>
            <rFont val="Tahoma"/>
            <family val="2"/>
          </rPr>
          <t>Huang, Diane (Research):</t>
        </r>
        <r>
          <rPr>
            <sz val="9"/>
            <color indexed="81"/>
            <rFont val="Tahoma"/>
            <family val="2"/>
          </rPr>
          <t xml:space="preserve">
Assume 3% labor inflation (5% offset by productivity)
$12m reduced employee count and OT
No pension impact
+SBC</t>
        </r>
      </text>
    </comment>
    <comment ref="EM137" authorId="1">
      <text>
        <r>
          <rPr>
            <b/>
            <sz val="9"/>
            <color indexed="81"/>
            <rFont val="Tahoma"/>
            <family val="2"/>
          </rPr>
          <t>Huang, Diane (Research):</t>
        </r>
        <r>
          <rPr>
            <sz val="9"/>
            <color indexed="81"/>
            <rFont val="Tahoma"/>
            <family val="2"/>
          </rPr>
          <t xml:space="preserve">
Assume 3% labor inflation (5% offset by productivity)
$16m reduced employee count and OT
$21M inc comp headwind
+SBC</t>
        </r>
      </text>
    </comment>
    <comment ref="EN137" authorId="1">
      <text>
        <r>
          <rPr>
            <b/>
            <sz val="9"/>
            <color indexed="81"/>
            <rFont val="Tahoma"/>
            <family val="2"/>
          </rPr>
          <t>Huang, Diane (Research):</t>
        </r>
        <r>
          <rPr>
            <sz val="9"/>
            <color indexed="81"/>
            <rFont val="Tahoma"/>
            <family val="2"/>
          </rPr>
          <t xml:space="preserve">
Assume 3% labor inflation (5% offset by productivity)
$15m reduced employee count and OT
$20M inc comp headwind
+SBC</t>
        </r>
      </text>
    </comment>
    <comment ref="EO137" authorId="1">
      <text>
        <r>
          <rPr>
            <b/>
            <sz val="9"/>
            <color indexed="81"/>
            <rFont val="Tahoma"/>
            <family val="2"/>
          </rPr>
          <t>Huang, Diane (Research):</t>
        </r>
        <r>
          <rPr>
            <sz val="9"/>
            <color indexed="81"/>
            <rFont val="Tahoma"/>
            <family val="2"/>
          </rPr>
          <t xml:space="preserve">
4Q16 didn't meet inc comp guidance. If mgmt meets targets in 4Q17, may see a bit of headwind 
4Q17 y/y headwind similar to 3Q</t>
        </r>
      </text>
    </comment>
    <comment ref="EQ137" authorId="1">
      <text>
        <r>
          <rPr>
            <b/>
            <sz val="9"/>
            <color indexed="81"/>
            <rFont val="Tahoma"/>
            <family val="2"/>
          </rPr>
          <t>Huang, Diane (Research):</t>
        </r>
        <r>
          <rPr>
            <sz val="9"/>
            <color indexed="81"/>
            <rFont val="Tahoma"/>
            <family val="2"/>
          </rPr>
          <t xml:space="preserve">
Assume 1.5% labor inflation (5% offset by productivity)
$15m reduced employee count and OT
No pension impact
+SBC
+$15m of service-related costs</t>
        </r>
      </text>
    </comment>
    <comment ref="EB138" authorId="1">
      <text>
        <r>
          <rPr>
            <b/>
            <sz val="9"/>
            <color indexed="81"/>
            <rFont val="Tahoma"/>
            <family val="2"/>
          </rPr>
          <t>Huang, Diane (Research):</t>
        </r>
        <r>
          <rPr>
            <sz val="9"/>
            <color indexed="81"/>
            <rFont val="Tahoma"/>
            <family val="2"/>
          </rPr>
          <t xml:space="preserve">
$24M of service-related comp &amp; benefits costs plus $11M signing bonus
</t>
        </r>
      </text>
    </comment>
    <comment ref="EC138" authorId="0">
      <text>
        <r>
          <rPr>
            <b/>
            <sz val="9"/>
            <color indexed="81"/>
            <rFont val="Tahoma"/>
            <family val="2"/>
          </rPr>
          <t>Vecchio, Alexander (Research):</t>
        </r>
        <r>
          <rPr>
            <sz val="9"/>
            <color indexed="81"/>
            <rFont val="Tahoma"/>
            <family val="2"/>
          </rPr>
          <t xml:space="preserve">
$47M YoY incentive comp tailwind</t>
        </r>
      </text>
    </comment>
    <comment ref="ED138" authorId="0">
      <text>
        <r>
          <rPr>
            <b/>
            <sz val="9"/>
            <color indexed="81"/>
            <rFont val="Tahoma"/>
            <family val="2"/>
          </rPr>
          <t>Vecchio, Alexander (Research):</t>
        </r>
        <r>
          <rPr>
            <sz val="9"/>
            <color indexed="81"/>
            <rFont val="Tahoma"/>
            <family val="2"/>
          </rPr>
          <t xml:space="preserve">
$51M YoY incentive comp tailwind</t>
        </r>
      </text>
    </comment>
    <comment ref="EE138" authorId="0">
      <text>
        <r>
          <rPr>
            <b/>
            <sz val="9"/>
            <color indexed="81"/>
            <rFont val="Tahoma"/>
            <family val="2"/>
          </rPr>
          <t>Vecchio, Alexander (Research):</t>
        </r>
        <r>
          <rPr>
            <sz val="9"/>
            <color indexed="81"/>
            <rFont val="Tahoma"/>
            <family val="2"/>
          </rPr>
          <t xml:space="preserve">
$45M YoY incentive comp tailwind</t>
        </r>
      </text>
    </comment>
    <comment ref="EB149" authorId="1">
      <text>
        <r>
          <rPr>
            <b/>
            <sz val="9"/>
            <color indexed="81"/>
            <rFont val="Tahoma"/>
            <family val="2"/>
          </rPr>
          <t>Huang, Diane (Research):</t>
        </r>
        <r>
          <rPr>
            <sz val="9"/>
            <color indexed="81"/>
            <rFont val="Tahoma"/>
            <family val="2"/>
          </rPr>
          <t xml:space="preserve">
Consolidated report and 10Q </t>
        </r>
      </text>
    </comment>
    <comment ref="EF149" authorId="7">
      <text>
        <r>
          <rPr>
            <b/>
            <sz val="8"/>
            <color indexed="81"/>
            <rFont val="Tahoma"/>
            <family val="2"/>
          </rPr>
          <t>Huang, Tracy (Research):</t>
        </r>
        <r>
          <rPr>
            <sz val="8"/>
            <color indexed="81"/>
            <rFont val="Tahoma"/>
            <family val="2"/>
          </rPr>
          <t xml:space="preserve">
Related compensation costs were $42 million in 2015, $44 million in 2014, and $54 million in 2013.  </t>
        </r>
      </text>
    </comment>
    <comment ref="EG174" authorId="0">
      <text>
        <r>
          <rPr>
            <b/>
            <sz val="9"/>
            <color indexed="81"/>
            <rFont val="Tahoma"/>
            <family val="2"/>
          </rPr>
          <t>Vecchio, Alexander (Research):</t>
        </r>
        <r>
          <rPr>
            <sz val="9"/>
            <color indexed="81"/>
            <rFont val="Tahoma"/>
            <family val="2"/>
          </rPr>
          <t xml:space="preserve">
$34M YoY decline in PS &amp; Rent attributable to TCS restructuring</t>
        </r>
      </text>
    </comment>
    <comment ref="DU179" authorId="3">
      <text>
        <r>
          <rPr>
            <b/>
            <sz val="8"/>
            <color indexed="81"/>
            <rFont val="Tahoma"/>
            <family val="2"/>
          </rPr>
          <t>diahuang:</t>
        </r>
        <r>
          <rPr>
            <sz val="8"/>
            <color indexed="81"/>
            <rFont val="Tahoma"/>
            <family val="2"/>
          </rPr>
          <t xml:space="preserve">
Most of decrease due to Conrail accident ($15M charge) in Nov 2012</t>
        </r>
      </text>
    </comment>
    <comment ref="DM193" authorId="5">
      <text>
        <r>
          <rPr>
            <b/>
            <sz val="8"/>
            <color indexed="81"/>
            <rFont val="Tahoma"/>
            <family val="2"/>
          </rPr>
          <t>elizthys:</t>
        </r>
        <r>
          <rPr>
            <sz val="8"/>
            <color indexed="81"/>
            <rFont val="Tahoma"/>
            <family val="2"/>
          </rPr>
          <t xml:space="preserve">
One-time benefit</t>
        </r>
      </text>
    </comment>
    <comment ref="DN193" authorId="6">
      <text>
        <r>
          <rPr>
            <b/>
            <sz val="8"/>
            <color indexed="81"/>
            <rFont val="Tahoma"/>
            <family val="2"/>
          </rPr>
          <t>vecchale:</t>
        </r>
        <r>
          <rPr>
            <sz val="8"/>
            <color indexed="81"/>
            <rFont val="Tahoma"/>
            <family val="2"/>
          </rPr>
          <t xml:space="preserve">
$9M benefit</t>
        </r>
      </text>
    </comment>
    <comment ref="DP193" authorId="6">
      <text>
        <r>
          <rPr>
            <b/>
            <sz val="8"/>
            <color indexed="81"/>
            <rFont val="Tahoma"/>
            <family val="2"/>
          </rPr>
          <t>vecchale:</t>
        </r>
        <r>
          <rPr>
            <sz val="8"/>
            <color indexed="81"/>
            <rFont val="Tahoma"/>
            <family val="2"/>
          </rPr>
          <t xml:space="preserve">
4Q12 had $17M favorable reduction in personal injury expenses</t>
        </r>
      </text>
    </comment>
    <comment ref="EL193" authorId="1">
      <text>
        <r>
          <rPr>
            <b/>
            <sz val="9"/>
            <color indexed="81"/>
            <rFont val="Tahoma"/>
            <family val="2"/>
          </rPr>
          <t>Huang, Diane (Research):</t>
        </r>
        <r>
          <rPr>
            <sz val="9"/>
            <color indexed="81"/>
            <rFont val="Tahoma"/>
            <family val="2"/>
          </rPr>
          <t xml:space="preserve">
$9M y/y headwind from case-specific 3rd party injury accrual in 1Q17
</t>
        </r>
      </text>
    </comment>
    <comment ref="EQ193" authorId="1">
      <text>
        <r>
          <rPr>
            <b/>
            <sz val="9"/>
            <color indexed="81"/>
            <rFont val="Tahoma"/>
            <family val="2"/>
          </rPr>
          <t>Huang, Diane (Research):</t>
        </r>
        <r>
          <rPr>
            <sz val="9"/>
            <color indexed="81"/>
            <rFont val="Tahoma"/>
            <family val="2"/>
          </rPr>
          <t xml:space="preserve">
$9M derailments cost</t>
        </r>
      </text>
    </comment>
    <comment ref="FH199" authorId="1">
      <text>
        <r>
          <rPr>
            <b/>
            <sz val="9"/>
            <color indexed="81"/>
            <rFont val="Tahoma"/>
            <family val="2"/>
          </rPr>
          <t>Huang, Diane (Research):</t>
        </r>
        <r>
          <rPr>
            <sz val="9"/>
            <color indexed="81"/>
            <rFont val="Tahoma"/>
            <family val="2"/>
          </rPr>
          <t xml:space="preserve">
Does not include 1Q14</t>
        </r>
      </text>
    </comment>
    <comment ref="DA200" authorId="4">
      <text>
        <r>
          <rPr>
            <b/>
            <sz val="8"/>
            <color indexed="81"/>
            <rFont val="Tahoma"/>
            <family val="2"/>
          </rPr>
          <t>godjohn:</t>
        </r>
        <r>
          <rPr>
            <sz val="8"/>
            <color indexed="81"/>
            <rFont val="Tahoma"/>
            <family val="2"/>
          </rPr>
          <t xml:space="preserve">
one-time 21m benefit</t>
        </r>
      </text>
    </comment>
    <comment ref="EI200" authorId="1">
      <text>
        <r>
          <rPr>
            <b/>
            <sz val="9"/>
            <color indexed="81"/>
            <rFont val="Tahoma"/>
            <family val="2"/>
          </rPr>
          <t>Huang, Diane (Research):</t>
        </r>
        <r>
          <rPr>
            <sz val="9"/>
            <color indexed="81"/>
            <rFont val="Tahoma"/>
            <family val="2"/>
          </rPr>
          <t xml:space="preserve">
Benefit $28M YoY from gain on sales of op property</t>
        </r>
      </text>
    </comment>
    <comment ref="EN200" authorId="1">
      <text>
        <r>
          <rPr>
            <b/>
            <sz val="9"/>
            <color indexed="81"/>
            <rFont val="Tahoma"/>
            <family val="2"/>
          </rPr>
          <t>Huang, Diane (Research):</t>
        </r>
        <r>
          <rPr>
            <sz val="9"/>
            <color indexed="81"/>
            <rFont val="Tahoma"/>
            <family val="2"/>
          </rPr>
          <t xml:space="preserve">
Other Expense was $40M in 3Q17, which includes a $9M y/y benefit on gains on sale of operating properties ($28M in 3Q16) = $37 mm vs. MSe $0</t>
        </r>
      </text>
    </comment>
    <comment ref="EO200" authorId="1">
      <text>
        <r>
          <rPr>
            <b/>
            <sz val="9"/>
            <color indexed="81"/>
            <rFont val="Tahoma"/>
            <family val="2"/>
          </rPr>
          <t>Huang, Diane (Research):</t>
        </r>
        <r>
          <rPr>
            <sz val="9"/>
            <color indexed="81"/>
            <rFont val="Tahoma"/>
            <family val="2"/>
          </rPr>
          <t xml:space="preserve">
Includes $25M of land sales vs. MSe $0</t>
        </r>
      </text>
    </comment>
    <comment ref="EQ200" authorId="1">
      <text>
        <r>
          <rPr>
            <b/>
            <sz val="9"/>
            <color indexed="81"/>
            <rFont val="Tahoma"/>
            <family val="2"/>
          </rPr>
          <t>Huang, Diane (Research):</t>
        </r>
        <r>
          <rPr>
            <sz val="9"/>
            <color indexed="81"/>
            <rFont val="Tahoma"/>
            <family val="2"/>
          </rPr>
          <t xml:space="preserve">
Includes $18M y/y tailwind from rental income</t>
        </r>
      </text>
    </comment>
    <comment ref="ED207" authorId="0">
      <text>
        <r>
          <rPr>
            <b/>
            <sz val="9"/>
            <color indexed="81"/>
            <rFont val="Tahoma"/>
            <family val="2"/>
          </rPr>
          <t>Vecchio, Alexander (Research):</t>
        </r>
        <r>
          <rPr>
            <sz val="9"/>
            <color indexed="81"/>
            <rFont val="Tahoma"/>
            <family val="2"/>
          </rPr>
          <t xml:space="preserve">
$26M accel depreciation from TCS</t>
        </r>
      </text>
    </comment>
    <comment ref="EE207" authorId="0">
      <text>
        <r>
          <rPr>
            <b/>
            <sz val="9"/>
            <color indexed="81"/>
            <rFont val="Tahoma"/>
            <family val="2"/>
          </rPr>
          <t>Vecchio, Alexander (Research):</t>
        </r>
        <r>
          <rPr>
            <sz val="9"/>
            <color indexed="81"/>
            <rFont val="Tahoma"/>
            <family val="2"/>
          </rPr>
          <t xml:space="preserve">
$37M of restucturing </t>
        </r>
      </text>
    </comment>
    <comment ref="EF214" authorId="0">
      <text>
        <r>
          <rPr>
            <b/>
            <sz val="9"/>
            <color indexed="81"/>
            <rFont val="Tahoma"/>
            <family val="2"/>
          </rPr>
          <t>Vecchio, Alexander (Research):</t>
        </r>
        <r>
          <rPr>
            <sz val="9"/>
            <color indexed="81"/>
            <rFont val="Tahoma"/>
            <family val="2"/>
          </rPr>
          <t xml:space="preserve">
$93M of restructuring costs in 2015</t>
        </r>
      </text>
    </comment>
    <comment ref="DW225" authorId="1">
      <text>
        <r>
          <rPr>
            <b/>
            <sz val="9"/>
            <color indexed="81"/>
            <rFont val="Tahoma"/>
            <family val="2"/>
          </rPr>
          <t>Huang, Diane (Research):</t>
        </r>
        <r>
          <rPr>
            <sz val="9"/>
            <color indexed="81"/>
            <rFont val="Tahoma"/>
            <family val="2"/>
          </rPr>
          <t xml:space="preserve">
Weather contributed $45m opex in 1Q14</t>
        </r>
      </text>
    </comment>
    <comment ref="DX225" authorId="1">
      <text>
        <r>
          <rPr>
            <b/>
            <sz val="9"/>
            <color indexed="81"/>
            <rFont val="Tahoma"/>
            <family val="2"/>
          </rPr>
          <t>Huang, Diane (Research):</t>
        </r>
        <r>
          <rPr>
            <sz val="9"/>
            <color indexed="81"/>
            <rFont val="Tahoma"/>
            <family val="2"/>
          </rPr>
          <t xml:space="preserve">
~$25M in service-related exp</t>
        </r>
      </text>
    </comment>
    <comment ref="DY225" authorId="1">
      <text>
        <r>
          <rPr>
            <b/>
            <sz val="9"/>
            <color indexed="81"/>
            <rFont val="Tahoma"/>
            <family val="2"/>
          </rPr>
          <t>Huang, Diane (Research):</t>
        </r>
        <r>
          <rPr>
            <sz val="9"/>
            <color indexed="81"/>
            <rFont val="Tahoma"/>
            <family val="2"/>
          </rPr>
          <t xml:space="preserve">
$30M service-related expense ($10m overtime, $20m locomotive materials) in 3Q14</t>
        </r>
      </text>
    </comment>
    <comment ref="DZ225" authorId="1">
      <text>
        <r>
          <rPr>
            <b/>
            <sz val="9"/>
            <color indexed="81"/>
            <rFont val="Tahoma"/>
            <family val="2"/>
          </rPr>
          <t>Huang, Diane (Research):</t>
        </r>
        <r>
          <rPr>
            <sz val="9"/>
            <color indexed="81"/>
            <rFont val="Tahoma"/>
            <family val="2"/>
          </rPr>
          <t xml:space="preserve">
$35M service-related expense in 4Q14</t>
        </r>
      </text>
    </comment>
    <comment ref="EB225" authorId="1">
      <text>
        <r>
          <rPr>
            <b/>
            <sz val="9"/>
            <color indexed="81"/>
            <rFont val="Tahoma"/>
            <family val="2"/>
          </rPr>
          <t>Huang, Diane (Research):</t>
        </r>
        <r>
          <rPr>
            <sz val="9"/>
            <color indexed="81"/>
            <rFont val="Tahoma"/>
            <family val="2"/>
          </rPr>
          <t xml:space="preserve">
$42M in service recovery costs</t>
        </r>
      </text>
    </comment>
    <comment ref="EF225" authorId="0">
      <text>
        <r>
          <rPr>
            <b/>
            <sz val="9"/>
            <color indexed="81"/>
            <rFont val="Tahoma"/>
            <family val="2"/>
          </rPr>
          <t>Vecchio, Alexander (Research):</t>
        </r>
        <r>
          <rPr>
            <sz val="9"/>
            <color indexed="81"/>
            <rFont val="Tahoma"/>
            <family val="2"/>
          </rPr>
          <t xml:space="preserve">
$93M of restructuring costs in 2015</t>
        </r>
      </text>
    </comment>
    <comment ref="EP225" authorId="1">
      <text>
        <r>
          <rPr>
            <b/>
            <sz val="9"/>
            <color indexed="81"/>
            <rFont val="Tahoma"/>
            <family val="2"/>
          </rPr>
          <t>Huang, Diane (Research):</t>
        </r>
        <r>
          <rPr>
            <sz val="9"/>
            <color indexed="81"/>
            <rFont val="Tahoma"/>
            <family val="2"/>
          </rPr>
          <t xml:space="preserve">
2017 OR 67.4% before pension adjustment</t>
        </r>
      </text>
    </comment>
    <comment ref="EI245" authorId="1">
      <text>
        <r>
          <rPr>
            <b/>
            <sz val="9"/>
            <color indexed="81"/>
            <rFont val="Tahoma"/>
            <family val="2"/>
          </rPr>
          <t>Huang, Diane (Research):</t>
        </r>
        <r>
          <rPr>
            <sz val="9"/>
            <color indexed="81"/>
            <rFont val="Tahoma"/>
            <family val="2"/>
          </rPr>
          <t xml:space="preserve">
$10M y/y delta ($29M fewer gains from non-op property sales; $19M higher returns from corporate owned life insr)</t>
        </r>
      </text>
    </comment>
    <comment ref="EI259" authorId="1">
      <text>
        <r>
          <rPr>
            <b/>
            <sz val="9"/>
            <color indexed="81"/>
            <rFont val="Tahoma"/>
            <family val="2"/>
          </rPr>
          <t>Huang, Diane (Research):</t>
        </r>
        <r>
          <rPr>
            <sz val="9"/>
            <color indexed="81"/>
            <rFont val="Tahoma"/>
            <family val="2"/>
          </rPr>
          <t xml:space="preserve">
294.7</t>
        </r>
      </text>
    </comment>
    <comment ref="DH386" authorId="3">
      <text>
        <r>
          <rPr>
            <b/>
            <sz val="8"/>
            <color indexed="81"/>
            <rFont val="Tahoma"/>
            <family val="2"/>
          </rPr>
          <t>diahuang:</t>
        </r>
        <r>
          <rPr>
            <sz val="8"/>
            <color indexed="81"/>
            <rFont val="Tahoma"/>
            <family val="2"/>
          </rPr>
          <t xml:space="preserve">
Cover of 10-Q</t>
        </r>
      </text>
    </comment>
    <comment ref="DR386" authorId="3">
      <text>
        <r>
          <rPr>
            <b/>
            <sz val="8"/>
            <color indexed="81"/>
            <rFont val="Tahoma"/>
            <family val="2"/>
          </rPr>
          <t>diahuang:</t>
        </r>
        <r>
          <rPr>
            <sz val="8"/>
            <color indexed="81"/>
            <rFont val="Tahoma"/>
            <family val="2"/>
          </rPr>
          <t xml:space="preserve">
Cover of 10-Q</t>
        </r>
      </text>
    </comment>
  </commentList>
</comments>
</file>

<file path=xl/comments2.xml><?xml version="1.0" encoding="utf-8"?>
<comments xmlns="http://schemas.openxmlformats.org/spreadsheetml/2006/main">
  <authors>
    <author>Huang, Tracy (Research)</author>
  </authors>
  <commentList>
    <comment ref="E43" authorId="0">
      <text>
        <r>
          <rPr>
            <b/>
            <sz val="8"/>
            <color indexed="81"/>
            <rFont val="Tahoma"/>
            <family val="2"/>
          </rPr>
          <t>Huang, Tracy (Research):</t>
        </r>
        <r>
          <rPr>
            <sz val="8"/>
            <color indexed="81"/>
            <rFont val="Tahoma"/>
            <family val="2"/>
          </rPr>
          <t xml:space="preserve">
Bloomberg adjusted beta</t>
        </r>
      </text>
    </comment>
  </commentList>
</comments>
</file>

<file path=xl/comments3.xml><?xml version="1.0" encoding="utf-8"?>
<comments xmlns="http://schemas.openxmlformats.org/spreadsheetml/2006/main">
  <authors>
    <author>Huang, Diane (Research)</author>
  </authors>
  <commentList>
    <comment ref="E462" authorId="0">
      <text>
        <r>
          <rPr>
            <b/>
            <sz val="9"/>
            <color indexed="81"/>
            <rFont val="Tahoma"/>
            <family val="2"/>
          </rPr>
          <t>Huang, Diane (Research):</t>
        </r>
        <r>
          <rPr>
            <sz val="9"/>
            <color indexed="81"/>
            <rFont val="Tahoma"/>
            <family val="2"/>
          </rPr>
          <t xml:space="preserve">
=TF("nsc","TF.PR.PriceClose(sdate=#1)",,C458)</t>
        </r>
      </text>
    </comment>
  </commentList>
</comments>
</file>

<file path=xl/comments4.xml><?xml version="1.0" encoding="utf-8"?>
<comments xmlns="http://schemas.openxmlformats.org/spreadsheetml/2006/main">
  <authors>
    <author>mogres</author>
    <author>diahuang</author>
  </authors>
  <commentList>
    <comment ref="H1" authorId="0">
      <text>
        <r>
          <rPr>
            <sz val="8"/>
            <color indexed="81"/>
            <rFont val="Tahoma"/>
            <family val="2"/>
          </rPr>
          <t>Enter Sedol on row 3, if this is a non-covered company.</t>
        </r>
      </text>
    </comment>
    <comment ref="A8" authorId="0">
      <text>
        <r>
          <rPr>
            <sz val="8"/>
            <color indexed="81"/>
            <rFont val="Tahoma"/>
            <family val="2"/>
          </rPr>
          <t xml:space="preserve">
</t>
        </r>
        <r>
          <rPr>
            <b/>
            <sz val="8"/>
            <color indexed="81"/>
            <rFont val="Tahoma"/>
            <family val="2"/>
          </rPr>
          <t xml:space="preserve">Discount rate </t>
        </r>
        <r>
          <rPr>
            <sz val="8"/>
            <color indexed="81"/>
            <rFont val="Tahoma"/>
            <family val="2"/>
          </rPr>
          <t>is based on the Corporate AA bond rate and is used to calculate the present value of pension benefit obligations.
Because the companies have some discretion over how they estimate the rate and the duration of future benefit payments varies from company to company, rates will differ slightly from company to company. It is reset every year based on current market conditions.</t>
        </r>
        <r>
          <rPr>
            <b/>
            <sz val="8"/>
            <color indexed="81"/>
            <rFont val="Tahoma"/>
            <family val="2"/>
          </rPr>
          <t xml:space="preserve">
How to forecast this line item if Pension is material for my company?</t>
        </r>
        <r>
          <rPr>
            <sz val="8"/>
            <color indexed="81"/>
            <rFont val="Tahoma"/>
            <family val="2"/>
          </rPr>
          <t xml:space="preserve">
Assuming you wouldn't want to forecast the interest rates, set this equal to prior period's discount rate. If you are in the middle of FY1, you could make an attempt to use the latest available rate using the appropriate bond index yield. Contact AST if you wish to do so. However, from FY2 onwards, you should set it equal to prior period's discount rate.
</t>
        </r>
        <r>
          <rPr>
            <b/>
            <sz val="8"/>
            <color indexed="81"/>
            <rFont val="Tahoma"/>
            <family val="2"/>
          </rPr>
          <t xml:space="preserve">How does the template forecast it?
</t>
        </r>
        <r>
          <rPr>
            <sz val="8"/>
            <color indexed="81"/>
            <rFont val="Tahoma"/>
            <family val="2"/>
          </rPr>
          <t>The template does not make an attempt to forecast the interest rates and flat lines it.</t>
        </r>
      </text>
    </comment>
    <comment ref="A11"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pension expense. This will vary widely from company to company depending on asset mix and other assumptions. EROA generally does not change year-to-year.</t>
        </r>
        <r>
          <rPr>
            <b/>
            <sz val="8"/>
            <color indexed="81"/>
            <rFont val="Tahoma"/>
            <family val="2"/>
          </rPr>
          <t xml:space="preserve">
How to forecast this line item if Pension is material for my company?</t>
        </r>
        <r>
          <rPr>
            <sz val="8"/>
            <color indexed="81"/>
            <rFont val="Tahoma"/>
            <family val="2"/>
          </rPr>
          <t xml:space="preserve">
It should be flat lined unless the management provides guidance on changing it in future year/s OR changing the asset mix in future years/s (e.g. set it lower if the company plans to move their plan assets towards fixed income to better match the asset - liability duration)
</t>
        </r>
        <r>
          <rPr>
            <b/>
            <sz val="8"/>
            <color indexed="81"/>
            <rFont val="Tahoma"/>
            <family val="2"/>
          </rPr>
          <t xml:space="preserve">How does the template forecast it?
</t>
        </r>
        <r>
          <rPr>
            <sz val="8"/>
            <color indexed="81"/>
            <rFont val="Tahoma"/>
            <family val="2"/>
          </rPr>
          <t>The template flat lines the management disclosed estimate of the long-term rate of return on plan assets.</t>
        </r>
      </text>
    </comment>
    <comment ref="A12" authorId="0">
      <text>
        <r>
          <rPr>
            <b/>
            <sz val="8"/>
            <color indexed="81"/>
            <rFont val="Tahoma"/>
            <family val="2"/>
          </rPr>
          <t xml:space="preserve">
Actual Rate of Return </t>
        </r>
        <r>
          <rPr>
            <sz val="8"/>
            <color indexed="81"/>
            <rFont val="Tahoma"/>
            <family val="2"/>
          </rPr>
          <t>is the actual return generated on pension plan assets.</t>
        </r>
        <r>
          <rPr>
            <b/>
            <sz val="8"/>
            <color indexed="81"/>
            <rFont val="Tahoma"/>
            <family val="2"/>
          </rPr>
          <t xml:space="preserve">
How to forecast this line item if Pension is material for my company?</t>
        </r>
        <r>
          <rPr>
            <sz val="8"/>
            <color indexed="81"/>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1"/>
            <rFont val="Tahoma"/>
            <family val="2"/>
          </rPr>
          <t xml:space="preserve">How does the template forecast it?
</t>
        </r>
        <r>
          <rPr>
            <sz val="8"/>
            <color indexed="81"/>
            <rFont val="Tahoma"/>
            <family val="2"/>
          </rPr>
          <t xml:space="preserve">The template does not attempt to forecast the actual rate of return and sets it equal to management's EROA. </t>
        </r>
      </text>
    </comment>
    <comment ref="A13" authorId="0">
      <text>
        <r>
          <rPr>
            <sz val="8"/>
            <color indexed="81"/>
            <rFont val="Tahoma"/>
            <family val="2"/>
          </rPr>
          <t xml:space="preserve">
The pension obligation on the balance sheet is tax-deductible
when a company contributes to the plan. Companies report it gross of tax, and the corresponding tax benefit is recorded as a deferred tax asset on BS. </t>
        </r>
        <r>
          <rPr>
            <b/>
            <sz val="8"/>
            <color indexed="81"/>
            <rFont val="Tahoma"/>
            <family val="2"/>
          </rPr>
          <t>Statutory tax rate</t>
        </r>
        <r>
          <rPr>
            <sz val="8"/>
            <color indexed="81"/>
            <rFont val="Tahoma"/>
            <family val="2"/>
          </rPr>
          <t xml:space="preserve"> is thus used to compute the deferred tax benefits associated with pensions.</t>
        </r>
        <r>
          <rPr>
            <b/>
            <sz val="8"/>
            <color indexed="81"/>
            <rFont val="Tahoma"/>
            <family val="2"/>
          </rPr>
          <t xml:space="preserve">
How to forecast this line item if Pension is material for my company?</t>
        </r>
        <r>
          <rPr>
            <sz val="8"/>
            <color indexed="81"/>
            <rFont val="Tahoma"/>
            <family val="2"/>
          </rPr>
          <t xml:space="preserve">
You should set it equal to the corporate tax rate of 35% for the US plan or a blended rate if the company has pension plans in other countries as well.
</t>
        </r>
        <r>
          <rPr>
            <b/>
            <sz val="8"/>
            <color indexed="81"/>
            <rFont val="Tahoma"/>
            <family val="2"/>
          </rPr>
          <t xml:space="preserve">How does the template forecast it?
</t>
        </r>
        <r>
          <rPr>
            <sz val="8"/>
            <color indexed="81"/>
            <rFont val="Tahoma"/>
            <family val="2"/>
          </rPr>
          <t>The template sets it equal to the statutory tax rate tagged in your model, and for non covered companies it assumes it to be the US corporate tax rate of 35%.</t>
        </r>
      </text>
    </comment>
    <comment ref="A19" authorId="0">
      <text>
        <r>
          <rPr>
            <b/>
            <sz val="8"/>
            <color indexed="81"/>
            <rFont val="Tahoma"/>
            <family val="2"/>
          </rPr>
          <t xml:space="preserve">
Service cost</t>
        </r>
        <r>
          <rPr>
            <sz val="8"/>
            <color indexed="81"/>
            <rFont val="Tahoma"/>
            <family val="2"/>
          </rPr>
          <t xml:space="preserve"> is the 'present value' of new benefits earned during the period and represents the economic operating cost of the ongoing plan. When a company reduces benefits, future service costs decline. If they freeze the plans (i.e. stop the accrual of new benefits), service costs are zero.</t>
        </r>
        <r>
          <rPr>
            <b/>
            <sz val="8"/>
            <color indexed="81"/>
            <rFont val="Tahoma"/>
            <family val="2"/>
          </rPr>
          <t xml:space="preserve">
How to forecast this line item if Pension is material for my company?</t>
        </r>
        <r>
          <rPr>
            <sz val="8"/>
            <color indexed="81"/>
            <rFont val="Tahoma"/>
            <family val="2"/>
          </rPr>
          <t xml:space="preserve">
For an active plan, service cost </t>
        </r>
        <r>
          <rPr>
            <u/>
            <sz val="8"/>
            <color indexed="81"/>
            <rFont val="Tahoma"/>
            <family val="2"/>
          </rPr>
          <t>usually</t>
        </r>
        <r>
          <rPr>
            <sz val="8"/>
            <color indexed="81"/>
            <rFont val="Tahoma"/>
            <family val="2"/>
          </rPr>
          <t xml:space="preserve"> remains steady in</t>
        </r>
        <r>
          <rPr>
            <u/>
            <sz val="8"/>
            <color indexed="81"/>
            <rFont val="Tahoma"/>
            <family val="2"/>
          </rPr>
          <t xml:space="preserve"> real</t>
        </r>
        <r>
          <rPr>
            <sz val="8"/>
            <color indexed="81"/>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1"/>
            <rFont val="Tahoma"/>
            <family val="2"/>
          </rPr>
          <t xml:space="preserve">How does the template forecast it?
</t>
        </r>
        <r>
          <rPr>
            <sz val="8"/>
            <color indexed="81"/>
            <rFont val="Tahoma"/>
            <family val="2"/>
          </rPr>
          <t xml:space="preserve">The template uses a rule of thumb and forecasts the service cost by considering the changes in discount rates (if forecasted - we think its unlikely) on row 8. </t>
        </r>
      </text>
    </comment>
    <comment ref="A20" authorId="0">
      <text>
        <r>
          <rPr>
            <b/>
            <sz val="8"/>
            <color indexed="81"/>
            <rFont val="Tahoma"/>
            <family val="2"/>
          </rPr>
          <t xml:space="preserve">
Prior service cost</t>
        </r>
        <r>
          <rPr>
            <sz val="8"/>
            <color indexed="81"/>
            <rFont val="Tahoma"/>
            <family val="2"/>
          </rPr>
          <t xml:space="preserve"> : When a plan is amended to change benefits, the PBO is re-measured to reflect the new benefit formula. These differences are smoothed into pension expense over the remaining service life of employees as prior service costs. </t>
        </r>
        <r>
          <rPr>
            <b/>
            <sz val="8"/>
            <color indexed="81"/>
            <rFont val="Tahoma"/>
            <family val="2"/>
          </rPr>
          <t xml:space="preserve">
How to forecast this line item if Pension is material for my company?</t>
        </r>
        <r>
          <rPr>
            <sz val="8"/>
            <color indexed="81"/>
            <rFont val="Tahoma"/>
            <family val="2"/>
          </rPr>
          <t xml:space="preserve">
Becasue these are the differences due to amendments in plan benefits, which are then smoothed over a period of time - they tend to be persistent. They should thus be flat lied in forecast years.
</t>
        </r>
        <r>
          <rPr>
            <b/>
            <sz val="8"/>
            <color indexed="81"/>
            <rFont val="Tahoma"/>
            <family val="2"/>
          </rPr>
          <t>How does the template forecast it?</t>
        </r>
        <r>
          <rPr>
            <sz val="8"/>
            <color indexed="81"/>
            <rFont val="Tahoma"/>
            <family val="2"/>
          </rPr>
          <t xml:space="preserve">
The template does not make an attempt to forecast this line item and flat lines it in forecast years.</t>
        </r>
      </text>
    </comment>
    <comment ref="A21" authorId="0">
      <text>
        <r>
          <rPr>
            <b/>
            <sz val="8"/>
            <color indexed="81"/>
            <rFont val="Tahoma"/>
            <family val="2"/>
          </rPr>
          <t xml:space="preserve">
Interest cost</t>
        </r>
        <r>
          <rPr>
            <sz val="8"/>
            <color indexed="81"/>
            <rFont val="Tahoma"/>
            <family val="2"/>
          </rPr>
          <t xml:space="preserve"> is the discount rate (see row 8) times the PBO. It represents the financing cost of the gross liability i.e. PBO.</t>
        </r>
        <r>
          <rPr>
            <b/>
            <sz val="8"/>
            <color indexed="81"/>
            <rFont val="Tahoma"/>
            <family val="2"/>
          </rPr>
          <t xml:space="preserve">
How to forecast this line item if Pension is material for my company?</t>
        </r>
        <r>
          <rPr>
            <sz val="8"/>
            <color indexed="81"/>
            <rFont val="Tahoma"/>
            <family val="2"/>
          </rPr>
          <t xml:space="preserve">
Interest cost should be calculated as discount rate (BOP) (row 8) times the projected benefit obligation (BOP).
</t>
        </r>
        <r>
          <rPr>
            <b/>
            <sz val="8"/>
            <color indexed="81"/>
            <rFont val="Tahoma"/>
            <family val="2"/>
          </rPr>
          <t xml:space="preserve">How does the template forecast it?
</t>
        </r>
        <r>
          <rPr>
            <sz val="8"/>
            <color indexed="81"/>
            <rFont val="Tahoma"/>
            <family val="2"/>
          </rPr>
          <t>Interest cost is calculated as discount rate (BOP) times the projected benefit obligation (BOP).</t>
        </r>
      </text>
    </comment>
    <comment ref="A22"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1"/>
            <rFont val="Tahoma"/>
            <family val="2"/>
          </rPr>
          <t xml:space="preserve">
How to forecast this line item if Pension is material for my company?</t>
        </r>
        <r>
          <rPr>
            <sz val="8"/>
            <color indexed="81"/>
            <rFont val="Tahoma"/>
            <family val="2"/>
          </rPr>
          <t xml:space="preserve">
EROA should be calculated as management’s assumption of the long-term return times the FV of plan assets (BOP).
</t>
        </r>
        <r>
          <rPr>
            <b/>
            <sz val="8"/>
            <color indexed="81"/>
            <rFont val="Tahoma"/>
            <family val="2"/>
          </rPr>
          <t xml:space="preserve">How does the template forecast it?
</t>
        </r>
        <r>
          <rPr>
            <sz val="8"/>
            <color indexed="81"/>
            <rFont val="Tahoma"/>
            <family val="2"/>
          </rPr>
          <t>EROA is calculated as  management’s assumption of the long-term return times the FV of plan assets (BOP).</t>
        </r>
      </text>
    </comment>
    <comment ref="A23" authorId="0">
      <text>
        <r>
          <rPr>
            <sz val="8"/>
            <color indexed="81"/>
            <rFont val="Tahoma"/>
            <family val="2"/>
          </rPr>
          <t xml:space="preserve">
Companies that have voluntarily changed their GAAP pension accounting recognize all actuarial gains/losses that occurred during the year in the 4th quarter, instead of amortizing them over time. </t>
        </r>
        <r>
          <rPr>
            <b/>
            <sz val="8"/>
            <color indexed="81"/>
            <rFont val="Tahoma"/>
            <family val="2"/>
          </rPr>
          <t xml:space="preserve">
How to forecast this line item if Pension is material for my company?</t>
        </r>
        <r>
          <rPr>
            <sz val="8"/>
            <color indexed="81"/>
            <rFont val="Tahoma"/>
            <family val="2"/>
          </rPr>
          <t xml:space="preserve">
This line item is not important from an economic standpoint and is also impossible to forecast. You should set this line item equal to zero for the forecast years.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to recognize it immediately on the income statement.</t>
        </r>
      </text>
    </comment>
    <comment ref="A24" authorId="0">
      <text>
        <r>
          <rPr>
            <b/>
            <sz val="8"/>
            <color indexed="81"/>
            <rFont val="Tahoma"/>
            <family val="2"/>
          </rPr>
          <t xml:space="preserve">
In the template, this line item may include the total of:
</t>
        </r>
        <r>
          <rPr>
            <sz val="8"/>
            <color indexed="81"/>
            <rFont val="Tahoma"/>
            <family val="2"/>
          </rPr>
          <t>1</t>
        </r>
        <r>
          <rPr>
            <u/>
            <sz val="8"/>
            <color indexed="81"/>
            <rFont val="Tahoma"/>
            <family val="2"/>
          </rPr>
          <t xml:space="preserve">. Amortization of actuarial gains &amp; losses: </t>
        </r>
        <r>
          <rPr>
            <sz val="8"/>
            <color indexed="81"/>
            <rFont val="Tahoma"/>
            <family val="2"/>
          </rPr>
          <t>When the actual results of the plan (which are reported on the balance sheet) differ significantly from the actuarial estimates (which are reported on the income statement), these differences are smoothed into pension expense over time, usually over the average remaining working life of employees.</t>
        </r>
        <r>
          <rPr>
            <b/>
            <sz val="8"/>
            <color indexed="81"/>
            <rFont val="Tahoma"/>
            <family val="2"/>
          </rPr>
          <t xml:space="preserve">
</t>
        </r>
        <r>
          <rPr>
            <sz val="8"/>
            <color indexed="81"/>
            <rFont val="Tahoma"/>
            <family val="2"/>
          </rPr>
          <t>2</t>
        </r>
        <r>
          <rPr>
            <u/>
            <sz val="8"/>
            <color indexed="81"/>
            <rFont val="Tahoma"/>
            <family val="2"/>
          </rPr>
          <t>. Other adjustments</t>
        </r>
        <r>
          <rPr>
            <sz val="8"/>
            <color indexed="81"/>
            <rFont val="Tahoma"/>
            <family val="2"/>
          </rPr>
          <t xml:space="preserve"> such as settlements and curtailments. These tend to be one-time in nature, and related to plan changes.</t>
        </r>
        <r>
          <rPr>
            <b/>
            <sz val="8"/>
            <color indexed="81"/>
            <rFont val="Tahoma"/>
            <family val="2"/>
          </rPr>
          <t xml:space="preserve">
How to forecast this line item if Pension is material for my company?
</t>
        </r>
        <r>
          <rPr>
            <sz val="8"/>
            <color indexed="81"/>
            <rFont val="Tahoma"/>
            <family val="2"/>
          </rPr>
          <t>Pension footnote discloses amortization of actuarial gains/ losses for the next fiscal year. For the remaining forecast years, you should use the approach mentioned below. Also, contact AST to make sure that the numbers make sense.</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It divides the actuarial loss for the year by avg. remaining working life of employees to compute the amortization for the year and then adds 
it to the amortization of accumulated gain / loss of previous year.</t>
        </r>
      </text>
    </comment>
    <comment ref="A25" authorId="0">
      <text>
        <r>
          <rPr>
            <b/>
            <sz val="8"/>
            <color indexed="81"/>
            <rFont val="Tahoma"/>
            <family val="2"/>
          </rPr>
          <t xml:space="preserve">
Pension expense</t>
        </r>
        <r>
          <rPr>
            <sz val="8"/>
            <color indexed="81"/>
            <rFont val="Tahoma"/>
            <family val="2"/>
          </rPr>
          <t xml:space="preserve"> is an accrued pension expense and is entirely non-cash. It is calculated as Service cost (+) Interest cost (-) EROA (+/-) Amortization of actuarial gains/ losses / prior service cost.</t>
        </r>
      </text>
    </comment>
    <comment ref="A29" authorId="0">
      <text>
        <r>
          <rPr>
            <b/>
            <sz val="8"/>
            <color indexed="81"/>
            <rFont val="Tahoma"/>
            <family val="2"/>
          </rPr>
          <t xml:space="preserve">
PBO</t>
        </r>
        <r>
          <rPr>
            <sz val="8"/>
            <color indexed="81"/>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 the PBO. Also, benefits paid during the year decrease the PBO.</t>
        </r>
      </text>
    </comment>
    <comment ref="A30" authorId="0">
      <text>
        <r>
          <rPr>
            <b/>
            <sz val="8"/>
            <color indexed="81"/>
            <rFont val="Tahoma"/>
            <family val="2"/>
          </rPr>
          <t xml:space="preserve">
Service cost</t>
        </r>
        <r>
          <rPr>
            <sz val="8"/>
            <color indexed="81"/>
            <rFont val="Tahoma"/>
            <family val="2"/>
          </rPr>
          <t xml:space="preserve"> is incurred each period as employees earn new benefits for increased time of service and is thus added to PBO, which is the PV of the projected benefit obligations </t>
        </r>
        <r>
          <rPr>
            <u/>
            <sz val="8"/>
            <color indexed="81"/>
            <rFont val="Tahoma"/>
            <family val="2"/>
          </rPr>
          <t>earned to date.</t>
        </r>
        <r>
          <rPr>
            <b/>
            <sz val="8"/>
            <color indexed="81"/>
            <rFont val="Tahoma"/>
            <family val="2"/>
          </rPr>
          <t xml:space="preserve">
How to forecast this line item if Pension is material for my company?
</t>
        </r>
        <r>
          <rPr>
            <sz val="8"/>
            <color indexed="81"/>
            <rFont val="Tahoma"/>
            <family val="2"/>
          </rPr>
          <t>It should be linked to service cost for the year already forecasted on the income statement.</t>
        </r>
        <r>
          <rPr>
            <b/>
            <sz val="8"/>
            <color indexed="81"/>
            <rFont val="Tahoma"/>
            <family val="2"/>
          </rPr>
          <t xml:space="preserve">
How does the template forecast it?
</t>
        </r>
        <r>
          <rPr>
            <sz val="8"/>
            <color indexed="81"/>
            <rFont val="Tahoma"/>
            <family val="2"/>
          </rPr>
          <t>It is linked to service cost for the year already forecasted on the income statement.</t>
        </r>
      </text>
    </comment>
    <comment ref="A31" authorId="0">
      <text>
        <r>
          <rPr>
            <b/>
            <sz val="8"/>
            <color indexed="81"/>
            <rFont val="Tahoma"/>
            <family val="2"/>
          </rPr>
          <t xml:space="preserve">
Interest cost is</t>
        </r>
        <r>
          <rPr>
            <sz val="8"/>
            <color indexed="81"/>
            <rFont val="Tahoma"/>
            <family val="2"/>
          </rPr>
          <t xml:space="preserve"> the financing cost of the gross liability and is thus added to PBO.</t>
        </r>
        <r>
          <rPr>
            <b/>
            <sz val="8"/>
            <color indexed="81"/>
            <rFont val="Tahoma"/>
            <family val="2"/>
          </rPr>
          <t xml:space="preserve">
How to forecast this line item if Pension is material for my company?</t>
        </r>
        <r>
          <rPr>
            <sz val="8"/>
            <color indexed="81"/>
            <rFont val="Tahoma"/>
            <family val="2"/>
          </rPr>
          <t xml:space="preserve">
It should be linked to interest cost for the year already forecasted on the income statement.
</t>
        </r>
        <r>
          <rPr>
            <b/>
            <sz val="8"/>
            <color indexed="81"/>
            <rFont val="Tahoma"/>
            <family val="2"/>
          </rPr>
          <t>How does the template forecast it?</t>
        </r>
        <r>
          <rPr>
            <sz val="8"/>
            <color indexed="81"/>
            <rFont val="Tahoma"/>
            <family val="2"/>
          </rPr>
          <t xml:space="preserve">
It is linked to interest cost for the year already forecasted on the income statement.
</t>
        </r>
      </text>
    </comment>
    <comment ref="A32" authorId="0">
      <text>
        <r>
          <rPr>
            <b/>
            <sz val="8"/>
            <color indexed="81"/>
            <rFont val="Tahoma"/>
            <family val="2"/>
          </rPr>
          <t xml:space="preserve">
Actuarial loss (gain)</t>
        </r>
        <r>
          <rPr>
            <sz val="8"/>
            <color indexed="81"/>
            <rFont val="Tahoma"/>
            <family val="2"/>
          </rPr>
          <t xml:space="preserve"> is the magnitude of disconnect between actuarial estimates and actual experience in a company's pension plan. For example, if the interest (discount) rate used to compute the PV of benefit obligations declines, it results in increase in the obligations and the change in liability is accounted as an actuarial loss for the year.</t>
        </r>
        <r>
          <rPr>
            <b/>
            <sz val="8"/>
            <color indexed="81"/>
            <rFont val="Tahoma"/>
            <family val="2"/>
          </rPr>
          <t xml:space="preserve">
How to forecast this line item if Pension is material for my company?
</t>
        </r>
        <r>
          <rPr>
            <sz val="8"/>
            <color indexed="81"/>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1"/>
            <rFont val="Tahoma"/>
            <family val="2"/>
          </rPr>
          <t xml:space="preserve">
How does the template forecast it?
</t>
        </r>
        <r>
          <rPr>
            <sz val="8"/>
            <color indexed="81"/>
            <rFont val="Tahoma"/>
            <family val="2"/>
          </rPr>
          <t>The template uses a rule of thumb and forecasts this number after considering the changes in discount rates on row 8.</t>
        </r>
      </text>
    </comment>
    <comment ref="A33" authorId="0">
      <text>
        <r>
          <rPr>
            <b/>
            <sz val="8"/>
            <color indexed="81"/>
            <rFont val="Tahoma"/>
            <family val="2"/>
          </rPr>
          <t xml:space="preserve">
Benefits payments </t>
        </r>
        <r>
          <rPr>
            <sz val="8"/>
            <color indexed="81"/>
            <rFont val="Tahoma"/>
            <family val="2"/>
          </rPr>
          <t>are the actual pension benefit payments made to the employees during the year. It reduces the pension liability by the amount of the benefits paid.</t>
        </r>
        <r>
          <rPr>
            <b/>
            <sz val="8"/>
            <color indexed="81"/>
            <rFont val="Tahoma"/>
            <family val="2"/>
          </rPr>
          <t xml:space="preserve">
How to forecast this line item if Pension is material for my company?</t>
        </r>
        <r>
          <rPr>
            <sz val="8"/>
            <color indexed="81"/>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1"/>
            <rFont val="Tahoma"/>
            <family val="2"/>
          </rPr>
          <t xml:space="preserve">How does the template forecast it?
</t>
        </r>
        <r>
          <rPr>
            <sz val="8"/>
            <color indexed="81"/>
            <rFont val="Tahoma"/>
            <family val="2"/>
          </rPr>
          <t>Because benefit payments are usually steady in nature, the template flat lines it.</t>
        </r>
      </text>
    </comment>
    <comment ref="A34" authorId="0">
      <text>
        <r>
          <rPr>
            <b/>
            <sz val="8"/>
            <color indexed="81"/>
            <rFont val="Tahoma"/>
            <family val="2"/>
          </rPr>
          <t xml:space="preserve">
In the template, this line item may include the total of:</t>
        </r>
        <r>
          <rPr>
            <sz val="8"/>
            <color indexed="81"/>
            <rFont val="Tahoma"/>
            <family val="2"/>
          </rPr>
          <t xml:space="preserve">
1. Plan Amendments
2. Actuarial Adjustments
3. Exchange gains/losses
4. Settlements and curtailments
5. Acquisitions and Divestures
6. Other adjustments to PBO</t>
        </r>
        <r>
          <rPr>
            <b/>
            <sz val="8"/>
            <color indexed="81"/>
            <rFont val="Tahoma"/>
            <family val="2"/>
          </rPr>
          <t xml:space="preserve">
How to forecast this line item if Pension is material for my company?</t>
        </r>
        <r>
          <rPr>
            <sz val="8"/>
            <color indexed="81"/>
            <rFont val="Tahoma"/>
            <family val="2"/>
          </rPr>
          <t xml:space="preserve">
This line item includes a set of miscellaneous items that are not important from an economic standpoint, They are also impossible to forecast. You should set it equal to zero for the forecast years.
</t>
        </r>
        <r>
          <rPr>
            <b/>
            <sz val="8"/>
            <color indexed="81"/>
            <rFont val="Tahoma"/>
            <family val="2"/>
          </rPr>
          <t xml:space="preserve">How does the template forecast it?
</t>
        </r>
        <r>
          <rPr>
            <sz val="8"/>
            <color indexed="81"/>
            <rFont val="Tahoma"/>
            <family val="2"/>
          </rPr>
          <t>The template does not make an attempt to forecast this line item and sets it equal to zero for the forecast years.</t>
        </r>
      </text>
    </comment>
    <comment ref="A37" authorId="0">
      <text>
        <r>
          <rPr>
            <b/>
            <sz val="8"/>
            <color indexed="81"/>
            <rFont val="Tahoma"/>
            <family val="2"/>
          </rPr>
          <t xml:space="preserve">
Pension plan assets</t>
        </r>
        <r>
          <rPr>
            <sz val="8"/>
            <color indexed="81"/>
            <rFont val="Tahoma"/>
            <family val="2"/>
          </rPr>
          <t xml:space="preserve"> are measured at the current fair value. Similar to other assets and liabilities measured at fair value, the company provides details about how it measured the fair value of its pension assets in the disclosures.</t>
        </r>
      </text>
    </comment>
    <comment ref="A38" authorId="0">
      <text>
        <r>
          <rPr>
            <b/>
            <sz val="8"/>
            <color indexed="81"/>
            <rFont val="Tahoma"/>
            <family val="2"/>
          </rPr>
          <t xml:space="preserve">
Actual return </t>
        </r>
        <r>
          <rPr>
            <sz val="8"/>
            <color indexed="81"/>
            <rFont val="Tahoma"/>
            <family val="2"/>
          </rPr>
          <t xml:space="preserve">is the return generared on pension plan assets .
</t>
        </r>
        <r>
          <rPr>
            <b/>
            <sz val="8"/>
            <color indexed="81"/>
            <rFont val="Tahoma"/>
            <family val="2"/>
          </rPr>
          <t>How to forecast this line item if Pension is material for my company?</t>
        </r>
        <r>
          <rPr>
            <sz val="8"/>
            <color indexed="81"/>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1"/>
            <rFont val="Tahoma"/>
            <family val="2"/>
          </rPr>
          <t>How does the template forecast it?</t>
        </r>
        <r>
          <rPr>
            <sz val="8"/>
            <color indexed="81"/>
            <rFont val="Tahoma"/>
            <family val="2"/>
          </rPr>
          <t xml:space="preserve">
Actual return is calculated as actual rate of return (row12) times the FV of plan assets (BOP) + 0.5*contributions assuming that the contributions were made in the middle of the year.</t>
        </r>
      </text>
    </comment>
    <comment ref="A39" authorId="0">
      <text>
        <r>
          <rPr>
            <b/>
            <sz val="8"/>
            <color indexed="81"/>
            <rFont val="Tahoma"/>
            <family val="2"/>
          </rPr>
          <t xml:space="preserve">
Contributions</t>
        </r>
        <r>
          <rPr>
            <sz val="8"/>
            <color indexed="81"/>
            <rFont val="Tahoma"/>
            <family val="2"/>
          </rPr>
          <t xml:space="preserve"> are the payments that the company makes into the pension trust, for future benefit payments. These contributions may be the minimum required based on ERISA requirements, or may be discretionary. The companies are awarded credits whenever they make contributions in excess of minimum requirements. These credits, which are not
disclosed, can then be used to offset future required contributions. Therefore they tend to be very lumpy, and difficult to estimate.</t>
        </r>
        <r>
          <rPr>
            <b/>
            <sz val="8"/>
            <color indexed="81"/>
            <rFont val="Tahoma"/>
            <family val="2"/>
          </rPr>
          <t xml:space="preserve">
How to forecast this line item if Pension is material for my company?
</t>
        </r>
        <r>
          <rPr>
            <sz val="8"/>
            <color indexed="81"/>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they don't, contact AST to better estimate this number for future years.</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uses the average contributions of last three actual years. You should use this approach if liquidity is not a major concern for the company.</t>
        </r>
      </text>
    </comment>
    <comment ref="I39" authorId="1">
      <text>
        <r>
          <rPr>
            <b/>
            <sz val="8"/>
            <color indexed="81"/>
            <rFont val="Tahoma"/>
            <family val="2"/>
          </rPr>
          <t>diahuang:</t>
        </r>
        <r>
          <rPr>
            <sz val="8"/>
            <color indexed="81"/>
            <rFont val="Tahoma"/>
            <family val="2"/>
          </rPr>
          <t xml:space="preserve">
2013 10k: In 2014, we expect to contribute approximately $14 million to our unfunded pension plans for payments to pensioners and approximately $50 million to our other postretirement benefit plans for retiree health and death benefits. We do not expect to contribute to our funded pension plan in 2014.</t>
        </r>
      </text>
    </comment>
    <comment ref="J39" authorId="1">
      <text>
        <r>
          <rPr>
            <b/>
            <sz val="8"/>
            <color indexed="81"/>
            <rFont val="Tahoma"/>
            <family val="2"/>
          </rPr>
          <t>diahuang:</t>
        </r>
        <r>
          <rPr>
            <sz val="8"/>
            <color indexed="81"/>
            <rFont val="Tahoma"/>
            <family val="2"/>
          </rPr>
          <t xml:space="preserve">
2013 10k: In 2014, we expect to contribute approximately $14 million to our unfunded pension plans for payments to pensioners and approximately $50 million to our other postretirement benefit plans for retiree health and death benefits. We do not expect to contribute to our funded pension plan in 2014.</t>
        </r>
      </text>
    </comment>
    <comment ref="K39" authorId="1">
      <text>
        <r>
          <rPr>
            <b/>
            <sz val="8"/>
            <color indexed="81"/>
            <rFont val="Tahoma"/>
            <family val="2"/>
          </rPr>
          <t>diahuang:</t>
        </r>
        <r>
          <rPr>
            <sz val="8"/>
            <color indexed="81"/>
            <rFont val="Tahoma"/>
            <family val="2"/>
          </rPr>
          <t xml:space="preserve">
2013 10k: In 2014, we expect to contribute approximately $14 million to our unfunded pension plans for payments to pensioners and approximately $50 million to our other postretirement benefit plans for retiree health and death benefits. We do not expect to contribute to our funded pension plan in 2014.</t>
        </r>
      </text>
    </comment>
    <comment ref="A40" authorId="0">
      <text>
        <r>
          <rPr>
            <b/>
            <sz val="8"/>
            <color indexed="81"/>
            <rFont val="Tahoma"/>
            <family val="2"/>
          </rPr>
          <t xml:space="preserve">
Benefits payments </t>
        </r>
        <r>
          <rPr>
            <sz val="8"/>
            <color indexed="81"/>
            <rFont val="Tahoma"/>
            <family val="2"/>
          </rPr>
          <t>are the actual pension benefit payments made to the employees during the year. These payments are paid out of pension plan assets and are thus reduced from plan assets.</t>
        </r>
        <r>
          <rPr>
            <b/>
            <sz val="8"/>
            <color indexed="81"/>
            <rFont val="Tahoma"/>
            <family val="2"/>
          </rPr>
          <t xml:space="preserve">
How to forecast this line item if Pension is material for my company?</t>
        </r>
        <r>
          <rPr>
            <sz val="8"/>
            <color indexed="81"/>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t>
        </r>
        <r>
          <rPr>
            <b/>
            <sz val="8"/>
            <color indexed="81"/>
            <rFont val="Tahoma"/>
            <family val="2"/>
          </rPr>
          <t xml:space="preserve">How does the template forecast it?
</t>
        </r>
        <r>
          <rPr>
            <sz val="8"/>
            <color indexed="81"/>
            <rFont val="Tahoma"/>
            <family val="2"/>
          </rPr>
          <t>Since benefit payments are usually steady in nature, the template flat lines it. (i.e. links it to row 33 of the template)</t>
        </r>
      </text>
    </comment>
    <comment ref="A41" authorId="0">
      <text>
        <r>
          <rPr>
            <b/>
            <sz val="8"/>
            <color indexed="81"/>
            <rFont val="Tahoma"/>
            <family val="2"/>
          </rPr>
          <t xml:space="preserve">
In the template, this line item may include the total of:</t>
        </r>
        <r>
          <rPr>
            <sz val="8"/>
            <color indexed="81"/>
            <rFont val="Tahoma"/>
            <family val="2"/>
          </rPr>
          <t xml:space="preserve">
1. Acquisitions and Divestitures 
2. Settlements and curtailments
3. Exchange rate changes 
4. Other adjustments to plan assets
</t>
        </r>
        <r>
          <rPr>
            <b/>
            <sz val="8"/>
            <color indexed="81"/>
            <rFont val="Tahoma"/>
            <family val="2"/>
          </rPr>
          <t xml:space="preserve">How to forecast this line item if Pension is material for my company?
</t>
        </r>
        <r>
          <rPr>
            <sz val="8"/>
            <color indexed="81"/>
            <rFont val="Tahoma"/>
            <family val="2"/>
          </rPr>
          <t>This line item includes a set of miscellaneous items that are not important from an economic standpoint. They are also impossible to forecast. You should set this line item equal to zero for the forecast years.</t>
        </r>
        <r>
          <rPr>
            <b/>
            <sz val="8"/>
            <color indexed="81"/>
            <rFont val="Tahoma"/>
            <family val="2"/>
          </rPr>
          <t xml:space="preserve">
How does the template forecast it?
</t>
        </r>
        <r>
          <rPr>
            <sz val="8"/>
            <color indexed="81"/>
            <rFont val="Tahoma"/>
            <family val="2"/>
          </rPr>
          <t>The template does not make an attempt to forecast this line item and sets it equal to zero for the forecast years.</t>
        </r>
      </text>
    </comment>
    <comment ref="A44" authorId="0">
      <text>
        <r>
          <rPr>
            <b/>
            <sz val="8"/>
            <color indexed="81"/>
            <rFont val="Tahoma"/>
            <family val="2"/>
          </rPr>
          <t xml:space="preserve">
Funded status </t>
        </r>
        <r>
          <rPr>
            <sz val="8"/>
            <color indexed="81"/>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 
The pension obligation on the balance sheet is tax-deductible when a company contributes to the plan. Companies report it gross of tax (i.e. funded status), and the corresponding tax benefit is recorded as a deferred tax asset on BS. The tax deductibility of pension debt is an important difference as compared to traditional debt. When a company takes on traditional debt, interest is deductible, but the debt principal payments are not.
When looking at metrics that include pension debt (such as net debt) analysts should subtract the corresponding DTA to capture the true liability.</t>
        </r>
      </text>
    </comment>
    <comment ref="A47" authorId="0">
      <text>
        <r>
          <rPr>
            <b/>
            <sz val="8"/>
            <color indexed="81"/>
            <rFont val="Tahoma"/>
            <family val="2"/>
          </rPr>
          <t xml:space="preserve">
DTAs: </t>
        </r>
        <r>
          <rPr>
            <sz val="8"/>
            <color indexed="81"/>
            <rFont val="Tahoma"/>
            <family val="2"/>
          </rPr>
          <t xml:space="preserve">The pension obligation on the balance sheet is tax-deductible when a company contributes to the plan. Companies report it gross of tax (i.e. funded status), and the corresponding tax benefit is recorded as a deferred tax asset on the BS. When looking at metrics that include pension debt (such as net debt) analysts should subtract the corresponding DTA to capture the true liability.
</t>
        </r>
        <r>
          <rPr>
            <b/>
            <sz val="8"/>
            <color indexed="81"/>
            <rFont val="Tahoma"/>
            <family val="2"/>
          </rPr>
          <t>How to forecast this line item if Pension is material for my company?</t>
        </r>
        <r>
          <rPr>
            <sz val="8"/>
            <color indexed="81"/>
            <rFont val="Tahoma"/>
            <family val="2"/>
          </rPr>
          <t xml:space="preserve">
DTA's should be = tax rate x forecasted funded status.
</t>
        </r>
        <r>
          <rPr>
            <b/>
            <sz val="8"/>
            <color indexed="81"/>
            <rFont val="Tahoma"/>
            <family val="2"/>
          </rPr>
          <t xml:space="preserve">How does the template forecast it?
</t>
        </r>
        <r>
          <rPr>
            <sz val="8"/>
            <color indexed="81"/>
            <rFont val="Tahoma"/>
            <family val="2"/>
          </rPr>
          <t>It is calculated as tax rate times forecasted funded status.</t>
        </r>
      </text>
    </comment>
    <comment ref="A51" authorId="0">
      <text>
        <r>
          <rPr>
            <b/>
            <sz val="8"/>
            <color indexed="81"/>
            <rFont val="Tahoma"/>
            <family val="2"/>
          </rPr>
          <t xml:space="preserve">
Pension expense</t>
        </r>
        <r>
          <rPr>
            <sz val="8"/>
            <color indexed="81"/>
            <rFont val="Tahoma"/>
            <family val="2"/>
          </rPr>
          <t xml:space="preserve"> is an accrued pension expense and is entirely non-cash. It is thus added back in cash flow from operations as a non-cash item.</t>
        </r>
      </text>
    </comment>
    <comment ref="A52" authorId="0">
      <text>
        <r>
          <rPr>
            <b/>
            <sz val="8"/>
            <color indexed="81"/>
            <rFont val="Tahoma"/>
            <family val="2"/>
          </rPr>
          <t xml:space="preserve">
Contributions</t>
        </r>
        <r>
          <rPr>
            <sz val="8"/>
            <color indexed="81"/>
            <rFont val="Tahoma"/>
            <family val="2"/>
          </rPr>
          <t xml:space="preserve"> are the companies’ payments to the pension trust. These are thus the cash flows on a companies cash flow
statement.</t>
        </r>
      </text>
    </comment>
    <comment ref="A59" authorId="0">
      <text>
        <r>
          <rPr>
            <b/>
            <sz val="8"/>
            <color indexed="81"/>
            <rFont val="Tahoma"/>
            <family val="2"/>
          </rPr>
          <t xml:space="preserve">
Why?
</t>
        </r>
        <r>
          <rPr>
            <sz val="8"/>
            <color indexed="81"/>
            <rFont val="Tahoma"/>
            <family val="2"/>
          </rPr>
          <t>Contributions are companies’ payments to the pension trust. They thus represent a reduction in operating cash flow of the company in the year in which they are made.</t>
        </r>
      </text>
    </comment>
    <comment ref="A60" authorId="0">
      <text>
        <r>
          <rPr>
            <b/>
            <sz val="8"/>
            <color indexed="81"/>
            <rFont val="Tahoma"/>
            <family val="2"/>
          </rPr>
          <t xml:space="preserve">
Why?</t>
        </r>
        <r>
          <rPr>
            <sz val="8"/>
            <color indexed="81"/>
            <rFont val="Tahoma"/>
            <family val="2"/>
          </rPr>
          <t xml:space="preserve">
Pension expense/ (income) is a non-cash number and thus needs to be added back on the cash flow statement. Contributions are the only cash flows related to pension on a company's cash flow statement.</t>
        </r>
      </text>
    </comment>
    <comment ref="A61" authorId="0">
      <text>
        <r>
          <rPr>
            <b/>
            <sz val="8"/>
            <color indexed="81"/>
            <rFont val="Tahoma"/>
            <family val="2"/>
          </rPr>
          <t xml:space="preserve">
Why?
</t>
        </r>
        <r>
          <rPr>
            <sz val="8"/>
            <color indexed="81"/>
            <rFont val="Tahoma"/>
            <family val="2"/>
          </rPr>
          <t>DB obligations on the balance sheet are tax-deductible when the company makes contributions. The obligation on the balance sheet is reported gross of tax, and the corresponding tax benefits are part of deferred tax assets (DTA).</t>
        </r>
      </text>
    </comment>
    <comment ref="A66" authorId="0">
      <text>
        <r>
          <rPr>
            <b/>
            <sz val="8"/>
            <color indexed="81"/>
            <rFont val="Tahoma"/>
            <family val="2"/>
          </rPr>
          <t xml:space="preserve">
Why?
</t>
        </r>
        <r>
          <rPr>
            <sz val="8"/>
            <color indexed="81"/>
            <rFont val="Tahoma"/>
            <family val="2"/>
          </rPr>
          <t>Improvement/deterioration in funded status during the year will decrease /increase the net pension liability for the year and thus needs to be captured in this line item.</t>
        </r>
        <r>
          <rPr>
            <b/>
            <sz val="8"/>
            <color indexed="81"/>
            <rFont val="Tahoma"/>
            <family val="2"/>
          </rPr>
          <t xml:space="preserve">
</t>
        </r>
      </text>
    </comment>
    <comment ref="A67" authorId="0">
      <text>
        <r>
          <rPr>
            <b/>
            <sz val="8"/>
            <color indexed="81"/>
            <rFont val="Tahoma"/>
            <family val="2"/>
          </rPr>
          <t xml:space="preserve">
Why?
</t>
        </r>
        <r>
          <rPr>
            <sz val="8"/>
            <color indexed="81"/>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1"/>
            <rFont val="Tahoma"/>
            <family val="2"/>
          </rPr>
          <t>Accumulated other comprehensive income (AOCI).</t>
        </r>
      </text>
    </comment>
  </commentList>
</comments>
</file>

<file path=xl/comments5.xml><?xml version="1.0" encoding="utf-8"?>
<comments xmlns="http://schemas.openxmlformats.org/spreadsheetml/2006/main">
  <authors>
    <author>mogres</author>
    <author>diahuang</author>
  </authors>
  <commentList>
    <comment ref="A8" authorId="0">
      <text>
        <r>
          <rPr>
            <sz val="8"/>
            <color indexed="81"/>
            <rFont val="Tahoma"/>
            <family val="2"/>
          </rPr>
          <t xml:space="preserve">
</t>
        </r>
        <r>
          <rPr>
            <b/>
            <sz val="8"/>
            <color indexed="81"/>
            <rFont val="Tahoma"/>
            <family val="2"/>
          </rPr>
          <t xml:space="preserve">Discount rate </t>
        </r>
        <r>
          <rPr>
            <sz val="8"/>
            <color indexed="81"/>
            <rFont val="Tahoma"/>
            <family val="2"/>
          </rPr>
          <t>is based on the Corporate AA bond rate and is used to calculate the present value of pension benefit obligations.
Because the companies have some discretion over how they estimate the rate and the duration of future benefit payments varies from company to company, rates will differ slightly from company to company. It is reset every year based on current market conditions.</t>
        </r>
        <r>
          <rPr>
            <b/>
            <sz val="8"/>
            <color indexed="81"/>
            <rFont val="Tahoma"/>
            <family val="2"/>
          </rPr>
          <t xml:space="preserve">
How to forecast this line item if Pension is material for my company?</t>
        </r>
        <r>
          <rPr>
            <sz val="8"/>
            <color indexed="81"/>
            <rFont val="Tahoma"/>
            <family val="2"/>
          </rPr>
          <t xml:space="preserve">
Assuming you wouldn't want to forecast the interest rates, set this equal to prior period's discount rate. If you are in the middle of FY1, you could make an attempt to use the latest available rate using the appropriate bond index yield. Contact AST if you wish to do so. However, from FY2 onwards, you should set it equal to prior period's discount rate.
</t>
        </r>
        <r>
          <rPr>
            <b/>
            <sz val="8"/>
            <color indexed="81"/>
            <rFont val="Tahoma"/>
            <family val="2"/>
          </rPr>
          <t xml:space="preserve">How does the template forecast it?
</t>
        </r>
        <r>
          <rPr>
            <sz val="8"/>
            <color indexed="81"/>
            <rFont val="Tahoma"/>
            <family val="2"/>
          </rPr>
          <t>The template does not make an attempt to forecast the interest rates and flat lines it.</t>
        </r>
      </text>
    </comment>
    <comment ref="A11"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OPEB expense. This will vary widely from company to company depending on asset mix and other assumptions. EROA generally does not change year-to-year.
*OPEB plans are usually unfuded, meaning they are not set up in trusts. So they usually don't have plan assets set aside to meet the obligations; exception: VEBA trusts. Companies with VEBA trusts only typically fund between 10% and 30% of the OPEB obligation</t>
        </r>
        <r>
          <rPr>
            <b/>
            <sz val="8"/>
            <color indexed="81"/>
            <rFont val="Tahoma"/>
            <family val="2"/>
          </rPr>
          <t xml:space="preserve">
How to forecast this line item if OPEB is material for my company?</t>
        </r>
        <r>
          <rPr>
            <sz val="8"/>
            <color indexed="81"/>
            <rFont val="Tahoma"/>
            <family val="2"/>
          </rPr>
          <t xml:space="preserve">
It should be flat lined unless the management provides guidance around changing it in future year/s OR changing the asset mix in future years/s (e.g. set it lower if the company plans to move their plan assets towards fixed income to better match the asset - liability duration)
</t>
        </r>
        <r>
          <rPr>
            <b/>
            <sz val="8"/>
            <color indexed="81"/>
            <rFont val="Tahoma"/>
            <family val="2"/>
          </rPr>
          <t xml:space="preserve">How does the template forecast it?
</t>
        </r>
        <r>
          <rPr>
            <sz val="8"/>
            <color indexed="81"/>
            <rFont val="Tahoma"/>
            <family val="2"/>
          </rPr>
          <t>The template flat lines the management disclosed estimate of the long-term rate of return on plan assets.</t>
        </r>
      </text>
    </comment>
    <comment ref="A12" authorId="0">
      <text>
        <r>
          <rPr>
            <b/>
            <sz val="8"/>
            <color indexed="81"/>
            <rFont val="Tahoma"/>
            <family val="2"/>
          </rPr>
          <t xml:space="preserve">
Actual Rate of Return </t>
        </r>
        <r>
          <rPr>
            <sz val="8"/>
            <color indexed="81"/>
            <rFont val="Tahoma"/>
            <family val="2"/>
          </rPr>
          <t>is the actual return generated on OPEB plan assets in VEBA trust.</t>
        </r>
        <r>
          <rPr>
            <b/>
            <sz val="8"/>
            <color indexed="81"/>
            <rFont val="Tahoma"/>
            <family val="2"/>
          </rPr>
          <t xml:space="preserve">
How to forecast this line item if OPEB is material for my company?</t>
        </r>
        <r>
          <rPr>
            <sz val="8"/>
            <color indexed="81"/>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1"/>
            <rFont val="Tahoma"/>
            <family val="2"/>
          </rPr>
          <t xml:space="preserve">How does the template forecast it?
</t>
        </r>
        <r>
          <rPr>
            <sz val="8"/>
            <color indexed="81"/>
            <rFont val="Tahoma"/>
            <family val="2"/>
          </rPr>
          <t xml:space="preserve">The template does not make an attempt to forecast the actual rate of return and sets it equal to management's EROA. </t>
        </r>
      </text>
    </comment>
    <comment ref="A13" authorId="0">
      <text>
        <r>
          <rPr>
            <sz val="8"/>
            <color indexed="81"/>
            <rFont val="Tahoma"/>
            <family val="2"/>
          </rPr>
          <t xml:space="preserve">
The OPEB obligation on the balance sheet is tax-deductible as they are paid. Companies report it gross of tax, and the corresponding tax benefit is a deferred tax asset. </t>
        </r>
        <r>
          <rPr>
            <b/>
            <sz val="8"/>
            <color indexed="81"/>
            <rFont val="Tahoma"/>
            <family val="2"/>
          </rPr>
          <t>Statutory tax rate</t>
        </r>
        <r>
          <rPr>
            <sz val="8"/>
            <color indexed="81"/>
            <rFont val="Tahoma"/>
            <family val="2"/>
          </rPr>
          <t xml:space="preserve"> is thus used to compute the deferred tax benefits associated with OPEB obligatios.</t>
        </r>
        <r>
          <rPr>
            <b/>
            <sz val="8"/>
            <color indexed="81"/>
            <rFont val="Tahoma"/>
            <family val="2"/>
          </rPr>
          <t xml:space="preserve">
How to forecast this line item if OPEB is material for my company?</t>
        </r>
        <r>
          <rPr>
            <sz val="8"/>
            <color indexed="81"/>
            <rFont val="Tahoma"/>
            <family val="2"/>
          </rPr>
          <t xml:space="preserve">
You should set it equal to the corporate tax rate of 35%.
</t>
        </r>
        <r>
          <rPr>
            <b/>
            <sz val="8"/>
            <color indexed="81"/>
            <rFont val="Tahoma"/>
            <family val="2"/>
          </rPr>
          <t xml:space="preserve">How does the template forecast it?
</t>
        </r>
        <r>
          <rPr>
            <sz val="8"/>
            <color indexed="81"/>
            <rFont val="Tahoma"/>
            <family val="2"/>
          </rPr>
          <t>The template sets it equal to the statutory tax rate tagged in your model, and for non covered companies it assumes it to be the US corporate tax rate of 35%.</t>
        </r>
      </text>
    </comment>
    <comment ref="A19" authorId="0">
      <text>
        <r>
          <rPr>
            <b/>
            <sz val="8"/>
            <color indexed="81"/>
            <rFont val="Tahoma"/>
            <family val="2"/>
          </rPr>
          <t xml:space="preserve">
Service cost</t>
        </r>
        <r>
          <rPr>
            <sz val="8"/>
            <color indexed="81"/>
            <rFont val="Tahoma"/>
            <family val="2"/>
          </rPr>
          <t xml:space="preserve"> is the 'present value' of new benefits earned during the period and represents the economic operating cost of the ongoing plan. When a company reduces benefits, future service costs decline. If they freeze the plans (i.e. stop the accrual of new benefits), service costs are zero.</t>
        </r>
        <r>
          <rPr>
            <b/>
            <sz val="8"/>
            <color indexed="81"/>
            <rFont val="Tahoma"/>
            <family val="2"/>
          </rPr>
          <t xml:space="preserve">
How to forecast this line item if OPEB is material for my company?</t>
        </r>
        <r>
          <rPr>
            <sz val="8"/>
            <color indexed="81"/>
            <rFont val="Tahoma"/>
            <family val="2"/>
          </rPr>
          <t xml:space="preserve">
For an active plan, service cost </t>
        </r>
        <r>
          <rPr>
            <u/>
            <sz val="8"/>
            <color indexed="81"/>
            <rFont val="Tahoma"/>
            <family val="2"/>
          </rPr>
          <t>usually</t>
        </r>
        <r>
          <rPr>
            <sz val="8"/>
            <color indexed="81"/>
            <rFont val="Tahoma"/>
            <family val="2"/>
          </rPr>
          <t xml:space="preserve"> remains steady in</t>
        </r>
        <r>
          <rPr>
            <u/>
            <sz val="8"/>
            <color indexed="81"/>
            <rFont val="Tahoma"/>
            <family val="2"/>
          </rPr>
          <t xml:space="preserve"> real</t>
        </r>
        <r>
          <rPr>
            <sz val="8"/>
            <color indexed="81"/>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1"/>
            <rFont val="Tahoma"/>
            <family val="2"/>
          </rPr>
          <t xml:space="preserve">How does the template forecast it?
</t>
        </r>
        <r>
          <rPr>
            <sz val="8"/>
            <color indexed="81"/>
            <rFont val="Tahoma"/>
            <family val="2"/>
          </rPr>
          <t xml:space="preserve">The template uses a rule of thumb and forecasts the service cost by considering the changes in discount rates (if forecasted - we think its unlikely) on row 8. </t>
        </r>
      </text>
    </comment>
    <comment ref="A20" authorId="0">
      <text>
        <r>
          <rPr>
            <b/>
            <sz val="8"/>
            <color indexed="81"/>
            <rFont val="Tahoma"/>
            <family val="2"/>
          </rPr>
          <t xml:space="preserve">
Prior service cost</t>
        </r>
        <r>
          <rPr>
            <sz val="8"/>
            <color indexed="81"/>
            <rFont val="Tahoma"/>
            <family val="2"/>
          </rPr>
          <t xml:space="preserve"> : When a plan is amended to change benefits, the PBO is re-measured to reflect the new benefit formula. These differences are smoothed into OPEB expense over the remaining service life of employees as prior service costs. </t>
        </r>
        <r>
          <rPr>
            <b/>
            <sz val="8"/>
            <color indexed="81"/>
            <rFont val="Tahoma"/>
            <family val="2"/>
          </rPr>
          <t xml:space="preserve">
How to forecast this line item if OPEB is material for my company?</t>
        </r>
        <r>
          <rPr>
            <sz val="8"/>
            <color indexed="81"/>
            <rFont val="Tahoma"/>
            <family val="2"/>
          </rPr>
          <t xml:space="preserve">
Becasue these are the differences due to amendments in plan benefits, that are then smoothed over a period of time - they tend to be persistent. They should thus be flat lied in forecast years.
</t>
        </r>
        <r>
          <rPr>
            <b/>
            <sz val="8"/>
            <color indexed="81"/>
            <rFont val="Tahoma"/>
            <family val="2"/>
          </rPr>
          <t>How does the template forecast it?</t>
        </r>
        <r>
          <rPr>
            <sz val="8"/>
            <color indexed="81"/>
            <rFont val="Tahoma"/>
            <family val="2"/>
          </rPr>
          <t xml:space="preserve">
The template does not make an attempt to forecast this line item and flat lines it in forecast years.</t>
        </r>
      </text>
    </comment>
    <comment ref="A21" authorId="0">
      <text>
        <r>
          <rPr>
            <b/>
            <sz val="8"/>
            <color indexed="81"/>
            <rFont val="Tahoma"/>
            <family val="2"/>
          </rPr>
          <t xml:space="preserve">
Interest cost</t>
        </r>
        <r>
          <rPr>
            <sz val="8"/>
            <color indexed="81"/>
            <rFont val="Tahoma"/>
            <family val="2"/>
          </rPr>
          <t xml:space="preserve"> is the discount rate (see row 8) times the PBO. It represents the financing cost of the gross liability i.e. PBO.</t>
        </r>
        <r>
          <rPr>
            <b/>
            <sz val="8"/>
            <color indexed="81"/>
            <rFont val="Tahoma"/>
            <family val="2"/>
          </rPr>
          <t xml:space="preserve">
How to forecast this line item if OPEB is material for my company?</t>
        </r>
        <r>
          <rPr>
            <sz val="8"/>
            <color indexed="81"/>
            <rFont val="Tahoma"/>
            <family val="2"/>
          </rPr>
          <t xml:space="preserve">
Interest cost should be calculated as discount rate (BOP) (row 8) times the projected benefit obligation (BOP).
</t>
        </r>
        <r>
          <rPr>
            <b/>
            <sz val="8"/>
            <color indexed="81"/>
            <rFont val="Tahoma"/>
            <family val="2"/>
          </rPr>
          <t xml:space="preserve">How does the template forecast it?
</t>
        </r>
        <r>
          <rPr>
            <sz val="8"/>
            <color indexed="81"/>
            <rFont val="Tahoma"/>
            <family val="2"/>
          </rPr>
          <t>Interest cost is calculated as discount rate (BOP) times the projected benefit obligation (BOP).</t>
        </r>
      </text>
    </comment>
    <comment ref="A22"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OPEB expense. This will vary widely from company to company depending on asset mix and other assumptions.
*OPEB plans are usually unfuded, meaning they are not set up in trusts. So they usually don't have plan assets set aside to meet the obligations; exception: VEBA trusts. Companies with VEBA trusts only typically fund between 10% and 30% of the OPEB obligation</t>
        </r>
        <r>
          <rPr>
            <b/>
            <sz val="8"/>
            <color indexed="81"/>
            <rFont val="Tahoma"/>
            <family val="2"/>
          </rPr>
          <t xml:space="preserve">
How to forecast this line item if OPEB is material for my company?</t>
        </r>
        <r>
          <rPr>
            <sz val="8"/>
            <color indexed="81"/>
            <rFont val="Tahoma"/>
            <family val="2"/>
          </rPr>
          <t xml:space="preserve">
EROA should be calculated as management’s assumption of the long-term return times the FV of plan assets (BOP).
</t>
        </r>
        <r>
          <rPr>
            <b/>
            <sz val="8"/>
            <color indexed="81"/>
            <rFont val="Tahoma"/>
            <family val="2"/>
          </rPr>
          <t xml:space="preserve">How does the template forecast it?
</t>
        </r>
        <r>
          <rPr>
            <sz val="8"/>
            <color indexed="81"/>
            <rFont val="Tahoma"/>
            <family val="2"/>
          </rPr>
          <t>EROA is calculated as  management’s assumption of the long-term return times the FV of plan assets (BOP).</t>
        </r>
      </text>
    </comment>
    <comment ref="A23" authorId="0">
      <text>
        <r>
          <rPr>
            <sz val="8"/>
            <color indexed="81"/>
            <rFont val="Tahoma"/>
            <family val="2"/>
          </rPr>
          <t xml:space="preserve">
Companies that have voluntarily changed their GAAP pension accounting recognize all actuarial gains/losses that occurred during the year in the 4th quarter, instead of amortizing them over time. </t>
        </r>
        <r>
          <rPr>
            <b/>
            <sz val="8"/>
            <color indexed="81"/>
            <rFont val="Tahoma"/>
            <family val="2"/>
          </rPr>
          <t xml:space="preserve">
How to forecast this line item if Pension is material for my company?</t>
        </r>
        <r>
          <rPr>
            <sz val="8"/>
            <color indexed="81"/>
            <rFont val="Tahoma"/>
            <family val="2"/>
          </rPr>
          <t xml:space="preserve">
This line item is not important from an economic standpoint and is also impossible to forecast. You should set this line item equal to zero for the forecast years.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to recognize it immediately on the income statement.</t>
        </r>
      </text>
    </comment>
    <comment ref="A24" authorId="0">
      <text>
        <r>
          <rPr>
            <b/>
            <sz val="8"/>
            <color indexed="81"/>
            <rFont val="Tahoma"/>
            <family val="2"/>
          </rPr>
          <t xml:space="preserve">
In the template, this line item may include the total of:
</t>
        </r>
        <r>
          <rPr>
            <sz val="8"/>
            <color indexed="81"/>
            <rFont val="Tahoma"/>
            <family val="2"/>
          </rPr>
          <t>1</t>
        </r>
        <r>
          <rPr>
            <u/>
            <sz val="8"/>
            <color indexed="81"/>
            <rFont val="Tahoma"/>
            <family val="2"/>
          </rPr>
          <t xml:space="preserve">. Amortization of actuarial gains &amp; losses: </t>
        </r>
        <r>
          <rPr>
            <sz val="8"/>
            <color indexed="81"/>
            <rFont val="Tahoma"/>
            <family val="2"/>
          </rPr>
          <t>When the actual results of the plan (which are reported on the balance sheet) differ significantly from the actuarial estimates (which are reported on the income statement), these differences are smoothed into OPEB expense over time, usually over the average remaining working life of employees.</t>
        </r>
        <r>
          <rPr>
            <b/>
            <sz val="8"/>
            <color indexed="81"/>
            <rFont val="Tahoma"/>
            <family val="2"/>
          </rPr>
          <t xml:space="preserve">
</t>
        </r>
        <r>
          <rPr>
            <sz val="8"/>
            <color indexed="81"/>
            <rFont val="Tahoma"/>
            <family val="2"/>
          </rPr>
          <t>2</t>
        </r>
        <r>
          <rPr>
            <u/>
            <sz val="8"/>
            <color indexed="81"/>
            <rFont val="Tahoma"/>
            <family val="2"/>
          </rPr>
          <t>. Other adjustments</t>
        </r>
        <r>
          <rPr>
            <sz val="8"/>
            <color indexed="81"/>
            <rFont val="Tahoma"/>
            <family val="2"/>
          </rPr>
          <t xml:space="preserve"> such as settlements and curtailments. These tend to be one-time in nature, and related to plan changes.</t>
        </r>
        <r>
          <rPr>
            <b/>
            <sz val="8"/>
            <color indexed="81"/>
            <rFont val="Tahoma"/>
            <family val="2"/>
          </rPr>
          <t xml:space="preserve">
How to forecast this line item if OPEB is material for my company?
</t>
        </r>
        <r>
          <rPr>
            <sz val="8"/>
            <color indexed="81"/>
            <rFont val="Tahoma"/>
            <family val="2"/>
          </rPr>
          <t>Pension footnote discloses amortization of actuarial gains/ losses for the next fiscal year. For the remaining forecast years, you should use the approach mentioned below. Also, contact AST to make sure that the numbers make sense.</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It divides the actuarial loss for the year by avg. remaining working life of employees to compute the amortization for the year and then adds 
it to the amortization of accumulated gain / loss of previous year.</t>
        </r>
      </text>
    </comment>
    <comment ref="A25" authorId="0">
      <text>
        <r>
          <rPr>
            <b/>
            <sz val="8"/>
            <color indexed="81"/>
            <rFont val="Tahoma"/>
            <family val="2"/>
          </rPr>
          <t xml:space="preserve">
OPEB expense</t>
        </r>
        <r>
          <rPr>
            <sz val="8"/>
            <color indexed="81"/>
            <rFont val="Tahoma"/>
            <family val="2"/>
          </rPr>
          <t xml:space="preserve"> is an accrued OPEB expense and is entirely non-cash. It is calculated as Service cost (+) Interest cost (-) EROA (+/-) Amortization of actuarial gains/ losses / prior service cost.</t>
        </r>
      </text>
    </comment>
    <comment ref="A29" authorId="0">
      <text>
        <r>
          <rPr>
            <b/>
            <sz val="8"/>
            <color indexed="81"/>
            <rFont val="Tahoma"/>
            <family val="2"/>
          </rPr>
          <t xml:space="preserve">
PBO</t>
        </r>
        <r>
          <rPr>
            <sz val="8"/>
            <color indexed="81"/>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 the PBO. Also, benefits paid during the year decrease the PBO.</t>
        </r>
      </text>
    </comment>
    <comment ref="A30" authorId="0">
      <text>
        <r>
          <rPr>
            <b/>
            <sz val="8"/>
            <color indexed="81"/>
            <rFont val="Tahoma"/>
            <family val="2"/>
          </rPr>
          <t xml:space="preserve">
Service cost</t>
        </r>
        <r>
          <rPr>
            <sz val="8"/>
            <color indexed="81"/>
            <rFont val="Tahoma"/>
            <family val="2"/>
          </rPr>
          <t xml:space="preserve"> is incurred each period as employees earn new benefits for increased time of service and is thus added to PBO, which is the PV of the projected benefit obligations </t>
        </r>
        <r>
          <rPr>
            <u/>
            <sz val="8"/>
            <color indexed="81"/>
            <rFont val="Tahoma"/>
            <family val="2"/>
          </rPr>
          <t>earned to date.</t>
        </r>
        <r>
          <rPr>
            <b/>
            <sz val="8"/>
            <color indexed="81"/>
            <rFont val="Tahoma"/>
            <family val="2"/>
          </rPr>
          <t xml:space="preserve">
How to forecast this line item if OPEB is material for my company?
</t>
        </r>
        <r>
          <rPr>
            <sz val="8"/>
            <color indexed="81"/>
            <rFont val="Tahoma"/>
            <family val="2"/>
          </rPr>
          <t>It should be linked to service cost for the year already forecasted on the income statement.</t>
        </r>
        <r>
          <rPr>
            <b/>
            <sz val="8"/>
            <color indexed="81"/>
            <rFont val="Tahoma"/>
            <family val="2"/>
          </rPr>
          <t xml:space="preserve">
How does the template forecast it?
</t>
        </r>
        <r>
          <rPr>
            <sz val="8"/>
            <color indexed="81"/>
            <rFont val="Tahoma"/>
            <family val="2"/>
          </rPr>
          <t>It is linked to service cost for the year already forecasted on the income statement.</t>
        </r>
      </text>
    </comment>
    <comment ref="A31" authorId="0">
      <text>
        <r>
          <rPr>
            <b/>
            <sz val="8"/>
            <color indexed="81"/>
            <rFont val="Tahoma"/>
            <family val="2"/>
          </rPr>
          <t xml:space="preserve">
Interest cost is</t>
        </r>
        <r>
          <rPr>
            <sz val="8"/>
            <color indexed="81"/>
            <rFont val="Tahoma"/>
            <family val="2"/>
          </rPr>
          <t xml:space="preserve"> the financing cost of the gross liability and is thus added to PBO.</t>
        </r>
        <r>
          <rPr>
            <b/>
            <sz val="8"/>
            <color indexed="81"/>
            <rFont val="Tahoma"/>
            <family val="2"/>
          </rPr>
          <t xml:space="preserve">
How to forecast this line item if OPEB is material for my company?</t>
        </r>
        <r>
          <rPr>
            <sz val="8"/>
            <color indexed="81"/>
            <rFont val="Tahoma"/>
            <family val="2"/>
          </rPr>
          <t xml:space="preserve">
It should be linked to interest cost for the year already forecasted on the income statement.
</t>
        </r>
        <r>
          <rPr>
            <b/>
            <sz val="8"/>
            <color indexed="81"/>
            <rFont val="Tahoma"/>
            <family val="2"/>
          </rPr>
          <t>How does the template forecast it?</t>
        </r>
        <r>
          <rPr>
            <sz val="8"/>
            <color indexed="81"/>
            <rFont val="Tahoma"/>
            <family val="2"/>
          </rPr>
          <t xml:space="preserve">
It is linked to interest cost for the year already forecasted on the income statement.
</t>
        </r>
      </text>
    </comment>
    <comment ref="A32" authorId="0">
      <text>
        <r>
          <rPr>
            <b/>
            <sz val="8"/>
            <color indexed="81"/>
            <rFont val="Tahoma"/>
            <family val="2"/>
          </rPr>
          <t xml:space="preserve">
Actuarial loss (gain)</t>
        </r>
        <r>
          <rPr>
            <sz val="8"/>
            <color indexed="81"/>
            <rFont val="Tahoma"/>
            <family val="2"/>
          </rPr>
          <t xml:space="preserve"> is the magnitude of disconnect between actuarial estimates and actual experience in a company's OPEB plan. For example, if the interest (discount) rate used to compute the PV of benefit obligations declines, it results in increase in the obligations and the change in liability is accounted as an actuarial loss for the year.</t>
        </r>
        <r>
          <rPr>
            <b/>
            <sz val="8"/>
            <color indexed="81"/>
            <rFont val="Tahoma"/>
            <family val="2"/>
          </rPr>
          <t xml:space="preserve">
How to forecast this line item if OPEB is material for my company?
</t>
        </r>
        <r>
          <rPr>
            <sz val="8"/>
            <color indexed="81"/>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1"/>
            <rFont val="Tahoma"/>
            <family val="2"/>
          </rPr>
          <t xml:space="preserve">
How does the template forecast it?
</t>
        </r>
        <r>
          <rPr>
            <sz val="8"/>
            <color indexed="81"/>
            <rFont val="Tahoma"/>
            <family val="2"/>
          </rPr>
          <t>The template uses a rule of thumb and forecasts this number after considering the changes in discount rates on row 8.</t>
        </r>
      </text>
    </comment>
    <comment ref="A33" authorId="0">
      <text>
        <r>
          <rPr>
            <b/>
            <sz val="8"/>
            <color indexed="81"/>
            <rFont val="Tahoma"/>
            <family val="2"/>
          </rPr>
          <t xml:space="preserve">
Benefits payments </t>
        </r>
        <r>
          <rPr>
            <sz val="8"/>
            <color indexed="81"/>
            <rFont val="Tahoma"/>
            <family val="2"/>
          </rPr>
          <t>are the actual OPEB benefit payments made to the employees during the year. It reduces the OPEB liability by the amount of the benefits paid.</t>
        </r>
        <r>
          <rPr>
            <b/>
            <sz val="8"/>
            <color indexed="81"/>
            <rFont val="Tahoma"/>
            <family val="2"/>
          </rPr>
          <t xml:space="preserve">
How to forecast this line item if OPEB is material for my company?</t>
        </r>
        <r>
          <rPr>
            <sz val="8"/>
            <color indexed="81"/>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1"/>
            <rFont val="Tahoma"/>
            <family val="2"/>
          </rPr>
          <t xml:space="preserve">How does the template forecast it?
</t>
        </r>
        <r>
          <rPr>
            <sz val="8"/>
            <color indexed="81"/>
            <rFont val="Tahoma"/>
            <family val="2"/>
          </rPr>
          <t>Because benefit payments are usually steady in nature, the template flat lines it.</t>
        </r>
      </text>
    </comment>
    <comment ref="A34" authorId="0">
      <text>
        <r>
          <rPr>
            <b/>
            <sz val="8"/>
            <color indexed="81"/>
            <rFont val="Tahoma"/>
            <family val="2"/>
          </rPr>
          <t xml:space="preserve">
In the template, this line item may include the total of:</t>
        </r>
        <r>
          <rPr>
            <sz val="8"/>
            <color indexed="81"/>
            <rFont val="Tahoma"/>
            <family val="2"/>
          </rPr>
          <t xml:space="preserve">
1. Plan Amendments
2. Actuarial Adjustments
3. Exchange gains/losses
4. Settlements and curtailments
5. Acquisitions and Divestures
6. Other adjustments to PBO</t>
        </r>
        <r>
          <rPr>
            <b/>
            <sz val="8"/>
            <color indexed="81"/>
            <rFont val="Tahoma"/>
            <family val="2"/>
          </rPr>
          <t xml:space="preserve">
How to forecast this line item if OPEB is material for my company?</t>
        </r>
        <r>
          <rPr>
            <sz val="8"/>
            <color indexed="81"/>
            <rFont val="Tahoma"/>
            <family val="2"/>
          </rPr>
          <t xml:space="preserve">
This line item includes a set of miscellaneous items that are not important from an economic standpoint. They are also impossible to forecast. You should set it equal to zero for the forecast years.
</t>
        </r>
        <r>
          <rPr>
            <b/>
            <sz val="8"/>
            <color indexed="81"/>
            <rFont val="Tahoma"/>
            <family val="2"/>
          </rPr>
          <t xml:space="preserve">How does the template forecast it?
</t>
        </r>
        <r>
          <rPr>
            <sz val="8"/>
            <color indexed="81"/>
            <rFont val="Tahoma"/>
            <family val="2"/>
          </rPr>
          <t>The template does not make an attempt to forecast this line item and sets it equal to zero for the forecast years.</t>
        </r>
      </text>
    </comment>
    <comment ref="A37" authorId="0">
      <text>
        <r>
          <rPr>
            <b/>
            <sz val="8"/>
            <color indexed="81"/>
            <rFont val="Tahoma"/>
            <family val="2"/>
          </rPr>
          <t xml:space="preserve">
OPEB plan assets*</t>
        </r>
        <r>
          <rPr>
            <sz val="8"/>
            <color indexed="81"/>
            <rFont val="Tahoma"/>
            <family val="2"/>
          </rPr>
          <t xml:space="preserve"> are measured at the current fair value. Similar to other assets and liabilities measured at fair value, the company provides details about how it measured the fair value of its OPEB assets (in the VEBA truest) in the disclosures.
*OPEB plans are usually unfuded, meaning they are not set up in trusts. So they usually don't have plan assets set aside to meet the obligations; exception: VEBA trusts. Companies with VEBA trusts only typically fund between 10% and 30% of the OPEB obligation</t>
        </r>
      </text>
    </comment>
    <comment ref="A38" authorId="0">
      <text>
        <r>
          <rPr>
            <b/>
            <sz val="8"/>
            <color indexed="81"/>
            <rFont val="Tahoma"/>
            <family val="2"/>
          </rPr>
          <t xml:space="preserve">
Actual return </t>
        </r>
        <r>
          <rPr>
            <sz val="8"/>
            <color indexed="81"/>
            <rFont val="Tahoma"/>
            <family val="2"/>
          </rPr>
          <t xml:space="preserve">is the return generared on plan assets in VEBA trust.
</t>
        </r>
        <r>
          <rPr>
            <b/>
            <sz val="8"/>
            <color indexed="81"/>
            <rFont val="Tahoma"/>
            <family val="2"/>
          </rPr>
          <t>How to forecast this line item if OPEB is material for my company?</t>
        </r>
        <r>
          <rPr>
            <sz val="8"/>
            <color indexed="81"/>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1"/>
            <rFont val="Tahoma"/>
            <family val="2"/>
          </rPr>
          <t>How does the template forecast it?</t>
        </r>
        <r>
          <rPr>
            <sz val="8"/>
            <color indexed="81"/>
            <rFont val="Tahoma"/>
            <family val="2"/>
          </rPr>
          <t xml:space="preserve">
Actual return is calculated as actual rate of return (row12) times the FV of plan assets (BOP) + 0.5*contributions assuming that the contributions were made in the middle of the year.</t>
        </r>
      </text>
    </comment>
    <comment ref="A39" authorId="0">
      <text>
        <r>
          <rPr>
            <b/>
            <sz val="8"/>
            <color indexed="81"/>
            <rFont val="Tahoma"/>
            <family val="2"/>
          </rPr>
          <t xml:space="preserve">
Contributions</t>
        </r>
        <r>
          <rPr>
            <sz val="8"/>
            <color indexed="81"/>
            <rFont val="Tahoma"/>
            <family val="2"/>
          </rPr>
          <t xml:space="preserve"> are the payments that the company makes</t>
        </r>
        <r>
          <rPr>
            <u/>
            <sz val="8"/>
            <color indexed="81"/>
            <rFont val="Tahoma"/>
            <family val="2"/>
          </rPr>
          <t xml:space="preserve"> into the VEBA trust</t>
        </r>
        <r>
          <rPr>
            <sz val="8"/>
            <color indexed="81"/>
            <rFont val="Tahoma"/>
            <family val="2"/>
          </rPr>
          <t xml:space="preserve">, for future benefit payments. </t>
        </r>
        <r>
          <rPr>
            <b/>
            <sz val="8"/>
            <color indexed="81"/>
            <rFont val="Tahoma"/>
            <family val="2"/>
          </rPr>
          <t xml:space="preserve">
How to forecast this line item if OPEB is material for my company?
</t>
        </r>
        <r>
          <rPr>
            <sz val="8"/>
            <color indexed="81"/>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 company does not have a VEBA trust, then they most likely make the benefit payments on 'pay as you go' basis. The cash outflow in that case is going to be 'benefits paid' for the period.</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does not forecast the contributions and leaves it to the analyst team to investigate whether the company has a separate VEBA trust to maintain the plan assets. If they do, then enter the numbers that the company discloses in the footnote.. if they don't then enter this number same as benefits paid forecasted on row 40 (opposite sign), that way plan assets will remain zero but the correct cash outflow will get captured on row 52.</t>
        </r>
      </text>
    </comment>
    <comment ref="L39" authorId="1">
      <text>
        <r>
          <rPr>
            <b/>
            <sz val="8"/>
            <color indexed="81"/>
            <rFont val="Tahoma"/>
            <family val="2"/>
          </rPr>
          <t>diahuang:</t>
        </r>
        <r>
          <rPr>
            <sz val="8"/>
            <color indexed="81"/>
            <rFont val="Tahoma"/>
            <family val="2"/>
          </rPr>
          <t xml:space="preserve">
2013 10k: In 2014, we expect to contribute approximately $14 million to our unfunded pension plans for payments to pensioners and approximately $50 million to our other postretirement benefit plans for retiree health and death benefits. We do not expect to contribute to our funded pension plan in 2014.</t>
        </r>
      </text>
    </comment>
    <comment ref="A40" authorId="0">
      <text>
        <r>
          <rPr>
            <b/>
            <sz val="8"/>
            <color indexed="81"/>
            <rFont val="Tahoma"/>
            <family val="2"/>
          </rPr>
          <t xml:space="preserve">
Benefits payments </t>
        </r>
        <r>
          <rPr>
            <sz val="8"/>
            <color indexed="81"/>
            <rFont val="Tahoma"/>
            <family val="2"/>
          </rPr>
          <t>are the actual OPEB benefit payments made to the employees during the year. These payments are usually paid out of VEBA trust i.e. OPEB plan assets</t>
        </r>
        <r>
          <rPr>
            <u/>
            <sz val="8"/>
            <color indexed="81"/>
            <rFont val="Tahoma"/>
            <family val="2"/>
          </rPr>
          <t xml:space="preserve"> if the company has set up the VEBA trust</t>
        </r>
        <r>
          <rPr>
            <sz val="8"/>
            <color indexed="81"/>
            <rFont val="Tahoma"/>
            <family val="2"/>
          </rPr>
          <t xml:space="preserve"> </t>
        </r>
        <r>
          <rPr>
            <b/>
            <sz val="8"/>
            <color indexed="81"/>
            <rFont val="Tahoma"/>
            <family val="2"/>
          </rPr>
          <t>OR</t>
        </r>
        <r>
          <rPr>
            <sz val="8"/>
            <color indexed="81"/>
            <rFont val="Tahoma"/>
            <family val="2"/>
          </rPr>
          <t xml:space="preserve"> partly out of the VEBA trust &amp; partly out of the company cash flow </t>
        </r>
        <r>
          <rPr>
            <b/>
            <sz val="8"/>
            <color indexed="81"/>
            <rFont val="Tahoma"/>
            <family val="2"/>
          </rPr>
          <t>OR</t>
        </r>
        <r>
          <rPr>
            <sz val="8"/>
            <color indexed="81"/>
            <rFont val="Tahoma"/>
            <family val="2"/>
          </rPr>
          <t xml:space="preserve"> entirely out of the company cash flow if the company doesn't have the VEBA trust. </t>
        </r>
        <r>
          <rPr>
            <b/>
            <sz val="8"/>
            <color indexed="81"/>
            <rFont val="Tahoma"/>
            <family val="2"/>
          </rPr>
          <t xml:space="preserve">
How to forecast this line item if OPEB is material for my company?</t>
        </r>
        <r>
          <rPr>
            <sz val="8"/>
            <color indexed="81"/>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depending on whether the company has set up the VEBA trust. If they don't you need to assume that the company pays it entirely out of the cash flow as and when due.
</t>
        </r>
        <r>
          <rPr>
            <b/>
            <sz val="8"/>
            <color indexed="81"/>
            <rFont val="Tahoma"/>
            <family val="2"/>
          </rPr>
          <t xml:space="preserve">How does the template forecast it?
</t>
        </r>
        <r>
          <rPr>
            <sz val="8"/>
            <color indexed="81"/>
            <rFont val="Tahoma"/>
            <family val="2"/>
          </rPr>
          <t>The template does not forecast this number because different companies have different facts as mentioned above. You need to fill out the numbers based on these facts. Please get in touch with AST if unsure how to handle this.</t>
        </r>
      </text>
    </comment>
    <comment ref="A41" authorId="0">
      <text>
        <r>
          <rPr>
            <b/>
            <sz val="8"/>
            <color indexed="81"/>
            <rFont val="Tahoma"/>
            <family val="2"/>
          </rPr>
          <t xml:space="preserve">
In the template, this line item may include the total of:</t>
        </r>
        <r>
          <rPr>
            <sz val="8"/>
            <color indexed="81"/>
            <rFont val="Tahoma"/>
            <family val="2"/>
          </rPr>
          <t xml:space="preserve">
1. Acquisitions and Divestitures 
2. Settlements and curtailments
3. Exchange rate changes 
4. Other adjustments to plan assets
</t>
        </r>
        <r>
          <rPr>
            <b/>
            <sz val="8"/>
            <color indexed="81"/>
            <rFont val="Tahoma"/>
            <family val="2"/>
          </rPr>
          <t xml:space="preserve">How to forecast this line item if OPEB is material for my company?
</t>
        </r>
        <r>
          <rPr>
            <sz val="8"/>
            <color indexed="81"/>
            <rFont val="Tahoma"/>
            <family val="2"/>
          </rPr>
          <t>This line item includes a set of miscellaneous items that are not important from an economic standpoint. They are also impossible to forecast. You should set this line item equal to zero for the forecast years.</t>
        </r>
        <r>
          <rPr>
            <b/>
            <sz val="8"/>
            <color indexed="81"/>
            <rFont val="Tahoma"/>
            <family val="2"/>
          </rPr>
          <t xml:space="preserve">
How does the template forecast it?
</t>
        </r>
        <r>
          <rPr>
            <sz val="8"/>
            <color indexed="81"/>
            <rFont val="Tahoma"/>
            <family val="2"/>
          </rPr>
          <t>The template does not make an attempt to forecast this line item and sets it equal to zero for the forecast years.</t>
        </r>
      </text>
    </comment>
    <comment ref="A44" authorId="0">
      <text>
        <r>
          <rPr>
            <b/>
            <sz val="8"/>
            <color indexed="81"/>
            <rFont val="Tahoma"/>
            <family val="2"/>
          </rPr>
          <t xml:space="preserve">
Funded status </t>
        </r>
        <r>
          <rPr>
            <sz val="8"/>
            <color indexed="81"/>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 
The pension obligation on the balance sheet is tax-deductible when a company contributes to the plan. Companies report it gross of tax (i.e. funded status), and the corresponding tax benefit is recorded as a deferred tax asset on the BS. The tax deductibility of pension debt is an important difference as compared to traditional debt. When a company takes on traditional debt, interest is deductible, but the debt principal payments are not.
When looking at metrics that include pension debt (such as net debt) analysts should subtract the corresponding DTA to capture the true liability.</t>
        </r>
      </text>
    </comment>
    <comment ref="A47" authorId="0">
      <text>
        <r>
          <rPr>
            <b/>
            <sz val="8"/>
            <color indexed="81"/>
            <rFont val="Tahoma"/>
            <family val="2"/>
          </rPr>
          <t xml:space="preserve">
DTAs: </t>
        </r>
        <r>
          <rPr>
            <sz val="8"/>
            <color indexed="81"/>
            <rFont val="Tahoma"/>
            <family val="2"/>
          </rPr>
          <t>The OPEB obligation on the balance sheet is tax-deductible as they are paid. The obligation on the balance sheet is reported gross of tax, and the corresponding tax benefits are part of deferred tax assets (DTA).
Unlike pensions, companies do not have the same incentives to pre-fund OPEB obligations, and as a result, most companies do not set up a separate trust for the OPEB plan*. Since the plan is unfunded, there are no plan assets, and there are no contributions to the plan. Instead, the company pays the costs of benefits directly to retirees.
*Some companies set up what is known as a Variable Employees’ Beneficiary Association (VEBA) Trust. From a tax perspective, these trusts function similarly to a pension plan, allowing some tax-deductible contributions. The allowable contributions are usually a relatively low percentage of the total obligation, so companies with VEBA trusts only typically fund between 10% and 30% of the OPEB obligation.</t>
        </r>
        <r>
          <rPr>
            <sz val="8"/>
            <color indexed="81"/>
            <rFont val="Tahoma"/>
            <family val="2"/>
          </rPr>
          <t xml:space="preserve">
</t>
        </r>
        <r>
          <rPr>
            <b/>
            <sz val="8"/>
            <color indexed="81"/>
            <rFont val="Tahoma"/>
            <family val="2"/>
          </rPr>
          <t>How to forecast this line item if Pension is material for my company?</t>
        </r>
        <r>
          <rPr>
            <sz val="8"/>
            <color indexed="81"/>
            <rFont val="Tahoma"/>
            <family val="2"/>
          </rPr>
          <t xml:space="preserve">
DTA's thus should be = tax rate x forecasted funded status.
</t>
        </r>
        <r>
          <rPr>
            <b/>
            <sz val="8"/>
            <color indexed="81"/>
            <rFont val="Tahoma"/>
            <family val="2"/>
          </rPr>
          <t xml:space="preserve">How does the template forecast it?
</t>
        </r>
        <r>
          <rPr>
            <sz val="8"/>
            <color indexed="81"/>
            <rFont val="Tahoma"/>
            <family val="2"/>
          </rPr>
          <t>It is calculated as tax rate times forecasted funded status.</t>
        </r>
      </text>
    </comment>
    <comment ref="A51" authorId="0">
      <text>
        <r>
          <rPr>
            <b/>
            <sz val="8"/>
            <color indexed="81"/>
            <rFont val="Tahoma"/>
            <family val="2"/>
          </rPr>
          <t xml:space="preserve">
OPEB expense</t>
        </r>
        <r>
          <rPr>
            <sz val="8"/>
            <color indexed="81"/>
            <rFont val="Tahoma"/>
            <family val="2"/>
          </rPr>
          <t xml:space="preserve"> is an accrued OPEB expense and is entirely non-cash. It is thus added back in cash flow from operations as a non-cash item.</t>
        </r>
      </text>
    </comment>
    <comment ref="A52" authorId="0">
      <text>
        <r>
          <rPr>
            <b/>
            <sz val="8"/>
            <color indexed="81"/>
            <rFont val="Tahoma"/>
            <family val="2"/>
          </rPr>
          <t xml:space="preserve">
Contributions</t>
        </r>
        <r>
          <rPr>
            <sz val="8"/>
            <color indexed="81"/>
            <rFont val="Tahoma"/>
            <family val="2"/>
          </rPr>
          <t xml:space="preserve"> are the companies’ payments to the VEBA trust. These are thus the cash flows on a companies cash flow
statement.</t>
        </r>
      </text>
    </comment>
    <comment ref="A59" authorId="0">
      <text>
        <r>
          <rPr>
            <b/>
            <sz val="8"/>
            <color indexed="81"/>
            <rFont val="Tahoma"/>
            <family val="2"/>
          </rPr>
          <t xml:space="preserve">
Why?
</t>
        </r>
        <r>
          <rPr>
            <sz val="8"/>
            <color indexed="81"/>
            <rFont val="Tahoma"/>
            <family val="2"/>
          </rPr>
          <t>Contributions are companies’ payments to the VEBA trust. They thus represent a reduction in operating cash flow of the company in the year in which they are made.
If the compay does not have the trust, this number should reflect the benefit payments made to the employees.</t>
        </r>
      </text>
    </comment>
    <comment ref="A60" authorId="0">
      <text>
        <r>
          <rPr>
            <b/>
            <sz val="8"/>
            <color indexed="81"/>
            <rFont val="Tahoma"/>
            <family val="2"/>
          </rPr>
          <t xml:space="preserve">
Why?</t>
        </r>
        <r>
          <rPr>
            <sz val="8"/>
            <color indexed="81"/>
            <rFont val="Tahoma"/>
            <family val="2"/>
          </rPr>
          <t xml:space="preserve">
OPEB expense/ (income) is a non-cash number and thus needs to be added back on the cash flow statement.</t>
        </r>
      </text>
    </comment>
    <comment ref="A61" authorId="0">
      <text>
        <r>
          <rPr>
            <b/>
            <sz val="8"/>
            <color indexed="81"/>
            <rFont val="Tahoma"/>
            <family val="2"/>
          </rPr>
          <t xml:space="preserve">
Why?
</t>
        </r>
        <r>
          <rPr>
            <sz val="8"/>
            <color indexed="81"/>
            <rFont val="Tahoma"/>
            <family val="2"/>
          </rPr>
          <t>The OPEB obligation on the balance sheet is tax-deductible as they are paid. The obligation on the balance sheet is reported gross of tax, and the corresponding tax benefits are part of deferred tax assets (DTA).</t>
        </r>
      </text>
    </comment>
    <comment ref="A66" authorId="0">
      <text>
        <r>
          <rPr>
            <b/>
            <sz val="8"/>
            <color indexed="81"/>
            <rFont val="Tahoma"/>
            <family val="2"/>
          </rPr>
          <t xml:space="preserve">
Why?
</t>
        </r>
        <r>
          <rPr>
            <sz val="8"/>
            <color indexed="81"/>
            <rFont val="Tahoma"/>
            <family val="2"/>
          </rPr>
          <t>Improvement/deterioration in funded status during the year will decrease /increase the net OPEB liability for the year and thus needs to be captured in this line item.</t>
        </r>
        <r>
          <rPr>
            <b/>
            <sz val="8"/>
            <color indexed="81"/>
            <rFont val="Tahoma"/>
            <family val="2"/>
          </rPr>
          <t xml:space="preserve">
</t>
        </r>
      </text>
    </comment>
    <comment ref="A67" authorId="0">
      <text>
        <r>
          <rPr>
            <b/>
            <sz val="8"/>
            <color indexed="81"/>
            <rFont val="Tahoma"/>
            <family val="2"/>
          </rPr>
          <t xml:space="preserve">
Why?
</t>
        </r>
        <r>
          <rPr>
            <sz val="8"/>
            <color indexed="81"/>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1"/>
            <rFont val="Tahoma"/>
            <family val="2"/>
          </rPr>
          <t>Accumulated other comprehensive income (AOCI).</t>
        </r>
      </text>
    </comment>
  </commentList>
</comments>
</file>

<file path=xl/comments6.xml><?xml version="1.0" encoding="utf-8"?>
<comments xmlns="http://schemas.openxmlformats.org/spreadsheetml/2006/main">
  <authors>
    <author>elizthys</author>
    <author>godjohn</author>
  </authors>
  <commentList>
    <comment ref="A1" authorId="0">
      <text>
        <r>
          <rPr>
            <b/>
            <sz val="8"/>
            <color indexed="81"/>
            <rFont val="Tahoma"/>
            <family val="2"/>
          </rPr>
          <t>卟䙄_x0001_＀＀챻亭_x0016_华幃彐剐䍉Ņ㘠㌯⼰〲〱_x0018_＀＀_x0018_＀＀_x0008_＀＀_x0001_＀＀_x0001_＀＀晧晦虦䁊챻亭_x0016_华幃彐剐䍉Ņ㘠㌯⼰〲ㄱ_x0018_＀＀_x0018_＀＀_x0008_＀＀_x0001_＀＀_x0001_＀＀凬Ẹ뮅䁒燒䶸&amp;华幃䅃偟久当十彔义䅔䝎ㄨ⼲〲㤰ⰬⰬ单⥄_x0018_＀＀_x0018_＀＀_x0008_＀＀_x0001_＀＀_x0001_＀＀豀碵꼝쐕燒䶸(华幃䅃偟久当䅐呒䍟乏剔䉉ㄨ⼲〲㔰ⰬⰬ单⥄_x0018_＀＀_x0018_＀＀_x0008_＀＀_x0001_＀＀_x0001_＀＀＀＀＀＀＀＀＀＀燒䶸#华幃䅃偟协剔呅䱟䅉⡂㈱㈯㄰ⰰⰬ唬䑓착_x0018_＀＀_x0018_＀＀_x0008_＀＀_x0001_＀＀_x0001_＀＀＀＀＀＀䀀삌燑䶸+华幃䅃偟协剔呅偟剁彔佃呎䥒⡂㈱㈯〰ⰸⰬ唬䑓착_x0018_＀＀_x0018_＀＀_x0008_＀＀_x0001_＀＀_x0001_＀＀＀＀＀＀＀＀＀＀ﺰ争_x000F_千幘䝆偟䥒䕃〨착_x0018_＀＀_x0018_＀＀_x0008_＀＀_x0001_＀＀_x0001_＀＀凬Ẹꮅ䀲챻亭_x0016_华幃彐剐䍉Ņㄠ㌯⼱〲㈰_x0018_＀＀_x0018_＀＀_x0008_＀＀_x0001_＀＀_x0001_＀＀쳍쳌賌䀶燒䶸(华幃䅃偟久当偐彄䕂彎佃呓ㄨ⼲〲㘰ⰬⰬ单⥄_x0018_＀＀_x0018_＀＀_x0008_＀＀_x0001_＀＀_x0001_＀＀豀碵꼝쐕燒䶸%华幃䅃偟久当呌䅟卓呅⡓㈱㈯〰ⰷⰬ唬䑓착_x0018_＀＀_x0018_＀＀_x0008_＀＀_x0001_＀＀_x0001_＀＀＀＀＀＀䁽燑䶸E华幃䅃偟协剔呅䉟久佟⡂㈱㈯〰ⰳⰬ唬䑓䀩南䡟呌䍈剁彅䉐⡏㈱㈯〰ⰳⰬ唬䑓착_x0018_＀＀_x0018_＀＀_x0008_＀＀_x0001_＀＀_x0001_＀＀＀＀＀＀＀＀䂃챻亭_x0016_华幃彐剐䍉Ņㄠ㌯⼱〲㌰_x0018_＀＀_x0018_＀＀_x0008_＀＀_x0001_＀＀_x0001_＀＀㌴㌳댳䀳챻亭_x0016_华幃彐剐䍉Ņㄠ㌯⼱〲㐰_x0018_＀＀_x0018_＀＀_x0008_＀＀_x0001_＀＀_x0001_＀＀쳍쳌䳌䀶챻亭_x0016_华幃彐剐䍉Ņㄠ㌯⼱〲㔰_x0018_＀＀_x0018_＀＀_x0008_＀＀_x0001_＀＀_x0001_＀＀⣶轜痂䁁챻亭_x0016_华幃彐剐䍉Ņㄠ㌯⼱〲㘰_x0018_＀＀_x0018_＀＀_x0008_＀＀_x0001_＀＀_x0001_＀＀凬Ẹ䁈燑䶸,华幃䅃偟协剔呅䕟偍䍟乏剔䉉䍟ㄨ⼲〲㤰ⰬⰬ单⥄_x0018_＀＀_x0018_＀＀_x0008_＀＀_x0001_＀＀_x0001_＀＀＀＀＀＀耀䁋챻亭_x0016_华幃彐剐䍉Ņㄠ㌯⼱〲㜰_x0018_＀＀_x0018_＀＀_x0008_＀＀_x0001_＀＀_x0001_＀＀㌳㌳팳䁈燒䶸&lt;华幃南偟久䥓乏䅟卓呅当佂䑎⡓㈱㈯〰⤷䍀彁䕐华偟呃䙟⡉㈱㈯〰⤷_x0018_＀＀_x0018_＀＀_x0008_＀＀_x0001_＀＀_x0001_＀＀＀＀＀＀＀＀䀹챻亭_x0016_华幃彐剐䍉Ņㄠ㌯⼱〲㠰_x0018_＀＀_x0018_＀＀_x0008_＀＀_x0001_＀＀_x0001_＀＀롒蔞㇫䁋챻亭_x0016_华幃彐剐䍉Ņㄠ㌯⼱〲㤰_x0018_＀＀_x0018_＀＀_x0008_＀＀_x0001_＀＀_x0001_＀＀䞮竡⸔䁃玸仳_x0016_华幃彐剐䍉Ņㄱㄯ⼱〲ㄱ_x0018_＀＀_x0018_＀＀_x0008_＀＀_x0001_＀＀_x0001_＀＀轜䁒燒䶸 华幃南䕟䍘彈䅒䕔ㄨ⼲〲㐰ⰬⰬ单⥄_x0018_＀＀_x0018_＀＀_x0008_＀＀_x0001_＀＀_x0001_＀＀＀＀＀＀＀＀㿰燑䶸J华幃䅃偟协剔呅剟䅏䅟呃ㄨ⼲〲〱ⰬⰬ单⥄址当䱈䡔䅃䕒䅟呃剟䅏ㄨ⼲〲〱ⰬⰬ单⥄_x0018_＀＀_x0018_＀＀_x0008_＀＀_x0001_＀＀_x0001_＀＀＀＀＀＀＀＀䀱燑䶸P华幃䅃偟协剔呅偟䅌彎十彔久⡄㈱㈯〰ⰳⰬ唬䑓䀩南䡟呌䍈剁彅噆䅟卓呅ㄨ⼲〲㌰ⰬⰬ单⥄_x0018_＀＀_x0018_＀＀_x0008_＀＀_x0001_＀＀_x0001_＀＀＀＀＀＀䀀䁠챻亭_x0016_华幃彐剐䍉Ņ㜠㌯⼱〲㈰_x0018_＀＀_x0018_＀＀_x0008_＀＀_x0001_＀＀_x0001_＀＀＀＀＀＀䀀䀴燒䶸J华幃䅃偟久当䱐乁䅟呓ㄨ⼲〲㜰ⰬⰬ单⥄址当䕐华佉彎䅖彌十䕓協ㄨ⼲〲㜰ⰬⰬ单⥄_x0018_＀＀_x0018_＀＀_x0008_＀＀_x0001_＀＀_x0001_＀＀＀＀＀＀가䂞燒䶸)华幃䅃偟久当䵅彐佃呎䥒彂⡃㈱㈯〰ⰵⰬ唬䑓착_x0018_＀＀_x0018_＀＀_x0008_＀＀_x0001_＀＀_x0001_＀＀＀＀＀＀＀＀䀘燒䶸)华幃䅃偟协剔呅佟䡔䑁彊䉎⡁㈱㈯〰ⰸⰬ唬䑓착_x0018_＀＀_x0018_＀＀_x0008_＀＀_x0001_＀＀_x0001_＀＀＀＀＀＀䁵챻亭_x0016_华幃彐剐䍉Ņ㜠㌯⼱〲㌰_x0018_＀＀_x0018_＀＀_x0008_＀＀_x0001_＀＀_x0001_＀＀ᑻ䞮㫡䀳챻亭_x0016_华幃彐剐䍉Ņ㜠㌯⼱〲㐰_x0018_＀＀_x0018_＀＀_x0008_＀＀_x0001_＀＀_x0001_＀＀㵱휊낣䀺챻亭_x0016_华幃彐剐䍉Ņ㜠㌯⼱〲㔰_x0018_＀＀_x0018_＀＀_x0008_＀＀_x0001_＀＀_x0001_＀＀ᑻ䞮髡䁂੔伋5刣晥敲桳帣䅃偟久当䕎彔佃呓丨⥁址当䕐华佉彎偎彐塅⡐䅎착_x0018_＀＀_x0018_＀＀_x0008_＀＀_x0001_＀＀_x0001_＀＀豀碵꼝쐕챻亭_x0016_华幃彐剐䍉Ņ㜠㌯⼱〲㘰_x0018_＀＀_x0018_＀＀_x0008_＀＀_x0001_＀＀_x0001_＀＀⣶轜뗂䁅燒䶸%华幃䅃偟久当啃归䥌䉁⡓㈱㈯〰ⰹⰬ唬䑓착_x0018_＀＀_x0018_＀＀_x0008_＀＀_x0001_＀＀_x0001_＀＀＀＀＀＀＀＀䀦챻亭_x0016_华幃彐剐䍉Ņ㜠㌯⼱〲㜰_x0018_＀＀_x0018_＀＀_x0008_＀＀_x0001_＀＀_x0001_＀＀炤਽䁊챻亭_x0016_华幃彐剐䍉Ņ㜠㌯⼱〲㠰_x0018_＀＀_x0018_＀＀_x0008_＀＀_x0001_＀＀_x0001_＀＀ᑻ䞮﫡䁑챻亭_x0016_华幃彐剐䍉Ņ㜠㌯⼱〲㤰_x0018_＀＀_x0018_＀＀_x0008_＀＀_x0001_＀＀_x0001_＀＀＀＀＀＀ꀀ䁅燒䶸"华幃南偟久䥓乏偟佂ㄨ⼲〲㐰ⰬⰬ单⥄_x0018_＀＀_x0018_＀＀_x0008_＀＀_x0001_＀＀_x0001_＀＀＀＀＀＀頀䂘燑䶸J华幃䅃偟协剔呅剟䅏䅟呃ㄨ⼲〲㜰ⰬⰬ单⥄址当䱈䡔䅃䕒䅟呃剟䅏ㄨ⼲〲㜰ⰬⰬ单⥄_x0018_＀＀_x0018_＀＀_x0008_＀＀_x0001_＀＀_x0001_＀＀＀＀＀＀＀＀䀘燒䶸;华幃南偟久䥓乏䅟卓呅当呏⡈㈱㈯〰⤷䍀彁䕐华偟呃佟䡔ㄨ⼲〲㜰착_x0018_＀＀_x0018_＀＀_x0008_＀＀_x0001_＀＀_x0001_＀＀＀＀＀＀＀＀＀＀燑䶸＀Ｏ华幃南䡟呌䍈剁彅䵁剏彔䕓噒䍟协⡔㈱㈯〰ⰵⰬ唬䑓착_x0018_＀＀_x0018_＀＀_x0008_＀＀_x0001_＀＀_x0001_＀＀＀＀＀＀＀＀쀠燒䶸(华幃南䡟呌䍈剁彅乕彆䕂⡎㈱㈯〰ⰵⰬ唬䑓⤩＀＀＀＀燒䶸H华幃䅃偟久当义彔佃呓ㄨ⼲〲㐰ⰬⰬ单⥄址当䕐华佉彎义彔佃呓ㄨ⼲〲㐰ⰬⰬ单⥄_x0018_＀＀_x0018_＀＀_x0008_＀＀_x0001_＀＀_x0001_＀＀＀＀＀＀䀀䁖੔伋!刣晥敲桳帣南䕟䍘彈䅒䕔䥟䍎䍟⡆䅎착_x0018_＀＀_x0018_＀＀_x0008_＀＀_x0001_＀＀_x0001_＀＀豀碵꼝쐕燒䶸 华幃南䕟䍘彈䅒䕔ㄨ⼲〲〱ⰬⰬ单⥄_x0018_＀＀_x0018_＀＀_x0008_＀＀_x0001_＀＀_x0001_＀＀＀＀＀＀＀＀㿰燑䶸M华幃䅃偟协剔呅卟噒䍟协⡔㈱㈯㄰ⰰⰬ唬䑓䀩南䡟呌䍈剁彅䕓噒䍟协⡔㈱㈯㄰ⰰⰬ唬䑓착_x0018_＀＀_x0018_＀＀_x0008_＀＀_x0001_＀＀_x0001_＀＀＀＀＀＀＀＀䀰燒䶸$华幃䅃偟久当䕂彎䅐䑉ㄨ⼲〲㜰ⰬⰬ单⥄_x0018_＀＀_x0018_＀＀_x0008_＀＀_x0001_＀＀_x0001_＀＀＀＀＀＀耀䁛燒䶸;华幃南偟久䥓乏䅟卓呅当剐偏ㄨ⼲〲㘰䀩䅃偟久当䍐彔䕒ㄨ⼲〲㘰착_x0018_＀＀_x0018_＀＀_x0008_＀＀_x0001_＀＀_x0001_＀＀＀＀＀＀＀＀＀＀燒䶸(华幃南偟久䥓乏䅟卓呅当呌ㄨ⼲〲㔰ⰬⰬ单⥄_x0018_＀＀_x0018_＀＀_x0008_＀＀_x0001_＀＀_x0001_＀＀豀碵꼝쐕燒䶸'华幃䅃偟久当商䑎卟䅔啔⡓㈱㈯〰ⰵⰬ唬䑓착_x0018_＀＀_x0018_＀＀_x0008_＀＀_x0001_＀＀_x0001_＀＀＀＀＀＀ꀀ䂀燒䶸T华幃䅃偟协剔呅偟䥒剏卟噒ㄨ⼲〲㤰ⰬⰬ单⥄址当䱈䡔䅃䕒啟剎䍅卟剅彖佃呓ㄨ⼲〲㤰ⰬⰬ单⥄_x0018_＀＀_x0018_＀＀_x0008_＀＀_x0001_＀＀_x0001_＀＀＀＀＀＀＀＀＀＀챻亭_x0016_华幃彐剐䍉Ņㄠ㌯⼱〲〱_x0018_＀＀_x0018_＀＀_x0008_＀＀_x0001_＀＀_x0001_＀＀ᑺ螮䁇챻亭_x0016_华幃彐剐䍉Ņㄠ㌯⼱〲ㄱ_x0018_＀＀_x0018_＀＀_x0008_＀＀_x0001_＀＀_x0001_＀＀Ẹ顑䁎燑䶸L华幃䅃偟协剔呅䥟呎䍟协⡔㈱㈯〰ⰹⰬ唬䑓䀩南䡟呌䍈剁彅义彔佃呓ㄨ⼲〲㤰ⰬⰬ单⥄_x0018_＀＀_x0018_＀＀_x0008_＀＀_x0001_＀＀_x0001_＀＀＀＀＀＀耀䁌燑䶸-华幃䅃偟协剔呅啟归剔佟彂䵁剏⡔㈱㈯〰ⰴⰬ唬䑓착_x0018_＀＀_x0018_＀＀_x0008_＀＀_x0001_＀＀_x0001_＀＀＀＀＀＀＀＀＀＀燑䶸)华幃南䡟呌䍈剁彅䥄䍓剟呁⡅㈱㈯〰ⰸⰬ唬䑓착_x0018_＀＀_x0018_＀＀_x0008_＀＀_x0001_＀＀_x0001_＀＀＀＀＀＀＀＀䀙燑䶸[华幃南剟久䅔彌偏䱟䕓䕟偘ㄨ⼲〲㘰ㄬ⼲〲㘰ⰬⰬ单⥄䍀彁呒剟久彔䥍彎塅⡐㈱㈯〰ⰶ㈱㈯〰ⰶⰬ唬䑓착_x0018_＀＀_x0018_＀＀_x0008_＀＀_x0001_＀＀_x0001_＀＀＀＀＀＀ꀀ䁨燒䶸)华幃南偟久䥓乏噟䱁䅟卓呅⡓㈱㈯〰ⰵⰬ唬䑓착_x0018_＀＀_x0018_＀＀_x0008_＀＀_x0001_＀＀_x0001_＀＀＀＀＀＀耀䂜챻亭_x0016_华幃彐剐䍉Ņ㜠㌯⼱〲〱_x0018_＀＀_x0018_＀＀_x0008_＀＀_x0001_＀＀_x0001_＀＀尨⊏䁌챻亭_x0016_华幃彐剐䍉Ņ㜠㌯⼱〲ㄱ_x0018_＀＀_x0018_＀＀_x0008_＀＀_x0001_＀＀_x0001_＀＀쳍쳌䁒燒䶸I华幃䅃偟久当剓彖佃呓ㄨ⼲〲㤰ⰬⰬ单⥄址当䕐华佉彎䕓噒䍟协⡔㈱㈯〰ⰹⰬ唬䑓착_x0018_＀＀_x0018_＀＀_x0008_＀＀_x0001_＀＀_x0001_＀＀＀＀＀＀＀＀䀺燑䶸*华幃南䡟呌䍈剁彅塅彐呌剟䅏ㄨ⼲〲㜰ⰬⰬ单⥄_x0018_＀＀_x0018_＀＀_x0008_＀＀_x0001_＀＀_x0001_＀＀豀碵꼝쐕燐䶸_x0012_华幃南䥟体䍟䑏⡅⤰_x0014_＀＀_x0018_＀＀_x0004_＀＀_x0001_＀＀_x0008_＀＀单D燒䶸N华幃䅃偟久当乕䕒佃⡇㈱㈯〰ⰴⰬ唬䑓䀩南偟久䥓乏啟剎䍅卟剅彖佃呓ㄨ⼲〲㐰ⰬⰬ单⥄_x0018_＀＀_x0018_＀＀_x0008_＀＀_x0001_＀＀_x0001_＀＀＀＀＀＀＀＀䀲燒䶸'华幃䅃偟久当商䑎卟䅔啔⡓㈱㈯㄰ⰱⰬ唬䑓착_x0018_＀＀_x0018_＀＀_x0008_＀＀_x0001_＀＀_x0001_＀＀＀＀＀＀耀쁌燒䶸(华幃南偟久䥓乏䅟卓呅当呌ㄨ⼲〲ㄱⰬⰬ单⥄_x0018_＀＀_x0018_＀＀_x0008_＀＀_x0001_＀＀_x0001_＀＀豀碵꼝쐕燑䶸%华幃南䥟呎剟呁彅夵噁⡇㈱㈯〰ⰲⰬ唬䑓착_x0018_＀＀_x0018_＀＀_x0008_＀＀_x0001_＀＀_x0001_＀＀攂깓컰䀜燑䶸&lt;华幃南偟久䥓乏䅟卓呅当佂䑎⡓㈱㈯㄰⤰䍀彁䕐华偟呃䙟⡉㈱㈯㄰⤰_x0018_＀＀_x0018_＀＀_x0008_＀＀_x0001_＀＀_x0001_＀＀＀＀＀＀＀＀䀵互!刣晥敲桳帣坍呟塁剟呁⡅低ⱗⰬ刢≐착_x0018_＀＀_x0018_＀＀_x0008_＀＀_x0001_＀＀_x0001_＀＀豀碵꼝쐕燑䶸$华幃䅃偟久当呌䱟䅉卂ㄨ⼲〲〱ⰬⰬ单⥄_x0018_＀＀_x0018_＀＀_x0008_＀＀_x0001_＀＀_x0001_＀＀＀＀＀＀ 䁧燑䶸&lt;华幃䅃偟久当佒彁䅒䕔ㄨ⼲〲〱䀩南偟久䥓乏䕟偘䱟彔佒⡁㈱㈯㄰⤰_x0018_＀＀_x0018_＀＀_x0008_＀＀_x0001_＀＀_x0001_＀＀＀＀＀＀耀䀡燑䶸-华幃䅃偟协剔呅啟归剔佟彂䵁剏⡔㈱㈯㄰ⰰⰬ唬䑓착_x0018_＀＀_x0018_＀＀_x0008_＀＀_x0001_＀＀_x0001_＀＀＀＀＀＀＀＀＀＀燑䶸E华幃䅃偟协剔呅䉟久佟⡂㈱㈯〰ⰴⰬ唬䑓䀩南䡟呌䍈剁彅䉐⡏㈱㈯〰ⰴⰬ唬䑓착_x0018_＀＀_x0018_＀＀_x0008_＀＀_x0001_＀＀_x0001_＀＀＀＀＀＀䂅燑䶸M华幃䅃偟久当剐佉归剓⡖㈱㈯㄰ⰰⰬ唬䑓䀩南偟久䥓乏偟归䕓噒䍟协⡔㈱㈯㄰ⰰⰬ唬䑓착_x0018_＀＀_x0018_＀＀_x0008_＀＀_x0001_＀＀_x0001_＀＀＀＀＀＀＀＀䀈燒䶸'华幃南偟久偟协彔䕒彔䕂⡎㈱㈯〰ⰸⰬ唬䑓착_x0018_＀＀_x0018_＀＀_x0008_＀＀_x0001_＀＀_x0001_＀＀＀＀＀＀鐀䂐燒䶸J华幃䅃偟久当䥄䍓剟呁⡅㈱㈯〰ⰷⰬ唬䑓䀩南偟久䥓乏䑟卉彃䅒䕔ㄨ⼲〲㜰ⰬⰬ单⥄_x0018_＀＀_x0018_＀＀_x0008_＀＀_x0001_＀＀_x0001_＀＀＀＀＀＀＀＀䀙੔伋 刣晥敲桳帣南䕟䍘彈䅒䕔䉟䱁卟⡈⤰_x0018_＀＀_x0018_＀＀_x0008_＀＀_x0001_＀＀_x0001_＀＀豀碵꼝쐕燒䶸&amp;华幃䅃偟久当十彔义䅔䝎ㄨ⼲〲㐰ⰬⰬ单⥄_x0018_＀＀_x0018_＀＀_x0008_＀＀_x0001_＀＀_x0001_＀＀＀＀＀＀＀＀＀＀燑䶸J华幃䅃偟协剔呅剟䅏䅟呃ㄨ⼲〲㘰ⰬⰬ单⥄址当䱈䡔䅃䕒䅟呃剟䅏ㄨ⼲〲㘰ⰬⰬ单⥄_x0018_＀＀_x0018_＀＀_x0008_＀＀_x0001_＀＀_x0001_＀＀＀＀＀＀＀＀䀦燒䶸$华幃䅃偟久当呌䱟䅉卂ㄨ⼲〲㐰ⰬⰬ单⥄_x0018_＀＀_x0018_＀＀_x0008_＀＀_x0001_＀＀_x0001_＀＀豀碵꼝쐕燑䶸,华幃䅃偟协剔呅䕟偍䍟乏剔䉉䍟ㄨ⼲〲㐰ⰬⰬ单⥄_x0018_＀＀_x0018_＀＀_x0008_＀＀_x0001_＀＀_x0001_＀＀＀＀＀＀＀＀䀢燒䶸J华幃䅃偟久当佒彁䅒䕔ㄨ⼲〲㔰ⰬⰬ单⥄址当䕐华佉彎塅彐呌剟䅏ㄨ⼲〲㔰ⰬⰬ单⥄_x0018_＀＀_x0018_＀＀_x0008_＀＀_x0001_＀＀_x0001_＀＀＀＀＀＀＀＀䀢玸仳_x0016_华幃彐剐䍉Ņㄱ〯⼴〲ㄱ_x0018_＀＀_x0018_＀＀_x0008_＀＀_x0001_＀＀_x0001_＀＀尨抏䁒燒䶸;华幃南偟久䥓乏䅟卓呅当充䥕ㄨ⼲〲㜰䀩䅃偟久当䍐彔充ㄨ⼲〲㜰착_x0018_＀＀_x0018_＀＀_x0008_＀＀_x0001_＀＀_x0001_＀＀＀＀＀＀쀀䁒互_x0014_刣晥敲桳帣南䍟彏䅎䕍_x0014_＀＀_x0018_＀＀_x0004_＀＀_x0001_＀＀_x0008_＀＀乀A燑䶸&amp;华幃䅃偟久当十彔义䅔䝎ㄨ⼲〲〱ⰬⰬ单⥄_x0018_＀＀_x0018_＀＀_x0008_＀＀_x0001_＀＀_x0001_＀＀豀碵꼝쐕燒䶸%华幃䅃偟久当呌䅟卓呅⡓㈱㈯〰ⰸⰬ唬䑓착_x0018_＀＀_x0018_＀＀_x0008_＀＀_x0001_＀＀_x0001_＀＀＀＀＀＀＀＀㿰燑䶸J华幃䅃偟久当䱐乁䅟呓ㄨ⼲〲〱ⰬⰬ单⥄址当䕐华佉彎䅖彌十䕓協ㄨ⼲〲〱ⰬⰬ单⥄_x0018_＀＀_x0018_＀＀_x0008_＀＀_x0001_＀＀_x0001_＀＀＀＀＀＀瀀䂛燒䶸%华幃䅃偟久当佃偍剟呁⡅㈱㈯〰ⰷⰬ唬䑓착_x0018_＀＀_x0018_＀＀_x0008_＀＀_x0001_＀＀_x0001_＀＀＀＀＀＀＀＀䀒챻亭_x0016_华幃彐剐䍉Ņㄱ㌯⼰〲㈰_x0018_＀＀_x0018_＀＀_x0008_＀＀_x0001_＀＀_x0001_＀＀ᑻ䞮뫡䀳챻亭_x0016_华幃彐剐䍉Ņㄱ㌯⼰〲㌰_x0018_＀＀_x0018_＀＀_x0008_＀＀_x0001_＀＀_x0001_＀＀尩슏棵䀵燑䶸'华幃䅃偟协剔呅䉟久偟䥁⡄㈱㈯〰ⰶⰬ唬䑓착_x0018_＀＀_x0018_＀＀_x0008_＀＀_x0001_＀＀_x0001_＀＀＀＀＀＀＀＀䁆챻亭_x0016_华幃彐剐䍉Ņㄱ㌯⼰〲㐰_x0018_＀＀_x0018_＀＀_x0008_＀＀_x0001_＀＀_x0001_＀＀휊炣⨽䁁燒䶸&lt;华幃南偟久䥓乏䅟卓呅当佂䑎⡓㈱㈯〰⤸䍀彁䕐华偟呃䙟⡉㈱㈯〰⤸_x0018_＀＀_x0018_＀＀_x0008_＀＀_x0001_＀＀_x0001_＀＀＀＀＀＀＀＀䀿챻亭_x0016_华幃彐剐䍉Ņㄱ㌯⼰〲㔰_x0018_＀＀_x0018_＀＀_x0008_＀＀_x0001_＀＀_x0001_＀＀蔟凫Ẹ䁆燑䶸,华幃䅃偟协剔呅䕟偍䍟乏剔䉉䍟ㄨ⼲〲〱ⰬⰬ单⥄_x0018_＀＀_x0018_＀＀_x0008_＀＀_x0001_＀＀_x0001_＀＀＀＀＀＀耀䁈챻亭_x0016_华幃彐剐䍉Ņㄱ㌯⼰〲㘰_x0018_＀＀_x0018_＀＀_x0008_＀＀_x0001_＀＀_x0001_＀＀＀＀＀＀ꀀ䁈燒䶸 华幃南䕟䍘彈䅒䕔䥟䍎䍟⡆㈱㈯㄰⤰_x0018_＀＀_x0018_＀＀_x0008_＀＀_x0001_＀＀_x0001_＀＀豀碵꼝쐕챻亭_x0016_华幃彐剐䍉Ņㄱ㌯⼰〲㜰_x0018_＀＀_x0018_＀＀_x0008_＀＀_x0001_＀＀_x0001_＀＀ᑻ䞮髡䁉챻亭_x0016_华幃彐剐䍉Ņ㠠㌯⼱〲㈰_x0018_＀＀_x0018_＀＀_x0008_＀＀_x0001_＀＀_x0001_＀＀䞮竡䀴燒䶸)华幃䅃偟协剔呅佟䡔䑁彊䉎⡁㈱㈯〰ⰹⰬ唬䑓착_x0018_＀＀_x0018_＀＀_x0008_＀＀_x0001_＀＀_x0001_＀＀＀＀＀＀䁹챻亭_x0016_华幃彐剐䍉Ņㄱ㌯⼰〲㠰_x0018_＀＀_x0018_＀＀_x0008_＀＀_x0001_＀＀_x0001_＀＀轜밨䁈챻亭_x0016_华幃彐剐䍉Ņ㠠㌯⼱〲㌰_x0018_＀＀_x0018_＀＀_x0008_＀＀_x0001_＀＀_x0001_＀＀휊炣਽䀳챻亭_x0016_华幃彐剐䍉Ņㄱ㌯⼰〲㤰_x0018_＀＀_x0018_＀＀_x0008_＀＀_x0001_＀＀_x0001_＀＀㌴㌳댳䁉챻亭_x0016_华幃彐剐䍉Ņ㠠㌯⼱〲㐰_x0018_＀＀_x0018_＀＀_x0008_＀＀_x0001_＀＀_x0001_＀＀晧晦晦䀼챻亭_x0016_华幃彐剐䍉Ņ㠠㌯⼱〲㔰_x0018_＀＀_x0018_＀＀_x0008_＀＀_x0001_＀＀_x0001_＀＀䞮竡츔䁁燒䶸#华幃䅃偟协剔呅䱟䅉⡂㈱㈯〰ⰵⰬ唬䑓착_x0018_＀＀_x0018_＀＀_x0008_＀＀_x0001_＀＀_x0001_＀＀＀＀＀＀退쁹챻亭_x0016_华幃彐剐䍉Ņ㠠㌯⼱〲㘰_x0018_＀＀_x0018_＀＀_x0008_＀＀_x0001_＀＀_x0001_＀＀ਾꏗ嵰䁅챻亭_x0016_华幃彐剐䍉Ņ㠠㌯⼱〲㜰_x0018_＀＀_x0018_＀＀_x0008_＀＀_x0001_＀＀_x0001_＀＀ᑻ䞮髡䁉燒䶸'华幃南偟久䥓乏也呅䱟䅉⡂㈱㈯〰ⰸⰬ唬䑓착_x0018_＀＀_x0018_＀＀_x0008_＀＀_x0001_＀＀_x0001_＀＀豀碵꼝쐕챻亭_x0016_华幃彐剐䍉Ņ㠠㌯⼱〲㠰_x0018_＀＀_x0018_＀＀_x0008_＀＀_x0001_＀＀_x0001_＀＀롒蔞懫䁒燑䶸[华幃南剟久䅔彌偏䱟䕓䕟偘ㄨ⼲〲㔰ㄬ⼲〲㔰ⰬⰬ单⥄䍀彁呒剟久彔䥍彎塅⡐㈱㈯〰ⰵ㈱㈯〰ⰵⰬ唬䑓착_x0018_＀＀_x0018_＀＀_x0008_＀＀_x0001_＀＀_x0001_＀＀＀＀＀＀쀀䁧챻亭_x0016_华幃彐剐䍉Ņ㠠㌯⼱〲㤰_x0018_＀＀_x0018_＀＀_x0008_＀＀_x0001_＀＀_x0001_＀＀슏⣵䁆燑䶸%华幃南䥟呎剟呁彅夵噁⡇㈱㈯〰ⰸⰬ唬䑓착_x0018_＀＀_x0018_＀＀_x0008_＀＀_x0001_＀＀_x0001_＀＀꫸কᒿ䀝燑䶸%华幃䅃偟久当啃归䥌䉁⡓㈱㈯㄰ⰰⰬ唬䑓착_x0018_＀＀_x0018_＀＀_x0008_＀＀_x0001_＀＀_x0001_＀＀＀＀＀＀＀＀䀨燒䶸(华幃南䡟呌䍈剁彅乕彆䕂⡎㈱㈯〰ⰸⰬ唬䑓⤩＀＀＀＀燑䶸J华幃䅃偟协剔呅剟䅏䅟呃ㄨ⼲〲㔰ⰬⰬ单⥄址当䱈䡔䅃䕒䅟呃剟䅏ㄨ⼲〲㔰ⰬⰬ单⥄_x0018_＀＀_x0018_＀＀_x0008_＀＀_x0001_＀＀_x0001_＀＀＀＀＀＀＀＀䀈玸仳_x0016_华幃彐剐䍉Ņㄱ㈯⼵〲ㄱ_x0018_＀＀_x0018_＀＀_x0008_＀＀_x0001_＀＀_x0001_＀＀轜鰨䁑燒䶸Q华幃䅃偟久当䍁啃彍佃偍䥒䍎ㄨ⼲〲㜰ⰬⰬ单⥄址当佃偍归义彃䕐华䱟䅉⡂㈱㈯〰ⰷⰬ唬䑓착_x0018_＀＀_x0018_＀＀_x0008_＀＀_x0001_＀＀_x0001_＀＀＀＀＀＀퀀쁵燒䶸J华幃䅃偟久当佒彁䅒䕔ㄨ⼲〲㠰ⰬⰬ单⥄址当䕐华佉彎塅彐呌剟䅏ㄨ⼲〲㠰ⰬⰬ单⥄_x0018_＀＀_x0018_＀＀_x0008_＀＀_x0001_＀＀_x0001_＀＀＀＀＀＀＀＀䀢燑䶸＀Ｏ华幃南䱟䅅䕓䍟䵏䥍彔剙⠱㈱㈯〰ⰲ㈱㈯〰ⰲⰬ唬䑓착_x0018_＀＀_x0018_＀＀_x0008_＀＀_x0001_＀＀_x0001_＀＀＀＀＀＀䀀䁜燑䶸P华幃䅃偟协剔呅偟䅌彎十彔久⡄㈱㈯〰ⰹⰬ唬䑓䀩南䡟呌䍈剁彅噆䅟卓呅ㄨ⼲〲㤰ⰬⰬ单⥄_x0018_＀＀_x0018_＀＀_x0008_＀＀_x0001_＀＀_x0001_＀＀＀＀＀＀ 䁤燒䶸(华幃䅃偟久当䅐呒䍟乏剔䉉ㄨ⼲〲㘰ⰬⰬ单⥄_x0018_＀＀_x0018_＀＀_x0008_＀＀_x0001_＀＀_x0001_＀＀＀＀＀＀＀＀＀＀燑䶸＀Ｏ华幃南䱟䅅䕓䍟䵏䥍彔剙⠱㈱㈯〰ⰳ㈱㈯〰ⰳⰬ唬䑓착_x0018_＀＀_x0018_＀＀_x0008_＀＀_x0001_＀＀_x0001_＀＀＀＀＀＀쀀䁛燑䶸＀Ｏ华幃南䱟䅅䕓䍟䵏䥍彔剙⠱㈱㈯〰ⰴ㈱㈯〰ⰴⰬ唬䑓착_x0018_＀＀_x0018_＀＀_x0008_＀＀_x0001_＀＀_x0001_＀＀＀＀＀＀䀀䁣燒䶸'华幃䅃偟久当商䑎卟䅔啔⡓㈱㈯〰ⰶⰬ唬䑓착_x0018_＀＀_x0018_＀＀_x0008_＀＀_x0001_＀＀_x0001_＀＀＀＀＀＀က䁲燒䶸F华幃䅃偟久当佒彁䍁⡔㈱㈯〰ⰴⰬ唬䑓䀩南偟久䥓乏䅟呃剟䅏ㄨ⼲〲㐰ⰬⰬ单⥄_x0018_＀＀_x0018_＀＀_x0008_＀＀_x0001_＀＀_x0001_＀＀＀＀＀＀ꀀ䁨燑䶸+华幃䅃偟协剔呅偟剁彔佃呎䥒⡂㈱㈯〰ⰹⰬ唬䑓착_x0018_＀＀_x0018_＀＀_x0008_＀＀_x0001_＀＀_x0001_＀＀＀＀＀＀＀＀＀＀燑䶸＀Ｏ华幃南䱟䅅䕓䍟䵏䥍彔剙⠱㈱㈯〰ⰵ㈱㈯〰ⰵⰬ唬䑓착_x0018_＀＀_x0018_＀＀_x0008_＀＀_x0001_＀＀_x0001_＀＀＀＀＀＀＀＀䁢燒䶸(华幃䅃偟久当偐彄䕂彎佃呓ㄨ⼲〲㜰ⰬⰬ单⥄_x0018_＀＀_x0018_＀＀_x0008_＀＀_x0001_＀＀_x0001_＀＀豀碵꼝쐕੔伋_x0015_刣晥敲桳帣南䍟剕䕒䍎챙_x0014_＀＀_x0018_＀＀_x0004_＀＀_x0001_＀＀_x0008_＀＀乀A燒䶸Q华幃䅃偟久当䍁啃彍佃偍䥒䍎ㄨ⼲〲ㄱⰬⰬ单⥄址当佃偍归义彃䕐华䱟䅉⡂㈱㈯㄰ⰱⰬ唬䑓착_x0018_＀＀_x0018_＀＀_x0008_＀＀_x0001_＀＀_x0001_＀＀＀＀＀＀뀀삆燑䶸＀Ｏ华幃南䱟䅅䕓䍟䵏䥍彔剙⠱㈱㈯〰ⰶ㈱㈯〰ⰶⰬ唬䑓착_x0018_＀＀_x0018_＀＀_x0008_＀＀_x0001_＀＀_x0001_＀＀＀＀＀＀쀀䁤燑䶸＀Ｏ华幃南䱟䅅䕓䍟䵏䥍彔夵⡒㈱㈯〰ⰲ㈱㈯〰ⰲⰬ唬䑓착_x0018_＀＀_x0018_＀＀_x0008_＀＀_x0001_＀＀_x0001_＀＀＀＀＀＀怀䁾燑䶸＀Ｏ华幃南䱟䅅䕓䍟䵏䥍彔剙⠱㈱㈯〰ⰷ㈱㈯〰ⰷⰬ唬䑓착_x0018_＀＀_x0018_＀＀_x0008_＀＀_x0001_＀＀_x0001_＀＀＀＀＀＀䀀䁡燒䶸%华幃䅃偟久当啃归䥌䉁⡓㈱㈯〰ⰴⰬ唬䑓착_x0018_＀＀_x0018_＀＀_x0008_＀＀_x0001_＀＀_x0001_＀＀豀碵꼝쐕燑䶸＀Ｏ华幃南䱟䅅䕓䍟䵏䥍彔夵⡒㈱㈯〰ⰳ㈱㈯〰ⰳⰬ唬䑓착_x0018_＀＀_x0018_＀＀_x0008_＀＀_x0001_＀＀_x0001_＀＀＀＀＀＀倀䁼챻亭_x0016_华幃彐剐䍉Ņㄱ㌯⼰〲〱_x0018_＀＀_x0018_＀＀_x0008_＀＀_x0001_＀＀_x0001_＀＀⣶轜ᗂ䁎燑䶸L华幃䅃偟协剔呅䥟呎䍟协⡔㈱㈯〰ⰸⰬ唬䑓䀩南䡟呌䍈剁彅义彔佃呓ㄨ⼲〲㠰ⰬⰬ单⥄_x0018_＀＀_x0018_＀＀_x0008_＀＀_x0001_＀＀_x0001_＀＀＀＀＀＀耀䁉燑䶸＀Ｏ华幃南䱟䅅䕓䍟䵏䥍彔剙⠱㈱㈯〰ⰸ㈱㈯〰ⰸⰬ唬䑓착_x0018_＀＀_x0018_＀＀_x0008_＀＀_x0001_＀＀_x0001_＀＀＀＀＀＀쀀䁡燑䶸;华幃南偟久䥓乏䅟卓呅当充䥕ㄨ⼲〲〱䀩䅃偟久当䍐彔充ㄨ⼲〲〱착_x0018_＀＀_x0018_＀＀_x0008_＀＀_x0001_＀＀_x0001_＀＀＀＀＀＀耀䁐燑䶸＀Ｏ华幃南䱟䅅䕓䍟䵏䥍彔夵⡒㈱㈯〰ⰴ㈱㈯〰ⰴⰬ唬䑓착_x0018_＀＀_x0018_＀＀_x0008_＀＀_x0001_＀＀_x0001_＀＀＀＀＀＀䀀䁾燑䶸＀Ｏ华幃南䱟䅅䕓䍟䵏䥍彔剙⠱㈱㈯〰ⰹ㈱㈯〰ⰹⰬ唬䑓착_x0018_＀＀_x0018_＀＀_x0008_＀＀_x0001_＀＀_x0001_＀＀＀＀＀＀쀀䁛燑䶸＀Ｏ华幃南䱟䅅䕓䍟䵏䥍彔夵⡒㈱㈯〰ⰵ㈱㈯〰ⰵⰬ唬䑓착_x0018_＀＀_x0018_＀＀_x0008_＀＀_x0001_＀＀_x0001_＀＀＀＀＀＀　䁾챻亭_x0016_华幃彐剐䍉Ņ㠠㌯⼱〲〱_x0018_＀＀_x0018_＀＀_x0008_＀＀_x0001_＀＀_x0001_＀＀ꏗ㵰휊䁊燒䶸 华幃南䕟䍘彈䅒䕔ㄨ⼲〲㔰ⰬⰬ单⥄_x0018_＀＀_x0018_＀＀_x0008_＀＀_x0001_＀＀_x0001_＀＀＀＀＀＀＀＀㿰燒䶸G华幃䅃偟久当䕎彔佃呓ㄨ⼲〲㘰ⰬⰬ单⥄址当䕐华佉彎偎彐塅⡐㈱㈯〰ⰶⰬ唬䑓착_x0018_＀＀_x0018_＀＀_x0008_＀＀_x0001_＀＀_x0001_＀＀＀＀＀＀＀＀쀽燑䶸＀Ｏ华幃南䱟䅅䕓䍟䵏䥍彔夵⡒㈱㈯〰ⰶ㈱㈯〰ⰶⰬ唬䑓착_x0018_＀＀_x0018_＀＀_x0008_＀＀_x0001_＀＀_x0001_＀＀＀＀＀＀ꀀ䁼챻亭_x0016_华幃彐剐䍉Ņ㠠㌯⼱〲ㄱ_x0018_＀＀_x0018_＀＀_x0008_＀＀_x0001_＀＀_x0001_＀＀凬Ẹ䁐燒䶸 华幃南䕟䍘彈䅒䕔䥟䍎䍟⡆㈱㈯㄰⤱_x0018_＀＀_x0018_＀＀_x0008_＀＀_x0001_＀＀_x0001_＀＀豀碵꼝쐕燒䶸)华幃䅃偟久当䵅彐佃呎䥒彂⡃㈱㈯〰ⰶⰬ唬䑓착_x0018_＀＀_x0018_＀＀_x0008_＀＀_x0001_＀＀_x0001_＀＀＀＀＀＀＀＀䀠燑䶸*华幃南䡟呌䍈剁彅塅彐呌剟䅏ㄨ⼲〲㠰ⰬⰬ单⥄_x0018_＀＀_x0018_＀＀_x0008_＀＀_x0001_＀＀_x0001_＀＀豀碵꼝쐕燑䶸＀Ｏ华幃南䱟䅅䕓䍟䵏䥍彔夵⡒㈱㈯〰ⰷ㈱㈯〰ⰷⰬ唬䑓착_x0018_＀＀_x0018_＀＀_x0008_＀＀_x0001_＀＀_x0001_＀＀＀＀＀＀倀䁹燐䶸_x001B_华幃坍呟塁剟呁⡅低ⱗⰬ刢≐착_x0018_＀＀_x0018_＀＀_x0008_＀＀_x0001_＀＀_x0001_＀＀䅠놚驨䁂燒䶸G华幃䅃偟久当䕎彔佃呓ㄨ⼲〲㤰ⰬⰬ单⥄址当䕐华佉彎偎彐塅⡐㈱㈯〰ⰹⰬ唬䑓착_x0018_＀＀_x0018_＀＀_x0008_＀＀_x0001_＀＀_x0001_＀＀＀＀＀＀＀＀㿰燑䶸M华幃䅃偟协剔呅卟噒䍟协⡔㈱㈯〰ⰶⰬ唬䑓䀩南䡟呌䍈剁彅䕓噒䍟协⡔㈱㈯〰ⰶⰬ唬䑓착_x0018_＀＀_x0018_＀＀_x0008_＀＀_x0001_＀＀_x0001_＀＀＀＀＀＀＀＀䀳燑䶸＀Ｏ华幃南䱟䅅䕓䍟䵏䥍彔夵⡒㈱㈯〰ⰸ㈱㈯〰ⰸⰬ唬䑓착_x0018_＀＀_x0018_＀＀_x0008_＀＀_x0001_＀＀_x0001_＀＀＀＀＀＀瀀䁶燒䶸I华幃䅃偟久当剓彖佃呓ㄨ⼲〲㠰ⰬⰬ单⥄址当䕐华佉彎䕓噒䍟协⡔㈱㈯〰ⰸⰬ唬䑓착_x0018_＀＀_x0018_＀＀_x0008_＀＀_x0001_＀＀_x0001_＀＀＀＀＀＀＀＀䀹燑䶸＀Ｏ华幃南䱟䅅䕓䍟䵏䥍彔夵⡒㈱㈯〰ⰹ㈱㈯〰ⰹⰬ唬䑓착_x0018_＀＀_x0018_＀＀_x0008_＀＀_x0001_＀＀_x0001_＀＀＀＀＀＀耀䁳燒䶸'华幃南偟久偟协彔䕒彔䕂⡎㈱㈯〰ⰹⰬ唬䑓착_x0018_＀＀_x0018_＀＀_x0008_＀＀_x0001_＀＀_x0001_＀＀＀＀＀＀㠀䂏燒䶸"华幃南偟久䥓乏偟佂ㄨ⼲〲㔰ⰬⰬ单⥄_x0018_＀＀_x0018_＀＀_x0008_＀＀_x0001_＀＀_x0001_＀＀＀＀＀＀ꠀ䂙燑䶸＀Ｏ华幃南䡟呌䍈剁彅䵁剏彔䕓噒䍟协⡔㈱㈯〰ⰶⰬ唬䑓착_x0018_＀＀_x0018_＀＀_x0008_＀＀_x0001_＀＀_x0001_＀＀＀＀＀＀＀＀쀠燑䶸＀Ｏ华幃南䱟䅅䕓䍟䵏䥍彔剙⠱㈱㈯㄰ⰰ㈱㈯㄰ⰰⰬ唬䑓착_x0018_＀＀_x0018_＀＀_x0008_＀＀_x0001_＀＀_x0001_＀＀＀＀＀＀＀＀䁗챻亭_x0016_华幃彐剐䍉Ņ㈱㌯⼱〲㈰_x0018_＀＀_x0018_＀＀_x0008_＀＀_x0001_＀＀_x0001_＀＀ਾꏗﵰ䀳챻亭_x0016_华幃彐剐䍉Ņ㈱㌯⼱〲㌰_x0018_＀＀_x0018_＀＀_x0008_＀＀_x0001_＀＀_x0001_＀＀晧晦Ꙧ䀷燒䶸J华幃䅃偟久当䥄䍓剟呁⡅㈱㈯〰ⰶⰬ唬䑓䀩南偟久䥓乏䑟卉彃䅒䕔ㄨ⼲〲㘰ⰬⰬ单⥄_x0018_＀＀_x0018_＀＀_x0008_＀＀_x0001_＀＀_x0001_＀＀＀＀＀＀＀＀䀗燑䶸J华幃䅃偟协剔呅剟䅏䅟呃ㄨ⼲〲㐰ⰬⰬ单⥄址当䱈䡔䅃䕒䅟呃剟䅏ㄨ⼲〲㐰ⰬⰬ单⥄_x0018_＀＀_x0018_＀＀_x0008_＀＀_x0001_＀＀_x0001_＀＀＀＀＀＀＀＀䀤챻亭_x0016_华幃彐剐䍉Ņ㈱㌯⼱〲㐰_x0018_＀＀_x0018_＀＀_x0008_＀＀_x0001_＀＀_x0001_＀＀Ẹᡑ䁂燒䶸 华幃南䕟䍘彈䅒䕔ㄨ⼲〲ㄱⰬⰬ单⥄_x0018_＀＀_x0018_＀＀_x0008_＀＀_x0001_＀＀_x0001_＀＀豀碵꼝쐕챻亭_x0016_华幃彐剐䍉Ņ㈱㌯⼱〲㔰_x0018_＀＀_x0018_＀＀_x0008_＀＀_x0001_＀＀_x0001_＀＀휊炣樽䁆챻亭_x0016_华幃彐剐䍉Ņ㈱㌯⼱〲㘰_x0018_＀＀_x0018_＀＀_x0008_＀＀_x0001_＀＀_x0001_＀＀롑┞䁉챻亭_x0016_华幃彐剐䍉Ņ㈱㌯⼱〲㜰_x0018_＀＀_x0018_＀＀_x0008_＀＀_x0001_＀＀_x0001_＀＀Ẹ㡑䁉燒䶸J华幃䅃偟久当䱐乁䅟呓ㄨ⼲〲㌰ⰬⰬ单⥄址当䕐华佉彎䅖彌十䕓協ㄨ⼲〲㌰ⰬⰬ单⥄_x0018_＀＀_x0018_＀＀_x0008_＀＀_x0001_＀＀_x0001_＀＀＀＀＀＀䂚燒䶸$华幃䅃偟久当䕂彎䅐䑉ㄨ⼲〲㠰ⰬⰬ单⥄_x0018_＀＀_x0018_＀＀_x0008_＀＀_x0001_＀＀_x0001_＀＀＀＀＀＀䀀䁛챻亭_x0016_华幃彐剐䍉Ņ㈱㌯⼱〲㠰_x0018_＀＀_x0018_＀＀_x0008_＀＀_x0001_＀＀_x0001_＀＀晧晦虦䁇燒䶸(华幃南偟久䥓乏䅟卓呅当呌ㄨ⼲〲㘰ⰬⰬ单⥄_x0018_＀＀_x0018_＀＀_x0008_＀＀_x0001_＀＀_x0001_＀＀豀碵꼝쐕챻亭_x0016_华幃彐剐䍉Ņ㈱㌯⼱〲㤰_x0018_＀＀_x0018_＀＀_x0008_＀＀_x0001_＀＀_x0001_＀＀⣶轜㗂䁊燒䶸$华幃䅃偟久当呌䱟䅉卂ㄨ⼲〲㔰ⰬⰬ单⥄_x0018_＀＀_x0018_＀＀_x0008_＀＀_x0001_＀＀_x0001_＀＀豀碵꼝쐕燑䶸E华幃䅃偟协剔呅䉟久佟⡂㈱㈯〰ⰵⰬ唬䑓䀩南䡟呌䍈剁彅䉐⡏㈱㈯〰ⰵⰬ唬䑓착_x0018_＀＀_x0018_＀＀_x0008_＀＀_x0001_＀＀_x0001_＀＀＀＀＀＀退䂇燑䶸＀Ｏ华幃南䱟䅅䕓䍟䵏䥍彔剙⠲㈱㈯〰ⰲ㈱㈯〰ⰲⰬ唬䑓착_x0018_＀＀_x0018_＀＀_x0008_＀＀_x0001_＀＀_x0001_＀＀＀＀＀＀䀀䁖燏䶸?华幃彐剐䍉Ņ噐漠⁦湉牣慥敳椠⁮潦敲慣瑳礠慥⁲‱敬獡⁥潣浭瑩敭瑮챳＀＀＀＀燑䶸＀Ｏ华幃南䱟䅅䕓䍟䵏䥍彔夵⡒㈱㈯㄰ⰰ㈱㈯㄰ⰰⰬ唬䑓착_x0018_＀＀_x0018_＀＀_x0008_＀＀_x0001_＀＀_x0001_＀＀＀＀＀＀퀀䁱燒䶸;华幃南偟久䥓乏䅟卓呅当剐偏ㄨ⼲〲㜰䀩䅃偟久当䍐彔䕒ㄨ⼲〲㜰착_x0018_＀＀_x0018_＀＀_x0008_＀＀_x0001_＀＀_x0001_＀＀＀＀＀＀＀＀＀＀燒䶸F华幃䅃偟久当佒彁䍁⡔㈱㈯〰ⰷⰬ唬䑓䀩南偟久䥓乏䅟呃剟䅏ㄨ⼲〲㜰ⰬⰬ单⥄_x0018_＀＀_x0018_＀＀_x0008_＀＀_x0001_＀＀_x0001_＀＀＀＀＀＀䀀䁟燑䶸-华幃䅃偟协剔呅啟归剔佟彂䵁剏⡔㈱㈯〰ⰵⰬ唬䑓착_x0018_＀＀_x0018_＀＀_x0008_＀＀_x0001_＀＀_x0001_＀＀＀＀＀＀＀＀＀＀燑䶸＀Ｏ华幃南䱟䅅䕓䍟䵏䥍彔剙⠲㈱㈯〰ⰳ㈱㈯〰ⰳⰬ唬䑓착_x0018_＀＀_x0018_＀＀_x0008_＀＀_x0001_＀＀_x0001_＀＀＀＀＀＀耀䁗燑䶸＀Ｏ华幃南䱟䅅䕓䍟䵏䥍彔剙⠲㈱㈯〰ⰴ㈱㈯〰ⰴⰬ唬䑓착_x0018_＀＀_x0018_＀＀_x0008_＀＀_x0001_＀＀_x0001_＀＀＀＀＀＀＀＀䁞燑䶸)华幃南䡟呌䍈剁彅䥄䍓剟呁⡅㈱㈯〰ⰹⰬ唬䑓착_x0018_＀＀_x0018_＀＀_x0008_＀＀_x0001_＀＀_x0001_＀＀＀＀＀＀＀＀䀙燑䶸＀Ｏ华幃南䱟䅅䕓䍟䵏䥍彔剙⠲㈱㈯〰ⰵ㈱㈯〰ⰵⰬ唬䑓착_x0018_＀＀_x0018_＀＀_x0008_＀＀_x0001_＀＀_x0001_＀＀＀＀＀＀ꀀ䁡燒䶸;华幃南偟久䥓乏䅟卓呅当充䥕ㄨ⼲〲㠰䀩䅃偟久当䍐彔充ㄨ⼲〲㠰착_x0018_＀＀_x0018_＀＀_x0008_＀＀_x0001_＀＀_x0001_＀＀＀＀＀＀䀀䁑燒䶸)华幃䅃偟协剔呅佟䡔䑁彊䉎⡁㈱㈯〰ⰴⰬ唬䑓착_x0018_＀＀_x0018_＀＀_x0008_＀＀_x0001_＀＀_x0001_＀＀＀＀＀＀＀＀䁭燑䶸＀Ｏ华幃南䱟䅅䕓䍟䵏䥍彔剙⠲㈱㈯〰ⰶ㈱㈯〰ⰶⰬ唬䑓착_x0018_＀＀_x0018_＀＀_x0008_＀＀_x0001_＀＀_x0001_＀＀＀＀＀＀䀀䁢燑䶸"华幃南偟久䥓乏䅟卓呅当呌〨ⰬⰬ单⥄_x0018_＀＀_x0018_＀＀_x0008_＀＀_x0001_＀＀_x0001_＀＀＀＀＀＀耀䁡燒䶸)华幃南偟久䥓乏噟䱁䅟卓呅⡓㈱㈯〰ⰶⰬ唬䑓착_x0018_＀＀_x0018_＀＀_x0008_＀＀_x0001_＀＀_x0001_＀＀＀＀＀＀䰀䂞燑䶸＀Ｏ华幃南䱟䅅䕓䍟䵏䥍彔剙⠲㈱㈯〰ⰷ㈱㈯〰ⰷⰬ唬䑓착_x0018_＀＀_x0018_＀＀_x0008_＀＀_x0001_＀＀_x0001_＀＀＀＀＀＀䀀䁠燒䶸 华幃南䕟䍘彈䅒䕔䥟䍎䍟⡆㈱㈯〰⤴_x0018_＀＀_x0018_＀＀_x0008_＀＀_x0001_＀＀_x0001_＀＀豀碵꼝쐕燑䶸＀Ｏ华幃南䱟䅅䕓䍟䵏䥍彔剙⠲㈱㈯〰ⰸ㈱㈯〰ⰸⰬ唬䑓착_x0018_＀＀_x0018_＀＀_x0008_＀＀_x0001_＀＀_x0001_＀＀＀＀＀＀ 䁠燒䶸%华幃䅃偟久当佃偍剟呁⡅㈱㈯〰ⰸⰬ唬䑓착_x0018_＀＀_x0018_＀＀_x0008_＀＀_x0001_＀＀_x0001_＀＀＀＀＀＀＀＀䀒燑䶸G华幃䅃偟协剔呅䍟协⡔㈱㈯〰ⰹⰬ唬䑓䀩南䡟呌䍈剁彅偎彐塅⡐㈱㈯〰ⰹⰬ唬䑓착_x0018_＀＀_x0018_＀＀_x0008_＀＀_x0001_＀＀_x0001_＀＀＀＀＀＀쀀䁖燑䶸＀Ｏ华幃南䱟䅅䕓䍟䵏䥍彔剙⠲㈱㈯〰ⰹ㈱㈯〰ⰹⰬ唬䑓착_x0018_＀＀_x0018_＀＀_x0008_＀＀_x0001_＀＀_x0001_＀＀＀＀＀＀＀＀䁘燑䶸'华幃䅃偟协剔呅䉟久偟䥁⡄㈱㈯〰ⰷⰬ唬䑓착_x0018_＀＀_x0018_＀＀_x0008_＀＀_x0001_＀＀_x0001_＀＀＀＀＀＀＀＀䁇燑䶸%华幃南䥟呎剟呁彅夵噁⡇㈱㈯〰ⰳⰬ唬䑓착_x0018_＀＀_x0018_＀＀_x0008_＀＀_x0001_＀＀_x0001_＀＀ᭈ걇䀜玸仳_x0016_华幃彐剐䍉Ņㄱㄯ⼸〲ㄱ_x0018_＀＀_x0018_＀＀_x0008_＀＀_x0001_＀＀_x0001_＀＀尨劏䁒燒䶸$华幃䅃偟久当呌䱟䅉卂ㄨ⼲〲ㄱⰬⰬ单⥄_x0018_＀＀_x0018_＀＀_x0008_＀＀_x0001_＀＀_x0001_＀＀＀＀＀＀ 䁧燑䶸F华幃䅃偟协剔呅剟䅏ㄨ⼲〲㤰ⰬⰬ单⥄址当䱈䡔䅃䕒䕟偘剟䅏ㄨ⼲〲㤰ⰬⰬ单⥄_x0018_＀＀_x0018_＀＀_x0008_＀＀_x0001_＀＀_x0001_＀＀＀＀＀＀＀＀쀮燒䶸;华幃南偟久䥓乏䅟卓呅当呏⡈㈱㈯〰⤵䍀彁䕐华偟呃佟䡔ㄨ⼲〲㔰착_x0018_＀＀_x0018_＀＀_x0008_＀＀_x0001_＀＀_x0001_＀＀＀＀＀＀＀＀＀＀燒䶸#华幃䅃偟协剔呅䱟䅉⡂㈱㈯〰ⰶⰬ唬䑓착_x0018_＀＀_x0018_＀＀_x0008_＀＀_x0001_＀＀_x0001_＀＀＀＀＀＀퀀삄燒䶸&amp;华幃䅃偟久当十彔义䅔䝎ㄨ⼲〲㔰ⰬⰬ单⥄_x0018_＀＀_x0018_＀＀_x0008_＀＀_x0001_＀＀_x0001_＀＀＀＀＀＀＀＀＀＀챻亭_x0016_华幃彐剐䍉Ņ㈱㌯⼱〲〱_x0018_＀＀_x0018_＀＀_x0008_＀＀_x0001_＀＀_x0001_＀＀尩슏棵䁏燒䶸'华幃南偟久䥓乏也呅䱟䅉⡂㈱㈯〰ⰹⰬ唬䑓착_x0018_＀＀_x0018_＀＀_x0008_＀＀_x0001_＀＀_x0001_＀＀豀碵꼝쐕燒䶸)华幃䅃偟协剔呅佟䡔䑁彊䉎⡁㈱㈯㄰ⰰⰬ唬䑓착_x0018_＀＀_x0018_＀＀_x0008_＀＀_x0001_＀＀_x0001_＀＀＀＀＀＀ 䁷燒䶸T华幃䅃偟协剔呅偟䥒剏卟噒ㄨ⼲〲㐰ⰬⰬ单⥄址当䱈䡔䅃䕒啟剎䍅卟剅彖佃呓ㄨ⼲〲㐰ⰬⰬ单⥄_x0018_＀＀_x0018_＀＀_x0008_＀＀_x0001_＀＀_x0001_＀＀＀＀＀＀耀쁁燑䶸%华幃南䥟呎剟呁彅夵噁⡇㈱㈯〰ⰹⰬ唬䑓착_x0018_＀＀_x0018_＀＀_x0008_＀＀_x0001_＀＀_x0001_＀＀﩮ᾳȩ䀝燒䶸J华幃䅃偟久当䱐乁䅟呓ㄨ⼲〲㘰ⰬⰬ单⥄址当䕐华佉彎䅖彌十䕓協ㄨ⼲〲㘰ⰬⰬ单⥄_x0018_＀＀_x0018_＀＀_x0008_＀＀_x0001_＀＀_x0001_＀＀＀＀＀＀䰀䂞燒䶸B华幃䅃偟久当佒⡁㈱㈯〰ⰶⰬ唬䑓䀩南偟久䥓乏䕟偘剟䅏ㄨ⼲〲㘰ⰬⰬ单⥄_x0018_＀＀_x0018_＀＀_x0008_＀＀_x0001_＀＀_x0001_＀＀＀＀＀＀쁣燑䶸+华幃䅃偟协剔呅偟剁彔佃呎䥒⡂㈱㈯〰ⰴⰬ唬䑓착_x0018_＀＀_x0018_＀＀_x0008_＀＀_x0001_＀＀_x0001_＀＀＀＀＀＀＀＀＀＀燑䶸'华幃南䥟呎剟呁⡅㈱㈯〰ⰸ㈱㈯〰ⰸⰬ唬䑓착_x0018_＀＀_x0018_＀＀_x0008_＀＀_x0001_＀＀_x0001_＀＀兄侠觤䀛燐䶸_x0017_华幃南䙟䍙〨䀩䅃䙟䍙〨착_x0018_＀＀_x0018_＀＀_x0008_＀＀_x0001_＀＀_x0008_＀＀㈱㈯㄰0燒䶸B华幃䅃偟久当佒⡁㈱㈯〰ⰹⰬ唬䑓䀩南偟久䥓乏䕟偘剟䅏ㄨ⼲〲㤰ⰬⰬ单⥄_x0018_＀＀_x0018_＀＀_x0008_＀＀_x0001_＀＀_x0001_＀＀＀＀＀＀䀀쁣燑䶸＀Ｏ华幃南䱟䅅䕓䍟䵏䥍彔剙⠲㈱㈯㄰ⰰ㈱㈯㄰ⰰⰬ唬䑓착_x0018_＀＀_x0018_＀＀_x0008_＀＀_x0001_＀＀_x0001_＀＀＀＀＀＀＀＀䁖燑䶸'华幃南䥟呎剟呁⡅㈱㈯〰ⰹ㈱㈯〰ⰹⰬ唬䑓착_x0018_＀＀_x0018_＀＀_x0008_＀＀_x0001_＀＀_x0001_＀＀詇჈䀛燑䶸,华幃䅃偟协剔呅䕟偍䍟乏剔䉉䍟ㄨ⼲〲㔰ⰬⰬ单⥄_x0018_＀＀_x0018_＀＀_x0008_＀＀_x0001_＀＀_x0001_＀＀＀＀＀＀＀＀䁊燑䶸"华幃䅃偟久当偐彄䕂彎佃呓〨ⰬⰬ单⥄_x0018_＀＀_x0018_＀＀_x0008_＀＀_x0001_＀＀_x0001_＀＀豀碵꼝쐕燒䶸(华幃南䡟呌䍈剁彅乕彆䕂⡎㈱㈯〰ⰴⰬ唬䑓⤩＀＀＀＀燒䶸Q华幃䅃偟久当䍁啃彍佃偍䥒䍎ㄨ⼲〲㔰ⰬⰬ单⥄址当佃偍归义彃䕐华䱟䅉⡂㈱㈯〰ⰵⰬ唬䑓착_x0018_＀＀_x0018_＀＀_x0008_＀＀_x0001_＀＀_x0001_＀＀＀＀＀＀＀＀䀺੔伋7刣晥敲桳帣南偟久䥓乏䅟卓呅当充䥕丨⥁䍀彁䕐华偟呃䕟⡑䅎착_x0018_＀＀_x0018_＀＀_x0008_＀＀_x0001_＀＀_x0001_＀＀豀碵꼝쐕燑䶸[华幃南剟久䅔彌偏䱟䕓䕟偘ㄨ⼲〲㐰ㄬ⼲〲㐰ⰬⰬ单⥄䍀彁呒剟久彔䥍彎塅⡐㈱㈯〰ⰴ㈱㈯〰ⰴⰬ唬䑓착_x0018_＀＀_x0018_＀＀_x0008_＀＀_x0001_＀＀_x0001_＀＀＀＀＀＀䁢燒䶸&amp;华幃䅃偟久当十彔义䅔䝎ㄨ⼲〲ㄱⰬⰬ单⥄_x0018_＀＀_x0018_＀＀_x0008_＀＀_x0001_＀＀_x0001_＀＀豀碵꼝쐕燒䶸P华幃䅃偟协剔呅偟䅌彎十彔久⡄㈱㈯〰ⰸⰬ唬䑓䀩南䡟呌䍈剁彅噆䅟卓呅ㄨ⼲〲㠰ⰬⰬ单⥄_x0018_＀＀_x0018_＀＀_x0008_＀＀_x0001_＀＀_x0001_＀＀＀＀＀＀䀀䁡챻亭_x0016_华幃彐剐䍉Ņ㌠㌯⼱〲㈰_x0018_＀＀_x0018_＀＀_x0008_＀＀_x0001_＀＀_x0001_＀＀㵱휊䀷燒䶸(华幃䅃偟久当偐彄䕂彎佃呓ㄨ⼲〲㠰ⰬⰬ单⥄_x0018_＀＀_x0018_＀＀_x0008_＀＀_x0001_＀＀_x0001_＀＀豀碵꼝쐕燒䶸%华幃䅃偟久当呌䅟卓呅⡓㈱㈯〰ⰹⰬ唬䑓착_x0018_＀＀_x0018_＀＀_x0008_＀＀_x0001_＀＀_x0001_＀＀＀＀＀＀＀＀䀻챻亭_x0016_华幃彐剐䍉Ņ㌠㌯⼱〲㌰_x0018_＀＀_x0018_＀＀_x0008_＀＀_x0001_＀＀_x0001_＀＀슏⣵轜䀲챻亭_x0016_华幃彐剐䍉Ņ㌠㌯⼱〲㐰_x0018_＀＀_x0018_＀＀_x0008_＀＀_x0001_＀＀_x0001_＀＀ꏗ㵰ᜊ䀶챻亭_x0016_华幃彐剐䍉Ņ㌠㌯⼱〲㔰_x0018_＀＀_x0018_＀＀_x0008_＀＀_x0001_＀＀_x0001_＀＀晧晦虦䁂燑䶸+华幃䅃偟协剔呅偟剁彔佃呎䥒⡂㈱㈯㄰ⰰⰬ唬䑓착_x0018_＀＀_x0018_＀＀_x0008_＀＀_x0001_＀＀_x0001_＀＀＀＀＀＀＀＀＀＀챻亭_x0016_华幃彐剐䍉Ņ㌠㌯⼱〲㘰_x0018_＀＀_x0018_＀＀_x0008_＀＀_x0001_＀＀_x0001_＀＀尩슏ࣵ䁋燒䶸%华幃䅃偟久当啃归䥌䉁⡓㈱㈯〰ⰵⰬ唬䑓착_x0018_＀＀_x0018_＀＀_x0008_＀＀_x0001_＀＀_x0001_＀＀豀碵꼝쐕燑䶸M华幃䅃偟协剔呅卟噒䍟协⡔㈱㈯〰ⰹⰬ唬䑓䀩南䡟呌䍈剁彅䕓噒䍟协⡔㈱㈯〰ⰹⰬ唬䑓착_x0018_＀＀_x0018_＀＀_x0008_＀＀_x0001_＀＀_x0001_＀＀＀＀＀＀＀＀䀰챻亭_x0016_华幃彐剐䍉Ņ㌠㌯⼱〲㜰_x0018_＀＀_x0018_＀＀_x0008_＀＀_x0001_＀＀_x0001_＀＀쳍쳌䳌䁉燒䶸 华幃南䕟䍘彈䅒䕔䥟䍎䍟⡆㈱㈯〰⤵_x0018_＀＀_x0018_＀＀_x0008_＀＀_x0001_＀＀_x0001_＀＀豀碵꼝쐕챻亭_x0016_华幃彐剐䍉Ņ㌠㌯⼱〲㠰_x0018_＀＀_x0018_＀＀_x0008_＀＀_x0001_＀＀_x0001_＀＀尩슏⣵䁋챻亭_x0016_华幃彐剐䍉Ņ㌠㌯⼱〲㤰_x0018_＀＀_x0018_＀＀_x0008_＀＀_x0001_＀＀_x0001_＀＀＀＀＀＀䁀燐䶸_x000F_华幃南䍟剕䕒䍎챙_x001C_＀＀_x0018_＀＀_x000C_＀＀_x0001_＀＀_x0008_＀＀⹕⹓䐠汯慬r燑䶸G华幃䅃偟协剔呅䍟协⡔㈱㈯〰ⰸⰬ唬䑓䀩南䡟呌䍈剁彅偎彐塅⡐㈱㈯〰ⰸⰬ唬䑓착_x0018_＀＀_x0018_＀＀_x0008_＀＀_x0001_＀＀_x0001_＀＀＀＀＀＀䀀䁑燒䶸J华幃䅃偟久当䥄䍓剟呁⡅㈱㈯㄰ⰰⰬ唬䑓䀩南偟久䥓乏䑟卉彃䅒䕔ㄨ⼲〲〱ⰬⰬ单⥄_x0018_＀＀_x0018_＀＀_x0008_＀＀_x0001_＀＀_x0001_＀＀＀＀＀＀＀＀䀕燑䶸L华幃䅃偟协剔呅䥟呎䍟协⡔㈱㈯〰ⰷⰬ唬䑓䀩南䡟呌䍈剁彅义彔佃呓ㄨ⼲〲㜰ⰬⰬ单⥄_x0018_＀＀_x0018_＀＀_x0008_＀＀_x0001_＀＀_x0001_＀＀＀＀＀＀＀＀䁇燑䶸'华幃南䥟呎剟呁⡅㈱㈯〰ⰳ㈱㈯〰ⰳⰬ唬䑓착_x0018_＀＀_x0018_＀＀_x0008_＀＀_x0001_＀＀_x0001_＀＀藰哉ꣁ䀜燒䶸&lt;华幃南偟久䥓乏䅟卓呅当佂䑎⡓㈱㈯〰⤹䍀彁䕐华偟呃䙟⡉㈱㈯〰⤹_x0018_＀＀_x0018_＀＀_x0008_＀＀_x0001_＀＀_x0001_＀＀＀＀＀＀＀＀䀷燒䶸)华幃䅃偟久当䵅彐佃呎䥒彂⡃㈱㈯〰ⰷⰬ唬䑓착_x0018_＀＀_x0018_＀＀_x0008_＀＀_x0001_＀＀_x0001_＀＀＀＀＀＀＀＀䀢燑䶸E华幃䅃偟协剔呅䉟久佟⡂㈱㈯〰ⰶⰬ唬䑓䀩南䡟呌䍈剁彅䉐⡏㈱㈯〰ⰶⰬ唬䑓착_x0018_＀＀_x0018_＀＀_x0008_＀＀_x0001_＀＀_x0001_＀＀＀＀＀＀蠀䂈燑䶸F华幃䅃偟协剔呅剟䅏ㄨ⼲〲㠰ⰬⰬ单⥄址当䱈䡔䅃䕒䕟偘剟䅏ㄨ⼲〲㠰ⰬⰬ单⥄_x0018_＀＀_x0018_＀＀_x0008_＀＀_x0001_＀＀_x0001_＀＀＀＀＀＀＀＀쀮燑䶸＀Ｏ华幃南䱟䅅䕓䍟䵏䥍彔剙⠳㈱㈯〰ⰹ㈱㈯〰ⰹⰬ唬䑓착_x0018_＀＀_x0018_＀＀_x0008_＀＀_x0001_＀＀_x0001_＀＀＀＀＀＀䀀䁔燑䶸'华幃南䥟呎剟呁⡅㈱㈯〰ⰴ㈱㈯〰ⰴⰬ唬䑓착_x0018_＀＀_x0018_＀＀_x0008_＀＀_x0001_＀＀_x0001_＀＀徯᮰涶䀛燑䶸'华幃南䥟呎剟呁⡅㈱㈯〰ⰵ㈱㈯〰ⰵⰬ唬䑓착_x0018_＀＀_x0018_＀＀_x0008_＀＀_x0001_＀＀_x0001_＀＀퐂닔纵䀝燑䶸_x001F_华幃䅃偟久当呌䅟卓呅⡓ⰰⰬ唬䑓착_x0018_＀＀_x0018_＀＀_x0008_＀＀_x0001_＀＀_x0001_＀＀＀＀＀＀耀䁡燑䶸'华幃南䥟呎剟呁⡅㈱㈯〰ⰶ㈱㈯〰ⰶⰬ唬䑓착_x0018_＀＀_x0018_＀＀_x0008_＀＀_x0001_＀＀_x0001_＀＀詜ꪫ䀞燒䶸T华幃䅃偟协剔呅偟䥒剏卟噒ㄨ⼲〲㘰ⰬⰬ单⥄址当䱈䡔䅃䕒啟剎䍅卟剅彖佃呓ㄨ⼲〲㘰ⰬⰬ单⥄_x0018_＀＀_x0018_＀＀_x0008_＀＀_x0001_＀＀_x0001_＀＀豀碵꼝쐕燑䶸'华幃南䥟呎剟呁⡅㈱㈯〰ⰷ㈱㈯〰ⰷⰬ唬䑓착_x0018_＀＀_x0018_＀＀_x0008_＀＀_x0001_＀＀_x0001_＀＀鵉⚀䛂䀞燒䶸C华幃䅃偟久当剐䩏佟䱂ㄨ⼲〲㤰ⰬⰬ单⥄址当䕐华佉彎䉐⡏㈱㈯〰ⰹⰬ唬䑓착_x0018_＀＀_x0018_＀＀_x0008_＀＀_x0001_＀＀_x0001_＀＀＀＀＀＀耀䂚燒䶸%华幃䅃偟久当啃归䥌䉁⡓㈱㈯㄰ⰱⰬ唬䑓착_x0018_＀＀_x0018_＀＀_x0008_＀＀_x0001_＀＀_x0001_＀＀＀＀＀＀＀＀䀨燒䶸"华幃南偟久䥓乏偟佂ㄨ⼲〲㘰ⰬⰬ单⥄_x0018_＀＀_x0018_＀＀_x0008_＀＀_x0001_＀＀_x0001_＀＀＀＀＀＀저䂙燒䶸I华幃䅃偟久当剓彖佃呓ㄨ⼲〲㜰ⰬⰬ单⥄址当䕐华佉彎䕓噒䍟协⡔㈱㈯〰ⰷⰬ唬䑓착_x0018_＀＀_x0018_＀＀_x0008_＀＀_x0001_＀＀_x0001_＀＀＀＀＀＀＀＀䀸燑䶸＀Ｏ华幃南䡟呌䍈剁彅䵁剏彔䕓噒䍟协⡔㈱㈯〰ⰷⰬ唬䑓착_x0018_＀＀_x0018_＀＀_x0008_＀＀_x0001_＀＀_x0001_＀＀＀＀＀＀＀＀쀠燒䶸&lt;华幃南偟久䥓乏䅟卓呅当佂䑎⡓㈱㈯〰⤴䍀彁䕐华偟呃䙟⡉㈱㈯〰⤴_x0018_＀＀_x0018_＀＀_x0008_＀＀_x0001_＀＀_x0001_＀＀＀＀＀＀＀＀䀸燑䶸)华幃南䡟呌䍈剁彅䥄䍓剟呁⡅㈱㈯〰ⰴⰬ唬䑓착_x0018_＀＀_x0018_＀＀_x0008_＀＀_x0001_＀＀_x0001_＀＀＀＀＀＀＀＀䀗燑䶸'华幃南偟久偟协彔䕒彔䕂⡎㈱㈯㄰ⰰⰬ唬䑓착_x0018_＀＀_x0018_＀＀_x0008_＀＀_x0001_＀＀_x0001_＀＀＀＀＀＀⠀䂐챻亭_x0016_华幃彐剐䍉Ņ〱㈯⼱〲ㄱ_x0018_＀＀_x0018_＀＀_x0008_＀＀_x0001_＀＀_x0001_＀＀馚香릙䁑燒䶸(华幃䅃偟久当䅐呒䍟乏剔䉉ㄨ⼲〲㜰ⰬⰬ单⥄_x0018_＀＀_x0018_＀＀_x0008_＀＀_x0001_＀＀_x0001_＀＀＀＀＀＀＀＀＀＀燒䶸$华幃䅃偟久当䕂彎䅐䑉ㄨ⼲〲㤰ⰬⰬ单⥄_x0018_＀＀_x0018_＀＀_x0008_＀＀_x0001_＀＀_x0001_＀＀＀＀＀＀䀀䁛燑䶸;华幃南偟久䥓乏䅟卓呅当呏⡈㈱㈯㄰⤰䍀彁䕐华偟呃佟䡔ㄨ⼲〲〱착_x0018_＀＀_x0018_＀＀_x0008_＀＀_x0001_＀＀_x0001_＀＀＀＀＀＀＀＀䀪燒䶸'华幃䅃偟久当商䑎卟䅔啔⡓㈱㈯〰ⰷⰬ唬䑓착_x0018_＀＀_x0018_＀＀_x0008_＀＀_x0001_＀＀_x0001_＀＀＀＀＀＀䁳燒䶸J华幃䅃偟久当䥄䍓剟呁⡅㈱㈯〰ⰵⰬ唬䑓䀩南偟久䥓乏䑟卉彃䅒䕔ㄨ⼲〲㔰ⰬⰬ单⥄_x0018_＀＀_x0018_＀＀_x0008_＀＀_x0001_＀＀_x0001_＀＀＀＀＀＀＀＀䀖燑䶸＀Ｏ华幃南䱟䅅䕓䍟䵏䥍彔剙⠳㈱㈯〰ⰲ㈱㈯〰ⰲⰬ唬䑓착_x0018_＀＀_x0018_＀＀_x0008_＀＀_x0001_＀＀_x0001_＀＀＀＀＀＀䀀䁓챻亭_x0016_华幃彐剐䍉Ņ㌠㌯⼱〲〱_x0018_＀＀_x0018_＀＀_x0008_＀＀_x0001_＀＀_x0001_＀＀롒蔞䁋燑䶸＀Ｏ华幃南䱟䅅䕓䍟䵏䥍彔剙⠳㈱㈯〰ⰳ㈱㈯〰ⰳⰬ唬䑓착_x0018_＀＀_x0018_＀＀_x0008_＀＀_x0001_＀＀_x0001_＀＀＀＀＀＀耀䁑챻亭_x0016_华幃彐剐䍉Ņ㌠㌯⼱〲ㄱ_x0018_＀＀_x0018_＀＀_x0008_＀＀_x0001_＀＀_x0001_＀＀竡긔兇䁑燑䶸-华幃䅃偟协剔呅啟归剔佟彂䵁剏⡔㈱㈯〰ⰶⰬ唬䑓착_x0018_＀＀_x0018_＀＀_x0008_＀＀_x0001_＀＀_x0001_＀＀＀＀＀＀＀＀＀＀燐䶸_x001A_华幃南䕟䍘彈䅒䕔䥟䍎䍟⡆⤰_x0018_＀＀_x0018_＀＀_x0008_＀＀_x0001_＀＀_x0001_＀＀豀碵꼝쐕燑䶸＀Ｏ华幃南䱟䅅䕓䍟䵏䥍彔剙⠳㈱㈯〰ⰴ㈱㈯〰ⰴⰬ唬䑓착_x0018_＀＀_x0018_＀＀_x0008_＀＀_x0001_＀＀_x0001_＀＀＀＀＀＀쀀䁚燑䶸C华幃䅃偟久当剐䩏佟䱂ㄨ⼲〲〱ⰬⰬ单⥄址当䕐华佉彎䉐⡏㈱㈯㄰ⰰⰬ唬䑓착_x0018_＀＀_x0018_＀＀_x0008_＀＀_x0001_＀＀_x0001_＀＀＀＀＀＀吀䂜੔伋_x001D_刣晥敲桳帣南䙟䍙〨䀩䅃䙟䍙〨착_x0014_＀＀_x0018_＀＀_x0004_＀＀_x0001_＀＀_x0008_＀＀乀A燑䶸G华幃䅃偟协剔呅䍟协⡔㈱㈯㄰ⰰⰬ唬䑓䀩南䡟呌䍈剁彅偎彐塅⡐㈱㈯㄰ⰰⰬ唬䑓착_x0018_＀＀_x0018_＀＀_x0008_＀＀_x0001_＀＀_x0001_＀＀＀＀＀＀耀䁜燑䶸;华幃南偟久䥓乏䅟卓呅当剐偏ㄨ⼲〲〱䀩䅃偟久当䍐彔䕒ㄨ⼲〲〱착_x0018_＀＀_x0018_＀＀_x0008_＀＀_x0001_＀＀_x0001_＀＀＀＀＀＀＀＀＀＀燑䶸＀Ｏ华幃南䱟䅅䕓䍟䵏䥍彔剙⠳㈱㈯〰ⰵ㈱㈯〰ⰵⰬ唬䑓착_x0018_＀＀_x0018_＀＀_x0008_＀＀_x0001_＀＀_x0001_＀＀＀＀＀＀耀䁜੔伋8刣晥敲桳帣䅃偟久当佒彁䅒䕔丨⥁址当䕐华佉彎塅彐呌剟䅏丨⥁_x0018_＀＀_x0018_＀＀_x0008_＀＀_x0001_＀＀_x0001_＀＀豀碵꼝쐕燒䶸T华幃䅃偟协剔呅偟䥒剏卟噒ㄨ⼲〲〱ⰬⰬ单⥄址当䱈䡔䅃䕒啟剎䍅卟剅彖佃呓ㄨ⼲〲〱ⰬⰬ单⥄_x0018_＀＀_x0018_＀＀_x0008_＀＀_x0001_＀＀_x0001_＀＀＀＀＀＀＀＀＀＀燒䶸 华幃南䕟䍘彈䅒䕔䥟䍎䍟⡆㈱㈯〰⤶_x0018_＀＀_x0018_＀＀_x0008_＀＀_x0001_＀＀_x0001_＀＀豀碵꼝쐕燑䶸F华幃䅃偟协剔呅剟䅏ㄨ⼲〲〱ⰬⰬ单⥄址当䱈䡔䅃䕒䕟偘剟䅏ㄨ⼲〲〱ⰬⰬ单⥄_x0018_＀＀_x0018_＀＀_x0008_＀＀_x0001_＀＀_x0001_＀＀＀＀＀＀＀＀쀮燑䶸＀Ｏ华幃南䱟䅅䕓䍟䵏䥍彔剙⠳㈱㈯〰ⰶ㈱㈯〰ⰶⰬ唬䑓착_x0018_＀＀_x0018_＀＀_x0008_＀＀_x0001_＀＀_x0001_＀＀＀＀＀＀＀＀䁠燑䶸'华幃南䥟呎剟呁⡅㈱㈯㄰ⰰ㈱㈯㄰ⰰⰬ唬䑓착_x0018_＀＀_x0018_＀＀_x0008_＀＀_x0001_＀＀_x0001_＀＀좊誰ሷ䀜燑䶸＀Ｏ华幃南䱟䅅䕓䍟䵏䥍彔剙⠳㈱㈯〰ⰷ㈱㈯〰ⰷⰬ唬䑓착_x0018_＀＀_x0018_＀＀_x0008_＀＀_x0001_＀＀_x0001_＀＀＀＀＀＀䀀䁜燒䶸'华幃南偟久偟协彔䕒彔䕂⡎㈱㈯〰ⰴⰬ唬䑓착_x0018_＀＀_x0018_＀＀_x0008_＀＀_x0001_＀＀_x0001_＀＀＀＀＀＀＀＀䁼燑䶸)华幃南䡟呌䍈剁彅䥄䍓剟呁⡅㈱㈯㄰ⰰⰬ唬䑓착_x0018_＀＀_x0018_＀＀_x0008_＀＀_x0001_＀＀_x0001_＀＀晦晦晦䀗燒䶸 华幃南䕟䍘彈䅒䕔ㄨ⼲〲㘰ⰬⰬ单⥄_x0018_＀＀_x0018_＀＀_x0008_＀＀_x0001_＀＀_x0001_＀＀＀＀＀＀＀＀㿰燒䶸J华幃䅃偟久当佒彁䅒䕔ㄨ⼲〲㐰ⰬⰬ单⥄址当䕐华佉彎塅彐呌剟䅏ㄨ⼲〲㐰ⰬⰬ单⥄_x0018_＀＀_x0018_＀＀_x0008_＀＀_x0001_＀＀_x0001_＀＀＀＀＀＀＀＀䀢燑䶸＀Ｏ华幃南䱟䅅䕓䍟䵏䥍彔剙⠳㈱㈯〰ⰸ㈱㈯〰ⰸⰬ唬䑓착_x0018_＀＀_x0018_＀＀_x0008_＀＀_x0001_＀＀_x0001_＀＀＀＀＀＀耀䁗燑䶸*华幃南䡟呌䍈剁彅塅彐呌剟䅏ㄨ⼲〲㤰ⰬⰬ单⥄_x0018_＀＀_x0018_＀＀_x0008_＀＀_x0001_＀＀_x0001_＀＀豀碵꼝쐕燒䶸'华幃南偟久䥓乏也呅䱟䅉⡂㈱㈯〰ⰴⰬ唬䑓착_x0018_＀＀_x0018_＀＀_x0008_＀＀_x0001_＀＀_x0001_＀＀豀碵꼝쐕燑䶸%华幃南䥟呎剟呁彅夵噁⡇㈱㈯〰ⰴⰬ唬䑓착_x0018_＀＀_x0018_＀＀_x0008_＀＀_x0001_＀＀_x0001_＀＀ᮛᏓ䀜燒䶸 华幃南䕟䍘彈䅒䕔䉟䱁卟⡈㈱㈯㄰⤰_x0018_＀＀_x0018_＀＀_x0008_＀＀_x0001_＀＀_x0001_＀＀豀碵꼝쐕燒䶸J华幃䅃偟久当䱐乁䅟呓ㄨ⼲〲㤰ⰬⰬ单⥄址当䕐华佉彎䅖彌十䕓協ㄨ⼲〲㤰ⰬⰬ单⥄_x0018_＀＀_x0018_＀＀_x0008_＀＀_x0001_＀＀_x0001_＀＀＀＀＀＀᠀䂘燑䶸F华幃䅃偟协剔呅剟䅏ㄨ⼲〲㜰ⰬⰬ单⥄址当䱈䡔䅃䕒䕟偘剟䅏ㄨ⼲〲㜰ⰬⰬ单⥄_x0018_＀＀_x0018_＀＀_x0008_＀＀_x0001_＀＀_x0001_＀＀＀＀＀＀＀＀쀦燑䶸[华幃南剟久䅔彌偏䱟䕓䕟偘ㄨ⼲〲㌰ㄬ⼲〲㌰ⰬⰬ单⥄䍀彁呒剟久彔䥍彎塅⡐㈱㈯〰ⰳ㈱㈯〰ⰳⰬ唬䑓착_x0018_＀＀_x0018_＀＀_x0008_＀＀_x0001_＀＀_x0001_＀＀＀＀＀＀䀀䁠燒䶸;华幃南偟久䥓乏䅟卓呅当呏⡈㈱㈯〰⤸䍀彁䕐华偟呃佟䡔ㄨ⼲〲㠰착_x0018_＀＀_x0018_＀＀_x0008_＀＀_x0001_＀＀_x0001_＀＀＀＀＀＀＀＀＀＀燒䶸&amp;华幃䅃偟久当十彔义䅔䝎ㄨ⼲〲㘰ⰬⰬ单⥄_x0018_＀＀_x0018_＀＀_x0008_＀＀_x0001_＀＀_x0001_＀＀豀碵꼝쐕燒䶸C华幃䅃偟久当剐䩏佟䱂ㄨ⼲〲㠰ⰬⰬ单⥄址当䕐华佉彎䉐⡏㈱㈯〰ⰸⰬ唬䑓착_x0018_＀＀_x0018_＀＀_x0008_＀＀_x0001_＀＀_x0001_＀＀＀＀＀＀᠀䂚燑䶸+华幃䅃偟协剔呅偟剁彔佃呎䥒⡂㈱㈯〰ⰵⰬ唬䑓착_x0018_＀＀_x0018_＀＀_x0008_＀＀_x0001_＀＀_x0001_＀＀＀＀＀＀＀＀＀＀燒䶸%华幃䅃偟久当呌䅟卓呅⡓㈱㈯〰ⰴⰬ唬䑓착_x0018_＀＀_x0018_＀＀_x0008_＀＀_x0001_＀＀_x0001_＀＀豀碵꼝쐕燑䶸＀Ｏ华幃南䱟䅅䕓䍟䵏䥍彔剙⠳㈱㈯㄰ⰰ㈱㈯㄰ⰰⰬ唬䑓착_x0018_＀＀_x0018_＀＀_x0008_＀＀_x0001_＀＀_x0001_＀＀＀＀＀＀耀䁒燑䶸'华幃南偟久䥓乏也呅䱟䅉⡂㈱㈯㄰ⰰⰬ唬䑓착_x0018_＀＀_x0018_＀＀_x0008_＀＀_x0001_＀＀_x0001_＀＀豀碵꼝쐕燒䶸(华幃南偟久䥓乏䅟卓呅当呌ㄨ⼲〲㜰ⰬⰬ单⥄_x0018_＀＀_x0018_＀＀_x0008_＀＀_x0001_＀＀_x0001_＀＀豀碵꼝쐕燑䶸%华幃南䥟呎剟呁彅夵噁⡇㈱㈯㄰ⰰⰬ唬䑓착_x0018_＀＀_x0018_＀＀_x0008_＀＀_x0001_＀＀_x0001_＀＀쓰ឬ륃䀜燒䶸$华幃䅃偟久当呌䱟䅉卂ㄨ⼲〲㘰ⰬⰬ单⥄_x0018_＀＀_x0018_＀＀_x0008_＀＀_x0001_＀＀_x0001_＀＀＀＀＀＀＀＀䁢燒䶸C华幃䅃偟久当剐䩏佟䱂ㄨ⼲〲㜰ⰬⰬ单⥄址当䕐华佉彎䉐⡏㈱㈯〰ⰷⰬ唬䑓착_x0018_＀＀_x0018_＀＀_x0008_＀＀_x0001_＀＀_x0001_＀＀＀＀＀＀뀀䂙챻亭_x0016_华幃彐剐䍉Ņ㤠㌯⼰〲㈰_x0018_＀＀_x0018_＀＀_x0008_＀＀_x0001_＀＀_x0001_＀＀㵱휊ィ䀴੔伋7刣晥敲桳帣南偟久䥓乏䅟卓呅当剐偏丨⥁䍀彁䕐华偟呃剟⡅䅎착_x0018_＀＀_x0018_＀＀_x0008_＀＀_x0001_＀＀_x0001_＀＀豀碵꼝쐕챻亭_x0016_华幃彐剐䍉Ņ㤠㌯⼰〲㌰_x0018_＀＀_x0018_＀＀_x0008_＀＀_x0001_＀＀_x0001_＀＀＀＀＀＀耀䀲燒䶸(华幃南䡟呌䍈剁彅乕彆䕂⡎㈱㈯〰ⰷⰬ唬䑓⤩＀＀＀＀챻亭_x0016_华幃彐剐䍉Ņ㤠㌯⼰〲㐰_x0018_＀＀_x0018_＀＀_x0008_＀＀_x0001_＀＀_x0001_＀＀ਾꏗ뵰䀽챻亭_x0016_华幃彐剐䍉Ņ㤠㌯⼰〲㔰_x0018_＀＀_x0018_＀＀_x0008_＀＀_x0001_＀＀_x0001_＀＀ᑺ䞮䁄챻亭_x0016_华幃彐剐䍉Ņ㤠㌯⼰〲㘰_x0018_＀＀_x0018_＀＀_x0008_＀＀_x0001_＀＀_x0001_＀＀晧晦٦䁆燒䶸;华幃南偟久䥓乏䅟卓呅当剐偏ㄨ⼲〲㠰䀩䅃偟久当䍐彔䕒ㄨ⼲〲㠰착_x0018_＀＀_x0018_＀＀_x0008_＀＀_x0001_＀＀_x0001_＀＀＀＀＀＀＀＀＀＀燑䶸＀Ｏ华幃南䱟䅅䕓䍟䵏䥍彔剙⠴㈱㈯〰ⰲ㈱㈯〰ⰲⰬ唬䑓착_x0018_＀＀_x0018_＀＀_x0008_＀＀_x0001_＀＀_x0001_＀＀＀＀＀＀耀䁎챻亭_x0016_华幃彐剐䍉Ņ㤠㌯⼰〲㜰_x0018_＀＀_x0018_＀＀_x0008_＀＀_x0001_＀＀_x0001_＀＀긕䁉챻亭_x0016_华幃彐剐䍉Ņ㤠㌯⼰〲㠰_x0018_＀＀_x0018_＀＀_x0008_＀＀_x0001_＀＀_x0001_＀＀ਾꏗ走䁐燑䶸＀Ｏ华幃南䱟䅅䕓䍟䵏䥍彔剙⠴㈱㈯〰ⰳ㈱㈯〰ⰳⰬ唬䑓착_x0018_＀＀_x0018_＀＀_x0008_＀＀_x0001_＀＀_x0001_＀＀＀＀＀＀耀䁎챻亭_x0016_华幃彐剐䍉Ņ㤠㌯⼰〲㤰_x0018_＀＀_x0018_＀＀_x0008_＀＀_x0001_＀＀_x0001_＀＀䞮竡踔䁅燒䶸 华幃南䕟䍘彈䅒䕔䥟䍎䍟⡆㈱㈯〰⤷_x0018_＀＀_x0018_＀＀_x0008_＀＀_x0001_＀＀_x0001_＀＀豀碵꼝쐕燒䶸J华幃䅃偟久当佒彁䅒䕔ㄨ⼲〲㜰ⰬⰬ单⥄址当䕐华佉彎塅彐呌剟䅏ㄨ⼲〲㜰ⰬⰬ单⥄_x0018_＀＀_x0018_＀＀_x0008_＀＀_x0001_＀＀_x0001_＀＀＀＀＀＀＀＀䀢燒䶸)华幃䅃偟协剔呅佟䡔䑁彊䉎⡁㈱㈯〰ⰵⰬ唬䑓착_x0018_＀＀_x0018_＀＀_x0008_＀＀_x0001_＀＀_x0001_＀＀＀＀＀＀耀䁰燑䶸＀Ｏ华幃南䱟䅅䕓䍟䵏䥍彔剙⠴㈱㈯〰ⰴ㈱㈯〰ⰴⰬ唬䑓착_x0018_＀＀_x0018_＀＀_x0008_＀＀_x0001_＀＀_x0001_＀＀＀＀＀＀쀀䁕燒䶸;华幃南偟久䥓乏䅟卓呅当充䥕ㄨ⼲〲㤰䀩䅃偟久当䍐彔充ㄨ⼲〲㤰착_x0018_＀＀_x0018_＀＀_x0008_＀＀_x0001_＀＀_x0001_＀＀＀＀＀＀䀀䁓燒䶸)华幃南偟久䥓乏噟䱁䅟卓呅⡓㈱㈯〰ⰷⰬ唬䑓착_x0018_＀＀_x0018_＀＀_x0008_＀＀_x0001_＀＀_x0001_＀＀＀＀＀＀가䂞燑䶸＀Ｏ华幃南䱟䅅䕓䍟䵏䥍彔剙⠴㈱㈯〰ⰵ㈱㈯〰ⰵⰬ唬䑓착_x0018_＀＀_x0018_＀＀_x0008_＀＀_x0001_＀＀_x0001_＀＀＀＀＀＀＀＀䁙燑䶸P华幃䅃偟协剔呅偟䅌彎十彔久⡄㈱㈯〰ⰷⰬ唬䑓䀩南䡟呌䍈剁彅噆䅟卓呅ㄨ⼲〲㜰ⰬⰬ单⥄_x0018_＀＀_x0018_＀＀_x0008_＀＀_x0001_＀＀_x0001_＀＀＀＀＀＀＀＀䁦燒䶸%华幃䅃偟久当佃偍剟呁⡅㈱㈯〰ⰹⰬ唬䑓착_x0018_＀＀_x0018_＀＀_x0008_＀＀_x0001_＀＀_x0001_＀＀＀＀＀＀＀＀䀒燑䶸＀Ｏ华幃南䱟䅅䕓䍟䵏䥍彔剙⠴㈱㈯〰ⰶ㈱㈯〰ⰶⰬ唬䑓착_x0018_＀＀_x0018_＀＀_x0008_＀＀_x0001_＀＀_x0001_＀＀＀＀＀＀耀䁛燑䶸%华幃䅃偟久当呌䅟卓呅⡓㈱㈯㄰ⰰⰬ唬䑓착_x0018_＀＀_x0018_＀＀_x0008_＀＀_x0001_＀＀_x0001_＀＀＀＀＀＀耀䁡燑䶸G华幃䅃偟协剔呅䍟协⡔㈱㈯〰ⰷⰬ唬䑓䀩南䡟呌䍈剁彅偎彐塅⡐㈱㈯〰ⰷⰬ唬䑓착_x0018_＀＀_x0018_＀＀_x0008_＀＀_x0001_＀＀_x0001_＀＀＀＀＀＀＀＀䁓燑䶸'华幃䅃偟协剔呅䉟久偟䥁⡄㈱㈯〰ⰸⰬ唬䑓착_x0018_＀＀_x0018_＀＀_x0008_＀＀_x0001_＀＀_x0001_＀＀＀＀＀＀＀＀䁉燑䶸＀Ｏ华幃南䱟䅅䕓䍟䵏䥍彔剙⠴㈱㈯〰ⰷ㈱㈯〰ⰷⰬ唬䑓착_x0018_＀＀_x0018_＀＀_x0008_＀＀_x0001_＀＀_x0001_＀＀＀＀＀＀䀀䁔燑䶸&lt;华幃䅃偟久当䥄䍓剟呁⡅㈱㈯㄰⤰址当䕐华佉彎䥄䍓剟呁⡅㈱㈯㄰⤰_x0018_＀＀_x0018_＀＀_x0008_＀＀_x0001_＀＀_x0001_＀＀＀＀＀＀＀＀䀕燒䶸 华幃南䕟䍘彈䅒䕔䉟䱁卟⡈㈱㈯㄰⤱_x0018_＀＀_x0018_＀＀_x0008_＀＀_x0001_＀＀_x0001_＀＀豀碵꼝쐕燒䶸T华幃䅃偟协剔呅偟䥒剏卟噒ㄨ⼲〲㠰ⰬⰬ单⥄址当䱈䡔䅃䕒啟剎䍅卟剅彖佃呓ㄨ⼲〲㠰ⰬⰬ单⥄_x0018_＀＀_x0018_＀＀_x0008_＀＀_x0001_＀＀_x0001_＀＀＀＀＀＀＀＀쀀燑䶸＀Ｏ华幃南䱟䅅䕓䍟䵏䥍彔剙⠴㈱㈯〰ⰸ㈱㈯〰ⰸⰬ唬䑓착_x0018_＀＀_x0018_＀＀_x0008_＀＀_x0001_＀＀_x0001_＀＀＀＀＀＀쀀䁓燑䶸＀Ｏ华幃南䱟䅅䕓䍟䵏䥍彔剙⠴㈱㈯〰ⰹ㈱㈯〰ⰹⰬ唬䑓착_x0018_＀＀_x0018_＀＀_x0008_＀＀_x0001_＀＀_x0001_＀＀＀＀＀＀＀＀䁒챻亭_x0016_华幃彐剐䍉Ņ〱ㄯ⼴〲ㄱ_x0018_＀＀_x0018_＀＀_x0008_＀＀_x0001_＀＀_x0001_＀＀ᑻ䞮ૡ䁑燒䶸#华幃䅃偟协剔呅䱟䅉⡂㈱㈯〰ⰷⰬ唬䑓착_x0018_＀＀_x0018_＀＀_x0008_＀＀_x0001_＀＀_x0001_＀＀＀＀＀＀堀삅燒䶸;华幃南偟久䥓乏䅟卓呅当充䥕ㄨ⼲〲㐰䀩䅃偟久当䍐彔充ㄨ⼲〲㐰착_x0018_＀＀_x0018_＀＀_x0008_＀＀_x0001_＀＀_x0001_＀＀＀＀＀＀＀＀䁓燑䶸L华幃䅃偟协剔呅䥟呎䍟协⡔㈱㈯〰ⰶⰬ唬䑓䀩南䡟呌䍈剁彅义彔佃呓ㄨ⼲〲㘰ⰬⰬ单⥄_x0018_＀＀_x0018_＀＀_x0008_＀＀_x0001_＀＀_x0001_＀＀＀＀＀＀＀＀䁅燑䶸[华幃南剟久䅔彌偏䱟䕓䕟偘ㄨ⼲〲〱ㄬ⼲〲〱ⰬⰬ单⥄䍀彁呒剟久彔䥍彎塅⡐㈱㈯㄰ⰰ㈱㈯㄰ⰰⰬ唬䑓착_x0018_＀＀_x0018_＀＀_x0008_＀＀_x0001_＀＀_x0001_＀＀＀＀＀＀䁣燒䶸G华幃䅃偟久当䕎彔佃呓ㄨ⼲〲㔰ⰬⰬ单⥄址当䕐华佉彎偎彐塅⡐㈱㈯〰ⰵⰬ唬䑓착_x0018_＀＀_x0018_＀＀_x0008_＀＀_x0001_＀＀_x0001_＀＀＀＀＀＀＀＀쀷燐䶸_x000E_华幃南䍟彏䅎䕍-＀＀_x0018_＀＀_x001D_＀＀_x0001_＀＀_x0008_＀＀低䙒䱏⁋体呕䕈乒䌠剏佐䅒䥔乏찀燒䶸$华幃䅃偟久当䕂彎䅐䑉ㄨ⼲〲㐰ⰬⰬ单⥄_x0018_＀＀_x0018_＀＀_x0008_＀＀_x0001_＀＀_x0001_＀＀＀＀＀＀䀀䁝燑䶸_x001E_华幃䅃偟久当佃偍剟呁⡅㈱㈯㄰⤰_x0018_＀＀_x0018_＀＀_x0008_＀＀_x0001_＀＀_x0001_＀＀＀＀＀＀＀＀䀒燑䶸E华幃䅃偟协剔呅䉟久佟⡂㈱㈯〰ⰷⰬ唬䑓䀩南䡟呌䍈剁彅䉐⡏㈱㈯〰ⰷⰬ唬䑓착_x0018_＀＀_x0018_＀＀_x0008_＀＀_x0001_＀＀_x0001_＀＀＀＀＀＀_xD800_䂊챻亭_x0016_华幃彐剐䍉Ņ㤠㌯⼰〲〱_x0018_＀＀_x0018_＀＀_x0008_＀＀_x0001_＀＀_x0001_＀＀竡긔셇䁍玸仳_x0016_华幃彐剐䍉Ņ㈱㈯⼳〲ㄱ_x0018_＀＀_x0018_＀＀_x0008_＀＀_x0001_＀＀_x0001_＀＀ᑺޮ䁒챻亭_x0016_华幃彐剐䍉Ņ㤠㌯⼰〲ㄱ_x0018_＀＀_x0018_＀＀_x0008_＀＀_x0001_＀＀_x0001_＀＀尨芏䁎燑䶸,华幃䅃偟协剔呅䕟偍䍟乏剔䉉䍟ㄨ⼲〲㘰ⰬⰬ单⥄_x0018_＀＀_x0018_＀＀_x0008_＀＀_x0001_＀＀_x0001_＀＀＀＀＀＀＀＀䁆燑䶸)华幃南䡟呌䍈剁彅䥄䍓剟呁⡅㈱㈯〰ⰵⰬ唬䑓착_x0018_＀＀_x0018_＀＀_x0008_＀＀_x0001_＀＀_x0001_＀＀＀＀＀＀＀＀䀖燒䶸I华幃䅃偟久当剓彖佃呓ㄨ⼲〲㘰ⰬⰬ单⥄址当䕐华佉彎䕓噒䍟协⡔㈱㈯〰ⰶⰬ唬䑓착_x0018_＀＀_x0018_＀＀_x0008_＀＀_x0001_＀＀_x0001_＀＀＀＀＀＀＀＀䀻燒䶸(华幃䅃偟久当䅐呒䍟乏剔䉉ㄨ⼲〲㠰ⰬⰬ单⥄_x0018_＀＀_x0018_＀＀_x0008_＀＀_x0001_＀＀_x0001_＀＀＀＀＀＀＀＀＀＀燑䶸＀Ｏ华幃南䱟䅅䕓䍟䵏䥍彔剙⠴㈱㈯㄰ⰰ㈱㈯㄰ⰰⰬ唬䑓착_x0018_＀＀_x0018_＀＀_x0008_＀＀_x0001_＀＀_x0001_＀＀＀＀＀＀耀䁋燑䶸N华幃䅃偟久当乕䕒佃⡇㈱㈯㄰ⰰⰬ唬䑓䀩南偟久䥓乏啟剎䍅卟剅彖佃呓ㄨ⼲〲〱ⰬⰬ单⥄_x0018_＀＀_x0018_＀＀_x0008_＀＀_x0001_＀＀_x0001_＀＀＀＀＀＀＀＀䀜燒䶸'华幃䅃偟久当商䑎卟䅔啔⡓㈱㈯〰ⰸⰬ唬䑓착_x0018_＀＀_x0018_＀＀_x0008_＀＀_x0001_＀＀_x0001_＀＀＀＀＀＀က쁵燒䶸C华幃䅃偟久当剐䩏佟䱂ㄨ⼲〲㘰ⰬⰬ单⥄址当䕐华佉彎䉐⡏㈱㈯〰ⰶⰬ唬䑓착_x0018_＀＀_x0018_＀＀_x0008_＀＀_x0001_＀＀_x0001_＀＀＀＀＀＀저䂙玸仳_x0016_华幃彐剐䍉Ņ㈱〯⼲〲ㄱ_x0018_＀＀_x0018_＀＀_x0008_＀＀_x0001_＀＀_x0001_＀＀㵱휊삣䁒燒䶸(华幃䅃偟久当偐彄䕂彎佃呓ㄨ⼲〲㤰ⰬⰬ单⥄_x0018_＀＀_x0018_＀＀_x0008_＀＀_x0001_＀＀_x0001_＀＀豀碵꼝쐕燑䶸*华幃南䡟呌䍈剁彅塅彐呌剟䅏ㄨ⼲〲㐰ⰬⰬ单⥄_x0018_＀＀_x0018_＀＀_x0008_＀＀_x0001_＀＀_x0001_＀＀豀碵꼝쐕燒䶸 华幃南䕟䍘彈䅒䕔䥟䍎䍟⡆㈱㈯〰⤸_x0018_＀＀_x0018_＀＀_x0008_＀＀_x0001_＀＀_x0001_＀＀豀碵꼝쐕燑䶸$华幃䅃偟久当䕂彎䅐䑉ㄨ⼲〲〱ⰬⰬ单⥄_x0018_＀＀_x0018_＀＀_x0008_＀＀_x0001_＀＀_x0001_＀＀＀＀＀＀䀀䁜燒䶸J华幃䅃偟久当䥄䍓剟呁⡅㈱㈯〰ⰴⰬ唬䑓䀩南偟久䥓乏䑟卉彃䅒䕔ㄨ⼲〲㐰ⰬⰬ单⥄_x0018_＀＀_x0018_＀＀_x0008_＀＀_x0001_＀＀_x0001_＀＀＀＀＀＀＀＀䀗燑䶸＀Ｏ华幃南䱟䅅䕓䍟䵏䥍彔剙⠵㈱㈯〰ⰲ㈱㈯〰ⰲⰬ唬䑓착_x0018_＀＀_x0018_＀＀_x0008_＀＀_x0001_＀＀_x0001_＀＀＀＀＀＀＀＀䁋燒䶸%华幃䅃偟久当啃归䥌䉁⡓㈱㈯〰ⰶⰬ唬䑓착_x0018_＀＀_x0018_＀＀_x0008_＀＀_x0001_＀＀_x0001_＀＀＀＀＀＀＀＀䀠燒䶸C华幃䅃偟久当剐䩏佟䱂ㄨ⼲〲㔰ⰬⰬ单⥄址当䕐华佉彎䉐⡏㈱㈯〰ⰵⰬ唬䑓착_x0018_＀＀_x0018_＀＀_x0008_＀＀_x0001_＀＀_x0001_＀＀＀＀＀＀ꠀ䂙燑䶸＀Ｏ华幃南䱟䅅䕓䍟䵏䥍彔剙⠵㈱㈯〰ⰳ㈱㈯〰ⰳⰬ唬䑓착_x0018_＀＀_x0018_＀＀_x0008_＀＀_x0001_＀＀_x0001_＀＀＀＀＀＀＀＀䁈燒䶸F华幃䅃偟久当佒彁䍁⡔㈱㈯〰ⰶⰬ唬䑓䀩南偟久䥓乏䅟呃剟䅏ㄨ⼲〲㘰ⰬⰬ单⥄_x0018_＀＀_x0018_＀＀_x0008_＀＀_x0001_＀＀_x0001_＀＀＀＀＀＀耀䁫燑䶸＀Ｏ华幃南䱟䅅䕓䍟䵏䥍彔剙⠵㈱㈯〰ⰴ㈱㈯〰ⰴⰬ唬䑓착_x0018_＀＀_x0018_＀＀_x0008_＀＀_x0001_＀＀_x0001_＀＀＀＀＀＀䀀䁒燒䶸 华幃南䕟䍘彈䅒䕔䉟䱁卟⡈㈱㈯〰⤴_x0018_＀＀_x0018_＀＀_x0008_＀＀_x0001_＀＀_x0001_＀＀豀碵꼝쐕燒䶸'华幃南偟久偟协彔䕒彔䕂⡎㈱㈯〰ⰵⰬ唬䑓착_x0018_＀＀_x0018_＀＀_x0008_＀＀_x0001_＀＀_x0001_＀＀＀＀＀＀怀䁽燑䶸＀Ｏ华幃南䱟䅅䕓䍟䵏䥍彔剙⠵㈱㈯〰ⰵ㈱㈯〰ⰵⰬ唬䑓착_x0018_＀＀_x0018_＀＀_x0008_＀＀_x0001_＀＀_x0001_＀＀＀＀＀＀䀀䁕燒䶸 华幃南䕟䍘彈䅒䕔ㄨ⼲〲㜰ⰬⰬ单⥄_x0018_＀＀_x0018_＀＀_x0008_＀＀_x0001_＀＀_x0001_＀＀＀＀＀＀＀＀㿰燑䶸G华幃䅃偟协剔呅䍟协⡔㈱㈯〰ⰶⰬ唬䑓䀩南䡟呌䍈剁彅偎彐塅⡐㈱㈯〰ⰶⰬ唬䑓착_x0018_＀＀_x0018_＀＀_x0008_＀＀_x0001_＀＀_x0001_＀＀＀＀＀＀耀䁑燒䶸)华幃䅃偟久当䵅彐佃呎䥒彂⡃㈱㈯〰ⰸⰬ唬䑓착_x0018_＀＀_x0018_＀＀_x0008_＀＀_x0001_＀＀_x0001_＀＀＀＀＀＀＀＀䀤燑䶸＀Ｏ华幃南䱟䅅䕓䍟䵏䥍彔剙⠵㈱㈯〰ⰶ㈱㈯〰ⰶⰬ唬䑓착_x0018_＀＀_x0018_＀＀_x0008_＀＀_x0001_＀＀_x0001_＀＀＀＀＀＀쀀䁓੔伋8刣晥敲桳帣南偟久䥓乏䅟卓呅当佂䑎⡓䅎䀩䅃偟久当䍐彔䥆丨⥁_x0018_＀＀_x0018_＀＀_x0008_＀＀_x0001_＀＀_x0001_＀＀豀碵꼝쐕燑䶸F华幃䅃偟协剔呅剟䅏ㄨ⼲〲㘰ⰬⰬ单⥄址当䱈䡔䅃䕒䕟偘剟䅏ㄨ⼲〲㘰ⰬⰬ单⥄_x0018_＀＀_x0018_＀＀_x0008_＀＀_x0001_＀＀_x0001_＀＀＀＀＀＀＀＀쀤燑䶸＀Ｏ华幃南䱟䅅䕓䍟䵏䥍彔剙⠵㈱㈯〰ⰷ㈱㈯〰ⰷⰬ唬䑓착_x0018_＀＀_x0018_＀＀_x0008_＀＀_x0001_＀＀_x0001_＀＀＀＀＀＀耀䁑燒䶸&lt;华幃䅃偟久当䥄䍓剟呁⡅㈱㈯〰⤹址当䕐华佉彎䥄䍓剟呁⡅㈱㈯〰⤹_x0018_＀＀_x0018_＀＀_x0008_＀＀_x0001_＀＀_x0001_＀＀晧晦晦䀗燑䶸＀Ｏ华幃南䱟䅅䕓䍟䵏䥍彔剙⠵㈱㈯〰ⰸ㈱㈯〰ⰸⰬ唬䑓착_x0018_＀＀_x0018_＀＀_x0008_＀＀_x0001_＀＀_x0001_＀＀＀＀＀＀耀䁑燑䶸*华幃南䡟呌䍈剁彅塅彐呌剟䅏ㄨ⼲〲〱ⰬⰬ单⥄_x0018_＀＀_x0018_＀＀_x0008_＀＀_x0001_＀＀_x0001_＀＀豀碵꼝쐕燑䶸＀Ｏ华幃南䱟䅅䕓䍟䵏䥍彔剙⠵㈱㈯〰ⰹ㈱㈯〰ⰹⰬ唬䑓착_x0018_＀＀_x0018_＀＀_x0008_＀＀_x0001_＀＀_x0001_＀＀＀＀＀＀＀＀䁊燒䶸G华幃䅃偟久当䕎彔佃呓ㄨ⼲〲㠰ⰬⰬ单⥄址当䕐华佉彎偎彐塅⡐㈱㈯〰ⰸⰬ唬䑓착_x0018_＀＀_x0018_＀＀_x0008_＀＀_x0001_＀＀_x0001_＀＀＀＀＀＀耀쁃燒䶸"华幃南偟久䥓乏偟佂ㄨ⼲〲㜰ⰬⰬ单⥄_x0018_＀＀_x0018_＀＀_x0008_＀＀_x0001_＀＀_x0001_＀＀＀＀＀＀뀀䂙챻亭_x0016_华幃彐剐䍉Ņ㐠㌯⼰〲㈰_x0018_＀＀_x0018_＀＀_x0008_＀＀_x0001_＀＀_x0001_＀＀䞮竡渔䀵燑䶸＀Ｏ华幃南䡟呌䍈剁彅䵁剏彔䕓噒䍟协⡔㈱㈯〰ⰸⰬ唬䑓착_x0018_＀＀_x0018_＀＀_x0008_＀＀_x0001_＀＀_x0001_＀＀＀＀＀＀＀＀쀠챻亭_x0016_华幃彐剐䍉Ņ㐠㌯⼰〲㌰_x0018_＀＀_x0018_＀＀_x0008_＀＀_x0001_＀＀_x0001_＀＀⣶轜㗂䀵燑䶸M华幃䅃偟协剔呅卟噒䍟协⡔㈱㈯〰ⰵⰬ唬䑓䀩南䡟呌䍈剁彅䕓噒䍟协⡔㈱㈯〰ⰵⰬ唬䑓착_x0018_＀＀_x0018_＀＀_x0008_＀＀_x0001_＀＀_x0001_＀＀＀＀＀＀＀＀䀱챻亭_x0016_华幃彐剐䍉Ņ㐠㌯⼰〲㐰_x0018_＀＀_x0018_＀＀_x0008_＀＀_x0001_＀＀_x0001_＀＀롒蔞퇫䀷燑䶸G华幃䅃偟久当䕎彔佃呓ㄨ⼲〲〱ⰬⰬ单⥄址当䕐华佉彎偎彐塅⡐㈱㈯㄰ⰰⰬ唬䑓착_x0018_＀＀_x0018_＀＀_x0008_＀＀_x0001_＀＀_x0001_＀＀＀＀＀＀＀＀䀿੔伋7刣晥敲桳帣南偟久䥓乏䅟卓呅当呏⡈䅎䀩䅃偟久当䍐彔呏⡈䅎착_x0018_＀＀_x0018_＀＀_x0008_＀＀_x0001_＀＀_x0001_＀＀豀碵꼝쐕챻亭_x0016_华幃彐剐䍉Ņ㐠㌯⼰〲㔰_x0018_＀＀_x0018_＀＀_x0008_＀＀_x0001_＀＀_x0001_＀＀晧晦晦䀿챻亭_x0016_华幃彐剐䍉Ņ㐠㌯⼰〲㘰_x0018_＀＀_x0018_＀＀_x0008_＀＀_x0001_＀＀_x0001_＀＀＀＀＀＀＀＀䁋燒䶸'华幃南偟久偟协彔䕒彔䕂⡎㈱㈯㄰ⰱⰬ唬䑓착_x0018_＀＀_x0018_＀＀_x0008_＀＀_x0001_＀＀_x0001_＀＀豀碵꼝쐕챻亭_x0016_华幃彐剐䍉Ņ㐠㌯⼰〲㜰_x0018_＀＀_x0018_＀＀_x0008_＀＀_x0001_＀＀_x0001_＀＀＀＀＀＀ꀀ䁊챻亭_x0016_华幃彐剐䍉Ņ㐠㌯⼰〲㠰_x0018_＀＀_x0018_＀＀_x0008_＀＀_x0001_＀＀_x0001_＀＀휊炣쨽䁍燒䶸&lt;华幃南偟久䥓乏䅟卓呅当佂䑎⡓㈱㈯〰⤵䍀彁䕐华偟呃䙟⡉㈱㈯〰⤵_x0018_＀＀_x0018_＀＀_x0008_＀＀_x0001_＀＀_x0001_＀＀＀＀＀＀＀＀䀸챻亭_x0016_华幃彐剐䍉Ņ㐠㌯⼰〲㤰_x0018_＀＀_x0018_＀＀_x0008_＀＀_x0001_＀＀_x0001_＀＀ꏗ㵰휊䁁燒䶸J华幃䅃偟久当佒彁䅒䕔ㄨ⼲〲〱ⰬⰬ单⥄址当䕐华佉彎塅彐呌剟䅏ㄨ⼲〲〱ⰬⰬ单⥄_x0018_＀＀_x0018_＀＀_x0008_＀＀_x0001_＀＀_x0001_＀＀＀＀＀＀耀䀡燒䶸(华幃南偟久䥓乏䅟卓呅当呌ㄨ⼲〲㠰ⰬⰬ单⥄_x0018_＀＀_x0018_＀＀_x0008_＀＀_x0001_＀＀_x0001_＀＀豀碵꼝쐕燒䶸N华幃䅃偟久当乕䕒佃⡇㈱㈯〰ⰹⰬ唬䑓䀩南偟久䥓乏啟剎䍅卟剅彖佃呓ㄨ⼲〲㤰ⰬⰬ单⥄_x0018_＀＀_x0018_＀＀_x0008_＀＀_x0001_＀＀_x0001_＀＀＀＀＀＀＀＀䀤燒䶸$华幃䅃偟久当呌䱟䅉卂ㄨ⼲〲㜰ⰬⰬ单⥄_x0018_＀＀_x0018_＀＀_x0008_＀＀_x0001_＀＀_x0001_＀＀＀＀＀＀쀀䁢燑䶸[华幃南剟久䅔彌偏䱟䕓䕟偘ㄨ⼲〲㈰ㄬ⼲〲㈰ⰬⰬ单⥄䍀彁呒剟久彔䥍彎塅⡐㈱㈯〰ⰲ㈱㈯〰ⰲⰬ唬䑓착_x0018_＀＀_x0018_＀＀_x0008_＀＀_x0001_＀＀_x0001_＀＀＀＀＀＀耀䁡燒䶸B华幃䅃偟久当佒⡁㈱㈯〰ⰵⰬ唬䑓䀩南偟久䥓乏䕟偘剟䅏ㄨ⼲〲㔰ⰬⰬ单⥄_x0018_＀＀_x0018_＀＀_x0008_＀＀_x0001_＀＀_x0001_＀＀＀＀＀＀ꀀ쁢燒䶸%华幃䅃偟久当佃偍剟呁⡅㈱㈯〰ⰴⰬ唬䑓착_x0018_＀＀_x0018_＀＀_x0008_＀＀_x0001_＀＀_x0001_＀＀＀＀＀＀＀＀䀒燑䶸-华幃䅃偟协剔呅啟归剔佟彂䵁剏⡔㈱㈯〰ⰷⰬ唬䑓착_x0018_＀＀_x0018_＀＀_x0008_＀＀_x0001_＀＀_x0001_＀＀＀＀＀＀＀＀＀＀燑䶸＀Ｏ华幃南䱟䅅䕓䍟䵏䥍彔剙⠵㈱㈯㄰ⰰ㈱㈯㄰ⰰⰬ唬䑓착_x0018_＀＀_x0018_＀＀_x0008_＀＀_x0001_＀＀_x0001_＀＀＀＀＀＀＀＀䁀燒䶸 华幃南䕟䍘彈䅒䕔䥟䍎䍟⡆㈱㈯〰⤹_x0018_＀＀_x0018_＀＀_x0008_＀＀_x0001_＀＀_x0001_＀＀豀碵꼝쐕燑䶸_x001A_华幃南䕟䍘彈䅒䕔〨ⰬⰬ单⥄_x0018_＀＀_x0018_＀＀_x0008_＀＀_x0001_＀＀_x0001_＀＀＀＀＀＀＀＀㿰੔伋!刣晥敲桳帣南䕟䍘彈䅒䕔䉟䱁卟⡈䅎착_x0018_＀＀_x0018_＀＀_x0008_＀＀_x0001_＀＀_x0001_＀＀豀碵꼝쐕燒䶸Q华幃䅃偟久当䍁啃彍佃偍䥒䍎ㄨ⼲〲㠰ⰬⰬ单⥄址当佃偍归义彃䕐华䱟䅉⡂㈱㈯〰ⰸⰬ唬䑓착_x0018_＀＀_x0018_＀＀_x0008_＀＀_x0001_＀＀_x0001_＀＀＀＀＀＀삉燑䶸L华幃䅃偟协剔呅䥟呎䍟协⡔㈱㈯㄰ⰰⰬ唬䑓䀩南䡟呌䍈剁彅义彔佃呓ㄨ⼲〲〱ⰬⰬ单⥄_x0018_＀＀_x0018_＀＀_x0008_＀＀_x0001_＀＀_x0001_＀＀＀＀＀＀耀䁎燒䶸)华幃南偟久䥓乏噟䱁䅟卓呅⡓㈱㈯〰ⰸⰬ唬䑓착_x0018_＀＀_x0018_＀＀_x0008_＀＀_x0001_＀＀_x0001_＀＀＀＀＀＀퐀䂔燒䶸 华幃南䕟䍘彈䅒䕔䉟䱁卟⡈㈱㈯〰⤵_x0018_＀＀_x0018_＀＀_x0008_＀＀_x0001_＀＀_x0001_＀＀豀碵꼝쐕燒䶸F华幃䅃偟久当佒彁䍁⡔㈱㈯〰ⰹⰬ唬䑓䀩南偟久䥓乏䅟呃剟䅏ㄨ⼲〲㤰ⰬⰬ单⥄_x0018_＀＀_x0018_＀＀_x0008_＀＀_x0001_＀＀_x0001_＀＀＀＀＀＀　䁳燒䶸C华幃䅃偟久当剐䩏佟䱂ㄨ⼲〲㐰ⰬⰬ单⥄址当䕐华佉彎䉐⡏㈱㈯〰ⰴⰬ唬䑓착_x0018_＀＀_x0018_＀＀_x0008_＀＀_x0001_＀＀_x0001_＀＀＀＀＀＀頀䂘燑䶸E华幃䅃偟协剔呅䉟久佟⡂㈱㈯〰ⰸⰬ唬䑓䀩南䡟呌䍈剁彅䉐⡏㈱㈯〰ⰸⰬ唬䑓착_x0018_＀＀_x0018_＀＀_x0008_＀＀_x0001_＀＀_x0001_＀＀＀＀＀＀쀀䂌燒䶸%华幃䅃偟久当呌䅟卓呅⡓㈱㈯㄰ⰱⰬ唬䑓착_x0018_＀＀_x0018_＀＀_x0008_＀＀_x0001_＀＀_x0001_＀＀＀＀＀＀耀䁡燒䶸'华幃南偟久䥓乏也呅䱟䅉⡂㈱㈯〰ⰵⰬ唬䑓착_x0018_＀＀_x0018_＀＀_x0008_＀＀_x0001_＀＀_x0001_＀＀豀碵꼝쐕燑䶸'华幃䅃偟协剔呅䉟久偟䥁⡄㈱㈯〰ⰹⰬ唬䑓착_x0018_＀＀_x0018_＀＀_x0008_＀＀_x0001_＀＀_x0001_＀＀＀＀＀＀耀䁋燑䶸G华幃䅃偟协剔呅䍟协⡔㈱㈯〰ⰵⰬ唬䑓䀩南䡟呌䍈剁彅偎彐塅⡐㈱㈯〰ⰵⰬ唬䑓착_x0018_＀＀_x0018_＀＀_x0008_＀＀_x0001_＀＀_x0001_＀＀＀＀＀＀＀＀䁏燑䶸%华幃南䥟呎剟呁彅夵噁⡇㈱㈯〰ⰵⰬ唬䑓착_x0018_＀＀_x0018_＀＀_x0008_＀＀_x0001_＀＀_x0001_＀＀⒉᥺䀜燒䶸C华幃䅃偟久当剐䩏佟䱂ㄨ⼲〲㌰ⰬⰬ单⥄址当䕐华佉彎䉐⡏㈱㈯〰ⰳⰬ唬䑓착_x0018_＀＀_x0018_＀＀_x0008_＀＀_x0001_＀＀_x0001_＀＀＀＀＀＀䀀䂗燑䶸P华幃䅃偟协剔呅偟䅌彎十彔久⡄㈱㈯〰ⰶⰬ唬䑓䀩南䡟呌䍈剁彅噆䅟卓呅ㄨ⼲〲㘰ⰬⰬ单⥄_x0018_＀＀_x0018_＀＀_x0008_＀＀_x0001_＀＀_x0001_＀＀＀＀＀＀쀀䁝燒䶸;华幃南偟久䥓乏䅟卓呅当呏⡈㈱㈯〰⤶䍀彁䕐华偟呃佟䡔ㄨ⼲〲㘰착_x0018_＀＀_x0018_＀＀_x0008_＀＀_x0001_＀＀_x0001_＀＀＀＀＀＀＀＀＀＀燒䶸%华幃䅃偟久当佃偍剟呁⡅㈱㈯㄰ⰰⰬ唬䑓착_x0018_＀＀_x0018_＀＀_x0008_＀＀_x0001_＀＀_x0001_＀＀＀＀＀＀＀＀䀒燑䶸F华幃䅃偟协剔呅剟䅏ㄨ⼲〲㔰ⰬⰬ单⥄址当䱈䡔䅃䕒䕟偘剟䅏ㄨ⼲〲㔰ⰬⰬ单⥄_x0018_＀＀_x0018_＀＀_x0008_＀＀_x0001_＀＀_x0001_＀＀＀＀＀＀＀＀쀢玸仳_x0016_华幃彐剐䍉Ņ㈱ㄯ⼶〲ㄱ_x0018_＀＀_x0018_＀＀_x0008_＀＀_x0001_＀＀_x0001_＀＀긕瑺䁑燑䶸[华幃南剟久䅔彌偏䱟䕓䕟偘ㄨ⼲〲㤰ㄬ⼲〲㤰ⰬⰬ单⥄䍀彁呒剟久彔䥍彎塅⡐㈱㈯〰ⰹ㈱㈯〰ⰹⰬ唬䑓착_x0018_＀＀_x0018_＀＀_x0008_＀＀_x0001_＀＀_x0001_＀＀＀＀＀＀怀䁤燑䶸I华幃䅃偟久当剓彖佃呓ㄨ⼲〲〱ⰬⰬ单⥄址当䕐华佉彎䕓噒䍟协⡔㈱㈯㄰ⰰⰬ唬䑓착_x0018_＀＀_x0018_＀＀_x0008_＀＀_x0001_＀＀_x0001_＀＀＀＀＀＀＀＀䀺燑䶸M华幃䅃偟协剔呅卟噒䍟协⡔㈱㈯〰ⰸⰬ唬䑓䀩南䡟呌䍈剁彅䕓噒䍟协⡔㈱㈯〰ⰸⰬ唬䑓착_x0018_＀＀_x0018_＀＀_x0008_＀＀_x0001_＀＀_x0001_＀＀＀＀＀＀＀＀䀰챻亭_x0016_华幃彐剐䍉Ņ㐠㌯⼰〲〱_x0018_＀＀_x0018_＀＀_x0008_＀＀_x0001_＀＀_x0001_＀＀휊炣꨽䁍燒䶸#华幃䅃偟协剔呅䱟䅉⡂㈱㈯〰ⰸⰬ唬䑓착_x0018_＀＀_x0018_＀＀_x0008_＀＀_x0001_＀＀_x0001_＀＀＀＀＀＀瀀삈챻亭_x0016_华幃彐剐䍉Ņ㐠㌯⼰〲ㄱ_x0018_＀＀_x0018_＀＀_x0008_＀＀_x0001_＀＀_x0001_＀＀凬Ẹꮅ䁒燒䶸&amp;华幃䅃偟久当十彔义䅔䝎ㄨ⼲〲㜰ⰬⰬ单⥄_x0018_＀＀_x0018_＀＀_x0008_＀＀_x0001_＀＀_x0001_＀＀豀碵꼝쐕燑䶸+华幃䅃偟协剔呅偟剁彔佃呎䥒⡂㈱㈯〰ⰶⰬ唬䑓착_x0018_＀＀_x0018_＀＀_x0008_＀＀_x0001_＀＀_x0001_＀＀＀＀＀＀＀＀＀＀燑䶸L华幃䅃偟协剔呅䥟呎䍟协⡔㈱㈯〰ⰵⰬ唬䑓䀩南䡟呌䍈剁彅义彔佃呓ㄨ⼲〲㔰ⰬⰬ单⥄_x0018_＀＀_x0018_＀＀_x0008_＀＀_x0001_＀＀_x0001_＀＀＀＀＀＀＀＀䁄燒䶸(华幃䅃偟久当偐彄䕂彎佃呓ㄨ⼲〲㐰ⰬⰬ单⥄_x0018_＀＀_x0018_＀＀_x0008_＀＀_x0001_＀＀_x0001_＀＀＀＀＀＀ࠀ䂂燒䶸%华幃䅃偟久当呌䅟卓呅⡓㈱㈯〰ⰵⰬ唬䑓착_x0018_＀＀_x0018_＀＀_x0008_＀＀_x0001_＀＀_x0001_＀＀豀碵꼝쐕玸仳_x0016_华幃彐剐䍉Ņ〱㈯⼸〲ㄱ_x0018_＀＀_x0018_＀＀_x0008_＀＀_x0001_＀＀_x0001_＀＀蔟凫뺸䁒燑䶸,华幃䅃偟协剔呅䕟偍䍟乏剔䉉䍟ㄨ⼲〲㜰ⰬⰬ单⥄_x0018_＀＀_x0018_＀＀_x0008_＀＀_x0001_＀＀_x0001_＀＀＀＀＀＀䀀䁘੔伋8刣晥敲桳帣䅃偟久当䥄䍓剟呁⡅䅎䀩南偟久䥓乏䑟卉彃䅒䕔丨⥁_x0018_＀＀_x0018_＀＀_x0008_＀＀_x0001_＀＀_x0001_＀＀豀碵꼝쐕燒䶸J华幃䅃偟久当䱐乁䅟呓ㄨ⼲〲㔰ⰬⰬ单⥄址当䕐华佉彎䅖彌十䕓協ㄨ⼲〲㔰ⰬⰬ单⥄_x0018_＀＀_x0018_＀＀_x0008_＀＀_x0001_＀＀_x0001_＀＀＀＀＀＀耀䂜燒䶸B华幃䅃偟久当佒⡁㈱㈯〰ⰸⰬ唬䑓䀩南偟久䥓乏䕟偘剟䅏ㄨ⼲〲㠰ⰬⰬ单⥄_x0018_＀＀_x0018_＀＀_x0008_＀＀_x0001_＀＀_x0001_＀＀＀＀＀＀ꀀ쁥੔伋_x0015_刣晥敲桳帣南䥟体䍟䑏책_x0014_＀＀_x0018_＀＀_x0004_＀＀_x0001_＀＀_x0008_＀＀乀A챻亭_x0016_华幃彐剐䍉Ņ〱〯⼷〲ㄱ_x0018_＀＀_x0018_＀＀_x0008_＀＀_x0001_＀＀_x0001_＀＀ᑺ㞮䁐燒䶸I华幃䅃偟久当剓彖佃呓ㄨ⼲〲㔰ⰬⰬ单⥄址当䕐华佉彎䕓噒䍟协⡔㈱㈯〰ⰵⰬ唬䑓착_x0018_＀＀_x0018_＀＀_x0008_＀＀_x0001_＀＀_x0001_＀＀＀＀＀＀＀＀䀷챻亭_x0016_华幃彐剐䍉Ņ㔠㌯⼱〲㈰_x0018_＀＀_x0018_＀＀_x0008_＀＀_x0001_＀＀_x0001_＀＀凬Ẹ⮅䀵燒䶸;华幃南偟久䥓乏䅟卓呅当剐偏ㄨ⼲〲㤰䀩䅃偟久当䍐彔䕒ㄨ⼲〲㤰착_x0018_＀＀_x0018_＀＀_x0008_＀＀_x0001_＀＀_x0001_＀＀＀＀＀＀＀＀＀＀燒䶸)华幃䅃偟协剔呅佟䡔䑁彊䉎⡁㈱㈯〰ⰶⰬ唬䑓착_x0018_＀＀_x0018_＀＀_x0008_＀＀_x0001_＀＀_x0001_＀＀＀＀＀＀䁬燑䶸*华幃南䡟呌䍈剁彅塅彐呌剟䅏ㄨ⼲〲㔰ⰬⰬ单⥄_x0018_＀＀_x0018_＀＀_x0008_＀＀_x0001_＀＀_x0001_＀＀豀碵꼝쐕燑䶸B华幃䅃偟久当佒⡁㈱㈯㄰ⰰⰬ唬䑓䀩南偟久䥓乏䕟偘剟䅏ㄨ⼲〲〱ⰬⰬ单⥄_x0018_＀＀_x0018_＀＀_x0008_＀＀_x0001_＀＀_x0001_＀＀＀＀＀＀쀀쁡챻亭_x0016_华幃彐剐䍉Ņ㔠㌯⼱〲㌰_x0018_＀＀_x0018_＀＀_x0008_＀＀_x0001_＀＀_x0001_＀＀凬Ẹ䀵燒䶸P华幃䅃偟协剔呅偟䅌彎十彔久⡄㈱㈯㄰ⰰⰬ唬䑓䀩南䡟呌䍈剁彅噆䅟卓呅ㄨ⼲〲〱ⰬⰬ单⥄_x0018_＀＀_x0018_＀＀_x0008_＀＀_x0001_＀＀_x0001_＀＀＀＀＀＀䀀䁦챻亭_x0016_华幃彐剐䍉Ņ㔠㌯⼱〲㐰_x0018_＀＀_x0018_＀＀_x0008_＀＀_x0001_＀＀_x0001_＀＀ᑻ䞮㫡䀸챻亭_x0016_华幃彐剐䍉Ņ㔠㌯⼱〲㔰_x0018_＀＀_x0018_＀＀_x0008_＀＀_x0001_＀＀_x0001_＀＀凬Ẹ䀿챻亭_x0016_华幃彐剐䍉Ņ㔠㌯⼱〲㘰_x0018_＀＀_x0018_＀＀_x0008_＀＀_x0001_＀＀_x0001_＀＀竡긔慇䁊燒䶸 华幃南䕟䍘彈䅒䕔䉟䱁卟⡈㈱㈯〰⤶_x0018_＀＀_x0018_＀＀_x0008_＀＀_x0001_＀＀_x0001_＀＀豀碵꼝쐕燒䶸%华幃䅃偟久当啃归䥌䉁⡓㈱㈯〰ⰷⰬ唬䑓착_x0018_＀＀_x0018_＀＀_x0008_＀＀_x0001_＀＀_x0001_＀＀＀＀＀＀＀＀䀢챻亭_x0016_华幃彐剐䍉Ņ㔠㌯⼱〲㜰_x0018_＀＀_x0018_＀＀_x0008_＀＀_x0001_＀＀_x0001_＀＀㵱휊䁌燒䶸(华幃䅃偟久当偐彄䕂彎佃呓ㄨ⼲〲〱ⰬⰬ单⥄_x0018_＀＀_x0018_＀＀_x0008_＀＀_x0001_＀＀_x0001_＀＀豀碵꼝쐕燒䶸M华幃䅃偟久当剐佉归剓⡖㈱㈯〰ⰸⰬ唬䑓䀩南偟久䥓乏偟归䕓噒䍟协⡔㈱㈯〰ⰸⰬ唬䑓착_x0018_＀＀_x0018_＀＀_x0008_＀＀_x0001_＀＀_x0001_＀＀＀＀＀＀＀＀䀈੔伋 刣晥敲桳帣南䕟䍘彈䅒䕔䥟䍎䍟⡆⤰_x0018_＀＀_x0018_＀＀_x0008_＀＀_x0001_＀＀_x0001_＀＀豀碵꼝쐕챻亭_x0016_华幃彐剐䍉Ņ㔠㌯⼱〲㠰_x0018_＀＀_x0018_＀＀_x0008_＀＀_x0001_＀＀_x0001_＀＀Ẹ_xD851_䁐燒䶸H华幃䅃偟久当义彔佃呓ㄨ⼲〲㤰ⰬⰬ单⥄址当䕐华佉彎义彔佃呓ㄨ⼲〲㤰ⰬⰬ单⥄_x0018_＀＀_x0018_＀＀_x0008_＀＀_x0001_＀＀_x0001_＀＀＀＀＀＀䀀䁙챻亭_x0016_华幃彐剐䍉Ņ㔠㌯⼱〲㤰_x0018_＀＀_x0018_＀＀_x0008_＀＀_x0001_＀＀_x0001_＀＀馚香香䁂燒䶸M华幃䅃偟久当剐佉归剓⡖㈱㈯〰ⰹⰬ唬䑓䀩南偟久䥓乏偟归䕓噒䍟协⡔㈱㈯〰ⰹⰬ唬䑓착_x0018_＀＀_x0018_＀＀_x0008_＀＀_x0001_＀＀_x0001_＀＀＀＀＀＀＀＀䀈燒䶸)华幃䅃偟久当䵅彐佃呎䥒彂⡃㈱㈯〰ⰹⰬ唬䑓착_x0018_＀＀_x0018_＀＀_x0008_＀＀_x0001_＀＀_x0001_＀＀＀＀＀＀＀＀䀦燑䶸G华幃䅃偟协剔呅䍟协⡔㈱㈯〰ⰴⰬ唬䑓䀩南䡟呌䍈剁彅偎彐塅⡐㈱㈯〰ⰴⰬ唬䑓착_x0018_＀＀_x0018_＀＀_x0008_＀＀_x0001_＀＀_x0001_＀＀＀＀＀＀耀䁈燒䶸;华幃南偟久䥓乏䅟卓呅当剐偏ㄨ⼲〲㐰䀩䅃偟久当䍐彔䕒ㄨ⼲〲㐰착_x0018_＀＀_x0018_＀＀_x0008_＀＀_x0001_＀＀_x0001_＀＀＀＀＀＀＀＀＀＀燑䶸F华幃䅃偟协剔呅剟䅏ㄨ⼲〲㐰ⰬⰬ单⥄址当䱈䡔䅃䕒䕟偘剟䅏ㄨ⼲〲㐰ⰬⰬ单⥄_x0018_＀＀_x0018_＀＀_x0008_＀＀_x0001_＀＀_x0001_＀＀＀＀＀＀＀＀쀨燒䶸N华幃䅃偟久当乕䕒佃⡇㈱㈯〰ⰸⰬ唬䑓䀩南偟久䥓乏啟剎䍅卟剅彖佃呓ㄨ⼲〲㠰ⰬⰬ单⥄_x0018_＀＀_x0018_＀＀_x0008_＀＀_x0001_＀＀_x0001_＀＀＀＀＀＀＀＀䀪燒䶸;华幃南偟久䥓乏䅟卓呅当充䥕ㄨ⼲〲㔰䀩䅃偟久当䍐彔充ㄨ⼲〲㔰착_x0018_＀＀_x0018_＀＀_x0008_＀＀_x0001_＀＀_x0001_＀＀＀＀＀＀＀＀䁓燒䶸$华幃䅃偟久当䕂彎䅐䑉ㄨ⼲〲㔰ⰬⰬ单⥄_x0018_＀＀_x0018_＀＀_x0008_＀＀_x0001_＀＀_x0001_＀＀＀＀＀＀耀䁜燒䶸"华幃南偟久䥓乏偟佂ㄨ⼲〲㠰ⰬⰬ单⥄_x0018_＀＀_x0018_＀＀_x0008_＀＀_x0001_＀＀_x0001_＀＀＀＀＀＀᠀䂚燑䶸＀Ｏ华幃南䡟呌䍈剁彅䵁剏彔䕓噒䍟协⡔㈱㈯〰ⰹⰬ唬䑓착_x0018_＀＀_x0018_＀＀_x0008_＀＀_x0001_＀＀_x0001_＀＀＀＀＀＀＀＀쀀燒䶸J华幃䅃偟久当䱐乁䅟呓ㄨ⼲〲㠰ⰬⰬ单⥄址当䕐华佉彎䅖彌十䕓協ㄨ⼲〲㠰ⰬⰬ单⥄_x0018_＀＀_x0018_＀＀_x0008_＀＀_x0001_＀＀_x0001_＀＀＀＀＀＀퐀䂔燑䶸)华幃南䡟呌䍈剁彅䥄䍓剟呁⡅㈱㈯〰ⰶⰬ唬䑓착_x0018_＀＀_x0018_＀＀_x0008_＀＀_x0001_＀＀_x0001_＀＀＀＀＀＀＀＀䀗੔伋1刣晥敲桳帣南䍟問呎奒也䵁⡅⤰䍀彁佃䥟䍎剏彐呃奒〨착_x0014_＀＀_x0018_＀＀_x0004_＀＀_x0001_＀＀_x0008_＀＀乀A燒䶸(华幃䅃偟久当䅐呒䍟乏剔䉉ㄨ⼲〲㤰ⰬⰬ单⥄_x0018_＀＀_x0018_＀＀_x0008_＀＀_x0001_＀＀_x0001_＀＀＀＀＀＀＀＀＀＀੔伋_x001F_刣晥敲桳帣䅃偟久当佃偍剟呁⡅䅎착_x0018_＀＀_x0018_＀＀_x0008_＀＀_x0001_＀＀_x0001_＀＀豀碵꼝쐕챻亭_x0016_华幃彐剐䍉Ņ㈠㈯⼹〲㐰_x0018_＀＀_x0018_＀＀_x0008_＀＀_x0001_＀＀_x0001_＀＀尩슏⣵䀶燒䶸'华幃䅃偟久当商䑎卟䅔啔⡓㈱㈯〰ⰹⰬ唬䑓착_x0018_＀＀_x0018_＀＀_x0008_＀＀_x0001_＀＀_x0001_＀＀＀＀＀＀䀀쁣챻亭_x0016_华幃彐剐䍉Ņ㔠㌯⼱〲〱_x0018_＀＀_x0018_＀＀_x0008_＀＀_x0001_＀＀_x0001_＀＀ᑻ䞮㫡䁌챻亭_x0016_华幃彐剐䍉Ņ㈠㈯⼹〲㠰_x0018_＀＀_x0018_＀＀_x0008_＀＀_x0001_＀＀_x0001_＀＀롒蔞燫䁊챻亭_x0016_华幃彐剐䍉Ņ㔠㌯⼱〲ㄱ_x0018_＀＀_x0018_＀＀_x0008_＀＀_x0001_＀＀_x0001_＀＀炤਽受䁒燒䶸M华幃䅃偟久当剐佉归剓⡖㈱㈯〰ⰶⰬ唬䑓䀩南偟久䥓乏偟归䕓噒䍟协⡔㈱㈯〰ⰶⰬ唬䑓착_x0018_＀＀_x0018_＀＀_x0008_＀＀_x0001_＀＀_x0001_＀＀＀＀＀＀＀＀䀀燒䶸M华幃䅃偟久当剐佉归剓⡖㈱㈯〰ⰷⰬ唬䑓䀩南偟久䥓乏偟归䕓噒䍟协⡔㈱㈯〰ⰷⰬ唬䑓착_x0018_＀＀_x0018_＀＀_x0008_＀＀_x0001_＀＀_x0001_＀＀＀＀＀＀＀＀䀀燒䶸 华幃南䕟䍘彈䅒䕔䉟䱁卟⡈㈱㈯〰⤷_x0018_＀＀_x0018_＀＀_x0008_＀＀_x0001_＀＀_x0001_＀＀豀碵꼝쐕燒䶸(华幃南䡟呌䍈剁彅乕彆䕂⡎㈱㈯〰ⰶⰬ唬䑓⤩＀＀＀＀燒䶸Q华幃䅃偟久当䍁啃彍佃偍䥒䍎ㄨ⼲〲㘰ⰬⰬ单⥄址当佃偍归义彃䕐华䱟䅉⡂㈱㈯〰ⰶⰬ唬䑓착_x0018_＀＀_x0018_＀＀_x0008_＀＀_x0001_＀＀_x0001_＀＀＀＀＀＀뀀쁳燒䶸'华幃南偟久偟协彔䕒彔䕂⡎㈱㈯〰ⰶⰬ唬䑓착_x0018_＀＀_x0018_＀＀_x0008_＀＀_x0001_＀＀_x0001_＀＀＀＀＀＀䂇燒䶸 华幃南䕟䍘彈䅒䕔ㄨ⼲〲㠰ⰬⰬ单⥄_x0018_＀＀_x0018_＀＀_x0008_＀＀_x0001_＀＀_x0001_＀＀＀＀＀＀＀＀㿰燒䶸H华幃䅃偟久当义彔佃呓ㄨ⼲〲㠰ⰬⰬ单⥄址当䕐华佉彎义彔佃呓ㄨ⼲〲㠰ⰬⰬ单⥄_x0018_＀＀_x0018_＀＀_x0008_＀＀_x0001_＀＀_x0001_＀＀＀＀＀＀쀀䁘燒䶸'华幃南偟久䥓乏也呅䱟䅉⡂㈱㈯〰ⰶⰬ唬䑓착_x0018_＀＀_x0018_＀＀_x0008_＀＀_x0001_＀＀_x0001_＀＀豀碵꼝쐕燒䶸J华幃䅃偟久当佒彁䅒䕔ㄨ⼲〲㘰ⰬⰬ单⥄址当䕐华佉彎塅彐呌剟䅏ㄨ⼲〲㘰ⰬⰬ单⥄_x0018_＀＀_x0018_＀＀_x0008_＀＀_x0001_＀＀_x0001_＀＀＀＀＀＀＀＀䀢燑䶸'华幃䅃偟协剔呅䉟久偟䥁⡄㈱㈯㄰ⰰⰬ唬䑓착_x0018_＀＀_x0018_＀＀_x0008_＀＀_x0001_＀＀_x0001_＀＀＀＀＀＀耀䁈燑䶸P华幃䅃偟协剔呅偟䅌彎十彔久⡄㈱㈯〰ⰵⰬ唬䑓䀩南䡟呌䍈剁彅噆䅟卓呅ㄨ⼲〲㔰ⰬⰬ单⥄_x0018_＀＀_x0018_＀＀_x0008_＀＀_x0001_＀＀_x0001_＀＀＀＀＀＀＀＀䁛燑䶸E华幃䅃偟协剔呅䉟久佟⡂㈱㈯〰ⰹⰬ唬䑓䀩南䡟呌䍈剁彅䉐⡏㈱㈯〰ⰹⰬ唬䑓착_x0018_＀＀_x0018_＀＀_x0008_＀＀_x0001_＀＀_x0001_＀＀＀＀＀＀倀䂐燒䶸(华幃䅃偟久当偐彄䕂彎佃呓ㄨ⼲〲㔰ⰬⰬ单⥄_x0018_＀＀_x0018_＀＀_x0008_＀＀_x0001_＀＀_x0001_＀＀＀＀＀＀ 䂃燒䶸%华幃䅃偟久当呌䅟卓呅⡓㈱㈯〰ⰶⰬ唬䑓착_x0018_＀＀_x0018_＀＀_x0008_＀＀_x0001_＀＀_x0001_＀＀＀＀＀＀退䁻燒䶸M华幃䅃偟久当剐佉归剓⡖㈱㈯〰ⰴⰬ唬䑓䀩南偟久䥓乏偟归䕓噒䍟协⡔㈱㈯〰ⰴⰬ唬䑓착_x0018_＀＀_x0018_＀＀_x0008_＀＀_x0001_＀＀_x0001_＀＀＀＀＀＀＀＀䀈燒䶸&lt;华幃南偟久䥓乏䅟卓呅当佂䑎⡓㈱㈯〰⤶䍀彁䕐华偟呃䙟⡉㈱㈯〰⤶_x0018_＀＀_x0018_＀＀_x0008_＀＀_x0001_＀＀_x0001_＀＀＀＀＀＀＀＀䀷燒䶸(华幃南偟久䥓乏䅟卓呅当呌ㄨ⼲〲㤰ⰬⰬ单⥄_x0018_＀＀_x0018_＀＀_x0008_＀＀_x0001_＀＀_x0001_＀＀豀碵꼝쐕燒䶸$华幃䅃偟久当呌䱟䅉卂ㄨ⼲〲㠰ⰬⰬ单⥄_x0018_＀＀_x0018_＀＀_x0008_＀＀_x0001_＀＀_x0001_＀＀＀＀＀＀退䁴燒䶸J华幃䅃偟久当䥄䍓剟呁⡅㈱㈯〰ⰹⰬ唬䑓䀩南偟久䥓乏䑟卉彃䅒䕔ㄨ⼲〲㤰ⰬⰬ单⥄_x0018_＀＀_x0018_＀＀_x0008_＀＀_x0001_＀＀_x0001_＀＀晧晦晦䀗燒䶸M华幃䅃偟久当剐佉归剓⡖㈱㈯〰ⰵⰬ唬䑓䀩南偟久䥓乏偟归䕓噒䍟协⡔㈱㈯〰ⰵⰬ唬䑓착_x0018_＀＀_x0018_＀＀_x0008_＀＀_x0001_＀＀_x0001_＀＀＀＀＀＀＀＀䀀燑䶸[华幃南剟久䅔彌偏䱟䕓䕟偘ㄨ⼲〲㠰ㄬ⼲〲㠰ⰬⰬ单⥄䍀彁呒剟久彔䥍彎塅⡐㈱㈯〰ⰸ㈱㈯〰ⰸⰬ唬䑓착_x0018_＀＀_x0018_＀＀_x0008_＀＀_x0001_＀＀_x0001_＀＀＀＀＀＀䁦燑䶸L华幃䅃偟协剔呅䥟呎䍟协⡔㈱㈯〰ⰴⰬ唬䑓䀩南䡟呌䍈剁彅义彔佃呓ㄨ⼲〲㐰ⰬⰬ单⥄_x0018_＀＀_x0018_＀＀_x0008_＀＀_x0001_＀＀_x0001_＀＀＀＀＀＀耀䁃燐䶸+华幃南䍟問呎奒也䵁⡅⤰䍀彁佃䥟䍎剏彐呃奒〨착_x001E_＀＀_x0018_＀＀_x000E_＀＀_x0001_＀＀_x0008_＀＀湕瑩摥匠慴整s燒䶸%华幃䅃偟久当佃偍剟呁⡅㈱㈯〰ⰵⰬ唬䑓착_x0018_＀＀_x0018_＀＀_x0008_＀＀_x0001_＀＀_x0001_＀＀＀＀＀＀＀＀䀒燑䶸-华幃䅃偟协剔呅啟归剔佟彂䵁剏⡔㈱㈯〰ⰸⰬ唬䑓착_x0018_＀＀_x0018_＀＀_x0008_＀＀_x0001_＀＀_x0001_＀＀＀＀＀＀＀＀＀＀燑䶸'华幃䅃偟协剔呅䉟久偟䥁⡄㈱㈯〰ⰴⰬ唬䑓착_x0018_＀＀_x0018_＀＀_x0008_＀＀_x0001_＀＀_x0001_＀＀＀＀＀＀＀＀䁆玸仳_x0016_华幃彐剐䍉Ņ㈱〯⼹〲ㄱ_x0018_＀＀_x0018_＀＀_x0008_＀＀_x0001_＀＀_x0001_＀＀尨犏䁒燑䶸H华幃䅃偟久当义彔佃呓ㄨ⼲〲〱ⰬⰬ单⥄址当䕐华佉彎义彔佃呓ㄨ⼲〲〱ⰬⰬ单⥄_x0018_＀＀_x0018_＀＀_x0008_＀＀_x0001_＀＀_x0001_＀＀＀＀＀＀＀＀䁘燐䶸_x001A_华幃南䕟䍘彈䅒䕔䉟䱁卟⡈⤰_x0018_＀＀_x0018_＀＀_x0008_＀＀_x0001_＀＀_x0001_＀＀豀碵꼝쐕燒䶸 华幃南䕟䍘彈䅒䕔䉟䱁卟⡈㈱㈯〰⤸_x0018_＀＀_x0018_＀＀_x0008_＀＀_x0001_＀＀_x0001_＀＀豀碵꼝쐕燒䶸N华幃䅃偟久当乕䕒佃⡇㈱㈯〰ⰷⰬ唬䑓䀩南偟久䥓乏啟剎䍅卟剅彖佃呓ㄨ⼲〲㜰ⰬⰬ单⥄_x0018_＀＀_x0018_＀＀_x0008_＀＀_x0001_＀＀_x0001_＀＀＀＀＀＀＀＀䀢燒䶸)华幃䅃偟协剔呅佟䡔䑁彊䉎⡁㈱㈯〰ⰷⰬ唬䑓착_x0018_＀＀_x0018_＀＀_x0008_＀＀_x0001_＀＀_x0001_＀＀＀＀＀＀瀀䁱燒䶸)华幃南偟久䥓乏噟䱁䅟卓呅⡓㈱㈯〰ⰹⰬ唬䑓착_x0018_＀＀_x0018_＀＀_x0008_＀＀_x0001_＀＀_x0001_＀＀＀＀＀＀᠀䂘燐䶸_x000F_华幃南䥟体䍟䑏책_x0014_＀＀_x0018_＀＀_x0004_＀＀_x0001_＀＀_x0008_＀＀单D燒䶸I华幃䅃偟久当剓彖佃呓ㄨ⼲〲㐰ⰬⰬ单⥄址当䕐华佉彎䕓噒䍟协⡔㈱㈯〰ⰴⰬ唬䑓착_x0018_＀＀_x0018_＀＀_x0008_＀＀_x0001_＀＀_x0001_＀＀＀＀＀＀＀＀䀲燒䶸(华幃䅃偟久当偐彄䕂彎佃呓ㄨ⼲〲ㄱⰬⰬ单⥄_x0018_＀＀_x0018_＀＀_x0008_＀＀_x0001_＀＀_x0001_＀＀豀碵꼝쐕ﻃ争_x000F_獮幣䝆偟䥒䕃〨착_x0018_＀＀_x0018_＀＀_x0008_＀＀_x0001_＀＀_x0001_＀＀尨芏䁎燒䶸H华幃䅃偟久当义彔佃呓ㄨ⼲〲㜰ⰬⰬ单⥄址当䕐华佉彎义彔佃呓ㄨ⼲〲㜰ⰬⰬ单⥄_x0018_＀＀_x0018_＀＀_x0008_＀＀_x0001_＀＀_x0001_＀＀＀＀＀＀＀＀䁗燑䶸%华幃南䥟呎剟呁彅夵噁⡇㈱㈯〰ⰶⰬ唬䑓착_x0018_＀＀_x0018_＀＀_x0008_＀＀_x0001_＀＀_x0001_＀＀迚鄔啡䀝챻亭_x0016_华幃彐剐䍉Ņ㈠㈯⼸〲㈰_x0018_＀＀_x0018_＀＀_x0008_＀＀_x0001_＀＀_x0001_＀＀휊炣쨽䀷챻亭_x0016_华幃彐剐䍉Ņ㈠㈯⼸〲㌰_x0018_＀＀_x0018_＀＀_x0008_＀＀_x0001_＀＀_x0001_＀＀슏⣵ཛྷ䀳燑䶸Q华幃䅃偟久当䍁啃彍佃偍䥒䍎ㄨ⼲〲〱ⰬⰬ单⥄址当佃偍归义彃䕐华䱟䅉⡂㈱㈯㄰ⰰⰬ唬䑓착_x0018_＀＀_x0018_＀＀_x0008_＀＀_x0001_＀＀_x0001_＀＀＀＀＀＀뀀삆챻亭_x0016_华幃彐剐䍉Ņ㈠㈯⼸〲㔰_x0018_＀＀_x0018_＀＀_x0008_＀＀_x0001_＀＀_x0001_＀＀롒蔞䁁챻亭_x0016_华幃彐剐䍉Ņ㈠㈯⼸〲㘰_x0018_＀＀_x0018_＀＀_x0008_＀＀_x0001_＀＀_x0001_＀＀ꏗ㵰霊䁉챻亭_x0016_华幃彐剐䍉Ņ㈠㈯⼸〲㜰_x0018_＀＀_x0018_＀＀_x0008_＀＀_x0001_＀＀_x0001_＀＀⣶轜뗂䁇燒䶸;华幃南偟久䥓乏䅟卓呅当呏⡈㈱㈯〰⤹䍀彁䕐华偟呃佟䡔ㄨ⼲〲㤰착_x0018_＀＀_x0018_＀＀_x0008_＀＀_x0001_＀＀_x0001_＀＀＀＀＀＀＀＀＀＀燒䶸#华幃䅃偟协剔呅䱟䅉⡂㈱㈯〰ⰹⰬ唬䑓착_x0018_＀＀_x0018_＀＀_x0008_＀＀_x0001_＀＀_x0001_＀＀＀＀＀＀頀삋챻亭_x0016_华幃彐剐䍉Ņ㈠㈯⼸〲㤰_x0018_＀＀_x0018_＀＀_x0008_＀＀_x0001_＀＀_x0001_＀＀ẹ롑䀿燒䶸&amp;华幃䅃偟久当十彔义䅔䝎ㄨ⼲〲㠰ⰬⰬ单⥄_x0018_＀＀_x0018_＀＀_x0008_＀＀_x0001_＀＀_x0001_＀＀豀碵꼝쐕੕伋_x001F_刣晥敲桳帣南䙟䍙⴨⤱䍀彁奆⡃ㄭ착_x0014_＀＀_x0018_＀＀_x0004_＀＀_x0001_＀＀_x0008_＀＀乀A燒䶸(华幃䅃偟久当䅐呒䍟乏剔䉉ㄨ⼲〲㐰ⰬⰬ单⥄_x0018_＀＀_x0018_＀＀_x0008_＀＀_x0001_＀＀_x0001_＀＀＀＀＀＀＀＀＀＀燑䶸)华幃䅃偟久当䵅彐佃呎䥒彂⡃㈱㈯㄰ⰰⰬ唬䑓착_x0018_＀＀_x0018_＀＀_x0008_＀＀_x0001_＀＀_x0001_＀＀＀＀＀＀쀀䁛燒䶸'华幃䅃偟久当商䑎卟䅔啔⡓㈱㈯〰ⰴⰬ唬䑓착_x0018_＀＀_x0018_＀＀_x0008_＀＀_x0001_＀＀_x0001_＀＀＀＀＀＀瀀䁿燑䶸+华幃䅃偟协剔呅偟剁彔佃呎䥒⡂㈱㈯〰ⰷⰬ唬䑓착_x0018_＀＀_x0018_＀＀_x0008_＀＀_x0001_＀＀_x0001_＀＀＀＀＀＀＀＀＀＀燒䶸G华幃䅃偟久当䕎彔佃呓ㄨ⼲〲㐰ⰬⰬ单⥄址当䕐华佉彎偎彐塅⡐㈱㈯〰ⰴⰬ唬䑓착_x0018_＀＀_x0018_＀＀_x0008_＀＀_x0001_＀＀_x0001_＀＀＀＀＀＀＀＀쁂燒䶸N华幃䅃偟久当乕䕒佃⡇㈱㈯〰ⰶⰬ唬䑓䀩南偟久䥓乏啟剎䍅卟剅彖佃呓ㄨ⼲〲㘰ⰬⰬ单⥄_x0018_＀＀_x0018_＀＀_x0008_＀＀_x0001_＀＀_x0001_＀＀豀碵꼝쐕燒䶸G华幃䅃偟久当䕎彔佃呓ㄨ⼲〲㜰ⰬⰬ单⥄址当䕐华佉彎偎彐塅⡐㈱㈯〰ⰷⰬ唬䑓착_x0018_＀＀_x0018_＀＀_x0008_＀＀_x0001_＀＀_x0001_＀＀＀＀＀＀＀＀쁄燑䶸,华幃䅃偟协剔呅䕟偍䍟乏剔䉉䍟ㄨ⼲〲㠰ⰬⰬ单⥄_x0018_＀＀_x0018_＀＀_x0008_＀＀_x0001_＀＀_x0001_＀＀＀＀＀＀＀＀䁉燑䶸P华幃䅃偟协剔呅偟䅌彎十彔久⡄㈱㈯〰ⰴⰬ唬䑓䀩南䡟呌䍈剁彅噆䅟卓呅ㄨ⼲〲㐰ⰬⰬ单⥄_x0018_＀＀_x0018_＀＀_x0008_＀＀_x0001_＀＀_x0001_＀＀＀＀＀＀䀀䁚燑䶸E华幃䅃偟协剔呅䉟久佟⡂㈱㈯㄰ⰰⰬ唬䑓䀩南䡟呌䍈剁彅䉐⡏㈱㈯㄰ⰰⰬ唬䑓착_x0018_＀＀_x0018_＀＀_x0008_＀＀_x0001_＀＀_x0001_＀＀＀＀＀＀䂐燒䶸T华幃䅃偟协剔呅偟䥒剏卟噒ㄨ⼲〲㔰ⰬⰬ单⥄址当䱈䡔䅃䕒啟剎䍅卟剅彖佃呓ㄨ⼲〲㔰ⰬⰬ单⥄_x0018_＀＀_x0018_＀＀_x0008_＀＀_x0001_＀＀_x0001_＀＀＀＀＀＀＀＀쀻燑䶸M华幃䅃偟协剔呅卟噒䍟协⡔㈱㈯〰ⰴⰬ唬䑓䀩南䡟呌䍈剁彅䕓噒䍟协⡔㈱㈯〰ⰴⰬ唬䑓착_x0018_＀＀_x0018_＀＀_x0008_＀＀_x0001_＀＀_x0001_＀＀＀＀＀＀＀＀䀮燒䶸 华幃南䕟䍘彈䅒䕔䉟䱁卟⡈㈱㈯〰⤹_x0018_＀＀_x0018_＀＀_x0008_＀＀_x0001_＀＀_x0001_＀＀豀碵꼝쐕燒䶸)华幃䅃偟久当䵅彐佃呎䥒彂⡃㈱㈯〰ⰴⰬ唬䑓착_x0018_＀＀_x0018_＀＀_x0008_＀＀_x0001_＀＀_x0001_＀＀＀＀＀＀＀＀䀘燑䶸*华幃南䡟呌䍈剁彅塅彐呌剟䅏ㄨ⼲〲㘰ⰬⰬ单⥄_x0018_＀＀_x0018_＀＀_x0008_＀＀_x0001_＀＀_x0001_＀＀豀碵꼝쐕燑䶸(华幃䅃偟久当䅐呒䍟乏剔䉉ㄨ⼲〲〱ⰬⰬ单⥄_x0018_＀＀_x0018_＀＀_x0008_＀＀_x0001_＀＀_x0001_＀＀＀＀＀＀＀＀＀＀燑䶸'华幃䅃偟久当商䑎卟䅔啔⡓㈱㈯㄰ⰰⰬ唬䑓착_x0018_＀＀_x0018_＀＀_x0008_＀＀_x0001_＀＀_x0001_＀＀＀＀＀＀耀쁌燒䶸%华幃䅃偟久当啃归䥌䉁⡓㈱㈯〰ⰸⰬ唬䑓착_x0018_＀＀_x0018_＀＀_x0008_＀＀_x0001_＀＀_x0001_＀＀＀＀＀＀＀＀䀢燒䶸J华幃䅃偟久当佒彁䅒䕔ㄨ⼲〲㤰ⰬⰬ单⥄址当䕐华佉彎塅彐呌剟䅏ㄨ⼲〲㤰ⰬⰬ单⥄_x0018_＀＀_x0018_＀＀_x0008_＀＀_x0001_＀＀_x0001_＀＀＀＀＀＀耀䀡燒䶸(华幃南䡟呌䍈剁彅乕彆䕂⡎㈱㈯〰ⰹⰬ唬䑓⤩＀＀＀＀燒䶸;华幃南偟久䥓乏䅟卓呅当呏⡈㈱㈯〰⤴䍀彁䕐华偟呃佟䡔ㄨ⼲〲㐰착_x0018_＀＀_x0018_＀＀_x0008_＀＀_x0001_＀＀_x0001_＀＀＀＀＀＀＀＀＀＀챻亭_x0016_华幃彐剐䍉Ņ㈠㈯⼸〲〱_x0018_＀＀_x0018_＀＀_x0008_＀＀_x0001_＀＀_x0001_＀＀ꏗ㵰뜊䁉챻亭_x0016_华幃彐剐䍉Ņ㈠㈯⼸〲ㄱ_x0018_＀＀_x0018_＀＀_x0008_＀＀_x0001_＀＀_x0001_＀＀롑攞䁐燑䶸J华幃䅃偟协剔呅剟䅏䅟呃ㄨ⼲〲㤰ⰬⰬ单⥄址当䱈䡔䅃䕒䅟呃剟䅏ㄨ⼲〲㤰ⰬⰬ单⥄_x0018_＀＀_x0018_＀＀_x0008_＀＀_x0001_＀＀_x0001_＀＀＀＀＀＀＀＀䀷燒䶸'华幃南偟久偟协彔䕒彔䕂⡎㈱㈯〰ⰷⰬ唬䑓착_x0018_＀＀_x0018_＀＀_x0008_＀＀_x0001_＀＀_x0001_＀＀＀＀＀＀蠀䂈燒䶸 华幃南䕟䍘彈䅒䕔ㄨ⼲〲㤰ⰬⰬ单⥄_x0018_＀＀_x0018_＀＀_x0008_＀＀_x0001_＀＀_x0001_＀＀＀＀＀＀＀＀㿰燑䶸＀Ｏ华幃南䡟呌䍈剁彅䵁剏彔䕓噒䍟协⡔㈱㈯〰ⰴⰬ唬䑓착_x0018_＀＀_x0018_＀＀_x0008_＀＀_x0001_＀＀_x0001_＀＀＀＀＀＀＀＀쀢燒䶸H华幃䅃偟久当义彔佃呓ㄨ⼲〲㘰ⰬⰬ单⥄址当䕐华佉彎义彔佃呓ㄨ⼲〲㘰ⰬⰬ单⥄_x0018_＀＀_x0018_＀＀_x0008_＀＀_x0001_＀＀_x0001_＀＀＀＀＀＀＀＀䁖燑䶸[华幃南剟久䅔彌偏䱟䕓䕟偘ㄨ⼲〲㜰ㄬ⼲〲㜰ⰬⰬ单⥄䍀彁呒剟久彔䥍彎塅⡐㈱㈯〰ⰷ㈱㈯〰ⰷⰬ唬䑓착_x0018_＀＀_x0018_＀＀_x0008_＀＀_x0001_＀＀_x0001_＀＀＀＀＀＀䁧챻亭_x0016_华幃彐剐䍉Ņ〱㌯⼱〲㈰_x0018_＀＀_x0018_＀＀_x0008_＀＀_x0001_＀＀_x0001_＀＀㌴㌳㌳䀴燒䶸F华幃䅃偟久当佒彁䍁⡔㈱㈯〰ⰵⰬ唬䑓䀩南偟久䥓乏䅟呃剟䅏ㄨ⼲〲㔰ⰬⰬ单⥄_x0018_＀＀_x0018_＀＀_x0008_＀＀_x0001_＀＀_x0001_＀＀＀＀＀＀耀䁟챻亭_x0016_华幃彐剐䍉Ņ〱㌯⼱〲㌰_x0018_＀＀_x0018_＀＀_x0008_＀＀_x0001_＀＀_x0001_＀＀晧晦♦䀴챻亭_x0016_华幃彐剐䍉Ņ〱㌯⼱〲㐰_x0018_＀＀_x0018_＀＀_x0008_＀＀_x0001_＀＀_x0001_＀＀馚香蓮䁀챻亭_x0016_华幃彐剐䍉Ņ〱㌯⼱〲㔰_x0018_＀＀_x0018_＀＀_x0008_＀＀_x0001_＀＀_x0001_＀＀馚香ᦙ䁄燒䶸;华幃南偟久䥓乏䅟卓呅当剐偏ㄨ⼲〲㔰䀩䅃偟久当䍐彔䕒ㄨ⼲〲㔰착_x0018_＀＀_x0018_＀＀_x0008_＀＀_x0001_＀＀_x0001_＀＀＀＀＀＀＀＀＀＀燒䶸F华幃䅃偟久当佒彁䍁⡔㈱㈯〰ⰸⰬ唬䑓䀩南偟久䥓乏䅟呃剟䅏ㄨ⼲〲㠰ⰬⰬ单⥄_x0018_＀＀_x0018_＀＀_x0008_＀＀_x0001_＀＀_x0001_＀＀＀＀＀＀頀삀챻亭_x0016_华幃彐剐䍉Ņ〱㌯⼱〲㘰_x0018_＀＀_x0018_＀＀_x0008_＀＀_x0001_＀＀_x0001_＀＀尩슏䣵䁊챻亭_x0016_华幃彐剐䍉Ņ〱㌯⼱〲㜰_x0018_＀＀_x0018_＀＀_x0008_＀＀_x0001_＀＀_x0001_＀＀㌳㌳팳䁉燒䶸$华幃䅃偟久当䕂彎䅐䑉ㄨ⼲〲㘰ⰬⰬ单⥄_x0018_＀＀_x0018_＀＀_x0008_＀＀_x0001_＀＀_x0001_＀＀＀＀＀＀䀀䁜챻亭_x0016_华幃彐剐䍉Ņ〱㌯⼱〲㠰_x0018_＀＀_x0018_＀＀_x0008_＀＀_x0001_＀＀_x0001_＀＀Ẹ䁍燒䶸(华幃南偟久䥓乏䅟卓呅当呌ㄨ⼲〲㐰ⰬⰬ单⥄_x0018_＀＀_x0018_＀＀_x0008_＀＀_x0001_＀＀_x0001_＀＀豀碵꼝쐕챻亭_x0016_华幃彐剐䍉Ņ〱㌯⼱〲㤰_x0018_＀＀_x0018_＀＀_x0008_＀＀_x0001_＀＀_x0001_＀＀슏⣵作䁇燒䶸"华幃南偟久䥓乏偟佂ㄨ⼲〲㤰ⰬⰬ单⥄_x0018_＀＀_x0018_＀＀_x0008_＀＀_x0001_＀＀_x0001_＀＀＀＀＀＀耀䂚燑䶸F华幃䅃偟久当佒彁䍁⡔㈱㈯㄰ⰰⰬ唬䑓䀩南偟久䥓乏䅟呃剟䅏ㄨ⼲〲〱ⰬⰬ单⥄_x0018_＀＀_x0018_＀＀_x0008_＀＀_x0001_＀＀_x0001_＀＀＀＀＀＀＀＀䁫챻亭_x0016_华幃彐剐䍉Ņ㘠㌯⼰〲㈰_x0018_＀＀_x0018_＀＀_x0008_＀＀_x0001_＀＀_x0001_＀＀竡긔慇䀷燒䶸;华幃南偟久䥓乏䅟卓呅当充䥕ㄨ⼲〲㘰䀩䅃偟久当䍐彔充ㄨ⼲〲㘰착_x0018_＀＀_x0018_＀＀_x0008_＀＀_x0001_＀＀_x0001_＀＀＀＀＀＀䀀䁓챻亭_x0016_华幃彐剐䍉Ņ㘠㌯⼰〲㌰_x0018_＀＀_x0018_＀＀_x0008_＀＀_x0001_＀＀_x0001_＀＀㌴㌳㌳䀳燒䶸(华幃南䡟呌䍈剁彅乕彆䕂⡎㈱㈯㄰ⰰⰬ唬䑓⤩＀＀＀＀챻亭_x0016_华幃彐剐䍉Ņ㘠㌯⼰〲㐰_x0018_＀＀_x0018_＀＀_x0008_＀＀_x0001_＀＀_x0001_＀＀롑蔞䀺챻亭_x0016_华幃彐剐䍉Ņ㘠㌯⼰〲㔰_x0018_＀＀_x0018_＀＀_x0008_＀＀_x0001_＀＀_x0001_＀＀⣶轜䀾챻亭_x0016_华幃彐剐䍉Ņ㘠㌯⼰〲㘰_x0018_＀＀_x0018_＀＀_x0008_＀＀_x0001_＀＀_x0001_＀＀轜鰨䁊燑䶸)华幃南䡟呌䍈剁彅䥄䍓剟呁⡅㈱㈯〰ⰷⰬ唬䑓착_x0018_＀＀_x0018_＀＀_x0008_＀＀_x0001_＀＀_x0001_＀＀＀＀＀＀＀＀䀙챻亭_x0016_华幃彐剐䍉Ņ㘠㌯⼰〲㜰_x0018_＀＀_x0018_＀＀_x0008_＀＀_x0001_＀＀_x0001_＀＀尩슏䣵䁊燑䶸＀Ｏ华幃南䡟呌䍈剁彅䵁剏彔䕓噒䍟协⡔㈱㈯㄰ⰰⰬ唬䑓착_x0018_＀＀_x0018_＀＀_x0008_＀＀_x0001_＀＀_x0001_＀＀豀碵꼝쐕챻亭_x0016_华幃彐剐䍉Ņ㘠㌯⼰〲㠰_x0018_＀＀_x0018_＀＀_x0008_＀＀_x0001_＀＀_x0001_＀＀⣶轜嗂䁏燒䶸T华幃䅃偟协剔呅偟䥒剏卟噒ㄨ⼲〲㜰ⰬⰬ单⥄址当䱈䡔䅃䕒啟剎䍅卟剅彖佃呓ㄨ⼲〲㜰ⰬⰬ单⥄_x0018_＀＀_x0018_＀＀_x0008_＀＀_x0001_＀＀_x0001_＀＀＀＀＀＀＀＀쀤燑䶸M华幃䅃偟协剔呅卟噒䍟协⡔㈱㈯〰ⰷⰬ唬䑓䀩南䡟呌䍈剁彅䕓噒䍟协⡔㈱㈯〰ⰷⰬ唬䑓착_x0018_＀＀_x0018_＀＀_x0008_＀＀_x0001_＀＀_x0001_＀＀＀＀＀＀＀＀䀵챻亭_x0016_华幃彐剐䍉Ņ㘠㌯⼰〲㤰_x0018_＀＀_x0018_＀＀_x0008_＀＀_x0001_＀＀_x0001_＀＀⣶轜헂䁂燒䶸)华幃南偟久䥓乏噟䱁䅟卓呅⡓㈱㈯〰ⰴⰬ唬䑓착_x0018_＀＀_x0018_＀＀_x0008_＀＀_x0001_＀＀_x0001_＀＀＀＀＀＀㠀䂜燒䶸$华幃䅃偟久当呌䱟䅉卂ㄨ⼲〲㤰ⰬⰬ单⥄_x0018_＀＀_x0018_＀＀_x0008_＀＀_x0001_＀＀_x0001_＀＀＀＀＀＀䀀䁥燒䶸%华幃䅃偟久当佃偍剟呁⡅㈱㈯〰ⰶⰬ唬䑓착_x0018_＀＀_x0018_＀＀_x0008_＀＀_x0001_＀＀_x0001_＀＀＀＀＀＀＀＀䀒燑䶸-华幃䅃偟协剔呅啟归剔佟彂䵁剏⡔㈱㈯〰ⰹⰬ唬䑓착_x0018_＀＀_x0018_＀＀_x0008_＀＀_x0001_＀＀_x0001_＀＀＀＀＀＀＀＀＀＀燑䶸'华幃䅃偟协剔呅䉟久偟䥁⡄㈱㈯〰ⰵⰬ唬䑓착_x0018_＀＀_x0018_＀＀_x0008_＀＀_x0001_＀＀_x0001_＀＀＀＀＀＀＀＀䁊燑䶸(华幃南偟久䥓乏䅟卓呅当呌ㄨ⼲〲〱ⰬⰬ单⥄_x0018_＀＀_x0018_＀＀_x0008_＀＀_x0001_＀＀_x0001_＀＀＀＀＀＀耀䁡燒䶸J华幃䅃偟久当䥄䍓剟呁⡅㈱㈯〰ⰸⰬ唬䑓䀩南偟久䥓乏䑟卉彃䅒䕔ㄨ⼲〲㠰ⰬⰬ单⥄_x0018_＀＀_x0018_＀＀_x0008_＀＀_x0001_＀＀_x0001_＀＀＀＀＀＀＀＀䀙燒䶸B华幃䅃偟久当佒⡁㈱㈯〰ⰴⰬ唬䑓䀩南偟久䥓乏䕟偘剟䅏ㄨ⼲〲㐰ⰬⰬ单⥄_x0018_＀＀_x0018_＀＀_x0008_＀＀_x0001_＀＀_x0001_＀＀＀＀＀＀ꀀ쁢互_x0018_刣晥敲桳帣南䥟体䍟䑏⡅⤰_x0014_＀＀_x0018_＀＀_x0004_＀＀_x0001_＀＀_x0008_＀＀乀A燒䶸B华幃䅃偟久当佒⡁㈱㈯〰ⰷⰬ唬䑓䀩南偟久䥓乏䕟偘剟䅏ㄨ⼲〲㜰ⰬⰬ单⥄_x0018_＀＀_x0018_＀＀_x0008_＀＀_x0001_＀＀_x0001_＀＀＀＀＀＀쁤燑䶸9华幃䅃偟久当䕎彔佃呓ㄨ⼲〲〱䀩南偟久䥓乏也偐䕟偘ㄨ⼲〲〱착_x0018_＀＀_x0018_＀＀_x0008_＀＀_x0001_＀＀_x0001_＀＀＀＀＀＀＀＀䀿燒䶸J华幃䅃偟久当䱐乁䅟呓ㄨ⼲〲㐰ⰬⰬ单⥄址当䕐华佉彎䅖彌十䕓協ㄨ⼲〲㐰ⰬⰬ单⥄_x0018_＀＀_x0018_＀＀_x0008_＀＀_x0001_＀＀_x0001_＀＀＀＀＀＀㠀䂜燒䶸#华幃䅃偟协剔呅䱟䅉⡂㈱㈯〰ⰴⰬ唬䑓착_x0018_＀＀_x0018_＀＀_x0008_＀＀_x0001_＀＀_x0001_＀＀＀＀＀＀쁸챻亭_x0016_华幃彐剐䍉Ņ〱㌯⼱〲〱_x0018_＀＀_x0018_＀＀_x0008_＀＀_x0001_＀＀_x0001_＀＀蔟凫뺸䁎燒䶸'华幃南偟久䥓乏也呅䱟䅉⡂㈱㈯〰ⰷⰬ唬䑓착_x0018_＀＀_x0018_＀＀_x0008_＀＀_x0001_＀＀_x0001_＀＀豀碵꼝쐕燒䶸Q华幃䅃偟久当䍁啃彍佃偍䥒䍎ㄨ⼲〲㐰ⰬⰬ单⥄址当佃偍归义彃䕐华䱟䅉⡂㈱㈯〰ⰴⰬ唬䑓착_x0018_＀＀_x0018_＀＀_x0008_＀＀_x0001_＀＀_x0001_＀＀＀＀＀＀＀＀䀴燑䶸J华幃䅃偟协剔呅剟䅏䅟呃ㄨ⼲〲㠰ⰬⰬ单⥄址当䱈䡔䅃䕒䅟呃剟䅏ㄨ⼲〲㠰ⰬⰬ单⥄_x0018_＀＀_x0018_＀＀_x0008_＀＀_x0001_＀＀_x0001_＀＀＀＀＀＀＀＀쁃롼亪_x0016_华幃彐剐䍉Ņ〱㌯⼱〲ㄱ_x0018_＀＀_x0018_＀＀_x0008_＀＀_x0001_＀＀_x0001_＀＀쳍쳌_xDCCC_䁒燑䶸%华幃南䥟呎剟呁彅夵噁⡇㈱㈯〰ⰷⰬ唬䑓착_x0018_＀＀_x0018_＀＀_x0008_＀＀_x0001_＀＀_x0001_＀＀ఠ丞䀝燒䶸H华幃䅃偟久当义彔佃呓ㄨ⼲〲㔰ⰬⰬ单⥄址当䕐华佉彎义彔佃呓ㄨ⼲〲㔰ⰬⰬ单⥄_x0018_＀＀_x0018_＀＀_x0008_＀＀_x0001_＀＀_x0001_＀＀＀＀＀＀쀀䁕燒䶸Q华幃䅃偟久当䍁啃彍佃偍䥒䍎ㄨ⼲〲㤰ⰬⰬ单⥄址当佃偍归义彃䕐华䱟䅉⡂㈱㈯〰ⰹⰬ唬䑓착_x0018_＀＀_x0018_＀＀_x0008_＀＀_x0001_＀＀_x0001_＀＀＀＀＀＀삇燒䶸N华幃䅃偟久当乕䕒佃⡇㈱㈯〰ⰵⰬ唬䑓䀩南偟久䥓乏啟剎䍅卟剅彖佃呓ㄨ⼲〲㔰ⰬⰬ单⥄_x0018_＀＀_x0018_＀＀_x0008_＀＀_x0001_＀＀_x0001_＀＀＀＀＀＀＀＀䀬</t>
        </r>
      </text>
    </comment>
    <comment ref="B1" authorId="0">
      <text>
        <r>
          <rPr>
            <b/>
            <sz val="8"/>
            <color indexed="81"/>
            <rFont val="Tahoma"/>
            <family val="2"/>
          </rPr>
          <t>29250</t>
        </r>
      </text>
    </comment>
    <comment ref="A2" authorId="1">
      <text>
        <r>
          <rPr>
            <b/>
            <sz val="8"/>
            <color indexed="81"/>
            <rFont val="Tahoma"/>
            <family val="2"/>
          </rPr>
          <t>䰟_x001E_华幃捩彡敭湡䕟䥂䑔㈨〰ⰸ㤳㤶⤱_x0018_＀＀_x0018_＀＀_x0008_＀＀_x0001_＀＀_x0001_＀＀馚香_xDE19_䂭䰟_x001C_华幃捩彡敭湡䕟卐㈨㄰ⰰ㤳〹⤳_x0018_＀＀_x0018_＀＀_x0008_＀＀_x0001_＀＀_x0001_＀＀슏⣵轜䀑䰟_x0011_华幃浣獟獨㌨㈷㔲착_x0018_＀＀_x0018_＀＀_x0008_＀＀_x0001_＀＀_x0001_＀＀⑵_xFFFF_ﾗថ䁸䰟_x001B_华幃南彆䕎彔义⡃呌卍㌬㘷㈵착_x0018_＀＀_x0018_＀＀_x0008_＀＀_x0001_＀＀_x0001_＀＀＀＀＀＀쀀䁼䰟_x001B_华幃南彆䕎彔义⡃呌卍㌬㐸㈴착_x0018_＀＀_x0018_＀＀_x0008_＀＀_x0001_＀＀_x0001_＀＀＀＀＀＀䂍䰟_x001C_华幃捩彡敭湡䕟卐㈨㄰ⰰ〴㐱⤷_x0018_＀＀_x0018_＀＀_x0008_＀＀_x0001_＀＀_x0001_＀＀轜尨䀋⦅䱚;华幃南偟久䥓乏䅟卓呅当充䥕ㄨ⼲〲㌰䀩䅃偟久当䍐彔充ㄨ⼲〲㌰착_x0018_＀＀_x0018_＀＀_x0008_＀＀_x0001_＀＀_x0001_＀＀＀＀＀＀쀀䁒䰟_x001C_华幃南彆䡓䑌卒䕟⡑呑ⱒ㠳㘱⤸_x0018_＀＀_x0018_＀＀_x0008_＀＀_x0001_＀＀_x0001_＀＀＀＀＀＀묀䂼䰟_x001B_华幃南彆䕎彔义⡃呌卍㌬〹㈸착_x0018_＀＀_x0018_＀＀_x0008_＀＀_x0001_＀＀_x0001_＀＀＀＀＀＀␀䂗䰟_x001B_华幃南彆偅当䥄⡌呌卍㌬㈹㈰착_x0018_＀＀_x0018_＀＀_x0008_＀＀_x0001_＀＀_x0001_＀＀㪓䴁඄䀍䰟_x001E_华幃捩彡敭湡䕟䥂䑔㈨〰ⰷ㤳㘲⤳_x0018_＀＀_x0018_＀＀_x0008_＀＀_x0001_＀＀_x0001_＀＀蔟凫뤸䂪䰟_x0012_华幃彐剐䍉⡅㜳㌱⤴_x0018_＀＀_x0018_＀＀_x0008_＀＀_x0001_＀＀_x0001_＀＀蔟凫麸䀲䰟_x001E_华幃南彆䉅呉䅄䵟乇䰨䵔ⱓ㜳㘴⤸_x0018_＀＀_x0018_＀＀_x0008_＀＀_x0001_＀＀_x0001_＀＀뵌뼌䀻䰟_x001C_华幃捩彡敭湡䕟卐㈨〰ⰹ㤳㤵⤹_x0018_＀＀_x0018_＀＀_x0008_＀＀_x0001_＀＀_x0001_＀＀슏⣵轜䀒⦎䱚#华幃䅃偟协剔呅䱟䅉⡂㈱㈯〰ⰶⰬ唬䑓착_x0018_＀＀_x0018_＀＀_x0008_＀＀_x0001_＀＀_x0001_＀＀＀＀＀＀퀀삄䰟_x0011_华幃浣獟獨㌨㠸㜳착_x0018_＀＀_x0018_＀＀_x0008_＀＀_x0001_＀＀_x0001_＀＀Ƥּ䁹䰟_x001E_华幃南彆䉅呉䅄䵟乇䰨䵔ⱓ㠳〵⤳_x0018_＀＀_x0018_＀＀_x0008_＀＀_x0001_＀＀_x0001_＀＀噶⚀謥䁀䰟_x001C_华幃捩彡敭湡偟䥔㈨〰ⰸ㤳㠷⤲_x0018_＀＀_x0018_＀＀_x0008_＀＀_x0001_＀＀_x0001_＀＀㌳㌳讳䂥䰟_x001C_华幃捩彡敭湡䕟卐㈨〰ⰹ㤳㐸⤴_x0018_＀＀_x0018_＀＀_x0008_＀＀_x0001_＀＀_x0001_＀＀슏⣵轜䀑⦆䱚&amp;华幃䅃偟久当十彔义䅔䝎ㄨ⼲〲㔰ⰬⰬ单⥄_x0018_＀＀_x0018_＀＀_x0008_＀＀_x0001_＀＀_x0001_＀＀＀＀＀＀＀＀＀＀䰟_x001C_华幃南彆䡓䑌卒䕟⡑呑ⱒ㜳㘵⤰_x0018_＀＀_x0018_＀＀_x0008_＀＀_x0001_＀＀_x0001_＀＀＀＀＀＀ᤀ䂹䰟_x001B_华幃南彆呐彘义⡃呌卍㌬ㄸ㠶착_x0018_＀＀_x0018_＀＀_x0008_＀＀_x0001_＀＀_x0001_＀＀＀＀＀＀ࠀ䂉䰟_x001C_华幃捩彡敭湡䕟卐㈨〰ⰴ㠳㜰⤷_x0018_＀＀_x0018_＀＀_x0008_＀＀_x0001_＀＀_x0001_＀＀⣶轜㿸⦆䱚'华幃南偟久䥓乏也呅䱟䅉⡂㈱㈯〰ⰹⰬ唬䑓착_x0018_＀＀_x0018_＀＀_x0008_＀＀_x0001_＀＀_x0001_＀＀豀碵꼝쐕䰟_x001A_华幃南彆䕄呂卟⡔呑ⱒ㤳㤵⤹_x0018_＀＀_x0018_＀＀_x0008_＀＀_x0001_＀＀_x0001_＀＀＀＀＀＀䀀䁱䰟_x0019_华幃南彆十䕓協儨剔㌬ㄹ㈷착_x0018_＀＀_x0018_＀＀_x0008_＀＀_x0001_＀＀_x0001_＀＀＀＀＀＀殀䃙䰟_x0019_华幃南彆䅓䕌⡓呌卍㌬㔹㠶착_x0018_＀＀_x0018_＀＀_x0008_＀＀_x0001_＀＀_x0001_＀＀＀＀＀＀䃂䰟_x0018_华幃南彆䉅呉䰨䵔ⱓ㠳㘵⤴_x0018_＀＀_x0018_＀＀_x0008_＀＀_x0001_＀＀_x0001_＀＀＀＀＀＀䠀䂟䰟_x001C_华幃捩彡敭湡獟獬㈨〰ⰸ㤳㈷⤱_x0018_＀＀_x0018_＀＀_x0008_＀＀_x0001_＀＀_x0001_＀＀轜⣈䃅䰟_x001D_华幃捩彡敭湡䕟䥂⡔〲㔰㌬㈸ㄹ착_x0018_＀＀_x0018_＀＀_x0008_＀＀_x0001_＀＀_x0001_＀＀凬Ẹ碅䂚䰟_x001C_华幃捩彡敭湡䕟卐㈨〰ⰸ㤳ㄴ⤶_x0018_＀＀_x0018_＀＀_x0008_＀＀_x0001_＀＀_x0001_＀＀蔟凫Ẹ䀐䰟_x0012_华幃彐剐䍉⡅㤳㠳⤶_x0018_＀＀_x0018_＀＀_x0008_＀＀_x0001_＀＀_x0001_＀＀㌳㌳팳䁉䰟_x0011_华幃浣獟獨㐨㄰㜱착_x0018_＀＀_x0018_＀＀_x0008_＀＀_x0001_＀＀_x0001_＀＀銣ĺ﹍䁶䰟_x001A_华幃南彆䕄呂䱟⡔呑ⱒ㠳㌵⤳_x0018_＀＀_x0018_＀＀_x0008_＀＀_x0001_＀＀_x0001_＀＀＀＀＀＀_xDD00_䂺䰟_x001A_华幃南彆䕄呂卟⡔呑ⱒ㤳㐸⤴_x0018_＀＀_x0018_＀＀_x0008_＀＀_x0001_＀＀_x0001_＀＀＀＀＀＀䀀䁾䰟_x0019_华幃南彆䅓䕌⡓呌卍㌬㠹㌱착_x0018_＀＀_x0018_＀＀_x0008_＀＀_x0001_＀＀_x0001_＀＀＀＀＀＀튀䃄⦔䱚%华幃南䥟呎剟呁彅夵噁⡇㈱㈯〰ⰹⰬ唬䑓착_x0018_＀＀_x0018_＀＀_x0008_＀＀_x0001_＀＀_x0001_＀＀﩮ᾳȩ䀝⦎䱚T华幃䅃偟协剔呅偟䥒剏卟噒ㄨ⼲〲㐰ⰬⰬ单⥄址当䱈䡔䅃䕒啟剎䍅卟剅彖佃呓ㄨ⼲〲㐰ⰬⰬ单⥄_x0018_＀＀_x0018_＀＀_x0008_＀＀_x0001_＀＀_x0001_＀＀＀＀＀＀耀쁁䰟_x0012_华幃彐剐䍉⡅〴㈰⤵_x0018_＀＀_x0018_＀＀_x0008_＀＀_x0001_＀＀_x0001_＀＀＀＀＀＀ꀀ䁅䰟_x001A_华幃南彆䕄呂䱟⡔呑ⱒ㠳㠳⤳_x0018_＀＀_x0018_＀＀_x0008_＀＀_x0001_＀＀_x0001_＀＀＀＀＀＀케䂺䰟_x001B_华幃南彆呐彘义⡃呌卍㌬㔷〶착_x0018_＀＀_x0018_＀＀_x0008_＀＀_x0001_＀＀_x0001_＀＀＀＀＀＀_xD800_䂅䰟_x001B_华幃南彆䕎彔义⡃呌卍㌬㐷㜰착_x0018_＀＀_x0018_＀＀_x0008_＀＀_x0001_＀＀_x0001_＀＀＀＀＀＀　䁸䰟_x001C_华幃捩彡敭湡獟獬㈨㄰ⰰ〴㔰⤶_x0018_＀＀_x0018_＀＀_x0008_＀＀_x0001_＀＀_x0001_＀＀㵱휊㗃䃁⦎䱚+华幃䅃偟协剔呅偟剁彔佃呎䥒⡂㈱㈯〰ⰴⰬ唬䑓착_x0018_＀＀_x0018_＀＀_x0008_＀＀_x0001_＀＀_x0001_＀＀＀＀＀＀＀＀＀＀⦆䱚B华幃䅃偟久当佒⡁㈱㈯〰ⰶⰬ唬䑓䀩南偟久䥓乏䕟偘剟䅏ㄨ⼲〲㘰ⰬⰬ单⥄_x0018_＀＀_x0018_＀＀_x0008_＀＀_x0001_＀＀_x0001_＀＀＀＀＀＀쁣⦆䱚J华幃䅃偟久当䱐乁䅟呓ㄨ⼲〲㘰ⰬⰬ单⥄址当䕐华佉彎䅖彌十䕓協ㄨ⼲〲㘰ⰬⰬ单⥄_x0018_＀＀_x0018_＀＀_x0008_＀＀_x0001_＀＀_x0001_＀＀＀＀＀＀䰀䂞䰟_x001A_华幃南彆䕄呂䱟⡔呑ⱒ㜳㠶⤰_x0018_＀＀_x0018_＀＀_x0008_＀＀_x0001_＀＀_x0001_＀＀＀＀＀＀帀䂻䰟_x0019_华幃南彆十䕓協儨剔㌬㤹㐹착_x0018_＀＀_x0018_＀＀_x0008_＀＀_x0001_＀＀_x0001_＀＀＀＀＀＀ɀ䃚䰟_x0019_华幃南彆䅓䕌⡓呌卍㌬㤸〶착_x0018_＀＀_x0018_＀＀_x0008_＀＀_x0001_＀＀_x0001_＀＀＀＀＀＀즀䃁䰟_x001C_华幃捩彡敭湡獟獬㈨〰ⰵ㠳㘵⤴_x0018_＀＀_x0018_＀＀_x0008_＀＀_x0001_＀＀_x0001_＀＀蔟凫쏸䂿䰟_x001D_华幃捩彡敭湡䕟䥂⡔〲㠰㌬㈹㈰착_x0018_＀＀_x0018_＀＀_x0008_＀＀_x0001_＀＀_x0001_＀＀蔟凫ᆸ䂧⦔䱚'华幃南䥟呎剟呁⡅㈱㈯〰ⰸ㈱㈯〰ⰸⰬ唬䑓착_x0018_＀＀_x0018_＀＀_x0008_＀＀_x0001_＀＀_x0001_＀＀兄侠觤䀛䰟_x001B_华幃南彆偅当䥄⡌呌卍㌬〸㜱착_x0018_＀＀_x0018_＀＀_x0008_＀＀_x0001_＀＀_x0001_＀＀눭욧㿰䰟_x001C_华幃捩彡敭湡偟䥔㈨〰ⰶ㤳㈰⤱_x0018_＀＀_x0018_＀＀_x0008_＀＀_x0001_＀＀_x0001_＀＀Ẹ䛑䂡⦔䱚_x0017_华幃南䙟䍙〨䀩䅃䙟䍙〨착_x0018_＀＀_x0018_＀＀_x0008_＀＀_x0001_＀＀_x0008_＀＀㈱㈯〰9䰟_x001E_华幃捩彡敭湡䕟䥂䑔㈨〰ⰷ㤳ㄱ⤳_x0018_＀＀_x0018_＀＀_x0008_＀＀_x0001_＀＀_x0001_＀＀馚香猙䂬⦆䱚B华幃䅃偟久当佒⡁㈱㈯〰ⰹⰬ唬䑓䀩南偟久䥓乏䕟偘剟䅏ㄨ⼲〲㤰ⰬⰬ单⥄_x0018_＀＀_x0018_＀＀_x0008_＀＀_x0001_＀＀_x0001_＀＀＀＀＀＀䀀쁣⦔䱚'华幃南䥟呎剟呁⡅㈱㈯〰ⰹ㈱㈯〰ⰹⰬ唬䑓착_x0018_＀＀_x0018_＀＀_x0008_＀＀_x0001_＀＀_x0001_＀＀詇჈䀛䰟_x001C_华幃南彆䡓䑌卒䕟⡑呑ⱒ㜳ㄳ⤵_x0018_＀＀_x0018_＀＀_x0008_＀＀_x0001_＀＀_x0001_＀＀＀＀＀＀쨀䂷䰟_x001B_华幃南彆偅当䥄⡌呌卍㌬ㄷ㐶착_x0018_＀＀_x0018_＀＀_x0008_＀＀_x0001_＀＀_x0001_＀＀䖢퓽㿤䰟_x001E_华幃捩彡敭湡䕟䥂䑔㈨〰ⰹ㤳㈶⤹_x0018_＀＀_x0018_＀＀_x0008_＀＀_x0001_＀＀_x0001_＀＀尩슏䭵䂯䰟_x001A_华幃南彆䕄呂卟⡔呑ⱒ㜳㌱⤴_x0018_＀＀_x0018_＀＀_x0008_＀＀_x0001_＀＀_x0001_＀＀＀＀＀＀ꠀ䂃䰟_x0019_华幃南彆䅓䕌⡓呌卍㌬ㄷ㌰착_x0018_＀＀_x0018_＀＀_x0008_＀＀_x0001_＀＀_x0001_＀＀＀＀＀＀ᴀ䂸䰟_x0018_华幃南彆䉅呉䰨䵔ⱓ㜳㈵⤹_x0018_＀＀_x0018_＀＀_x0008_＀＀_x0001_＀＀_x0001_＀＀＀＀＀＀栀䂓䰟_x001B_华幃南彆偅当䥄⡌呌卍㌬㘹㤲착_x0018_＀＀_x0018_＀＀_x0008_＀＀_x0001_＀＀_x0001_＀＀㝌䆉䀏䰟_x001C_华幃捩彡敭湡䕟卐㈨〰ⰵ㠳㐴⤲_x0018_＀＀_x0018_＀＀_x0008_＀＀_x0001_＀＀_x0001_＀＀凬Ẹ䀃䰟_x001C_华幃捩彡敭湡䕟卐㈨〰ⰷ㤳㈰⤱_x0018_＀＀_x0018_＀＀_x0008_＀＀_x0001_＀＀_x0001_＀＀롑蔞䀍䰟_x001C_华幃捩彡敭湡獟獬㈨〰ⰹ㤳㤶⤱_x0018_＀＀_x0018_＀＀_x0008_＀＀_x0001_＀＀_x0001_＀＀롑큞䃆䰟_x001C_华幃捩彡敭湡偟䥔㈨㄰ⰰ〴ㄱ⤷_x0018_＀＀_x0018_＀＀_x0008_＀＀_x0001_＀＀_x0001_＀＀尨궏䂟⦆䱚"华幃䅃偟久当偐彄䕂彎佃呓〨ⰬⰬ单⥄_x0018_＀＀_x0018_＀＀_x0008_＀＀_x0001_＀＀_x0001_＀＀豀碵꼝쐕⦎䱚,华幃䅃偟协剔呅䕟偍䍟乏剔䉉䍟ㄨ⼲〲㔰ⰬⰬ单⥄_x0018_＀＀_x0018_＀＀_x0008_＀＀_x0001_＀＀_x0001_＀＀＀＀＀＀＀＀䁊䰟_x001A_华幃南彆䕄呂䱟⡔呑ⱒ㠳㌱⤸_x0018_＀＀_x0018_＀＀_x0008_＀＀_x0001_＀＀_x0001_＀＀＀＀＀＀ༀ䂺䰟_x001B_华幃南彆呐彘义⡃呌卍㌬㌷㔱착_x0018_＀＀_x0018_＀＀_x0008_＀＀_x0001_＀＀_x0001_＀＀＀＀＀＀蠀䂁䰟_x001B_华幃南彆偅当䥄⡌呌卍㌬㤷㘸착_x0018_＀＀_x0018_＀＀_x0008_＀＀_x0001_＀＀_x0001_＀＀눭욧㿰䰟_x001B_华幃南彆偅当䥄⡌呌卍㌬㜸㘷착_x0018_＀＀_x0018_＀＀_x0008_＀＀_x0001_＀＀_x0001_＀＀ƣּ鐒䀈䰟_x001E_华幃捩彡敭湡䕟䥂䑔㈨㄰ⰱ〴〲⤹_x0018_＀＀_x0018_＀＀_x0008_＀＀_x0001_＀＀_x0001_＀＀Ẹ賑䂬䰟_x001C_华幃捩彡敭湡偟䥔㈨〰ⰶ㠳㤹⤰_x0018_＀＀_x0018_＀＀_x0008_＀＀_x0001_＀＀_x0001_＀＀䞮竡冔䂡䰟_x001C_华幃捩彡敭湡䕟卐㈨〰ⰹ〴㈰⤵_x0018_＀＀_x0018_＀＀_x0008_＀＀_x0001_＀＀_x0001_＀＀䞮竡긔䀇䰟_x0019_华幃南彆䅓䕌⡓呌卍㌬㤷㔲착_x0018_＀＀_x0018_＀＀_x0008_＀＀_x0001_＀＀_x0001_＀＀＀＀＀＀䂸䰟_x0018_华幃南彆䉅呉䰨䵔ⱓ㜳ㄷ⤱_x0018_＀＀_x0018_＀＀_x0008_＀＀_x0001_＀＀_x0001_＀＀＀＀＀＀簀䂓䰟_x001B_华幃南彆䕎彔义⡃呌卍㌬㘹ㄹ착_x0018_＀＀_x0018_＀＀_x0008_＀＀_x0001_＀＀_x0001_＀＀＀＀＀＀䂗䰟_x001E_华幃捩彡敭湡䕟䥂䑔㈨〰ⰶ㠳ㄷ⤷_x0018_＀＀_x0018_＀＀_x0008_＀＀_x0001_＀＀_x0001_＀＀凬Ẹ霅䂨䰟_x001C_华幃捩彡敭湡獟獬㈨〰ⰸ㤳㘲⤳_x0018_＀＀_x0018_＀＀_x0008_＀＀_x0001_＀＀_x0001_＀＀ਾꏗ䃃⦎䱚(华幃南䡟呌䍈剁彅乕彆䕂⡎㈱㈯〰ⰴⰬ唬䑓⤩＀＀＀＀䰟_x0011_华幃浣獟獨㌨㤶ㄸ착_x0018_＀＀_x0018_＀＀_x0008_＀＀_x0001_＀＀_x0001_＀＀쳍쳌࣌䁸䰟_x0012_华幃彐剐䍉⡅㠳㌵⤳_x0018_＀＀_x0018_＀＀_x0008_＀＀_x0001_＀＀_x0001_＀＀⣶轜䀾䰟_x001A_华幃南彆䕄呂卟⡔呑ⱒ㤳㠳⤶_x0018_＀＀_x0018_＀＀_x0008_＀＀_x0001_＀＀_x0001_＀＀＀＀＀＀䁷䰟_x0019_华幃南彆十䕓協儨剔㌬㔹㤹착_x0018_＀＀_x0018_＀＀_x0008_＀＀_x0001_＀＀_x0001_＀＀＀＀＀＀_xD840_䃙䰟_x0019_华幃南彆䅓䕌⡓呌卍㌬㌹㔵착_x0018_＀＀_x0018_＀＀_x0008_＀＀_x0001_＀＀_x0001_＀＀＀＀＀＀⢀䃂䰟_x001E_华幃南彆䉅呉䅄䵟乇䰨䵔ⱓ〴〲⤹_x0018_＀＀_x0018_＀＀_x0008_＀＀_x0001_＀＀_x0001_＀＀㮯图䁂䰟_x0018_华幃南彆䉅呉䰨䵔ⱓ㤳㐱⤱_x0018_＀＀_x0018_＀＀_x0008_＀＀_x0001_＀＀_x0001_＀＀＀＀＀＀␀䂥䰟_x001C_华幃捩彡敭湡偟䥔㈨〰ⰷ㤳㐱⤱_x0018_＀＀_x0018_＀＀_x0008_＀＀_x0001_＀＀_x0001_＀＀ꏗ㵰䂢⦆䱚Q华幃䅃偟久当䍁啃彍佃偍䥒䍎ㄨ⼲〲㔰ⰬⰬ单⥄址当佃偍归义彃䕐华䱟䅉⡂㈱㈯〰ⰵⰬ唬䑓착_x0018_＀＀_x0018_＀＀_x0008_＀＀_x0001_＀＀_x0001_＀＀＀＀＀＀＀＀䀺䰟_x0012_华幃彐剐䍉⡅㠳㠳⤳_x0018_＀＀_x0018_＀＀_x0008_＀＀_x0001_＀＀_x0001_＀＀⣶轜痂䁁䰟_x001A_华幃南彆䕄呂卟⡔呑ⱒ〴㈰⤵_x0018_＀＀_x0018_＀＀_x0008_＀＀_x0001_＀＀_x0001_＀＀＀＀＀＀ꀀ䁸䰟_x001C_华幃南彆䡓䑌卒䕟⡑呑ⱒ〴㔰⤶_x0018_＀＀_x0018_＀＀_x0008_＀＀_x0001_＀＀_x0001_＀＀＀＀＀＀䆀䃃䰟_x0019_华幃南彆十䕓協儨剔㌬㠹㐴착_x0018_＀＀_x0018_＀＀_x0008_＀＀_x0001_＀＀_x0001_＀＀＀＀＀＀김䃙䰟_x001E_华幃捩彡敭湡䕟䥂䑔㈨〰ⰸ㤳㌲⤳_x0018_＀＀_x0018_＀＀_x0008_＀＀_x0001_＀＀_x0001_＀＀凬Ẹ䲅䂭䰟_x001C_华幃捩彡敭湡䕟卐㈨〰ⰶ㠳㈶⤵_x0018_＀＀_x0018_＀＀_x0008_＀＀_x0001_＀＀_x0001_＀＀슐⣵轜䀈䰟_x001C_华幃捩彡敭湡䕟卐㈨〰ⰷ㠳㤹⤰_x0018_＀＀_x0018_＀＀_x0008_＀＀_x0001_＀＀_x0001_＀＀ꏗ㵰휊䀍䰟_x0012_华幃彐剐䍉⡅㜳㠶⤰_x0018_＀＀_x0018_＀＀_x0008_＀＀_x0001_＀＀_x0001_＀＀슏⣵ཛྷ䀳䰟_x001E_华幃南彆䉅呉䅄䵟乇䰨䵔ⱓ㤳㔷⤲_x0018_＀＀_x0018_＀＀_x0008_＀＀_x0001_＀＀_x0001_＀＀燍㌊䁂⦔䱚[华幃南剟久䅔彌偏䱟䕓䕟偘ㄨ⼲〲㐰ㄬ⼲〲㐰ⰬⰬ单⥄䍀彁呒剟久彔䥍彎塅⡐㈱㈯〰ⰴ㈱㈯〰ⰴⰬ唬䑓착_x0018_＀＀_x0018_＀＀_x0008_＀＀_x0001_＀＀_x0001_＀＀＀＀＀＀䁢䰟_x001D_华幃捩彡敭湡䕟䥂⡔〲㠰㌬㘹㤲착_x0018_＀＀_x0018_＀＀_x0008_＀＀_x0001_＀＀_x0001_＀＀尨膏䂦䰟_x001D_华幃捩彡敭湡䕟䥂⡔〲㤰㌬㤹㐹착_x0018_＀＀_x0018_＀＀_x0008_＀＀_x0001_＀＀_x0001_＀＀롑辞䂡䰟_x001C_华幃捩彡敭湡偟䥔㈨〰ⰹ㤳㔷⤲_x0018_＀＀_x0018_＀＀_x0008_＀＀_x0001_＀＀_x0001_＀＀슏⣵靜䂦⦎䱚P华幃䅃偟协剔呅偟䅌彎十彔久⡄㈱㈯〰ⰸⰬ唬䑓䀩南䡟呌䍈剁彅噆䅟卓呅ㄨ⼲〲㠰ⰬⰬ单⥄_x0018_＀＀_x0018_＀＀_x0008_＀＀_x0001_＀＀_x0001_＀＀＀＀＀＀䀀䁡䰟_x001A_华幃南彆䅃䡓卟⡔呑ⱒ㜳㘴⤸_x0018_＀＀_x0018_＀＀_x0008_＀＀_x0001_＀＀_x0001_＀＀＀＀＀＀耀䁗䰟_x001B_华幃南彆呐彘义⡃呌卍㐬〰㘵착_x0018_＀＀_x0018_＀＀_x0008_＀＀_x0001_＀＀_x0001_＀＀＀＀＀＀㸀䂡䰟_x001D_华幃捩彡敭湡䕟䥂⡔〲㘰㌬㐸ㄱ착_x0018_＀＀_x0018_＀＀_x0008_＀＀_x0001_＀＀_x0001_＀＀⣶轜棂䂠䰟_x001C_华幃捩彡敭湡䕟卐㈨〰ⰳ㜳㘴⤸_x0018_＀＀_x0018_＀＀_x0008_＀＀_x0001_＀＀_x0001_＀＀䞮竡긔㿷⦆䱚%华幃䅃偟久当呌䅟卓呅⡓㈱㈯〰ⰹⰬ唬䑓착_x0018_＀＀_x0018_＀＀_x0008_＀＀_x0001_＀＀_x0001_＀＀＀＀＀＀＀＀䀻⦎䱚*华幃南䡟呌䍈剁彅塅彐呌剟䅏ㄨ⼲〲㌰ⰬⰬ单⥄_x0018_＀＀_x0018_＀＀_x0008_＀＀_x0001_＀＀_x0001_＀＀豀碵꼝쐕⦆䱚(华幃䅃偟久当偐彄䕂彎佃呓ㄨ⼲〲㠰ⰬⰬ单⥄_x0018_＀＀_x0018_＀＀_x0008_＀＀_x0001_＀＀_x0001_＀＀豀碵꼝쐕䰟_x001A_华幃南彆䅃䡓卟⡔呑ⱒ㠳〵⤳_x0018_＀＀_x0018_＀＀_x0008_＀＀_x0001_＀＀_x0001_＀＀＀＀＀＀簀䂑䰟_x001A_华幃南彆䕄呂䱟⡔呑ⱒ㤳㠷⤲_x0018_＀＀_x0018_＀＀_x0008_＀＀_x0001_＀＀_x0001_＀＀＀＀＀＀开䂷䰟_x001E_华幃捩彡敭湡䕟䥂䑔㈨〰ⰵ㠳㈳⤱_x0018_＀＀_x0018_＀＀_x0008_＀＀_x0001_＀＀_x0001_＀＀슏⣵ߜ䂤䰟_x001D_华幃捩彡敭湡䕟䥂⡔〲㘰㌬〹ㄵ착_x0018_＀＀_x0018_＀＀_x0008_＀＀_x0001_＀＀_x0001_＀＀䞮竡鮔䂤䰟_x001C_华幃捩彡敭湡偟䥔㈨〰ⰴ㠳㌲⤰_x0018_＀＀_x0018_＀＀_x0008_＀＀_x0001_＀＀_x0001_＀＀Ẹ桑䂑䰟_x001B_华幃南彆䕎彔义⡃呌卍㌬㘸㘵착_x0018_＀＀_x0018_＀＀_x0008_＀＀_x0001_＀＀_x0001_＀＀＀＀＀＀簀䂒䰟_x001E_华幃捩彡敭湡䕟䥂䑔㈨〰ⰷ㠳㌸⤷_x0018_＀＀_x0018_＀＀_x0008_＀＀_x0001_＀＀_x0001_＀＀炤਽觗䂫䰟_x001D_华幃捩彡敭湡䕟䥂⡔〲〱㐬㈰㤰착_x0018_＀＀_x0018_＀＀_x0008_＀＀_x0001_＀＀_x0001_＀＀尨䂏䂢䰟_x001C_华幃捩彡敭湡偟䥔㈨〰ⰶ㠳㤵⤵_x0018_＀＀_x0018_＀＀_x0008_＀＀_x0001_＀＀_x0001_＀＀炤਽㿗䂜䰟_x0019_华幃南彆十䕓協儨剔㌬ㄷ㐳착_x0018_＀＀_x0018_＀＀_x0008_＀＀_x0001_＀＀_x0001_＀＀＀＀＀＀지䃒䰟_x001B_华幃南彆偅当䥄⡌呌卍㌬㐹㘱착_x0018_＀＀_x0018_＀＀_x0008_＀＀_x0001_＀＀_x0001_＀＀剔ꀧら䀍䰟_x0011_华幃浣獟獨㌨㌷㘷착_x0018_＀＀_x0018_＀＀_x0008_＀＀_x0001_＀＀_x0001_＀＀锘৔䅨䁸䰟_x0012_华幃彐剐䍉⡅㠳㌱⤸_x0018_＀＀_x0018_＀＀_x0008_＀＀_x0001_＀＀_x0001_＀＀ᑻ䞮㫡䀸䰟_x001E_华幃南彆䉅呉䅄䵟乇䰨䵔ⱓ㜳㐰⤲_x0018_＀＀_x0018_＀＀_x0008_＀＀_x0001_＀＀_x0001_＀＀漏ꅰ䀸䰟_x001C_华幃捩彡敭湡獟獬㈨〰ⰸ㤳ㄱ⤳_x0018_＀＀_x0018_＀＀_x0008_＀＀_x0001_＀＀_x0001_＀＀馚香_xD919_䃄⦎䱚M华幃䅃偟协剔呅卟噒䍟协⡔㈱㈯〰ⰹⰬ唬䑓䀩南䡟呌䍈剁彅䕓噒䍟协⡔㈱㈯〰ⰹⰬ唬䑓착_x0018_＀＀_x0018_＀＀_x0008_＀＀_x0001_＀＀_x0001_＀＀＀＀＀＀＀＀䀰⦆䱚%华幃䅃偟久当啃归䥌䉁⡓㈱㈯〰ⰵⰬ唬䑓착_x0018_＀＀_x0018_＀＀_x0008_＀＀_x0001_＀＀_x0001_＀＀豀碵꼝쐕䰟_x0011_华幃浣獟獨㌨㘷ㄲ착_x0018_＀＀_x0018_＀＀_x0008_＀＀_x0001_＀＀_x0001_＀＀鵊⚀係䁸䰟_x0011_华幃浣獟獨㌨㐸ㄱ착_x0018_＀＀_x0018_＀＀_x0008_＀＀_x0001_＀＀_x0001_＀＀⼛ⓝ܆䁹䰟_x001E_华幃南彆䉅呉䅄䵟乇䰨䵔ⱓ㠳ㄷ⤷_x0018_＀＀_x0018_＀＀_x0008_＀＀_x0001_＀＀_x0001_＀＀轌砵_xDAE4_䁁䰟_x001E_华幃南彆䉅呉䅄䵟乇䰨䵔ⱓ㤳〵⤷_x0018_＀＀_x0018_＀＀_x0008_＀＀_x0001_＀＀_x0001_＀＀Ύ増㶸䁂䰟_x001D_华幃捩彡敭湡䕟䥂⡔〲㜰㌬㈹㌳착_x0018_＀＀_x0018_＀＀_x0008_＀＀_x0001_＀＀_x0001_＀＀凬Ẹ딅䂤⦅䱚 华幃南䕟䍘彈䅒䕔䥟䍎䍟⡆㈱㈯〰⤵_x0018_＀＀_x0018_＀＀_x0008_＀＀_x0001_＀＀_x0001_＀＀豀碵꼝쐕䰟_x0011_华幃浣獟獨㌨〹ㄵ착_x0018_＀＀_x0018_＀＀_x0008_＀＀_x0001_＀＀_x0001_＀＀꤫퀓칄䁸䰟_x001A_华幃南彆䕄呂卟⡔呑ⱒ㠳㌵⤳_x0018_＀＀_x0018_＀＀_x0008_＀＀_x0001_＀＀_x0001_＀＀＀＀＀＀쀀䁜䰟_x001C_华幃南彆䡓䑌卒䕟⡑呑ⱒ㠳㘵⤴_x0018_＀＀_x0018_＀＀_x0008_＀＀_x0001_＀＀_x0001_＀＀＀＀＀＀횀䃀䰟_x0019_华幃南彆䅓䕌⡓呌卍㌬㤶㈲착_x0018_＀＀_x0018_＀＀_x0008_＀＀_x0001_＀＀_x0001_＀＀＀＀＀＀䂷䰟_x001C_华幃捩彡敭湡偟䥔㈨〰ⰹ㤳〵⤷_x0018_＀＀_x0018_＀＀_x0008_＀＀_x0001_＀＀_x0001_＀＀롒蔞셫䂤䰟_x001C_华幃捩彡敭湡䕟卐㈨〰ⰲ㜳㜰⤲_x0018_＀＀_x0018_＀＀_x0008_＀＀_x0001_＀＀_x0001_＀＀긕ᑺ㿶䰟_x001A_华幃南彆䕄呂䱟⡔呑ⱒ㜳㜰⤲_x0018_＀＀_x0018_＀＀_x0008_＀＀_x0001_＀＀_x0001_＀＀＀＀＀＀ꀀ䂻䰟_x001A_华幃南彆䕄呂卟⡔呑ⱒ㠳㠳⤳_x0018_＀＀_x0018_＀＀_x0008_＀＀_x0001_＀＀_x0001_＀＀＀＀＀＀뀀䂄䰟_x0019_华幃南彆十䕓協儨剔㌬㌹㘸착_x0018_＀＀_x0018_＀＀_x0008_＀＀_x0001_＀＀_x0001_＀＀＀＀＀＀娀䃙䰟_x001E_华幃南彆䉅呉䅄䵟乇䰨䵔ⱓ㜳㘸⤴_x0018_＀＀_x0018_＀＀_x0008_＀＀_x0001_＀＀_x0001_＀＀욏쏝귤䀻䰟_x0019_华幃南彆䅓䕌⡓呌卍㌬㌸㈵착_x0018_＀＀_x0018_＀＀_x0008_＀＀_x0001_＀＀_x0001_＀＀＀＀＀＀退䂼䰟_x0018_华幃南彆䉅呉䰨䵔ⱓ㤳㘵⤸_x0018_＀＀_x0018_＀＀_x0008_＀＀_x0001_＀＀_x0001_＀＀＀＀＀＀ 䂥䰟_x001D_华幃捩彡敭湡䕟䥂⡔〲㤰㌬㔹㤹착_x0018_＀＀_x0018_＀＀_x0008_＀＀_x0001_＀＀_x0001_＀＀尨킏䂨⦅䱚_x000F_华幃南䍟剕䕒䍎챙_x001C_＀＀_x0018_＀＀_x000C_＀＀_x0001_＀＀_x0008_＀＀⹕⹓䐠汯慬r䰟_x001A_华幃南彆䕄呂卟⡔呑ⱒ㜳㠶⤰_x0018_＀＀_x0018_＀＀_x0008_＀＀_x0001_＀＀_x0001_＀＀＀＀＀＀怀䁶䰟_x0019_华幃南彆十䕓協儨剔㐬〰㔲착_x0018_＀＀_x0018_＀＀_x0008_＀＀_x0001_＀＀_x0001_＀＀＀＀＀＀ɀ䃚䰟_x001E_华幃南彆䉅呉䅄䵟乇䰨䵔ⱓ㤳㤲⤴_x0018_＀＀_x0018_＀＀_x0008_＀＀_x0001_＀＀_x0001_＀＀䁒ﰆ䛘䁂䰟_x0018_华幃南彆䉅呉䰨䵔ⱓ㤳ㄸ⤳_x0018_＀＀_x0018_＀＀_x0008_＀＀_x0001_＀＀_x0001_＀＀＀＀＀＀였䂨䰟_x001D_华幃捩彡敭湡䕟䥂⡔〲㤰㌬㠹㐴착_x0018_＀＀_x0018_＀＀_x0008_＀＀_x0001_＀＀_x0001_＀＀Ẹ쯑䂧䰟_x001C_华幃捩彡敭湡䕟卐㈨〰ⰴ㜳㌸⤳_x0018_＀＀_x0018_＀＀_x0008_＀＀_x0001_＀＀_x0001_＀＀ᑺ䞮㿹⦔䱚'华幃南䥟呎剟呁⡅㈱㈯〰ⰲ㈱㈯〰ⰲⰬ唬䑓착_x0018_＀＀_x0018_＀＀_x0008_＀＀_x0001_＀＀_x0001_＀＀웑欑䀞䰟_x001B_华幃南彆呐彘义⡃呌卍㌬㔸㐶착_x0018_＀＀_x0018_＀＀_x0008_＀＀_x0001_＀＀_x0001_＀＀＀＀＀＀琀䂗⦎䱚G华幃䅃偟协剔呅䍟协⡔㈱㈯〰ⰸⰬ唬䑓䀩南䡟呌䍈剁彅偎彐塅⡐㈱㈯〰ⰸⰬ唬䑓착_x0018_＀＀_x0018_＀＀_x0008_＀＀_x0001_＀＀_x0001_＀＀＀＀＀＀䀀䁑䰟_x001A_华幃南彆䕄呂䱟⡔呑ⱒ㜳㤸⤴_x0018_＀＀_x0018_＀＀_x0008_＀＀_x0001_＀＀_x0001_＀＀＀＀＀＀꜀䂺䰟_x0019_华幃南彆䅓䕌⡓呌卍㌬㤹㐶착_x0018_＀＀_x0018_＀＀_x0008_＀＀_x0001_＀＀_x0001_＀＀＀＀＀＀밀䃃䰟_x0018_华幃南彆䉅呉䰨䵔ⱓ㠳㘹⤰_x0018_＀＀_x0018_＀＀_x0008_＀＀_x0001_＀＀_x0001_＀＀＀＀＀＀ఀ䂤䰟_x001D_华幃捩彡敭湡䕟䥂⡔〲㠰㌬㐹㘱착_x0018_＀＀_x0018_＀＀_x0008_＀＀_x0001_＀＀_x0001_＀＀ਾꏗ䏰䂥䰟_x001C_华幃捩彡敭湡偟䥔㈨〰ⰷ㠳㘹⤰_x0018_＀＀_x0018_＀＀_x0008_＀＀_x0001_＀＀_x0001_＀＀긕祺䂣⦔䱚'华幃南䥟呎剟呁⡅㈱㈯〰ⰳ㈱㈯〰ⰳⰬ唬䑓착_x0018_＀＀_x0018_＀＀_x0008_＀＀_x0001_＀＀_x0001_＀＀藰哉ꣁ䀜⦎䱚L华幃䅃偟协剔呅䥟呎䍟协⡔㈱㈯〰ⰷⰬ唬䑓䀩南䡟呌䍈剁彅义彔佃呓ㄨ⼲〲㜰ⰬⰬ单⥄_x0018_＀＀_x0018_＀＀_x0008_＀＀_x0001_＀＀_x0001_＀＀＀＀＀＀＀＀䁇䰟_x0012_华幃彐剐䍉⡅㤳㠷⤲_x0018_＀＀_x0018_＀＀_x0008_＀＀_x0001_＀＀_x0001_＀＀轜밨䁈⦅䱚&lt;华幃南偟久䥓乏䅟卓呅当佂䑎⡓㈱㈯〰⤹䍀彁䕐华偟呃䙟⡉㈱㈯〰⤹_x0018_＀＀_x0018_＀＀_x0008_＀＀_x0001_＀＀_x0001_＀＀＀＀＀＀＀＀䀷⦎䱚E华幃䅃偟协剔呅䉟久佟⡂㈱㈯〰ⰶⰬ唬䑓䀩南䡟呌䍈剁彅䉐⡏㈱㈯〰ⰶⰬ唬䑓착_x0018_＀＀_x0018_＀＀_x0008_＀＀_x0001_＀＀_x0001_＀＀＀＀＀＀蠀䂈⦆䱚)华幃䅃偟久当䵅彐佃呎䥒彂⡃㈱㈯〰ⰷⰬ唬䑓착_x0018_＀＀_x0018_＀＀_x0008_＀＀_x0001_＀＀_x0001_＀＀＀＀＀＀＀＀䀢䰟_x001C_华幃捩彡敭湡獟獬㈨〰ⰷ㤳㤲⤴_x0018_＀＀_x0018_＀＀_x0008_＀＀_x0001_＀＀_x0001_＀＀晧晦쟆䃂䰟_x001E_华幃捩彡敭湡䕟䥂䑔㈨㄰ⰰ㤳㌹⤳_x0018_＀＀_x0018_＀＀_x0008_＀＀_x0001_＀＀_x0001_＀＀㌳㌳⦳䂬⦔䱚'华幃南䥟呎剟呁⡅㈱㈯〰ⰴ㈱㈯〰ⰴⰬ唬䑓착_x0018_＀＀_x0018_＀＀_x0008_＀＀_x0001_＀＀_x0001_＀＀徯᮰涶䀛⦔䱚＀Ｏ华幃南䱟䅅䕓䍟䵏䥍彔剙⠳㈱㈯〰ⰹ㈱㈯〰ⰹⰬ唬䑓착_x0018_＀＀_x0018_＀＀_x0008_＀＀_x0001_＀＀_x0001_＀＀＀＀＀＀䀀䁔⦎䱚F华幃䅃偟协剔呅剟䅏ㄨ⼲〲㠰ⰬⰬ单⥄址当䱈䡔䅃䕒䕟偘剟䅏ㄨ⼲〲㠰ⰬⰬ单⥄_x0018_＀＀_x0018_＀＀_x0008_＀＀_x0001_＀＀_x0001_＀＀＀＀＀＀＀＀쀮䰟_x001C_华幃南彆䡓䑌卒䕟⡑呑ⱒ㜳㈵⤹_x0018_＀＀_x0018_＀＀_x0008_＀＀_x0001_＀＀_x0001_＀＀＀＀＀＀ᤀ䂹䰟_x001B_华幃南彆偅当䥄⡌呌卍㌬ㄸ㠶착_x0018_＀＀_x0018_＀＀_x0008_＀＀_x0001_＀＀_x0001_＀＀傰驫㿶䰟_x001B_华幃南彆䕎彔义⡃呌卍㌬㈹㌳착_x0018_＀＀_x0018_＀＀_x0008_＀＀_x0001_＀＀_x0001_＀＀＀＀＀＀퐀䂖䰟_x001A_华幃南彆䕄呂卟⡔呑ⱒ㠳㌱⤸_x0018_＀＀_x0018_＀＀_x0008_＀＀_x0001_＀＀_x0001_＀＀＀＀＀＀䀀䁪䰟_x001A_华幃南彆䅃䡓卟⡔呑ⱒ〴〲⤹_x0018_＀＀_x0018_＀＀_x0008_＀＀_x0001_＀＀_x0001_＀＀＀＀＀＀䂐䰟_x0019_华幃南彆䅓䕌⡓呌卍㌬ㄸ㜰착_x0018_＀＀_x0018_＀＀_x0008_＀＀_x0001_＀＀_x0001_＀＀＀＀＀＀저䂹䰟_x0018_华幃南彆䉅呉䰨䵔ⱓ㜳〱⤳_x0018_＀＀_x0018_＀＀_x0008_＀＀_x0001_＀＀_x0001_＀＀＀＀＀＀退䂎䰟_x001B_华幃南彆䕎彔义⡃呌卍㌬㤶〵착_x0018_＀＀_x0018_＀＀_x0008_＀＀_x0001_＀＀_x0001_＀＀＀＀＀＀耀䁥䰟_x001C_华幃捩彡敭湡䕟卐㈨〰ⰵ㠳㔶⤶_x0018_＀＀_x0018_＀＀_x0008_＀＀_x0001_＀＀_x0001_＀＀ꏗ㵰휊䀅⦔䱚'华幃南䥟呎剟呁⡅㈱㈯〰ⰵ㈱㈯〰ⰵⰬ唬䑓착_x0018_＀＀_x0018_＀＀_x0008_＀＀_x0001_＀＀_x0001_＀＀퐂닔纵䀝䰟_x001B_华幃南彆䕎彔义⡃呌卍㌬㔷〹착_x0018_＀＀_x0018_＀＀_x0008_＀＀_x0001_＀＀_x0001_＀＀＀＀＀＀䁻⦆䱚_x001F_华幃䅃偟久当呌䅟卓呅⡓ⰰⰬ唬䑓착_x0018_＀＀_x0018_＀＀_x0008_＀＀_x0001_＀＀_x0001_＀＀＀＀＀＀＀＀䀻䰟_x001A_华幃南彆䅃䡓卟⡔呑ⱒ㤳㔷⤲_x0018_＀＀_x0018_＀＀_x0008_＀＀_x0001_＀＀_x0001_＀＀＀＀＀＀栀䂁䰟_x001C_华幃南彆䡓䑌卒䕟⡑呑ⱒ㜳ㄷ⤱_x0018_＀＀_x0018_＀＀_x0008_＀＀_x0001_＀＀_x0001_＀＀＀＀＀＀ἀ䂺䰟_x001B_华幃南彆呐彘义⡃呌卍㌬㔷㤲착_x0018_＀＀_x0018_＀＀_x0008_＀＀_x0001_＀＀_x0001_＀＀＀＀＀＀_xD800_䂅䰟_x001B_华幃南彆偅当䥄⡌呌卍㌬㔷〶착_x0018_＀＀_x0018_＀＀_x0008_＀＀_x0001_＀＀_x0001_＀＀ⓝ脆䎕㿲䰟_x001C_华幃捩彡敭湡䕟卐㈨〰ⰷ㤳㜱⤲_x0018_＀＀_x0018_＀＀_x0008_＀＀_x0001_＀＀_x0001_＀＀㵱휊炣䀏⦔䱚'华幃南䥟呎剟呁⡅㈱㈯〰ⰶ㈱㈯〰ⰶⰬ唬䑓착_x0018_＀＀_x0018_＀＀_x0008_＀＀_x0001_＀＀_x0001_＀＀詜ꪫ䀞䰟_x0012_华幃彐剐䍉⡅㜳㜰⤲_x0018_＀＀_x0018_＀＀_x0008_＀＀_x0001_＀＀_x0001_＀＀＀＀＀＀쀀䀴䰟_x0011_华幃浣獟獨㌨㐹㠷착_x0018_＀＀_x0018_＀＀_x0008_＀＀_x0001_＀＀_x0001_＀＀垨㋊듄䁷䰟_x001C_华幃南彆䡓䑌卒䕟⡑呑ⱒ㤳㐱⤱_x0018_＀＀_x0018_＀＀_x0008_＀＀_x0001_＀＀_x0001_＀＀＀＀＀＀잀䃂䰟_x0019_华幃南彆十䕓協儨剔㌬㔸㌳착_x0018_＀＀_x0018_＀＀_x0008_＀＀_x0001_＀＀_x0001_＀＀＀＀＀＀勀䃘䰟_x0019_华幃南彆䅓䕌⡓呌卍㌬㤸㤲착_x0018_＀＀_x0018_＀＀_x0008_＀＀_x0001_＀＀_x0001_＀＀＀＀＀＀즀䃁䰟_x0018_华幃南彆䉅呉䰨䵔ⱓ㜳㈹⤵_x0018_＀＀_x0018_＀＀_x0008_＀＀_x0001_＀＀_x0001_＀＀＀＀＀＀鐀䂓䰟_x001C_华幃捩彡敭湡獟獬㈨〰ⰶ㠳㤸⤸_x0018_＀＀_x0018_＀＀_x0008_＀＀_x0001_＀＀_x0001_＀＀ᑺ쉎䃂䰟_x001D_华幃捩彡敭湡䕟䥂⡔〲㔰㌬㐸㈴착_x0018_＀＀_x0018_＀＀_x0008_＀＀_x0001_＀＀_x0001_＀＀䞮竡䠔䂞䰟_x001C_华幃捩彡敭湡䕟卐㈨〰ⰲ㜳㤴⤹_x0018_＀＀_x0018_＀＀_x0008_＀＀_x0001_＀＀_x0001_＀＀竡긔㿲⦎䱚T华幃䅃偟协剔呅偟䥒剏卟噒ㄨ⼲〲㘰ⰬⰬ单⥄址当䱈䡔䅃䕒啟剎䍅卟剅彖佃呓ㄨ⼲〲㘰ⰬⰬ单⥄_x0018_＀＀_x0018_＀＀_x0008_＀＀_x0001_＀＀_x0001_＀＀豀碵꼝쐕䰟_x001A_华幃南彆䕄呂䱟⡔呑ⱒ㜳㤴⤹_x0018_＀＀_x0018_＀＀_x0008_＀＀_x0001_＀＀_x0001_＀＀＀＀＀＀ꨀ䂼䰟_x0019_华幃南彆十䕓協儨剔㌬㌸㌸착_x0018_＀＀_x0018_＀＀_x0008_＀＀_x0001_＀＀_x0001_＀＀＀＀＀＀⮀䃘䰟_x0018_华幃南彆䉅呉䰨䵔ⱓ㤳㔳⤵_x0018_＀＀_x0018_＀＀_x0008_＀＀_x0001_＀＀_x0001_＀＀＀＀＀＀㸀䂤䰟_x001E_华幃捩彡敭湡䕟䥂䑔㈨〰ⰴ㠳㔳⤲_x0018_＀＀_x0018_＀＀_x0008_＀＀_x0001_＀＀_x0001_＀＀炤਽쓗䂡䰟_x001C_华幃捩彡敭湡偟䥔㈨〰ⰷ㤳㔳⤵_x0018_＀＀_x0018_＀＀_x0008_＀＀_x0001_＀＀_x0001_＀＀竡긔ꅇ䂡䰟_x001C_华幃捩彡敭湡䕟卐㈨〰ⰹ㤳㠷⤲_x0018_＀＀_x0018_＀＀_x0008_＀＀_x0001_＀＀_x0001_＀＀尨슏䀓⦔䱚'华幃南䥟呎剟呁⡅㈱㈯〰ⰷ㈱㈯〰ⰷⰬ唬䑓착_x0018_＀＀_x0018_＀＀_x0008_＀＀_x0001_＀＀_x0001_＀＀鵉⚀䛂䀞⦆䱚$华幃䅃偟久当䕂彎䅐䑉ㄨ⼲〲㌰ⰬⰬ单⥄_x0018_＀＀_x0018_＀＀_x0008_＀＀_x0001_＀＀_x0001_＀＀＀＀＀＀䀀䁜䰟_x0019_华幃南彆十䕓協儨剔㌬㘷〸착_x0018_＀＀_x0018_＀＀_x0008_＀＀_x0001_＀＀_x0001_＀＀＀＀＀＀紀䃓䰟_x001E_华幃南彆䉅呉䅄䵟乇䰨䵔ⱓ㠳㤲⤱_x0018_＀＀_x0018_＀＀_x0008_＀＀_x0001_＀＀_x0001_＀＀_xDF32_靹맅䀼䰟_x001B_华幃南彆呐彘义⡃呌卍㌬㜷ㄱ착_x0018_＀＀_x0018_＀＀_x0008_＀＀_x0001_＀＀_x0001_＀＀＀＀＀＀뀀䂅䰟_x001E_华幃捩彡敭湡䕟䥂䑔㈨〰ⰶ㠳㘸⤸_x0018_＀＀_x0018_＀＀_x0008_＀＀_x0001_＀＀_x0001_＀＀竡긔ᕇ䂪䰟_x001E_华幃捩彡敭湡䕟䥂䑔㈨〰ⰸ㤳㐴⤷_x0018_＀＀_x0018_＀＀_x0008_＀＀_x0001_＀＀_x0001_＀＀Ẹ乑䂫䰟_x001D_华幃捩彡敭湡䕟䥂⡔〲㤰㐬〰㔲착_x0018_＀＀_x0018_＀＀_x0008_＀＀_x0001_＀＀_x0001_＀＀⣶轜療䂠⦆䱚C华幃䅃偟久当剐䩏佟䱂ㄨ⼲〲㤰ⰬⰬ单⥄址当䕐华佉彎䉐⡏㈱㈯〰ⰹⰬ唬䑓착_x0018_＀＀_x0018_＀＀_x0008_＀＀_x0001_＀＀_x0001_＀＀＀＀＀＀耀䂚䰟_x0012_华幃彐剐䍉⡅㜳㤸⤴_x0018_＀＀_x0018_＀＀_x0008_＀＀_x0001_＀＀_x0001_＀＀＀＀＀＀耀䀲䰟_x0011_华幃浣獟獨㌨㘹〶착_x0018_＀＀_x0018_＀＀_x0008_＀＀_x0001_＀＀_x0001_＀＀빷᪟猯䁷䰟_x001B_华幃南彆呐彘义⡃呌卍㌬ㄹㄴ착_x0018_＀＀_x0018_＀＀_x0008_＀＀_x0001_＀＀_x0001_＀＀＀＀＀＀氀䂡䰟_x001C_华幃捩彡敭湡䕟卐㈨〰ⰴ㠳㘲⤰_x0018_＀＀_x0018_＀＀_x0008_＀＀_x0001_＀＀_x0001_＀＀긕ᑺ䀀䰟"华幃南偟久䥓乏偟佂ㄨ⼲〲㘰ⰬⰬ单⥄_x0018_＀＀_x0018_＀＀_x0008_＀＀_x0001_＀＀_x0001_＀＀＀＀＀＀저䂙䰟_x001A_华幃南彆䕄呂卟⡔呑ⱒ㤳㠷⤲_x0018_＀＀_x0018_＀＀_x0008_＀＀_x0001_＀＀_x0001_＀＀＀＀＀＀耀䁾䰟_x001C_华幃捩彡敭湡䕟卐㈨〰ⰶ㠳㜷⤶_x0018_＀＀_x0018_＀＀_x0008_＀＀_x0001_＀＀_x0001_＀＀롒蔞凫䀊⦎䱚＀Ｏ华幃南䡟呌䍈剁彅䵁剏彔䕓噒䍟协⡔㈱㈯〰ⰷⰬ唬䑓착_x0018_＀＀_x0018_＀＀_x0008_＀＀_x0001_＀＀_x0001_＀＀＀＀＀＀＀＀쀠⦆䱚I华幃䅃偟久当剓彖佃呓ㄨ⼲〲㜰ⰬⰬ单⥄址当䕐华佉彎䕓噒䍟协⡔㈱㈯〰ⰷⰬ唬䑓착_x0018_＀＀_x0018_＀＀_x0008_＀＀_x0001_＀＀_x0001_＀＀＀＀＀＀＀＀䀸䰟_x001A_华幃南彆䅃䡓卟⡔呑ⱒ㜳㐰⤲_x0018_＀＀_x0018_＀＀_x0008_＀＀_x0001_＀＀_x0001_＀＀＀＀＀＀耀䁋䰟_x001D_华幃捩彡敭湡䕟䥂⡔〲㘰㌬㘸㔲착_x0018_＀＀_x0018_＀＀_x0008_＀＀_x0001_＀＀_x0001_＀＀＀＀＀＀垀䂡⦎䱚J华幃䅃偟协剔呅剟䅏䅟呃ㄨ⼲〲㌰ⰬⰬ单⥄址当䱈䡔䅃䕒䅟呃剟䅏ㄨ⼲〲㌰ⰬⰬ单⥄_x0018_＀＀_x0018_＀＀_x0008_＀＀_x0001_＀＀_x0001_＀＀＀＀＀＀＀＀䀸䰟_x001A_华幃南彆䅃䡓卟⡔呑ⱒ㠳ㄷ⤷_x0018_＀＀_x0018_＀＀_x0008_＀＀_x0001_＀＀_x0001_＀＀＀＀＀＀ꐀ䂓䰟_x001A_华幃南彆䅃䡓卟⡔呑ⱒ㤳〵⤷_x0018_＀＀_x0018_＀＀_x0008_＀＀_x0001_＀＀_x0001_＀＀＀＀＀＀쀀䁩䰟_x001B_华幃南彆䕎彔义⡃呌卍㌬ㄷ㔹착_x0018_＀＀_x0018_＀＀_x0008_＀＀_x0001_＀＀_x0001_＀＀＀＀＀＀耀䁯䰟_x001B_华幃南彆偅当䥄⡌呌卍㌬㌷㔱착_x0018_＀＀_x0018_＀＀_x0008_＀＀_x0001_＀＀_x0001_＀＀긔ᑺ㿮䰟_x001C_华幃捩彡敭湡偟䥔㈨〰ⰸ㤳㌵⤸_x0018_＀＀_x0018_＀＀_x0008_＀＀_x0001_＀＀_x0001_＀＀＀＀＀＀䂢䰟_x001B_华幃南彆䕎彔义⡃呌卍㌬㈸〳착_x0018_＀＀_x0018_＀＀_x0008_＀＀_x0001_＀＀_x0001_＀＀＀＀＀＀耀䂁⦅䱚&lt;华幃南偟久䥓乏䅟卓呅当佂䑎⡓㈱㈯〰⤴䍀彁䕐华偟呃䙟⡉㈱㈯〰⤴_x0018_＀＀_x0018_＀＀_x0008_＀＀_x0001_＀＀_x0001_＀＀＀＀＀＀＀＀䀸䰟_x001A_华幃南彆䅃䡓卟⡔呑ⱒ㜳㘸⤴_x0018_＀＀_x0018_＀＀_x0008_＀＀_x0001_＀＀_x0001_＀＀＀＀＀＀耀䁛䰟_x0019_华幃南彆十䕓協儨剔㌬ㄸ㠳착_x0018_＀＀_x0018_＀＀_x0008_＀＀_x0001_＀＀_x0001_＀＀＀＀＀＀ᰀ䃔䰟_x001E_华幃捩彡敭湡䕟䥂䑔㈨〰ⰵ㠳㜴⤲_x0018_＀＀_x0018_＀＀_x0008_＀＀_x0001_＀＀_x0001_＀＀尩슏౵䂥䰟_x001E_华幃捩彡敭湡䕟䥂䑔㈨〰ⰷ㤳㔰⤱_x0018_＀＀_x0018_＀＀_x0008_＀＀_x0001_＀＀_x0001_＀＀ᑺ뮮䂬䰟_x001C_华幃捩彡敭湡䕟卐㈨〰ⰳ㜳㘸⤴_x0018_＀＀_x0018_＀＀_x0008_＀＀_x0001_＀＀_x0001_＀＀쳍쳌쳌㿴⦎䱚)华幃南䡟呌䍈剁彅䥄䍓剟呁⡅㈱㈯〰ⰴⰬ唬䑓착_x0018_＀＀_x0018_＀＀_x0008_＀＀_x0001_＀＀_x0001_＀＀＀＀＀＀＀＀䀗䰟_x001A_华幃南彆䅃䡓卟⡔呑ⱒ㤳㤲⤴_x0018_＀＀_x0018_＀＀_x0008_＀＀_x0001_＀＀_x0001_＀＀＀＀＀＀쀀䁾䰟_x001E_华幃南彆䉅呉䅄䵟乇䰨䵔ⱓ㜳㔲⤶_x0018_＀＀_x0018_＀＀_x0008_＀＀_x0001_＀＀_x0001_＀＀쏖矨븇䀺䰟_x001E_华幃南彆䉅呉䅄䵟乇䰨䵔ⱓ㠳㐰⤶_x0018_＀＀_x0018_＀＀_x0008_＀＀_x0001_＀＀_x0001_＀＀㰁ϵ벷䀸䰟_x001C_华幃捩彡敭湡獟獬㈨〰ⰶ㠳㐷⤸_x0018_＀＀_x0018_＀＀_x0008_＀＀_x0001_＀＀_x0001_＀＀㌳㌳䃁䰟_x001C_华幃捩彡敭湡獟獬㈨〰ⰹ〴㠰⤶_x0018_＀＀_x0018_＀＀_x0008_＀＀_x0001_＀＀_x0001_＀＀ẹ骑䂿䰟_x001D_华幃捩彡敭湡䕟䥂⡔〲㜰㌬㠸㜰착_x0018_＀＀_x0018_＀＀_x0008_＀＀_x0001_＀＀_x0001_＀＀凬Ẹ뎅䂤䰟_x0011_华幃浣獟獨㌨㘸㔲착_x0018_＀＀_x0018_＀＀_x0008_＀＀_x0001_＀＀_x0001_＀＀蔟凫暸䁹䰟_x001A_华幃南彆䕄呂卟⡔呑ⱒ㜳㜰⤲_x0018_＀＀_x0018_＀＀_x0008_＀＀_x0001_＀＀_x0001_＀＀＀＀＀＀ꠀ䂃䰟_x001D_华幃捩彡敭湡䕟䥂⡔〲㜰㌬㐹㜴착_x0018_＀＀_x0018_＀＀_x0008_＀＀_x0001_＀＀_x0001_＀＀尨톏䂣⦆䱚(华幃䅃偟久当䅐呒䍟乏剔䉉ㄨ⼲〲㜰ⰬⰬ单⥄_x0018_＀＀_x0018_＀＀_x0008_＀＀_x0001_＀＀_x0001_＀＀＀＀＀＀＀＀＀＀䰟_x0012_华幃彐剐䍉⡅㜳㤴⤹_x0018_＀＀_x0018_＀＀_x0008_＀＀_x0001_＀＀_x0001_＀＀䞮竡䀴䰟_x001C_华幃南彆䡓䑌卒䕟⡑呑ⱒ㤳㘵⤸_x0018_＀＀_x0018_＀＀_x0008_＀＀_x0001_＀＀_x0001_＀＀＀＀＀＀਀䃃䰟_x0018_华幃南彆䉅呉䰨䵔ⱓ㘳㈹⤲_x0018_＀＀_x0018_＀＀_x0008_＀＀_x0001_＀＀_x0001_＀＀＀＀＀＀頀䂉䰟_x001B_华幃南彆䕎彔义⡃呌卍㐬〰㘸착_x0018_＀＀_x0018_＀＀_x0008_＀＀_x0001_＀＀_x0001_＀＀＀＀＀＀氀䂒䰟_x001E_华幃捩彡敭湡䕟䥂䑔㈨〰ⰹ〴㔰⤶_x0018_＀＀_x0018_＀＀_x0008_＀＀_x0001_＀＀_x0001_＀＀ꏗ㵰ꠊ䂦⦔䱚＀Ｏ华幃南䱟䅅䕓䍟䵏䥍彔剙⠳㈱㈯〰ⰱ㈱㈯〰ⰱⰬ唬䑓착_x0018_＀＀_x0018_＀＀_x0008_＀＀_x0001_＀＀_x0001_＀＀＀＀＀＀怀䁻䰟_x0011_华幃浣獟獨㌨㜷㈷착_x0018_＀＀_x0018_＀＀_x0008_＀＀_x0001_＀＀_x0001_＀＀垨㋊峄䁸䰟_x001C_华幃南彆䡓䑌卒䕟⡑呑ⱒ㤳ㄸ⤳_x0018_＀＀_x0018_＀＀_x0008_＀＀_x0001_＀＀_x0001_＀＀＀＀＀＀쎀䃂䰟_x001E_华幃南彆䉅呉䅄䵟乇䰨䵔ⱓ㠳㘸⤸_x0018_＀＀_x0018_＀＀_x0008_＀＀_x0001_＀＀_x0001_＀＀❧뜏✲䁂䰟_x0018_华幃南彆䉅呉䰨䵔ⱓ㠳㔳⤲_x0018_＀＀_x0018_＀＀_x0008_＀＀_x0001_＀＀_x0001_＀＀＀＀＀＀ﰀ䂛䰟_x001B_华幃南彆偅当䥄⡌呌卍㐬〰㘵착_x0018_＀＀_x0018_＀＀_x0008_＀＀_x0001_＀＀_x0001_＀＀ꍮ밁ህ䀎⦆䱚$华幃䅃偟久当䕂彎䅐䑉ㄨ⼲〲㤰ⰬⰬ单⥄_x0018_＀＀_x0018_＀＀_x0008_＀＀_x0001_＀＀_x0001_＀＀＀＀＀＀䀀䁛䰟_x001A_华幃南彆䕄呂卟⡔呑ⱒ㜳㤸⤴_x0018_＀＀_x0018_＀＀_x0008_＀＀_x0001_＀＀_x0001_＀＀＀＀＀＀뀀䁶䰟_x001A_华幃南彆䕄呂䱟⡔呑ⱒ㠳㈳⤱_x0018_＀＀_x0018_＀＀_x0008_＀＀_x0001_＀＀_x0001_＀＀＀＀＀＀欀䂻䰟_x001E_华幃南彆䉅呉䅄䵟乇䰨䵔ⱓ㤳〹⤳_x0018_＀＀_x0018_＀＀_x0008_＀＀_x0001_＀＀_x0001_＀＀쏍䭦䁂䰟_x001C_华幃捩彡敭湡偟䥔㈨〰ⰵ㠳㘵⤴_x0018_＀＀_x0018_＀＀_x0008_＀＀_x0001_＀＀_x0001_＀＀凬Ẹ暅䂗⦔䱚＀Ｏ华幃南䱟䅅䕓䍟䵏䥍彔剙⠳㈱㈯〰ⰲ㈱㈯〰ⰲⰬ唬䑓착_x0018_＀＀_x0018_＀＀_x0008_＀＀_x0001_＀＀_x0001_＀＀＀＀＀＀䀀䁓⦆䱚J华幃䅃偟久当䥄䍓剟呁⡅㈱㈯〰ⰵⰬ唬䑓䀩南偟久䥓乏䑟卉彃䅒䕔ㄨ⼲〲㔰ⰬⰬ单⥄_x0018_＀＀_x0018_＀＀_x0008_＀＀_x0001_＀＀_x0001_＀＀＀＀＀＀＀＀䀖⦆䱚'华幃䅃偟久当商䑎卟䅔啔⡓㈱㈯〰ⰷⰬ唬䑓착_x0018_＀＀_x0018_＀＀_x0008_＀＀_x0001_＀＀_x0001_＀＀＀＀＀＀䁳䰟_x001C_华幃南彆䡓䑌卒䕟⡑呑ⱒ㠳㘹⤰_x0018_＀＀_x0018_＀＀_x0008_＀＀_x0001_＀＀_x0001_＀＀＀＀＀＀澀䃃䰟_x001E_华幃南彆䉅呉䅄䵟乇䰨䵔ⱓ〴㐱⤷_x0018_＀＀_x0018_＀＀_x0008_＀＀_x0001_＀＀_x0001_＀＀⛝䁂䰟_x001B_华幃南彆呐彘义⡃呌卍㌬㔹㠶착_x0018_＀＀_x0018_＀＀_x0008_＀＀_x0001_＀＀_x0001_＀＀＀＀＀＀먀䂡䰟_x001C_华幃捩彡敭湡偟䥔㈨〰ⰹ㤳〹⤳_x0018_＀＀_x0018_＀＀_x0008_＀＀_x0001_＀＀_x0001_＀＀ᑺ單䂢䰟_x001C_华幃捩彡敭湡䕟卐㈨〰ⰱ㜳〱⤳_x0018_＀＀_x0018_＀＀_x0008_＀＀_x0001_＀＀_x0001_＀＀＀＀＀＀＀＀㿰䰟_x001C_华幃捩彡敭湡䕟卐㈨〰ⰸ㤳㐱⤱_x0018_＀＀_x0018_＀＀_x0008_＀＀_x0001_＀＀_x0001_＀＀轜尨䀑䰟_x001A_华幃南彆䕄呂䱟⡔呑ⱒ㠳㤸⤸_x0018_＀＀_x0018_＀＀_x0008_＀＀_x0001_＀＀_x0001_＀＀＀＀＀＀ꐀ䂸䰟_x0019_华幃南彆十䕓協儨剔㌬㜹㈸착_x0018_＀＀_x0018_＀＀_x0008_＀＀_x0001_＀＀_x0001_＀＀＀＀＀＀ᝀ䃚䰟_x0018_华幃南彆䉅呉䰨䵔ⱓ㤳㘹⤴_x0018_＀＀_x0018_＀＀_x0008_＀＀_x0001_＀＀_x0001_＀＀＀＀＀＀搀䂧䰟_x001B_华幃南彆呐彘义⡃呌卍㌬㠹㌱착_x0018_＀＀_x0018_＀＀_x0008_＀＀_x0001_＀＀_x0001_＀＀＀＀＀＀一䂥䰟_x001C_华幃捩彡敭湡獟獬㈨〰ⰵ㠳㔳⤲_x0018_＀＀_x0018_＀＀_x0008_＀＀_x0001_＀＀_x0001_＀＀尩슏㽵䂾䰟_x001C_华幃捩彡敭湡偟䥔㈨〰ⰹ〴㐱⤷_x0018_＀＀_x0018_＀＀_x0008_＀＀_x0001_＀＀_x0001_＀＀尨_xDC8F_䂙⦔䱚＀Ｏ华幃南䱟䅅䕓䍟䵏䥍彔剙⠳㈱㈯〰ⰳ㈱㈯〰ⰳⰬ唬䑓착_x0018_＀＀_x0018_＀＀_x0008_＀＀_x0001_＀＀_x0001_＀＀＀＀＀＀耀䁑䰟_x001A_华幃南彆䕄呂䱟⡔呑ⱒ㤳㌹⤳_x0018_＀＀_x0018_＀＀_x0008_＀＀_x0001_＀＀_x0001_＀＀＀＀＀＀䌀䂹䰟_x001C_华幃捩彡敭湡獟獬㈨〰ⰷ㠳㘸⤸_x0018_＀＀_x0018_＀＀_x0008_＀＀_x0001_＀＀_x0001_＀＀긕ᤚ䃄⦅䱚_x001A_华幃南䕟䍘彈䅒䕔䥟䍎䍟⡆⤰_x0018_＀＀_x0018_＀＀_x0008_＀＀_x0001_＀＀_x0001_＀＀豀碵꼝쐕⦎䱚-华幃䅃偟协剔呅啟归剔佟彂䵁剏⡔㈱㈯〰ⰶⰬ唬䑓착_x0018_＀＀_x0018_＀＀_x0008_＀＀_x0001_＀＀_x0001_＀＀＀＀＀＀＀＀＀＀䰟_x001B_华幃南彆呐彘义⡃呌卍㌬㤸〶착_x0018_＀＀_x0018_＀＀_x0008_＀＀_x0001_＀＀_x0001_＀＀＀＀＀＀䨀䂠䰟_x001B_华幃南彆䕎彔义⡃呌卍㌬㠸㜰착_x0018_＀＀_x0018_＀＀_x0008_＀＀_x0001_＀＀_x0001_＀＀＀＀＀＀쀀䂕䰟_x001C_华幃捩彡敭湡偟䥔㈨〰ⰸ㤳㈳⤵_x0018_＀＀_x0018_＀＀_x0008_＀＀_x0001_＀＀_x0001_＀＀ꏗ㵰䂤⦔䱚＀Ｏ华幃南䱟䅅䕓䍟䵏䥍彔剙⠳㈱㈯〰ⰴ㈱㈯〰ⰴⰬ唬䑓착_x0018_＀＀_x0018_＀＀_x0008_＀＀_x0001_＀＀_x0001_＀＀＀＀＀＀쀀䁚䰟_x001C_华幃南彆䡓䑌卒䕟⡑呑ⱒ㜳〱⤳_x0018_＀＀_x0018_＀＀_x0008_＀＀_x0001_＀＀_x0001_＀＀＀＀＀＀夀䂷䰟_x001B_华幃南彆䕎彔义⡃呌卍㌬㐹㜴착_x0018_＀＀_x0018_＀＀_x0008_＀＀_x0001_＀＀_x0001_＀＀＀＀＀＀䂖䰟_x0018_华幃南彆䉅呉䰨䵔ⱓ㠳〱⤷_x0018_＀＀_x0018_＀＀_x0008_＀＀_x0001_＀＀_x0001_＀＀＀＀＀＀谀䂒䰟_x001D_华幃捩彡敭湡䕟䥂⡔〲〱㌬㤹㌰착_x0018_＀＀_x0018_＀＀_x0008_＀＀_x0001_＀＀_x0001_＀＀롑椞䂧䰟_x001C_华幃捩彡敭湡䕟卐㈨〰ⰵ㠳㌲⤰_x0018_＀＀_x0018_＀＀_x0008_＀＀_x0001_＀＀_x0001_＀＀ꏗ㵰휊䀁⦔䱚＀Ｏ华幃南䱟䅅䕓䍟䵏䥍彔剙⠳㈱㈯〰ⰵ㈱㈯〰ⰵⰬ唬䑓착_x0018_＀＀_x0018_＀＀_x0008_＀＀_x0001_＀＀_x0001_＀＀＀＀＀＀耀䁜䰟_x001A_华幃南彆䅃䡓卟⡔呑ⱒ㠳㤲⤱_x0018_＀＀_x0018_＀＀_x0008_＀＀_x0001_＀＀_x0001_＀＀＀＀＀＀退䂀䰟_x001D_华幃捩彡敭湡䕟䥂⡔〲〱㐬㄰㜴착_x0018_＀＀_x0018_＀＀_x0008_＀＀_x0001_＀＀_x0001_＀＀ਾꏗ㳰䂢䰟_x0011_华幃浣獟獨㌨㈹㈰착_x0018_＀＀_x0018_＀＀_x0008_＀＀_x0001_＀＀_x0001_＀＀꾸鎌䁸䰟_x001A_华幃南彆䕄呂卟⡔呑ⱒ㜳㤴⤹_x0018_＀＀_x0018_＀＀_x0008_＀＀_x0001_＀＀_x0001_＀＀＀＀＀＀耀䁚䰟_x001C_华幃南彆䡓䑌卒䕟⡑呑ⱒ㜳㈹⤵_x0018_＀＀_x0018_＀＀_x0008_＀＀_x0001_＀＀_x0001_＀＀＀＀＀＀̀䂻䰟_x0019_华幃南彆十䕓協儨剔㌬〷㈷착_x0018_＀＀_x0018_＀＀_x0008_＀＀_x0001_＀＀_x0001_＀＀＀＀＀＀지䃒䰟_x0019_华幃南彆䅓䕌⡓呌卍㌬㐷㠶착_x0018_＀＀_x0018_＀＀_x0008_＀＀_x0001_＀＀_x0001_＀＀＀＀＀＀䂷䰟_x001B_华幃南彆呐彘义⡃呌卍㌬ㄷ㌰착_x0018_＀＀_x0018_＀＀_x0008_＀＀_x0001_＀＀_x0001_＀＀＀＀＀＀耀䁹䰟_x001B_华幃南彆偅当䥄⡌呌卍㌬㔸㐶착_x0018_＀＀_x0018_＀＀_x0008_＀＀_x0001_＀＀_x0001_＀＀⚁蛂힧䀆䰟_x001C_华幃捩彡敭湡䕟卐㈨〰ⰷ㤳㠳⤶_x0018_＀＀_x0018_＀＀_x0008_＀＀_x0001_＀＀_x0001_＀＀馚香香䀍⦔䱚＀Ｏ华幃南䱟䅅䕓䍟䵏䥍彔剙⠳㈱㈯〰ⰶ㈱㈯〰ⰶⰬ唬䑓착_x0018_＀＀_x0018_＀＀_x0008_＀＀_x0001_＀＀_x0001_＀＀＀＀＀＀＀＀䁠⦅䱚 华幃南䕟䍘彈䅒䕔䥟䍎䍟⡆㈱㈯〰⤶_x0018_＀＀_x0018_＀＀_x0008_＀＀_x0001_＀＀_x0001_＀＀豀碵꼝쐕䰟_x001C_华幃南彆䡓䑌卒䕟⡑呑ⱒ㤳㔳⤵_x0018_＀＀_x0018_＀＀_x0008_＀＀_x0001_＀＀_x0001_＀＀＀＀＀＀䮀䃃䰟_x0019_华幃南彆䅓䕌⡓呌卍㌬㔸㌰착_x0018_＀＀_x0018_＀＀_x0008_＀＀_x0001_＀＀_x0001_＀＀＀＀＀＀鰀䂽䰟_x0018_华幃南彆䉅呉䰨䵔ⱓ㠳㈹⤹_x0018_＀＀_x0018_＀＀_x0008_＀＀_x0001_＀＀_x0001_＀＀＀＀＀＀ఀ䂤䰟_x001C_华幃捩彡敭湡獟獬㈨〰ⰶ㠳㜴⤲_x0018_＀＀_x0018_＀＀_x0008_＀＀_x0001_＀＀_x0001_＀＀炤਽漷䃀䰟_x001D_华幃捩彡敭湡䕟䥂⡔〲㔰㌬㘸㘵착_x0018_＀＀_x0018_＀＀_x0008_＀＀_x0001_＀＀_x0001_＀＀㌳㌳阳䂠䰟_x001C_华幃捩彡敭湡偟䥔㈨〰ⰷ㠳㈹⤹_x0018_＀＀_x0018_＀＀_x0008_＀＀_x0001_＀＀_x0001_＀＀㌳㌳䊳䂣䰟_x0012_华幃彐剐䍉⡅㠳㈳⤱_x0018_＀＀_x0018_＀＀_x0008_＀＀_x0001_＀＀_x0001_＀＀휊炣⨽䁁⦔䱚＀Ｏ华幃南䱟䅅䕓䍟䵏䥍彔剙⠳㈱㈯〰ⰷ㈱㈯〰ⰷⰬ唬䑓착_x0018_＀＀_x0018_＀＀_x0008_＀＀_x0001_＀＀_x0001_＀＀＀＀＀＀䀀䁜䰟_x001A_华幃南彆䕄呂䱟⡔呑ⱒ㠳㐷⤸_x0018_＀＀_x0018_＀＀_x0008_＀＀_x0001_＀＀_x0001_＀＀＀＀＀＀_xD800_䂹䰟_x001A_华幃南彆䕄呂䱟⡔呑ⱒ㤳㌵⤸_x0018_＀＀_x0018_＀＀_x0008_＀＀_x0001_＀＀_x0001_＀＀＀＀＀＀䤀䂸䰟_x0019_华幃南彆十䕓協儨剔㌬㠷㐹착_x0018_＀＀_x0018_＀＀_x0008_＀＀_x0001_＀＀_x0001_＀＀＀＀＀＀Ꮐ䃔䰟_x001B_华幃南彆呐彘义⡃呌卍㌬㤷㔲착_x0018_＀＀_x0018_＀＀_x0008_＀＀_x0001_＀＀_x0001_＀＀＀＀＀＀　䂆䰟_x001E_华幃捩彡敭湡䕟䥂䑔㈨〰ⰶ㠳㐴⤲_x0018_＀＀_x0018_＀＀_x0008_＀＀_x0001_＀＀_x0001_＀＀ਾꏗỰ䂧⦆䱚'华幃南偟久偟协彔䕒彔䕂⡎㈱㈯〰ⰴⰬ唬䑓착_x0018_＀＀_x0018_＀＀_x0008_＀＀_x0001_＀＀_x0001_＀＀＀＀＀＀＀＀䁼䰟_x0012_华幃彐剐䍉⡅㠳㤸⤸_x0018_＀＀_x0018_＀＀_x0008_＀＀_x0001_＀＀_x0001_＀＀轜鰨䁊䰟_x001B_华幃南彆呐彘义⡃呌卍㌬㌹㔵착_x0018_＀＀_x0018_＀＀_x0008_＀＀_x0001_＀＀_x0001_＀＀＀＀＀＀븀䂠䰟_x001E_华幃捩彡敭湡䕟䥂䑔㈨〰ⰶ㤳㠰⤲_x0018_＀＀_x0018_＀＀_x0008_＀＀_x0001_＀＀_x0001_＀＀蔟凫永䂪䰟_x001C_华幃捩彡敭湡䕟卐㈨〰ⰸ㤳㘵⤸_x0018_＀＀_x0018_＀＀_x0008_＀＀_x0001_＀＀_x0001_＀＀휊炣਽䀐⦔䱚＀Ｏ华幃南䱟䅅䕓䍟䵏䥍彔剙⠳㈱㈯〰ⰸ㈱㈯〰ⰸⰬ唬䑓착_x0018_＀＀_x0018_＀＀_x0008_＀＀_x0001_＀＀_x0001_＀＀＀＀＀＀耀䁗⦆䱚J华幃䅃偟久当佒彁䅒䕔ㄨ⼲〲㐰ⰬⰬ单⥄址当䕐华佉彎塅彐呌剟䅏ㄨ⼲〲㐰ⰬⰬ单⥄_x0018_＀＀_x0018_＀＀_x0008_＀＀_x0001_＀＀_x0001_＀＀＀＀＀＀＀＀䀢⦆䱚 华幃南䕟䍘彈䅒䕔ㄨ⼲〲㘰ⰬⰬ单⥄_x0018_＀＀_x0018_＀＀_x0008_＀＀_x0001_＀＀_x0001_＀＀＀＀＀＀＀＀㿰䰟_x0012_华幃彐剐䍉⡅㤳㌹⤳_x0018_＀＀_x0018_＀＀_x0008_＀＀_x0001_＀＀_x0001_＀＀ꏗ㵰휊䁁䰟_x001C_华幃捩彡敭湡獟獬㈨㄰ⰰ㤳㘹⤴_x0018_＀＀_x0018_＀＀_x0008_＀＀_x0001_＀＀_x0001_＀＀쳍쳌❬䃂䰟_x001D_华幃捩彡敭湡䕟䥂⡔〲㤰㌬㜹㈸착_x0018_＀＀_x0018_＀＀_x0008_＀＀_x0001_＀＀_x0001_＀＀긕決䂪䰟_x001C_华幃捩彡敭湡䕟卐㈨〰ⰸ㤳ㄸ⤳_x0018_＀＀_x0018_＀＀_x0008_＀＀_x0001_＀＀_x0001_＀＀尩슏⣵䀒⦎䱚*华幃南䡟呌䍈剁彅塅彐呌剟䅏ㄨ⼲〲㤰ⰬⰬ单⥄_x0018_＀＀_x0018_＀＀_x0008_＀＀_x0001_＀＀_x0001_＀＀豀碵꼝쐕䰟_x001A_华幃南彆䅃䡓卟⡔呑ⱒ㜳㔲⤶_x0018_＀＀_x0018_＀＀_x0008_＀＀_x0001_＀＀_x0001_＀＀＀＀＀＀耀䁩䰟_x001A_华幃南彆䅃䡓卟⡔呑ⱒ㠳㐰⤶_x0018_＀＀_x0018_＀＀_x0008_＀＀_x0001_＀＀_x0001_＀＀＀＀＀＀쀀䁱⦆䱚'华幃南偟久䥓乏也呅䱟䅉⡂㈱㈯〰ⰴⰬ唬䑓착_x0018_＀＀_x0018_＀＀_x0008_＀＀_x0001_＀＀_x0001_＀＀豀碵꼝쐕䰟_x001B_华幃南彆偅当䥄⡌呌卍㌬㔷㤲착_x0018_＀＀_x0018_＀＀_x0008_＀＀_x0001_＀＀_x0001_＀＀ⓝ脆䎕㿲䰟_x001B_华幃南彆䕎彔义⡃呌卍㌬ㄸ㤹착_x0018_＀＀_x0018_＀＀_x0008_＀＀_x0001_＀＀_x0001_＀＀＀＀＀＀耀䂁䰟_x001D_华幃捩彡敭湡䕟䥂⡔〲㐰㌬㈸〶착_x0018_＀＀_x0018_＀＀_x0008_＀＀_x0001_＀＀_x0001_＀＀䞮竡夔䂘䰟_x001C_华幃捩彡敭湡偟䥔㈨〰ⰶ㠳㌵⤳_x0018_＀＀_x0018_＀＀_x0008_＀＀_x0001_＀＀_x0001_＀＀＀＀＀＀혀䂚䰟_x001C_华幃捩彡敭湡䕟卐㈨〰ⰱ㘳㈹⤲_x0018_＀＀_x0018_＀＀_x0008_＀＀_x0001_＀＀_x0001_＀＀蔟凫Ẹ㿭䰟_x0011_华幃浣獟獨㌨〸㜱착_x0018_＀＀_x0018_＀＀_x0008_＀＀_x0001_＀＀_x0001_＀＀굃_xDE69_牱䁸䰟_x001E_华幃捩彡敭湡䕟䥂䑔㈨㄰ⰰ〴㜱⤸_x0018_＀＀_x0018_＀＀_x0008_＀＀_x0001_＀＀_x0001_＀＀쳍쳌桌䂩䰟_x001D_华幃捩彡敭湡䕟䥂⡔〲㘰㌬㜸㘷착_x0018_＀＀_x0018_＀＀_x0008_＀＀_x0001_＀＀_x0001_＀＀ꏗ㵰얊䂢䰟_x001C_华幃捩彡敭湡偟䥔㈨〰ⰶ㠳㠳⤳_x0018_＀＀_x0018_＀＀_x0008_＀＀_x0001_＀＀_x0001_＀＀馚香⦙䂚⦔䱚%华幃南䥟呎剟呁彅夵噁⡇㈱㈯〰ⰴⰬ唬䑓착_x0018_＀＀_x0018_＀＀_x0008_＀＀_x0001_＀＀_x0001_＀＀ᮛᏓ䀜䰟_x001A_华幃南彆䅃䡓卟⡔呑ⱒ㠳㘸⤸_x0018_＀＀_x0018_＀＀_x0008_＀＀_x0001_＀＀_x0001_＀＀＀＀＀＀᠀䂘䰟_x001B_华幃南彆䕎彔义⡃呌卍㌬㜷ㄴ착_x0018_＀＀_x0018_＀＀_x0008_＀＀_x0001_＀＀_x0001_＀＀＀＀＀＀뀀䁼䰟_x001E_华幃捩彡敭湡䕟䥂䑔㈨〰ⰵ㠳㠶⤶_x0018_＀＀_x0018_＀＀_x0008_＀＀_x0001_＀＀_x0001_＀＀尩슏⹵䂦䰟_x0011_华幃浣獟獨㌨ㄷ㐶착_x0018_＀＀_x0018_＀＀_x0008_＀＀_x0001_＀＀_x0001_＀＀⑵_xFFFF_ﾗថ䁸䰟_x001A_华幃南彆䅃䡓卟⡔呑ⱒ㤳〹⤳_x0018_＀＀_x0018_＀＀_x0008_＀＀_x0001_＀＀_x0001_＀＀＀＀＀＀ꀀ䂋䰟_x001B_华幃南彆偅当䥄⡌呌卍㌬㜷ㄱ착_x0018_＀＀_x0018_＀＀_x0008_＀＀_x0001_＀＀_x0001_＀＀珫ᖵ쯻㿲䰟_x001C_华幃捩彡敭湡䕟卐㈨㄰ⰰ〴㠰⤶_x0018_＀＀_x0018_＀＀_x0008_＀＀_x0001_＀＀_x0001_＀＀⣶轜䀊⦆䱚J华幃䅃偟久当䱐乁䅟呓ㄨ⼲〲㤰ⰬⰬ单⥄址当䕐华佉彎䅖彌十䕓協ㄨ⼲〲㤰ⰬⰬ单⥄_x0018_＀＀_x0018_＀＀_x0008_＀＀_x0001_＀＀_x0001_＀＀＀＀＀＀᠀䂘⦎䱚F华幃䅃偟协剔呅剟䅏ㄨ⼲〲㜰ⰬⰬ单⥄址当䱈䡔䅃䕒䕟偘剟䅏ㄨ⼲〲㜰ⰬⰬ单⥄_x0018_＀＀_x0018_＀＀_x0008_＀＀_x0001_＀＀_x0001_＀＀＀＀＀＀＀＀쀦䰟_x0011_华幃浣獟獨㌨㘹㤲착_x0018_＀＀_x0018_＀＀_x0008_＀＀_x0001_＀＀_x0001_＀＀빷᪟猯䁷䰟_x001A_华幃南彆䅃䡓卟⡔呑ⱒ〴㐱⤷_x0018_＀＀_x0018_＀＀_x0008_＀＀_x0001_＀＀_x0001_＀＀＀＀＀＀㠀䂏䰟_x001C_华幃南彆䡓䑌卒䕟⡑呑ⱒ㘳㈹⤲_x0018_＀＀_x0018_＀＀_x0008_＀＀_x0001_＀＀_x0001_＀＀＀＀＀＀쀀䂶䰟_x0019_华幃南彆十䕓協儨剔㌬㐷㤹착_x0018_＀＀_x0018_＀＀_x0008_＀＀_x0001_＀＀_x0001_＀＀＀＀＀＀ᄀ䃓䰟_x001B_华幃南彆偅当䥄⡌呌卍㌬ㄹㄴ착_x0018_＀＀_x0018_＀＀_x0008_＀＀_x0001_＀＀_x0001_＀＀▯菤䶞䀍䰟_x001D_华幃捩彡敭湡䕟䥂⡔〲㜰㌬〹ㄲ착_x0018_＀＀_x0018_＀＀_x0008_＀＀_x0001_＀＀_x0001_＀＀轜斨䂥䰟_x001A_华幃南彆䕄呂卟⡔呑ⱒ㠳㈳⤱_x0018_＀＀_x0018_＀＀_x0008_＀＀_x0001_＀＀_x0001_＀＀＀＀＀＀蠀䂀䰟_x001C_华幃南彆䡓䑌卒䕟⡑呑ⱒ㠳㔳⤲_x0018_＀＀_x0018_＀＀_x0008_＀＀_x0001_＀＀_x0001_＀＀＀＀＀＀㘀䂿䰟_x001E_华幃南彆䉅呉䅄䵟乇䰨䵔ⱓ㜳〸⤲_x0018_＀＀_x0018_＀＀_x0008_＀＀_x0001_＀＀_x0001_＀＀욏쏝귤䀻䰟_x001C_华幃捩彡敭湡獟獬㈨〰ⰸ㤳㜴⤸_x0018_＀＀_x0018_＀＀_x0008_＀＀_x0001_＀＀_x0001_＀＀쳍쳌䃂䰟_x001C_华幃捩彡敭湡䕟卐㈨〰ⰹ㤳㌹⤳_x0018_＀＀_x0018_＀＀_x0008_＀＀_x0001_＀＀_x0001_＀＀쳍쳌쳌䀌⦔䱚[华幃南剟久䅔彌偏䱟䕓䕟偘ㄨ⼲〲㌰ㄬ⼲〲㌰ⰬⰬ单⥄䍀彁呒剟久彔䥍彎塅⡐㈱㈯〰ⰳ㈱㈯〰ⰳⰬ唬䑓착_x0018_＀＀_x0018_＀＀_x0008_＀＀_x0001_＀＀_x0001_＀＀＀＀＀＀䀀䁠䰟_x0011_华幃浣獟獨㌨㤷㘸착_x0018_＀＀_x0018_＀＀_x0008_＀＀_x0001_＀＀_x0001_＀＀굃_xDE69_牱䁸䰟_x0012_华幃彐剐䍉⡅㠳㐷⤸_x0018_＀＀_x0018_＀＀_x0008_＀＀_x0001_＀＀_x0001_＀＀凬Ẹ䁈䰟_x0011_华幃浣獟獨㌨㜸㘷착_x0018_＀＀_x0018_＀＀_x0008_＀＀_x0001_＀＀_x0001_＀＀Й๖鸭䁹䰟_x0012_华幃彐剐䍉⡅㤳㌵⤸_x0018_＀＀_x0018_＀＀_x0008_＀＀_x0001_＀＀_x0001_＀＀尩슏⣵䁋䰟_x001E_华幃南彆䉅呉䅄䵟乇䰨䵔ⱓ㜳㔶⤲_x0018_＀＀_x0018_＀＀_x0008_＀＀_x0001_＀＀_x0001_＀＀翌륝衞䀼䰟_x001E_华幃南彆䉅呉䅄䵟乇䰨䵔ⱓ㠳㐴⤲_x0018_＀＀_x0018_＀＀_x0008_＀＀_x0001_＀＀_x0001_＀＀噶⚀謥䁀䰟_x001A_华幃南彆䕄呂卟⡔呑ⱒ㠳㤸⤸_x0018_＀＀_x0018_＀＀_x0008_＀＀_x0001_＀＀_x0001_＀＀＀＀＀＀退䂅䰟_x001A_华幃南彆䕄呂䱟⡔呑ⱒ㤳㈳⤵_x0018_＀＀_x0018_＀＀_x0008_＀＀_x0001_＀＀_x0001_＀＀＀＀＀＀退䂶䰟_x001E_华幃南彆䉅呉䅄䵟乇䰨䵔ⱓ㤳㠰⤲_x0018_＀＀_x0018_＀＀_x0008_＀＀_x0001_＀＀_x0001_＀＀棅床䁂䰟_x0019_华幃南彆䅓䕌⡓呌卍㐬㈰㤰착_x0018_＀＀_x0018_＀＀_x0008_＀＀_x0001_＀＀_x0001_＀＀＀＀＀＀℀䂿䰟_x001B_华幃南彆呐彘义⡃呌卍㌬㤶㈲착_x0018_＀＀_x0018_＀＀_x0008_＀＀_x0001_＀＀_x0001_＀＀＀＀＀＀䀀䁯䰟_x001A_华幃南彆䕄呂卟⡔呑ⱒ㤳㌹⤳_x0018_＀＀_x0018_＀＀_x0008_＀＀_x0001_＀＀_x0001_＀＀＀＀＀＀䀀䁽䰟_x001C_华幃南彆䡓䑌卒䕟⡑呑ⱒ㤳㘹⤴_x0018_＀＀_x0018_＀＀_x0008_＀＀_x0001_＀＀_x0001_＀＀＀＀＀＀䃂䰟_x001B_华幃南彆呐彘义⡃呌卍㌬㌸㈵착_x0018_＀＀_x0018_＀＀_x0008_＀＀_x0001_＀＀_x0001_＀＀＀＀＀＀堀䂔䰟_x001C_华幃捩彡敭湡獟獬㈨〰ⰸ㤳㘶⤰_x0018_＀＀_x0018_＀＀_x0008_＀＀_x0001_＀＀_x0001_＀＀쳍쳌莬䃄䰟_x001C_华幃捩彡敭湡䕟卐㈨〰ⰸ㤳㔳⤵_x0018_＀＀_x0018_＀＀_x0008_＀＀_x0001_＀＀_x0001_＀＀＀＀＀＀＀＀䀑⦅䱚;华幃南偟久䥓乏䅟卓呅当呏⡈㈱㈯〰⤸䍀彁䕐华偟呃佟䡔ㄨ⼲〲㠰착_x0018_＀＀_x0018_＀＀_x0008_＀＀_x0001_＀＀_x0001_＀＀＀＀＀＀＀＀＀＀䰟_x0011_华幃浣獟獨㐨〰㘵착_x0018_＀＀_x0018_＀＀_x0008_＀＀_x0001_＀＀_x0001_＀＀磕⛩僧䁶䰟_x001A_华幃南彆䕄呂䱟⡔呑ⱒ㠳㜴⤲_x0018_＀＀_x0018_＀＀_x0008_＀＀_x0001_＀＀_x0001_＀＀＀＀＀＀픀䂻䰟_x0019_华幃南彆䅓䕌⡓呌卍㌬㜹㈵착_x0018_＀＀_x0018_＀＀_x0008_＀＀_x0001_＀＀_x0001_＀＀＀＀＀＀몀䃄䰟_x001D_华幃捩彡敭湡䕟䥂⡔〲㜰㌬㤸〹착_x0018_＀＀_x0018_＀＀_x0008_＀＀_x0001_＀＀_x0001_＀＀ᑺమ䂦⦆䱚&amp;华幃䅃偟久当十彔义䅔䝎ㄨ⼲〲㘰ⰬⰬ单⥄_x0018_＀＀_x0018_＀＀_x0008_＀＀_x0001_＀＀_x0001_＀＀豀碵꼝쐕䰟_x001B_华幃南彆䕎彔义⡃呌卍㌬㌷㘴착_x0018_＀＀_x0018_＀＀_x0008_＀＀_x0001_＀＀_x0001_＀＀＀＀＀＀　䁸䰟_x001B_华幃南彆呐彘义⡃呌卍㌬㤹㐶착_x0018_＀＀_x0018_＀＀_x0008_＀＀_x0001_＀＀_x0001_＀＀＀＀＀＀_xDC00_䂣䰟_x001C_华幃捩彡敭湡獟獬㈨〰ⰷ㤳㠰⤲_x0018_＀＀_x0018_＀＀_x0008_＀＀_x0001_＀＀_x0001_＀＀ᑺ썮䃃䰟_x001D_华幃捩彡敭湡䕟䥂⡔〲㠰㌬ㄹㄴ착_x0018_＀＀_x0018_＀＀_x0008_＀＀_x0001_＀＀_x0001_＀＀轜檨䂧䰟_x001C_华幃南彆䡓䑌卒䕟⡑呑ⱒ㠳〱⤷_x0018_＀＀_x0018_＀＀_x0008_＀＀_x0001_＀＀_x0001_＀＀＀＀＀＀툀䂻䰟_x001B_华幃南彆䕎彔义⡃呌卍㌬〹ㄲ착_x0018_＀＀_x0018_＀＀_x0008_＀＀_x0001_＀＀_x0001_＀＀＀＀＀＀저䂖䰟_x001E_华幃捩彡敭湡䕟䥂䑔㈨〰ⰷ㤳〲⤲_x0018_＀＀_x0018_＀＀_x0008_＀＀_x0001_＀＀_x0001_＀＀凬Ẹ膅䂪䰟_x001C_华幃捩彡敭湡䕟卐㈨〰ⰵ㠳㤱⤹_x0018_＀＀_x0018_＀＀_x0008_＀＀_x0001_＀＀_x0001_＀＀䞮竡긔㿿⦆䱚C华幃䅃偟久当剐䩏佟䱂ㄨ⼲〲㠰ⰬⰬ单⥄址当䕐华佉彎䉐⡏㈱㈯〰ⰸⰬ唬䑓착_x0018_＀＀_x0018_＀＀_x0008_＀＀_x0001_＀＀_x0001_＀＀＀＀＀＀᠀䂚䰟_x001E_华幃南彆䉅呉䅄䵟乇䰨䵔ⱓ㜳〴⤷_x0018_＀＀_x0018_＀＀_x0008_＀＀_x0001_＀＀_x0001_＀＀풎帾鐍䀻䰟_x001C_华幃捩彡敭湡䕟卐㈨〰ⰹ㤳㌵⤸_x0018_＀＀_x0018_＀＀_x0008_＀＀_x0001_＀＀_x0001_＀＀蔟凫Ẹ䀒⦎䱚+华幃䅃偟协剔呅偟剁彔佃呎䥒⡂㈱㈯〰ⰵⰬ唬䑓착_x0018_＀＀_x0018_＀＀_x0008_＀＀_x0001_＀＀_x0001_＀＀＀＀＀＀＀＀＀＀䰟_x001E_华幃捩彡敭湡䕟䥂䑔㈨〰ⰹ㤳㘵⤸_x0018_＀＀_x0018_＀＀_x0008_＀＀_x0001_＀＀_x0001_＀＀㌳㌳ඳ䂮䰟_x001C_华幃捩彡敭湡偟䥔㈨〰ⰸ㤳㈷⤱_x0018_＀＀_x0018_＀＀_x0008_＀＀_x0001_＀＀_x0001_＀＀ਾꏗ䂤䰟_x0011_华幃浣獟獨㌨㐹㘱착_x0018_＀＀_x0018_＀＀_x0008_＀＀_x0001_＀＀_x0001_＀＀炤਽㏗䁸䰟_x001C_华幃南彆䡓䑌卒䕟⡑呑ⱒ㠳㈹⤹_x0018_＀＀_x0018_＀＀_x0008_＀＀_x0001_＀＀_x0001_＀＀＀＀＀＀澀䃃䰟_x0019_华幃南彆䅓䕌⡓呌卍㌬〷㈴착_x0018_＀＀_x0018_＀＀_x0008_＀＀_x0001_＀＀_x0001_＀＀＀＀＀＀ༀ䂸䰟_x0018_华幃南彆䉅呉䰨䵔ⱓ㜳㘴⤸_x0018_＀＀_x0018_＀＀_x0008_＀＀_x0001_＀＀_x0001_＀＀＀＀＀＀退䂒䰟_x001B_华幃南彆呐彘义⡃呌卍㌬ㄸ㜰착_x0018_＀＀_x0018_＀＀_x0008_＀＀_x0001_＀＀_x0001_＀＀＀＀＀＀쀀䂅䰟_x001B_华幃南彆偅当䥄⡌呌卍㌬㔹㠶착_x0018_＀＀_x0018_＀＀_x0008_＀＀_x0001_＀＀_x0001_＀＀⹈ꇿ䀎䰟_x001E_华幃捩彡敭湡䕟䥂䑔㈨〰ⰹ㤳ㄸ⤳_x0018_＀＀_x0018_＀＀_x0008_＀＀_x0001_＀＀_x0001_＀＀ꏗ㵰蘊䂮䰟_x001C_华幃捩彡敭湡䕟卐㈨〰ⰲ㜳㌴⤷_x0018_＀＀_x0018_＀＀_x0008_＀＀_x0001_＀＀_x0001_＀＀Ẹ롑㿲⦆䱚%华幃䅃偟久当呌䅟卓呅⡓㈱㈯〰ⰴⰬ唬䑓착_x0018_＀＀_x0018_＀＀_x0008_＀＀_x0001_＀＀_x0001_＀＀豀碵꼝쐕⦆䱚(华幃䅃偟久当偐彄䕂彎佃呓ㄨ⼲〲㌰ⰬⰬ单⥄_x0018_＀＀_x0018_＀＀_x0008_＀＀_x0001_＀＀_x0001_＀＀＀＀＀＀ꀀ䂀䰟_x001A_华幃南彆䕄呂䱟⡔呑ⱒ㜳㌴⤷_x0018_＀＀_x0018_＀＀_x0008_＀＀_x0001_＀＀_x0001_＀＀＀＀＀＀ꨀ䂼䰟_x001A_华幃南彆䕄呂卟⡔呑ⱒ㠳㐷⤸_x0018_＀＀_x0018_＀＀_x0008_＀＀_x0001_＀＀_x0001_＀＀＀＀＀＀ꀀ䁳䰟_x001A_华幃南彆䕄呂卟⡔呑ⱒ㤳㌵⤸_x0018_＀＀_x0018_＀＀_x0008_＀＀_x0001_＀＀_x0001_＀＀＀＀＀＀䀀䁱䰟_x0019_华幃南彆十䕓協儨剔㌬㌸ㄲ착_x0018_＀＀_x0018_＀＀_x0008_＀＀_x0001_＀＀_x0001_＀＀＀＀＀＀_xDB40_䃗䰟_x0019_华幃南彆䅓䕌⡓呌卍㌬㜸㜱착_x0018_＀＀_x0018_＀＀_x0008_＀＀_x0001_＀＀_x0001_＀＀＀＀＀＀Ꞁ䃀䰟_x0019_华幃南彆䅓䕌⡓呌卍㌬㔹㜰착_x0018_＀＀_x0018_＀＀_x0008_＀＀_x0001_＀＀_x0001_＀＀＀＀＀＀氀䃂䰟_x0018_华幃南彆䉅呉䰨䵔ⱓ㠳〵⤳_x0018_＀＀_x0018_＀＀_x0008_＀＀_x0001_＀＀_x0001_＀＀＀＀＀＀ꠀ䂜䰟_x001B_华幃南彆偅当䥄⡌呌卍㌬㠹㌱착_x0018_＀＀_x0018_＀＀_x0008_＀＀_x0001_＀＀_x0001_＀＀噬湽䀒䰟_x001C_华幃捩彡敭湡獟獬㈨〰ⰶ㠳㠶⤶_x0018_＀＀_x0018_＀＀_x0008_＀＀_x0001_＀＀_x0001_＀＀＀＀＀＀큠䃁䰟_x001D_华幃捩彡敭湡䕟䥂⡔〲㔰㌬㈸〳착_x0018_＀＀_x0018_＀＀_x0008_＀＀_x0001_＀＀_x0001_＀＀凬Ẹ碅䂚䰟_x001C_华幃捩彡敭湡偟䥔㈨㄰ⰰ〴㔰⤶_x0018_＀＀_x0018_＀＀_x0008_＀＀_x0001_＀＀_x0001_＀＀晧晦⡦䂠䰟_x001C_华幃捩彡敭湡䕟卐㈨〰ⰲ㜳㠲⤷_x0018_＀＀_x0018_＀＀_x0008_＀＀_x0001_＀＀_x0001_＀＀긕ᑺ㿲䰟_x0012_华幃彐剐䍉⡅㤳㈳⤵_x0018_＀＀_x0018_＀＀_x0008_＀＀_x0001_＀＀_x0001_＀＀ᑻ䞮髡䁉䰟_x001A_华幃南彆䕄呂䱟⡔呑ⱒ㜳㠲⤷_x0018_＀＀_x0018_＀＀_x0008_＀＀_x0001_＀＀_x0001_＀＀＀＀＀＀猀䂻䰟_x001A_华幃南彆䕄呂䱟⡔呑ⱒ㠳㜰⤷_x0018_＀＀_x0018_＀＀_x0008_＀＀_x0001_＀＀_x0001_＀＀＀＀＀＀ༀ䂺䰟_x001B_华幃南彆䕎彔义⡃呌卍㌬㤸〹착_x0018_＀＀_x0018_＀＀_x0008_＀＀_x0001_＀＀_x0001_＀＀＀＀＀＀저䂖⦆䱚(华幃南偟久䥓乏䅟卓呅当呌ㄨ⼲〲㜰ⰬⰬ单⥄_x0018_＀＀_x0018_＀＀_x0008_＀＀_x0001_＀＀_x0001_＀＀豀碵꼝쐕䰟_x0019_华幃南彆十䕓協儨剔㌬㠸㠹착_x0018_＀＀_x0018_＀＀_x0008_＀＀_x0001_＀＀_x0001_＀＀＀＀＀＀䃙䰟_x0019_华幃南彆䅓䕌⡓呌卍㌬㠷㐶착_x0018_＀＀_x0018_＀＀_x0008_＀＀_x0001_＀＀_x0001_＀＀＀＀＀＀䂸䰟_x001B_华幃南彆呐彘义⡃呌卍㌬㤸㤲착_x0018_＀＀_x0018_＀＀_x0008_＀＀_x0001_＀＀_x0001_＀＀＀＀＀＀䨀䂠䰟_x001B_华幃南彆偅当䥄⡌呌卍㌬㤸〶착_x0018_＀＀_x0018_＀＀_x0008_＀＀_x0001_＀＀_x0001_＀＀ᵾ朸楄䀉䰟_x001E_华幃捩彡敭湡䕟䥂䑔㈨〰ⰶ㠳㔶⤶_x0018_＀＀_x0018_＀＀_x0008_＀＀_x0001_＀＀_x0001_＀＀롑ޞ䂨⦆䱚C华幃䅃偟久当剐䩏佟䱂ㄨ⼲〲㜰ⰬⰬ单⥄址当䕐华佉彎䉐⡏㈱㈯〰ⰷⰬ唬䑓착_x0018_＀＀_x0018_＀＀_x0008_＀＀_x0001_＀＀_x0001_＀＀＀＀＀＀뀀䂙⦆䱚$华幃䅃偟久当呌䱟䅉卂ㄨ⼲〲㘰ⰬⰬ单⥄_x0018_＀＀_x0018_＀＀_x0008_＀＀_x0001_＀＀_x0001_＀＀＀＀＀＀＀＀䁢䰟_x0012_华幃彐剐䍉⡅㠳㜴⤲_x0018_＀＀_x0018_＀＀_x0008_＀＀_x0001_＀＀_x0001_＀＀晧晦晦䀿䰟_x0019_华幃南彆十䕓協儨剔㌬㤹㌳착_x0018_＀＀_x0018_＀＀_x0008_＀＀_x0001_＀＀_x0001_＀＀＀＀＀＀䃙䰟_x0019_华幃南彆䅓䕌⡓呌卍㌬㈹㐹착_x0018_＀＀_x0018_＀＀_x0008_＀＀_x0001_＀＀_x0001_＀＀＀＀＀＀㲀䃂䰟_x001C_华幃捩彡敭湡獟獬㈨〰ⰵ㠳〵⤳_x0018_＀＀_x0018_＀＀_x0008_＀＀_x0001_＀＀_x0001_＀＀롑饞䂿䰟_x001E_华幃捩彡敭湡䕟䥂䑔㈨〰ⰸ㤳㜱⤲_x0018_＀＀_x0018_＀＀_x0008_＀＀_x0001_＀＀_x0001_＀＀凬Ẹ䒅䂭䰟_x001C_华幃捩彡敭湡䕟卐㈨〰ⰶ㠳㘵⤴_x0018_＀＀_x0018_＀＀_x0008_＀＀_x0001_＀＀_x0001_＀＀⣶轜䀆⦎䱚(华幃南䡟呌䍈剁彅乕彆䕂⡎㈱㈯〰ⰷⰬ唬䑓⤩＀＀＀＀⦆䱚%华幃䅃偟久当佃偍剟呁⡅㈱㈯〰ⰳⰬ唬䑓착_x0018_＀＀_x0018_＀＀_x0008_＀＀_x0001_＀＀_x0001_＀＀＀＀＀＀＀＀䀒䰟_x001E_华幃南彆䉅呉䅄䵟乇䰨䵔ⱓ㤳㤶⤱_x0018_＀＀_x0018_＀＀_x0008_＀＀_x0001_＀＀_x0001_＀＀蓻揖ࣿ䁂⦔䱚＀Ｏ华幃南䱟䅅䕓䍟䵏䥍彔剙⠴㈱㈯〰ⰱ㈱㈯〰ⰱⰬ唬䑓착_x0018_＀＀_x0018_＀＀_x0008_＀＀_x0001_＀＀_x0001_＀＀＀＀＀＀က䁺䰟_x001A_华幃南彆䕄呂䱟⡔呑ⱒ〴㜱⤸_x0018_＀＀_x0018_＀＀_x0008_＀＀_x0001_＀＀_x0001_＀＀＀＀＀＀ᜀ䂺䰟_x001B_华幃南彆偅当䥄⡌呌卍㌬ㄷ㌰착_x0018_＀＀_x0018_＀＀_x0008_＀＀_x0001_＀＀_x0001_＀＀탥_xDB22_绹㿦䰟_x001D_华幃捩彡敭湡䕟䥂⡔〲㠰㌬㔹㠶착_x0018_＀＀_x0018_＀＀_x0008_＀＀_x0001_＀＀_x0001_＀＀炤਽癗䂥䰟_x001C_华幃捩彡敭湡偟䥔㈨〰ⰹ㤳㤶⤱_x0018_＀＀_x0018_＀＀_x0008_＀＀_x0001_＀＀_x0001_＀＀슏⣵ࣜ䂧䰟_x001A_华幃南彆䅃䡓卟⡔呑ⱒ㜳〸⤲_x0018_＀＀_x0018_＀＀_x0008_＀＀_x0001_＀＀_x0001_＀＀＀＀＀＀耀䁛䰟_x001D_华幃捩彡敭湡䕟䥂⡔〲㠰㌬㠹㌱착_x0018_＀＀_x0018_＀＀_x0008_＀＀_x0001_＀＀_x0001_＀＀ꏗ㵰ᬊ䂨䰟_x001C_华幃捩彡敭湡䕟卐㈨〰ⰳ㜳〸⤲_x0018_＀＀_x0018_＀＀_x0008_＀＀_x0001_＀＀_x0001_＀＀凬Ẹ㿵⦔䱚＀Ｏ华幃南䱟䅅䕓䍟䵏䥍彔剙⠴㈱㈯〰ⰲ㈱㈯〰ⰲⰬ唬䑓착_x0018_＀＀_x0018_＀＀_x0008_＀＀_x0001_＀＀_x0001_＀＀＀＀＀＀耀䁎⦅䱚;华幃南偟久䥓乏䅟卓呅当剐偏ㄨ⼲〲㠰䀩䅃偟久当䍐彔䕒ㄨ⼲〲㠰착_x0018_＀＀_x0018_＀＀_x0008_＀＀_x0001_＀＀_x0001_＀＀＀＀＀＀＀＀＀＀䰟_x001A_华幃南彆䅃䡓卟⡔呑ⱒ㜳㔶⤲_x0018_＀＀_x0018_＀＀_x0008_＀＀_x0001_＀＀_x0001_＀＀＀＀＀＀＀＀䁧䰟_x001A_华幃南彆䅃䡓卟⡔呑ⱒ㠳㐴⤲_x0018_＀＀_x0018_＀＀_x0008_＀＀_x0001_＀＀_x0001_＀＀＀＀＀＀簀䂑䰟_x001B_华幃南彆䕎彔义⡃呌卍㌬㤷㔵착_x0018_＀＀_x0018_＀＀_x0008_＀＀_x0001_＀＀_x0001_＀＀＀＀＀＀耀䁾䰟_x001E_华幃捩彡敭湡䕟䥂䑔㈨〰ⰵ㠳㘲⤰_x0018_＀＀_x0018_＀＀_x0008_＀＀_x0001_＀＀_x0001_＀＀롑䂡䰟_x001C_华幃捩彡敭湡偟䥔㈨〰ⰸ㤳㘲⤳_x0018_＀＀_x0018_＀＀_x0008_＀＀_x0001_＀＀_x0001_＀＀㵱휊䂤䰟_x001C_华幃捩彡敭湡䕟卐㈨〰ⰳ㜳㔶⤲_x0018_＀＀_x0018_＀＀_x0008_＀＀_x0001_＀＀_x0001_＀＀晧晦晦㿶䰟_x0011_华幃浣獟獨㌨ㄸ㠶착_x0018_＀＀_x0018_＀＀_x0008_＀＀_x0001_＀＀_x0001_＀＀䖢髽䁸䰟_x001A_华幃南彆䅃䡓卟⡔呑ⱒ㤳㠰⤲_x0018_＀＀_x0018_＀＀_x0008_＀＀_x0001_＀＀_x0001_＀＀＀＀＀＀뀀䂌䰟_x001B_华幃南彆偅当䥄⡌呌卍㌬㤷㔲착_x0018_＀＀_x0018_＀＀_x0008_＀＀_x0001_＀＀_x0001_＀＀沋ﯧ㿳䰟_x001B_华幃南彆䕎彔义⡃呌卍㌬㔸㔹착_x0018_＀＀_x0018_＀＀_x0008_＀＀_x0001_＀＀_x0001_＀＀＀＀＀＀䠀䂒䰟_x001E_华幃捩彡敭湡䕟䥂䑔㈨〰ⰷ㠳㜷⤶_x0018_＀＀_x0018_＀＀_x0008_＀＀_x0001_＀＀_x0001_＀＀馚香ꤙ䂫⦔䱚＀Ｏ华幃南䱟䅅䕓䍟䵏䥍彔剙⠴㈱㈯〰ⰳ㈱㈯〰ⰳⰬ唬䑓착_x0018_＀＀_x0018_＀＀_x0008_＀＀_x0001_＀＀_x0001_＀＀＀＀＀＀耀䁎䰟_x0012_华幃彐剐䍉⡅㜳㌴⤷_x0018_＀＀_x0018_＀＀_x0008_＀＀_x0001_＀＀_x0001_＀＀竡긔慇䀷䰟_x001B_华幃南彆偅当䥄⡌呌卍㌬㌹㔵착_x0018_＀＀_x0018_＀＀_x0008_＀＀_x0001_＀＀_x0001_＀＀剔ꀧら䀍䰟_x001C_华幃捩彡敭湡獟獬㈨〰ⰸ㤳〲⤲_x0018_＀＀_x0018_＀＀_x0008_＀＀_x0001_＀＀_x0001_＀＀쳍쳌㲌䃄⦎䱚)华幃䅃偟协剔呅佟䡔䑁彊䉎⡁㈱㈯〰ⰵⰬ唬䑓착_x0018_＀＀_x0018_＀＀_x0008_＀＀_x0001_＀＀_x0001_＀＀＀＀＀＀耀䁰⦆䱚J华幃䅃偟久当佒彁䅒䕔ㄨ⼲〲㜰ⰬⰬ单⥄址当䕐华佉彎塅彐呌剟䅏ㄨ⼲〲㜰ⰬⰬ单⥄_x0018_＀＀_x0018_＀＀_x0008_＀＀_x0001_＀＀_x0001_＀＀＀＀＀＀＀＀䀢⦅䱚 华幃南䕟䍘彈䅒䕔䥟䍎䍟⡆㈱㈯〰⤷_x0018_＀＀_x0018_＀＀_x0008_＀＀_x0001_＀＀_x0001_＀＀豀碵꼝쐕䰟_x0012_华幃彐剐䍉⡅㜳㠲⤷_x0018_＀＀_x0018_＀＀_x0008_＀＀_x0001_＀＀_x0001_＀＀쳍쳌賌䀶䰟_x0012_华幃彐剐䍉⡅㠳㜰⤷_x0018_＀＀_x0018_＀＀_x0008_＀＀_x0001_＀＀_x0001_＀＀ꏗ㵰ᜊ䀶䰟_x001A_华幃南彆䕄呂卟⡔呑ⱒ㤳㈳⤵_x0018_＀＀_x0018_＀＀_x0008_＀＀_x0001_＀＀_x0001_＀＀＀＀＀＀䀀䁸䰟_x0019_华幃南彆十䕓協儨剔㌬㜸㠴착_x0018_＀＀_x0018_＀＀_x0008_＀＀_x0001_＀＀_x0001_＀＀＀＀＀＀䅀䃙䰟_x0019_华幃南彆十䕓協儨剔㌬㔹㠳착_x0018_＀＀_x0018_＀＀_x0008_＀＀_x0001_＀＀_x0001_＀＀＀＀＀＀_xD840_䃙⦔䱚＀Ｏ华幃南䱟䅅䕓䍟䵏䥍彔剙⠴㈱㈯〰ⰴ㈱㈯〰ⰴⰬ唬䑓착_x0018_＀＀_x0018_＀＀_x0008_＀＀_x0001_＀＀_x0001_＀＀＀＀＀＀쀀䁕䰟_x0011_华幃浣獟獨㌨㔷〶착_x0018_＀＀_x0018_＀＀_x0008_＀＀_x0001_＀＀_x0001_＀＀࠱Წ䩚䁸䰟_x001E_华幃南彆䉅呉䅄䵟乇䰨䵔ⱓ㠳㔶⤶_x0018_＀＀_x0018_＀＀_x0008_＀＀_x0001_＀＀_x0001_＀＀垶⼀⸁䁁䰟_x001D_华幃捩彡敭湡䕟䥂⡔〲㜰㌬ㄹ㈷착_x0018_＀＀_x0018_＀＀_x0008_＀＀_x0001_＀＀_x0001_＀＀휊炣▽䂥⦅䱚;华幃南偟久䥓乏䅟卓呅当充䥕ㄨ⼲〲㤰䀩䅃偟久当䍐彔充ㄨ⼲〲㤰착_x0018_＀＀_x0018_＀＀_x0008_＀＀_x0001_＀＀_x0001_＀＀＀＀＀＀䀀䁓䰟)华幃南偟久䥓乏噟䱁䅟卓呅⡓㈱㈯〰ⰷⰬ唬䑓착_x0018_＀＀_x0018_＀＀_x0008_＀＀_x0001_＀＀_x0001_＀＀＀＀＀＀가䂞䰟_x001A_华幃南彆䕄呂卟⡔呑ⱒ㠳㜴⤲_x0018_＀＀_x0018_＀＀_x0008_＀＀_x0001_＀＀_x0001_＀＀＀＀＀＀栀䂁䰟_x0018_华幃南彆䉅呉䰨䵔ⱓ〴〲⤹_x0018_＀＀_x0018_＀＀_x0008_＀＀_x0001_＀＀_x0001_＀＀＀＀＀＀䐀䂠䰟_x001C_华幃捩彡敭湡偟䥔㈨〰ⰵ㠳㔳⤲_x0018_＀＀_x0018_＀＀_x0008_＀＀_x0001_＀＀_x0001_＀＀蔟凫㦸䂖⦔䱚＀Ｏ华幃南䱟䅅䕓䍟䵏䥍彔剙⠴㈱㈯〰ⰵ㈱㈯〰ⰵⰬ唬䑓착_x0018_＀＀_x0018_＀＀_x0008_＀＀_x0001_＀＀_x0001_＀＀＀＀＀＀＀＀䁙䰟_x0019_华幃南彆䅓䕌⡓呌卍㌬㈸ㄹ착_x0018_＀＀_x0018_＀＀_x0008_＀＀_x0001_＀＀_x0001_＀＀＀＀＀＀缀䂻䰟_x001D_华幃捩彡敭湡䕟䥂⡔〲㤰㌬㤹㌳착_x0018_＀＀_x0018_＀＀_x0008_＀＀_x0001_＀＀_x0001_＀＀轜㎨䂤⦎䱚P华幃䅃偟协剔呅偟䅌彎十彔久⡄㈱㈯〰ⰷⰬ唬䑓䀩南䡟呌䍈剁彅噆䅟卓呅ㄨ⼲〲㜰ⰬⰬ单⥄_x0018_＀＀_x0018_＀＀_x0008_＀＀_x0001_＀＀_x0001_＀＀＀＀＀＀＀＀䁦䰟_x001A_华幃南彆䅃䡓卟⡔呑ⱒ㜳〴⤷_x0018_＀＀_x0018_＀＀_x0008_＀＀_x0001_＀＀_x0001_＀＀＀＀＀＀耀䁤䰟_x001A_华幃南彆䕄呂䱟⡔呑ⱒ㠳㠶⤶_x0018_＀＀_x0018_＀＀_x0008_＀＀_x0001_＀＀_x0001_＀＀＀＀＀＀䂹䰟_x0018_华幃南彆䉅呉䰨䵔ⱓ㤳㔷⤲_x0018_＀＀_x0018_＀＀_x0008_＀＀_x0001_＀＀_x0001_＀＀＀＀＀＀䂧䰟_x001E_华幃捩彡敭湡䕟䥂䑔㈨〰ⰸ㤳㤵⤹_x0018_＀＀_x0018_＀＀_x0008_＀＀_x0001_＀＀_x0001_＀＀ᑻ䞮䂬䰟_x001C_华幃捩彡敭湡䕟卐㈨〰ⰳ㜳〴⤷_x0018_＀＀_x0018_＀＀_x0008_＀＀_x0001_＀＀_x0001_＀＀尩슏⣵㿸䰟_x001C_华幃捩彡敭湡䕟卐㈨〰ⰴ㜳㜷⤲_x0018_＀＀_x0018_＀＀_x0008_＀＀_x0001_＀＀_x0001_＀＀馚香香㿹⦔䱚＀Ｏ华幃南䱟䅅䕓䍟䵏䥍彔剙⠴㈱㈯〰ⰶ㈱㈯〰ⰶⰬ唬䑓착_x0018_＀＀_x0018_＀＀_x0008_＀＀_x0001_＀＀_x0001_＀＀＀＀＀＀耀䁛⦆䱚%华幃䅃偟久当佃偍剟呁⡅㈱㈯〰ⰹⰬ唬䑓착_x0018_＀＀_x0018_＀＀_x0008_＀＀_x0001_＀＀_x0001_＀＀＀＀＀＀＀＀䀒䰟_x0012_华幃彐剐䍉⡅〴㜱⤸_x0018_＀＀_x0018_＀＀_x0008_＀＀_x0001_＀＀_x0001_＀＀⣶轜㗂䁊䰟_x001A_华幃南彆䕄呂䱟⡔呑ⱒ㤳㈷⤱_x0018_＀＀_x0018_＀＀_x0008_＀＀_x0001_＀＀_x0001_＀＀＀＀＀＀开䂷⦎䱚G华幃䅃偟协剔呅䍟协⡔㈱㈯〰ⰷⰬ唬䑓䀩南䡟呌䍈剁彅偎彐塅⡐㈱㈯〰ⰷⰬ唬䑓착_x0018_＀＀_x0018_＀＀_x0008_＀＀_x0001_＀＀_x0001_＀＀＀＀＀＀＀＀䁓⦅䱚;华幃南偟久䥓乏䅟卓呅当呏⡈㈱㈯〰⤳䍀彁䕐华偟呃佟䡔ㄨ⼲〲㌰착_x0018_＀＀_x0018_＀＀_x0008_＀＀_x0001_＀＀_x0001_＀＀豀碵꼝쐕䰟_x001D_华幃捩彡敭湡䕟䥂⡔〲㠰㌬㌹㔵착_x0018_＀＀_x0018_＀＀_x0008_＀＀_x0001_＀＀_x0001_＀＀Ẹ鍑䂦䰟_x001C_华幃捩彡敭湡偟䥔㈨〰ⰸ㤳ㄱ⤳_x0018_＀＀_x0018_＀＀_x0008_＀＀_x0001_＀＀_x0001_＀＀炤਽_xDDD7_䂥⦔䱚＀Ｏ华幃南䱟䅅䕓䍟䵏䥍彔剙⠴㈱㈯〰ⰷ㈱㈯〰ⰷⰬ唬䑓착_x0018_＀＀_x0018_＀＀_x0008_＀＀_x0001_＀＀_x0001_＀＀＀＀＀＀䀀䁔⦎䱚'华幃䅃偟协剔呅䉟久偟䥁⡄㈱㈯〰ⰸⰬ唬䑓착_x0018_＀＀_x0018_＀＀_x0008_＀＀_x0001_＀＀_x0001_＀＀＀＀＀＀＀＀䁉䰟_x001E_华幃捩彡敭湡䕟䥂䑔㈨〰ⰷ㤳ㄴ⤶_x0018_＀＀_x0018_＀＀_x0008_＀＀_x0001_＀＀_x0001_＀＀롑䂩⦅䱚 华幃南䕟䍘彈䅒䕔䉟䱁卟⡈㈱㈯〰⤳_x0018_＀＀_x0018_＀＀_x0008_＀＀_x0001_＀＀_x0001_＀＀豀碵꼝쐕䰟_x0011_华幃浣獟獨㌨㌷㔱착_x0018_＀＀_x0018_＀＀_x0008_＀＀_x0001_＀＀_x0001_＀＀䴂඄ᵏ䁸䰟_x001E_华幃捩彡敭湡䕟䥂䑔㈨㄰ⰰ㤳㜸⤲_x0018_＀＀_x0018_＀＀_x0008_＀＀_x0001_＀＀_x0001_＀＀슐⣵關䂮⦔䱚＀Ｏ华幃南䱟䅅䕓䍟䵏䥍彔剙⠴㈱㈯〰ⰸ㈱㈯〰ⰸⰬ唬䑓착_x0018_＀＀_x0018_＀＀_x0008_＀＀_x0001_＀＀_x0001_＀＀＀＀＀＀쀀䁓⦎䱚T华幃䅃偟协剔呅偟䥒剏卟噒ㄨ⼲〲㠰ⰬⰬ单⥄址当䱈䡔䅃䕒啟剎䍅卟剅彖佃呓ㄨ⼲〲㠰ⰬⰬ单⥄_x0018_＀＀_x0018_＀＀_x0008_＀＀_x0001_＀＀_x0001_＀＀＀＀＀＀＀＀쀀䰟_x001A_华幃南彆䕄呂卟⡔呑ⱒ㜳㌴⤷_x0018_＀＀_x0018_＀＀_x0008_＀＀_x0001_＀＀_x0001_＀＀＀＀＀＀耀䁚䰟_x001C_华幃南彆䡓䑌卒䕟⡑呑ⱒ㜳㘴⤸_x0018_＀＀_x0018_＀＀_x0008_＀＀_x0001_＀＀_x0001_＀＀＀＀＀＀ꠀ䂸䰟_x001B_华幃南彆偅当䥄⡌呌卍㌬㤶㈲착_x0018_＀＀_x0018_＀＀_x0008_＀＀_x0001_＀＀_x0001_＀＀賧븍㿜䰟_x001B_华幃南彆䕎彔义⡃呌卍㌬ㄹ㈷착_x0018_＀＀_x0018_＀＀_x0008_＀＀_x0001_＀＀_x0001_＀＀＀＀＀＀퐀䂖⦅䱚;华幃南偟久䥓乏䅟卓呅当剐偏ㄨ⼲〲㌰䀩䅃偟久当䍐彔䕒ㄨ⼲〲㌰착_x0018_＀＀_x0018_＀＀_x0008_＀＀_x0001_＀＀_x0001_＀＀豀碵꼝쐕䰟_x001A_华幃南彆䕄呂卟⡔呑ⱒ㜳㠲⤷_x0018_＀＀_x0018_＀＀_x0008_＀＀_x0001_＀＀_x0001_＀＀＀＀＀＀倀䂌䰟_x001A_华幃南彆䕄呂卟⡔呑ⱒ㠳㜰⤷_x0018_＀＀_x0018_＀＀_x0008_＀＀_x0001_＀＀_x0001_＀＀＀＀＀＀䀀䁪䰟_x001C_华幃南彆䡓䑌卒䕟⡑呑ⱒ㠳〵⤳_x0018_＀＀_x0018_＀＀_x0008_＀＀_x0001_＀＀_x0001_＀＀＀＀＀＀ἀ䃀䰟_x0019_华幃南彆䅓䕌⡓呌卍㌬㈷㘵착_x0018_＀＀_x0018_＀＀_x0008_＀＀_x0001_＀＀_x0001_＀＀＀＀＀＀ᨀ䂸䰟_x0019_华幃南彆䅓䕌⡓呌卍㌬〸㘴착_x0018_＀＀_x0018_＀＀_x0008_＀＀_x0001_＀＀_x0001_＀＀＀＀＀＀䐀䂹䰟_x0018_华幃南彆䉅呉䰨䵔ⱓ㜳㐰⤲_x0018_＀＀_x0018_＀＀_x0008_＀＀_x0001_＀＀_x0001_＀＀＀＀＀＀᠀䂏䰟_x001B_华幃南彆偅当䥄⡌呌卍㌬㌸㈵착_x0018_＀＀_x0018_＀＀_x0008_＀＀_x0001_＀＀_x0001_＀＀䞮竡⸔䀂䰟_x001C_华幃捩彡敭湡獟獬㈨〰ⰸ㤳㈶⤹_x0018_＀＀_x0018_＀＀_x0008_＀＀_x0001_＀＀_x0001_＀＀竡긔瓇䃄䰟_x001C_华幃捩彡敭湡獟獬㈨〰ⰹ㤳㤹⤴_x0018_＀＀_x0018_＀＀_x0008_＀＀_x0001_＀＀_x0001_＀＀ᑺ_xDF2E_䃀䰟_x001C_华幃捩彡敭湡䕟卐㈨〰ⰲ㜳㄰⤱_x0018_＀＀_x0018_＀＀_x0008_＀＀_x0001_＀＀_x0001_＀＀㵱휊炣㿵䰟_x001C_华幃捩彡敭湡䕟卐㈨〰ⰵ㠳㤵⤵_x0018_＀＀_x0018_＀＀_x0008_＀＀_x0001_＀＀_x0001_＀＀尨슏䀅⦔䱚＀Ｏ华幃南䱟䅅䕓䍟䵏䥍彔剙⠴㈱㈯〰ⰹ㈱㈯〰ⰹⰬ唬䑓착_x0018_＀＀_x0018_＀＀_x0008_＀＀_x0001_＀＀_x0001_＀＀＀＀＀＀＀＀䁒䰟_x001A_华幃南彆䕄呂䱟⡔呑ⱒ㜳㄰⤱_x0018_＀＀_x0018_＀＀_x0008_＀＀_x0001_＀＀_x0001_＀＀＀＀＀＀漀䂽䰟_x0019_华幃南彆十䕓協儨剔㌬㌹㔲착_x0018_＀＀_x0018_＀＀_x0008_＀＀_x0001_＀＀_x0001_＀＀＀＀＀＀勀䃙䰟_x0018_华幃南彆䉅呉䰨䵔ⱓ㠳ㄷ⤷_x0018_＀＀_x0018_＀＀_x0008_＀＀_x0001_＀＀_x0001_＀＀＀＀＀＀가䂡䰟_x0018_华幃南彆䉅呉䰨䵔ⱓ㤳〵⤷_x0018_＀＀_x0018_＀＀_x0008_＀＀_x0001_＀＀_x0001_＀＀＀＀＀＀숀䂤䰟_x001D_华幃捩彡敭湡䕟䥂⡔〲㤰㌬㔹㠳착_x0018_＀＀_x0018_＀＀_x0008_＀＀_x0001_＀＀_x0001_＀＀＀＀＀＀㒀䂧䰟_x001A_华幃南彆䅃䡓卟⡔呑ⱒ㤳㤶⤱_x0018_＀＀_x0018_＀＀_x0008_＀＀_x0001_＀＀_x0001_＀＀＀＀＀＀怀䁼䰟_x001E_华幃南彆䉅呉䅄䵟乇䰨䵔ⱓ㤳㌲⤳_x0018_＀＀_x0018_＀＀_x0008_＀＀_x0001_＀＀_x0001_＀＀̂㩞䁂䰟_x001B_华幃南彆呐彘义⡃呌卍㌬㐷㠶착_x0018_＀＀_x0018_＀＀_x0008_＀＀_x0001_＀＀_x0001_＀＀＀＀＀＀퀀䂃䰟_x001B_华幃南彆䕎彔义⡃呌卍㌬㤹㐹착_x0018_＀＀_x0018_＀＀_x0008_＀＀_x0001_＀＀_x0001_＀＀＀＀＀＀퀀䂕䰟_x001E_华幃捩彡敭湡䕟䥂䑔㈨〰ⰹ㤳㘹⤴_x0018_＀＀_x0018_＀＀_x0008_＀＀_x0001_＀＀_x0001_＀＀Ẹ鉑䂨䰟_x001C_华幃捩彡敭湡䕟卐㈨〰ⰹ〴㜱⤸_x0018_＀＀_x0018_＀＀_x0008_＀＀_x0001_＀＀_x0001_＀＀晧晦晦䀆䰟_x0019_华幃南彆十䕓協儨剔㌬㐸㈷착_x0018_＀＀_x0018_＀＀_x0008_＀＀_x0001_＀＀_x0001_＀＀＀＀＀＀䃘䰟_x001E_华幃南彆䉅呉䅄䵟乇䰨䵔ⱓ㘳㔹⤰_x0018_＀＀_x0018_＀＀_x0008_＀＀_x0001_＀＀_x0001_＀＀쨒뻃䀵䰟_x0019_华幃南彆䅓䕌⡓呌卍㌬㠸㠶착_x0018_＀＀_x0018_＀＀_x0008_＀＀_x0001_＀＀_x0001_＀＀＀＀＀＀劀䃁䰟_x0018_华幃南彆䉅呉䰨䵔ⱓ㜳㘸⤴_x0018_＀＀_x0018_＀＀_x0008_＀＀_x0001_＀＀_x0001_＀＀＀＀＀＀琀䂓䰟_x001B_华幃南彆呐彘义⡃呌卍㌬㔸㌰착_x0018_＀＀_x0018_＀＀_x0008_＀＀_x0001_＀＀_x0001_＀＀＀＀＀＀䂔䰟_x001B_华幃南彆偅当䥄⡌呌卍㌬㤹㐶착_x0018_＀＀_x0018_＀＀_x0008_＀＀_x0001_＀＀_x0001_＀＀棜漀䒁䀑䰟_x001C_华幃捩彡敭湡獟獬㈨㄰ⰰ〴〲⤹_x0018_＀＀_x0018_＀＀_x0008_＀＀_x0001_＀＀_x0001_＀＀晧晦䃀⦎䱚#华幃䅃偟协剔呅䱟䅉⡂㈱㈯〰ⰷⰬ唬䑓착_x0018_＀＀_x0018_＀＀_x0008_＀＀_x0001_＀＀_x0001_＀＀＀＀＀＀堀삅䰟_x0012_华幃彐剐䍉⡅㠳㠶⤶_x0018_＀＀_x0018_＀＀_x0008_＀＀_x0001_＀＀_x0001_＀＀蔟凫Ẹ䁆䰟_x001A_华幃南彆䕄呂䱟⡔呑ⱒ㜳㌸⤳_x0018_＀＀_x0018_＀＀_x0008_＀＀_x0001_＀＀_x0001_＀＀＀＀＀＀쀀䂺䰟_x001E_华幃南彆䉅呉䅄䵟乇䰨䵔ⱓ㜳㤵⤰_x0018_＀＀_x0018_＀＀_x0008_＀＀_x0001_＀＀_x0001_＀＀緍爰夾䀼䰟_x0019_华幃南彆䅓䕌⡓呌卍㌬㤹㌰착_x0018_＀＀_x0018_＀＀_x0008_＀＀_x0001_＀＀_x0001_＀＀＀＀＀＀밀䃃䰟_x0018_华幃南彆䉅呉䰨䵔ⱓ㤳㤲⤴_x0018_＀＀_x0018_＀＀_x0008_＀＀_x0001_＀＀_x0001_＀＀＀＀＀＀ꨀ䂤䰟_x001E_华幃捩彡敭湡䕟䥂䑔㈨〰ⰴ㠳㤲⤱_x0018_＀＀_x0018_＀＀_x0008_＀＀_x0001_＀＀_x0001_＀＀ꏗ㵰稊䂠䰟_x001C_华幃捩彡敭湡獟獬㈨〰ⰵ㠳ㄷ⤷_x0018_＀＀_x0018_＀＀_x0008_＀＀_x0001_＀＀_x0001_＀＀ᑻ䞮荡䃀䰟_x001C_华幃捩彡敭湡偟䥔㈨〰ⰷ㤳㤲⤴_x0018_＀＀_x0018_＀＀_x0008_＀＀_x0001_＀＀_x0001_＀＀䞮竡ጔ䂢⦎䱚L华幃䅃偟协剔呅䥟呎䍟协⡔㈱㈯〰ⰶⰬ唬䑓䀩南䡟呌䍈剁彅义彔佃呓ㄨ⼲〲㘰ⰬⰬ单⥄_x0018_＀＀_x0018_＀＀_x0008_＀＀_x0001_＀＀_x0001_＀＀＀＀＀＀＀＀䁅⦅䱚;华幃南偟久䥓乏䅟卓呅当充䥕ㄨ⼲〲㐰䀩䅃偟久当䍐彔充ㄨ⼲〲㐰착_x0018_＀＀_x0018_＀＀_x0008_＀＀_x0001_＀＀_x0001_＀＀＀＀＀＀＀＀䁓䰟_x0012_华幃彐剐䍉⡅㤳㈷⤱_x0018_＀＀_x0018_＀＀_x0008_＀＀_x0001_＀＀_x0001_＀＀ਾꏗ走䁐䰟_x001A_华幃南彆䕄呂䱟⡔呑ⱒ㤳㘲⤳_x0018_＀＀_x0018_＀＀_x0008_＀＀_x0001_＀＀_x0001_＀＀＀＀＀＀退䂶䰟_x001A_华幃南彆䕄呂卟⡔呑ⱒ〴㜱⤸_x0018_＀＀_x0018_＀＀_x0008_＀＀_x0001_＀＀_x0001_＀＀＀＀＀＀ꀀ䁽䰟_x0019_华幃南彆䅓䕌⡓呌卍㐬㄰㜴착_x0018_＀＀_x0018_＀＀_x0008_＀＀_x0001_＀＀_x0001_＀＀＀＀＀＀嚀䃀䰟_x001E_华幃捩彡敭湡䕟䥂䑔㈨〰ⰸ㤳㠳⤶_x0018_＀＀_x0018_＀＀_x0008_＀＀_x0001_＀＀_x0001_＀＀Ẹ胑䂬⦆䱚G华幃䅃偟久当䕎彔佃呓ㄨ⼲〲㔰ⰬⰬ单⥄址当䕐华佉彎偎彐塅⡐㈱㈯〰ⰵⰬ唬䑓착_x0018_＀＀_x0018_＀＀_x0008_＀＀_x0001_＀＀_x0001_＀＀＀＀＀＀＀＀쀷䰟_x001C_华幃捩彡敭湡獟獬㈨〰ⰷ㤳㌲⤳_x0018_＀＀_x0018_＀＀_x0008_＀＀_x0001_＀＀_x0001_＀＀䞮竡䃂⦔䱚_x000E_华幃南䍟彏䅎䕍-＀＀_x0018_＀＀_x001D_＀＀_x0001_＀＀_x0008_＀＀低䙒䱏⁋体呕䕈乒䌠剏佐䅒䥔乏찀䰟_x001B_华幃南彆偅当䥄⡌呌卍㌬ㄸ㜰착_x0018_＀＀_x0018_＀＀_x0008_＀＀_x0001_＀＀_x0001_＀＀肝숦Ꞇ㿳⦆䱚$华幃䅃偟久当䕂彎䅐䑉ㄨ⼲〲㐰ⰬⰬ单⥄_x0018_＀＀_x0018_＀＀_x0008_＀＀_x0001_＀＀_x0001_＀＀＀＀＀＀䀀䁝䰟_x001C_华幃捩彡敭湡獟獬㈨〰ⰹ㤳㤵⤹_x0018_＀＀_x0018_＀＀_x0008_＀＀_x0001_＀＀_x0001_＀＀㵱휊碣䃅䰟_x001D_华幃捩彡敭湡䕟䥂⡔〲㘰㌬㔸㐶착_x0018_＀＀_x0018_＀＀_x0008_＀＀_x0001_＀＀_x0001_＀＀⣶轜䂠䰟_x001C_华幃捩彡敭湡䕟卐㈨〰ⰶ㠳㘹⤰_x0018_＀＀_x0018_＀＀_x0008_＀＀_x0001_＀＀_x0001_＀＀쳍쳌쳌䀊䰟_x001A_华幃南彆䅃䡓卟⡔呑ⱒ㠳㔶⤶_x0018_＀＀_x0018_＀＀_x0008_＀＀_x0001_＀＀_x0001_＀＀＀＀＀＀栀䂐䰟_x001C_华幃捩彡敭湡獟獬㈨〰ⰹ㤳㐸⤴_x0018_＀＀_x0018_＀＀_x0008_＀＀_x0001_＀＀_x0001_＀＀馚香䃃䰟_x001C_华幃捩彡敭湡偟䥔㈨〰ⰶ㠳㤸⤸_x0018_＀＀_x0018_＀＀_x0008_＀＀_x0001_＀＀_x0001_＀＀ᑺ_xDBAE_䂠⦆䱚)华幃䅃偟久当䵅彐佃呎䥒彂⡅㈱㈯㄰ⰰⰬ唬䑓착_x0018_＀＀_x0018_＀＀_x0008_＀＀_x0001_＀＀_x0001_＀＀＀＀＀＀＀＀䀦䰟_x0019_华幃南彆十䕓協儨剔㌬㐷㜳착_x0018_＀＀_x0018_＀＀_x0008_＀＀_x0001_＀＀_x0001_＀＀＀＀＀＀ᄀ䃓䰟_x001B_华幃南彆偅当䥄⡌呌卍㌬㤸㤲착_x0018_＀＀_x0018_＀＀_x0008_＀＀_x0001_＀＀_x0001_＀＀ᵾ朸楄䀉䰟_x001B_华幃南彆䕎彔义⡃呌卍㌬㔹㤹착_x0018_＀＀_x0018_＀＀_x0008_＀＀_x0001_＀＀_x0001_＀＀＀＀＀＀䂖䰟_x001C_华幃捩彡敭湡獟獬㈨〰ⰴ㠳㈳⤱_x0018_＀＀_x0018_＀＀_x0008_＀＀_x0001_＀＀_x0001_＀＀炤਽㽗䂼䰟_x0012_华幃彐剐䍉⡅㜳㄰⤱_x0018_＀＀_x0018_＀＀_x0008_＀＀_x0001_＀＀_x0001_＀＀ਾꏗ뵰䀳䰟_x0019_华幃南彆十䕓協儨剔㌬㈷㜸착_x0018_＀＀_x0018_＀＀_x0008_＀＀_x0001_＀＀_x0001_＀＀＀＀＀＀䃒䰟_x0019_华幃南彆十䕓協儨剔㌬〸㜷착_x0018_＀＀_x0018_＀＀_x0008_＀＀_x0001_＀＀_x0001_＀＀＀＀＀＀ᰀ䃔䰟_x001B_华幃南彆䕎彔义⡃呌卍㌬㠹㐴착_x0018_＀＀_x0018_＀＀_x0008_＀＀_x0001_＀＀_x0001_＀＀＀＀＀＀퀀䂚䰟_x001C_华幃捩彡敭湡獟獬㈨〰ⰶ㠳㌸⤷_x0018_＀＀_x0018_＀＀_x0008_＀＀_x0001_＀＀_x0001_＀＀馚香娙䃂䰟_x001C_华幃捩彡敭湡獟獬㈨〰ⰸ㤳ㄴ⤶_x0018_＀＀_x0018_＀＀_x0008_＀＀_x0001_＀＀_x0001_＀＀尨Ⴏ䃃䰟_x001C_华幃捩彡敭湡䕟卐㈨〰ⰴ㠳㄰⤷_x0018_＀＀_x0018_＀＀_x0008_＀＀_x0001_＀＀_x0001_＀＀炤਽ꏗ㿸䰟_x001E_华幃南彆䉅呉䅄䵟乇䰨䵔ⱓ㜳㤱⤵_x0018_＀＀_x0018_＀＀_x0008_＀＀_x0001_＀＀_x0001_＀＀㞦䀷䰟_x001C_华幃捩彡敭湡䕟卐㈨〰ⰷ㠳㤸⤸_x0018_＀＀_x0018_＀＀_x0008_＀＀_x0001_＀＀_x0001_＀＀䞮竡긔䀏䰟_x001C_华幃捩彡敭湡䕟卐㈨〰ⰹ㤳㈷⤱_x0018_＀＀_x0018_＀＀_x0008_＀＀_x0001_＀＀_x0001_＀＀쳍쳌쳌䀓⦎䱚E华幃䅃偟协剔呅䉟久佟⡂㈱㈯〰ⰷⰬ唬䑓䀩南䡟呌䍈剁彅䉐⡏㈱㈯〰ⰷⰬ唬䑓착_x0018_＀＀_x0018_＀＀_x0008_＀＀_x0001_＀＀_x0001_＀＀＀＀＀＀_xD800_䂊貜䲣_x0016_华幃彐剐䍉Ņ㤠㌯⼰〲〱_x0018_＀＀_x0018_＀＀_x0008_＀＀_x0001_＀＀_x0001_＀＀犰酨೭䁎䰟_x0011_华幃浣獟獨㌨㔸㐶착_x0018_＀＀_x0018_＀＀_x0008_＀＀_x0001_＀＀_x0001_＀＀樖䢎䁹䰟_x001C_华幃南彆䡓䑌卒䕟⡑呑ⱒ〴〲⤹_x0018_＀＀_x0018_＀＀_x0008_＀＀_x0001_＀＀_x0001_＀＀＀＀＀＀㢀䃄䰟_x001E_华幃南彆䉅呉䅄䵟乇䰨䵔ⱓ㠳㌲⤰_x0018_＀＀_x0018_＀＀_x0008_＀＀_x0001_＀＀_x0001_＀＀跹蜬죟䀺䰟_x001E_华幃捩彡敭湡䕟䥂䑔㈨〰ⰶ㠳〸⤷_x0018_＀＀_x0018_＀＀_x0008_＀＀_x0001_＀＀_x0001_＀＀ᑺ㊮䂩䰟_x001D_华幃捩彡敭湡䕟䥂⡔〲㜰㌬㌹㘸착_x0018_＀＀_x0018_＀＀_x0008_＀＀_x0001_＀＀_x0001_＀＀슏⣵䡜䂤䰟_x0012_华幃彐剐䍉⡅㜳㌸⤳_x0018_＀＀_x0018_＀＀_x0008_＀＀_x0001_＀＀_x0001_＀＀ᑻ䞮㫡䀳䰟_x001A_华幃南彆䕄呂卟⡔呑ⱒ㠳㠶⤶_x0018_＀＀_x0018_＀＀_x0008_＀＀_x0001_＀＀_x0001_＀＀＀＀＀＀退䁳䰟_x001A_华幃南彆䕄呂䱟⡔呑ⱒ㤳ㄱ⤳_x0018_＀＀_x0018_＀＀_x0008_＀＀_x0001_＀＀_x0001_＀＀＀＀＀＀_xDD00_䂷⦎䱚)华幃南䡟呌䍈剁彅䥄䍓剟呁⡅㈱㈯〰ⰵⰬ唬䑓착_x0018_＀＀_x0018_＀＀_x0008_＀＀_x0001_＀＀_x0001_＀＀＀＀＀＀＀＀䀖⦎䱚,华幃䅃偟协剔呅䕟偍䍟乏剔䉉䍟ㄨ⼲〲㘰ⰬⰬ单⥄_x0018_＀＀_x0018_＀＀_x0008_＀＀_x0001_＀＀_x0001_＀＀＀＀＀＀＀＀䁆䰟_x0012_华幃彐剐䍉⡅㤳㘲⤳_x0018_＀＀_x0018_＀＀_x0008_＀＀_x0001_＀＀_x0001_＀＀尩슏䣵䁊䰟_x001A_华幃南彆䕄呂卟⡔呑ⱒ㤳㈷⤱_x0018_＀＀_x0018_＀＀_x0008_＀＀_x0001_＀＀_x0001_＀＀＀＀＀＀耀䁾䰟_x001C_华幃南彆䡓䑌卒䕟⡑呑ⱒ㤳㔷⤲_x0018_＀＀_x0018_＀＀_x0008_＀＀_x0001_＀＀_x0001_＀＀＀＀＀＀鼀䃃䰟_x0018_华幃南彆䉅呉䰨䵔ⱓ㠳㤲⤱_x0018_＀＀_x0018_＀＀_x0008_＀＀_x0001_＀＀_x0001_＀＀＀＀＀＀က䂗⦆䱚I华幃䅃偟久当剓彖佃呓ㄨ⼲〲㘰ⰬⰬ单⥄址当䕐华佉彎䕓噒䍟协⡔㈱㈯〰ⰶⰬ唬䑓착_x0018_＀＀_x0018_＀＀_x0008_＀＀_x0001_＀＀_x0001_＀＀＀＀＀＀＀＀䀻䰟_x001A_华幃南彆䕄呂䱟⡔呑ⱒ㠳㘲⤰_x0018_＀＀_x0018_＀＀_x0008_＀＀_x0001_＀＀_x0001_＀＀＀＀＀＀欀䂻䰟_x0019_华幃南彆十䕓協儨剔㐬㄰㠷착_x0018_＀＀_x0018_＀＀_x0008_＀＀_x0001_＀＀_x0001_＀＀＀＀＀＀멀䃚䰟_x001B_华幃南彆呐彘义⡃呌卍㐬㈰㤰착_x0018_＀＀_x0018_＀＀_x0008_＀＀_x0001_＀＀_x0001_＀＀＀＀＀＀㰀䂙䰟_x001C_华幃捩彡敭湡䕟卐㈨〰ⰴ㜳㠹⤶_x0018_＀＀_x0018_＀＀_x0008_＀＀_x0001_＀＀_x0001_＀＀롒蔞凫㿸⦆䱚(华幃䅃偟久当䅐呒䍟乏剔䉉ㄨ⼲〲㠰ⰬⰬ单⥄_x0018_＀＀_x0018_＀＀_x0008_＀＀_x0001_＀＀_x0001_＀＀＀＀＀＀＀＀＀＀䰟_x001E_华幃南彆䉅呉䅄䵟乇䰨䵔ⱓ〴㠰⤶_x0018_＀＀_x0018_＀＀_x0008_＀＀_x0001_＀＀_x0001_＀＀⛝䁂䰟_x001B_华幃南彆䕎彔义⡃呌卍㌬ㄷ㐳착_x0018_＀＀_x0018_＀＀_x0008_＀＀_x0001_＀＀_x0001_＀＀＀＀＀＀＀＀䁱䰟_x001C_华幃捩彡敭湡䕟卐㈨〰ⰱ㜳㐰⤲_x0018_＀＀_x0018_＀＀_x0008_＀＀_x0001_＀＀_x0001_＀＀Ẹ롑㿮䰟_x001B_华幃南彆呐彘义⡃呌卍㌬㜹㈵착_x0018_＀＀_x0018_＀＀_x0008_＀＀_x0001_＀＀_x0001_＀＀＀＀＀＀砀䂤䰟_x001C_华幃捩彡敭湡獟獬㈨〰ⰵ㠳㤲⤱_x0018_＀＀_x0018_＀＀_x0008_＀＀_x0001_＀＀_x0001_＀＀슐⣵ɜ䂽䰟_x001C_华幃捩彡敭湡偟䥔㈨〰ⰶ㠳㐷⤸_x0018_＀＀_x0018_＀＀_x0008_＀＀_x0001_＀＀_x0001_＀＀㵱휊랣䂝䰟_x001C_华幃捩彡敭湡偟䥔㈨〰ⰹ〴㠰⤶_x0018_＀＀_x0018_＀＀_x0008_＀＀_x0001_＀＀_x0001_＀＀슐⣵Ŝ䂚䰟_x001A_华幃南彆䕄呂䱟⡔呑ⱒ㤳㜸⤲_x0018_＀＀_x0018_＀＀_x0008_＀＀_x0001_＀＀_x0001_＀＀＀＀＀＀✀䂸䰟_x001E_华幃捩彡敭湡䕟䥂䑔㈨〰ⰵ㠳ㄴ⤱_x0018_＀＀_x0018_＀＀_x0008_＀＀_x0001_＀＀_x0001_＀＀轜Ԩ䂥⦆䱚C华幃䅃偟久当剐䩏佟䱂ㄨ⼲〲㘰ⰬⰬ单⥄址当䕐华佉彎䉐⡏㈱㈯〰ⰶⰬ唬䑓착_x0018_＀＀_x0018_＀＀_x0008_＀＀_x0001_＀＀_x0001_＀＀＀＀＀＀저䂙⦆䱚'华幃䅃偟久当商䑎卟䅔啔⡓㈱㈯〰ⰸⰬ唬䑓착_x0018_＀＀_x0018_＀＀_x0008_＀＀_x0001_＀＀_x0001_＀＀＀＀＀＀က쁵䰟_x0011_华幃浣獟獨㌨㔷㤲착_x0018_＀＀_x0018_＀＀_x0008_＀＀_x0001_＀＀_x0001_＀＀࠱Წ䩚䁸䰟_x001A_华幃南彆䅃䡓卟⡔呑ⱒ㤳㌲⤳_x0018_＀＀_x0018_＀＀_x0008_＀＀_x0001_＀＀_x0001_＀＀＀＀＀＀怀䂊䰟_x001C_华幃捩彡敭湡獟獬㈨〰ⰹ〴㈰⤵_x0018_＀＀_x0018_＀＀_x0008_＀＀_x0001_＀＀_x0001_＀＀尩슏铵䃀䰟_x001A_华幃南彆䅃䡓卟⡔呑ⱒ㘳㔹⤰_x0018_＀＀_x0018_＀＀_x0008_＀＀_x0001_＀＀_x0001_＀＀＀＀＀＀＀＀䀀䰟_x001A_华幃南彆䕄呂卟⡔呑ⱒ㜳㄰⤱_x0018_＀＀_x0018_＀＀_x0008_＀＀_x0001_＀＀_x0001_＀＀＀＀＀＀䀀䁻䰟_x001C_华幃南彆䡓䑌卒䕟⡑呑ⱒ㜳㐰⤲_x0018_＀＀_x0018_＀＀_x0008_＀＀_x0001_＀＀_x0001_＀＀＀＀＀＀切䂶䰟_x001B_华幃南彆䕎彔义⡃呌卍㌬㌹㘸착_x0018_＀＀_x0018_＀＀_x0008_＀＀_x0001_＀＀_x0001_＀＀＀＀＀＀ꠀ䂖䰟_x001C_华幃捩彡敭湡䕟卐㈨〰ⰷ㠳㐷⤸_x0018_＀＀_x0018_＀＀_x0008_＀＀_x0001_＀＀_x0001_＀＀롒蔞凫䀌⦎䱚*华幃南䡟呌䍈剁彅塅彐呌剟䅏ㄨ⼲〲㐰ⰬⰬ单⥄_x0018_＀＀_x0018_＀＀_x0008_＀＀_x0001_＀＀_x0001_＀＀豀碵꼝쐕⦆䱚Q华幃䅃偟久当䍁啃彍佃偍䥒䍎ㄨ⼲〲㌰ⰬⰬ单⥄址当佃偍归义彃䕐华䱟䅉⡂㈱㈯〰ⰳⰬ唬䑓착_x0018_＀＀_x0018_＀＀_x0008_＀＀_x0001_＀＀_x0001_＀＀＀＀＀＀＀＀䀲⦆䱚(华幃䅃偟久当偐彄䕂彎佃呓ㄨ⼲〲㤰ⰬⰬ单⥄_x0018_＀＀_x0018_＀＀_x0008_＀＀_x0001_＀＀_x0001_＀＀豀碵꼝쐕䰟_x001A_华幃南彆䅃䡓卟⡔呑ⱒ㜳㤵⤰_x0018_＀＀_x0018_＀＀_x0008_＀＀_x0001_＀＀_x0001_＀＀＀＀＀＀耀䁠䰟_x001C_华幃南彆䡓䑌卒䕟⡑呑ⱒ㠳ㄷ⤷_x0018_＀＀_x0018_＀＀_x0008_＀＀_x0001_＀＀_x0001_＀＀＀＀＀＀⒀䃂䰟_x001C_华幃南彆䡓䑌卒䕟⡑呑ⱒ㤳〵⤷_x0018_＀＀_x0018_＀＀_x0008_＀＀_x0001_＀＀_x0001_＀＀＀＀＀＀_xFFFF_ﾀ䃂䰟_x0018_华幃南彆䉅呉䰨䵔ⱓ㜳㔲⤶_x0018_＀＀_x0018_＀＀_x0008_＀＀_x0001_＀＀_x0001_＀＀＀＀＀＀가䂑䰟_x0018_华幃南彆䉅呉䰨䵔ⱓ㠳㐰⤶_x0018_＀＀_x0018_＀＀_x0008_＀＀_x0001_＀＀_x0001_＀＀＀＀＀＀䂐䰟_x001B_华幃南彆䕎彔义⡃呌卍㐬〰㔲착_x0018_＀＀_x0018_＀＀_x0008_＀＀_x0001_＀＀_x0001_＀＀＀＀＀＀퀀䂕䰟_x001C_华幃捩彡敭湡䕟卐㈨〰ⰲ㜳㈲⤵_x0018_＀＀_x0018_＀＀_x0008_＀＀_x0001_＀＀_x0001_＀＀ਾꏗ㵰㿲䰟_x001C_华幃捩彡敭湡䕟卐㈨〰ⰳ㜳㤵⤰_x0018_＀＀_x0018_＀＀_x0008_＀＀_x0001_＀＀_x0001_＀＀㌳㌳㌳㿷䰟_x001C_华幃捩彡敭湡䕟卐㈨㄰ⰰ㤳㤹⤴_x0018_＀＀_x0018_＀＀_x0008_＀＀_x0001_＀＀_x0001_＀＀炤਽ꏗ䀌⦔䱚＀Ｏ华幃南䱟䅅䕓䍟䵏䥍彔剙⠵㈱㈯〰ⰱ㈱㈯〰ⰱⰬ唬䑓착_x0018_＀＀_x0018_＀＀_x0008_＀＀_x0001_＀＀_x0001_＀＀＀＀＀＀倀䁸⦅䱚 华幃南䕟䍘彈䅒䕔䥟䍎䍟⡆㈱㈯〰⤸_x0018_＀＀_x0018_＀＀_x0008_＀＀_x0001_＀＀_x0001_＀＀豀碵꼝쐕䰟.华幃彐剐䍉Ņ硅数瑣摥瀠祡敭瑮⁳潦敲慣瑳礠慥⁲㠲＀＀＀＀䰟_x0011_华幃浣獟獨㌨㜷ㄱ착_x0018_＀＀_x0018_＀＀_x0008_＀＀_x0001_＀＀_x0001_＀＀垨㋊峄䁸䰟_x001A_华幃南彆䕄呂䱟⡔呑ⱒ㜳㈲⤵_x0018_＀＀_x0018_＀＀_x0008_＀＀_x0001_＀＀_x0001_＀＀＀＀＀＀頀䂻䰟_x001E_华幃南彆䉅呉䅄䵟乇䰨䵔ⱓ㠳〸⤷_x0018_＀＀_x0018_＀＀_x0008_＀＀_x0001_＀＀_x0001_＀＀❧뜏✲䁂䰟_x001D_华幃捩彡敭湡䕟䥂⡔〲〱㐬〰㘸착_x0018_＀＀_x0018_＀＀_x0008_＀＀_x0001_＀＀_x0001_＀＀凬Ẹ嬅䂢䰟_x0012_华幃彐剐䍉⡅㤳ㄱ⤳_x0018_＀＀_x0018_＀＀_x0008_＀＀_x0001_＀＀_x0001_＀＀㌳㌳팳䁈䰟_x0011_华幃浣獟獨㌨ㄹㄴ착_x0018_＀＀_x0018_＀＀_x0008_＀＀_x0001_＀＀_x0001_＀＀蔟凫횸䁸䰟_x001A_华幃南彆䕄呂卟⡔呑ⱒ㜳㌸⤳_x0018_＀＀_x0018_＀＀_x0008_＀＀_x0001_＀＀_x0001_＀＀＀＀＀＀⠀䂃䰟_x001C_华幃南彆䡓䑌卒䕟⡑呑ⱒ㜳㘸⤴_x0018_＀＀_x0018_＀＀_x0008_＀＀_x0001_＀＀_x0001_＀＀＀＀＀＀餀䂺䰟_x0019_华幃南彆䅓䕌⡓呌卍㌬㠷㈰착_x0018_＀＀_x0018_＀＀_x0008_＀＀_x0001_＀＀_x0001_＀＀＀＀＀＀䂸䰟_x001E_华幃南彆䉅呉䅄䵟乇䰨䵔ⱓ㤳㐴⤷_x0018_＀＀_x0018_＀＀_x0008_＀＀_x0001_＀＀_x0001_＀＀Ύ増㶸䁂䰟_x001B_华幃南彆呐彘义⡃呌卍㌬〷㈴착_x0018_＀＀_x0018_＀＀_x0008_＀＀_x0001_＀＀_x0001_＀＀＀＀＀＀退䁺䰟_x001C_华幃捩彡敭湡偟䥔㈨〰ⰵ㠳〵⤳_x0018_＀＀_x0018_＀＀_x0008_＀＀_x0001_＀＀_x0001_＀＀롑䨞䂗⦔䱚＀Ｏ华幃南䱟䅅䕓䍟䵏䥍彔剙⠵㈱㈯〰ⰲ㈱㈯〰ⰲⰬ唬䑓착_x0018_＀＀_x0018_＀＀_x0008_＀＀_x0001_＀＀_x0001_＀＀＀＀＀＀＀＀䁋⦆䱚J华幃䅃偟久当䥄䍓剟呁⡅㈱㈯〰ⰴⰬ唬䑓䀩南偟久䥓乏䑟卉彃䅒䕔ㄨ⼲〲㐰ⰬⰬ单⥄_x0018_＀＀_x0018_＀＀_x0008_＀＀_x0001_＀＀_x0001_＀＀＀＀＀＀＀＀䀗䰟_x001A_华幃南彆䕄呂卟⡔呑ⱒ㤳㘲⤳_x0018_＀＀_x0018_＀＀_x0008_＀＀_x0001_＀＀_x0001_＀＀＀＀＀＀䀀䁸䰟_x001C_华幃南彆䡓䑌卒䕟⡑呑ⱒ㤳㤲⤴_x0018_＀＀_x0018_＀＀_x0008_＀＀_x0001_＀＀_x0001_＀＀＀＀＀＀尀䃃䰟_x0019_华幃南彆十䕓協儨剔㌬㘸㘸착_x0018_＀＀_x0018_＀＀_x0008_＀＀_x0001_＀＀_x0001_＀＀＀＀＀＀홀䃘䰟_x0019_华幃南彆䅓䕌⡓呌卍㌬㘷㈵착_x0018_＀＀_x0018_＀＀_x0008_＀＀_x0001_＀＀_x0001_＀＀＀＀＀＀縀䂸䰟_x0019_华幃南彆䅓䕌⡓呌卍㌬㐸㈴착_x0018_＀＀_x0018_＀＀_x0008_＀＀_x0001_＀＀_x0001_＀＀＀＀＀＀鰀䂽䰟_x0018_华幃南彆䉅呉䰨䵔ⱓ㠳㘸⤸_x0018_＀＀_x0018_＀＀_x0008_＀＀_x0001_＀＀_x0001_＀＀＀＀＀＀∀䂣䰟_x001B_华幃南彆呐彘义⡃呌卍㌬㜸㜱착_x0018_＀＀_x0018_＀＀_x0008_＀＀_x0001_＀＀_x0001_＀＀＀＀＀＀ꀀ䂛䰟_x001B_华幃南彆呐彘义⡃呌卍㌬㔹㜰착_x0018_＀＀_x0018_＀＀_x0008_＀＀_x0001_＀＀_x0001_＀＀＀＀＀＀倀䂡䰟_x001D_华幃捩彡敭湡䕟䥂⡔〲㔰㌬㔸㔹착_x0018_＀＀_x0018_＀＀_x0008_＀＀_x0001_＀＀_x0001_＀＀㌳㌳阳䂠䰟_x001C_华幃捩彡敭湡偟䥔㈨〰ⰷ㠳㘸⤸_x0018_＀＀_x0018_＀＀_x0008_＀＀_x0001_＀＀_x0001_＀＀ᑻ䞮菡䂣⦆䱚C华幃䅃偟久当剐䩏佟䱂ㄨ⼲〲㔰ⰬⰬ单⥄址当䕐华佉彎䉐⡏㈱㈯〰ⰵⰬ唬䑓착_x0018_＀＀_x0018_＀＀_x0008_＀＀_x0001_＀＀_x0001_＀＀＀＀＀＀ꠀ䂙⦆䱚F华幃䅃偟久当佒彁䍁⡔㈱㈯〰ⰳⰬ唬䑓䀩南偟久䥓乏䅟呃剟䅏ㄨ⼲〲㌰ⰬⰬ单⥄_x0018_＀＀_x0018_＀＀_x0008_＀＀_x0001_＀＀_x0001_＀＀＀＀＀＀怀䁶⦆䱚%华幃䅃偟久当啃归䥌䉁⡓㈱㈯〰ⰶⰬ唬䑓착_x0018_＀＀_x0018_＀＀_x0008_＀＀_x0001_＀＀_x0001_＀＀＀＀＀＀＀＀䀠䰟_x0012_华幃彐剐䍉⡅㠳㘲⤰_x0018_＀＀_x0018_＀＀_x0008_＀＀_x0001_＀＀_x0001_＀＀ਾꏗ뵰䀽䰟_x001A_华幃南彆䕄呂䱟⡔呑ⱒ㠳㌸⤷_x0018_＀＀_x0018_＀＀_x0008_＀＀_x0001_＀＀_x0001_＀＀＀＀＀＀阀䂹䰟_x0019_华幃南彆十䕓協儨剔㌬㜹ㄲ착_x0018_＀＀_x0018_＀＀_x0008_＀＀_x0001_＀＀_x0001_＀＀＀＀＀＀ᝀ䃚䰟_x0019_华幃南彆䅓䕌⡓呌卍㌬〹㈸착_x0018_＀＀_x0018_＀＀_x0008_＀＀_x0001_＀＀_x0001_＀＀＀＀＀＀往䃂䰟_x0018_华幃南彆䉅呉䰨䵔ⱓ㤳〹⤳_x0018_＀＀_x0018_＀＀_x0008_＀＀_x0001_＀＀_x0001_＀＀＀＀＀＀搀䂧⦔䱚＀Ｏ华幃南䱟䅅䕓䍟䵏䥍彔剙⠵㈱㈯〰ⰳ㈱㈯〰ⰳⰬ唬䑓착_x0018_＀＀_x0018_＀＀_x0008_＀＀_x0001_＀＀_x0001_＀＀＀＀＀＀＀＀䁈⦆䱚J华幃䅃偟久当䱐乁䅟呓ㄨ⼲〲㈰ⰬⰬ单⥄址当䕐华佉彎䅖彌十䕓協ㄨ⼲〲㈰ⰬⰬ单⥄_x0018_＀＀_x0018_＀＀_x0008_＀＀_x0001_＀＀_x0001_＀＀＀＀＀＀䂖䰟_x0018_华幃南彆䉅呉䰨䵔ⱓ〴㐱⤷_x0018_＀＀_x0018_＀＀_x0008_＀＀_x0001_＀＀_x0001_＀＀＀＀＀＀⸀䂢䰟_x001B_华幃南彆呐彘义⡃呌卍㌬㠷㐶착_x0018_＀＀_x0018_＀＀_x0008_＀＀_x0001_＀＀_x0001_＀＀＀＀＀＀_xD800_䂅䰟_x001C_华幃捩彡敭湡獟獬㈨〰ⰷ㠳〸⤷_x0018_＀＀_x0018_＀＀_x0008_＀＀_x0001_＀＀_x0001_＀＀蔟凫錸䃃䰟_x001D_华幃捩彡敭湡䕟䥂⡔〲㤰㐬㄰㠷착_x0018_＀＀_x0018_＀＀_x0008_＀＀_x0001_＀＀_x0001_＀＀＀＀＀＀㤀䂟䰟_x001B_华幃南彆呐彘义⡃呌卍㌬㈹㐹착_x0018_＀＀_x0018_＀＀_x0008_＀＀_x0001_＀＀_x0001_＀＀＀＀＀＀က䂡䰟_x001C_华幃捩彡敭湡獟獬㈨〰ⰷ㤳㐴⤷_x0018_＀＀_x0018_＀＀_x0008_＀＀_x0001_＀＀_x0001_＀＀晧晦㯦䃂⦔䱚＀Ｏ华幃南䱟䅅䕓䍟䵏䥍彔剙⠵㈱㈯〰ⰴ㈱㈯〰ⰴⰬ唬䑓착_x0018_＀＀_x0018_＀＀_x0008_＀＀_x0001_＀＀_x0001_＀＀＀＀＀＀䀀䁒⦆䱚F华幃䅃偟久当佒彁䍁⡔㈱㈯〰ⰶⰬ唬䑓䀩南偟久䥓乏䅟呃剟䅏ㄨ⼲〲㘰ⰬⰬ单⥄_x0018_＀＀_x0018_＀＀_x0008_＀＀_x0001_＀＀_x0001_＀＀＀＀＀＀耀䁫䰟_x0012_华幃彐剐䍉⡅㤳㜸⤲_x0018_＀＀_x0018_＀＀_x0008_＀＀_x0001_＀＀_x0001_＀＀ẹ롑䀿䰟_x001C_华幃捩彡敭湡䕟卐㈨〰ⰸ㤳㔷⤲_x0018_＀＀_x0018_＀＀_x0008_＀＀_x0001_＀＀_x0001_＀＀롒蔞凫䀑䰟_x001A_华幃南彆䅃䡓卟⡔呑ⱒ㜳㤱⤵_x0018_＀＀_x0018_＀＀_x0008_＀＀_x0001_＀＀_x0001_＀＀＀＀＀＀쀀䁠䰟_x001E_华幃捩彡敭湡䕟䥂䑔㈨〰ⰸ㤳㠷⤲_x0018_＀＀_x0018_＀＀_x0008_＀＀_x0001_＀＀_x0001_＀＀蔟凫謸䂮⦔䱚＀Ｏ华幃南䱟䅅䕓䍟䵏䥍彔剙⠵㈱㈯〰ⰵ㈱㈯〰ⰵⰬ唬䑓착_x0018_＀＀_x0018_＀＀_x0008_＀＀_x0001_＀＀_x0001_＀＀＀＀＀＀䀀䁕⦆䱚'华幃南偟久偟协彔䕒彔䕂⡎㈱㈯〰ⰵⰬ唬䑓착_x0018_＀＀_x0018_＀＀_x0008_＀＀_x0001_＀＀_x0001_＀＀＀＀＀＀怀䁽⦅䱚 华幃南䕟䍘彈䅒䕔䉟䱁卟⡈㈱㈯〰⤴_x0018_＀＀_x0018_＀＀_x0008_＀＀_x0001_＀＀_x0001_＀＀豀碵꼝쐕䰟_x001A_华幃南彆䅃䡓卟⡔呑ⱒ㠳㌲⤰_x0018_＀＀_x0018_＀＀_x0008_＀＀_x0001_＀＀_x0001_＀＀＀＀＀＀怀䁩䰟_x001B_华幃南彆偅当䥄⡌呌卍㌬㐷㠶착_x0018_＀＀_x0018_＀＀_x0008_＀＀_x0001_＀＀_x0001_＀＀춟쾪囕㿰䰟_x001B_华幃南彆䕎彔义⡃呌卍㌬㔸㌳착_x0018_＀＀_x0018_＀＀_x0008_＀＀_x0001_＀＀_x0001_＀＀＀＀＀＀䠀䂒䰟_x001C_华幃捩彡敭湡偟䥔㈨〰ⰶ㠳㜴⤲_x0018_＀＀_x0018_＀＀_x0008_＀＀_x0001_＀＀_x0001_＀＀炤਽ỗ䂚䰟_x001C_华幃捩彡敭湡䕟卐㈨㄰ⰰ㤳㐸⤴_x0018_＀＀_x0018_＀＀_x0008_＀＀_x0001_＀＀_x0001_＀＀⣶轜䀓⦎䱚G华幃䅃偟协剔呅䍟协⡔㈱㈯〰ⰶⰬ唬䑓䀩南䡟呌䍈剁彅偎彐塅⡐㈱㈯〰ⰶⰬ唬䑓착_x0018_＀＀_x0018_＀＀_x0008_＀＀_x0001_＀＀_x0001_＀＀＀＀＀＀耀䁑⦆䱚 华幃南䕟䍘彈䅒䕔ㄨ⼲〲㜰ⰬⰬ单⥄_x0018_＀＀_x0018_＀＀_x0008_＀＀_x0001_＀＀_x0001_＀＀＀＀＀＀＀＀㿰䰟_x0019_华幃南彆十䕓協儨剔㌬〷ㄱ착_x0018_＀＀_x0018_＀＀_x0008_＀＀_x0001_＀＀_x0001_＀＀＀＀＀＀쨀䃒䰟_x0019_华幃南彆䅓䕌⡓呌卍㌬㐷㜰착_x0018_＀＀_x0018_＀＀_x0008_＀＀_x0001_＀＀_x0001_＀＀＀＀＀＀䂷䰟_x001B_华幃南彆䕎彔义⡃呌卍㌬㌸㌸착_x0018_＀＀_x0018_＀＀_x0008_＀＀_x0001_＀＀_x0001_＀＀＀＀＀＀_xD800_䂌䰟_x001B_华幃南彆偅当䥄⡌呌卍㌬㔸㌰착_x0018_＀＀_x0018_＀＀_x0008_＀＀_x0001_＀＀_x0001_＀＀酨糭딿䀂䰟_x001C_华幃捩彡敭湡䕟卐㈨〰ⰷ㤳㈳⤵_x0018_＀＀_x0018_＀＀_x0008_＀＀_x0001_＀＀_x0001_＀＀Ẹ롑䀎⦔䱚＀Ｏ华幃南䱟䅅䕓䍟䵏䥍彔剙⠵㈱㈯〰ⰶ㈱㈯〰ⰶⰬ唬䑓착_x0018_＀＀_x0018_＀＀_x0008_＀＀_x0001_＀＀_x0001_＀＀＀＀＀＀쀀䁓⦆䱚)华幃䅃偟久当䵅彐佃呎䥒彂⡃㈱㈯〰ⰸⰬ唬䑓착_x0018_＀＀_x0018_＀＀_x0008_＀＀_x0001_＀＀_x0001_＀＀＀＀＀＀＀＀䀤䰟_x0012_华幃彐剐䍉⡅㜳㈲⤵_x0018_＀＀_x0018_＀＀_x0008_＀＀_x0001_＀＀_x0001_＀＀炤਽揗䀳䰟_x001B_华幃南彆䕎彔义⡃呌卍㌬㘷〸착_x0018_＀＀_x0018_＀＀_x0008_＀＀_x0001_＀＀_x0001_＀＀＀＀＀＀쀀䁼䰟_x001C_华幃捩彡敭湡獟獬㈨〰ⰶ㠳ㄴ⤱_x0018_＀＀_x0018_＀＀_x0008_＀＀_x0001_＀＀_x0001_＀＀ᑺ牎䃀䰟_x001D_华幃捩彡敭湡䕟䥂⡔〲㘰㌬㤸〶착_x0018_＀＀_x0018_＀＀_x0008_＀＀_x0001_＀＀_x0001_＀＀슏⣵⻜䂤䰟_x001A_华幃南彆䕄呂卟⡔呑ⱒ㤳ㄱ⤳_x0018_＀＀_x0018_＀＀_x0008_＀＀_x0001_＀＀_x0001_＀＀＀＀＀＀뀀䁾䰟_x001E_华幃南彆䉅呉䅄䵟乇䰨䵔ⱓ㠳㤱⤹_x0018_＀＀_x0018_＀＀_x0008_＀＀_x0001_＀＀_x0001_＀＀跹蜬죟䀺䰟_x001C_华幃捩彡敭湡獟獬㈨〰ⰶ㤳㔰⤱_x0018_＀＀_x0018_＀＀_x0008_＀＀_x0001_＀＀_x0001_＀＀롒蔞꣫䃂⦔䱚＀Ｏ华幃南䱟䅅䕓䍟䵏䥍彔剙⠵㈱㈯〰ⰷ㈱㈯〰ⰷⰬ唬䑓착_x0018_＀＀_x0018_＀＀_x0008_＀＀_x0001_＀＀_x0001_＀＀＀＀＀＀耀䁑⦎䱚F华幃䅃偟协剔呅剟䅏ㄨ⼲〲㘰ⰬⰬ单⥄址当䱈䡔䅃䕒䕟偘剟䅏ㄨ⼲〲㘰ⰬⰬ单⥄_x0018_＀＀_x0018_＀＀_x0008_＀＀_x0001_＀＀_x0001_＀＀＀＀＀＀＀＀쀤䰟_x0011_华幃浣獟獨㌨㔹㠶착_x0018_＀＀_x0018_＀＀_x0008_＀＀_x0001_＀＀_x0001_＀＀밂ህ簔䁷䰟_x001A_华幃南彆䅃䡓卟⡔呑ⱒ〴㠰⤶_x0018_＀＀_x0018_＀＀_x0008_＀＀_x0001_＀＀_x0001_＀＀＀＀＀＀㠀䂏䰟_x0019_华幃南彆十䕓協儨剔㌬㠷㌳착_x0018_＀＀_x0018_＀＀_x0008_＀＀_x0001_＀＀_x0001_＀＀＀＀＀＀຀䃔䰟_x001C_华幃捩彡敭湡偟䥔㈨㄰ⰰ㤳㘹⤴_x0018_＀＀_x0018_＀＀_x0008_＀＀_x0001_＀＀_x0001_＀＀㵱휊㺣䂡䰟_x001C_华幃捩彡敭湡䕟卐㈨〰ⰴ㠳㘱⤸_x0018_＀＀_x0018_＀＀_x0008_＀＀_x0001_＀＀_x0001_＀＀롒蔞凫㿼⦆䱚&lt;华幃䅃偟久当䥄䍓剟呁⡅㈱㈯〰⤹址当䕐华佉彎䥄䍓剟呁⡅㈱㈯〰⤹_x0018_＀＀_x0018_＀＀_x0008_＀＀_x0001_＀＀_x0001_＀＀晧晦晦䀗䰟_x0012_华幃彐剐䍉⡅㠳㌸⤷_x0018_＀＀_x0018_＀＀_x0008_＀＀_x0001_＀＀_x0001_＀＀＀＀＀＀＀＀䁋䰟_x0011_华幃浣獟獨㌨㠹㌱착_x0018_＀＀_x0018_＀＀_x0008_＀＀_x0001_＀＀_x0001_＀＀돑䁶䰟_x001A_华幃南彆䕄呂卟⡔呑ⱒ㠳㘲⤰_x0018_＀＀_x0018_＀＀_x0008_＀＀_x0001_＀＀_x0001_＀＀＀＀＀＀蠀䂀䰟_x001C_华幃南彆䡓䑌卒䕟⡑呑ⱒ㠳㤲⤱_x0018_＀＀_x0018_＀＀_x0008_＀＀_x0001_＀＀_x0001_＀＀＀＀＀＀ࠀ䂾䰟_x0019_华幃南彆十䕓協儨剔㌬㈹㌶착_x0018_＀＀_x0018_＀＀_x0008_＀＀_x0001_＀＀_x0001_＀＀＀＀＀＀勀䃙䰟_x001E_华幃南彆䉅呉䅄䵟乇䰨䵔ⱓ㜳㐷⤱_x0018_＀＀_x0018_＀＀_x0008_＀＀_x0001_＀＀_x0001_＀＀㻦친䀻䰟_x001E_华幃捩彡敭湡䕟䥂䑔㈨〰ⰶ㤳㈰⤱_x0018_＀＀_x0018_＀＀_x0008_＀＀_x0001_＀＀_x0001_＀＀蔟凫_xDE38_䂩䰟_x001C_华幃捩彡敭湡䕟卐㈨〰ⰸ㤳〵⤷_x0018_＀＀_x0018_＀＀_x0008_＀＀_x0001_＀＀_x0001_＀＀＀＀＀＀＀＀䀐䰟_x001C_华幃捩彡敭湡䕟卐㈨〰ⰹ㤳㜸⤲_x0018_＀＀_x0018_＀＀_x0008_＀＀_x0001_＀＀_x0001_＀＀ᑺ䞮䀐⦔䱚＀Ｏ华幃南䱟䅅䕓䍟䵏䥍彔剙⠵㈱㈯〰ⰸ㈱㈯〰ⰸⰬ唬䑓착_x0018_＀＀_x0018_＀＀_x0008_＀＀_x0001_＀＀_x0001_＀＀＀＀＀＀耀䁑䰟_x001C_华幃捩彡敭湡獟獬㈨㄰ⰰ㤳〹⤳_x0018_＀＀_x0018_＀＀_x0008_＀＀_x0001_＀＀_x0001_＀＀轜囨䃃䰟_x001D_华幃捩彡敭湡䕟䥂⡔〲㤰㌬㜹ㄲ착_x0018_＀＀_x0018_＀＀_x0008_＀＀_x0001_＀＀_x0001_＀＀Ẹ땑䂩䰟_x001C_华幃捩彡敭湡䕟卐㈨〰ⰶ㠳㈹⤹_x0018_＀＀_x0018_＀＀_x0008_＀＀_x0001_＀＀_x0001_＀＀ꏗ㵰휊䀋䰟_x0011_华幃浣獟獨㌨㤸〶착_x0018_＀＀_x0018_＀＀_x0008_＀＀_x0001_＀＀_x0001_＀＀䣩_xFFFF_Ｎ_xDD21_䁹䰟_x001C_华幃捩彡敭湡獟獬㈨㄰ⰰ〴㐱⤷_x0018_＀＀_x0018_＀＀_x0008_＀＀_x0001_＀＀_x0001_＀＀凬Ẹ﫥䃀䰟_x001C_华幃捩彡敭湡䕟卐㈨〰ⰲ㘳㠹⤱_x0018_＀＀_x0018_＀＀_x0008_＀＀_x0001_＀＀_x0001_＀＀尨슏㿵⦔䱚＀Ｏ华幃南䱟䅅䕓䍟䵏䥍彔剙⠵㈱㈯〰ⰹ㈱㈯〰ⰹⰬ唬䑓착_x0018_＀＀_x0018_＀＀_x0008_＀＀_x0001_＀＀_x0001_＀＀＀＀＀＀＀＀䁊䰟_x001A_华幃南彆䕄呂䱟⡔呑ⱒ㘳㠹⤱_x0018_＀＀_x0018_＀＀_x0008_＀＀_x0001_＀＀_x0001_＀＀＀＀＀＀漀䂽䰟_x001A_华幃南彆䕄呂卟⡔呑ⱒ㤳㜸⤲_x0018_＀＀_x0018_＀＀_x0008_＀＀_x0001_＀＀_x0001_＀＀＀＀＀＀䀀䁾䰟_x001B_华幃南彆呐彘义⡃呌卍㌬㈸ㄹ착_x0018_＀＀_x0018_＀＀_x0008_＀＀_x0001_＀＀_x0001_＀＀＀＀＀＀䂎䰟_x001B_华幃南彆䕎彔义⡃呌卍㌬ㄸ㠳착_x0018_＀＀_x0018_＀＀_x0008_＀＀_x0001_＀＀_x0001_＀＀＀＀＀＀䀀䁾䰟_x001C_华幃捩彡敭湡䕟卐㈨〰ⰱ㜳㔲⤶_x0018_＀＀_x0018_＀＀_x0008_＀＀_x0001_＀＀_x0001_＀＀㌳㌳㌳㿫䰟_x001C_华幃捩彡敭湡䕟卐㈨〰ⰸ㤳㤲⤴_x0018_＀＀_x0018_＀＀_x0008_＀＀_x0001_＀＀_x0001_＀＀尩슏⣵䀑䰟_x0019_华幃南彆䅓䕌⡓呌卍㌬㘹ㄹ착_x0018_＀＀_x0018_＀＀_x0008_＀＀_x0001_＀＀_x0001_＀＀＀＀＀＀가䃃䰟_x001E_华幃捩彡敭湡䕟䥂䑔㈨㄰ⰰ〴ㄱ⤷_x0018_＀＀_x0018_＀＀_x0008_＀＀_x0001_＀＀_x0001_＀＀蔟凫傸䂩⦆䱚G华幃䅃偟久当䕎彔佃呓ㄨ⼲〲㠰ⰬⰬ单⥄址当䕐华佉彎偎彐塅⡐㈱㈯〰ⰸⰬ唬䑓착_x0018_＀＀_x0018_＀＀_x0008_＀＀_x0001_＀＀_x0001_＀＀＀＀＀＀耀쁃䰟_x001A_华幃南彆䅃䡓卟⡔呑ⱒ㠳〸⤷_x0018_＀＀_x0018_＀＀_x0008_＀＀_x0001_＀＀_x0001_＀＀＀＀＀＀᠀䂘䰟_x001E_华幃捩彡敭湡䕟䥂䑔㈨〰ⰵ㠳㈶⤵_x0018_＀＀_x0018_＀＀_x0008_＀＀_x0001_＀＀_x0001_＀＀䞮竡䨔䂦䰟_x001E_华幃捩彡敭湡䕟䥂䑔㈨〰ⰶ㠳㤹⤰_x0018_＀＀_x0018_＀＀_x0008_＀＀_x0001_＀＀_x0001_＀＀轜䂩䰟"华幃南偟久䥓乏偟佂ㄨ⼲〲㜰ⰬⰬ单⥄_x0018_＀＀_x0018_＀＀_x0008_＀＀_x0001_＀＀_x0001_＀＀＀＀＀＀뀀䂙䰟_x0011_华幃浣獟獨㌨ㄷ㌰착_x0018_＀＀_x0018_＀＀_x0008_＀＀_x0001_＀＀_x0001_＀＀⋐Ꮫ䁸䰟_x001A_华幃南彆䅃䡓卟⡔呑ⱒ㤳㐴⤷_x0018_＀＀_x0018_＀＀_x0008_＀＀_x0001_＀＀_x0001_＀＀＀＀＀＀쀀䁩䰟_x001C_华幃捩彡敭湡偟䥔㈨〰ⰸ㤳㜴⤸_x0018_＀＀_x0018_＀＀_x0008_＀＀_x0001_＀＀_x0001_＀＀尩슏穵䂢䰟_x001C_华幃捩彡敭湡䕟卐㈨㄰ⰰ〴㈰⤵_x0018_＀＀_x0018_＀＀_x0008_＀＀_x0001_＀＀_x0001_＀＀롒蔞凫䀌⦎䱚＀Ｏ华幃南䡟呌䍈剁彅䵁剏彔䕓噒䍟协⡔㈱㈯〰ⰸⰬ唬䑓착_x0018_＀＀_x0018_＀＀_x0008_＀＀_x0001_＀＀_x0001_＀＀＀＀＀＀＀＀쀠䰟_x001A_华幃南彆䕄呂卟⡔呑ⱒ㜳㈲⤵_x0018_＀＀_x0018_＀＀_x0008_＀＀_x0001_＀＀_x0001_＀＀＀＀＀＀_xD800_䂍䰟_x001C_华幃南彆䡓䑌卒䕟⡑呑ⱒ㜳㔲⤶_x0018_＀＀_x0018_＀＀_x0008_＀＀_x0001_＀＀_x0001_＀＀＀＀＀＀쨀䂷䰟_x001C_华幃南彆䡓䑌卒䕟⡑呑ⱒ㠳㐰⤶_x0018_＀＀_x0018_＀＀_x0008_＀＀_x0001_＀＀_x0001_＀＀＀＀＀＀䀀䂻䰟_x001E_华幃捩彡敭湡䕟䥂䑔㈨〰ⰷ㤳㐱⤱_x0018_＀＀_x0018_＀＀_x0008_＀＀_x0001_＀＀_x0001_＀＀馚香ﮙ䂪䰟_x001C_华幃捩彡敭湡䕟卐㈨〰ⰵ㠳㌵⤳_x0018_＀＀_x0018_＀＀_x0008_＀＀_x0001_＀＀_x0001_＀＀긕ᑺ䀄⦎䱚M华幃䅃偟协剔呅卟噒䍟协⡔㈱㈯〰ⰵⰬ唬䑓䀩南䡟呌䍈剁彅䕓噒䍟协⡔㈱㈯〰ⰵⰬ唬䑓착_x0018_＀＀_x0018_＀＀_x0008_＀＀_x0001_＀＀_x0001_＀＀＀＀＀＀＀＀䀱䰟_x001E_华幃南彆䉅呉䅄䵟乇䰨䵔ⱓ㜳㐳⤶_x0018_＀＀_x0018_＀＀_x0008_＀＀_x0001_＀＀_x0001_＀＀풎帾鐍䀻䰟_x001C_华幃捩彡敭湡獟獬㈨〰ⰹ㤳㠷⤲_x0018_＀＀_x0018_＀＀_x0008_＀＀_x0001_＀＀_x0001_＀＀䞮竡쨔䃅䰟_x001C_华幃捩彡敭湡䕟卐㈨〰ⰵ㠳㠳⤳_x0018_＀＀_x0018_＀＀_x0008_＀＀_x0001_＀＀_x0001_＀＀긕ᑺ䀄䰟_x0011_华幃浣獟獨㌨㤷㔲착_x0018_＀＀_x0018_＀＀_x0008_＀＀_x0001_＀＀_x0001_＀＀蒶큼暳䁸䰟_x0019_华幃南彆十䕓協儨剔㌬ㄹ㌱착_x0018_＀＀_x0018_＀＀_x0008_＀＀_x0001_＀＀_x0001_＀＀＀＀＀＀欀䃙䰟_x001B_华幃南彆偅当䥄⡌呌卍㐬㈰㤰착_x0018_＀＀_x0018_＀＀_x0008_＀＀_x0001_＀＀_x0001_＀＀藰哉⣁䀆䰟_x001C_华幃捩彡敭湡偟䥔㈨〰ⰸ㤳㘶⤰_x0018_＀＀_x0018_＀＀_x0008_＀＀_x0001_＀＀_x0001_＀＀슏⣵㱜䂣䰟_x0011_华幃浣獟獨㌨㌹㔵착_x0018_＀＀_x0018_＀＀_x0008_＀＀_x0001_＀＀_x0001_＀＀炤਽㏗䁸䰟_x001A_华幃南彆䕄呂卟⡔呑ⱒ㠳㌸⤷_x0018_＀＀_x0018_＀＀_x0008_＀＀_x0001_＀＀_x0001_＀＀＀＀＀＀쀀䁵䰟_x001C_华幃南彆䡓䑌卒䕟⡑呑ⱒ㠳㘸⤸_x0018_＀＀_x0018_＀＀_x0008_＀＀_x0001_＀＀_x0001_＀＀＀＀＀＀䃂䰟_x001E_华幃南彆䉅呉䅄䵟乇䰨䵔ⱓ㤳㈰⤱_x0018_＀＀_x0018_＀＀_x0008_＀＀_x0001_＀＀_x0001_＀＀쐥쀈_xDD9E_䁂䰟_x0018_华幃南彆䉅呉䰨䵔ⱓ㜳〸⤲_x0018_＀＀_x0018_＀＀_x0008_＀＀_x0001_＀＀_x0001_＀＀＀＀＀＀琀䂓䰟_x001B_华幃南彆呐彘义⡃呌卍㌬㈷㘵착_x0018_＀＀_x0018_＀＀_x0008_＀＀_x0001_＀＀_x0001_＀＀＀＀＀＀蠀䂁䰟_x001B_华幃南彆呐彘义⡃呌卍㌬〸㘴착_x0018_＀＀_x0018_＀＀_x0008_＀＀_x0001_＀＀_x0001_＀＀＀＀＀＀倀䂂䰟_x001B_华幃南彆䕎彔义⡃呌卍㌬㜹㈸착_x0018_＀＀_x0018_＀＀_x0008_＀＀_x0001_＀＀_x0001_＀＀＀＀＀＀ﰀ䂙䰟_x001E_华幃捩彡敭湡䕟䥂䑔㈨〰ⰹ㤳㔷⤲_x0018_＀＀_x0018_＀＀_x0008_＀＀_x0001_＀＀_x0001_＀＀롑⑞䂰䰟_x001C_华幃捩彡敭湡偟䥔㈨〰ⰵ㠳ㄷ⤷_x0018_＀＀_x0018_＀＀_x0008_＀＀_x0001_＀＀_x0001_＀＀＀＀＀＀錀䂙䰟_x001C_华幃捩彡敭湡䕟卐㈨〰ⰲ㜳㜳⤶_x0018_＀＀_x0018_＀＀_x0008_＀＀_x0001_＀＀_x0001_＀＀휊炣਽㿳䰟_x001A_华幃南彆䕄呂䱟⡔呑ⱒ㜳㜳⤶_x0018_＀＀_x0018_＀＀_x0008_＀＀_x0001_＀＀_x0001_＀＀＀＀＀＀一䂼䰟_x001C_华幃南彆䡓䑌卒䕟⡑呑ⱒ㤳〹⤳_x0018_＀＀_x0018_＀＀_x0008_＀＀_x0001_＀＀_x0001_＀＀＀＀＀＀䃂䰟_x0019_华幃南彆十䕓協儨剔㌬㈸〶착_x0018_＀＀_x0018_＀＀_x0008_＀＀_x0001_＀＀_x0001_＀＀＀＀＀＀_xDB40_䃗䰟_x0019_华幃南彆䅓䕌⡓呌卍㌬㘸㘵착_x0018_＀＀_x0018_＀＀_x0008_＀＀_x0001_＀＀_x0001_＀＀＀＀＀＀඀䃀䰟_x0018_华幃南彆䉅呉䰨䵔ⱓ㜳㔶⤲_x0018_＀＀_x0018_＀＀_x0008_＀＀_x0001_＀＀_x0001_＀＀＀＀＀＀저䂓䰟_x0018_华幃南彆䉅呉䰨䵔ⱓ㠳㐴⤲_x0018_＀＀_x0018_＀＀_x0008_＀＀_x0001_＀＀_x0001_＀＀＀＀＀＀ꠀ䂜䰟_x001B_华幃南彆偅当䥄⡌呌卍㌬㜹㈵착_x0018_＀＀_x0018_＀＀_x0008_＀＀_x0001_＀＀_x0001_＀＀霤郿签䀑䰟_x001C_华幃捩彡敭湡䕟卐㈨〰ⰲ㜳㈶⤱_x0018_＀＀_x0018_＀＀_x0008_＀＀_x0001_＀＀_x0001_＀＀슏⣵轜㿲䰟_x001A_华幃南彆䕄呂䱟⡔呑ⱒ㜳㈶⤱_x0018_＀＀_x0018_＀＀_x0008_＀＀_x0001_＀＀_x0001_＀＀＀＀＀＀帀䂻䰟_x001A_华幃南彆䕄呂䱟⡔呑ⱒ㠳ㄴ⤱_x0018_＀＀_x0018_＀＀_x0008_＀＀_x0001_＀＀_x0001_＀＀＀＀＀＀케䂺䰟_x001C_华幃南彆䡓䑌卒䕟⡑呑ⱒ〴㐱⤷_x0018_＀＀_x0018_＀＀_x0008_＀＀_x0001_＀＀_x0001_＀＀＀＀＀＀꤀䃃䰟_x0018_华幃南彆䉅呉䰨䵔ⱓ㤳㠰⤲_x0018_＀＀_x0018_＀＀_x0008_＀＀_x0001_＀＀_x0001_＀＀＀＀＀＀␀䂥䰟_x001C_华幃捩彡敭湡偟䥔㈨〰ⰷ㤳㠰⤲_x0018_＀＀_x0018_＀＀_x0008_＀＀_x0001_＀＀_x0001_＀＀䞮竡႔䂤⦅䱚&lt;华幃南偟久䥓乏䅟卓呅当佂䑎⡓㈱㈯〰⤵䍀彁䕐华偟呃䙟⡉㈱㈯〰⤵_x0018_＀＀_x0018_＀＀_x0008_＀＀_x0001_＀＀_x0001_＀＀＀＀＀＀＀＀䀸䰟_x0012_华幃彐剐䍉⡅㘳㠹⤱_x0018_＀＀_x0018_＀＀_x0008_＀＀_x0001_＀＀_x0001_＀＀ਾꏗ뵰䀰䰟_x001A_华幃南彆䕄呂䱟⡔呑ⱒ㤳㔰⤱_x0018_＀＀_x0018_＀＀_x0008_＀＀_x0001_＀＀_x0001_＀＀＀＀＀＀ﴀ䂷䰟_x001B_华幃南彆呐彘义⡃呌卍㌬㠸㠶착_x0018_＀＀_x0018_＀＀_x0008_＀＀_x0001_＀＀_x0001_＀＀＀＀＀＀가䂞䰟_x001E_华幃捩彡敭湡䕟䥂䑔㈨〰ⰶ㠳㤵⤵_x0018_＀＀_x0018_＀＀_x0008_＀＀_x0001_＀＀_x0001_＀＀롑ޞ䂨䰟_x0019_华幃南彆十䕓協儨剔㌬㠹㈷착_x0018_＀＀_x0018_＀＀_x0008_＀＀_x0001_＀＀_x0001_＀＀＀＀＀＀김䃙䰟_x001B_华幃南彆呐彘义⡃呌卍㌬㤹㌰착_x0018_＀＀_x0018_＀＀_x0008_＀＀_x0001_＀＀_x0001_＀＀＀＀＀＀_xDC00_䂣䰟_x001C_华幃捩彡敭湡獟獬㈨〰ⰵ㠳㐴⤲_x0018_＀＀_x0018_＀＀_x0008_＀＀_x0001_＀＀_x0001_＀＀㵱휊⎣䂿䰟_x001C_华幃捩彡敭湡獟獬㈨〰ⰷ㤳㈰⤱_x0018_＀＀_x0018_＀＀_x0008_＀＀_x0001_＀＀_x0001_＀＀馚香䃃䰟_x001E_华幃南彆䉅呉䅄䵟乇䰨䵔ⱓ㠳㤹⤰_x0018_＀＀_x0018_＀＀_x0008_＀＀_x0001_＀＀_x0001_＀＀쐥쀈_xDD9E_䁂䰟_x001B_华幃南彆呐彘义⡃呌卍㐬㄰㜴착_x0018_＀＀_x0018_＀＀_x0008_＀＀_x0001_＀＀_x0001_＀＀＀＀＀＀Ⰰ䂝䰟_x001C_华幃捩彡敭湡䕟卐㈨〰ⰵ㠳㌱⤸_x0018_＀＀_x0018_＀＀_x0008_＀＀_x0001_＀＀_x0001_＀＀轜尨㿿⦆䱚N华幃䅃偟久当乕䕒佃⡇㈱㈯〰ⰹⰬ唬䑓䀩南偟久䥓乏啟剎䍅卟剅彖佃呓ㄨ⼲〲㤰ⰬⰬ单⥄_x0018_＀＀_x0018_＀＀_x0008_＀＀_x0001_＀＀_x0001_＀＀＀＀＀＀＀＀䀤⦆䱚(华幃南偟久䥓乏䅟卓呅当呌ㄨ⼲〲㠰ⰬⰬ单⥄_x0018_＀＀_x0018_＀＀_x0008_＀＀_x0001_＀＀_x0001_＀＀豀碵꼝쐕䰟_x001A_华幃南彆䅃䡓卟⡔呑ⱒ㠳㤱⤹_x0018_＀＀_x0018_＀＀_x0008_＀＀_x0001_＀＀_x0001_＀＀＀＀＀＀怀䁩䰟_x001B_华幃南彆䕎彔义⡃呌卍㌬〷㈷착_x0018_＀＀_x0018_＀＀_x0008_＀＀_x0001_＀＀_x0001_＀＀＀＀＀＀＀＀䁱䰟_x001C_华幃捩彡敭湡偟䥔㈨〰ⰴ㠳㈳⤱_x0018_＀＀_x0018_＀＀_x0008_＀＀_x0001_＀＀_x0001_＀＀Ẹ핑䂒⦔䱚[华幃南剟久䅔彌偏䱟䕓䕟偘ㄨ⼲〲㈰ㄬ⼲〲㈰ⰬⰬ单⥄䍀彁呒剟久彔䥍彎塅⡐㈱㈯〰ⰲ㈱㈯〰ⰲⰬ唬䑓착_x0018_＀＀_x0018_＀＀_x0008_＀＀_x0001_＀＀_x0001_＀＀＀＀＀＀耀䁡⦆䱚$华幃䅃偟久当呌䱟䅉卂ㄨ⼲〲㜰ⰬⰬ单⥄_x0018_＀＀_x0018_＀＀_x0008_＀＀_x0001_＀＀_x0001_＀＀＀＀＀＀쀀䁢䰟_x001B_华幃南彆偅当䥄⡌呌卍㌬〷㈴착_x0018_＀＀_x0018_＀＀_x0008_＀＀_x0001_＀＀_x0001_＀＀䄠揱巌㿧䰟_x001E_华幃捩彡敭湡䕟䥂䑔㈨〰ⰹ㤳〵⤷_x0018_＀＀_x0018_＀＀_x0008_＀＀_x0001_＀＀_x0001_＀＀ꏗ㵰䂭䰟_x001C_华幃捩彡敭湡偟䥔㈨〰ⰶ㠳㠶⤶_x0018_＀＀_x0018_＀＀_x0008_＀＀_x0001_＀＀_x0001_＀＀롒蔞䛫䂝⦆䱚B华幃䅃偟久当佒⡁㈱㈯〰ⰵⰬ唬䑓䀩南偟久䥓乏䕟偘剟䅏ㄨ⼲〲㔰ⰬⰬ单⥄_x0018_＀＀_x0018_＀＀_x0008_＀＀_x0001_＀＀_x0001_＀＀＀＀＀＀ꀀ쁢䰟_x001A_华幃南彆䅃䡓卟⡔呑ⱒ㜳㐷⤱_x0018_＀＀_x0018_＀＀_x0008_＀＀_x0001_＀＀_x0001_＀＀＀＀＀＀＀＀䁠䰟_x0019_华幃南彆十䕓協儨剔㌬㈷㔲착_x0018_＀＀_x0018_＀＀_x0008_＀＀_x0001_＀＀_x0001_＀＀＀＀＀＀䃒䰟_x0018_华幃南彆䉅呉䰨䵔ⱓ㜳〴⤷_x0018_＀＀_x0018_＀＀_x0008_＀＀_x0001_＀＀_x0001_＀＀＀＀＀＀䠀䂒䰟_x001B_华幃南彆偅当䥄⡌呌卍㌬㜸㜱착_x0018_＀＀_x0018_＀＀_x0008_＀＀_x0001_＀＀_x0001_＀＀ƣּ鐒䀈䰟_x001B_华幃南彆偅当䥄⡌呌卍㌬㔹㜰착_x0018_＀＀_x0018_＀＀_x0008_＀＀_x0001_＀＀_x0001_＀＀⪙锘৔䀎䰟_x001D_华幃捩彡敭湡䕟䥂⡔〲㠰㌬㜹㈵착_x0018_＀＀_x0018_＀＀_x0008_＀＀_x0001_＀＀_x0001_＀＀炤਽燗䂧䰟_x001C_华幃捩彡敭湡䕟卐㈨〰ⰳ㜳㐷⤱_x0018_＀＀_x0018_＀＀_x0008_＀＀_x0001_＀＀_x0001_＀＀㵱휊炣㿵⦎䱚-华幃䅃偟协剔呅啟归剔佟彂䵁剏⡔㈱㈯〰ⰷⰬ唬䑓착_x0018_＀＀_x0018_＀＀_x0008_＀＀_x0001_＀＀_x0001_＀＀＀＀＀＀＀＀＀＀⦆䱚%华幃䅃偟久当佃偍剟呁⡅㈱㈯〰ⰴⰬ唬䑓착_x0018_＀＀_x0018_＀＀_x0008_＀＀_x0001_＀＀_x0001_＀＀＀＀＀＀＀＀䀒䰟_x001B_华幃南彆䕎彔义⡃呌卍㌬㠷㐹착_x0018_＀＀_x0018_＀＀_x0008_＀＀_x0001_＀＀_x0001_＀＀＀＀＀＀耀䁾䰟_x001C_华幃捩彡敭湡獟獬㈨〰ⰶ㠳㈶⤵_x0018_＀＀_x0018_＀＀_x0008_＀＀_x0001_＀＀_x0001_＀＀蔟凫䆘䃁䰟_x001C_华幃捩彡敭湡獟獬㈨〰ⰷ㠳㤹⤰_x0018_＀＀_x0018_＀＀_x0008_＀＀_x0001_＀＀_x0001_＀＀尨᥏䃄⦆䱚_x001A_华幃南䕟䍘彈䅒䕔〨ⰬⰬ单⥄_x0018_＀＀_x0018_＀＀_x0008_＀＀_x0001_＀＀_x0001_＀＀＀＀＀＀＀＀㿰⦅䱚 华幃南䕟䍘彈䅒䕔䥟䍎䍟⡆㈱㈯〰⤹_x0018_＀＀_x0018_＀＀_x0008_＀＀_x0001_＀＀_x0001_＀＀豀碵꼝쐕䰟_x0011_华幃浣獟獨㌨㤶㈲착_x0018_＀＀_x0018_＀＀_x0008_＀＀_x0001_＀＀_x0001_＀＀版࿹é䁸䰟_x001B_华幃南彆偅当䥄⡌呌卍㌬㠷㐶착_x0018_＀＀_x0018_＀＀_x0008_＀＀_x0001_＀＀_x0001_＀＀抷_xD97F_礽㿳⦎䱚'华幃䅃偟协剔呅䉟久偟䥁⡄㈱㈯〰ⰳⰬ唬䑓착_x0018_＀＀_x0018_＀＀_x0008_＀＀_x0001_＀＀_x0001_＀＀＀＀＀＀＀＀䁃䰟_x0012_华幃彐剐䍉⡅㜳㜳⤶_x0018_＀＀_x0018_＀＀_x0008_＀＀_x0001_＀＀_x0001_＀＀䞮竡渔䀵䰟_x0011_华幃浣獟獨㌨㌸㈵착_x0018_＀＀_x0018_＀＀_x0008_＀＀_x0001_＀</t>
        </r>
      </text>
    </comment>
    <comment ref="A3" authorId="1">
      <text>
        <r>
          <rPr>
            <b/>
            <sz val="8"/>
            <color indexed="81"/>
            <rFont val="Tahoma"/>
            <family val="2"/>
          </rPr>
          <t>＀_x0001_＀＀⼛ⓝ܆䁹䰟_x0019_华幃南彆十䕓協儨剔㌬㠸㜳착_x0018_＀＀_x0018_＀＀_x0008_＀＀_x0001_＀＀_x0001_＀＀＀＀＀＀ꁀ䃙䰟_x001B_华幃南彆偅当䥄⡌呌卍㌬㈹㐹착_x0018_＀＀_x0018_＀＀_x0008_＀＀_x0001_＀＀_x0001_＀＀㣯䝅祲䀍䰟_x001E_华幃捩彡敭湡䕟䥂䑔㈨〰ⰷ㠳㘹⤰_x0018_＀＀_x0018_＀＀_x0008_＀＀_x0001_＀＀_x0001_＀＀ਾꏗ巰䂬䰟_x001C_华幃捩彡敭湡獟獬㈨〰ⰸ㤳㐱⤱_x0018_＀＀_x0018_＀＀_x0008_＀＀_x0001_＀＀_x0001_＀＀尨扏䃄⦆䱚Q华幃䅃偟久当䍁啃彍佃偍䥒䍎ㄨ⼲〲㠰ⰬⰬ单⥄址当佃偍归义彃䕐华䱟䅉⡂㈱㈯〰ⰸⰬ唬䑓착_x0018_＀＀_x0018_＀＀_x0008_＀＀_x0001_＀＀_x0001_＀＀＀＀＀＀삉䰟_x0012_华幃彐剐䍉⡅㜳㈶⤱_x0018_＀＀_x0018_＀＀_x0008_＀＀_x0001_＀＀_x0001_＀＀ਾꏗﵰ䀳䰟_x0012_华幃彐剐䍉⡅㠳ㄴ⤱_x0018_＀＀_x0018_＀＀_x0008_＀＀_x0001_＀＀_x0001_＀＀롒蔞䁁䰟_x001E_华幃南彆䉅呉䅄䵟乇䰨䵔ⱓ㜳㔹⤵_x0018_＀＀_x0018_＀＀_x0008_＀＀_x0001_＀＀_x0001_＀＀糄粆_xDA14_䀻䰟_x0019_华幃南彆䅓䕌⡓呌卍㌬㈹㌳착_x0018_＀＀_x0018_＀＀_x0008_＀＀_x0001_＀＀_x0001_＀＀＀＀＀＀䎀䃂䰟_x0012_华幃彐剐䍉⡅㤳㔰⤱_x0018_＀＀_x0018_＀＀_x0008_＀＀_x0001_＀＀_x0001_＀＀＀＀＀＀ꀀ䁈䰟_x001A_华幃南彆䕄呂卟⡔呑ⱒ㘳㠹⤱_x0018_＀＀_x0018_＀＀_x0008_＀＀_x0001_＀＀_x0001_＀＀＀＀＀＀䀀䁻䰟_x0019_华幃南彆䅓䕌⡓呌卍㌬㤶〵착_x0018_＀＀_x0018_＀＀_x0008_＀＀_x0001_＀＀_x0001_＀＀＀＀＀＀䂷䰟_x001E_华幃南彆䉅呉䅄䵟乇䰨䵔ⱓ㠳㤵⤵_x0018_＀＀_x0018_＀＀_x0008_＀＀_x0001_＀＀_x0001_＀＀Ě馾䨛䁁䰟_x001C_华幃捩彡敭湡䕟卐㈨〰ⰶ㠳〵⤳_x0018_＀＀_x0018_＀＀_x0008_＀＀_x0001_＀＀_x0001_＀＀휊炣਽䀇䰟_x0011_华幃浣獟獨㌨㤹㐶착_x0018_＀＀_x0018_＀＀_x0008_＀＀_x0001_＀＀_x0001_＀＀㲟퐬䁶䰟_x001A_华幃南彆䕄呂䱟⡔呑ⱒ㤳㜴⤸_x0018_＀＀_x0018_＀＀_x0008_＀＀_x0001_＀＀_x0001_＀＀＀＀＀＀漀䂷䰟_x0019_华幃南彆䅓䕌⡓呌卍㌬㔷〹착_x0018_＀＀_x0018_＀＀_x0008_＀＀_x0001_＀＀_x0001_＀＀＀＀＀＀䬀䂸䰟_x001C_华幃捩彡敭湡偟䥔㈨〰ⰵ㠳㤲⤱_x0018_＀＀_x0018_＀＀_x0008_＀＀_x0001_＀＀_x0001_＀＀ᑻ䞮䂓⦎䱚(华幃南䡟呌䍈剁彅乕彆䕂⡎㈱㈯〰ⰳⰬ唬䑓⤩＀＀＀＀䰟_x001A_华幃南彆䕄呂䱟⡔呑ⱒ〴ㄱ⤷_x0018_＀＀_x0018_＀＀_x0008_＀＀_x0001_＀＀_x0001_＀＀＀＀＀＀ᴀ䂺䰟_x001D_华幃捩彡敭湡䕟䥂⡔〲㠰㌬㔹㜰착_x0018_＀＀_x0018_＀＀_x0008_＀＀_x0001_＀＀_x0001_＀＀휊炣枽䂥䰟_x001D_华幃捩彡敭湡䕟䥂⡔〲㤰㌬㠹㈷착_x0018_＀＀_x0018_＀＀_x0008_＀＀_x0001_＀＀_x0001_＀＀凬Ẹ謅䂦䰟_x001A_华幃南彆䅃䡓卟⡔呑ⱒ㜳㐳⤶_x0018_＀＀_x0018_＀＀_x0008_＀＀_x0001_＀＀_x0001_＀＀＀＀＀＀耀䁤䰟_x0018_华幃南彆䉅呉䰨䵔ⱓ㤳㤶⤱_x0018_＀＀_x0018_＀＀_x0008_＀＀_x0001_＀＀_x0001_＀＀＀＀＀＀⨀䂦䰟_x001D_华幃捩彡敭湡䕟䥂⡔〲㘰㌬㤸㤲착_x0018_＀＀_x0018_＀＀_x0008_＀＀_x0001_＀＀_x0001_＀＀ᑺꔮ䂣䰟_x001C_华幃捩彡敭湡䕟卐㈨〰ⰳ㜳㐳⤶_x0018_＀＀_x0018_＀＀_x0008_＀＀_x0001_＀＀_x0001_＀＀ᑻ䞮竡㿸䰟)华幃南偟久䥓乏噟䱁䅟卓呅⡓㈱㈯〰ⰸⰬ唬䑓착_x0018_＀＀_x0018_＀＀_x0008_＀＀_x0001_＀＀_x0001_＀＀＀＀＀＀퐀䂔䰟_x001A_华幃南彆䕄呂䱟⡔呑ⱒ㤳㘶⤰_x0018_＀＀_x0018_＀＀_x0008_＀＀_x0001_＀＀_x0001_＀＀＀＀＀＀猀䂷䰟_x001B_华幃南彆䕎彔义⡃呌卍㌬㐷㤹착_x0018_＀＀_x0018_＀＀_x0008_＀＀_x0001_＀＀_x0001_＀＀＀＀＀＀䁸䰟_x001C_华幃捩彡敭湡偟䥔㈨〰ⰸ㤳〲⤲_x0018_＀＀_x0018_＀＀_x0008_＀＀_x0001_＀＀_x0001_＀＀晧晦ቦ䂤⦆䱚F华幃䅃偟久当佒彁䍁⡔㈱㈯〰ⰹⰬ唬䑓䀩南偟久䥓乏䅟呃剟䅏ㄨ⼲〲㤰ⰬⰬ单⥄_x0018_＀＀_x0018_＀＀_x0008_＀＀_x0001_＀＀_x0001_＀＀＀＀＀＀　䁳⦎䱚E华幃䅃偟协剔呅䉟久佟⡂㈱㈯〰ⰸⰬ唬䑓䀩南䡟呌䍈剁彅䉐⡏㈱㈯〰ⰸⰬ唬䑓착_x0018_＀＀_x0018_＀＀_x0008_＀＀_x0001_＀＀_x0001_＀＀＀＀＀＀쀀䂌⦆䱚C华幃䅃偟久当剐䩏佟䱂ㄨ⼲〲㐰ⰬⰬ单⥄址当䕐华佉彎䉐⡏㈱㈯〰ⰴⰬ唬䑓착_x0018_＀＀_x0018_＀＀_x0008_＀＀_x0001_＀＀_x0001_＀＀＀＀＀＀頀䂘⦅䱚 华幃南䕟䍘彈䅒䕔䉟䱁卟⡈㈱㈯〰⤵_x0018_＀＀_x0018_＀＀_x0008_＀＀_x0001_＀＀_x0001_＀＀豀碵꼝쐕䰟_x0011_华幃浣獟獨㌨ㄸ㜰착_x0018_＀＀_x0018_＀＀_x0008_＀＀_x0001_＀＀_x0001_＀＀彰츇脙䁸䰟_x001A_华幃南彆䅃䡓卟⡔呑ⱒ㤳㈰⤱_x0018_＀＀_x0018_＀＀_x0008_＀＀_x0001_＀＀_x0001_＀＀＀＀＀＀᠀䂉䰟_x001D_华幃捩彡敭湡䕟䥂⡔〲㠰㌬㈹㐹착_x0018_＀＀_x0018_＀＀_x0008_＀＀_x0001_＀＀_x0001_＀＀轜넨䂦䰟_x001E_华幃捩彡敭湡䕟䥂䑔㈨〰ⰷ㤳㔳⤵_x0018_＀＀_x0018_＀＀_x0008_＀＀_x0001_＀＀_x0001_＀＀㵱휊羣䂪⦆䱚'华幃南偟久䥓乏也呅䱟䅉⡂㈱㈯〰ⰵⰬ唬䑓착_x0018_＀＀_x0018_＀＀_x0008_＀＀_x0001_＀＀_x0001_＀＀豀碵꼝쐕䰟_x0011_华幃浣獟獨㌨㤸㤲착_x0018_＀＀_x0018_＀＀_x0008_＀＀_x0001_＀＀_x0001_＀＀䣩_xFFFF_Ｎ_xDD21_䁹䰟_x001A_华幃南彆䕄呂卟⡔呑ⱒ㜳㜳⤶_x0018_＀＀_x0018_＀＀_x0008_＀＀_x0001_＀＀_x0001_＀＀＀＀＀＀ꀀ䁹䰟_x001C_华幃南彆䡓䑌卒䕟⡑呑ⱒ㜳〸⤲_x0018_＀＀_x0018_＀＀_x0008_＀＀_x0001_＀＀_x0001_＀＀＀＀＀＀餀䂺䰟_x001C_华幃捩彡敭湡䕟卐㈨〰ⰷ㤳㘲⤳_x0018_＀＀_x0018_＀＀_x0008_＀＀_x0001_＀＀_x0001_＀＀晧晦晦䀎⦔䱚%华幃南䥟呎剟呁彅夵噁⡇㈱㈯〰ⰵⰬ唬䑓착_x0018_＀＀_x0018_＀＀_x0008_＀＀_x0001_＀＀_x0001_＀＀⒉᥺䀜⦎䱚G华幃䅃偟协剔呅䍟协⡔㈱㈯〰ⰵⰬ唬䑓䀩南䡟呌䍈剁彅偎彐塅⡐㈱㈯〰ⰵⰬ唬䑓착_x0018_＀＀_x0018_＀＀_x0008_＀＀_x0001_＀＀_x0001_＀＀＀＀＀＀＀＀䁏⦎䱚'华幃䅃偟协剔呅䉟久偟䥁⡄㈱㈯〰ⰹⰬ唬䑓착_x0018_＀＀_x0018_＀＀_x0008_＀＀_x0001_＀＀_x0001_＀＀＀＀＀＀耀䁋䰟_x001A_华幃南彆䕄呂卟⡔呑ⱒ㜳㈶⤱_x0018_＀＀_x0018_＀＀_x0008_＀＀_x0001_＀＀_x0001_＀＀＀＀＀＀怀䁶䰟_x001A_华幃南彆䕄呂卟⡔呑ⱒ㠳ㄴ⤱_x0018_＀＀_x0018_＀＀_x0008_＀＀_x0001_＀＀_x0001_＀＀＀＀＀＀뀀䂄䰟_x001C_华幃南彆䡓䑌卒䕟⡑呑ⱒ㜳㔶⤲_x0018_＀＀_x0018_＀＀_x0008_＀＀_x0001_＀＀_x0001_＀＀＀＀＀＀搀䂹䰟_x001C_华幃南彆䡓䑌卒䕟⡑呑ⱒ㠳㐴⤲_x0018_＀＀_x0018_＀＀_x0008_＀＀_x0001_＀＀_x0001_＀＀＀＀＀＀ἀ䃀䰟_x0019_华幃南彆䅓䕌⡓呌卍㌬ㄷ㔹착_x0018_＀＀_x0018_＀＀_x0008_＀＀_x0001_＀＀_x0001_＀＀＀＀＀＀᐀䂸䰟_x001B_华幃南彆偅当䥄⡌呌卍㌬㈸ㄹ착_x0018_＀＀_x0018_＀＀_x0008_＀＀_x0001_＀＀_x0001_＀＀ꏗ㵰휊㿼䰟_x001C_华幃捩彡敭湡獟獬㈨〰ⰸ㤳㘵⤸_x0018_＀＀_x0018_＀＀_x0008_＀＀_x0001_＀＀_x0001_＀＀蔟凫淸䃃䰟_x001D_华幃捩彡敭湡䕟䥂⡔〲㔰㌬㔸㌳착_x0018_＀＀_x0018_＀＀_x0008_＀＀_x0001_＀＀_x0001_＀＀蔟凫ڸ䂟䰟_x001A_华幃南彆䅃䡓卟⡔呑ⱒ㠳㤹⤰_x0018_＀＀_x0018_＀＀_x0008_＀＀_x0001_＀＀_x0001_＀＀＀＀＀＀᠀䂉䰟_x001A_华幃南彆䕄呂卟⡔呑ⱒ㤳㔰⤱_x0018_＀＀_x0018_＀＀_x0008_＀＀_x0001_＀＀_x0001_＀＀＀＀＀＀䀀䁾䰟_x001C_华幃南彆䡓䑌卒䕟⡑呑ⱒ㤳㠰⤲_x0018_＀＀_x0018_＀＀_x0008_＀＀_x0001_＀＀_x0001_＀＀＀＀＀＀잀䃂䰟_x0019_华幃南彆䅓䕌⡓呌卍㌬㈸〳착_x0018_＀＀_x0018_＀＀_x0008_＀＀_x0001_＀＀_x0001_＀＀＀＀＀＀簀䂺䰟_x0018_华幃南彆䉅呉䰨䵔ⱓ㠳㔶⤶_x0018_＀＀_x0018_＀＀_x0008_＀＀_x0001_＀＀_x0001_＀＀＀＀＀＀䂟䰟_x001C_华幃捩彡敭湡獟獬㈨〰ⰸ㤳ㄸ⤳_x0018_＀＀_x0018_＀＀_x0008_＀＀_x0001_＀＀_x0001_＀＀슏⣵⹼䃅䰟_x001D_华幃捩彡敭湡䕟䥂⡔〲㔰㌬㌸㌸착_x0018_＀＀_x0018_＀＀_x0008_＀＀_x0001_＀＀_x0001_＀＀⣶轜㧂䂞䰟_x001D_华幃捩彡敭湡䕟䥂⡔〲㜰㌬㠸㠹착_x0018_＀＀_x0018_＀＀_x0008_＀＀_x0001_＀＀_x0001_＀＀馚香谙䂥⦎䱚P华幃䅃偟协剔呅偟䅌彎十彔久⡄㈱㈯〰ⰶⰬ唬䑓䀩南䡟呌䍈剁彅噆䅟卓呅ㄨ⼲〲㘰ⰬⰬ单⥄_x0018_＀＀_x0018_＀＀_x0008_＀＀_x0001_＀＀_x0001_＀＀＀＀＀＀쀀䁝⦆䱚C华幃䅃偟久当剐䩏佟䱂ㄨ⼲〲㌰ⰬⰬ单⥄址当䕐华佉彎䉐⡏㈱㈯〰ⰳⰬ唬䑓착_x0018_＀＀_x0018_＀＀_x0008_＀＀_x0001_＀＀_x0001_＀＀＀＀＀＀䀀䂗䰟_x0012_华幃彐剐䍉⡅㤳㜴⤸_x0018_＀＀_x0018_＀＀_x0008_＀＀_x0001_＀＀_x0001_＀＀롒蔞㇫䁋䰟_x0011_华幃浣獟獨㐨㈰㤰착_x0018_＀＀_x0018_＀＀_x0008_＀＀_x0001_＀＀_x0001_＀＀Ẹၑ䁷䰟_x001A_华幃南彆䕄呂䱟⡔呑ⱒ㠳㈶⤵_x0018_＀＀_x0018_＀＀_x0008_＀＀_x0001_＀＀_x0001_＀＀＀＀＀＀䂹䰟_x0019_华幃南彆十䕓協儨剔㌬㤶ㄸ착_x0018_＀＀_x0018_＀＀_x0008_＀＀_x0001_＀＀_x0001_＀＀＀＀＀＀쨀䃒䰟_x001E_华幃南彆䉅呉䅄䵟乇䰨䵔ⱓ㤳㜱⤲_x0018_＀＀_x0018_＀＀_x0008_＀＀_x0001_＀＀_x0001_＀＀̂㩞䁂䰟_x001B_华幃南彆呐彘义⡃呌卍㌬㠷㈰착_x0018_＀＀_x0018_＀＀_x0008_＀＀_x0001_＀＀_x0001_＀＀＀＀＀＀_xD800_䂅䰟_x001E_华幃捩彡敭湡䕟䥂䑔㈨〰ⰸ㤳㌵⤸_x0018_＀＀_x0018_＀＀_x0008_＀＀_x0001_＀＀_x0001_＀＀㌳㌳뒳䂫䰟_x001C_华幃捩彡敭湡䕟卐㈨〰ⰴ㜳ㄷ⤱_x0018_＀＀_x0018_＀＀_x0008_＀＀_x0001_＀＀_x0001_＀＀尨슏㿹⦎䱚F华幃䅃偟协剔呅剟䅏ㄨ⼲〲㔰ⰬⰬ单⥄址当䱈䡔䅃䕒䕟偘剟䅏ㄨ⼲〲㔰ⰬⰬ单⥄_x0018_＀＀_x0018_＀＀_x0008_＀＀_x0001_＀＀_x0001_＀＀＀＀＀＀＀＀쀢⦅䱚;华幃南偟久䥓乏䅟卓呅当呏⡈㈱㈯〰⤶䍀彁䕐华偟呃佟䡔ㄨ⼲〲㘰착_x0018_＀＀_x0018_＀＀_x0008_＀＀_x0001_＀＀_x0001_＀＀＀＀＀＀＀＀＀＀䰟_x0012_华幃彐剐䍉⡅〴ㄱ⤷_x0018_＀＀_x0018_＀＀_x0008_＀＀_x0001_＀＀_x0001_＀＀슏⣵作䁇䰟_x001B_华幃南彆呐彘义⡃呌卍㌬㘷㈵착_x0018_＀＀_x0018_＀＀_x0008_＀＀_x0001_＀＀_x0001_＀＀＀＀＀＀က䂆䰟_x001B_华幃南彆呐彘义⡃呌卍㌬㐸㈴착_x0018_＀＀_x0018_＀＀_x0008_＀＀_x0001_＀＀_x0001_＀＀＀＀＀＀䂔⦔䱚[华幃南剟久䅔彌偏䱟䕓䕟偘ㄨ⼲〲㤰ㄬ⼲〲㤰ⰬⰬ单⥄䍀彁呒剟久彔䥍彎塅⡐㈱㈯〰ⰹ㈱㈯〰ⰹⰬ唬䑓착_x0018_＀＀_x0018_＀＀_x0008_＀＀_x0001_＀＀_x0001_＀＀＀＀＀＀怀䁤䰟_x001A_华幃南彆䕄呂䱟⡔呑ⱒ㜳㜷⤲_x0018_＀＀_x0018_＀＀_x0008_＀＀_x0001_＀＀_x0001_＀＀＀＀＀＀_xD900_䂺䰟_x001B_华幃南彆呐彘义⡃呌卍㌬〹㈸착_x0018_＀＀_x0018_＀＀_x0008_＀＀_x0001_＀＀_x0001_＀＀＀＀＀＀氀䂡䰟_x001C_华幃捩彡敭湡獟獬㈨〰ⰵ㠳㔶⤶_x0018_＀＀_x0018_＀＀_x0008_＀＀_x0001_＀＀_x0001_＀＀ᑺ䇎䃀⦎䱚M华幃䅃偟协剔呅卟噒䍟协⡔㈱㈯〰ⰸⰬ唬䑓䀩南䡟呌䍈剁彅䕓噒䍟协⡔㈱㈯〰ⰸⰬ唬䑓착_x0018_＀＀_x0018_＀＀_x0008_＀＀_x0001_＀＀_x0001_＀＀＀＀＀＀＀＀䀰䰟_x0012_华幃彐剐䍉⡅㤳㘶⤰_x0018_＀＀_x0018_＀＀_x0008_＀＀_x0001_＀＀_x0001_＀＀ᑻ䞮﫡䁑䰟_x001E_华幃南彆䉅呉䅄䵟乇䰨䵔ⱓ㤳㤹⤴_x0018_＀＀_x0018_＀＀_x0008_＀＀_x0001_＀＀_x0001_＀＀鋼꤈䁂䰟_x0019_华幃南彆䅓䕌⡓呌卍㐬〰㘸착_x0018_＀＀_x0018_＀＀_x0008_＀＀_x0001_＀＀_x0001_＀＀＀＀＀＀嚀䃀䰟_x001C_华幃捩彡敭湡獟獬㈨〰ⰷ㤳㜱⤲_x0018_＀＀_x0018_＀＀_x0008_＀＀_x0001_＀＀_x0001_＀＀竡긔㒧䃃䰟_x001C_华幃捩彡敭湡偟䥔㈨〰ⰸ㤳㈶⤹_x0018_＀＀_x0018_＀＀_x0008_＀＀_x0001_＀＀_x0001_＀＀긕䁺䂣䰟_x001C_华幃捩彡敭湡偟䥔㈨〰ⰹ㤳㤹⤴_x0018_＀＀_x0018_＀＀_x0008_＀＀_x0001_＀＀_x0001_＀＀凬Ẹ喅䂛⦎䱚#华幃䅃偟协剔呅䱟䅉⡂㈱㈯〰ⰸⰬ唬䑓착_x0018_＀＀_x0018_＀＀_x0008_＀＀_x0001_＀＀_x0001_＀＀＀＀＀＀瀀삈䰟_x001C_华幃南彆䡓䑌卒䕟⡑呑ⱒ㜳〴⤷_x0018_＀＀_x0018_＀＀_x0008_＀＀_x0001_＀＀_x0001_＀＀＀＀＀＀䌀䂸䰟_x001B_华幃南彆偅当䥄⡌呌卍㌬㈷㘵착_x0018_＀＀_x0018_＀＀_x0008_＀＀_x0001_＀＀_x0001_＀＀긔ᑺ㿮䰟_x001B_华幃南彆偅当䥄⡌呌卍㌬〸㘴착_x0018_＀＀_x0018_＀＀_x0008_＀＀_x0001_＀＀_x0001_＀＀눭욧㿰䰟_x001B_华幃南彆䕎彔义⡃呌卍㌬㌸ㄲ착_x0018_＀＀_x0018_＀＀_x0008_＀＀_x0001_＀＀_x0001_＀＀＀＀＀＀㠀䂆⦆䱚&amp;华幃䅃偟久当十彔义䅔䝎ㄨ⼲〲㜰ⰬⰬ单⥄_x0018_＀＀_x0018_＀＀_x0008_＀＀_x0001_＀＀_x0001_＀＀豀碵꼝쐕䰟_x001A_华幃南彆䅃䡓卟⡔呑ⱒ㜳㔹⤵_x0018_＀＀_x0018_＀＀_x0008_＀＀_x0001_＀＀_x0001_＀＀＀＀＀＀ 䁤䰟_x001C_华幃捩彡敭湡獟獬㈨〰ⰹ㤳㌹⤳_x0018_＀＀_x0018_＀＀_x0008_＀＀_x0001_＀＀_x0001_＀＀Ẹ홱䃁䰟_x001C_华幃捩彡敭湡䕟卐㈨〰ⰳ㜳㔹⤵_x0018_＀＀_x0018_＀＀_x0008_＀＀_x0001_＀＀_x0001_＀＀炤਽ꏗ㿴䰟_x001C_华幃捩彡敭湡䕟卐㈨〰ⰷ㤳ㄱ⤳_x0018_＀＀_x0018_＀＀_x0008_＀＀_x0001_＀＀_x0001_＀＀＀＀＀＀＀＀䀐⦆䱚(华幃䅃偟久当䅐呒䍟乏剔䉉ㄨ⼲〲㌰ⰬⰬ单⥄_x0018_＀＀_x0018_＀＀_x0008_＀＀_x0001_＀＀_x0001_＀＀＀＀＀＀＀＀＀＀䰟_x001A_华幃南彆䅃䡓卟⡔呑ⱒ㠳㤵⤵_x0018_＀＀_x0018_＀＀_x0008_＀＀_x0001_＀＀_x0001_＀＀＀＀＀＀㠀䂃䰟_x001B_华幃南彆䕎彔义⡃呌卍㌬㠸㠹착_x0018_＀＀_x0018_＀＀_x0008_＀＀_x0001_＀＀_x0001_＀＀＀＀＀＀ﰀ䂔䰟_x001C_华幃捩彡敭湡偟䥔㈨㄰ⰰ〴〲⤹_x0018_＀＀_x0018_＀＀_x0008_＀＀_x0001_＀＀_x0001_＀＀尩슏棵䂟䰟_x001C_华幃捩彡敭湡䕟卐㈨〰ⰹ㤳㜴⤸_x0018_＀＀_x0018_＀＀_x0008_＀＀_x0001_＀＀_x0001_＀＀ꏗ㵰휊䀑䰟_x0019_华幃南彆十䕓協儨剔㌬㌷㘷착_x0018_＀＀_x0018_＀＀_x0008_＀＀_x0001_＀＀_x0001_＀＀＀＀＀＀⹀䃓䰟_x001B_华幃南彆呐彘义⡃呌卍㌬㐷㜰착_x0018_＀＀_x0018_＀＀_x0008_＀＀_x0001_＀＀_x0001_＀＀＀＀＀＀䂂䰟_x001B_华幃南彆偅当䥄⡌呌卍㌬㠸㠶착_x0018_＀＀_x0018_＀＀_x0008_＀＀_x0001_＀＀_x0001_＀＀㲟퐬暚䀊䰟_x001B_华幃南彆䕎彔义⡃呌卍㌬㤹㌳착_x0018_＀＀_x0018_＀＀_x0008_＀＀_x0001_＀＀_x0001_＀＀＀＀＀＀ࠀ䂙䰟_x001C_华幃捩彡敭湡獟獬㈨〰ⰴ㠳㘲⤰_x0018_＀＀_x0018_＀＀_x0008_＀＀_x0001_＀＀_x0001_＀＀롑铞䂻䰟_x001E_华幃捩彡敭湡䕟䥂䑔㈨〰ⰹ㤳〹⤳_x0018_＀＀_x0018_＀＀_x0008_＀＀_x0001_＀＀_x0001_＀＀Ẹ詑䂫䰟_x001D_华幃捩彡敭湡䕟䥂⡔〲㜰㌬㜸㠴착_x0018_＀＀_x0018_＀＀_x0008_＀＀_x0001_＀＀_x0001_＀＀炤਽軗䂣䰟_x001C_华幃捩彡敭湡䕟卐㈨〰ⰹ〴ㄱ⤷_x0018_＀＀_x0018_＀＀_x0008_＀＀_x0001_＀＀_x0001_＀＀尩슏⣵䀆䰟_x0019_华幃南彆十䕓協儨剔㌬㘷ㄲ착_x0018_＀＀_x0018_＀＀_x0008_＀＀_x0001_＀＀_x0001_＀＀＀＀＀＀紀䃓䰟_x0019_华幃南彆十䕓協儨剔㌬㐸ㄱ착_x0018_＀＀_x0018_＀＀_x0008_＀＀_x0001_＀＀_x0001_＀＀＀＀＀＀⮀䃘䰟_x0019_华幃南彆䅓䕌⡓呌卍㌬㠸㜰착_x0018_＀＀_x0018_＀＀_x0008_＀＀_x0001_＀＀_x0001_＀＀＀＀＀＀劀䃁䰟_x001B_华幃南彆偅当䥄⡌呌卍㌬㤹㌰착_x0018_＀＀_x0018_＀＀_x0008_＀＀_x0001_＀＀_x0001_＀＀棜漀䒁䀑䰟_x001C_华幃捩彡敭湡獟獬㈨〰ⰶ㠳㜷⤶_x0018_＀＀_x0018_＀＀_x0008_＀＀_x0001_＀＀_x0001_＀＀⣶轜佢䃂䰟_x001C_华幃捩彡敭湡獟獬㈨〰ⰸ㤳㔳⤵_x0018_＀＀_x0018_＀＀_x0008_＀＀_x0001_＀＀_x0001_＀＀㌴㌳鰳䃃䰟_x001E_华幃捩彡敭湡䕟䥂䑔㈨〰ⰹ〴㐱⤷_x0018_＀＀_x0018_＀＀_x0008_＀＀_x0001_＀＀_x0001_＀＀ᑺ侮䂦䰟_x001D_华幃捩彡敭湡䕟䥂⡔〲〱㌬㤹㐹착_x0018_＀＀_x0018_＀＀_x0008_＀＀_x0001_＀＀_x0001_＀＀ꏗ㵰莊䂣⦎䱚+华幃䅃偟协剔呅偟剁彔佃呎䥒⡂㈱㈯〰ⰶⰬ唬䑓착_x0018_＀＀_x0018_＀＀_x0008_＀＀_x0001_＀＀_x0001_＀＀＀＀＀＀＀＀＀＀䰟_x0012_华幃彐剐䍉⡅㠳㈶⤵_x0018_＀＀_x0018_＀＀_x0008_＀＀_x0001_＀＀_x0001_＀＀ᑺ䞮䁄䰟_x001A_华幃南彆䕄呂卟⡔呑ⱒ㤳㜴⤸_x0018_＀＀_x0018_＀＀_x0008_＀＀_x0001_＀＀_x0001_＀＀＀＀＀＀က䁷䰟_x0019_华幃南彆十䕓協儨剔㌬〹ㄵ착_x0018_＀＀_x0018_＀＀_x0008_＀＀_x0001_＀＀_x0001_＀＀＀＀＀＀庀䃙䰟_x0019_华幃南彆䅓䕌⡓呌卍㌬㐹㜴착_x0018_＀＀_x0018_＀＀_x0008_＀＀_x0001_＀＀_x0001_＀＀＀＀＀＀氀䃂䰟_x0018_华幃南彆䉅呉䰨䵔ⱓ㤳㌲⤳_x0018_＀＀_x0018_＀＀_x0008_＀＀_x0001_＀＀_x0001_＀＀＀＀＀＀됀䂤䰟_x001B_华幃南彆偅当䥄⡌呌卍㐬㄰㜴착_x0018_＀＀_x0018_＀＀_x0008_＀＀_x0001_＀＀_x0001_＀＀躊刟䀉䰟_x001E_华幃捩彡敭湡䕟䥂䑔㈨〰ⰴ㠳㌲⤰_x0018_＀＀_x0018_＀＀_x0008_＀＀_x0001_＀＀_x0001_＀＀ꏗ㵰稊䂠䰟_x001C_华幃捩彡敭湡偟䥔㈨〰ⰷ㤳㌲⤳_x0018_＀＀_x0018_＀＀_x0008_＀＀_x0001_＀＀_x0001_＀＀炤਽㇗䂢䰟_x001C_华幃捩彡敭湡䕟卐㈨〰ⰹ㤳㘶⤰_x0018_＀＀_x0018_＀＀_x0008_＀＀_x0001_＀＀_x0001_＀＀슏⣵轜䀒⦎䱚L华幃䅃偟协剔呅䥟呎䍟协⡔㈱㈯〰ⰵⰬ唬䑓䀩南䡟呌䍈剁彅义彔佃呓ㄨ⼲〲㔰ⰬⰬ单⥄_x0018_＀＀_x0018_＀＀_x0008_＀＀_x0001_＀＀_x0001_＀＀＀＀＀＀＀＀䁄䰟_x001A_华幃南彆䕄呂䱟⡔呑ⱒ㤳〲⤲_x0018_＀＀_x0018_＀＀_x0008_＀＀_x0001_＀＀_x0001_＀＀＀＀＀＀瀀䂷䰟_x001A_华幃南彆䕄呂卟⡔呑ⱒ〴ㄱ⤷_x0018_＀＀_x0018_＀＀_x0008_＀＀_x0001_＀＀_x0001_＀＀＀＀＀＀쀀䁷䰟_x001E_华幃南彆䉅呉䅄䵟乇䰨䵔ⱓ㤳㤵⤹_x0018_＀＀_x0018_＀＀_x0008_＀＀_x0001_＀＀_x0001_＀＀ᔄ닑ে䁂䰟_x0018_华幃南彆䉅呉䰨䵔ⱓ㘳㔹⤰_x0018_＀＀_x0018_＀＀_x0008_＀＀_x0001_＀＀_x0001_＀＀＀＀＀＀頀䂉䰟_x001E_华幃捩彡敭湡䕟䥂䑔㈨〰ⰸ㤳㈳⤵_x0018_＀＀_x0018_＀＀_x0008_＀＀_x0001_＀＀_x0001_＀＀⣶轜䃂䂭䰟_x001C_华幃捩彡敭湡䕟卐㈨〰ⰶ㠳ㄷ⤷_x0018_＀＀_x0018_＀＀_x0008_＀＀_x0001_＀＀_x0001_＀＀쳍쳌쳌䀈⦆䱚%华幃䅃偟久当呌䅟卓呅⡓㈱㈯〰ⰵⰬ唬䑓착_x0018_＀＀_x0018_＀＀_x0008_＀＀_x0001_＀＀_x0001_＀＀豀碵꼝쐕⦆䱚(华幃䅃偟久当偐彄䕂彎佃呓ㄨ⼲〲㐰ⰬⰬ单⥄_x0018_＀＀_x0018_＀＀_x0008_＀＀_x0001_＀＀_x0001_＀＀＀＀＀＀ࠀ䂂䰟_x0012_华幃彐剐䍉⡅㜳㜷⤲_x0018_＀＀_x0018_＀＀_x0008_＀＀_x0001_＀＀_x0001_＀＀凬Ẹ䀵䰟_x001E_华幃南彆䉅呉䅄䵟乇䰨䵔ⱓ㤳㐸⤴_x0018_＀＀_x0018_＀＀_x0008_＀＀_x0001_＀＀_x0001_＀＀뤄ྛ놾䁂䰟_x0018_华幃南彆䉅呉䰨䵔ⱓ㜳㤵⤰_x0018_＀＀_x0018_＀＀_x0008_＀＀_x0001_＀＀_x0001_＀＀＀＀＀＀栀䂓䰟_x001C_华幃捩彡敭湡偟䥔㈨〰ⰹ㤳㤵⤹_x0018_＀＀_x0018_＀＀_x0008_＀＀_x0001_＀＀_x0001_＀＀Ẹ𣏕䂥䰟_x001A_华幃南彆䕄呂卟⡔呑ⱒ㤳㘶⤰_x0018_＀＀_x0018_＀＀_x0008_＀＀_x0001_＀＀_x0001_＀＀＀＀＀＀怀䁾䰟_x001C_华幃南彆䡓䑌卒䕟⡑呑ⱒ㤳㤶⤱_x0018_＀＀_x0018_＀＀_x0008_＀＀_x0001_＀＀_x0001_＀＀＀＀＀＀萀䃃䰟_x001C_华幃捩彡敭湡偟䥔㈨〰ⰹ㤳㐸⤴_x0018_＀＀_x0018_＀＀_x0008_＀＀_x0001_＀＀_x0001_＀＀ᑻ䞮槡䂤䰟_x001C_华幃捩彡敭湡獟獬㈨〰ⰹ㤳㌵⤸_x0018_＀＀_x0018_＀＀_x0008_＀＀_x0001_＀＀_x0001_＀＀竡긔橧䃄䰟_x001D_华幃捩彡敭湡䕟䥂⡔〲㘰㌬㔸㌰착_x0018_＀＀_x0018_＀＀_x0008_＀＀_x0001_＀＀_x0001_＀＀竡긔홇䂠䰟_x001C_华幃捩彡敭湡偟䥔㈨〰ⰶ㠳㌸⤷_x0018_＀＀_x0018_＀＀_x0008_＀＀_x0001_＀＀_x0001_＀＀ᑺ閮䂟䰟_x001C_华幃捩彡敭湡偟䥔㈨〰ⰸ㤳ㄴ⤶_x0018_＀＀_x0018_＀＀_x0008_＀＀_x0001_＀＀_x0001_＀＀凬Ẹ礪䂢⦎䱚,华幃䅃偟协剔呅䕟偍䍟乏剔䉉䍟ㄨ⼲〲㜰ⰬⰬ单⥄_x0018_＀＀_x0018_＀＀_x0008_＀＀_x0001_＀＀_x0001_＀＀＀＀＀＀䀀䁘䰟_x001B_华幃南彆呐彘义⡃呌卍㌬㘹ㄹ착_x0018_＀＀_x0018_＀＀_x0008_＀＀_x0001_＀＀_x0001_＀＀＀＀＀＀숀䂢䰟_x001B_华幃南彆䕎彔义⡃呌卍㌬㜸㠴착_x0018_＀＀_x0018_＀＀_x0008_＀＀_x0001_＀＀_x0001_＀＀＀＀＀＀Ѐ䂔䰟_x001B_华幃南彆䕎彔义⡃呌卍㌬㔹㠳착_x0018_＀＀_x0018_＀＀_x0008_＀＀_x0001_＀＀_x0001_＀＀＀＀＀＀䂖䰟_x001E_华幃捩彡敭湡䕟䥂䑔㈨〰ⰷ㠳㈹⤹_x0018_＀＀_x0018_＀＀_x0008_＀＀_x0001_＀＀_x0001_＀＀ᑺ䂫䰟_x001C_华幃捩彡敭湡䕟卐㈨〰ⰵ㠳㈳⤱_x0018_＀＀_x0018_＀＀_x0008_＀＀_x0001_＀＀_x0001_＀＀ᑺ䞮䀃⦆䱚J华幃䅃偟久当䱐乁䅟呓ㄨ⼲〲㔰ⰬⰬ单⥄址当䕐华佉彎䅖彌十䕓協ㄨ⼲〲㔰ⰬⰬ单⥄_x0018_＀＀_x0018_＀＀_x0008_＀＀_x0001_＀＀_x0001_＀＀＀＀＀＀耀䂜䰟_x0011_华幃浣獟獨㌨㐷㠶착_x0018_＀＀_x0018_＀＀_x0008_＀＀_x0001_＀＀_x0001_＀＀ᑺ䖮䁸䰟_x001A_华幃南彆䅃䡓卟⡔呑ⱒ㤳㜱⤲_x0018_＀＀_x0018_＀＀_x0008_＀＀_x0001_＀＀_x0001_＀＀＀＀＀＀怀䂊䰟_x001E_华幃南彆䉅呉䅄䵟乇䰨䵔ⱓ㜳㌱⤴_x0018_＀＀_x0018_＀＀_x0008_＀＀_x0001_＀＀_x0001_＀＀櫊듥哮䀸䰟_x001D_华幃捩彡敭湡䕟䥂⡔〲〱㌬㠹㐴착_x0018_＀＀_x0018_＀＀_x0008_＀＀_x0001_＀＀_x0001_＀＀炤਽ᯗ䂪䰟_x001C_华幃捩彡敭湡䕟卐㈨〰ⰷ㠳㌸⤷_x0018_＀＀_x0018_＀＀_x0008_＀＀_x0001_＀＀_x0001_＀＀휊炣਽䀏⦆䱚B华幃䅃偟久当佒⡁㈱㈯〰ⰸⰬ唬䑓䀩南偟久䥓乏䕟偘剟䅏ㄨ⼲〲㠰ⰬⰬ单⥄_x0018_＀＀_x0018_＀＀_x0008_＀＀_x0001_＀＀_x0001_＀＀＀＀＀＀ꀀ쁥䰟_x0011_华幃浣獟獨㌨㔸㌰착_x0018_＀＀_x0018_＀＀_x0008_＀＀_x0001_＀＀_x0001_＀＀旾䑡䁹䰟_x001A_华幃南彆䕄呂䱟⡔呑ⱒ㠳㄰⤷_x0018_＀＀_x0018_＀＀_x0008_＀＀_x0001_＀＀_x0001_＀＀＀＀＀＀退䂺䰟_x001D_华幃捩彡敭湡䕟䥂⡔〲㜰㌬㌹㔲착_x0018_＀＀_x0018_＀＀_x0008_＀＀_x0001_＀＀_x0001_＀＀휊炣묽䂤䰟_x001A_华幃南彆䕄呂卟⡔呑ⱒ㠳㈶⤵_x0018_＀＀_x0018_＀＀_x0008_＀＀_x0001_＀＀_x0001_＀＀＀＀＀＀退䁳䰟_x001C_华幃南彆䡓䑌卒䕟⡑呑ⱒ㠳㔶⤶_x0018_＀＀_x0018_＀＀_x0008_＀＀_x0001_＀＀_x0001_＀＀＀＀＀＀樀䃁䰟_x0019_华幃南彆䅓䕌⡓呌卍㌬ㄸ㤹착_x0018_＀＀_x0018_＀＀_x0008_＀＀_x0001_＀＀_x0001_＀＀＀＀＀＀簀䂺䰟_x0018_华幃南彆䉅呉䰨䵔ⱓ㜳㤱⤵_x0018_＀＀_x0018_＀＀_x0008_＀＀_x0001_＀＀_x0001_＀＀＀＀＀＀頀䂍䰟_x001C_华幃捩彡敭湡䕟卐㈨〰ⰲ㜳㘱⤴_x0018_＀＀_x0018_＀＀_x0008_＀＀_x0001_＀＀_x0001_＀＀㵱휊炣㿵䰟_x0012_华幃彐剐䍉⡅㤳〲⤲_x0018_＀＀_x0018_＀＀_x0008_＀＀_x0001_＀＀_x0001_＀＀＀＀＀＀ꀀ䁊䰟_x001A_华幃南彆䕄呂䱟⡔呑ⱒ㜳㘱⤴_x0018_＀＀_x0018_＀＀_x0008_＀＀_x0001_＀＀_x0001_＀＀＀＀＀＀頀䂻䰟_x001A_华幃南彆䅃䡓卟⡔呑ⱒ㤳㤹⤴_x0018_＀＀_x0018_＀＀_x0008_＀＀_x0001_＀＀_x0001_＀＀＀＀＀＀退䂆䰟_x0019_华幃南彆十䕓協儨剔㌬㐹㠷착_x0018_＀＀_x0018_＀＀_x0008_＀＀_x0001_＀＀_x0001_＀＀＀＀＀＀蠀䃙䰟_x0018_华幃南彆䉅呉䰨䵔ⱓ㠳㌲⤰_x0018_＀＀_x0018_＀＀_x0008_＀＀_x0001_＀＀_x0001_＀＀＀＀＀＀⠀䂔⦆䱚I华幃䅃偟久当剓彖佃呓ㄨ⼲〲㔰ⰬⰬ单⥄址当䕐华佉彎䕓噒䍟协⡔㈱㈯〰ⰵⰬ唬䑓착_x0018_＀＀_x0018_＀＀_x0008_＀＀_x0001_＀＀_x0001_＀＀＀＀＀＀＀＀䀷䰟_x001A_华幃南彆䕄呂卟⡔呑ⱒ㜳㜷⤲_x0018_＀＀_x0018_＀＀_x0008_＀＀_x0001_＀＀_x0001_＀＀＀＀＀＀䀀䂃䰟_x001A_华幃南彆䕄呂䱟⡔呑ⱒ㤳㈶⤹_x0018_＀＀_x0018_＀＀_x0008_＀＀_x0001_＀＀_x0001_＀＀＀＀＀＀猀䂷䰟_x0019_华幃南彆十䕓協儨剔㐬㄰㜱착_x0018_＀＀_x0018_＀＀_x0008_＀＀_x0001_＀＀_x0001_＀＀＀＀＀＀烀䃚䰟_x0019_华幃南彆䅓䕌⡓呌卍㌬㜷ㄴ착_x0018_＀＀_x0018_＀＀_x0008_＀＀_x0001_＀＀_x0001_＀＀＀＀＀＀봀䂸䰟_x001E_华幃南彆䉅呉䅄䵟乇䰨䵔ⱓ㤳㠳⤶_x0018_＀＀_x0018_＀＀_x0008_＀＀_x0001_＀＀_x0001_＀＀ヮ콟ᴅ䁂䰟_x001E_华幃捩彡敭湡䕟䥂䑔㈨〰ⰶ㠳㌵⤳_x0018_＀＀_x0018_＀＀_x0008_＀＀_x0001_＀＀_x0001_＀＀슏⣵䍜䂧䰟_x001C_华幃捩彡敭湡偟䥔㈨〰ⰵ㠳㐴⤲_x0018_＀＀_x0018_＀＀_x0008_＀＀_x0001_＀＀_x0001_＀＀쳍쳌嫌䂗䰟_x001C_华幃捩彡敭湡䕟卐㈨〰ⰴ㜳㈹⤵_x0018_＀＀_x0018_＀＀_x0008_＀＀_x0001_＀＀_x0001_＀＀롒蔞凫㿸⦅䱚;华幃南偟久䥓乏䅟卓呅当剐偏ㄨ⼲〲㤰䀩䅃偟久当䍐彔䕒ㄨ⼲〲㤰착_x0018_＀＀_x0018_＀＀_x0008_＀＀_x0001_＀＀_x0001_＀＀＀＀＀＀＀＀＀＀⦎䱚*华幃南䡟呌䍈剁彅塅彐呌剟䅏ㄨ⼲〲㔰ⰬⰬ单⥄_x0018_＀＀_x0018_＀＀_x0008_＀＀_x0001_＀＀_x0001_＀＀豀碵꼝쐕⦎䱚)华幃䅃偟协剔呅佟䡔䑁彊䉎⡁㈱㈯〰ⰶⰬ唬䑓착_x0018_＀＀_x0018_＀＀_x0008_＀＀_x0001_＀＀_x0001_＀＀＀＀＀＀䁬⦆䱚)华幃䅃偟久当䵅彐佃呎䥒彂⡃㈱㈯〰ⰳⰬ唬䑓착_x0018_＀＀_x0018_＀＀_x0008_＀＀_x0001_＀＀_x0001_＀＀＀＀＀＀＀＀䀘䰟_x001E_华幃南彆䉅呉䅄䵟乇䰨䵔ⱓ〴㈰⤵_x0018_＀＀_x0018_＀＀_x0008_＀＀_x0001_＀＀_x0001_＀＀鋼꤈䁂䰟_x001B_华幃南彆呐彘义⡃呌卍㌬㘸㘵착_x0018_＀＀_x0018_＀＀_x0008_＀＀_x0001_＀＀_x0001_＀＀＀＀＀＀᠀䂘䰟_x001E_华幃捩彡敭湡䕟䥂䑔㈨〰ⰶ㠳㠳⤳_x0018_＀＀_x0018_＀＀_x0008_＀＀_x0001_＀＀_x0001_＀＀ਾꏗ姰䂦䰟_x001A_华幃南彆䕄呂䱟⡔呑ⱒ㜳㠹⤶_x0018_＀＀_x0018_＀＀_x0008_＀＀_x0001_＀＀_x0001_＀＀＀＀＀＀退䂺䰟_x001A_华幃南彆䕄呂䱟⡔呑ⱒ㠳㜷⤶_x0018_＀＀_x0018_＀＀_x0008_＀＀_x0001_＀＀_x0001_＀＀＀＀＀＀_xD800_䂹䰟_x0019_华幃南彆十䕓協儨剔㌬㘹〶착_x0018_＀＀_x0018_＀＀_x0008_＀＀_x0001_＀＀_x0001_＀＀＀＀＀＀쮀䃙䰟_x001C_华幃捩彡敭湡獟獬㈨〰ⰵ㠳㌲⤰_x0018_＀＀_x0018_＀＀_x0008_＀＀_x0001_＀＀_x0001_＀＀긕_xFFFF_ﾺ䂼䰟_x001C_华幃捩彡敭湡偟䥔㈨〰ⰹ〴㈰⤵_x0018_＀＀_x0018_＀＀_x0008_＀＀_x0001_＀＀_x0001_＀＀馚香ᾙ䂛䰟_x0018_华幃南彆䉅呉䰨䵔ⱓ〴㠰⤶_x0018_＀＀_x0018_＀＀_x0008_＀＀_x0001_＀＀_x0001_＀＀＀＀＀＀⸀䂢䰟_x001C_华幃捩彡敭湡獟獬㈨〰ⰷ㤳㠳⤶_x0018_＀＀_x0018_＀＀_x0008_＀＀_x0001_＀＀_x0001_＀＀＀＀＀＀癀䃂⦆䱚%华幃䅃偟久当啃归䥌䉁⡓㈱㈯〰ⰷⰬ唬䑓착_x0018_＀＀_x0018_＀＀_x0008_＀＀_x0001_＀＀_x0001_＀＀＀＀＀＀＀＀䀢⦅䱚 华幃南䕟䍘彈䅒䕔䉟䱁卟⡈㈱㈯〰⤶_x0018_＀＀_x0018_＀＀_x0008_＀＀_x0001_＀＀_x0001_＀＀豀碵꼝쐕䰟_x001B_华幃南彆䕎彔义⡃呌卍㌬㌹㔲착_x0018_＀＀_x0018_＀＀_x0008_＀＀_x0001_＀＀_x0001_＀＀＀＀＀＀ 䂗䰟_x001C_华幃捩彡敭湡䕟卐㈨〰ⰸ㤳㤶⤱_x0018_＀＀_x0018_＀＀_x0008_＀＀_x0001_＀＀_x0001_＀＀ਾꏗ㵰䀑⦆䱚M华幃䅃偟久当剐佉归剓⡖㈱㈯〰ⰸⰬ唬䑓䀩南偟久䥓乏偟归䕓噒䍟协⡔㈱㈯〰ⰸⰬ唬䑓착_x0018_＀＀_x0018_＀＀_x0008_＀＀_x0001_＀＀_x0001_＀＀＀＀＀＀＀＀䀈䰟_x001C_华幃捩彡敭湡䕟卐㈨〰ⰱ㘳㔹⤰_x0018_＀＀_x0018_＀＀_x0008_＀＀_x0001_＀＀_x0001_＀＀蔟凫Ẹ㿭䰟_x001C_华幃捩彡敭湡䕟卐㈨㄰ⰰ㤳㌹⤳_x0018_＀＀_x0018_＀＀_x0008_＀＀_x0001_＀＀_x0001_＀＀롒蔞凫䀐⦆䱚H华幃䅃偟久当义彔佃呓ㄨ⼲〲㤰ⰬⰬ单⥄址当䕐华佉彎义彔佃呓ㄨ⼲〲㤰ⰬⰬ单⥄_x0018_＀＀_x0018_＀＀_x0008_＀＀_x0001_＀＀_x0001_＀＀＀＀＀＀䀀䁙䰟_x0012_华幃彐剐䍉⡅㠳㄰⤷_x0018_＀＀_x0018_＀＀_x0008_＀＀_x0001_＀＀_x0001_＀＀쳍쳌䳌䀶䰟_x001A_华幃南彆䅃䡓卟⡔呑ⱒ㤳㤵⤹_x0018_＀＀_x0018_＀＀_x0008_＀＀_x0001_＀＀_x0001_＀＀＀＀＀＀쀀䁶䰟_x001B_华幃南彆偅当䥄⡌呌卍㌬㠷㈰착_x0018_＀＀_x0018_＀＀_x0008_＀＀_x0001_＀＀_x0001_＀＀抷_xD97F_礽㿳䰟_x001B_华幃南彆䕎彔义⡃呌卍㌬㐸㈷착_x0018_＀＀_x0018_＀＀_x0008_＀＀_x0001_＀＀_x0001_＀＀＀＀＀＀䂍䰟_x001D_华幃捩彡敭湡䕟䥂⡔〲〱㐬〰㔲착_x0018_＀＀_x0018_＀＀_x0008_＀＀_x0001_＀＀_x0001_＀＀휊炣ꆽ䂢⦆䱚M华幃䅃偟久当剐佉归剓⡖㈱㈯〰ⰹⰬ唬䑓䀩南偟久䥓乏偟归䕓噒䍟协⡔㈱㈯〰ⰹⰬ唬䑓착_x0018_＀＀_x0018_＀＀_x0008_＀＀_x0001_＀＀_x0001_＀＀＀＀＀＀＀＀䀈䰟_x001A_华幃南彆䅃䡓卟⡔呑ⱒ㤳㐸⤴_x0018_＀＀_x0018_＀＀_x0008_＀＀_x0001_＀＀_x0001_＀＀＀＀＀＀倀䂃䰟_x0019_华幃南彆䅓䕌⡓呌卍㌬㌷㘴착_x0018_＀＀_x0018_＀＀_x0008_＀＀_x0001_＀＀_x0001_＀＀＀＀＀＀䂷䰟_x001B_华幃南彆偅当䥄⡌呌卍㌬㘷㈵착_x0018_＀＀_x0018_＀＀_x0008_＀＀_x0001_＀＀_x0001_＀＀竡긔㿲䰟_x001B_华幃南彆偅当䥄⡌呌卍㌬㐸㈴착_x0018_＀＀_x0018_＀＀_x0008_＀＀_x0001_＀＀_x0001_＀＀酨糭딿䀂⦆䱚J华幃䅃偟久当䥄䍓剟呁⡅㈱㈯〰ⰳⰬ唬䑓䀩南偟久䥓乏䑟卉彃䅒䕔ㄨ⼲〲㌰ⰬⰬ单⥄_x0018_＀＀_x0018_＀＀_x0008_＀＀_x0001_＀＀_x0001_＀＀＀＀＀＀＀＀䀙䰟_x0012_华幃彐剐䍉⡅㜳㘱⤴_x0018_＀＀_x0018_＀＀_x0008_＀＀_x0001_＀＀_x0001_＀＀蔟凫Ẹ䀰䰟_x001A_华幃南彆䕄呂卟⡔呑ⱒ㤳〲⤲_x0018_＀＀_x0018_＀＀_x0008_＀＀_x0001_＀＀_x0001_＀＀＀＀＀＀ꠀ䂀䰟_x001C_华幃南彆䡓䑌卒䕟⡑呑ⱒ㤳㌲⤳_x0018_＀＀_x0018_＀＀_x0008_＀＀_x0001_＀＀_x0001_＀＀＀＀＀＀츀䃂䰟_x0019_华幃南彆十䕓協儨剔㌬㘸㔲착_x0018_＀＀_x0018_＀＀_x0008_＀＀_x0001_＀＀_x0001_＀＀＀＀＀＀홀䃘䰟_x0018_华幃南彆䉅呉䰨䵔ⱓ㠳〸⤷_x0018_＀＀_x0018_＀＀_x0008_＀＀_x0001_＀＀_x0001_＀＀＀＀＀＀∀䂣䰟_x001B_华幃南彆偅当䥄⡌呌卍㌬〹㈸착_x0018_＀＀_x0018_＀＀_x0008_＀＀_x0001_＀＀_x0001_＀＀▯菤䶞䀍䰟_x001C_华幃捩彡敭湡偟䥔㈨〰ⰷ㠳〸⤷_x0018_＀＀_x0018_＀＀_x0008_＀＀_x0001_＀＀_x0001_＀＀슏⣵Ӝ䂢䰟_x0012_华幃彐剐䍉⡅㤳㈶⤹_x0018_＀＀_x0018_＀＀_x0008_＀＀_x0001_＀＀_x0001_＀＀⣶轜嗂䁏䰟_x001C_华幃南彆䡓䑌卒䕟⡑呑ⱒ㘳㔹⤰_x0018_＀＀_x0018_＀＀_x0008_＀＀_x0001_＀＀_x0001_＀＀＀＀＀＀쀀䂶䰟_x001E_华幃南彆䉅呉䅄䵟乇䰨䵔ⱓ㠳㌵⤳_x0018_＀＀_x0018_＀＀_x0008_＀＀_x0001_＀＀_x0001_＀＀Ě馾䨛䁁䰟_x0019_华幃南彆䅓䕌⡓呌卍㌬〹ㄲ착_x0018_＀＀_x0018_＀＀_x0008_＀＀_x0001_＀＀_x0001_＀＀＀＀＀＀䂀䃂䰟_x0018_华幃南彆䉅呉䰨䵔ⱓ㤳㐴⤷_x0018_＀＀_x0018_＀＀_x0008_＀＀_x0001_＀＀_x0001_＀＀＀＀＀＀숀䂤䰟_x001D_华幃捩彡敭湡䕟䥂⡔〲㤰㌬㐹㠷착_x0018_＀＀_x0018_＀＀_x0008_＀＀_x0001_＀＀_x0001_＀＀凬Ẹ瀅䂦䰟_x001C_华幃捩彡敭湡偟䥔㈨〰ⰷ㤳㐴⤷_x0018_＀＀_x0018_＀＀_x0008_＀＀_x0001_＀＀_x0001_＀＀ᑺථ䂡⦎䱚＀Ｏ华幃南䡟呌䍈剁彅䵁剏彔䕓噒䍟协⡔㈱㈯〰ⰳⰬ唬䑓착_x0018_＀＀_x0018_＀＀_x0008_＀＀_x0001_＀＀_x0001_＀＀＀＀＀＀＀＀쀜䰟_x001A_华幃南彆䕄呂䱟⡔呑ⱒ㤳ㄴ⤶_x0018_＀＀_x0018_＀＀_x0008_＀＀_x0001_＀＀_x0001_＀＀＀＀＀＀萀䂶䰟_x001C_华幃南彆䡓䑌卒䕟⡑呑ⱒ㜳㤵⤰_x0018_＀＀_x0018_＀＀_x0008_＀＀_x0001_＀＀_x0001_＀＀＀＀＀＀ᤀ䂹䰟_x0019_华幃南彆十䕓協儨剔㌬㜷㈷착_x0018_＀＀_x0018_＀＀_x0008_＀＀_x0001_＀＀_x0001_＀＀＀＀＀＀䃓䰟_x001E_华幃南彆䉅呉䅄䵟乇䰨䵔ⱓ㠳㠳⤳_x0018_＀＀_x0018_＀＀_x0008_＀＀_x0001_＀＀_x0001_＀＀湛᫣楐䁀䰟_x001D_华幃捩彡敭湡䕟䥂⡔〲㤰㐬㄰㜱착_x0018_＀＀_x0018_＀＀_x0008_＀＀_x0001_＀＀_x0001_＀＀＀＀＀＀̀䂟⦆䱚)华幃䅃偟久当䵅彐佃呎䥒彂⡃㈱㈯〰ⰹⰬ唬䑓착_x0018_＀＀_x0018_＀＀_x0008_＀＀_x0001_＀＀_x0001_＀＀＀＀＀＀＀＀䀦⦎䱚G华幃䅃偟协剔呅䍟协⡔㈱㈯〰ⰴⰬ唬䑓䀩南䡟呌䍈剁彅偎彐塅⡐㈱㈯〰ⰴⰬ唬䑓착_x0018_＀＀_x0018_＀＀_x0008_＀＀_x0001_＀＀_x0001_＀＀＀＀＀＀耀䁈䰟_x0012_华幃彐剐䍉⡅㜳㠹⤶_x0018_＀＀_x0018_＀＀_x0008_＀＀_x0001_＀＀_x0001_＀＀晧晦Ꙧ䀷䰟_x0012_华幃彐剐䍉⡅㠳㜷⤶_x0018_＀＀_x0018_＀＀_x0008_＀＀_x0001_＀＀_x0001_＀＀ꏗ㵰霊䁉䰟_x0011_华幃浣獟獨㌨㜹㈵착_x0018_＀＀_x0018_＀＀_x0008_＀＀_x0001_＀＀_x0001_＀＀⇿⑵䁷䰟_x001E_华幃南彆䉅呉䅄䵟乇䰨䵔ⱓ㜳㠶⤰_x0018_＀＀_x0018_＀＀_x0008_＀＀_x0001_＀＀_x0001_＀＀翌륝衞䀼䰟_x001B_华幃南彆呐彘义⡃呌卍㌬㈹㌳착_x0018_＀＀_x0018_＀＀_x0008_＀＀_x0001_＀＀_x0001_＀＀＀＀＀＀؀䂡䰟_x001C_华幃捩彡敭湡䕟卐㈨〰ⰴ㠳㔳⤲_x0018_＀＀_x0018_＀＀_x0008_＀＀_x0001_＀＀_x0001_＀＀㌳㌳㌳䀁⦔䱚[华幃南剟久䅔彌偏䱟䕓䕟偘ㄨ⼲〲㄰ㄬ⼲〲㄰ⰬⰬ单⥄䍀彁呒剟久彔䥍彎塅⡐㈱㈯〰ⰱ㈱㈯〰ⰱⰬ唬䑓착_x0018_＀＀_x0018_＀＀_x0008_＀＀_x0001_＀＀_x0001_＀＀＀＀＀＀倀䁺䰟_x0011_华幃浣獟獨㐨㄰㜴착_x0018_＀＀_x0018_＀＀_x0008_＀＀_x0001_＀＀_x0001_＀＀銣ĺ﹍䁶䰟_x001B_华幃南彆呐彘义⡃呌卍㌬㤶〵착_x0018_＀＀_x0018_＀＀_x0008_＀＀_x0001_＀＀_x0001_＀＀＀＀＀＀䀀䁯䰟_x001D_华幃捩彡敭湡䕟䥂⡔〲㤰㌬㘹〶착_x0018_＀＀_x0018_＀＀_x0008_＀＀_x0001_＀＀_x0001_＀＀尩슏졵䂨䰟_x001C_华幃捩彡敭湡䕟卐㈨〰ⰶ㠳㘸⤸_x0018_＀＀_x0018_＀＀_x0008_＀＀_x0001_＀＀_x0001_＀＀䞮竡긔䀋⦅䱚;华幃南偟久䥓乏䅟卓呅当剐偏ㄨ⼲〲㐰䀩䅃偟久当䍐彔䕒ㄨ⼲〲㐰착_x0018_＀＀_x0018_＀＀_x0008_＀＀_x0001_＀＀_x0001_＀＀＀＀＀＀＀＀＀＀䰟_x001A_华幃南彆䅃䡓卟⡔呑ⱒ㜳㌱⤴_x0018_＀＀_x0018_＀＀_x0008_＀＀_x0001_＀＀_x0001_＀＀＀＀＀＀耀䁇䰟_x001B_华幃南彆呐彘义⡃呌卍㌬㔷〹착_x0018_＀＀_x0018_＀＀_x0008_＀＀_x0001_＀＀_x0001_＀＀＀＀＀＀_xD800_䂅䰟_x001B_华幃南彆䕎彔义⡃呌卍㌬㐷㜳착_x0018_＀＀_x0018_＀＀_x0008_＀＀_x0001_＀＀_x0001_＀＀＀＀＀＀䁸䰟_x001E_华幃捩彡敭湡䕟䥂䑔㈨〰ⰸ㤳㈷⤱_x0018_＀＀_x0018_＀＀_x0008_＀＀_x0001_＀＀_x0001_＀＀蔟凫䂭䰟_x001C_华幃捩彡敭湡獟獬㈨㄰ⰰ〴㠰⤶_x0018_＀＀_x0018_＀＀_x0008_＀＀_x0001_＀＀_x0001_＀＀馚香᜙䃁䰟_x001D_华幃捩彡敭湡䕟䥂⡔〲㘰㌬㜸㜱착_x0018_＀＀_x0018_＀＀_x0008_＀＀_x0001_＀＀_x0001_＀＀竡긔⡇䂢⦎䱚F华幃䅃偟协剔呅剟䅏ㄨ⼲〲㐰ⰬⰬ单⥄址当䱈䡔䅃䕒䕟偘剟䅏ㄨ⼲〲㐰ⰬⰬ单⥄_x0018_＀＀_x0018_＀＀_x0008_＀＀_x0001_＀＀_x0001_＀＀＀＀＀＀＀＀쀨䰟_x0019_华幃南彆䅓䕌⡓呌卍㌬㤸〹착_x0018_＀＀_x0018_＀＀_x0008_＀＀_x0001_＀＀_x0001_＀＀＀＀＀＀䂀䃂䰟_x001B_华幃南彆䕎彔义⡃呌卍㌬㈷㜸착_x0018_＀＀_x0018_＀＀_x0008_＀＀_x0001_＀＀_x0001_＀＀＀＀＀＀ꀀ䁶䰟_x001B_华幃南彆偅当䥄⡌呌卍㌬㐷㜰착_x0018_＀＀_x0018_＀＀_x0008_＀＀_x0001_＀＀_x0001_＀＀ଏꚵ읹㿯䰟_x001B_华幃南彆䕎彔义⡃呌卍㌬〸㜷착_x0018_＀＀_x0018_＀＀_x0008_＀＀_x0001_＀＀_x0001_＀＀＀＀＀＀䀀䁾䰟_x001C_华幃捩彡敭湡偟䥔㈨〰ⰶ㠳ㄴ⤱_x0018_＀＀_x0018_＀＀_x0008_＀＀_x0001_＀＀_x0001_＀＀ਾꏗꅰ䂚䰟_x001C_华幃捩彡敭湡䕟卐㈨〰ⰱ㜳㤱⤵_x0018_＀＀_x0018_＀＀_x0008_＀＀_x0001_＀＀_x0001_＀＀㌳㌳㌳㿫⦆䱚C华幃䅃偟久当剐䩏佟䱂ㄨ⼲〲㈰ⰬⰬ单⥄址当䕐华佉彎䉐⡏㈱㈯〰ⰲⰬ唬䑓착_x0018_＀＀_x0018_＀＀_x0008_＀＀_x0001_＀＀_x0001_＀＀＀＀＀＀栀䂕⦆䱚N华幃䅃偟久当乕䕒佃⡇㈱㈯〰ⰸⰬ唬䑓䀩南偟久䥓乏啟剎䍅卟剅彖佃呓ㄨ⼲〲㠰ⰬⰬ单⥄_x0018_＀＀_x0018_＀＀_x0008_＀＀_x0001_＀＀_x0001_＀＀＀＀＀＀＀＀䀪䰟_x001E_华幃捩彡敭湡䕟䥂䑔㈨㄰ⰰ〴㔰⤶_x0018_＀＀_x0018_＀＀_x0008_＀＀_x0001_＀＀_x0001_＀＀馚香挙䂩䰟_x001C_华幃捩彡敭湡偟䥔㈨〰ⰶ㤳㔰⤱_x0018_＀＀_x0018_＀＀_x0008_＀＀_x0001_＀＀_x0001_＀＀䞮竡⪔䂢䰟_x001A_华幃南彆䕄呂卟⡔呑ⱒ㠳㄰⤷_x0018_＀＀_x0018_＀＀_x0008_＀＀_x0001_＀＀_x0001_＀＀＀＀＀＀耀䁶䰟_x001E_华幃捩彡敭湡䕟䥂䑔㈨〰ⰵ㠳㘵⤴_x0018_＀＀_x0018_＀＀_x0008_＀＀_x0001_＀＀_x0001_＀＀㌳㌳䒳䂥䰟_x001C_华幃捩彡敭湡䕟卐㈨〰ⰹ㤳㈶⤹_x0018_＀＀_x0018_＀＀_x0008_＀＀_x0001_＀＀_x0001_＀＀슏⣵轜䀒䰟_x0011_华幃浣獟獨㌨〷㈴착_x0018_＀＀_x0018_＀＀_x0008_＀＀_x0001_＀＀_x0001_＀＀쳍쳌࣌䁸䰟_x001A_华幃南彆䅃䡓卟⡔呑ⱒ㤳㠳⤶_x0018_＀＀_x0018_＀＀_x0008_＀＀_x0001_＀＀_x0001_＀＀＀＀＀＀ 䁺䰟_x001E_华幃南彆䉅呉䅄䵟乇䰨䵔ⱓ㠳㌱⤸_x0018_＀＀_x0018_＀＀_x0008_＀＀_x0001_＀＀_x0001_＀＀鍤㙍䀹䰟_x001C_华幃捩彡敭湡獟獬㈨〰ⰹ〴㜱⤸_x0018_＀＀_x0018_＀＀_x0008_＀＀_x0001_＀＀_x0001_＀＀竡긔攇䂿⦆䱚J华幃䅃偟久当佒彁䅒䕔ㄨ⼲〲㌰ⰬⰬ单⥄址当䕐华佉彎塅彐呌剟䅏ㄨ⼲〲㌰ⰬⰬ单⥄_x0018_＀＀_x0018_＀＀_x0008_＀＀_x0001_＀＀_x0001_＀＀＀＀＀＀＀＀䀢⦆䱚$华幃䅃偟久当䕂彎䅐䑉ㄨ⼲〲㔰ⰬⰬ单⥄_x0018_＀＀_x0018_＀＀_x0008_＀＀_x0001_＀＀_x0001_＀＀＀＀＀＀耀䁜⦅䱚;华幃南偟久䥓乏䅟卓呅当充䥕ㄨ⼲〲㔰䀩䅃偟久当䍐彔充ㄨ⼲〲㔰착_x0018_＀＀_x0018_＀＀_x0008_＀＀_x0001_＀＀_x0001_＀＀＀＀＀＀＀＀䁓䰟_x0011_华幃浣獟獨㌨㜸㜱착_x0018_＀＀_x0018_＀＀_x0008_＀＀_x0001_＀＀_x0001_＀＀Й๖鸭䁹䰟_x0011_华幃浣獟獨㌨㔹㜰착_x0018_＀＀_x0018_＀＀_x0008_＀＀_x0001_＀＀_x0001_＀＀垨㋊듄䁷䰟_x001A_华幃南彆䕄呂卟⡔呑ⱒ㜳㘱⤴_x0018_＀＀_x0018_＀＀_x0008_＀＀_x0001_＀＀_x0001_＀＀＀＀＀＀_xD800_䂍䰟_x001A_华幃南彆䅃䡓卟⡔呑ⱒ〴㈰⤵_x0018_＀＀_x0018_＀＀_x0008_＀＀_x0001_＀＀_x0001_＀＀＀＀＀＀退䂆䰟_x001C_华幃南彆䡓䑌卒䕟⡑呑ⱒ㜳㤱⤵_x0018_＀＀_x0018_＀＀_x0008_＀＀_x0001_＀＀_x0001_＀＀＀＀＀＀鄀䂷䰟_x001C_华幃捩彡敭湡偟䥔㈨㄰ⰰ㤳〹⤳_x0018_＀＀_x0018_＀＀_x0008_＀＀_x0001_＀＀_x0001_＀＀긕㍺䂤䰟_x001C_华幃捩彡敭湡䕟卐㈨〰ⰴ㠳〱⤷_x0018_＀＀_x0018_＀＀_x0008_＀＀_x0001_＀＀_x0001_＀＀蔟凫Ẹ㿹䰟_x001C_华幃捩彡敭湡䕟卐㈨〰ⰵ㠳㜴⤲_x0018_＀＀_x0018_＀＀_x0008_＀＀_x0001_＀＀_x0001_＀＀＀＀＀＀＀＀䀄䰟_x001C_华幃捩彡敭湡䕟卐㈨〰ⰷ㤳㔰⤱_x0018_＀＀_x0018_＀＀_x0008_＀＀_x0001_＀＀_x0001_＀＀＀＀＀＀＀＀䀐⦆䱚'华幃䅃偟久当商䑎卟䅔啔⡓㈱㈯〰ⰳⰬ唬䑓착_x0018_＀＀_x0018_＀＀_x0008_＀＀_x0001_＀＀_x0001_＀＀＀＀＀＀퀀䁼⦆䱚(华幃南偟久䥓乏䅟卓呅当呌ㄨ⼲〲㌰ⰬⰬ单⥄_x0018_＀＀_x0018_＀＀_x0008_＀＀_x0001_＀＀_x0001_＀＀豀碵꼝쐕䰟_x001A_华幃南彆䕄呂卟⡔呑ⱒ㤳㈶⤹_x0018_＀＀_x0018_＀＀_x0008_＀＀_x0001_＀＀_x0001_＀＀＀＀＀＀怀䁾䰟_x001C_华幃南彆䡓䑌卒䕟⡑呑ⱒ㠳㌲⤰_x0018_＀＀_x0018_＀＀_x0008_＀＀_x0001_＀＀_x0001_＀＀＀＀＀＀묀䂼䰟_x0019_华幃南彆十䕓協儨剔㌬㈹㈰착_x0018_＀＀_x0018_＀＀_x0008_＀＀_x0001_＀＀_x0001_＀＀＀＀＀＀殀䃙䰟_x0018_华幃南彆䉅呉䰨䵔ⱓ㠳㤱⤹_x0018_＀＀_x0018_＀＀_x0008_＀＀_x0001_＀＀_x0001_＀＀＀＀＀＀⠀䂔䰟_x001B_华幃南彆䕎彔义⡃呌卍㐬㄰㠷착_x0018_＀＀_x0018_＀＀_x0008_＀＀_x0001_＀＀_x0001_＀＀＀＀＀＀⠀䂐䰟_x001D_华幃捩彡敭湡䕟䥂⡔〲㔰㌬㌸ㄲ착_x0018_＀＀_x0018_＀＀_x0008_＀＀_x0001_＀＀_x0001_＀＀ਾꏗ䕰䂜䰟_x001C_华幃捩彡敭湡偟䥔㈨㄰ⰰ〴㐱⤷_x0018_＀＀_x0018_＀＀_x0008_＀＀_x0001_＀＀_x0001_＀＀㵱휊낣䂟䰟_x001C_华幃捩彡敭湡䕟卐㈨㄰ⰱ〴〲⤹_x0018_＀＀_x0018_＀＀_x0008_＀＀_x0001_＀＀_x0001_＀＀尩슏⣵䀐䰟"华幃南偟久䥓乏偟佂ㄨ⼲〲㠰ⰬⰬ单⥄_x0018_＀＀_x0018_＀＀_x0008_＀＀_x0001_＀＀_x0001_＀＀＀＀＀＀᠀䂚䰟_x0011_华幃浣獟獨㌨㠷㐶착_x0018_＀＀_x0018_＀＀_x0008_＀＀_x0001_＀＀_x0001_＀＀䴂඄捏䁸䰟_x0012_华幃彐剐䍉⡅㤳ㄴ⤶_x0018_＀＀_x0018_＀＀_x0008_＀＀_x0001_＀＀_x0001_＀＀ᑻ䞮髡䁉䰟_x001A_华幃南彆䕄呂䱟⡔呑ⱒ㠳㘱⤸_x0018_＀＀_x0018_＀＀_x0008_＀＀_x0001_＀＀_x0001_＀＀＀＀＀＀쀀䂸⦎䱚＀Ｏ华幃南䡟呌䍈剁彅䵁剏彔䕓噒䍟协⡔㈱㈯〰ⰹⰬ唬䑓착_x0018_＀＀_x0018_＀＀_x0008_＀＀_x0001_＀＀_x0001_＀＀＀＀＀＀＀＀쀀䰟_x0011_华幃浣獟獨㌨㈹㐹착_x0018_＀＀_x0018_＀＀_x0008_＀＀_x0001_＀＀_x0001_＀＀殺契馠䁸䰟_x001A_华幃南彆䕄呂卟⡔呑ⱒ㜳㠹⤶_x0018_＀＀_x0018_＀＀_x0008_＀＀_x0001_＀＀_x0001_＀＀＀＀＀＀耀䁶䰟_x001A_华幃南彆䕄呂卟⡔呑ⱒ㠳㜷⤶_x0018_＀＀_x0018_＀＀_x0008_＀＀_x0001_＀＀_x0001_＀＀＀＀＀＀ꀀ䁳䰟_x0019_华幃南彆䅓䕌⡓呌卍㌬㤷㔵착_x0018_＀＀_x0018_＀＀_x0008_＀＀_x0001_＀＀_x0001_＀＀＀＀＀＀䂸䰟_x0018_华幃南彆䉅呉䰨䵔ⱓ㜳㐷⤱_x0018_＀＀_x0018_＀＀_x0008_＀＀_x0001_＀＀_x0001_＀＀＀＀＀＀簀䂓䰟_x001B_华幃南彆呐彘义⡃呌卍㌬ㄷ㔹착_x0018_＀＀_x0018_＀＀_x0008_＀＀_x0001_＀＀_x0001_＀＀＀＀＀＀耀䁷䰟_x001E_华幃捩彡敭湡䕟䥂䑔㈨〰ⰹ㤳㤶⤱_x0018_＀＀_x0018_＀＀_x0008_＀＀_x0001_＀＀_x0001_＀＀롑䯞䂰䰟_x001C_华幃捩彡敭湡偟䥔㈨〰ⰵ㠳㔶⤶_x0018_＀＀_x0018_＀＀_x0008_＀＀_x0001_＀＀_x0001_＀＀쳍쳌ꋌ䂘䰟_x0019_华幃南彆䅓䕌⡓呌卍㌬㔸㔹착_x0018_＀＀_x0018_＀＀_x0008_＀＀_x0001_＀＀_x0001_＀＀＀＀＀＀䂾䰟_x001B_华幃南彆呐彘义⡃呌卍㌬㈸〳착_x0018_＀＀_x0018_＀＀_x0008_＀＀_x0001_＀＀_x0001_＀＀＀＀＀＀ࠀ䂉䰟_x001B_华幃南彆偅当䥄⡌呌卍㌬㘹ㄹ착_x0018_＀＀_x0018_＀＀_x0008_＀＀_x0001_＀＀_x0001_＀＀㝌䆉䀏䰟_x001C_华幃捩彡敭湡䕟卐㈨〰ⰲ㜳㘵⤰_x0018_＀＀_x0018_＀＀_x0008_＀＀_x0001_＀＀_x0001_＀＀휊炣਽㿳䰟_x001C_华幃捩彡敭湡䕟卐㈨〰ⰸ㤳㌲⤳_x0018_＀＀_x0018_＀＀_x0008_＀＀_x0001_＀＀_x0001_＀＀ਾꏗ㵰䀑䰟_x001A_华幃南彆䕄呂䱟⡔呑ⱒ㜳㘵⤰_x0018_＀＀_x0018_＀＀_x0008_＀＀_x0001_＀＀_x0001_＀＀＀＀＀＀猀䂻䰟_x001C_华幃南彆䡓䑌卒䕟⡑呑ⱒ〴㠰⤶_x0018_＀＀_x0018_＀＀_x0008_＀＀_x0001_＀＀_x0001_＀＀＀＀＀＀꤀䃃䰟_x001E_华幃捩彡敭湡䕟䥂䑔㈨〰ⰸ㤳㘲⤳_x0018_＀＀_x0018_＀＀_x0008_＀＀_x0001_＀＀_x0001_＀＀ᑻ䞮㇡䂭⦆䱚J华幃䅃偟久当䱐乁䅟呓ㄨ⼲〲㠰ⰬⰬ单⥄址当䕐华佉彎䅖彌十䕓協ㄨ⼲〲㠰ⰬⰬ单⥄_x0018_＀＀_x0018_＀＀_x0008_＀＀_x0001_＀＀_x0001_＀＀＀＀＀＀퐀䂔䰟_x001E_华幃南彆䉅呉䅄䵟乇䰨䵔ⱓ㤳㠷⤲_x0018_＀＀_x0018_＀＀_x0008_＀＀_x0001_＀＀_x0001_＀＀燍㌊䁂⦎䱚)华幃南䡟呌䍈剁彅䥄䍓剟呁⡅㈱㈯〰ⰶⰬ唬䑓착_x0018_＀＀_x0018_＀＀_x0008_＀＀_x0001_＀＀_x0001_＀＀＀＀＀＀＀＀䀗䰟_x001C_华幃捩彡敭湡偟䥔㈨〰ⰹ㤳㠷⤲_x0018_＀＀_x0018_＀＀_x0008_＀＀_x0001_＀＀_x0001_＀＀竡긔䂦䰟_x001B_华幃南彆呐彘义⡃呌卍㐬〰㘸착_x0018_＀＀_x0018_＀＀_x0008_＀＀_x0001_＀＀_x0001_＀＀＀＀＀＀Ⰰ䂝䰟_x001C_华幃捩彡敭湡䕟卐㈨〰ⰵ㠳㜰⤷_x0018_＀＀_x0018_＀＀_x0008_＀＀_x0001_＀＀_x0001_＀＀尩슏⣵㿼⦆䱚(华幃䅃偟久当䅐呒䍟乏剔䉉ㄨ⼲〲㤰ⰬⰬ单⥄_x0018_＀＀_x0018_＀＀_x0008_＀＀_x0001_＀＀_x0001_＀＀＀＀＀＀＀＀＀＀䰟_x001A_华幃南彆䅃䡓卟⡔呑ⱒ㠳㌵⤳_x0018_＀＀_x0018_＀＀_x0008_＀＀_x0001_＀＀_x0001_＀＀＀＀＀＀㠀䂃䰟_x0019_华幃南彆十䕓協儨剔㌬〸㜱착_x0018_＀＀_x0018_＀＀_x0008_＀＀_x0001_＀＀_x0001_＀＀＀＀＀＀ᴀ䃔䰟_x001C_华幃捩彡敭湡獟獬㈨〰ⰹ㤳㈷⤱_x0018_＀＀_x0018_＀＀_x0008_＀＀_x0001_＀＀_x0001_＀＀Ẹ黱䃆䰟_x001C_华幃捩彡敭湡偟䥔㈨〰ⰴ㠳㘲⤰_x0018_＀＀_x0018_＀＀_x0008_＀＀_x0001_＀＀_x0001_＀＀Ẹ桑䂑䰟_x001A_华幃南彆䅃䡓卟⡔呑ⱒ㠳㠳⤳_x0018_＀＀_x0018_＀＀_x0008_＀＀_x0001_＀＀_x0001_＀＀＀＀＀＀䂄䰟_x001B_华幃南彆䕎彔义⡃呌卍㌬㘸㘸착_x0018_＀＀_x0018_＀＀_x0008_＀＀_x0001_＀＀_x0001_＀＀＀＀＀＀簀䂒䰟_x001A_华幃南彆䅃䡓卟⡔呑ⱒ㜳㠶⤰_x0018_＀＀_x0018_＀＀_x0008_＀＀_x0001_＀＀_x0001_＀＀＀＀＀＀＀＀䁧䰟_x001C_华幃南彆䡓䑌卒䕟⡑呑ⱒ㠳〸⤷_x0018_＀＀_x0018_＀＀_x0008_＀＀_x0001_＀＀_x0001_＀＀＀＀＀＀䃂䰟_x0019_华幃南彆十䕓協儨剔㌬ㄷ㐶착_x0018_＀＀_x0018_＀＀_x0008_＀＀_x0001_＀＀_x0001_＀＀＀＀＀＀䃒䰟_x0018_华幃南彆䉅呉䰨䵔ⱓ㜳㐳⤶_x0018_＀＀_x0018_＀＀_x0008_＀＀_x0001_＀＀_x0001_＀＀＀＀＀＀䠀䂒䰟_x001B_华幃南彆偅当䥄⡌呌卍㌬㘸㘵착_x0018_＀＀_x0018_＀＀_x0008_＀＀_x0001_＀＀_x0001_＀＀䵪軳䀆䰟_x001B_华幃南彆䕎彔义⡃呌卍㌬㜹ㄲ착_x0018_＀＀_x0018_＀＀_x0008_＀＀_x0001_＀＀_x0001_＀＀＀＀＀＀ﰀ䂙䰟_x001D_华幃捩彡敭湡䕟䥂⡔〲㠰㌬㘹ㄹ착_x0018_＀＀_x0018_＀＀_x0008_＀＀_x0001_＀＀_x0001_＀＀ᑻ䞮秡䂧䰟_x001C_华幃捩彡敭湡䕟卐㈨〰ⰲ㜳ㄳ⤵_x0018_＀＀_x0018_＀＀_x0008_＀＀_x0001_＀＀_x0001_＀＀Ẹ롑㿲䰟_x001C_华幃捩彡敭湡䕟卐㈨〰ⰳ㜳㠶⤰_x0018_＀＀_x0018_＀＀_x0008_＀＀_x0001_＀＀_x0001_＀＀晧晦晦㿶⦆䱚'华幃䅃偟久当商䑎卟䅔啔⡓㈱㈯〰ⰹⰬ唬䑓착_x0018_＀＀_x0018_＀＀_x0008_＀＀_x0001_＀＀_x0001_＀＀＀＀＀＀䀀쁣䰟)华幃南偟久䥓乏噟䱁䅟卓呅⡓㈱㈯〰ⰳⰬ唬䑓착_x0018_＀＀_x0018_＀＀_x0008_＀＀_x0001_＀＀_x0001_＀＀＀＀＀＀䂚䰟_x0012_华幃彐剐䍉⡅㠳㘱⤸_x0018_＀＀_x0018_＀＀_x0008_＀＀_x0001_＀＀_x0001_＀＀롑蔞䀺䰟_x001A_华幃南彆䕄呂䱟⡔呑ⱒ㜳ㄳ⤵_x0018_＀＀_x0018_＀＀_x0008_＀＀_x0001_＀＀_x0001_＀＀＀＀＀＀猀䂻䰟_x001A_华幃南彆䕄呂卟⡔呑ⱒ㤳ㄴ⤶_x0018_＀＀_x0018_＀＀_x0008_＀＀_x0001_＀＀_x0001_＀＀＀＀＀＀䁷䰟_x001C_华幃南彆䡓䑌卒䕟⡑呑ⱒ㤳㐴⤷_x0018_＀＀_x0018_＀＀_x0008_＀＀_x0001_＀＀_x0001_＀＀＀＀＀＀_xFFFF_ﾀ䃂䰟_x0019_华幃南彆十䕓協儨剔㌬㘹㤲착_x0018_＀＀_x0018_＀＀_x0008_＀＀_x0001_＀＀_x0001_＀＀＀＀＀＀쮀䃙䰟_x001E_华幃南彆䉅呉䅄䵟乇䰨䵔ⱓ㜳㜰⤲_x0018_＀＀_x0018_＀＀_x0008_＀＀_x0001_＀＀_x0001_＀＀櫊듥哮䀸䰟_x001C_华幃捩彡敭湡獟獬㈨〰ⰶ㠳㘵⤴_x0018_＀＀_x0018_＀＀_x0008_＀＀_x0001_＀＀_x0001_＀＀尩슏킵䃀䰟_x0018_华幃南彆䉅呉䰨䵔ⱓ㤳㈰⤱_x0018_＀＀_x0018_＀＀_x0008_＀＀_x0001_＀＀_x0001_＀＀＀＀＀＀가䂥䰟_x001D_华幃捩彡敭湡䕟䥂⡔〲㜰㌬㈹㌶착_x0018_＀＀_x0018_＀＀_x0008_＀＀_x0001_＀＀_x0001_＀＀쳍쳌둌䂤䰟_x001C_华幃捩彡敭湡偟䥔㈨〰ⰷ㤳㈰⤱_x0018_＀＀_x0018_＀＀_x0008_＀＀_x0001_＀＀_x0001_＀＀ਾꏗ俰䂣䰟_x0011_华幃浣獟獨㌨㈸ㄹ착_x0018_＀＀_x0018_＀＀_x0008_＀＀_x0001_＀＀_x0001_＀＀᧎_xDA51_쀛䁸䰟_x0019_华幃南彆十䕓協儨剔㌬㤷㘸착_x0018_＀＀_x0018_＀＀_x0008_＀＀_x0001_＀＀_x0001_＀＀＀＀＀＀ᴀ䃔䰟_x0019_华幃南彆十䕓協儨剔㌬㜸㘷착_x0018_＀＀_x0018_＀＀_x0008_＀＀_x0001_＀＀_x0001_＀＀＀＀＀＀䅀䃙䰟_x001B_华幃南彆呐彘义⡃呌卍㌬㠸㜰착_x0018_＀＀_x0018_＀＀_x0008_＀＀_x0001_＀＀_x0001_＀＀＀＀＀＀가䂞䰟_x001E_华幃捩彡敭湡䕟䥂䑔㈨〰ⰸ㤳ㄱ⤳_x0018_＀＀_x0018_＀＀_x0008_＀＀_x0001_＀＀_x0001_＀＀炤਽짗䂮⦆䱚M华幃䅃偟久当剐佉归剓⡖㈱㈯〰ⰶⰬ唬䑓䀩南偟久䥓乏偟归䕓噒䍟协⡔㈱㈯〰ⰶⰬ唬䑓착_x0018_＀＀_x0018_＀＀_x0008_＀＀_x0001_＀＀_x0001_＀＀＀＀＀＀＀＀䀀䰟_x0012_华幃彐剐䍉⡅㜳㘵⤰_x0018_＀＀_x0018_＀＀_x0008_＀＀_x0001_＀＀_x0001_＀＀㌴㌳㌳䀴䰟_x001E_华幃南彆䉅呉䅄䵟乇䰨䵔ⱓ㜳㤸⤴_x0018_＀＀_x0018_＀＀_x0008_＀＀_x0001_＀＀_x0001_＀＀糄粆_xDA14_䀻䰟_x0019_华幃南彆䅓䕌⡓呌卍㌬ㄹ㈷착_x0018_＀＀_x0018_＀＀_x0008_＀＀_x0001_＀＀_x0001_＀＀＀＀＀＀䎀䃂䰟_x001B_华幃南彆呐彘义⡃呌卍㌬㐹㜴착_x0018_＀＀_x0018_＀＀_x0008_＀＀_x0001_＀＀_x0001_＀＀＀＀＀＀倀䂡䰟_x001C_华幃捩彡敭湡䕟卐㈨〰ⰶ㠳㐴⤲_x0018_＀＀_x0018_＀＀_x0008_＀＀_x0001_＀＀_x0001_＀＀쳍쳌쳌䀆⦆䱚M华幃䅃偟久当剐佉归剓⡖㈱㈯〰ⰷⰬ唬䑓䀩南偟久䥓乏偟归䕓噒䍟协⡔㈱㈯〰ⰷⰬ唬䑓착_x0018_＀＀_x0018_＀＀_x0008_＀＀_x0001_＀＀_x0001_＀＀＀＀＀＀＀＀䀀䰟_x001A_华幃南彆䅃䡓卟⡔呑ⱒ㠳㌱⤸_x0018_＀＀_x0018_＀＀_x0008_＀＀_x0001_＀＀_x0001_＀＀＀＀＀＀쀀䁚䰟_x001B_华幃南彆䕎彔义⡃呌卍㌬〷ㄱ착_x0018_＀＀_x0018_＀＀_x0008_＀＀_x0001_＀＀_x0001_＀＀＀＀＀＀退䁱䰟_x001C_华幃捩彡敭湡䕟卐㈨〰ⰶ㤳㠰⤲_x0018_＀＀_x0018_＀＀_x0008_＀＀_x0001_＀＀_x0001_＀＀슐⣵轜䀌⦎䱚T华幃䅃偟协剔呅偟䥒剏卟噒ㄨ⼲〲㌰ⰬⰬ单⥄址当䱈䡔䅃䕒啟剎䍅卟剅彖佃呓ㄨ⼲〲㌰ⰬⰬ单⥄_x0018_＀＀_x0018_＀＀_x0008_＀＀_x0001_＀＀_x0001_＀＀＀＀＀＀＀＀쁆䰟_x001A_华幃南彆䕄呂䱟⡔呑ⱒ〴㔰⤶_x0018_＀＀_x0018_＀＀_x0008_＀＀_x0001_＀＀_x0001_＀＀＀＀＀＀ 䂺䰟_x0019_华幃南彆䅓䕌⡓呌卍㌬㤹㐹착_x0018_＀＀_x0018_＀＀_x0008_＀＀_x0001_＀＀_x0001_＀＀＀＀＀＀䃁䰟_x0018_华幃南彆䉅呉䰨䵔ⱓ㠳㤹⤰_x0018_＀＀_x0018_＀＀_x0008_＀＀_x0001_＀＀_x0001_＀＀＀＀＀＀가䂥䰟_x001D_华幃捩彡敭湡䕟䥂⡔〲㐰㌬㌸㈵착_x0018_＀＀_x0018_＀＀_x0008_＀＀_x0001_＀＀_x0001_＀＀㌳㌳簳䂚䰟_x001C_华幃捩彡敭湡偟䥔㈨〰ⰶ㠳㈶⤵_x0018_＀＀_x0018_＀＀_x0008_＀＀_x0001_＀＀_x0001_＀＀炤਽㿗䂜䰟_x001C_华幃捩彡敭湡偟䥔㈨〰ⰷ㠳㤹⤰_x0018_＀＀_x0018_＀＀_x0008_＀＀_x0001_＀＀_x0001_＀＀馚香䜙䂣⦅䱚 华幃南䕟䍘彈䅒䕔䉟䱁卟⡈㈱㈯〰⤷_x0018_＀＀_x0018_＀＀_x0008_＀＀_x0001_＀＀_x0001_＀＀豀碵꼝쐕䰟_x001D_华幃捩彡敭湡䕟䥂⡔〲㘰㌬㠸㠶착_x0018_＀＀_x0018_＀＀_x0008_＀＀_x0001_＀＀_x0001_＀＀炤਽ꍗ䂣⦎䱚(华幃南䡟呌䍈剁彅乕彆䕂⡎㈱㈯〰ⰶⰬ唬䑓⤩＀＀＀＀䰟_x001B_华幃南彆䕎彔义⡃呌卍㌬㠷㌳착_x0018_＀＀_x0018_＀＀_x0008_＀＀_x0001_＀＀_x0001_＀＀＀＀＀＀퀀䁽䰟_x001C_华幃捩彡敭湡偟䥔㈨〰ⰸ㤳㐱⤱_x0018_＀＀_x0018_＀＀_x0008_＀＀_x0001_＀＀_x0001_＀＀Ẹ쉑䂤䰟_x0011_华幃浣獟獨㌨㈷㘵착_x0018_＀＀_x0018_＀＀_x0008_＀＀_x0001_＀＀_x0001_＀＀䴂඄ᵏ䁸䰟_x0011_华幃浣獟獨㌨〸㘴착_x0018_＀＀_x0018_＀＀_x0008_＀＀_x0001_＀＀_x0001_＀＀굃_xDE69_牱䁸䰟_x001B_华幃南彆䕎彔义⡃呌卍㌬㈹㌶착_x0018_＀＀_x0018_＀＀_x0008_＀＀_x0001_＀＀_x0001_＀＀＀＀＀＀ 䂗䰟_x001C_华幃捩彡敭湡䕟卐㈨㄰ⰰ〴㜱⤸_x0018_＀＀_x0018_＀＀_x0008_＀＀_x0001_＀＀_x0001_＀＀ᑺ䞮䀋⦆䱚Q华幃䅃偟久当䍁啃彍佃偍䥒䍎ㄨ⼲〲㘰ⰬⰬ单⥄址当佃偍归义彃䕐华䱟䅉⡂㈱㈯〰ⰶⰬ唬䑓착_x0018_＀＀_x0018_＀＀_x0008_＀＀_x0001_＀＀_x0001_＀＀＀＀＀＀뀀쁳䰟_x0012_华幃彐剐䍉⡅㜳ㄳ⤵_x0018_＀＀_x0018_＀＀_x0008_＀＀_x0001_＀＀_x0001_＀＀휊炣쨽䀷䰟_x001A_华幃南彆䕄呂卟⡔呑ⱒ㠳㘱⤸_x0018_＀＀_x0018_＀＀_x0008_＀＀_x0001_＀＀_x0001_＀＀＀＀＀＀䁿䰟_x001C_华幃南彆䡓䑌卒䕟⡑呑ⱒ㠳㤱⤹_x0018_＀＀_x0018_＀＀_x0008_＀＀_x0001_＀＀_x0001_＀＀＀＀＀＀묀䂼䰟_x001B_华幃南彆偅当䥄⡌呌卍㌬㈹㌳착_x0018_＀＀_x0018_＀＀_x0008_＀＀_x0001_＀＀_x0001_＀＀㪓䴁඄䀍䰟_x001E_华幃捩彡敭湡䕟䥂䑔㈨〰ⰷ㤳㤲⤴_x0018_＀＀_x0018_＀＀_x0008_＀＀_x0001_＀＀_x0001_＀＀쳍쳌둌䂪䰟_x001D_华幃捩彡敭湡䕟䥂⡔〲㜰㌬ㄹ㌱착_x0018_＀＀_x0018_＀＀_x0008_＀＀_x0001_＀＀_x0001_＀＀㵱휊눣䂦䰟_x001C_华幃捩彡敭湡䕟卐㈨〰ⰵ㠳㠶⤶_x0018_＀＀_x0018_＀＀_x0008_＀＀_x0001_＀＀_x0001_＀＀馚香香䀅⦆䱚'华幃南偟久偟协彔䕒彔䕂⡎㈱㈯〰ⰶⰬ唬䑓착_x0018_＀＀_x0018_＀＀_x0008_＀＀_x0001_＀＀_x0001_＀＀＀＀＀＀䂇䰟_x0019_华幃南彆十䕓協儨剔㌬㐹㘱착_x0018_＀＀_x0018_＀＀_x0008_＀＀_x0001_＀＀_x0001_＀＀＀＀＀＀娀䃙䰟_x001E_华幃南彆䉅呉䅄䵟乇䰨䵔ⱓ㜳㤴⤹_x0018_＀＀_x0018_＀＀_x0008_＀＀_x0001_＀＀_x0001_＀＀뵌뼌䀻䰟_x001B_华幃南彆偅当䥄⡌呌卍㌬㤶〵착_x0018_＀＀_x0018_＀＀_x0008_＀＀_x0001_＀＀_x0001_＀＀賧븍㿜䰟_x001D_华幃捩彡敭湡䕟䥂⡔〲㤰㌬㘹㤲착_x0018_＀＀_x0018_＀＀_x0008_＀＀_x0001_＀＀_x0001_＀＀슐⣵졜䂨⦆䱚H华幃䅃偟久当义彔佃呓ㄨ⼲〲㠰ⰬⰬ单⥄址当䕐华佉彎义彔佃呓ㄨ⼲〲㠰ⰬⰬ单⥄_x0018_＀＀_x0018_＀＀_x0008_＀＀_x0001_＀＀_x0001_＀＀＀＀＀＀쀀䁘⦆䱚 华幃南䕟䍘彈䅒䕔ㄨ⼲〲㠰ⰬⰬ单⥄_x0018_＀＀_x0018_＀＀_x0008_＀＀_x0001_＀＀_x0001_＀＀＀＀＀＀＀＀㿰䰟_x0011_华幃浣獟獨㌨㠸㠶착_x0018_＀＀_x0018_＀＀_x0008_＀＀_x0001_＀＀_x0001_＀＀Ƥּ䁹䰟_x001A_华幃南彆䅃䡓卟⡔呑ⱒ㤳㠷⤲_x0018_＀＀_x0018_＀＀_x0008_＀＀_x0001_＀＀_x0001_＀＀＀＀＀＀栀䂁䰟_x001C_华幃南彆䡓䑌卒䕟⡑呑ⱒ㜳㐷⤱_x0018_＀＀_x0018_＀＀_x0008_＀＀_x0001_＀＀_x0001_＀＀＀＀＀＀ἀ䂺䰟_x001B_华幃南彆偅当䥄⡌呌卍㌬㔷〹착_x0018_＀＀_x0018_＀＀_x0008_＀＀_x0001_＀＀_x0001_＀＀ⓝ脆䎕㿲䰟_x0011_华幃浣獟獨㌨㤹㌰착_x0018_＀＀_x0018_＀＀_x0008_＀＀_x0001_＀＀_x0001_＀＀㲟퐬䁶䰟_x001A_华幃南彆䕄呂卟⡔呑ⱒ㜳㘵⤰_x0018_＀＀_x0018_＀＀_x0008_＀＀_x0001_＀＀_x0001_＀＀＀＀＀＀䀀䁶䰟_x0018_华幃南彆䉅呉䰨䵔ⱓ㜳㔹⤵_x0018_＀＀_x0018_＀＀_x0008_＀＀_x0001_＀＀_x0001_＀＀＀＀＀＀鐀䂓䰟_x001B_华幃南彆呐彘义⡃呌卍㌬ㄸ㤹착_x0018_＀＀_x0018_＀＀_x0008_＀＀_x0001_＀＀_x0001_＀＀＀＀＀＀ࠀ䂉䰟_x001D_华幃捩彡敭湡䕟䥂⡔〲㔰㌬㐸㈷착_x0018_＀＀_x0018_＀＀_x0008_＀＀_x0001_＀＀_x0001_＀＀䞮竡䠔䂞䰟_x001C_华幃捩彡敭湡偟䥔㈨〰ⰵ㠳㌲⤰_x0018_＀＀_x0018_＀＀_x0008_＀＀_x0001_＀＀_x0001_＀＀ᑻ䞮䂓⦆䱚'华幃南偟久䥓乏也呅䱟䅉⡂㈱㈯〰ⰶⰬ唬䑓착_x0018_＀＀_x0018_＀＀_x0008_＀＀_x0001_＀＀_x0001_＀＀豀碵꼝쐕䰟_x0019_华幃南彆䅓䕌⡓呌卍㌬㔹㤹착_x0018_＀＀_x0018_＀＀_x0008_＀＀_x0001_＀＀_x0001_＀＀＀＀＀＀䃂䰟_x0018_华幃南彆䉅呉䰨䵔ⱓ㠳㤵⤵_x0018_＀＀_x0018_＀＀_x0008_＀＀_x0001_＀＀_x0001_＀＀＀＀＀＀䠀䂟䰟_x001C_华幃捩彡敭湡獟獬㈨〰ⰸ㤳㔷⤲_x0018_＀＀_x0018_＀＀_x0008_＀＀_x0001_＀＀_x0001_＀＀轜Ꭸ䃅䰟_x001D_华幃捩彡敭湡䕟䥂⡔〲ㄱ㐬㈰㤰착_x0018_＀＀_x0018_＀＀_x0008_＀＀_x0001_＀＀_x0001_＀＀⣶轜_xD942_䂤䰟_x001C_华幃捩彡敭湡䕟卐㈨〰ⰸ㤳㐴⤷_x0018_＀＀_x0018_＀＀_x0008_＀＀_x0001_＀＀_x0001_＀＀凬Ẹ䀏䰟_x001A_华幃南彆䕄呂䱟⡔呑ⱒ㠳㘵⤴_x0018_＀＀_x0018_＀＀_x0008_＀＀_x0001_＀＀_x0001_＀＀＀＀＀＀_xDD00_䂺䰟_x0019_华幃南彆䅓䕌⡓呌卍㌬㠹㐴착_x0018_＀＀_x0018_＀＀_x0008_＀＀_x0001_＀＀_x0001_＀＀＀＀＀＀튀䃄䰟_x001B_华幃南彆呐彘义⡃呌卍㌬㜷ㄴ착_x0018_＀＀_x0018_＀＀_x0008_＀＀_x0001_＀＀_x0001_＀＀＀＀＀＀뀀䂅䰟_x001E_华幃捩彡敭湡䕟䥂䑔㈨〰ⰶ㠳㤸⤸_x0018_＀＀_x0018_＀＀_x0008_＀＀_x0001_＀＀_x0001_＀＀ᑺ넮䂩䰟_x0012_华幃彐剐䍉⡅〴㔰⤶_x0018_＀＀_x0018_＀＀_x0008_＀＀_x0001_＀＀_x0001_＀＀슏⣵䁆⦎䱚G华幃䅃偟协剔呅䍟协⡔㈱㈯〰ⰳⰬ唬䑓䀩南䡟呌䍈剁彅偎彐塅⡐㈱㈯〰ⰳⰬ唬䑓착_x0018_＀＀_x0018_＀＀_x0008_＀＀_x0001_＀＀_x0001_＀＀＀＀＀＀＀＀䁔⦆䱚J华幃䅃偟久当佒彁䅒䕔ㄨ⼲〲㘰ⰬⰬ单⥄址当䕐华佉彎塅彐呌剟䅏ㄨ⼲〲㘰ⰬⰬ单⥄_x0018_＀＀_x0018_＀＀_x0008_＀＀_x0001_＀＀_x0001_＀＀＀＀＀＀＀＀䀢䰟_x001C_华幃捩彡敭湡獟獬㈨〰ⰵ㠳㤵⤵_x0018_＀＀_x0018_＀＀_x0008_＀＀_x0001_＀＀_x0001_＀＀휊炣㵝䃀䰟_x001D_华幃捩彡敭湡䕟䥂⡔〲㠰㌬㈹㌳착_x0018_＀＀_x0018_＀＀_x0008_＀＀_x0001_＀＀_x0001_＀＀凬Ẹ뺅䂦䰟_x001A_华幃南彆䅃䡓卟⡔呑ⱒ㜳㜰⤲_x0018_＀＀_x0018_＀＀_x0008_＀＀_x0001_＀＀_x0001_＀＀＀＀＀＀耀䁇䰟_x001B_华幃南彆䕎彔义⡃呌卍㌬ㄹ㌱착_x0018_＀＀_x0018_＀＀_x0008_＀＀_x0001_＀＀_x0001_＀＀＀＀＀＀␀䂗䰟_x001C_华幃捩彡敭湡偟䥔㈨〰ⰸ㤳㘵⤸_x0018_＀＀_x0018_＀＀_x0008_＀＀_x0001_＀＀_x0001_＀＀롒蔞黫䂢⦎䱚F华幃䅃偟协剔呅剟䅏ㄨ⼲〲㌰ⰬⰬ单⥄址当䱈䡔䅃䕒䕟偘剟䅏ㄨ⼲〲㌰ⰬⰬ单⥄_x0018_＀＀_x0018_＀＀_x0008_＀＀_x0001_＀＀_x0001_＀＀＀＀＀＀＀＀쀨䰟_x001A_华幃南彆䕄呂卟⡔呑ⱒ㜳ㄳ⤵_x0018_＀＀_x0018_＀＀_x0008_＀＀_x0001_＀＀_x0001_＀＀＀＀＀＀倀䂌䰟_x001C_华幃南彆䡓䑌卒䕟⡑呑ⱒ㜳㐳⤶_x0018_＀＀_x0018_＀＀_x0008_＀＀_x0001_＀＀_x0001_＀＀＀＀＀＀䌀䂸䰟_x001B_华幃南彆偅当䥄⡌呌卍㌬ㄷ㔹착_x0018_＀＀_x0018_＀＀_x0008_＀＀_x0001_＀＀_x0001_＀＀䖢퓽㿤䰟_x001B_华幃南彆䕎彔义⡃呌卍㌬㈸〶착_x0018_＀＀_x0018_＀＀_x0008_＀＀_x0001_＀＀_x0001_＀＀＀＀＀＀㠀䂆䰟_x001C_华幃捩彡敭湡偟䥔㈨〰ⰸ㤳ㄸ⤳_x0018_＀＀_x0018_＀＀_x0008_＀＀_x0001_＀＀_x0001_＀＀Ẹ牑䂥䰟_x001C_华幃捩彡敭湡䕟卐㈨〰ⰷ㤳〲⤲_x0018_＀＀_x0018_＀＀_x0008_＀＀_x0001_＀＀_x0001_＀＀竡긔䀎䰟_x001A_华幃南彆䅃䡓卟⡔呑ⱒ㜳㤸⤴_x0018_＀＀_x0018_＀＀_x0008_＀＀_x0001_＀＀_x0001_＀＀＀＀＀＀ 䁤䰟_x0019_华幃南彆十䕓協儨剔㌬ㄸ㠶착_x0018_＀＀_x0018_＀＀_x0008_＀＀_x0001_＀＀_x0001_＀＀＀＀＀＀址䃔䰟_x0019_华幃南彆䅓䕌⡓呌卍㌬ㄷ㐳착_x0018_＀＀_x0018_＀＀_x0008_＀＀_x0001_＀＀_x0001_＀＀＀＀＀＀ᴀ䂸䰟_x001B_华幃南彆偅当䥄⡌呌卍㌬㈸〳착_x0018_＀＀_x0018_＀＀_x0008_＀＀_x0001_＀＀_x0001_＀＀傰驫㿶䰟_x001C_华幃捩彡敭湡獟獬㈨〰ⰸ㤳〵⤷_x0018_＀＀_x0018_＀＀_x0008_＀＀_x0001_＀＀_x0001_＀＀蔟凫凸䃃䰟_x001C_华幃捩彡敭湡獟獬㈨〰ⰹ㤳㜸⤲_x0018_＀＀_x0018_＀＀_x0008_＀＀_x0001_＀＀_x0001_＀＀ᑻ䞮ꢡ䃂䰟_x001C_华幃捩彡敭湡䕟卐㈨〰ⰲ㜳㈵⤹_x0018_＀＀_x0018_＀＀_x0008_＀＀_x0001_＀＀_x0001_＀＀竡긔㿲䰟_x001C_华幃捩彡敭湡䕟卐㈨〰ⰳ㜳㤸⤴_x0018_＀＀_x0018_＀＀_x0008_＀＀_x0001_＀＀_x0001_＀＀炤਽ꏗ㿴䰟_x001A_华幃南彆䕄呂䱟⡔呑ⱒ㜳㈵⤹_x0018_＀＀_x0018_＀＀_x0008_＀＀_x0001_＀＀_x0001_＀＀＀＀＀＀猀䂻䰟_x001C_华幃南彆䡓䑌卒䕟⡑呑ⱒ㤳㈰⤱_x0018_＀＀_x0018_＀＀_x0008_＀＀_x0001_＀＀_x0001_＀＀＀＀＀＀떀䃂䰟_x001D_华幃捩彡敭湡䕟䥂⡔〲㜰㌬㠸㜳착_x0018_＀＀_x0018_＀＀_x0008_＀＀_x0001_＀＀_x0001_＀＀凬Ẹ붅䂤⦎䱚P华幃䅃偟协剔呅偟䅌彎十彔久⡄㈱㈯〰ⰵⰬ唬䑓䀩南䡟呌䍈剁彅噆䅟卓呅ㄨ⼲〲㔰ⰬⰬ单⥄_x0018_＀＀_x0018_＀＀_x0008_＀＀_x0001_＀＀_x0001_＀＀＀＀＀＀＀＀䁛䰟_x001E_华幃南彆䉅呉䅄䵟乇䰨䵔ⱓ㠳㈳⤱_x0018_＀＀_x0018_＀＀_x0008_＀＀_x0001_＀＀_x0001_＀＀_xDF32_靹맅䀼䰟_x001B_华幃南彆呐彘义⡃呌卍㌬㌷㘴착_x0018_＀＀_x0018_＀＀_x0008_＀＀_x0001_＀＀_x0001_＀＀＀＀＀＀䂂䰟_x001B_华幃南彆䕎彔义⡃呌卍㌬㠹㈷착_x0018_＀＀_x0018_＀＀_x0008_＀＀_x0001_＀＀_x0001_＀＀＀＀＀＀퀀䂚䰟_x001C_华幃捩彡敭湡䕟卐㈨〰ⰹ〴㔰⤶_x0018_＀＀_x0018_＀＀_x0008_＀＀_x0001_＀＀_x0001_＀＀ᑻ䞮竡䀆⦎䱚E华幃䅃偟协剔呅䉟久佟⡂㈱㈯〰ⰹⰬ唬䑓䀩南䡟呌䍈剁彅䉐⡏㈱㈯〰ⰹⰬ唬䑓착_x0018_＀＀_x0018_＀＀_x0008_＀＀_x0001_＀＀_x0001_＀＀＀＀＀＀倀䂐䰟_x0019_华幃南彆十䕓協儨剔㌬㔷〶착_x0018_＀＀_x0018_＀＀_x0008_＀＀_x0001_＀＀_x0001_＀＀＀＀＀＀咀䃓䰟_x001E_华幃捩彡敭湡䕟䥂䑔㈨〰ⰶ㠳㐷⤸_x0018_＀＀_x0018_＀＀_x0008_＀＀_x0001_＀＀_x0001_＀＀晧晦葦䂨䰟_x001C_华幃捩彡敭湡獟獬㈨〰ⰸ㤳㤲⤴_x0018_＀＀_x0018_＀＀_x0008_＀＀_x0001_＀＀_x0001_＀＀＀＀＀＀䃃䰟_x001E_华幃捩彡敭湡䕟䥂䑔㈨〰ⰹ〴㠰⤶_x0018_＀＀_x0018_＀＀_x0008_＀＀_x0001_＀＀_x0001_＀＀ꏗ㵰玊䂦䰟_x0012_华幃彐剐䍉⡅㠳㘵⤴_x0018_＀＀_x0018_＀＀_x0008_＀＀_x0001_＀＀_x0001_＀＀ᑻ䞮髡䁂䰟_x001A_华幃南彆䕄呂䱟⡔呑ⱒ㜳ㄷ⤱_x0018_＀＀_x0018_＀＀_x0008_＀＀_x0001_＀＀_x0001_＀＀＀＀＀＀_xD900_䂺䰟_x001E_华幃南彆䉅呉䅄䵟乇䰨䵔ⱓ㠳㤸⤸_x0018_＀＀_x0018_＀＀_x0008_＀＀_x0001_＀＀_x0001_＀＀瑵䖋䁂䰟_x0019_华幃南彆䅓䕌⡓呌卍㌬㌹㘸착_x0018_＀＀_x0018_＀＀_x0008_＀＀_x0001_＀＀_x0001_＀＀＀＀＀＀⢀䃂䰟_x0018_华幃南彆䉅呉䰨䵔ⱓ㤳㜱⤲_x0018_＀＀_x0018_＀＀_x0008_＀＀_x0001_＀＀_x0001_＀＀＀＀＀＀됀䂤䰟_x001B_华幃南彆呐彘义⡃呌卍㌬〹ㄲ착_x0018_＀＀_x0018_＀＀_x0008_＀＀_x0001_＀＀_x0001_＀＀＀＀＀＀䂡䰟_x001B_华幃南彆偅当䥄⡌呌卍㐬〰㘸착_x0018_＀＀_x0018_＀＀_x0008_＀＀_x0001_＀＀_x0001_＀＀躊刟䀉䰟_x001C_华幃捩彡敭湡獟獬㈨〰ⰶ㠳㘹⤰_x0018_＀＀_x0018_＀＀_x0008_＀＀_x0001_＀＀_x0001_＀＀롒蔞듋䃂䰟_x001C_华幃捩彡敭湡偟䥔㈨〰ⰷ㤳㜱⤲_x0018_＀＀_x0018_＀＀_x0008_＀＀_x0001_＀＀_x0001_＀＀ꏗ㵰켊䂢䰟_x001A_华幃南彆䕄呂䱟⡔呑ⱒ㤳㐱⤱_x0018_＀＀_x0018_＀＀_x0008_＀＀_x0001_＀＀_x0001_＀＀＀＀＀＀_xDD00_䂷䰟_x001A_华幃南彆䕄呂卟⡔呑ⱒ〴㔰⤶_x0018_＀＀_x0018_＀＀_x0008_＀＀_x0001_＀＀_x0001_＀＀＀＀＀＀ꀀ䁸䰟_x001E_华幃南彆䉅呉䅄䵟乇䰨䵔ⱓ㤳㌹⤳_x0018_＀＀_x0018_＀＀_x0008_＀＀_x0001_＀＀_x0001_＀＀쏍䭦䁂䰟_x0019_华幃南彆䅓䕌⡓呌卍㐬〰㔲착_x0018_＀＀_x0018_＀＀_x0008_＀＀_x0001_＀＀_x0001_＀＀＀＀＀＀䃁䰟_x001C_华幃捩彡敭湡䕟卐㈨〰ⰶ㠳㔶⤶_x0018_＀＀_x0018_＀＀_x0008_＀＀_x0001_＀＀_x0001_＀＀炤਽ꏗ䀈䰟_x001C_华幃南彆䡓䑌卒䕟⡑呑ⱒ㠳㤹⤰_x0018_＀＀_x0018_＀＀_x0008_＀＀_x0001_＀＀_x0001_＀＀＀＀＀＀떀䃂䰟_x001B_华幃南彆䕎彔义⡃呌卍㌬㈷㔲착_x0018_＀＀_x0018_＀＀_x0008_＀＀_x0001_＀＀_x0001_＀＀＀＀＀＀耀䁯䰟_x001C_华幃捩彡敭湡偟䥔㈨〰ⰹ㤳㌹⤳_x0018_＀＀_x0018_＀＀_x0008_＀＀_x0001_＀＀_x0001_＀＀晧晦䂠䰟_x0018_华幃南彆䉅呉䰨䵔ⱓ㤳㤹⤴_x0018_＀＀_x0018_＀＀_x0008_＀＀_x0001_＀＀_x0001_＀＀＀＀＀＀저䂤䰟_x001A_华幃南彆䅃䡓卟⡔呑ⱒ㜳㤴⤹_x0018_＀＀_x0018_＀＀_x0008_＀＀_x0001_＀＀_x0001_＀＀＀＀＀＀耀䁗䰟_x001C_华幃捩彡敭湡獟獬㈨〰ⰷ㠳㤸⤸_x0018_＀＀_x0018_＀＀_x0008_＀＀_x0001_＀＀_x0001_＀＀ᑻ䞮ᠡ䃄䰟_x001D_华幃捩彡敭湡䕟䥂⡔〲㘰㌬㐸㈴착_x0018_＀＀_x0018_＀＀_x0008_＀＀_x0001_＀＀_x0001_＀＀凬Ẹ逅䂠䰟_x001C_华幃捩彡敭湡䕟卐㈨〰ⰳ㜳㤴⤹_x0018_＀＀_x0018_＀＀_x0008_＀＀_x0001_＀＀_x0001_＀＀ꏗ㵰휊㿷⦆䱚%华幃䅃偟久当呌䅟卓呅⡓㈱㈯〰ⰶⰬ唬䑓착_x0018_＀＀_x0018_＀＀_x0008_＀＀_x0001_＀＀_x0001_＀＀＀＀＀＀退䁻⦆䱚(华幃䅃偟久当偐彄䕂彎佃呓ㄨ⼲〲㔰ⰬⰬ单⥄_x0018_＀＀_x0018_＀＀_x0008_＀＀_x0001_＀＀_x0001_＀＀＀＀＀＀ 䂃䰟_x001B_华幃南彆呐彘义⡃呌卍㌬㤸〹착_x0018_＀＀_x0018_＀＀_x0008_＀＀_x0001_＀＀_x0001_＀＀＀＀＀＀䂡䰟_x001B_华幃南彆䕎彔义⡃呌卍㌬㠸㜳착_x0018_＀＀_x0018_＀＀_x0008_＀＀_x0001_＀＀_x0001_＀＀＀＀＀＀쀀䂕䰟_x001E_华幃捩彡敭湡䕟䥂䑔㈨〰ⰵ㠳㔳⤲_x0018_＀＀_x0018_＀＀_x0008_＀＀_x0001_＀＀_x0001_＀＀긕兺䂤䰟_x001D_华幃捩彡敭湡䕟䥂⡔〲㘰㌬〹㈸착_x0018_＀＀_x0018_＀＀_x0008_＀＀_x0001_＀＀_x0001_＀＀蔟凫瞸䂤䰟_x001C_华幃捩彡敭湡偟䥔㈨〰ⰶ㠳㜷⤶_x0018_＀＀_x0018_＀＀_x0008_＀＀_x0001_＀＀_x0001_＀＀ᑺ溮䂟䰟_x001C_华幃捩彡敭湡偟䥔㈨〰ⰸ㤳㔳⤵_x0018_＀＀_x0018_＀＀_x0008_＀＀_x0001_＀＀_x0001_＀＀쳍쳌㧌䂤⦆䱚M华幃䅃偟久当剐佉归剓⡖㈱㈯〰ⰴⰬ唬䑓䀩南偟久䥓乏偟归䕓噒䍟协⡔㈱㈯〰ⰴⰬ唬䑓착_x0018_＀＀_x0018_＀＀_x0008_＀＀_x0001_＀＀_x0001_＀＀＀＀＀＀＀＀䀈䰟_x0019_华幃南彆十䕓協儨剔㌬㌷㔱착_x0018_＀＀_x0018_＀＀_x0008_＀＀_x0001_＀＀_x0001_＀＀＀＀＀＀䃒䰟_x001B_华幃南彆偅当䥄⡌呌卍㌬㠸㜰착_x0018_＀＀_x0018_＀＀_x0008_＀＀_x0001_＀＀_x0001_＀＀㲟퐬暚䀊䰟_x001E_华幃捩彡敭湡䕟䥂䑔㈨〰ⰷ㠳㘸⤸_x0018_＀＀_x0018_＀＀_x0008_＀＀_x0001_＀＀_x0001_＀＀蔟凫箸䂬⦆䱚(华幃南偟久䥓乏䅟卓呅当呌ㄨ⼲〲㤰ⰬⰬ单⥄_x0018_＀＀_x0018_＀＀_x0008_＀＀_x0001_＀＀_x0001_＀＀豀碵꼝쐕⦅䱚&lt;华幃南偟久䥓乏䅟卓呅当佂䑎⡓㈱㈯〰⤶䍀彁䕐华偟呃䙟⡉㈱㈯〰⤶_x0018_＀＀_x0018_＀＀_x0008_＀＀_x0001_＀＀_x0001_＀＀＀＀＀＀＀＀䀷䰟_x0012_华幃彐剐䍉⡅㜳㈵⤹_x0018_＀＀_x0018_＀＀_x0008_＀＀_x0001_＀＀_x0001_＀＀㵱휊ィ䀴䰟_x001B_华幃南彆偅当䥄⡌呌卍㌬㐹㜴착_x0018_＀＀_x0018_＀＀_x0008_＀＀_x0001_＀＀_x0001_＀＀⪙锘৔䀎䰟_x001D_华幃捩彡敭湡䕟䥂⡔〲〱㌬㤹㌳착_x0018_＀＀_x0018_＀＀_x0008_＀＀_x0001_＀＀_x0001_＀＀凬Ẹ礪䂥䰟_x001C_华幃捩彡敭湡䕟卐㈨〰ⰵ㠳㘲⤰_x0018_＀＀_x0018_＀＀_x0008_＀＀_x0001_＀＀_x0001_＀＀尩슏⣵䀂⦔䱚[华幃南剟久䅔彌偏䱟䕓䕟偘ㄨ⼲〲㠰ㄬ⼲〲㠰ⰬⰬ单⥄䍀彁呒剟久彔䥍彎塅⡐㈱㈯〰ⰸ㈱㈯〰ⰸⰬ唬䑓착_x0018_＀＀_x0018_＀＀_x0008_＀＀_x0001_＀＀_x0001_＀＀＀＀＀＀䁦⦆䱚M华幃䅃偟久当剐佉归剓⡖㈱㈯〰ⰵⰬ唬䑓䀩南偟久䥓乏偟归䕓噒䍟协⡔㈱㈯〰ⰵⰬ唬䑓착_x0018_＀＀_x0018_＀＀_x0008_＀＀_x0001_＀＀_x0001_＀＀＀＀＀＀＀＀䀀⦆䱚J华幃䅃偟久当䥄䍓剟呁⡅㈱㈯〰ⰹⰬ唬䑓䀩南偟久䥓乏䑟卉彃䅒䕔ㄨ⼲〲㤰ⰬⰬ单⥄_x0018_＀＀_x0018_＀＀_x0008_＀＀_x0001_＀＀_x0001_＀＀晧晦晦䀗⦆䱚$华幃䅃偟久当呌䱟䅉卂ㄨ⼲〲㠰ⰬⰬ单⥄_x0018_＀＀_x0018_＀＀_x0008_＀＀_x0001_＀＀_x0001_＀＀＀＀＀＀退䁴䰟_x0011_华幃浣獟獨㌨㠷㈰착_x0018_＀＀_x0018_＀＀_x0008_＀＀_x0001_＀＀_x0001_＀＀䴂඄捏䁸䰟_x001C_华幃捩彡敭湡䕟卐㈨〰ⰷ㠳㜷⤶_x0018_＀＀_x0018_＀＀_x0008_＀＀_x0001_＀＀_x0001_＀＀尩슏⣵䀎⦅䱚+华幃南䍟問呎奒也䵁⡅⤰䍀彁佃䥟䍎剏彐呃奒〨착_x001E_＀＀_x0018_＀＀_x000E_＀＀_x0001_＀＀_x0008_＀＀湕瑩摥匠慴整s⦎䱚L华幃䅃偟协剔呅䥟呎䍟协⡔㈱㈯〰ⰴⰬ唬䑓䀩南䡟呌䍈剁彅义彔佃呓ㄨ⼲〲㐰ⰬⰬ单⥄_x0018_＀＀_x0018_＀＀_x0008_＀＀_x0001_＀＀_x0001_＀＀＀＀＀＀耀䁃䰟_x0011_华幃浣獟獨㌨㘷㈵착_x0018_＀＀_x0018_＀＀_x0008_＀＀_x0001_＀＀_x0001_＀＀鵊⚀係䁸䰟_x0011_华幃浣獟獨㌨㐸㈴착_x0018_＀＀_x0018_＀＀_x0008_＀＀_x0001_＀＀_x0001_＀＀旾䑡䁹䰟_x001C_华幃南彆䡓䑌卒䕟⡑呑ⱒ㜳㔹⤵_x0018_＀＀_x0018_＀＀_x0008_＀＀_x0001_＀＀_x0001_＀＀＀＀＀＀̀䂻䰟_x001E_华幃南彆䉅呉䅄䵟乇䰨䵔ⱓ㠳㐷⤸_x0018_＀＀_x0018_＀＀_x0008_＀＀_x0001_＀＀_x0001_＀＀轌砵_xDAE4_䁁䰟_x001E_华幃南彆䉅呉䅄䵟乇䰨䵔ⱓ㤳㌵⤸_x0018_＀＀_x0018_＀＀_x0008_＀＀_x0001_＀＀_x0001_＀＀ᔄ닑ে䁂⦎䱚-华幃䅃偟协剔呅啟归剔佟彂䵁剏⡔㈱㈯〰ⰸⰬ唬䑓착_x0018_＀＀_x0018_＀＀_x0008_＀＀_x0001_＀＀_x0001_＀＀＀＀＀＀＀＀＀＀⦆䱚%华幃䅃偟久当佃偍剟呁⡅㈱㈯〰ⰵⰬ唬䑓착_x0018_＀＀_x0018_＀＀_x0008_＀＀_x0001_＀＀_x0001_＀＀＀＀＀＀＀＀䀒䰟_x0012_华幃彐剐䍉⡅㜳ㄷ⤱_x0018_＀＀_x0018_＀＀_x0008_＀＀_x0001_＀＀_x0001_＀＀슏⣵轜䀲䰟_x0011_华幃浣獟獨㌨〹㈸착_x0018_＀＀_x0018_＀＀_x0008_＀＀_x0001_＀＀_x0001_＀＀蔟凫횸䁸䰟_x001A_华幃南彆䕄呂卟⡔呑ⱒ㠳㘵⤴_x0018_＀＀_x0018_＀＀_x0008_＀＀_x0001_＀＀_x0001_＀＀＀＀＀＀쀀䁜䰟_x001C_华幃南彆䡓䑌卒䕟⡑呑ⱒ㠳㤵⤵_x0018_＀＀_x0018_＀＀_x0008_＀＀_x0001_＀＀_x0001_＀＀＀＀＀＀횀䃀䰟_x0019_华幃南彆䅓䕌⡓呌卍㌬㔸㌳착_x0018_＀＀_x0018_＀＀_x0008_＀＀_x0001_＀＀_x0001_＀＀＀＀＀＀䂾䰟_x001D_华幃捩彡敭湡䕟䥂⡔〲㔰㌬㘸㘸착_x0018_＀＀_x0018_＀＀_x0008_＀＀_x0001_＀＀_x0001_＀＀馚香䶙䂠䰟_x001C_华幃捩彡敭湡偟䥔㈨〰ⰹ㤳㌵⤸_x0018_＀＀_x0018_＀＀_x0008_＀＀_x0001_＀＀_x0001_＀＀Ẹ뿑䂤䰟_x0012_华幃彐剐䍉⡅㤳㐱⤱_x0018_＀＀_x0018_＀＀_x0008_＀＀_x0001_＀＀_x0001_＀＀⣶轜뗂䁇䰟_x0019_华幃南彆䅓䕌⡓呌卍㌬㌸㌸착_x0018_＀＀_x0018_＀＀_x0008_＀＀_x0001_＀＀_x0001_＀＀＀＀＀＀退䂼䰟_x0018_华幃南彆䉅呉䰨䵔ⱓ㤳㤵⤹_x0018_＀＀_x0018_＀＀_x0008_＀＀_x0001_＀＀_x0001_＀＀＀＀＀＀ 䂥⦎䱚'华幃䅃偟协剔呅䉟久偟䥁⡄㈱㈯〰ⰴⰬ唬䑓착_x0018_＀＀_x0018_＀＀_x0008_＀＀_x0001_＀＀_x0001_＀＀＀＀＀＀＀＀䁆䰟_x001A_华幃南彆䕄呂䱟⡔呑ⱒ㤳㘵⤸_x0018_＀＀_x0018_＀＀_x0008_＀＀_x0001_＀＀_x0001_＀＀＀＀＀＀䤀䂸䰟_x0019_华幃南彆十䕓協儨剔㐬〰㘵착_x0018_＀＀_x0018_＀＀_x0008_＀＀_x0001_＀＀_x0001_＀＀＀＀＀＀ɀ䃚䰟_x0019_华幃南彆䅓䕌⡓呌卍㌬㘷〸착_x0018_＀＀_x0018_＀＀_x0008_＀＀_x0001_＀＀_x0001_＀＀＀＀＀＀縀䂸䰟_x0018_华幃南彆䉅呉䰨䵔ⱓ㤳㐸⤴_x0018_＀＀_x0018_＀＀_x0008_＀＀_x0001_＀＀_x0001_＀＀＀＀＀＀였䂨䰟_x001B_华幃南彆呐彘义⡃呌卍㌬㤷㔵착_x0018_＀＀_x0018_＀＀_x0008_＀＀_x0001_＀＀_x0001_＀＀＀＀＀＀　䂆䰟_x001E_华幃捩彡敭湡䕟䥂䑔㈨〰ⰶ㠳㜴⤲_x0018_＀＀_x0018_＀＀_x0008_＀＀_x0001_＀＀_x0001_＀＀尨펏䂦䰟_x001C_华幃捩彡敭湡䕟卐㈨〰ⰴ㜳㘸⤴_x0018_＀＀_x0018_＀＀_x0008_＀＀_x0001_＀＀_x0001_＀＀롒蔞凫㿸䰟_x001A_华幃南彆䕄呂䱟⡔呑ⱒ㤳ㄸ⤳_x0018_＀＀_x0018_＀＀_x0008_＀＀_x0001_＀＀_x0001_＀＀＀＀＀＀✀䂸䰟_x001B_华幃南彆呐彘义⡃呌卍㌬㔸㔹착_x0018_＀＀_x0018_＀＀_x0008_＀＀_x0001_＀＀_x0001_＀＀＀＀＀＀琀䂗䰟_x001C_华幃捩彡敭湡獟獬㈨〰ⰷ㠳㐷⤸_x0018_＀＀_x0018_＀＀_x0008_＀＀_x0001_＀＀_x0001_＀＀Ẹ_xDD31_䃂⦅䱚_x001A_华幃南䕟䍘彈䅒䕔䉟䱁卟⡈⤰_x0018_＀＀_x0018_＀＀_x0008_＀＀_x0001_＀＀_x0001_＀＀豀碵꼝쐕䰟_x001C_华幃捩彡敭湡獟獬㈨㄰ⰰ㤳㤹⤴_x0018_＀＀_x0018_＀＀_x0008_＀＀_x0001_＀＀_x0001_＀＀凬Ẹ_xDA05_䃁䰟_x001D_华幃捩彡敭湡䕟䥂⡔〲㠰㌬㐹㜴착_x0018_＀＀_x0018_＀＀_x0008_＀＀_x0001_＀＀_x0001_＀＀尨⼏䂥⦅䱚 华幃南䕟䍘彈䅒䕔䉟䱁卟⡈㈱㈯〰⤸_x0018_＀＀_x0018_＀＀_x0008_＀＀_x0001_＀＀_x0001_＀＀豀碵꼝쐕䰟_x001A_华幃南彆䕄呂䱟⡔呑ⱒ㠳㘹⤰_x0018_＀＀_x0018_＀＀_x0008_＀＀_x0001_＀＀_x0001_＀＀＀＀＀＀ꐀ䂸⦎䱚)华幃䅃偟协剔呅佟䡔䑁彊䉎⡁㈱㈯〰ⰷⰬ唬䑓착_x0018_＀＀_x0018_＀＀_x0008_＀＀_x0001_＀＀_x0001_＀＀＀＀＀＀瀀䁱⦆䱚N华幃䅃偟久当乕䕒佃⡇㈱㈯〰ⰷⰬ唬䑓䀩南偟久䥓乏啟剎䍅卟剅彖佃呓ㄨ⼲〲㜰ⰬⰬ单⥄_x0018_＀＀_x0018_＀＀_x0008_＀＀_x0001_＀＀_x0001_＀＀＀＀＀＀＀＀䀢䰟_x0011_华幃浣獟獨㌨㐷㜰착_x0018_＀＀_x0018_＀＀_x0008_＀＀_x0001_＀＀_x0001_＀＀锘৔䅨䁸䰟_x001A_华幃南彆䅃䡓卟⡔呑ⱒ㠳㈳⤱_x0018_＀＀_x0018_＀＀_x0008_＀＀_x0001_＀＀_x0001_＀＀＀＀＀＀退䂀䰟_x001E_华幃捩彡敭湡䕟䥂䑔㈨㄰ⰰ㤳㘹⤴_x0018_＀＀_x0018_＀＀_x0008_＀＀_x0001_＀＀_x0001_＀＀긕顺䂪䰟_x001A_华幃南彆䕄呂卟⡔呑ⱒ㜳㈵⤹_x0018_＀＀_x0018_＀＀_x0008_＀＀_x0001_＀＀_x0001_＀＀＀＀＀＀䀀䁶䰟_x001B_华幃南彆偅当䥄⡌呌卍㌬ㄸ㤹착_x0018_＀＀_x0018_＀＀_x0008_＀＀_x0001_＀＀_x0001_＀＀傰驫㿶䰟_x001C_华幃捩彡敭湡䕟卐㈨〰ⰷ㤳ㄴ⤶_x0018_＀＀_x0018_＀＀_x0008_＀＀_x0001_＀＀_x0001_＀＀㵱휊炣䀍䰟_x001A_华幃南彆䅃䡓卟⡔呑ⱒ㠳㤸⤸_x0018_＀＀_x0018_＀＀_x0008_＀＀_x0001_＀＀_x0001_＀＀＀＀＀＀ﰀ䂗䰟_x0019_华幃南彆䅓䕌⡓呌卍㌬ㄸ㠳착_x0018_＀＀_x0018_＀＀_x0008_＀＀_x0001_＀＀_x0001_＀＀＀＀＀＀저䂹䰟_x0018_华幃南彆䉅呉䰨䵔ⱓ㜳㌱⤴_x0018_＀＀_x0018_＀＀_x0008_＀＀_x0001_＀＀_x0001_＀＀＀＀＀＀退䂎䰟_x001B_华幃南彆䕎彔义⡃呌卍㌬㤶ㄸ착_x0018_＀＀_x0018_＀＀_x0008_＀＀_x0001_＀＀_x0001_＀＀＀＀＀＀退䁱䰟_x001C_华幃捩彡敭湡䕟卐㈨〰ⰲ㜳〱⤳_x0018_＀＀_x0018_＀＀_x0008_＀＀_x0001_＀＀_x0001_＀＀슏⣵轜㿶䰟_x001C_华幃捩彡敭湡䕟卐㈨㄰ⰰ㤳㜸⤲_x0018_＀＀_x0018_＀＀_x0008_＀＀_x0001_＀＀_x0001_＀＀ᑻ䞮竡䀒⦅䱚_x000F_华幃南䥟体䍟䑏책_x0014_＀＀_x0018_＀＀_x0004_＀＀_x0001_＀＀_x0008_＀＀单D⦎䱚#华幃䅃偟协剔呅䱟䅉⡂㈱㈯〰ⰳⰬ唬䑓착_x0018_＀＀_x0018_＀＀_x0008_＀＀_x0001_＀＀_x0001_＀＀＀＀＀＀瀀쁶䰟_x001A_华幃南彆䕄呂䱟⡔呑ⱒ㜳〱⤳_x0018_＀＀_x0018_＀＀_x0008_＀＀_x0001_＀＀_x0001_＀＀＀＀＀＀ꀀ䂻䰟_x001A_华幃南彆䅃䡓卟⡔呑ⱒ㤳㌹⤳_x0018_＀＀_x0018_＀＀_x0008_＀＀_x0001_＀＀_x0001_＀＀＀＀＀＀ꀀ䂋䰟_x001B_华幃南彆偅当䥄⡌呌卍㌬㜷ㄴ착_x0018_＀＀_x0018_＀＀_x0008_＀＀_x0001_＀＀_x0001_＀＀珫ᖵ쯻㿲⦆䱚I华幃䅃偟久当剓彖佃呓ㄨ⼲〲㐰ⰬⰬ单⥄址当䕐华佉彎䕓噒䍟协⡔㈱㈯〰ⰴⰬ唬䑓착_x0018_＀＀_x0018_＀＀_x0008_＀＀_x0001_＀＀_x0001_＀＀＀＀＀＀＀＀䀲䰟_x001A_华幃南彆䕄呂卟⡔呑ⱒ㜳ㄷ⤱_x0018_＀＀_x0018_＀＀_x0008_＀＀_x0001_＀＀_x0001_＀＀＀＀＀＀䀀䂃䰟_x001E_华幃南彆䉅呉䅄䵟乇䰨䵔ⱓ㤳㈳⤵_x0018_＀＀_x0018_＀＀_x0008_＀＀_x0001_＀＀_x0001_＀＀䁒ﰆ䛘䁂䰟_x001D_华幃捩彡敭湡䕟䥂⡔〲㜰㌬〹ㄵ착_x0018_＀＀_x0018_＀＀_x0008_＀＀_x0001_＀＀_x0001_＀＀긕_xDA7A_䂥䰟_x001A_华幃南彆䕄呂卟⡔呑ⱒ㤳㐱⤱_x0018_＀＀_x0018_＀＀_x0008_＀＀_x0001_＀＀_x0001_＀＀＀＀＀＀뀀䁾䰟_x001C_华幃南彆䡓䑌卒䕟⡑呑ⱒ㤳㜱⤲_x0018_＀＀_x0018_＀＀_x0008_＀＀_x0001_＀＀_x0001_＀＀＀＀＀＀츀䃂䰟_x0019_华幃南彆十䕓協儨剔㌬㔸㐶착_x0018_＀＀_x0018_＀＀_x0008_＀＀_x0001_＀＀_x0001_＀＀＀＀＀＀勀䃘䰟_x0012_华幃彐剐䍉⡅㤳㘵⤸_x0018_＀＀_x0018_＀＀_x0008_＀＀_x0001_＀＀_x0001_＀＀휊炣쨽䁍䰟_x001A_华幃南彆䕄呂䱟⡔呑ⱒ㜳㈹⤵_x0018_＀＀_x0018_＀＀_x0008_＀＀_x0001_＀＀_x0001_＀＀＀＀＀＀꜀䂺䰟_x001E_华幃南彆䉅呉䅄䵟乇䰨䵔ⱓ㠳㜴⤲_x0018_＀＀_x0018_＀＀_x0008_＀＀_x0001_＀＀_x0001_＀＀噶⚀謥䁀䰟_x0018_华幃南彆䉅呉䰨䵔ⱓ㤳㠳⤶_x0018_＀＀_x0018_＀＀_x0008_＀＀_x0001_＀＀_x0001_＀＀＀＀＀＀㸀䂤䰟_x001C_华幃捩彡敭湡偟䥔㈨〰ⰷ㤳㠳⤶_x0018_＀＀_x0018_＀＀_x0008_＀＀_x0001_＀＀_x0001_＀＀ᑺ䲮䂡⦔䱚%华幃南䥟呎剟呁彅夵噁⡇㈱㈯〰ⰶⰬ唬䑓착_x0018_＀＀_x0018_＀＀_x0008_＀＀_x0001_＀＀_x0001_＀＀迚鄔啡䀝⦆䱚H华幃䅃偟久当义彔佃呓ㄨ⼲〲㜰ⰬⰬ单⥄址当䕐华佉彎义彔佃呓ㄨ⼲〲㜰ⰬⰬ单⥄_x0018_＀＀_x0018_＀＀_x0008_＀＀_x0001_＀＀_x0001_＀＀＀＀＀＀＀＀䁗䰟_x0012_华幃彐剐䍉⡅㤳ㄸ⤳_x0018_＀＀_x0018_＀＀_x0008_＀＀_x0001_＀＀_x0001_＀＀晧晦虦䁇䰟_x001A_华幃南彆䕄呂䱟⡔呑ⱒ㤳㔳⤵_x0018_＀＀_x0018_＀＀_x0008_＀＀_x0001_＀＀_x0001_＀＀＀＀＀＀萀䂶䰟_x0018_华幃南彆䉅呉䰨䵔ⱓ〴㈰⤵_x0018_＀＀_x0018_＀＀_x0008_＀＀_x0001_＀＀_x0001_＀＀＀＀＀＀저䂤䰟_x001E_华幃捩彡敭湡䕟䥂䑔㈨〰ⰸ㤳㜴⤸_x0018_＀＀_x0018_＀＀_x0008_＀＀_x0001_＀＀_x0001_＀＀롒蔞ᗫ䂫䰟_x001C_华幃捩彡敭湡獟獬㈨㄰ⰰ㤳㐸⤴_x0018_＀＀_x0018_＀＀_x0008_＀＀_x0001_＀＀_x0001_＀＀ਾꏗﳰ䃄䰟_x001D_华幃捩彡敭湡䕟䥂⡔〲㤰㐬〰㘵착_x0018_＀＀_x0018_＀＀_x0008_＀＀_x0001_＀＀_x0001_＀＀슐⣵_xFFFF_｜䂟䰟_x0011_华幃浣獟獨㌨㘹ㄹ착_x0018_＀＀_x0018_＀＀_x0008_＀＀_x0001_＀＀_x0001_＀＀빷᪟猯䁷䰟_x001C_华幃南彆䡓䑌卒䕟⡑呑ⱒ㤳㤹⤴_x0018_＀＀_x0018_＀＀_x0008_＀＀_x0001_＀＀_x0001_＀＀＀＀＀＀䆀䃃䰟_x001B_华幃南彆呐彘义⡃呌卍㌬ㄹ㈷착_x0018_＀＀_x0018_＀＀_x0008_＀＀_x0001_＀＀_x0001_＀＀＀＀＀＀؀䂡䰟_x001C_华幃捩彡敭湡獟獬㈨〰ⰷ㤳㈳⤵_x0018_＀＀_x0018_＀＀_x0008_＀＀_x0001_＀＀_x0001_＀＀蔟凫ꪸ䃂䰟_x001C_华幃捩彡敭湡䕟卐㈨〰ⰴ㠳㤲⤱_x0018_＀＀_x0018_＀＀_x0008_＀＀_x0001_＀＀_x0001_＀＀긕ᑺ䀀⦎䱚E华幃䅃偟协剔呅䉟久佟⡂㈱㈯〰ⰲⰬ唬䑓䀩南䡟呌䍈剁彅䉐⡏㈱㈯〰ⰲⰬ唬䑓착_x0018_＀＀_x0018_＀＀_x0008_＀＀_x0001_＀＀_x0001_＀＀＀＀＀＀耀䂂䰟_x0012_华幃彐剐䍉⡅㠳㘹⤰_x0018_＀＀_x0018_＀＀_x0008_＀＀_x0001_＀＀_x0001_＀＀ਾꏗ嵰䁅䰟_x0011_华幃浣獟獨㐨〰㘸착_x0018_＀＀_x0018_＀＀_x0008_＀＀_x0001_＀＀_x0001_＀＀銣ĺ﹍䁶䰟_x0019_华幃南彆䅓䕌⡓呌卍㌬㜹㈸착_x0018_＀＀_x0018_＀＀_x0008_＀＀_x0001_＀＀_x0001_＀＀＀＀＀＀몀䃄䰟_x001B_华幃南彆䕎彔义⡃呌卍㌬㌷㘷착_x0018_＀＀_x0018_＀＀_x0008_＀＀_x0001_＀＀_x0001_＀＀＀＀＀＀　䁸䰟_x001E_华幃捩彡敭湡䕟䥂䑔㈨〰ⰸ㤳㘶⤰_x0018_＀＀_x0018_＀＀_x0008_＀＀_x0001_＀＀_x0001_＀＀尩슏念䂬䰟_x001D_华幃捩彡敭湡䕟䥂⡔〲㘰㌬㘸㘵착_x0018_＀＀_x0018_＀＀_x0008_＀＀_x0001_＀＀_x0001_＀＀＀＀＀＀垀䂡䰟_x001A_华幃南彆䅃䡓卟⡔呑ⱒ㠳㐷⤸_x0018_＀＀_x0018_＀＀_x0008_＀＀_x0001_＀＀_x0001_＀＀＀＀＀＀ꐀ䂓䰟_x001A_华幃南彆䅃䡓卟⡔呑ⱒ㤳㌵⤸_x0018_＀＀_x0018_＀＀_x0008_＀＀_x0001_＀＀_x0001_＀＀＀＀＀＀쀀䁶䰟_x001B_华幃南彆呐彘义⡃呌卍㌬㤹㐹착_x0018_＀＀_x0018_＀＀_x0008_＀＀_x0001_＀＀_x0001_＀＀＀＀＀＀㸀䂡䰟_x001B_华幃南彆偅当䥄⡌呌卍㌬㌷㘴착_x0018_＀＀_x0018_＀＀_x0008_＀＀_x0001_＀＀_x0001_＀＀ଏꚵ읹㿯䰟_x001B_华幃南彆䕎彔义⡃呌卍㌬㘷ㄲ착_x0018_＀＀_x0018_＀＀_x0008_＀＀_x0001_＀＀_x0001_＀＀＀＀＀＀쀀䁼䰟_x001B_华幃南彆䕎彔义⡃呌卍㌬㐸ㄱ착_x0018_＀＀_x0018_＀＀_x0008_＀＀_x0001_＀＀_x0001_＀＀＀＀＀＀_xD800_䂌䰟_x0019_华幃南彆十䕓協儨剔㌬㔷㤲착_x0018_＀＀_x0018_＀＀_x0008_＀＀_x0001_＀＀_x0001_＀＀＀＀＀＀咀䃓䰟_x001B_华幃南彆䕎彔义⡃呌卍㌬〹ㄵ착_x0018_＀＀_x0018_＀＀_x0008_＀＀_x0001_＀＀_x0001_＀＀＀＀＀＀저䂖䰟_x0012_华幃彐剐䍉⡅㜳〱⤳_x0018_＀＀_x0018_＀＀_x0008_＀＀_x0001_＀＀_x0001_＀＀蔟凫Ẹ䀴䰟_x001E_华幃南彆䉅呉䅄䵟乇䰨䵔ⱓ㜳㌴⤷_x0018_＀＀_x0018_＀＀_x0008_＀＀_x0001_＀＀_x0001_＀＀뵌뼌䀻䰟_x001B_华幃南彆偅当䥄⡌呌卍㌬〹ㄲ착_x0018_＀＀_x0018_＀＀_x0008_＀＀_x0001_＀＀_x0001_＀＀率橾璼䀌䰟_x001C_华幃捩彡敭湡獟獬㈨〰ⰶ㠳㈹⤹_x0018_＀＀_x0018_＀＀_x0008_＀＀_x0001_＀＀_x0001_＀＀ᑺ쉎䃂䰟_x001E_华幃捩彡敭湡䕟䥂䑔㈨〰ⰷ㤳㠰⤲_x0018_＀＀_x0018_＀＀_x0008_＀＀_x0001_＀＀_x0001_＀＀竡긔蛇䂬䰟_x001C_华幃捩彡敭湡䕟卐㈨〰ⰹ㤳㘵⤸_x0018_＀＀_x0018_＀＀_x0008_＀＀_x0001_＀＀_x0001_＀＀㌳㌳㌳䀒⦅䱚;华幃南偟久䥓乏䅟卓呅当呏⡈㈱㈯〰⤹䍀彁䕐华偟呃佟䡔ㄨ⼲〲㤰착_x0018_＀＀_x0018_＀＀_x0008_＀＀_x0001_＀＀_x0001_＀＀＀＀＀＀＀＀＀＀⦎䱚#华幃䅃偟协剔呅䱟䅉⡂㈱㈯〰ⰹⰬ唬䑓착_x0018_＀＀_x0018_＀＀_x0008_＀＀_x0001_＀＀_x0001_＀＀＀＀＀＀頀삋䰟_x001E_华幃南彆䉅呉䅄䵟乇䰨䵔ⱓ㜳㠲⤷_x0018_＀＀_x0018_＀＀_x0008_＀＀_x0001_＀＀_x0001_＀＀쏖矨븇䀺䰟_x001E_华幃南彆䉅呉䅄䵟乇䰨䵔ⱓ㠳㜰⤷_x0018_＀＀_x0018_＀＀_x0008_＀＀_x0001_＀＀_x0001_＀＀鍤㙍䀹䰟_x001C_华幃捩彡敭湡䕟卐㈨〰ⰹ㤳ㄸ⤳_x0018_＀＀_x0018_＀＀_x0008_＀＀_x0001_＀＀_x0001_＀＀㵱휊炣䀒⦆䱚&amp;华幃䅃偟久当十彔义䅔䝎ㄨ⼲〲㠰ⰬⰬ单⥄_x0018_＀＀_x0018_＀＀_x0008_＀＀_x0001_＀＀_x0001_＀＀豀碵꼝쐕䰟_x0011_华幃浣獟獨㌨㘸㘵착_x0018_＀＀_x0018_＀＀_x0008_＀＀_x0001_＀＀_x0001_＀＀蔟凫暸䁹䰟_x0019_华幃南彆十䕓協儨剔㌬㜷ㄱ착_x0018_＀＀_x0018_＀＀_x0008_＀＀_x0001_＀＀_x0001_＀＀＀＀＀＀䃓䰟_x0019_华幃南彆䅓䕌⡓呌卍㌬〷㈷착_x0018_＀＀_x0018_＀＀_x0008_＀＀_x0001_＀＀_x0001_＀＀＀＀＀＀ᴀ䂸䰟_x001C_华幃捩彡敭湡䕟卐㈨〰ⰴ㠳㐰⤶_x0018_＀＀_x0018_＀＀_x0008_＀＀_x0001_＀＀_x0001_＀＀蔟凫Ẹ㿹⦆䱚(华幃䅃偟久当䅐呒䍟乏剔䉉ㄨ⼲〲㐰ⰬⰬ单⥄_x0018_＀＀_x0018_＀＀_x0008_＀＀_x0001_＀＀_x0001_＀＀＀＀＀＀＀＀＀＀䰟_x0012_华幃彐剐䍉⡅㜳㈹⤵_x0018_＀＀_x0018_＀＀_x0008_＀＀_x0001_＀＀_x0001_＀＀晧晦♦䀴䰟_x001A_华幃南彆䕄呂卟⡔呑ⱒ㤳㘵⤸_x0018_＀＀_x0018_＀＀_x0008_＀＀_x0001_＀＀_x0001_＀＀＀＀＀＀䀀䁱䰟_x001C_华幃南彆䡓䑌卒䕟⡑呑ⱒ㤳㤵⤹_x0018_＀＀_x0018_＀＀_x0008_＀＀_x0001_＀＀_x0001_＀＀＀＀＀＀਀䃃䰟_x0019_华幃南彆十䕓協儨剔㌬ㄹㄴ착_x0018_＀＀_x0018_＀＀_x0008_＀＀_x0001_＀＀_x0001_＀＀＀＀＀＀欀䃙䰟_x0018_华幃南彆䉅呉䰨䵔ⱓ㠳㌵⤳_x0018_＀＀_x0018_＀＀_x0008_＀＀_x0001_＀＀_x0001_＀＀＀＀＀＀䠀䂟䰟_x001D_华幃捩彡敭湡䕟䥂⡔〲㔰㌬㈸〶착_x0018_＀＀_x0018_＀＀_x0008_＀＀_x0001_＀＀_x0001_＀＀凬Ẹ碅䂚䰟_x001C_华幃捩彡敭湡偟䥔㈨㄰ⰰ〴㠰⤶_x0018_＀＀_x0018_＀＀_x0008_＀＀_x0001_＀＀_x0001_＀＀竡긔ꅇ䂟䰟_x001C_华幃捩彡敭湡䕟卐㈨〰ⰲ㘳㈹⤲_x0018_＀＀_x0018_＀＀_x0008_＀＀_x0001_＀＀_x0001_＀＀＀＀＀＀＀＀㿴䰟_x0012_华幃彐剐䍉⡅㤳㔳⤵_x0018_＀＀_x0018_＀＀_x0008_＀＀_x0001_＀＀_x0001_＀＀긕䁉䰟_x001A_华幃南彆䕄呂䱟⡔呑ⱒ㘳㈹⤲_x0018_＀＀_x0018_＀＀_x0008_＀＀_x0001_＀＀_x0001_＀＀＀＀＀＀꬀䂼䰟_x001A_华幃南彆䕄呂卟⡔呑ⱒ㤳ㄸ⤳_x0018_＀＀_x0018_＀＀_x0008_＀＀_x0001_＀＀_x0001_＀＀＀＀＀＀䀀䁾䰟_x001C_华幃南彆䡓䑌卒䕟⡑呑ⱒ㤳㐸⤴_x0018_＀＀_x0018_＀＀_x0008_＀＀_x0001_＀＀_x0001_＀＀＀＀＀＀쎀䃂䰟_x0018_华幃南彆䉅呉䰨䵔ⱓ㠳㠳⤳_x0018_＀＀_x0018_＀＀_x0008_＀＀_x0001_＀＀_x0001_＀＀＀＀＀＀ﰀ䂛䰟_x001C_华幃捩彡敭湡䕟卐㈨〰ⰶ㠳〸⤷_x0018_＀＀_x0018_＀＀_x0008_＀＀_x0001_＀＀_x0001_＀＀롒蔞凫䀊䰟_x001A_华幃南彆䕄呂䱟⡔呑ⱒ㠳㔳⤲_x0018_＀＀_x0018_＀＀_x0008_＀＀_x0001_＀＀_x0001_＀＀＀＀＀＀케䂺䰟_x0019_华幃南彆䅓䕌⡓呌卍㌬㠷㐹착_x0018_＀＀_x0018_＀＀_x0008_＀＀_x0001_＀＀_x0001_＀＀＀＀＀＀䂸䰟_x0018_华幃南彆䉅呉䰨䵔ⱓ㜳㠶⤰_x0018_＀＀_x0018_＀＀_x0008_＀＀_x0001_＀＀_x0001_＀＀＀＀＀＀저䂓䰟_x001B_华幃南彆偅当䥄⡌呌卍㌬㤸〹착_x0018_＀＀_x0018_＀＀_x0008_＀＀_x0001_＀＀_x0001_＀＀率橾璼䀌䰟_x001E_华幃捩彡敭湡䕟䥂䑔㈨〰ⰶ㠳㠶⤶_x0018_＀＀_x0018_＀＀_x0008_＀＀_x0001_＀＀_x0001_＀＀尩슏㱵䂨䰟_x001C_华幃捩彡敭湡獟獬㈨㄰ⰰ〴㈰⤵_x0018_＀＀_x0018_＀＀_x0008_＀＀_x0001_＀＀_x0001_＀＀ਾꏗ蛰䃁䰟_x001C_华幃捩彡敭湡偟䥔㈨〰ⰵ㠳㤵⤵_x0018_＀＀_x0018_＀＀_x0008_＀＀_x0001_＀＀_x0001_＀＀롑ꀞ䂘⦎䱚+华幃䅃偟协剔呅偟剁彔佃呎䥒⡂㈱㈯〰ⰷⰬ唬䑓착_x0018_＀＀_x0018_＀＀_x0008_＀＀_x0001_＀＀_x0001_＀＀＀＀＀＀＀＀＀＀⦆䱚'华幃䅃偟久当商䑎卟䅔啔⡓㈱㈯〰ⰴⰬ唬䑓착_x0018_＀＀_x0018_＀＀_x0008_＀＀_x0001_＀＀_x0001_＀＀＀＀＀＀瀀䁿䰟_x001A_华幃南彆䕄呂卟⡔呑ⱒ㠳㘹⤰_x0018_＀＀_x0018_＀＀_x0008_＀＀_x0001_＀＀_x0001_＀＀＀＀＀＀退䂅䰟_x001E_华幃南彆䉅呉䅄䵟乇䰨䵔ⱓ〴㜱⤸_x0018_＀＀_x0018_＀＀_x0008_＀＀_x0001_＀＀_x0001_＀＀㮯图䁂䰟_x001B_华幃南彆呐彘义⡃呌卍㌬㔹㤹착_x0018_＀＀_x0018_＀＀_x0008_＀＀_x0001_＀＀_x0001_＀＀＀＀＀＀먀䂡䰟_x001C_华幃捩彡敭湡獟獬㈨〰ⰵ㠳㌵⤳_x0018_＀＀_x0018_＀＀_x0008_＀＀_x0001_＀＀_x0001_＀＀尨뾏䂿䰟_x001C_华幃捩彡敭湡䕟卐㈨〰ⰱ㜳㌱⤴_x0018_＀＀_x0018_＀＀_x0008_＀＀_x0001_＀＀_x0001_＀＀휊炣਽㿯䰟_x001C_华幃捩彡敭湡䕟卐㈨〰ⰸ㤳㜱⤲_x0018_＀＀_x0018_＀＀_x0008_＀＀_x0001_＀＀_x0001_＀＀轜尨䀑⦆䱚M华幃䅃偟久当剐佉归剓⡖㈱㈯〰ⰳⰬ唬䑓䀩南偟久䥓乏偟归䕓噒䍟协⡔㈱㈯〰ⰳⰬ唬䑓착_x0018_＀＀_x0018_＀＀_x0008_＀＀_x0001_＀＀_x0001_＀＀＀＀＀＀＀＀䀔䰟_x001B_华幃南彆呐彘义⡃呌卍㌬㠹㐴착_x0018_＀＀_x0018_＀＀_x0008_＀＀_x0001_＀＀_x0001_＀＀＀＀＀＀一䂥䰟_x001C_华幃捩彡敭湡獟獬㈨〰ⰵ㠳㠳⤳_x0018_＀＀_x0018_＀＀_x0008_＀＀_x0001_＀＀_x0001_＀＀轜喨䂾䰟_x001C_华幃捩彡敭湡偟䥔㈨〰ⰹ〴㜱⤸_x0018_＀＀_x0018_＀＀_x0008_＀＀_x0001_＀＀_x0001_＀＀㌴㌳팳䂙䰟_x001A_华幃南彆䕄呂䱟⡔呑ⱒ㤳㘹⤴_x0018_＀＀_x0018_＀＀_x0008_＀＀_x0001_＀＀_x0001_＀＀＀＀＀＀䌀䂹䰟_x001E_华幃捩彡敭湡䕟䥂䑔㈨〰ⰵ㠳〵⤳_x0018_＀＀_x0018_＀＀_x0008_＀＀_x0001_＀＀_x0001_＀＀䞮竡䬔䂥䰟_x001C_华幃捩彡敭湡獟獬㈨〰ⰹ㤳㜴⤸_x0018_＀＀_x0018_＀＀_x0008_＀＀_x0001_＀＀_x0001_＀＀馚香䃃⦆䱚G华幃䅃偟久当䕎彔佃呓ㄨ⼲〲㐰ⰬⰬ单⥄址当䕐华佉彎偎彐塅⡐㈱㈯〰ⰴⰬ唬䑓착_x0018_＀＀_x0018_＀＀_x0008_＀＀_x0001_＀＀_x0001_＀＀＀＀＀＀＀＀쁂䰟_x001A_华幃南彆䅃䡓卟⡔呑ⱒ㤳㈳⤵_x0018_＀＀_x0018_＀＀_x0008_＀＀_x0001_＀＀_x0001_＀＀＀＀＀＀쀀䁾䰟_x001C_华幃捩彡敭湡獟獬㈨〰ⰹ〴ㄱ⤷_x0018_＀＀_x0018_＀＀_x0008_＀＀_x0001_＀＀_x0001_＀＀尩슏鐵䂿䰟_x001A_华幃南彆䕄呂卟⡔呑ⱒ㜳〱⤳_x0018_＀＀_x0018_＀＀_x0008_＀＀_x0001_＀＀_x0001_＀＀＀＀＀＀ꠀ䂃䰟_x001C_华幃南彆䡓䑌卒䕟⡑呑ⱒ㜳㌱⤴_x0018_＀＀_x0018_＀＀_x0008_＀＀_x0001_＀＀_x0001_＀＀＀＀＀＀夀䂷䰟_x001B_华幃南彆䕎彔义⡃呌卍㌬㐹㠷착_x0018_＀＀_x0018_＀＀_x0008_＀＀_x0001_＀＀_x0001_＀＀＀＀＀＀䂖䰟_x001C_华幃捩彡敭湡䕟卐㈨〰ⰵ㠳ㄴ⤱_x0018_＀＀_x0018_＀＀_x0008_＀＀_x0001_＀＀_x0001_＀＀긕ᑺ䀄⦆䱚N华幃䅃偟久当乕䕒佃⡇㈱㈯〰ⰶⰬ唬䑓䀩南偟久䥓乏啟剎䍅卟剅彖佃呓ㄨ⼲〲㘰ⰬⰬ单⥄_x0018_＀＀_x0018_＀＀_x0008_＀＀_x0001_＀＀_x0001_＀＀豀碵꼝쐕䰟_x001A_华幃南彆䅃䡓卟⡔呑ⱒ㠳㜴⤲_x0018_＀＀_x0018_＀＀_x0008_＀＀_x0001_＀＀_x0001_＀＀＀＀＀＀簀䂑䰟_x0018_华幃南彆䉅呉䰨䵔ⱓ㠳㌱⤸_x0018_＀＀_x0018_＀＀_x0008_＀＀_x0001_＀＀_x0001_＀＀＀＀＀＀谀䂒䰟_x001B_华幃南彆䕎彔义⡃呌卍㐬㄰㜱착_x0018_＀＀_x0018_＀＀_x0008_＀＀_x0001_＀＀_x0001_＀＀＀＀＀＀氀䂒䰟_x001C_华幃捩彡敭湡獟獬㈨〰ⰹ㤳㘶⤰_x0018_＀＀_x0018_＀＀_x0008_＀＀_x0001_＀＀_x0001_＀＀ᑻ䞮䃅⦎䱚,华幃䅃偟协剔呅䕟偍䍟乏剔䉉䍟ㄨ⼲〲㠰ⰬⰬ单⥄_x0018_＀＀_x0018_＀＀_x0008_＀＀_x0001_＀＀_x0001_＀＀＀＀＀＀＀＀䁉⦆䱚G华幃䅃偟久当䕎彔佃呓ㄨ⼲〲㜰ⰬⰬ单⥄址当䕐华佉彎偎彐塅⡐㈱㈯〰ⰷⰬ唬䑓착_x0018_＀＀_x0018_＀＀_x0008_＀＀_x0001_＀＀_x0001_＀＀＀＀＀＀＀＀쁄䰟_x001A_华幃南彆䕄呂䱟⡔呑ⱒ㠳〱⤷_x0018_＀＀_x0018_＀＀_x0008_＀＀_x0001_＀＀_x0001_＀＀＀＀＀＀ༀ䂺䰟_x001B_华幃南彆偅当䥄⡌呌卍㌬㤷㔵착_x0018_＀＀_x0018_＀＀_x0008_＀＀_x0001_＀＀_x0001_＀＀沋ﯧ㿳䰟_x001D_华幃捩彡敭湡䕟䥂⡔〲〱㐬㄰㠷착_x0018_＀＀_x0018_＀＀_x0008_＀＀_x0001_＀＀_x0001_＀＀ਾꏗ㳰䂢⦎䱚P华幃䅃偟协剔呅偟䅌彎十彔久⡄㈱㈯〰ⰴⰬ唬䑓䀩南䡟呌䍈剁彅噆䅟卓呅ㄨ⼲〲㐰ⰬⰬ单⥄_x0018_＀＀_x0018_＀＀_x0008_＀＀_x0001_＀＀_x0001_＀＀＀＀＀＀䀀䁚䰟_x0011_华幃浣獟獨㌨㈹㌳착_x0018_＀＀_x0018_＀＀_x0008_＀＀_x0001_＀＀_x0001_＀＀꾸鎌䁸䰟_x001A_华幃南彆䕄呂卟⡔呑ⱒ㜳㈹⤵_x0018_＀＀_x0018_＀＀_x0008_＀＀_x0001_＀＀_x0001_＀＀＀＀＀＀뀀䁶䰟_x0019_华幃南彆䅓䕌⡓呌卍㌬㐷㤹착_x0018_＀＀_x0018_＀＀_x0008_＀＀_x0001_＀＀_x0001_＀＀＀＀＀＀䂷䰟_x001B_华幃南彆呐彘义⡃呌卍㌬ㄷ㐳착_x0018_＀＀_x0018_＀＀_x0008_＀＀_x0001_＀＀_x0001_＀＀＀＀＀＀耀䁹䰟_x001B_华幃南彆偅当䥄⡌呌卍㌬㔸㔹착_x0018_＀＀_x0018_＀＀_x0008_＀＀_x0001_＀＀_x0001_＀＀⚁蛂힧䀆䰟_x001B_华幃南彆䕎彔义⡃呌卍㌬㘹〶착_x0018_＀＀_x0018_＀＀_x0008_＀＀_x0001_＀＀_x0001_＀＀＀＀＀＀䂗䰟_x0012_华幃彐剐䍉⡅㘳㈹⤲_x0018_＀＀_x0018_＀＀_x0008_＀＀_x0001_＀＀_x0001_＀＀긕呺䀰䰟_x0011_华幃浣獟獨㌨㤶〵착_x0018_＀＀_x0018_＀＀_x0008_＀＀_x0001_＀＀_x0001_＀＀版࿹é䁸䰟_x001A_华幃南彆䕄呂卟⡔呑ⱒ㤳㔳⤵_x0018_＀＀_x0018_＀＀_x0008_＀＀_x0001_＀＀_x0001_＀＀＀＀＀＀䁷䰟_x001C_华幃南彆䡓䑌卒䕟⡑呑ⱒ㤳㠳⤶_x0018_＀＀_x0018_＀＀_x0008_＀＀_x0001_＀＀_x0001_＀＀＀＀＀＀䮀䃃䰟_x0019_华幃南彆十䕓協儨剔㌬㔹㠶착_x0018_＀＀_x0018_＀＀_x0008_＀＀_x0001_＀＀_x0001_＀＀＀＀＀＀_xD840_䃙⦎䱚T华幃䅃偟协剔呅偟䥒剏卟噒ㄨ⼲〲㔰ⰬⰬ单⥄址当䱈䡔䅃䕒啟剎䍅卟剅彖佃呓ㄨ⼲〲㔰ⰬⰬ单⥄_x0018_＀＀_x0018_＀＀_x0008_＀＀_x0001_＀＀_x0001_＀＀＀＀＀＀＀＀쀻䰟_x0011_华幃浣獟獨㌨㔷〹착_x0018_＀＀_x0018_＀＀_x0008_＀＀_x0001_＀＀_x0001_＀＀࠱Წ䩚䁸䰟_x0012_华幃彐剐䍉⡅㠳㔳⤲_x0018_＀＀_x0018_＀＀_x0008_＀＀_x0001_＀＀_x0001_＀＀Ẹᡑ䁂䰟_x001A_华幃南彆䕄呂䱟⡔呑ⱒ㠳㈹⤹_x0018_＀＀_x0018_＀＀_x0008_＀＀_x0001_＀＀_x0001_＀＀＀＀＀＀ꐀ䂸䰟_x001C_华幃南彆䡓䑌卒䕟⡑呑ⱒ〴㈰⤵_x0018_＀＀_x0018_＀＀_x0008_＀＀_x0001_＀＀_x0001_＀＀＀＀＀＀䆀䃃䰟_x0019_华幃南彆十䕓協儨剔㌬㠹㌱착_x0018_＀＀_x0018_＀＀_x0008_＀＀_x0001_＀＀_x0001_＀＀＀＀＀＀김䃙䰟_x001E_华幃南彆䉅呉䅄䵟乇䰨䵔ⱓ㠳㠶⤶_x0018_＀＀_x0018_＀＀_x0008_＀＀_x0001_＀＀_x0001_＀＀垶⼀⸁䁁䰟_x001E_华幃捩彡敭湡䕟䥂䑔㈨〰ⰸ㤳〲⤲_x0018_＀＀_x0018_＀＀_x0008_＀＀_x0001_＀＀_x0001_＀＀⣶轜_xDCC2_䂬䰟_x001E_华幃南彆䉅呉䅄䵟乇䰨䵔ⱓ㤳㈷⤱_x0018_＀＀_x0018_＀＀_x0008_＀＀_x0001_＀＀_x0001_＀＀燍㌊䁂⦎䱚M华幃䅃偟协剔呅卟噒䍟协⡔㈱㈯〰ⰴⰬ唬䑓䀩南䡟呌䍈剁彅䕓噒䍟协⡔㈱㈯〰ⰴⰬ唬䑓착_x0018_＀＀_x0018_＀＀_x0008_＀＀_x0001_＀＀_x0001_＀＀＀＀＀＀＀＀䀮䰟_x0019_华幃南彆十䕓協儨剔㌬㤸〶착_x0018_＀＀_x0018_＀＀_x0008_＀＀_x0001_＀＀_x0001_＀＀＀＀＀＀䃙䰟_x001B_华幃南彆呐彘义⡃呌卍㌬㌹㘸착_x0018_＀＀_x0018_＀＀_x0008_＀＀_x0001_＀＀_x0001_＀＀＀＀＀＀븀䂠䰟_x001C_华幃捩彡敭湡偟䥔㈨〰ⰹ㤳㈷⤱_x0018_＀＀_x0018_＀＀_x0008_＀＀_x0001_＀＀_x0001_＀＀炤਽擗䂧䰟_x001C_华幃捩彡敭湡䕟卐㈨〰ⰸ㤳㤵⤹_x0018_＀＀_x0018_＀＀_x0008_＀＀_x0001_＀＀_x0001_＀＀ᑺ䞮䀐⦆䱚 华幃南䕟䍘彈䅒䕔ㄨ⼲〲㌰ⰬⰬ单⥄_x0018_＀＀_x0018_＀＀_x0008_＀＀_x0001_＀＀_x0001_＀＀＀＀＀＀＀＀㿰䰟_x0012_华幃彐剐䍉⡅㤳㘹⤴_x0018_＀＀_x0018_＀＀_x0008_＀＀_x0001_＀＀_x0001_＀＀馚香香䁂䰟_x001A_华幃南彆䅃䡓卟⡔呑ⱒ㜳㌴⤷_x0018_＀＀_x0018_＀＀_x0008_＀＀_x0001_＀＀_x0001_＀＀＀＀＀＀耀䁗䰟_x0018_华幃南彆䉅呉䰨䵔ⱓ㤳㠷⤲_x0018_＀＀_x0018_＀＀_x0008_＀＀_x0001_＀＀_x0001_＀＀＀＀＀＀䂧䰟_x001B_华幃南彆呐彘义⡃呌卍㐬〰㔲착_x0018_＀＀_x0018_＀＀_x0008_＀＀_x0001_＀＀_x0001_＀＀＀＀＀＀㸀䂡䰟_x001C_华幃捩彡敭湡䕟卐㈨〰ⰳ㜳㌴⤷_x0018_＀＀_x0018_＀＀_x0008_＀＀_x0001_＀＀_x0001_＀＀䞮竡긔㿷⦎䱚*华幃南䡟呌䍈剁彅塅彐呌剟䅏ㄨ⼲〲㘰ⰬⰬ单⥄_x0018_＀＀_x0018_＀＀_x0008_＀＀_x0001_＀＀_x0001_＀＀豀碵꼝쐕⦆䱚)华幃䅃偟久当䵅彐佃呎䥒彂⡃㈱㈯〰ⰴⰬ唬䑓착_x0018_＀＀_x0018_＀＀_x0008_＀＀_x0001_＀＀_x0001_＀＀＀＀＀＀＀＀䀘⦅䱚 华幃南䕟䍘彈䅒䕔䉟䱁卟⡈㈱㈯〰⤹_x0018_＀＀_x0018_＀＀_x0008_＀＀_x0001_＀＀_x0001_＀＀豀碵꼝쐕䰟_x001A_华幃南彆䅃䡓卟⡔呑ⱒ㜳㠲⤷_x0018_＀＀_x0018_＀＀_x0008_＀＀_x0001_＀＀_x0001_＀＀＀＀＀＀耀䁩䰟_x001A_华幃南彆䅃䡓卟⡔呑ⱒ㠳㜰⤷_x0018_＀＀_x0018_＀＀_x0008_＀＀_x0001_＀＀_x0001_＀＀＀＀＀＀쀀䁚䰟_x001C_华幃捩彡敭湡䕟卐㈨〰ⰳ㜳㠲⤷_x0018_＀＀_x0018_＀＀_x0008_＀＀_x0001_＀＀_x0001_＀＀긕ᑺ㿶䰟_x001B_华幃南彆䕎彔义⡃呌卍㌬㘸㔲착_x0018_＀＀_x0018_＀＀_x0008_＀＀_x0001_＀＀_x0001_＀＀＀＀＀＀簀䂒䰟_x001D_华幃捩彡敭湡䕟䥂⡔〲㐰㌬㈸ㄹ착_x0018_＀＀_x0018_＀＀_x0008_＀＀_x0001_＀＀_x0001_＀＀䞮竡夔䂘䰟_x001C_华幃捩彡敭湡偟䥔㈨〰ⰶ㠳㘵⤴_x0018_＀＀_x0018_＀＀_x0008_＀＀_x0001_＀＀_x0001_＀＀ਾꏗ땰䂚䰟_x0019_华幃南彆十䕓協儨剔㌬ㄷ㌰착_x0018_＀＀_x0018_＀＀_x0008_＀＀_x0001_＀＀_x0001_＀＀＀＀＀＀지䃒䰟_x0012_华幃彐剐䍉⡅㠳〱⤷_x0018_＀＀_x0018_＀＀_x0008_＀＀_x0001_＀＀_x0001_＀＀롒蔞퇫䀷䰟_x001E_华幃南彆䉅呉䅄䵟乇䰨䵔ⱓ㜳㄰⤱_x0018_＀＀_x0018_＀＀_x0008_＀＀_x0001_＀＀_x0001_＀＀漏ꅰ䀸䰟_x001B_华幃南彆䕎彔义⡃呌卍㌬㜷㈷착_x0018_＀＀_x0018_＀＀_x0008_＀＀_x0001_＀＀_x0001_＀＀＀＀＀＀뀀䁼䰟_x001C_华幃捩彡敭湡獟獬㈨〰ⰶ㠳〵⤳_x0018_＀＀_x0018_＀＀_x0008_＀＀_x0001_＀＀_x0001_＀＀ਾꏗꕐ䃀⦆䱚%华幃䅃偟久当啃归䥌䉁⡓㈱㈯〰ⰸⰬ唬䑓착_x0018_＀＀_x0018_＀＀_x0008_＀＀_x0001_＀＀_x0001_＀＀＀＀＀＀＀＀䀢䰟_x0011_华幃浣獟獨㌨ㄷ㔹착_x0018_＀＀_x0018_＀＀_x0008_＀＀_x0001_＀＀_x0001_＀＀⑵_xFFFF_ﾗថ䁸䰟_x001D_华幃捩彡敭湡䕟䥂⡔〲㜰㌬㈹㈰착_x0018_＀＀_x0018_＀＀_x0008_＀＀_x0001_＀＀_x0001_＀＀蔟凫꘸䂤⦎䱚(华幃南䡟呌䍈剁彅乕彆䕂⡎㈱㈯〰ⰹⰬ唬䑓⤩＀＀＀＀⦆䱚J华幃䅃偟久当佒彁䅒䕔ㄨ⼲〲㤰ⰬⰬ单⥄址当䕐华佉彎塅彐呌剟䅏ㄨ⼲〲㤰ⰬⰬ单⥄_x0018_＀＀_x0018_＀＀_x0008_＀＀_x0001_＀＀_x0001_＀＀＀＀＀＀耀䀡䰟_x0011_华幃浣獟獨㌨㈸〳착_x0018_＀＀_x0018_＀＀_x0008_＀＀_x0001_＀＀_x0001_＀＀䖢髽䁸䰟_x001A_华幃南彆䕄呂卟⡔呑ⱒ㘳㈹⤲_x0018_＀＀_x0018_＀＀_x0008_＀＀_x0001_＀＀_x0001_＀＀＀＀＀＀쀀䁵䰟_x001A_华幃南彆䅃䡓卟⡔呑ⱒ〴㜱⤸_x0018_＀＀_x0018_＀＀_x0008_＀＀_x0001_＀＀_x0001_＀＀＀＀＀＀䂐䰟_x001C_华幃南彆䡓䑌卒䕟⡑呑ⱒ㠳㌵⤳_x0018_＀＀_x0018_＀＀_x0008_＀＀_x0001_＀＀_x0001_＀＀＀＀＀＀횀䃀䰟_x0019_华幃南彆十䕓協儨剔㌬㤷㔲착_x0018_＀＀_x0018_＀＀_x0008_＀＀_x0001_＀＀_x0001_＀＀＀＀＀＀Ꮐ䃔䰟_x0018_华幃南彆䉅呉䰨䵔ⱓ㜳㜰⤲_x0018_＀＀_x0018_＀＀_x0008_＀＀_x0001_＀＀_x0001_＀＀＀＀＀＀退䂎䰟_x001B_华幃南彆偅当䥄⡌呌卍㌬ㄹ㈷착_x0018_＀＀_x0018_＀＀_x0008_＀＀_x0001_＀＀_x0001_＀＀㪓䴁඄䀍⦅䱚;华幃南偟久䥓乏䅟卓呅当呏⡈㈱㈯〰⤴䍀彁䕐华偟呃佟䡔ㄨ⼲〲㐰착_x0018_＀＀_x0018_＀＀_x0008_＀＀_x0001_＀＀_x0001_＀＀＀＀＀＀＀＀＀＀䰟_x0012_华幃彐剐䍉⡅㠳㈹⤹_x0018_＀＀_x0018_＀＀_x0008_＀＀_x0001_＀＀_x0001_＀＀⣶轜뗂䁅䰟_x001A_华幃南彆䕄呂卟⡔呑ⱒ㠳㔳⤲_x0018_＀＀_x0018_＀＀_x0008_＀＀_x0001_＀＀_x0001_＀＀＀＀＀＀뀀䂄䰟_x001C_华幃南彆䡓䑌卒䕟⡑呑ⱒ㠳㠳⤳_x0018_＀＀_x0018_＀＀_x0008_＀＀_x0001_＀＀_x0001_＀＀＀＀＀＀㘀䂿䰟_x0019_华幃南彆十䕓協儨剔㌬㌹㔵착_x0018_＀＀_x0018_＀＀_x0008_＀＀_x0001_＀＀_x0001_＀＀＀＀＀＀娀䃙䰟_x001E_华幃南彆䉅呉䅄䵟乇䰨䵔ⱓ㜳㌸⤳_x0018_＀＀_x0018_＀＀_x0008_＀＀_x0001_＀＀_x0001_＀＀욏쏝귤䀻䰟_x0019_华幃南彆䅓䕌⡓呌卍㌬㌸ㄲ착_x0018_＀＀_x0018_＀＀_x0008_＀＀_x0001_＀＀_x0001_＀＀＀＀＀＀缀䂻䰟_x001D_华幃捩彡敭湡䕟䥂⡔〲㤰㌬㔹㠶착_x0018_＀＀_x0018_＀＀_x0008_＀＀_x0001_＀＀_x0001_＀＀㌳㌳䎳䂧䰟_x001C_华幃捩彡敭湡䕟卐㈨〰ⰹ㤳㘹⤴_x0018_＀＀_x0018_＀＀_x0008_＀＀_x0001_＀＀_x0001_＀＀尩슏⣵䀊⦆䱚9华幃䅃偟久当䕎彔佃呓ㄨ⼲〲㤰䀩南偟久䥓乏也偐䕟偘ㄨ⼲〲㤰착_x0018_＀＀_x0018_＀＀_x0008_＀＀_x0001_＀＀_x0001_＀＀＀＀＀＀＀＀㿰䰟_x001C_华幃南彆䡓䑌卒䕟⡑呑ⱒ㜳㠶⤰_x0018_＀＀_x0018_＀＀_x0008_＀＀_x0001_＀＀_x0001_＀＀＀＀＀＀搀䂹䰟_x001E_华幃南彆䉅呉䅄䵟乇䰨䵔ⱓ㤳㘲⤳_x0018_＀＀_x0018_＀＀_x0008_＀＀_x0001_＀＀_x0001_＀＀䁒ﰆ䛘䁂䰟_x001E_华幃捩彡敭湡䕟䥂䑔㈨〰ⰸ㤳㈶⤹_x0018_＀＀_x0018_＀＀_x0008_＀＀_x0001_＀＀_x0001_＀＀긕決䂬䰟_x001E_华幃捩彡敭湡䕟䥂䑔㈨〰ⰹ㤳㤹⤴_x0018_＀＀_x0018_＀＀_x0008_＀＀_x0001_＀＀_x0001_＀＀ꏗ㵰꞊䂧䰟_x001D_华幃捩彡敭湡䕟䥂⡔〲㤰㌬㠹㌱착_x0018_＀＀_x0018_＀＀_x0008_＀＀_x0001_＀＀_x0001_＀＀竡긔㏇䂨䰟_x001C_华幃捩彡敭湡䕟卐㈨〰ⰴ㜳〸⤲_x0018_＀＀_x0018_＀＀_x0008_＀＀_x0001_＀＀_x0001_＀＀ᑺ䞮㿹⦎䱚J华幃䅃偟协剔呅剟䅏䅟呃ㄨ⼲〲㤰ⰬⰬ单⥄址当䱈䡔䅃䕒䅟呃剟䅏ㄨ⼲〲㤰ⰬⰬ单⥄_x0018_＀＀_x0018_＀＀_x0008_＀＀_x0001_＀＀_x0001_＀＀＀＀＀＀＀＀䀷䰟_x0019_华幃南彆䅓䕌⡓呌卍㌬㠸㠹착_x0018_＀＀_x0018_＀＀_x0008_＀＀_x0001_＀＀_x0001_＀＀＀＀＀＀즀䃁䰟_x0018_华幃南彆䉅呉䰨䵔ⱓ㜳㤸⤴_x0018_＀＀_x0018_＀＀_x0008_＀＀_x0001_＀＀_x0001_＀＀＀＀＀＀鐀䂓䰟_x001B_华幃南彆呐彘义⡃呌卍㌬㔸㌳착_x0018_＀＀_x0018_＀＀_x0008_＀＀_x0001_＀＀_x0001_＀＀＀＀＀＀琀䂗䰟_x001B_华幃南彆偅当䥄⡌呌卍㌬㤹㐹착_x0018_＀＀_x0018_＀＀_x0008_＀＀_x0001_＀＀_x0001_＀＀ꍮ밁ህ䀎䰟_x001C_华幃捩彡敭湡䕟卐㈨〰ⰴ㜳㔶⤲_x0018_＀＀_x0018_＀＀_x0008_＀＀_x0001_＀＀_x0001_＀＀ᑺ䞮㿹䰟_x001C_华幃捩彡敭湡䕟卐㈨〰ⰶ㤳㈰⤱_x0018_＀＀_x0018_＀＀_x0008_＀＀_x0001_＀＀_x0001_＀＀炤਽ꏗ䀊䰟"华幃南偟久䥓乏偟佂ㄨ⼲〲㌰ⰬⰬ单⥄_x0018_＀＀_x0018_＀＀_x0008_＀＀_x0001_＀＀_x0001_＀＀＀＀＀＀䀀䂗⦆䱚'华幃南偟久偟协彔䕒彔䕂⡎㈱㈯〰ⰷⰬ唬䑓착_x0018_＀＀_x0018_＀＀_x0008_＀＀_x0001_＀＀_x0001_＀＀＀＀＀＀蠀䂈䰟_x001A_华幃南彆䕄呂卟⡔呑ⱒ㤳㘹⤴_x0018_＀＀_x0018_＀＀_x0008_＀＀_x0001_＀＀_x0001_＀＀＀＀＀＀䀀䁽䰟_x0019_华幃南彆䅓䕌⡓呌卍㌬㤹㌳착_x0018_＀＀_x0018_＀＀_x0008_＀＀_x0001_＀＀_x0001_＀＀＀＀＀＀밀䃃䰟_x001B_华幃南彆呐彘义⡃呌卍㌬㌸㌸착_x0018_＀＀_x0018_＀＀_x0008_＀＀_x0001_＀＀_x0001_＀＀＀＀＀＀堀䂔䰟_x001C_华幃捩彡敭湡獟獬㈨〰ⰸ㤳㤶⤱_x0018_＀＀_x0018_＀＀_x0008_＀＀_x0001_＀＀_x0001_＀＀쳍쳌㶌䃅䰟_x001C_华幃捩彡敭湡䕟卐㈨〰ⰸ㤳㠳⤶_x0018_＀＀_x0018_＀＀_x0008_＀＀_x0001_＀＀_x0001_＀＀晧晦晦䀐⦎䱚＀Ｏ华幃南䡟呌䍈剁彅䵁剏彔䕓噒䍟协⡔㈱㈯〰ⰴⰬ唬䑓착_x0018_＀＀_x0018_＀＀_x0008_＀＀_x0001_＀＀_x0001_＀＀＀＀＀＀＀＀쀢⦆䱚 华幃南䕟䍘彈䅒䕔ㄨ⼲〲㤰ⰬⰬ单⥄_x0018_＀＀_x0018_＀＀_x0008_＀＀_x0001_＀＀_x0001_＀＀＀＀＀＀＀＀㿰䰟_x001B_华幃南彆呐彘义⡃呌卍㌬㘷〸착_x0018_＀＀_x0018_＀＀_x0008_＀＀_x0001_＀＀_x0001_＀＀＀＀＀＀က䂆䰟_x001E_华幃捩彡敭湡䕟䥂䑔㈨㄰ⰰ〴〲⤹_x0018_＀＀_x0018_＀＀_x0008_＀＀_x0001_＀＀_x0001_＀＀＀＀＀＀崀䂩䰟_x001D_华幃捩彡敭湡䕟䥂⡔〲㘰㌬㠸㜰착_x0018_＀＀_x0018_＀＀_x0008_＀＀_x0001_＀＀_x0001_＀＀ꏗ㵰얊䂢⦆䱚H华幃䅃偟久当义彔佃呓ㄨ⼲〲㘰ⰬⰬ单⥄址当䕐华佉彎义彔佃呓ㄨ⼲〲㘰ⰬⰬ单⥄_x0018_＀＀_x0018_＀＀_x0008_＀＀_x0001_＀＀_x0001_＀＀＀＀＀＀＀＀䁖䰟_x001E_华幃捩彡敭湡䕟䥂䑔㈨〰ⰵ㠳ㄷ⤷_x0018_＀＀_x0018_＀＀_x0008_＀＀_x0001_＀＀_x0001_＀＀凬Ẹ唅䂦䰟_x001C_华幃捩彡敭湡獟獬㈨〰ⰷ㤳㘲⤳_x0018_＀＀_x0018_＀＀_x0008_＀＀_x0001_＀＀_x0001_＀＀䞮竡쨴䃂⦔䱚[华幃南剟久䅔彌偏䱟䕓䕟偘ㄨ⼲〲㜰ㄬ⼲〲㜰ⰬⰬ单⥄䍀彁呒剟久彔䥍彎塅⡐㈱㈯〰ⰷ㈱㈯〰ⰷⰬ唬䑓착_x0018_＀＀_x0018_＀＀_x0008_＀＀_x0001_＀＀_x0001_＀＀＀＀＀＀䁧䰟_x001B_华幃南彆䕎彔义⡃呌卍㌬㈹㈰착_x0018_＀＀_x0018_＀＀_x0008_＀＀_x0001_＀＀_x0001_＀＀＀＀＀＀퐀䂖䰟_x001D_华幃捩彡敭湡䕟䥂⡔〲㠰㌬ㄹ㈷착_x0018_＀＀_x0018_＀＀_x0008_＀＀_x0001_＀＀_x0001_＀＀轜檨䂧䰟_x001C_华幃捩彡敭湡䕟卐㈨㄰ⰰ〴ㄱ⤷_x0018_＀＀_x0018_＀＀_x0008_＀＀_x0001_＀＀_x0001_＀＀ᑺ䞮䀋⦆䱚F华幃䅃偟久当佒彁䍁⡔㈱㈯〰ⰵⰬ唬䑓䀩南偟久䥓乏䅟呃剟䅏ㄨ⼲〲㔰ⰬⰬ单⥄_x0018_＀＀_x0018_＀＀_x0008_＀＀_x0001_＀＀_x0001_＀＀＀＀＀＀耀䁟䰟_x001A_华幃南彆䕄呂卟⡔呑ⱒ㠳〱⤷_x0018_＀＀_x0018_＀＀_x0008_＀＀_x0001_＀＀_x0001_＀＀＀＀＀＀䀀䁪䰟_x001C_华幃南彆䡓䑌卒䕟⡑呑ⱒ㠳㌱⤸_x0018_＀＀_x0018_＀＀_x0008_＀＀_x0001_＀＀_x0001_＀＀＀＀＀＀툀䂻䰟_x001E_华幃捩彡敭湡䕟䥂䑔㈨〰ⰷ㤳㌲⤳_x0018_＀＀_x0018_＀＀_x0008_＀＀_x0001_＀＀_x0001_＀＀凬Ẹ쨅䂪䰟_x001C_华幃捩彡敭湡䕟卐㈨〰ⰵ㠳㈶⤵_x0018_＀＀_x0018_＀＀_x0008_＀＀_x0001_＀＀_x0001_＀＀ꏗ㵰휊䀅䰟_x001C_华幃捩彡敭湡䕟卐㈨〰ⰶ㠳㤹⤰_x0018_＀＀_x0018_＀＀_x0008_＀＀_x0001_＀＀_x0001_＀＀Ẹ롑䀊䰟_x001A_华幃南彆䅃䡓卟⡔呑ⱒ㠳㠶⤶_x0018_＀＀_x0018_＀＀_x0008_＀＀_x0001_＀＀_x0001_＀＀＀＀＀＀栀䂐䰟_x0011_华幃浣獟獨㌨㠸㜰착_x0018_＀＀_x0018_＀＀_x0008_＀＀_x0001_＀＀_x0001_＀＀Ƥּ䁹䰟_x001A_华幃南彆䅃䡓卟⡔呑ⱒ㤳㈷⤱_x0018_＀＀_x0018_＀＀_x0008_＀＀_x0001_＀＀_x0001_＀＀＀＀＀＀栀䂁䰟_x001E_华幃捩彡敭湡䕟䥂䑔㈨〰ⰹ㤳㤵⤹_x0018_＀＀_x0018_＀＀_x0008_＀＀_x0001_＀＀_x0001_＀＀⣶轜雂䂯䰟_x001C_华幃捩彡敭湡偟䥔㈨〰ⰸ㤳㔷⤲_x0018_＀＀_x0018_＀＀_x0008_＀＀_x0001_＀＀_x0001_＀＀尩슏_xDDF5_䂤䰟_x001C_华幃捩彡敭湡䕟卐㈨〰ⰷ㤳㐱⤱_x0018_＀＀_x0018_＀＀_x0008_＀＀_x0001_＀＀_x0001_＀＀馚香香䀏⦆䱚F华幃䅃偟久当佒彁䍁⡔㈱㈯〰ⰸⰬ唬䑓䀩南偟久䥓乏䅟呃剟䅏ㄨ⼲〲㠰ⰬⰬ单⥄_x0018_＀＀_x0018_＀＀_x0008_＀＀_x0001_＀＀_x0001_＀＀＀＀＀＀頀삀⦅䱚;华幃南偟久䥓乏䅟卓呅当剐偏ㄨ⼲〲㔰䀩䅃偟久当䍐彔䕒ㄨ⼲〲㔰착_x0018_＀＀_x0018_＀＀_x0008_＀＀_x0001_＀＀_x0001_＀＀＀＀＀＀＀＀＀＀䰟_x0011_华幃浣獟獨㌨㐹㜴착_x0018_＀＀_x0018_＀＀_x0008_＀＀_x0001_＀＀_x0001_＀＀垨㋊듄䁷䰟_x001A_华幃南彆䕄呂卟⡔呑ⱒ㠳㈹⤹_x0018_＀＀_x0018_＀＀_x0008_＀＀_x0001_＀＀_x0001_＀＀＀＀＀＀退䂅䰟_x0019_华幃南彆十䕓協儨剔㌬㤶㈲착_x0018_＀＀_x0018_＀＀_x0008_＀＀_x0001_＀＀_x0001_＀＀＀＀＀＀蠀䃒䰟_x001E_华幃南彆䉅呉䅄䵟乇䰨䵔ⱓ㤳ㄱ⤳_x0018_＀＀_x0018_＀＀_x0008_＀＀_x0001_＀＀_x0001_＀＀棅床䁂䰟_x0018_华幃南彆䉅呉䰨䵔ⱓ㜳㤴⤹_x0018_＀＀_x0018_＀＀_x0008_＀＀_x0001_＀＀_x0001_＀＀＀＀＀＀退䂒䰟_x001B_华幃南彆呐彘义⡃呌卍㌬ㄸ㠳착_x0018_＀＀_x0018_＀＀_x0008_＀＀_x0001_＀＀_x0001_＀＀＀＀＀＀쀀䂅䰟_x001B_华幃南彆偅当䥄⡌呌卍㌬㔹㤹착_x0018_＀＀_x0018_＀＀_x0008_＀＀_x0001_＀＀_x0001_＀＀⹈ꇿ䀎䰟_x001E_华幃捩彡敭湡䕟䥂䑔㈨〰ⰹ㤳㐸⤴_x0018_＀＀_x0018_＀＀_x0008_＀＀_x0001_＀＀_x0001_＀＀凬Ẹ皅䂭䰟_x001D_华幃捩彡敭湡䕟䥂⡔〲㔰㌬㐸ㄱ착_x0018_＀＀_x0018_＀＀_x0008_＀＀_x0001_＀＀_x0001_＀＀凬Ẹ⮅䂞䰟_x001C_华幃捩彡敭湡䕟卐㈨〰ⰲ㜳㘴⤸_x0018_＀＀_x0018_＀＀_x0008_＀＀_x0001_＀＀_x0001_＀＀Ẹ롑㿲䰟_x001A_华幃南彆䕄呂䱟⡔呑ⱒ㜳㘴⤸_x0018_＀＀_x0018_＀＀_x0008_＀＀_x0001_＀＀_x0001_＀＀＀＀＀＀ꨀ䂼䰟_x0019_华幃南彆十䕓協儨剔㌬㌸㈵착_x0018_＀＀_x0018_＀＀_x0008_＀＀_x0001_＀＀_x0001_＀＀＀＀＀＀⮀䃘䰟_x0019_华幃南彆䅓䕌⡓呌卍㌬㜸㠴착_x0018_＀＀_x0018_＀＀_x0008_＀＀_x0001_＀＀_x0001_＀＀＀＀＀＀Ꞁ䃀䰟_x0019_华幃南彆䅓䕌⡓呌卍㌬㔹㠳착_x0018_＀＀_x0018_＀＀_x0008_＀＀_x0001_＀＀_x0001_＀＀＀＀＀＀䃂䰟_x001B_华幃南彆偅当䥄⡌呌卍㌬㠹㐴착_x0018_＀＀_x0018_＀＀_x0008_＀＀_x0001_＀＀_x0001_＀＀噬湽䀒䰟_x001E_华幃捩彡敭湡䕟䥂䑔㈨〰ⰴ㠳㈳⤱_x0018_＀＀_x0018_＀＀_x0008_＀＀_x0001_＀＀_x0001_＀＀㵱휊츣䂡䰟_x001D_华幃捩彡敭湡䕟䥂⡔〲㜰㌬㜸㘷착_x0018_＀＀_x0018_＀＀_x0008_＀＀_x0001_＀＀_x0001_＀＀슏⣵鳜䂤⦆䱚$华幃䅃偟久当䕂彎䅐䑉ㄨ⼲〲㘰ⰬⰬ单⥄_x0018_＀＀_x0018_＀＀_x0008_＀＀_x0001_＀＀_x0001_＀＀＀＀＀＀䀀䁜䰟_x001A_华幃南彆䕄呂䱟⡔呑ⱒ㠳〵⤳_x0018_＀＀_x0018_＀＀_x0008_＀＀_x0001_＀＀_x0001_＀＀＀＀＀＀픀䂻䰟_x001E_华幃南彆䉅呉䅄䵟乇䰨䵔ⱓ㠳㘲⤰_x0018_＀＀_x0018_＀＀_x0008_＀＀_x0001_＀＀_x0001_＀＀_xDF32_靹맅䀼䰟_x001E_华幃捩彡敭湡䕟䥂䑔㈨〰ⰶ㠳㌸⤷_x0018_＀＀_x0018_＀＀_x0008_＀＀_x0001_＀＀_x0001_＀＀슐⣵䍜䂩䰟_x001E_华幃捩彡敭湡䕟䥂䑔㈨〰ⰸ㤳ㄴ⤶_x0018_＀＀_x0018_＀＀_x0008_＀＀_x0001_＀＀_x0001_＀＀竡긔믇䂫⦆䱚(华幃南偟久䥓乏䅟卓呅当呌ㄨ⼲〲㐰ⰬⰬ单⥄_x0018_＀＀_x0018_＀＀_x0008_＀＀_x0001_＀＀_x0001_＀＀豀碵꼝쐕⦆䱚$华幃䅃偟久当呌䱟䅉卂ㄨ⼲〲㌰ⰬⰬ单⥄_x0018_＀＀_x0018_＀＀_x0008_＀＀_x0001_＀＀_x0001_＀＀豀碵꼝쐕䰟_x001C_华幃南彆䡓䑌卒䕟⡑呑ⱒ㤳㠷⤲_x0018_＀＀_x0018_＀＀_x0008_＀＀_x0001_＀＀_x0001_＀＀＀＀＀＀鼀䃃䰟_x0019_华幃南彆十䕓協儨剔㌬㤹㐶착_x0018_＀＀_x0018_＀＀_x0008_＀＀_x0001_＀＀_x0001_＀＀＀＀＀＀䃙䰟_x001B_华幃南彆䕎彔义⡃呌卍㌬〸㜱착_x0018_＀＀_x0018_＀＀_x0008_＀＀_x0001_＀＀_x0001_＀＀＀＀＀＀뀀䁹䰟_x001C_华幃捩彡敭湡獟獬㈨〰ⰷ㤳ㄱ⤳_x0018_＀＀_x0018_＀＀_x0008_＀＀_x0001_＀＀_x0001_＀＀＀＀＀＀쑠䃃⦅䱚;华幃南偟久䥓乏䅟卓呅当充䥕ㄨ⼲〲㘰䀩䅃偟久当䍐彔充ㄨ⼲〲㘰착_x0018_＀＀_x0018_＀＀_x0008_＀＀_x0001_＀＀_x0001_＀＀＀＀＀＀䀀䁓䰟_x001A_华幃南彆䅃䡓卟⡔呑ⱒ㜳㄰⤱_x0018_＀＀_x0018_＀＀_x0008_＀＀_x0001_＀＀_x0001_＀＀＀＀＀＀耀䁋䰟_x001E_华幃南彆䉅呉䅄䵟乇䰨䵔ⱓ㤳㜸⤲_x0018_＀＀_x0018_＀＀_x0008_＀＀_x0001_＀＀_x0001_＀＀뤄ྛ놾䁂䰟_x001C_华幃捩彡敭湡獟獬㈨〰ⰹ㤳㈶⤹_x0018_＀＀_x0018_＀＀_x0008_＀＀_x0001_＀＀_x0001_＀＀ᑻ䞮쾁䃅䰟_x001C_华幃捩彡敭湡䕟卐㈨〰ⰶ㠳㤵⤵_x0018_＀＀_x0018_＀＀_x0008_＀＀_x0001_＀＀_x0001_＀＀ᑻ䞮竡䀈⦎䱚-华幃䅃偟协剔呅啟归剔佟彂䵁剏⡔㈱㈯〰ⰳⰬ唬䑓착_x0018_＀＀_x0018_＀＀_x0008_＀＀_x0001_＀＀_x0001_＀＀＀＀＀＀＀＀＀＀䰟_x001B_华幃南彆䕎彔义⡃呌卍㌬ㄷ㐶착_x0018_＀＀_x0018_＀＀_x0008_＀＀_x0001_＀＀_x0001_＀＀＀＀＀＀耀䁯䰟_x001C_华幃捩彡敭湡偟䥔㈨〰ⰸ㤳〵⤷_x0018_＀＀_x0018_＀＀_x0008_＀＀_x0001_＀＀_x0001_＀＀＀＀＀＀䂢䰟_x001C_华幃捩彡敭湡偟䥔㈨〰ⰹ㤳㜸⤲_x0018_＀＀_x0018_＀＀_x0008_＀＀_x0001_＀＀_x0001_＀＀휊炣䂢䰟_x001C_华幃捩彡敭湡䕟卐㈨〰ⰱ㜳㜰⤲_x0018_＀＀_x0018_＀＀_x0008_＀＀_x0001_＀＀_x0001_＀＀Ẹ롑㿮䰟_x001B_华幃南彆呐彘义⡃呌卍㌬㜹㈸착_x0018_＀＀_x0018_＀＀_x0008_＀＀_x0001_＀＀_x0001_＀＀＀＀＀＀砀䂤䰟_x001B_华幃南彆偅当䥄⡌呌卍㌬ㄷ㐳착_x0018_＀＀_x0018_＀＀_x0008_＀＀_x0001_＀＀_x0001_＀＀탥_xDB22_绹㿦䰟_x001B_华幃南彆䕎彔义⡃呌卍㌬㘹㤲착_x0018_＀＀_x0018_＀＀_x0008_＀＀_x0001_＀＀_x0001_＀＀＀＀＀＀䂗䰟_x001D_华幃捩彡敭湡䕟䥂⡔〲㠰㌬㔹㤹착_x0018_＀＀_x0018_＀＀_x0008_＀＀_x0001_＀＀_x0001_＀＀긕뱺䂦䰟_x001A_华幃南彆䅃䡓卟⡔呑ⱒ㜳㌸⤳_x0018_＀＀_x0018_＀＀_x0008_＀＀_x0001_＀＀_x0001_＀＀＀＀＀＀耀䁛䰟_x0019_华幃南彆十䕓協儨剔㌬ㄸ㜰착_x0018_＀＀_x0018_＀＀_x0008_＀＀_x0001_＀＀_x0001_＀＀＀＀＀＀ᰀ䃔䰟_x001C_华幃捩彡敭湡獟獬㈨㄰ⰱ〴〲⤹_x0018_＀＀_x0018_＀＀_x0008_＀＀_x0001_＀＀_x0001_＀＀晧晦盆䃂䰟_x001C_华幃捩彡敭湡䕟卐㈨〰ⰳ㜳㌸⤳_x0018_＀＀_x0018_＀＀_x0008_＀＀_x0001_＀＀_x0001_＀＀馚香香㿵⦎䱚)华幃南䡟呌䍈剁彅䥄䍓剟呁⡅㈱㈯〰ⰷⰬ唬䑓착_x0018_＀＀_x0018_＀＀_x0008_＀＀_x0001_＀＀_x0001_＀＀＀＀＀＀＀＀䀙䰟_x001A_华幃南彆䅃䡓卟⡔呑ⱒ㤳㘲⤳_x0018_＀＀_x0018_＀＀_x0008_＀＀_x0001_＀＀_x0001_＀＀＀＀＀＀쀀䁾䰟_x001E_华幃南彆䉅呉䅄䵟乇䰨䵔ⱓ㜳㈲⤵_x0018_＀＀_x0018_＀＀_x0008_＀＀_x0001_＀＀_x0001_＀＀㞦䀷䰟_x001B_华幃南彆䕎彔义⡃呌卍㌬㤷㘸착_x0018_＀＀_x0018_＀＀_x0008_＀＀_x0001_＀＀_x0001_＀＀＀＀＀＀뀀䁹䰟_x001B_华幃南彆䕎彔义⡃呌卍㌬㜸㘷착_x0018_＀＀_x0018_＀＀_x0008_＀＀_x0001_＀＀_x0001_＀＀＀＀＀＀Ѐ䂔䰟_x001E_华幃捩彡敭湡䕟䥂䑔㈨〰ⰵ㠳㤲⤱_x0018_＀＀_x0018_＀＀_x0008_＀＀_x0001_＀＀_x0001_＀＀롑䂡䰟_x001C_华幃捩彡敭湡獟獬㈨〰ⰶ㠳ㄷ⤷_x0018_＀＀_x0018_＀＀_x0008_＀＀_x0001_＀＀_x0001_＀＀凬Ẹ䃁䰟_x001C_华幃捩彡敭湡偟䥔㈨〰ⰸ㤳㤲⤴_x0018_＀＀_x0018_＀＀_x0008_＀＀_x0001_＀＀_x0001_＀＀ਾꏗ藺䂤䰟_x0011_华幃浣獟獨㌨ㄸ㤹착_x0018_＀＀_x0018_＀＀_x0008_＀＀_x0001_＀＀_x0001_＀＀䖢髽䁸䰟_x001C_华幃南彆䡓䑌卒䕟⡑呑ⱒ㜳㜰⤲_x0018_＀＀_x0018_＀＀_x0008_＀＀_x0001_＀＀_x0001_＀＀＀＀＀＀夀䂷䰟_x001D_华幃捩彡敭湡䕟䥂⡔〲㜰㌬㐹㘱착_x0018_＀＀_x0018_＀＀_x0008_＀＀_x0001_＀＀_x0001_＀＀轜䂣䰟_x001C_华幃捩彡敭湡偟䥔㈨〰ⰶ㠳㘹⤰_x0018_＀＀_x0018_＀＀_x0008_＀＀_x0001_＀＀_x0001_＀＀ਾꏗ䓰䂡⦎䱚M华幃䅃偟协剔呅卟噒䍟协⡔㈱㈯〰ⰷⰬ唬䑓䀩南䡟呌䍈剁彅䕓噒䍟协⡔㈱㈯〰ⰷⰬ唬䑓착_x0018_＀＀_x0018_＀＀_x0008_＀＀_x0001_＀＀_x0001_＀＀＀＀＀＀＀＀䀵⦎䱚T华幃䅃偟协剔呅偟䥒剏卟噒ㄨ⼲〲㜰ⰬⰬ单⥄址当䱈䡔䅃䕒啟剎䍅卟剅彖佃呓ㄨ⼲〲㜰ⰬⰬ单⥄_x0018_＀＀_x0018_＀＀_x0008_＀＀_x0001_＀＀_x0001_＀＀＀＀＀＀＀＀쀤䰟_x0012_华幃彐剐䍉⡅㜳㘴⤸_x0018_＀＀_x0018_＀＀_x0008_＀＀_x0001_＀＀_x0001_＀＀＀＀＀＀䀀䀴䰟_x0019_华幃南彆十䕓協儨剔㌬㤸㤲착_x0018_＀＀_x0018_＀＀_x0008_＀＀_x0001_＀＀_x0001_＀＀＀＀＀＀䃙䰟_x001B_华幃南彆偅当䥄⡌呌卍㌬㌹㘸착_x0018_＀＀_x0018_＀＀_x0008_＀＀_x0001_＀＀_x0001_＀＀剔ꀧら䀍䰟_x001C_华幃捩彡敭湡獟獬㈨〰ⰸ㤳㌲⤳_x0018_＀＀_x0018_＀＀_x0008_＀＀_x0001_＀＀_x0001_＀＀尨ଯ䃄䰟_x001E_华幃捩彡敭湡䕟䥂䑔㈨〰ⰹ〴㈰⤵_x0018_＀＀_x0018_＀＀_x0008_＀＀_x0001_＀＀_x0001_</t>
        </r>
      </text>
    </comment>
    <comment ref="A4" authorId="1">
      <text>
        <r>
          <rPr>
            <b/>
            <sz val="8"/>
            <color indexed="81"/>
            <rFont val="Tahoma"/>
            <family val="2"/>
          </rPr>
          <t>＀＀ਾꏗ᭰䂧䰟_x001D_华幃捩彡敭湡䕟䥂⡔〲〱㌬㠹㈷착_x0018_＀＀_x0018_＀＀_x0008_＀＀_x0001_＀＀_x0001_＀＀＀＀＀＀뚀䂨䰟_x0011_华幃浣獟獨㌨㜷ㄴ착_x0018_＀＀_x0018_＀＀_x0008_＀＀_x0001_＀＀_x0001_＀＀垨㋊峄䁸䰟_x0012_华幃彐剐䍉⡅㠳〵⤳_x0018_＀＀_x0018_＀＀_x0008_＀＀_x0001_＀＀_x0001_＀＀凬Ẹ䀿䰟_x001E_华幃南彆䉅呉䅄䵟乇䰨䵔ⱓ㠳㌸⤷_x0018_＀＀_x0018_＀＀_x0008_＀＀_x0001_＀＀_x0001_＀＀❧뜏✲䁂䰟_x0019_华幃南彆䅓䕌⡓呌卍㌬㌹㔲착_x0018_＀＀_x0018_＀＀_x0008_＀＀_x0001_＀＀_x0001_＀＀＀＀＀＀㲀䃂䰟_x0018_华幃南彆䉅呉䰨䵔ⱓ㠳㈳⤱_x0018_＀＀_x0018_＀＀_x0008_＀＀_x0001_＀＀_x0001_＀＀＀＀＀＀က䂗䰟_x001B_华幃南彆偅当䥄⡌呌卍㐬〰㔲착_x0018_＀＀_x0018_＀＀_x0008_＀＀_x0001_＀＀_x0001_＀＀ꍮ밁ህ䀎䰟_x001C_华幃南彆䡓䑌卒䕟⡑呑ⱒ㜳㤸⤴_x0018_＀＀_x0018_＀＀_x0008_＀＀_x0001_＀＀_x0001_＀＀＀＀＀＀̀䂻䰟_x001B_华幃南彆呐彘义⡃呌卍㌬〷㈷착_x0018_＀＀_x0018_＀＀_x0008_＀＀_x0001_＀＀_x0001_＀＀＀＀＀＀耀䁹䰟_x001C_华幃捩彡敭湡偟䥔㈨〰ⰵ㠳㌵⤳_x0018_＀＀_x0018_＀＀_x0008_＀＀_x0001_＀＀_x0001_＀＀竡긔楇䂗䰟_x001C_华幃捩彡敭湡䕟卐㈨〰ⰷ㠳㘹⤰_x0018_＀＀_x0018_＀＀_x0008_＀＀_x0001_＀＀_x0001_＀＀긕ᑺ䀎䰟)华幃南偟久䥓乏噟䱁䅟卓呅⡓㈱㈯〰ⰴⰬ唬䑓착_x0018_＀＀_x0018_＀＀_x0008_＀＀_x0001_＀＀_x0001_＀＀＀＀＀＀㠀䂜䰟_x0019_华幃南彆䅓䕌⡓呌卍㌬㐸㈷착_x0018_＀＀_x0018_＀＀_x0008_＀＀_x0001_＀＀_x0001_＀＀＀＀＀＀鰀䂽䰟_x0018_华幃南彆䉅呉䰨䵔ⱓ㠳㤸⤸_x0018_＀＀_x0018_＀＀_x0008_＀＀_x0001_＀＀_x0001_＀＀＀＀＀＀ఀ䂤䰟_x001C_华幃捩彡敭湡偟䥔㈨〰ⰵ㠳㠳⤳_x0018_＀＀_x0018_＀＀_x0008_＀＀_x0001_＀＀_x0001_＀＀竡긔腇䂖䰟_x001C_华幃捩彡敭湡偟䥔㈨〰ⰷ㠳㤸⤸_x0018_＀＀_x0018_＀＀_x0008_＀＀_x0001_＀＀_x0001_＀＀㌳㌳䊳䂣⦆䱚$华幃䅃偟久当呌䱟䅉卂ㄨ⼲〲㤰ⰬⰬ单⥄_x0018_＀＀_x0018_＀＀_x0008_＀＀_x0001_＀＀_x0001_＀＀＀＀＀＀䀀䁥䰟_x001A_华幃南彆䕄呂䱟⡔呑ⱒ〴〲⤹_x0018_＀＀_x0018_＀＀_x0008_＀＀_x0001_＀＀_x0001_＀＀＀＀＀＀ᜀ䂺䰟_x0018_华幃南彆䉅呉䰨䵔ⱓ㤳㌹⤳_x0018_＀＀_x0018_＀＀_x0008_＀＀_x0001_＀＀_x0001_＀＀＀＀＀＀搀䂧䰟_x001C_华幃捩彡敭湡獟獬㈨〰ⰵ㠳㈳⤱_x0018_＀＀_x0018_＀＀_x0008_＀＀_x0001_＀＀_x0001_＀＀ꏗ㵰㓊䂾䰟_x001D_华幃捩彡敭湡䕟䥂⡔〲㤰㌬㤹㐶착_x0018_＀＀_x0018_＀＀_x0008_＀＀_x0001_＀＀_x0001_＀＀ᑻ䞮䂡䰟_x001B_华幃南彆呐彘义⡃呌卍㌬㠷㐹착_x0018_＀＀_x0018_＀＀_x0008_＀＀_x0001_＀＀_x0001_＀＀＀＀＀＀　䂆䰟_x001C_华幃捩彡敭湡獟獬㈨〰ⰷ㠳㌸⤷_x0018_＀＀_x0018_＀＀_x0008_＀＀_x0001_＀＀_x0001_＀＀蔟凫髸䃃䰟_x001C_华幃捩彡敭湡䕟卐㈨〰ⰵ㠳㄰⤷_x0018_＀＀_x0018_＀＀_x0008_＀＀_x0001_＀＀_x0001_＀＀轜尨㿻⦎䱚-华幃䅃偟协剔呅啟归剔佟彂䵁剏⡔㈱㈯〰ⰹⰬ唬䑓착_x0018_＀＀_x0018_＀＀_x0008_＀＀_x0001_＀＀_x0001_＀＀＀＀＀＀＀＀＀＀⦆䱚%华幃䅃偟久当佃偍剟呁⡅㈱㈯〰ⰶⰬ唬䑓착_x0018_＀＀_x0018_＀＀_x0008_＀＀_x0001_＀＀_x0001_＀＀＀＀＀＀＀＀䀒䰟_x001A_华幃南彆䕄呂䱟⡔呑ⱒ㤳㔷⤲_x0018_＀＀_x0018_＀＀_x0008_＀＀_x0001_＀＀_x0001_＀＀＀＀＀＀开䂷䰟_x001D_华幃捩彡敭湡䕟䥂⡔〲㘰㌬〹ㄲ착_x0018_＀＀_x0018_＀＀_x0008_＀＀_x0001_＀＀_x0001_＀＀ਾꏗհ䂤䰟_x001A_华幃南彆䅃䡓卟⡔呑ⱒ㤳ㄱ⤳_x0018_＀＀_x0018_＀＀_x0008_＀＀_x0001_＀＀_x0001_＀＀＀＀＀＀뀀䂌䰟_x001B_华幃南彆䕎彔义⡃呌卍㌬㐹㘱착_x0018_＀＀_x0018_＀＀_x0008_＀＀_x0001_＀＀_x0001_＀＀＀＀＀＀ꠀ䂖䰟_x001E_华幃捩彡敭湡䕟䥂䑔㈨〰ⰷ㠳〸⤷_x0018_＀＀_x0018_＀＀_x0008_＀＀_x0001_＀＀_x0001_＀＀炤਽翗䂫䰟_x001D_华幃捩彡敭湡䕟䥂⡔〲㠰㌬㌹㘸착_x0018_＀＀_x0018_＀＀_x0008_＀＀_x0001_＀＀_x0001_＀＀ꏗ㵰咊䂦䰟_x001C_华幃捩彡敭湡䕟卐㈨〰ⰸ㤳㠷⤲_x0018_＀＀_x0018_＀＀_x0008_＀＀_x0001_＀＀_x0001_＀＀㌳㌳㌳䀒⦔䱚%华幃南䥟呎剟呁彅夵噁⡇㈱㈯〰ⰱⰬ唬䑓착_x0018_＀＀_x0018_＀＀_x0008_＀＀_x0001_＀＀_x0001_＀＀待Ս䀛⦎䱚'华幃䅃偟协剔呅䉟久偟䥁⡄㈱㈯〰ⰵⰬ唬䑓착_x0018_＀＀_x0018_＀＀_x0008_＀＀_x0001_＀＀_x0001_＀＀＀＀＀＀＀＀䁊䰟_x001E_华幃捩彡敭湡䕟䥂䑔㈨〰ⰷ㤳㐴⤷_x0018_＀＀_x0018_＀＀_x0008_＀＀_x0001_＀＀_x0001_＀＀ꏗ㵰잊䂩⦆䱚J华幃䅃偟久当䥄䍓剟呁⡅㈱㈯〰ⰸⰬ唬䑓䀩南偟久䥓乏䑟卉彃䅒䕔ㄨ⼲〲㠰ⰬⰬ单⥄_x0018_＀＀_x0018_＀＀_x0008_＀＀_x0001_＀＀_x0001_＀＀＀＀＀＀＀＀䀙䰟_x0011_华幃浣獟獨㌨㌷㘴착_x0018_＀＀_x0018_＀＀_x0008_＀＀_x0001_＀＀_x0001_＀＀锘৔䅨䁸䰟_x001A_华幃南彆䅃䡓卟⡔呑ⱒ㠳㘲⤰_x0018_＀＀_x0018_＀＀_x0008_＀＀_x0001_＀＀_x0001_＀＀＀＀＀＀退䂀⦎䱚L华幃䅃偟协剔呅䥟呎䍟协⡔㈱㈯〰ⰳⰬ唬䑓䀩南䡟呌䍈剁彅义彔佃呓ㄨ⼲〲㌰ⰬⰬ单⥄_x0018_＀＀_x0018_＀＀_x0008_＀＀_x0001_＀＀_x0001_＀＀＀＀＀＀＀＀䁄䰟_x001A_华幃南彆䕄呂卟⡔呑ⱒ㜳㘴⤸_x0018_＀＀_x0018_＀＀_x0008_＀＀_x0001_＀＀_x0001_＀＀＀＀＀＀耀䁚䰟_x001C_华幃南彆䡓䑌卒䕟⡑呑ⱒ㜳㤴⤹_x0018_＀＀_x0018_＀＀_x0008_＀＀_x0001_＀＀_x0001_＀＀＀＀＀＀ꠀ䂸䰟_x0019_华幃南彆䅓䕌⡓呌卍㌬㐷㜳착_x0018_＀＀_x0018_＀＀_x0008_＀＀_x0001_＀＀_x0001_＀＀＀＀＀＀䂷䰟_x001B_华幃南彆偅当䥄⡌呌卍㌬㔸㌳착_x0018_＀＀_x0018_＀＀_x0008_＀＀_x0001_＀＀_x0001_＀＀⚁蛂힧䀆䰟_x001C_华幃捩彡敭湡䕟卐㈨〰ⰷ㤳㔳⤵_x0018_＀＀_x0018_＀＀_x0008_＀＀_x0001_＀＀_x0001_＀＀ᑻ䞮竡䀎⦆䱚B华幃䅃偟久当佒⡁㈱㈯〰ⰴⰬ唬䑓䀩南偟久䥓乏䕟偘剟䅏ㄨ⼲〲㐰ⰬⰬ单⥄_x0018_＀＀_x0018_＀＀_x0008_＀＀_x0001_＀＀_x0001_＀＀＀＀＀＀ꀀ쁢䰟_x0011_华幃浣獟獨㌨〹ㄲ착_x0018_＀＀_x0018_＀＀_x0008_＀＀_x0001_＀＀_x0001_＀＀꤫퀓칄䁸䰟_x001A_华幃南彆䕄呂卟⡔呑ⱒ㠳〵⤳_x0018_＀＀_x0018_＀＀_x0008_＀＀_x0001_＀＀_x0001_＀＀＀＀＀＀栀䂁䰟_x0019_华幃南彆䅓䕌⡓呌卍㌬㈷㜸착_x0018_＀＀_x0018_＀＀_x0008_＀＀_x0001_＀＀_x0001_＀＀＀＀＀＀ᨀ䂸䰟_x0019_华幃南彆䅓䕌⡓呌卍㌬〸㜷착_x0018_＀＀_x0018_＀＀_x0008_＀＀_x0001_＀＀_x0001_＀＀＀＀＀＀저䂹䰟_x001B_华幃南彆偅当䥄⡌呌卍㌬㌸㌸착_x0018_＀＀_x0018_＀＀_x0008_＀＀_x0001_＀＀_x0001_＀＀䞮竡⸔䀂䰟_x001D_华幃捩彡敭湡䕟䥂⡔〲㔰㌬㘸㔲착_x0018_＀＀_x0018_＀＀_x0008_＀＀_x0001_＀＀_x0001_＀＀㌳㌳阳䂠䰟_x001D_华幃捩彡敭湡䕟䥂⡔〲㘰㌬㤸〹착_x0018_＀＀_x0018_＀＀_x0008_＀＀_x0001_＀＀_x0001_＀＀竡긔᷇䂤䰟_x001C_华幃捩彡敭湡䕟卐㈨〰ⰲ㜳㐰⤲_x0018_＀＀_x0018_＀＀_x0008_＀＀_x0001_＀＀_x0001_＀＀긕ᑺ㿶䰟_x001A_华幃南彆䕄呂䱟⡔呑ⱒ㜳㐰⤲_x0018_＀＀_x0018_＀＀_x0008_＀＀_x0001_＀＀_x0001_＀＀＀＀＀＀漀䂽䰟_x001A_华幃南彆䅃䡓卟⡔呑ⱒ㤳㜸⤲_x0018_＀＀_x0018_＀＀_x0008_＀＀_x0001_＀＀_x0001_＀＀＀＀＀＀倀䂃䰟_x0018_华幃南彆䉅呉䰨䵔ⱓ㠳㐷⤸_x0018_＀＀_x0018_＀＀_x0008_＀＀_x0001_＀＀_x0001_＀＀＀＀＀＀가䂡䰟_x0018_华幃南彆䉅呉䰨䵔ⱓ㤳㌵⤸_x0018_＀＀_x0018_＀＀_x0008_＀＀_x0001_＀＀_x0001_＀＀＀＀＀＀ 䂥䰟_x001B_华幃南彆偅当䥄⡌呌卍㌬㘷〸착_x0018_＀＀_x0018_＀＀_x0008_＀＀_x0001_＀＀_x0001_＀＀竡긔㿲䰟_x001C_华幃捩彡敭湡偟䥔㈨〰ⰷ㠳㐷⤸_x0018_＀＀_x0018_＀＀_x0008_＀＀_x0001_＀＀_x0001_＀＀휊炣튽䂠䰟_x001A_华幃南彆䕄呂䱟⡔呑ⱒ㠳ㄷ⤷_x0018_＀＀_x0018_＀＀_x0008_＀＀_x0001_＀＀_x0001_＀＀＀＀＀＀_xD800_䂹䰟_x001A_华幃南彆䕄呂䱟⡔呑ⱒ㤳〵⤷_x0018_＀＀_x0018_＀＀_x0008_＀＀_x0001_＀＀_x0001_＀＀＀＀＀＀漀䂷䰟_x001B_华幃南彆呐彘义⡃呌卍㌬㐷㤹착_x0018_＀＀_x0018_＀＀_x0008_＀＀_x0001_＀＀_x0001_＀＀＀＀＀＀퀀䂃䰟_x001E_华幃捩彡敭湡䕟䥂䑔㈨〰ⰶ㠳ㄴ⤱_x0018_＀＀_x0018_＀＀_x0008_＀＀_x0001_＀＀_x0001_＀＀蔟凫䂦䰟_x001C_华幃捩彡敭湡偟䥔㈨㄰ⰰ㤳㤹⤴_x0018_＀＀_x0018_＀＀_x0008_＀＀_x0001_＀＀_x0001_＀＀ᑻ䞮᳡䂠⦆䱚B华幃䅃偟久当佒⡁㈱㈯〰ⰷⰬ唬䑓䀩南偟久䥓乏䕟偘剟䅏ㄨ⼲〲㜰ⰬⰬ单⥄_x0018_＀＀_x0018_＀＀_x0008_＀＀_x0001_＀＀_x0001_＀＀＀＀＀＀쁤䰟_x0012_华幃彐剐䍉⡅〴〲⤹_x0018_＀＀_x0018_＀＀_x0008_＀＀_x0001_＀＀_x0001_＀＀ᑺ螮䁇䰟_x001E_华幃南彆䉅呉䅄䵟乇䰨䵔ⱓ㘳㠹⤱_x0018_＀＀_x0018_＀＀_x0008_＀＀_x0001_＀＀_x0001_＀＀漏ꅰ䀸䰟_x001E_华幃捩彡敭湡䕟䥂䑔㈨〰ⰶ㤳㔰⤱_x0018_＀＀_x0018_＀＀_x0008_＀＀_x0001_＀＀_x0001_＀＀ᑻ䞮磡䂪⦎䱚#华幃䅃偟协剔呅䱟䅉⡂㈱㈯〰ⰴⰬ唬䑓착_x0018_＀＀_x0018_＀＀_x0008_＀＀_x0001_＀＀_x0001_＀＀＀＀＀＀쁸⦆䱚J华幃䅃偟久当䱐乁䅟呓ㄨ⼲〲㐰ⰬⰬ单⥄址当䕐华佉彎䅖彌十䕓協ㄨ⼲〲㐰ⰬⰬ单⥄_x0018_＀＀_x0018_＀＀_x0008_＀＀_x0001_＀＀_x0001_＀＀＀＀＀＀㠀䂜䰟_x001A_华幃南彆䕄呂䱟⡔呑ⱒ㜳㘸⤴_x0018_＀＀_x0018_＀＀_x0008_＀＀_x0001_＀＀_x0001_＀＀＀＀＀＀쀀䂺䰟_x001C_华幃捩彡敭湡獟獬㈨㄰ⰰ㤳㌹⤳_x0018_＀＀_x0018_＀＀_x0008_＀＀_x0001_＀＀_x0001_＀＀凬Ẹ_xDA05_䃂⦆䱚&amp;华幃䅃偟久当十彔义䅔䝎ㄨ⼲〲㌰ⰬⰬ单⥄_x0018_＀＀_x0018_＀＀_x0008_＀＀_x0001_＀＀_x0001_＀＀＀＀＀＀＀＀＀＀䰟_x0011_华幃浣獟獨㌨㤸〹착_x0018_＀＀_x0018_＀＀_x0008_＀＀_x0001_＀＀_x0001_＀＀꤫퀓칄䁸䰟_x0012_华幃彐剐䍉⡅㤳㔷⤲_x0018_＀＀_x0018_＀＀_x0008_＀＀_x0001_＀＀_x0001_＀＀Ẹ䁍䰟_x001A_华幃南彆䅃䡓卟⡔呑ⱒ㜳㈲⤵_x0018_＀＀_x0018_＀＀_x0008_＀＀_x0001_＀＀_x0001_＀＀＀＀＀＀쀀䁠䰟_x001A_华幃南彆䕄呂䱟⡔呑ⱒ㤳㤲⤴_x0018_＀＀_x0018_＀＀_x0008_＀＀_x0001_＀＀_x0001_＀＀＀＀＀＀退䂶䰟_x0019_华幃南彆䅓䕌⡓呌卍㐬㄰㠷착_x0018_＀＀_x0018_＀＀_x0008_＀＀_x0001_＀＀_x0001_＀＀＀＀＀＀℀䂿⦎䱚J华幃䅃偟协剔呅剟䅏䅟呃ㄨ⼲〲㠰ⰬⰬ单⥄址当䱈䡔䅃䕒䅟呃剟䅏ㄨ⼲〲㠰ⰬⰬ单⥄_x0018_＀＀_x0018_＀＀_x0008_＀＀_x0001_＀＀_x0001_＀＀＀＀＀＀＀＀쁃⦆䱚Q华幃䅃偟久当䍁啃彍佃偍䥒䍎ㄨ⼲〲㐰ⰬⰬ单⥄址当佃偍归义彃䕐华䱟䅉⡂㈱㈯〰ⰴⰬ唬䑓착_x0018_＀＀_x0018_＀＀_x0008_＀＀_x0001_＀＀_x0001_＀＀＀＀＀＀＀＀䀴⦆䱚'华幃南偟久䥓乏也呅䱟䅉⡂㈱㈯〰ⰷⰬ唬䑓착_x0018_＀＀_x0018_＀＀_x0008_＀＀_x0001_＀＀_x0001_＀＀豀碵꼝쐕䰟_x001B_华幃南彆䕎彔义⡃呌卍㌬ㄸ㠶착_x0018_＀＀_x0018_＀＀_x0008_＀＀_x0001_＀＀_x0001_＀＀＀＀＀＀耀䂁䰟_x001E_华幃捩彡敭湡䕟䥂䑔㈨㄰ⰰ㤳〹⤳_x0018_＀＀_x0018_＀＀_x0008_＀＀_x0001_＀＀_x0001_＀＀尨릏䂭⦆䱚_x001E_华幃䅃偟久当佃偍剟呁⡅㈱㈯〰⤹_x0018_＀＀_x0018_＀＀_x0008_＀＀_x0001_＀＀_x0001_＀＀＀＀＀＀＀＀䀒䰟_x001B_华幃南彆偅当䥄⡌呌卍㌬ㄸ㠳착_x0018_＀＀_x0018_＀＀_x0008_＀＀_x0001_＀＀_x0001_＀＀肝숦Ꞇ㿳䰟_x001E_华幃捩彡敭湡䕟䥂䑔㈨㄰ⰰ〴㐱⤷_x0018_＀＀_x0018_＀＀_x0008_＀＀_x0001_＀＀_x0001_＀＀ᑺ栮䂩⦔䱚%华幃南䥟呎剟呁彅夵噁⡇㈱㈯〰ⰷⰬ唬䑓착_x0018_＀＀_x0018_＀＀_x0008_＀＀_x0001_＀＀_x0001_＀＀ఠ丞䀝䰟_x001A_华幃南彆䅃䡓卟⡔呑ⱒ㠳㌸⤷_x0018_＀＀_x0018_＀＀_x0008_＀＀_x0001_＀＀_x0001_＀＀＀＀＀＀᠀䂘䰟_x001D_华幃捩彡敭湡䕟䥂⡔〲㘰㌬㔸㔹착_x0018_＀＀_x0018_＀＀_x0008_＀＀_x0001_＀＀_x0001_＀＀＀＀＀＀垀䂡⦆䱚H华幃䅃偟久当义彔佃呓ㄨ⼲〲㔰ⰬⰬ单⥄址当䕐华佉彎义彔佃呓ㄨ⼲〲㔰ⰬⰬ单⥄_x0018_＀＀_x0018_＀＀_x0008_＀＀_x0001_＀＀_x0001_＀＀＀＀＀＀쀀䁕䰟_x001B_华幃南彆䕎彔义⡃呌卍㌬㔷〶착_x0018_＀＀_x0018_＀＀_x0008_＀＀_x0001_＀＀_x0001_＀＀＀＀＀＀䁻⦆䱚Q华幃䅃偟久当䍁啃彍佃偍䥒䍎ㄨ⼲〲㤰ⰬⰬ单⥄址当佃偍归义彃䕐华䱟䅉⡂㈱㈯〰ⰹⰬ唬䑓착_x0018_＀＀_x0018_＀＀_x0008_＀＀_x0001_＀＀_x0001_＀＀＀＀＀＀삇⦆䱚I华幃䅃偟久当剓彖佃呓ㄨ⼲〲㌰ⰬⰬ单⥄址当䕐华佉彎䕓噒䍟协⡔㈱㈯〰ⰳⰬ唬䑓착_x0018_＀＀_x0018_＀＀_x0008_＀＀_x0001_＀＀_x0001_＀＀＀＀＀＀＀＀䀴⦆䱚N华幃䅃偟久当乕䕒佃⡇㈱㈯〰ⰵⰬ唬䑓䀩南偟久䥓乏啟剎䍅卟剅彖佃呓ㄨ⼲〲㔰ⰬⰬ单⥄_x0018_＀＀_x0018_＀＀_x0008_＀＀_x0001_＀＀_x0001_＀＀＀＀＀＀＀＀䀬䰟_x0019_华幃南彆十䕓協儨剔㌬㐷㠶착_x0018_＀＀_x0018_＀＀_x0008_＀＀_x0001_＀＀_x0001_＀＀＀＀＀＀ᄀ䃓䰟_x001C_华幃捩彡敭湡獟獬㈨〰ⰴ㠳㔳⤲_x0018_＀＀_x0018_＀＀_x0008_＀＀_x0001_＀＀_x0001_＀＀㌴㌳䌳䂼</t>
        </r>
      </text>
    </comment>
  </commentList>
</comments>
</file>

<file path=xl/sharedStrings.xml><?xml version="1.0" encoding="utf-8"?>
<sst xmlns="http://schemas.openxmlformats.org/spreadsheetml/2006/main" count="1795" uniqueCount="1247">
  <si>
    <t>Industrial Tonnage</t>
  </si>
  <si>
    <t>Total Revenue Ton Miles (Millions RTMs)</t>
  </si>
  <si>
    <t>Assumed Share Creep (annualized)</t>
  </si>
  <si>
    <t>Compensation and Benefits</t>
  </si>
  <si>
    <t>NSC.N,mstag:bullCaseValueEstimatePerShare</t>
  </si>
  <si>
    <t>NSC.N,mstag:bearCaseValueEstimatePerShare</t>
  </si>
  <si>
    <t>NSC.N,mstag:met_12monthIntrinsicValueEstimate</t>
  </si>
  <si>
    <t>75</t>
  </si>
  <si>
    <t>1Q12</t>
  </si>
  <si>
    <t>Net Income</t>
  </si>
  <si>
    <t>Free Cash Flow</t>
  </si>
  <si>
    <t>2011A</t>
  </si>
  <si>
    <t>2012A</t>
  </si>
  <si>
    <t>Sequential % Chg</t>
  </si>
  <si>
    <t>Total Carloads ex-Intermodal</t>
  </si>
  <si>
    <t>Net Income After Disc. Ops./Extra Item</t>
  </si>
  <si>
    <t>SGD Singapore Dollar</t>
  </si>
  <si>
    <t>S$</t>
  </si>
  <si>
    <t>Fuel Expense</t>
  </si>
  <si>
    <t>Period End Stock Price</t>
  </si>
  <si>
    <t>Income Statement</t>
  </si>
  <si>
    <t>Expected Return on Plan Assets</t>
  </si>
  <si>
    <t>1Q</t>
  </si>
  <si>
    <t>2Q</t>
  </si>
  <si>
    <t>Per Share Effect of Extra Item</t>
  </si>
  <si>
    <t>Company-Reported EPS</t>
  </si>
  <si>
    <t>AED UAE Dirham</t>
  </si>
  <si>
    <t>AED</t>
  </si>
  <si>
    <t>ARS Argentinian Pesos</t>
  </si>
  <si>
    <t>Ar$</t>
  </si>
  <si>
    <t>ARS</t>
  </si>
  <si>
    <t>AUD Australian Dollar</t>
  </si>
  <si>
    <t>Basic shares, period average</t>
  </si>
  <si>
    <t>Total Chem.</t>
  </si>
  <si>
    <t>Min. Growth</t>
  </si>
  <si>
    <t>Period:</t>
  </si>
  <si>
    <t>On-Highway Diesel</t>
  </si>
  <si>
    <t>CHF Swiss Francs</t>
  </si>
  <si>
    <t>SFr</t>
  </si>
  <si>
    <t>CHF</t>
  </si>
  <si>
    <t>VEB Venezuelan Bolivar</t>
  </si>
  <si>
    <t>VEB</t>
  </si>
  <si>
    <t>ZAR South African rand</t>
  </si>
  <si>
    <t>ZAR</t>
  </si>
  <si>
    <t>US GAAP</t>
  </si>
  <si>
    <t>Total Debt</t>
  </si>
  <si>
    <t>Sequential % Change</t>
  </si>
  <si>
    <t>Combined Time Series</t>
  </si>
  <si>
    <t>Period End Data</t>
  </si>
  <si>
    <t>Quarterly</t>
  </si>
  <si>
    <t>Annual</t>
  </si>
  <si>
    <t xml:space="preserve">c </t>
  </si>
  <si>
    <t>Coal</t>
  </si>
  <si>
    <t>Total RTMs / GTMs</t>
  </si>
  <si>
    <t>Reversal of non-cash pension expense(benefit)</t>
  </si>
  <si>
    <t>Step 3</t>
  </si>
  <si>
    <t>: Integration in Main Model</t>
  </si>
  <si>
    <t>ZAV(TF.FN.HealthcarePlanExpectedLTRateReturnOnAssets(period=FY0,sdate=#1,edate=#2,frq=FY))/100</t>
  </si>
  <si>
    <t>NSC.N,mstag:revenueNet,2009FY,,FYR,,,IN-PROGRESS</t>
  </si>
  <si>
    <t>CSX.N,mstag:statutoryTaxRate,2013FY,,FYR</t>
  </si>
  <si>
    <t>NSC.N,mscalc:defaultCurrencyCalc</t>
  </si>
  <si>
    <t>CSX.N,mstag:statutoryTaxRate,2012FY,,FYR</t>
  </si>
  <si>
    <t>30</t>
  </si>
  <si>
    <t>% of Revenue ex-Fuel Surcharge - Actual/Forecast</t>
  </si>
  <si>
    <t>Avg. WTI $ / Barrel (60 day lag)</t>
  </si>
  <si>
    <t>2017E</t>
  </si>
  <si>
    <t>Month</t>
  </si>
  <si>
    <t>Week Applied</t>
  </si>
  <si>
    <t>Basis Week</t>
  </si>
  <si>
    <t>Other Fuel Expense</t>
  </si>
  <si>
    <t>% of Fuel Expense</t>
  </si>
  <si>
    <t>Operating Statistics</t>
  </si>
  <si>
    <t>Carloads (Thousands)</t>
  </si>
  <si>
    <t>Automotive Carloads</t>
  </si>
  <si>
    <t>YoY % Change</t>
  </si>
  <si>
    <t>Coal Carloads</t>
  </si>
  <si>
    <t xml:space="preserve">   Incremental Margin</t>
  </si>
  <si>
    <t>Total GTMs / Carload</t>
  </si>
  <si>
    <t>Norfolk Southern Corp</t>
  </si>
  <si>
    <t>JPY Japanese Yen</t>
  </si>
  <si>
    <t>¥</t>
  </si>
  <si>
    <t>JPY</t>
  </si>
  <si>
    <t>NSC.N,mstag:statutoryTaxRate,2013FY,,FYR</t>
  </si>
  <si>
    <t>0.36</t>
  </si>
  <si>
    <t>Total Carloads</t>
  </si>
  <si>
    <t>Carloads YoY Growth</t>
  </si>
  <si>
    <t>YoY % Change (Yield) ex Fuel Surcharge</t>
  </si>
  <si>
    <t>Rev/RTM (Cents)</t>
  </si>
  <si>
    <t>RTM/Carload (Millions/Carload)</t>
  </si>
  <si>
    <t>YoY $MM RTM Mix Impact on Rev</t>
  </si>
  <si>
    <t>Total Railroad Revenues</t>
  </si>
  <si>
    <t>Expenses</t>
  </si>
  <si>
    <t>3QE</t>
  </si>
  <si>
    <t>YoY % Chg.</t>
  </si>
  <si>
    <t>Intermodal Units</t>
  </si>
  <si>
    <t>Agriculture Carloads</t>
  </si>
  <si>
    <t>Units (Thousands)</t>
  </si>
  <si>
    <t xml:space="preserve">   Year-to-Year Pt. Change</t>
  </si>
  <si>
    <t>Sequential Pt. Chg</t>
  </si>
  <si>
    <t>PLN Polish Zloty</t>
  </si>
  <si>
    <t>zł</t>
  </si>
  <si>
    <t>PLN</t>
  </si>
  <si>
    <t>RUB Russian Rouble</t>
  </si>
  <si>
    <t>RUB</t>
  </si>
  <si>
    <t>SAR Saudi Riyal</t>
  </si>
  <si>
    <t>SAR</t>
  </si>
  <si>
    <t>Revenue Per Carload</t>
  </si>
  <si>
    <t>Period</t>
  </si>
  <si>
    <t>Regression</t>
  </si>
  <si>
    <t>Error</t>
  </si>
  <si>
    <t>WTI Difference</t>
  </si>
  <si>
    <t>FS rev as % of Rev ex. FS - Actual</t>
  </si>
  <si>
    <t>Regression FS "lag impact" estimate</t>
  </si>
  <si>
    <t xml:space="preserve">Actual FS "lag impact" - from earnings call </t>
  </si>
  <si>
    <t>% of Revenue ex-Fuel Surcharge - Regression</t>
  </si>
  <si>
    <t>Operating Expenses</t>
  </si>
  <si>
    <t>CLP Chilean Pesos</t>
  </si>
  <si>
    <t>CLP</t>
  </si>
  <si>
    <t>mstag:netActuarialGainLossRecognizedOpeb</t>
  </si>
  <si>
    <t>Tax Rate</t>
  </si>
  <si>
    <t>Provision For Taxes</t>
  </si>
  <si>
    <t>Operating Income Impact of YoY Fuel Surch Less Fuel Cost</t>
  </si>
  <si>
    <t>Agricultural Products Revenue</t>
  </si>
  <si>
    <t>Other Amortization</t>
  </si>
  <si>
    <t>% of Book Taxes</t>
  </si>
  <si>
    <t>Pension Contributions, net of I.S. expense</t>
  </si>
  <si>
    <t>CFO</t>
  </si>
  <si>
    <t>Cash Flow From Investing</t>
  </si>
  <si>
    <t>% of LTM Total Rev</t>
  </si>
  <si>
    <t>Net Asset (Acquisitions)/Sales</t>
  </si>
  <si>
    <t>CFI</t>
  </si>
  <si>
    <t>Cash Flow From Financing</t>
  </si>
  <si>
    <t>Net Issuance/(Buybacks)</t>
  </si>
  <si>
    <t>Other Change in Equity</t>
  </si>
  <si>
    <t>Total Change in Equity</t>
  </si>
  <si>
    <t>LTM Operating Income</t>
  </si>
  <si>
    <t>LTM Pre-tax Income</t>
  </si>
  <si>
    <t>LTM Net Income</t>
  </si>
  <si>
    <t>LTM EBITDA</t>
  </si>
  <si>
    <t>Dupont</t>
  </si>
  <si>
    <t>Asset Turnover</t>
  </si>
  <si>
    <t>Net Margin</t>
  </si>
  <si>
    <t>ROA</t>
  </si>
  <si>
    <t>Leverage (Assets / Equity)</t>
  </si>
  <si>
    <t>Leverage (Net Debt / EBITDA)</t>
  </si>
  <si>
    <t>ROE</t>
  </si>
  <si>
    <t>ROIC</t>
  </si>
  <si>
    <t>Margin Analysis</t>
  </si>
  <si>
    <t>Operating Margin</t>
  </si>
  <si>
    <t>Pretax Margin</t>
  </si>
  <si>
    <t>Traffic by Commodity - Units</t>
  </si>
  <si>
    <t>Sequential Change</t>
  </si>
  <si>
    <t>Accrued Dividends</t>
  </si>
  <si>
    <t>Other</t>
  </si>
  <si>
    <t xml:space="preserve">Total Current Liabilities </t>
  </si>
  <si>
    <t>Long-term Debt</t>
  </si>
  <si>
    <t>NSC.N,mscalc:factsetIdCalc</t>
  </si>
  <si>
    <t>Accounts Receivable</t>
  </si>
  <si>
    <t>Export Tonnage</t>
  </si>
  <si>
    <t>KES Kenyan Shilling</t>
  </si>
  <si>
    <t>KES</t>
  </si>
  <si>
    <t>KRW South Korean Won</t>
  </si>
  <si>
    <t>₩</t>
  </si>
  <si>
    <t>KRW</t>
  </si>
  <si>
    <t>KWD Kuwaiti Dinar</t>
  </si>
  <si>
    <t>KWD</t>
  </si>
  <si>
    <t>KYD Cayman Dollars</t>
  </si>
  <si>
    <t>KYD</t>
  </si>
  <si>
    <t>LKR Sri Lankan Rupee</t>
  </si>
  <si>
    <t>LKR</t>
  </si>
  <si>
    <t>MAD Moroccan Dirham</t>
  </si>
  <si>
    <t>MAD</t>
  </si>
  <si>
    <t>NSC Railway</t>
  </si>
  <si>
    <t>3Q12</t>
  </si>
  <si>
    <t>Pension Contributions, Net of Tax</t>
  </si>
  <si>
    <t>MXN Mexican Pesos (new)</t>
  </si>
  <si>
    <t>Company Name</t>
  </si>
  <si>
    <t>Other ST Liabilities</t>
  </si>
  <si>
    <t>Other LT Liabilities</t>
  </si>
  <si>
    <t>Operating Revenue</t>
  </si>
  <si>
    <t>Prior Service Costs</t>
  </si>
  <si>
    <t>PEN</t>
  </si>
  <si>
    <t>PHP Philippino Peso</t>
  </si>
  <si>
    <t>PP</t>
  </si>
  <si>
    <t>PHP</t>
  </si>
  <si>
    <t>PKR Pakistani Rupee</t>
  </si>
  <si>
    <t>PKR</t>
  </si>
  <si>
    <t>Assets</t>
  </si>
  <si>
    <t>Cash and Cash Equivalents</t>
  </si>
  <si>
    <t>Cash Flow From Operations</t>
  </si>
  <si>
    <t>Other Railroad Revenue</t>
  </si>
  <si>
    <t>Avg Annual</t>
  </si>
  <si>
    <t>JMD Jamaican Dollars</t>
  </si>
  <si>
    <t>JMD</t>
  </si>
  <si>
    <t xml:space="preserve">   Year over Year Change</t>
  </si>
  <si>
    <t>Other Stats</t>
  </si>
  <si>
    <t>Balance Sheet</t>
  </si>
  <si>
    <t>Benefits Paid</t>
  </si>
  <si>
    <t>2006A</t>
  </si>
  <si>
    <t>2007A</t>
  </si>
  <si>
    <t>2008A</t>
  </si>
  <si>
    <t>Total Current Assets</t>
  </si>
  <si>
    <t>Total Assets</t>
  </si>
  <si>
    <t>COMMENTS</t>
  </si>
  <si>
    <t>50% of export coal vols go to Western Europe, 30% to China</t>
  </si>
  <si>
    <t>A$</t>
  </si>
  <si>
    <t>AUD</t>
  </si>
  <si>
    <t>BGL Bulgarian levs</t>
  </si>
  <si>
    <t>BGL</t>
  </si>
  <si>
    <t>BMD Bermudan Dollars</t>
  </si>
  <si>
    <t>BMD</t>
  </si>
  <si>
    <t>BRL Brazilian Real</t>
  </si>
  <si>
    <t>R$</t>
  </si>
  <si>
    <t>2015E</t>
  </si>
  <si>
    <t>% of Total Rev</t>
  </si>
  <si>
    <t>% of Total Op Expenses</t>
  </si>
  <si>
    <t>% of Total Revenue</t>
  </si>
  <si>
    <t>% of Total Carloads</t>
  </si>
  <si>
    <t>YoY % Change (Yield)</t>
  </si>
  <si>
    <t>Revenue Segment Details</t>
  </si>
  <si>
    <t>CNY Chinese Renminbi Yuan</t>
  </si>
  <si>
    <t>Total Shareholder's Equity</t>
  </si>
  <si>
    <t>Quarter Index</t>
  </si>
  <si>
    <t>Year Index</t>
  </si>
  <si>
    <t>Count</t>
  </si>
  <si>
    <t>NA</t>
  </si>
  <si>
    <t>Interest Expense</t>
  </si>
  <si>
    <t>Accrural Net Share Issuance</t>
  </si>
  <si>
    <t>Merchandise Revenue</t>
  </si>
  <si>
    <t>Automotive Revenue</t>
  </si>
  <si>
    <t>ZAV(TF.FN.PensionPlanPctEquities(period=FY0,sdate=#1,edate=#2,frq=FY))/100</t>
  </si>
  <si>
    <t>ZAV(TF.FN.PensionPlanPctBonds(period=FY0,sdate=#1,edate=#2,frq=FY))/100</t>
  </si>
  <si>
    <t>Market cap</t>
  </si>
  <si>
    <t>Funded Status</t>
  </si>
  <si>
    <t>Fair Value of Plan Assets - EOP</t>
  </si>
  <si>
    <t>% of Market cap</t>
  </si>
  <si>
    <t>Funding level</t>
  </si>
  <si>
    <t>ZAV(TF.FN.PensionPlanFairValueOfPlanAssets(period=FY0,sdate=#1,frq=FY,curn=#2,scale=6))</t>
  </si>
  <si>
    <t>ZAV(TF.FN.PensionPlanActualReturnOnPlanAssets(period=FY0,sdate=#1,edate=#2,frq=FY,curn=#3,scale=6))</t>
  </si>
  <si>
    <t>2 Month Lag</t>
  </si>
  <si>
    <t>BRL</t>
  </si>
  <si>
    <t>CAD Canadian Dollars</t>
  </si>
  <si>
    <t>C$</t>
  </si>
  <si>
    <t>CAD</t>
  </si>
  <si>
    <t>Total Liabilities and Equity</t>
  </si>
  <si>
    <t>YoY $ Total Mix Impact on Rev</t>
  </si>
  <si>
    <t>,mscalc:shortAndLongtermDebt,2012FY,,,,,HOLD</t>
  </si>
  <si>
    <t>TRY</t>
  </si>
  <si>
    <t>TWD New Taiwan Dollar</t>
  </si>
  <si>
    <t>NT$</t>
  </si>
  <si>
    <t>TWD</t>
  </si>
  <si>
    <t>UAH Ukrainian Hryvnia</t>
  </si>
  <si>
    <t>Operating Ratio ex-Fuel Surcharge</t>
  </si>
  <si>
    <t>CSX.N,mstag:revenueNet,2009FY,,FYR,,,IN-PROGRESS</t>
  </si>
  <si>
    <t>CSX.N,mscalc:targetPrice,,,,USD</t>
  </si>
  <si>
    <t>CSX.N,mscalc:defaultCurrencyCalc</t>
  </si>
  <si>
    <t>(Decrease) in cash from contributions</t>
  </si>
  <si>
    <t>Increase (decrease) in cash from reversal of non-cash pension expense (benefit)</t>
  </si>
  <si>
    <t>Increase (decrease) in DTA from higher/lower funded status</t>
  </si>
  <si>
    <t>Total change in Assets</t>
  </si>
  <si>
    <t>Change in Liabilities &amp; Equity</t>
  </si>
  <si>
    <t>Increase / (Decrease) in Pension Obligation</t>
  </si>
  <si>
    <t>Increase / (Decrease) in AOCI from actuarial gains/losses</t>
  </si>
  <si>
    <t>Total Change in Liabilities &amp; Equity</t>
  </si>
  <si>
    <t>Step 4</t>
  </si>
  <si>
    <t>: Thinking about Pensions in Valuation</t>
  </si>
  <si>
    <t xml:space="preserve">    Metric</t>
  </si>
  <si>
    <t>Calculating Economic Pension Cost</t>
  </si>
  <si>
    <t>Interest on Net Underfunding</t>
  </si>
  <si>
    <t>Total Economic Pension Cost</t>
  </si>
  <si>
    <t>Avg. Diluted Shares Outstanding</t>
  </si>
  <si>
    <t>Impact on EPS</t>
  </si>
  <si>
    <t>ZAV(TF.RF.DiscountRatePostRetir(period=FY0,sdate=#1,edate=#2,frq=FY))</t>
  </si>
  <si>
    <t>ZAV(TF.FN.HealthcarePlanServiceCosts(period=FY0,sdate=#1,edate=#2,frq=FY,curn=#3,scale=6))</t>
  </si>
  <si>
    <t>ZAV(TF.FN.HealthcarePlanServiceAmmortizationOfPriorServiceCosts(period=FY0,sdate=#1,edate=#2,frq=FY,curn=#3,scale=6))</t>
  </si>
  <si>
    <t>ZAV(TF.FN.HealthcarePlanInterestCost(period=FY0,sdate=#1,edate=#2,frq=FY,curn=#3,scale=6))</t>
  </si>
  <si>
    <t>drop down link</t>
  </si>
  <si>
    <t>ZAV(TF.FN.HealthcarePlanExpectedReturnOnPlanAssets(period=FY0,sdate=#1,edate=#2,frq=FY,curn=#3,scale=6))</t>
  </si>
  <si>
    <t>GAAP OPEB Expense / (Benefit)</t>
  </si>
  <si>
    <t>ZAV(TF.FN.HealthcarePlanNetPeriodicIncExp(period=FY0,sdate=#1,edate=#2,frq=FY,curn=#3,scale=6))</t>
  </si>
  <si>
    <t>ZAV(TF.FN.HealthcarePlanProjectedBenefitObligation(period=FY0,sdate=#1,frq=FY,curn=#2,scale=6))</t>
  </si>
  <si>
    <t>ZAV(TF.FN.HealthcarePlanProjectedBenefitObligation(period=FY0,sdate=#1,edate=#2,frq=FY,curn=#3,scale=6))</t>
  </si>
  <si>
    <t>PBO</t>
  </si>
  <si>
    <t>OPEB</t>
  </si>
  <si>
    <t>Deferred Tax Asset/(Liability)</t>
  </si>
  <si>
    <t>Reversal of non-cash OPEB expense(benefit)</t>
  </si>
  <si>
    <t>ZAV(TF.FN.PensionPlanPctProperty(period=FY0,sdate=#1,edate=#2,frq=FY))/100</t>
  </si>
  <si>
    <t>Averaged Data</t>
  </si>
  <si>
    <t>Avg Quarterly</t>
  </si>
  <si>
    <t>Current Stock Price</t>
  </si>
  <si>
    <t>Incremental Margin</t>
  </si>
  <si>
    <t>Casualties &amp; Insurance</t>
  </si>
  <si>
    <t>Utility Tonnage</t>
  </si>
  <si>
    <t>Domestic Met Tonnage</t>
  </si>
  <si>
    <t>ZAV(TF.FN.HealthcarePlanFairValueOfPlanAssets(period=FY0,sdate=#1,frq=FY,curn=#2,scale=6))</t>
  </si>
  <si>
    <t>Avg. Stock Price Assumption (for repurchase calculation)</t>
  </si>
  <si>
    <t>IRR Iranian Rial</t>
  </si>
  <si>
    <t>IRR</t>
  </si>
  <si>
    <t>ISK Iceland Krona</t>
  </si>
  <si>
    <t>kr</t>
  </si>
  <si>
    <t>ISK</t>
  </si>
  <si>
    <t>Yield Impact of Fuel Surcharge</t>
  </si>
  <si>
    <t>HKD Hong Kong Dollar</t>
  </si>
  <si>
    <t>Interest Cost</t>
  </si>
  <si>
    <t>Revenue</t>
  </si>
  <si>
    <t>Total</t>
  </si>
  <si>
    <t>YoY $ Change in Surcharge Revenue for Yield Impact</t>
  </si>
  <si>
    <t xml:space="preserve">   Equity</t>
  </si>
  <si>
    <t xml:space="preserve">   Fixed Income</t>
  </si>
  <si>
    <t xml:space="preserve">   Real Estate</t>
  </si>
  <si>
    <t xml:space="preserve">   Other</t>
  </si>
  <si>
    <t>Liabilities</t>
  </si>
  <si>
    <t>Stock Based Compensation</t>
  </si>
  <si>
    <t>2013A</t>
  </si>
  <si>
    <t>ZAV(TF.FN.PensionPlanFairValueOfPlanAssets(period=FY0,sdate=#1,edate=#2,frq=FY,curn=#3,scale=6))</t>
  </si>
  <si>
    <t>Fuel Price Assumption</t>
  </si>
  <si>
    <t>Published On-Highway Diesel Price per Gal.</t>
  </si>
  <si>
    <t>3Q</t>
  </si>
  <si>
    <t>4Q</t>
  </si>
  <si>
    <t>Avg</t>
  </si>
  <si>
    <t>CSX.N,mstag:gallonsOfFuelConsumed,,,,,,HOLD</t>
  </si>
  <si>
    <t>Fuel</t>
  </si>
  <si>
    <t>GWR.N,mstag:gallonsOfFuelConsumed,,,,,,HOLD</t>
  </si>
  <si>
    <t>CP.N,mstag:gallonsOfFuelConsumed,,,,,,HOLD</t>
  </si>
  <si>
    <t>NSC.N,mstag:gallonsOfFuelConsumed,,,,,,HOLD</t>
  </si>
  <si>
    <t>Dividend Payout Ratio</t>
  </si>
  <si>
    <t>ZAV(TF.FN.PensionPlanPctOther(period=FY0,sdate=#1,edate=#2,frq=FY))/100</t>
  </si>
  <si>
    <t>MW Ccy</t>
  </si>
  <si>
    <t>TR ISO Ccy</t>
  </si>
  <si>
    <t>Not Available</t>
  </si>
  <si>
    <t>Rmb</t>
  </si>
  <si>
    <t>CNY</t>
  </si>
  <si>
    <t>COP Colombian Peso</t>
  </si>
  <si>
    <t>COP</t>
  </si>
  <si>
    <t>CZK Czech Krona</t>
  </si>
  <si>
    <t>Kcs</t>
  </si>
  <si>
    <t>CZK</t>
  </si>
  <si>
    <t>DKK Danish Krone</t>
  </si>
  <si>
    <t>DKr</t>
  </si>
  <si>
    <t>DKK</t>
  </si>
  <si>
    <t>DZD Algerian Dinar</t>
  </si>
  <si>
    <t>DZD</t>
  </si>
  <si>
    <t>EGP Egyptian Pound</t>
  </si>
  <si>
    <t>EGP</t>
  </si>
  <si>
    <t>EUR Euro</t>
  </si>
  <si>
    <t>€</t>
  </si>
  <si>
    <t>EUR</t>
  </si>
  <si>
    <t>GBp British Pence</t>
  </si>
  <si>
    <t>p</t>
  </si>
  <si>
    <t>Donot Delete this tag</t>
  </si>
  <si>
    <t>Amortization of Actuarial (Gain) / Loss</t>
  </si>
  <si>
    <t>mstag:netActuarialGainLossRecognizedPensions</t>
  </si>
  <si>
    <t>GAAP Pension Expense / (Benefit)</t>
  </si>
  <si>
    <t>ZAV(TF.FN.PensionPlanNetPeriodicIncExp(period=FY0,sdate=#1,edate=#2,frq=FY,curn=#3,scale=6))</t>
  </si>
  <si>
    <t>Plan Asset Allocation (%)</t>
  </si>
  <si>
    <t xml:space="preserve">b </t>
  </si>
  <si>
    <t>Projected Benefit Obligations (PBO) - BOP</t>
  </si>
  <si>
    <t>ZAV(TF.FN.PensionPlanDiscountRateWtdAvg(period=FY0,sdate=#1,edate=#2,frq=FY))/100</t>
  </si>
  <si>
    <t>ST Debt</t>
  </si>
  <si>
    <t>Sharecount Calculation</t>
  </si>
  <si>
    <t>Dividend Calculation</t>
  </si>
  <si>
    <t>OPEB Contributions, Net of Tax</t>
  </si>
  <si>
    <t>NSC.N,mstag:statutoryTaxRate,2008FY,,FYR</t>
  </si>
  <si>
    <t>CSX.N,mstag:statutoryTaxRate,2011FY,,FYR</t>
  </si>
  <si>
    <t>CSX.N,mstag:statutoryTaxRate,2008FY,,FYR</t>
  </si>
  <si>
    <t>CSX.N,mstag:statutoryTaxRate,2009FY,,FYR</t>
  </si>
  <si>
    <t>CSX.N,mstag:statutoryTaxRate,2014FY,,FYR</t>
  </si>
  <si>
    <t>CSX.N,mstag:statutoryTaxRate,2003FY,,FYR</t>
  </si>
  <si>
    <t>CSX.N,mscalc:factsetIdCalc</t>
  </si>
  <si>
    <t>CSX</t>
  </si>
  <si>
    <t>CSX.N,mstag:statutoryTaxRate,2010FY,,FYR</t>
  </si>
  <si>
    <t>CSX.N,mscalc:sedolCodeCalc</t>
  </si>
  <si>
    <t>2160753</t>
  </si>
  <si>
    <t>CSX.N,mstag:statutoryTaxRate,2006FY,,FYR</t>
  </si>
  <si>
    <t>2016E</t>
  </si>
  <si>
    <t>Impact of Dilutive Securities</t>
  </si>
  <si>
    <t>Check</t>
  </si>
  <si>
    <t>On-Highway Diesel Price Per Gal. ex Taxes etc.</t>
  </si>
  <si>
    <t>Op. Ratio Impact of Fuel Lag</t>
  </si>
  <si>
    <t>Year</t>
  </si>
  <si>
    <t>NSC.N,mscalc:targetPrice</t>
  </si>
  <si>
    <t>NSC.N,mstag:revenueNet,2008FY,,FYR,,,IN-PROGRESS</t>
  </si>
  <si>
    <t>Capital Expenditures</t>
  </si>
  <si>
    <t>Unrecorded Goodwill/Accum. Amort.</t>
  </si>
  <si>
    <t>National On-Highway Diesel</t>
  </si>
  <si>
    <t>Fuel Surcharge</t>
  </si>
  <si>
    <t>FSC No Lag</t>
  </si>
  <si>
    <t>At Least</t>
  </si>
  <si>
    <t>But Less Than</t>
  </si>
  <si>
    <t>QTR</t>
  </si>
  <si>
    <t>Actual</t>
  </si>
  <si>
    <t>Difference</t>
  </si>
  <si>
    <t>Revenue Per Carload ex. FS Rev</t>
  </si>
  <si>
    <t>Quarter</t>
  </si>
  <si>
    <t>Retained Earnings</t>
  </si>
  <si>
    <t>Merchandise</t>
  </si>
  <si>
    <t>Modelware Requirements</t>
  </si>
  <si>
    <t>Statutory Tax Rate</t>
  </si>
  <si>
    <t>Forecast</t>
  </si>
  <si>
    <t>FX gains/(losses) on Long-term Debt</t>
  </si>
  <si>
    <t>2Q12</t>
  </si>
  <si>
    <t>BPN</t>
  </si>
  <si>
    <t>KSU.N,mscalc:defaultCurrencyCalc</t>
  </si>
  <si>
    <t>PEN Peruvian PEN</t>
  </si>
  <si>
    <t>Operating Ratio</t>
  </si>
  <si>
    <t>Equipment Rents</t>
  </si>
  <si>
    <t>Conrail Rents &amp; Services</t>
  </si>
  <si>
    <t>Fuel Surcharge Revenue Collected</t>
  </si>
  <si>
    <t>Actual Return on Plan Assets</t>
  </si>
  <si>
    <t>WTI</t>
  </si>
  <si>
    <t>Expected Return on Plan Assets (EROA)</t>
  </si>
  <si>
    <t>BoP Start Yr</t>
  </si>
  <si>
    <t>TimeSrs Start Yr</t>
  </si>
  <si>
    <t>TimSrs End Yr</t>
  </si>
  <si>
    <t>Step 2</t>
  </si>
  <si>
    <t>: Forecasting Financial Statements</t>
  </si>
  <si>
    <t>Yr diff. MW vs TR</t>
  </si>
  <si>
    <t>Last historical Yr</t>
  </si>
  <si>
    <t xml:space="preserve">a </t>
  </si>
  <si>
    <t>MW FYE Month</t>
  </si>
  <si>
    <t>MW FYE</t>
  </si>
  <si>
    <t>ZAV(TF.FN.PensionPlanServiceCosts(period=FY0,sdate=#1,edate=#2,frq=FY,curn=#3,scale=6))</t>
  </si>
  <si>
    <t>TR FYE</t>
  </si>
  <si>
    <t>ZAV(TF.FN.PensionPlanServiceAmmortizationOfPriorServiceCosts(period=FY0,sdate=#1,edate=#2,frq=FY,curn=#3,scale=6))</t>
  </si>
  <si>
    <t>ZAV(TF.FN.PensionPlanInterestCost(period=FY0,sdate=#1,edate=#2,frq=FY,curn=#3,scale=6))</t>
  </si>
  <si>
    <t>ZAV(TF.FN.PensionPlanExpectedReturnOnPlanAssets(period=FY0,sdate=#1,edate=#2,frq=FY,curn=#3,scale=6))</t>
  </si>
  <si>
    <t>US GAAP: Voluntary Pension Accounting</t>
  </si>
  <si>
    <t>Recognized Actuarial (Gains) / Loss</t>
  </si>
  <si>
    <t>Tonnage Detail</t>
  </si>
  <si>
    <t>Total Coal, Coke, and Ore Tons</t>
  </si>
  <si>
    <t>Operating Summary</t>
  </si>
  <si>
    <t>EPS Reconciliation</t>
  </si>
  <si>
    <t>NSC</t>
  </si>
  <si>
    <t>SGD</t>
  </si>
  <si>
    <t>Less Highway Tax, Purchasing, &amp; Geographic Discount</t>
  </si>
  <si>
    <t>2009A</t>
  </si>
  <si>
    <t>2010A</t>
  </si>
  <si>
    <t>4QE</t>
  </si>
  <si>
    <t>2011E</t>
  </si>
  <si>
    <t>2012E</t>
  </si>
  <si>
    <t>Disc. Ops./Extrordinary Items Net of Tax</t>
  </si>
  <si>
    <t>Debt Issuance/(Paydown)</t>
  </si>
  <si>
    <t>Intermodal</t>
  </si>
  <si>
    <t>Key Metrics</t>
  </si>
  <si>
    <t>Total Equity</t>
  </si>
  <si>
    <t>Total Invested Capital</t>
  </si>
  <si>
    <t>Net Debt</t>
  </si>
  <si>
    <t>LTM Revenue</t>
  </si>
  <si>
    <t>NSC.N,mscalc:targetPrice,,,,USD</t>
  </si>
  <si>
    <t>2641894</t>
  </si>
  <si>
    <t>-</t>
  </si>
  <si>
    <t>Other Current Assets</t>
  </si>
  <si>
    <t>NSC.N,mstag:revenueNet,2010FY,,FYR,,,IN-PROGRESS</t>
  </si>
  <si>
    <t>CSX.N,mscalc:companyName</t>
  </si>
  <si>
    <t>CSX Corporation</t>
  </si>
  <si>
    <t>UNP.N,mscalc:companyName</t>
  </si>
  <si>
    <t>Union Pacific Corp.</t>
  </si>
  <si>
    <t>KSU.N,mscalc:companyName</t>
  </si>
  <si>
    <t>Kansas City Southern</t>
  </si>
  <si>
    <t>ZAV(TF.FN.HealthcarePlanFairValueOfPlanAssets(period=FY0,sdate=#1,edate=#2,frq=FY,curn=#3,scale=6))</t>
  </si>
  <si>
    <t>,mscalc:closePriceCurrencyCalc</t>
  </si>
  <si>
    <t>,mscalc:targetPrice,,,,USD</t>
  </si>
  <si>
    <t>,mscalc:sedolCodeCalc</t>
  </si>
  <si>
    <t>Fuel Surcharge as % of Rev ex FS</t>
  </si>
  <si>
    <t>Short Term Investments</t>
  </si>
  <si>
    <t>Plan Assets - BOP</t>
  </si>
  <si>
    <t>Actual Return</t>
  </si>
  <si>
    <t>Pension Fund Status</t>
  </si>
  <si>
    <t>Company Contributions</t>
  </si>
  <si>
    <t>NSC.N,mscalc:sedolCodeCalc</t>
  </si>
  <si>
    <t>NSC.N,mscalc:closePriceCurrencyCalc</t>
  </si>
  <si>
    <t>% of Total Costs</t>
  </si>
  <si>
    <t># of Employees (average figure)</t>
  </si>
  <si>
    <t>Cash Flow from Discontinued Operations</t>
  </si>
  <si>
    <t>Net Property and Equipment</t>
  </si>
  <si>
    <t>Other Assets</t>
  </si>
  <si>
    <t>NSC.N,mstag:statutoryTaxRate,2011FY,,FYR</t>
  </si>
  <si>
    <t>CSX.N,mstag:statutoryTaxRate,2007FY,,FYR</t>
  </si>
  <si>
    <t>CSX.N,mstag:statutoryTaxRate,2005FY,,FYR</t>
  </si>
  <si>
    <t>CSX.N,mscalc:closePriceCurrencyCalc</t>
  </si>
  <si>
    <t>SEK Swedish Krona</t>
  </si>
  <si>
    <t>SKr</t>
  </si>
  <si>
    <t>SEK</t>
  </si>
  <si>
    <t>Materials &amp; Supplies</t>
  </si>
  <si>
    <t>Q as % of Year</t>
  </si>
  <si>
    <t>2013E</t>
  </si>
  <si>
    <t>Extraordinary/One-Time Charges/Expenses</t>
  </si>
  <si>
    <t>ZAV(TF.FN.HealthcarePlanActualReturnOnPlanAssets(period=FY0,sdate=#1,edate=#2,frq=FY,curn=#3,scale=6))</t>
  </si>
  <si>
    <t>RA.N,mscalc:companyName</t>
  </si>
  <si>
    <t>Gallons Consumed (millions)</t>
  </si>
  <si>
    <t>Description</t>
  </si>
  <si>
    <t>Index</t>
  </si>
  <si>
    <t>Reported</t>
  </si>
  <si>
    <t>No Lag</t>
  </si>
  <si>
    <t>Total FSC as % of Total Rev (ex FSC)</t>
  </si>
  <si>
    <t>Cost / Avg. Employee ex. Share-Based Comp</t>
  </si>
  <si>
    <t>YoY % ex. Stock Comp</t>
  </si>
  <si>
    <t>Intermodal Revenue</t>
  </si>
  <si>
    <t>Coal Revenue</t>
  </si>
  <si>
    <t>UNP.N,mstag:gallonsOfFuelConsumed,,,,,,HOLD</t>
  </si>
  <si>
    <t>CNI.N,mstag:gallonsOfFuelConsumed,,,,,,HOLD</t>
  </si>
  <si>
    <t>KSU.N,mstag:gallonsOfFuelConsumed,,,,,,HOLD</t>
  </si>
  <si>
    <t>GBP British Pound</t>
  </si>
  <si>
    <t>₤</t>
  </si>
  <si>
    <t>GBP</t>
  </si>
  <si>
    <t>Currency</t>
  </si>
  <si>
    <t>THB Thailand Baht</t>
  </si>
  <si>
    <t>Bt</t>
  </si>
  <si>
    <t>THB</t>
  </si>
  <si>
    <t>TND Tunisian Dinar</t>
  </si>
  <si>
    <t>TND</t>
  </si>
  <si>
    <t>TRY Turkish Lira</t>
  </si>
  <si>
    <t>YTL</t>
  </si>
  <si>
    <t>MW Ticker (with .N, .O extension)</t>
  </si>
  <si>
    <t>Sedol</t>
  </si>
  <si>
    <t>Step 1</t>
  </si>
  <si>
    <t>: Thinking about Assumptions</t>
  </si>
  <si>
    <t>Discount Rate</t>
  </si>
  <si>
    <t>% Change in PBO for each 100 bps change in Interest Rate</t>
  </si>
  <si>
    <t xml:space="preserve">Average Remaining Working Life </t>
  </si>
  <si>
    <t>Control tool for last reported year</t>
  </si>
  <si>
    <t>EBITDA</t>
  </si>
  <si>
    <t>1QA</t>
  </si>
  <si>
    <t>2QA</t>
  </si>
  <si>
    <t>ILS Israeli shekel</t>
  </si>
  <si>
    <t>ILS</t>
  </si>
  <si>
    <t>INR Indian Rupee</t>
  </si>
  <si>
    <t>Rs.</t>
  </si>
  <si>
    <t>INR</t>
  </si>
  <si>
    <t>IQD Iraqi Dinar</t>
  </si>
  <si>
    <t>IQD</t>
  </si>
  <si>
    <t>3QA</t>
  </si>
  <si>
    <t>4QA</t>
  </si>
  <si>
    <t>2002A</t>
  </si>
  <si>
    <t>2003A</t>
  </si>
  <si>
    <t>2004A</t>
  </si>
  <si>
    <t>2005A</t>
  </si>
  <si>
    <t>Purchased Services &amp; Other</t>
  </si>
  <si>
    <t>Depreciation and Amortization</t>
  </si>
  <si>
    <t>TOTAL OPERATING EXPENSES</t>
  </si>
  <si>
    <t>COST PER CARLOAD</t>
  </si>
  <si>
    <t>COST PER CARLOAD EXCLUDING FUEL</t>
  </si>
  <si>
    <t>MYR Malaysian Ringgit</t>
  </si>
  <si>
    <t>RM</t>
  </si>
  <si>
    <t>MYR</t>
  </si>
  <si>
    <t>Discount Rate (Liability Rate)</t>
  </si>
  <si>
    <t>Other Expense/(Income)</t>
  </si>
  <si>
    <t>UAH</t>
  </si>
  <si>
    <t>NSC.N,mstag:statutoryTaxRate,2003FY,,FYR</t>
  </si>
  <si>
    <t>NSC.N,mstag:statutoryTaxRate,2007FY,,FYR</t>
  </si>
  <si>
    <t>NSC.N,mstag:statutoryTaxRate,2002FY,,FYR</t>
  </si>
  <si>
    <t>NSC.N,mstag:statutoryTaxRate,2012FY,,FYR</t>
  </si>
  <si>
    <t>NSC.N,mstag:statutoryTaxRate,2009FY,,FYR</t>
  </si>
  <si>
    <t>NSC.N,mstag:statutoryTaxRate,2010FY,,FYR</t>
  </si>
  <si>
    <t>Railamerica, Inc.</t>
  </si>
  <si>
    <t>Service Cost</t>
  </si>
  <si>
    <t>NSC Stock Price</t>
  </si>
  <si>
    <t>Avg NSC Stock Price</t>
  </si>
  <si>
    <t>Total Change in Debt</t>
  </si>
  <si>
    <t>4Q12</t>
  </si>
  <si>
    <t>M$</t>
  </si>
  <si>
    <t>MXN</t>
  </si>
  <si>
    <t>Cost / Avg. Employee</t>
  </si>
  <si>
    <t>Implied Interest Rate and Forward Interest Rate Assumption</t>
  </si>
  <si>
    <t>Interest Expense Forecast</t>
  </si>
  <si>
    <t>Avg Debt</t>
  </si>
  <si>
    <t>Debt</t>
  </si>
  <si>
    <t>Net Income and EPS</t>
  </si>
  <si>
    <t>Pretax Income</t>
  </si>
  <si>
    <t>Net Income Before Extraordinary Items</t>
  </si>
  <si>
    <t>Fully-Diluted EPS</t>
  </si>
  <si>
    <t>Basic shares, end of period</t>
  </si>
  <si>
    <t>Deferred Tax Asset/(Liability) on Pensions</t>
  </si>
  <si>
    <t>Total RTMs / Carload</t>
  </si>
  <si>
    <t>Other Income / (Expense)</t>
  </si>
  <si>
    <t>46</t>
  </si>
  <si>
    <t>66</t>
  </si>
  <si>
    <t>Total Freight Revenue</t>
  </si>
  <si>
    <t># of Carloads per Avg. Employee</t>
  </si>
  <si>
    <t>ZAV(TF.FN.PensionPlanExpectedLTRateReturnOnAssets(period=FY0,sdate=#1,edate=#2,frq=FY))/100</t>
  </si>
  <si>
    <t>Change in Cash</t>
  </si>
  <si>
    <t>Beginning Cash</t>
  </si>
  <si>
    <t>Increase (decrease) in cash from reversal of non-cash OPEB expense (benefit)</t>
  </si>
  <si>
    <t>Increase / (Decrease) in OPEB Obligation</t>
  </si>
  <si>
    <t>CSX.N,mstag:statutoryTaxRate,2004FY,,FYR</t>
  </si>
  <si>
    <t>(Decrease) in cash from contributions / benefit payments</t>
  </si>
  <si>
    <t>NOK Norwegian Krone</t>
  </si>
  <si>
    <t>Dilutive share effect, period average</t>
  </si>
  <si>
    <t>Diluted shares, period average</t>
  </si>
  <si>
    <t>Net of Tax Disc. Ops./Extrordinary Item #1</t>
  </si>
  <si>
    <t>Net of Tax Disc. Ops./Extrordinary Item #2</t>
  </si>
  <si>
    <t>Reported YoY Price Gain</t>
  </si>
  <si>
    <t>Cash Flow Statement</t>
  </si>
  <si>
    <t>NSC.N</t>
  </si>
  <si>
    <t>USD</t>
  </si>
  <si>
    <t>Date</t>
  </si>
  <si>
    <t>Shareholders' Equity</t>
  </si>
  <si>
    <t>Common Stock and Additional Paid In Capital</t>
  </si>
  <si>
    <t>Ending Cash</t>
  </si>
  <si>
    <t>Gallons per Thousand GTMs</t>
  </si>
  <si>
    <t>Materials</t>
  </si>
  <si>
    <t>Change in WC / Other</t>
  </si>
  <si>
    <t>D&amp;A</t>
  </si>
  <si>
    <t>Cash Dividend Paid</t>
  </si>
  <si>
    <t>NSC.N,mstag:statutoryTaxRate,2006FY,,FYR</t>
  </si>
  <si>
    <t>NSC.N,mstag:statutoryTaxRate,2005FY,,FYR</t>
  </si>
  <si>
    <t>Chemicals Revenue</t>
  </si>
  <si>
    <t>Metals &amp; Const. Revenue</t>
  </si>
  <si>
    <t>NKr</t>
  </si>
  <si>
    <t>NOK</t>
  </si>
  <si>
    <t>HK$</t>
  </si>
  <si>
    <t>HKD</t>
  </si>
  <si>
    <t>HUF Hungarian forint</t>
  </si>
  <si>
    <t>Ft</t>
  </si>
  <si>
    <t>HUF</t>
  </si>
  <si>
    <t>IDR Indonesian Rupiah</t>
  </si>
  <si>
    <t>Rp</t>
  </si>
  <si>
    <t>IDR</t>
  </si>
  <si>
    <t>Total Coal Carloads thousands / mmt</t>
  </si>
  <si>
    <t xml:space="preserve"> </t>
  </si>
  <si>
    <t>Risk Free Rate</t>
  </si>
  <si>
    <t>4Q11</t>
  </si>
  <si>
    <t>2000A</t>
  </si>
  <si>
    <t>2001A</t>
  </si>
  <si>
    <t>Paper/Clay/Forest Revenue</t>
  </si>
  <si>
    <t>Total Gross Ton Miles (Millions GTMs)</t>
  </si>
  <si>
    <t>NZD New Zealand Dollars</t>
  </si>
  <si>
    <t>NZ$</t>
  </si>
  <si>
    <t>NZD</t>
  </si>
  <si>
    <t>OMR Rial Omani</t>
  </si>
  <si>
    <t>OMR</t>
  </si>
  <si>
    <t>PAB Panamanian Balboa</t>
  </si>
  <si>
    <t>PAB</t>
  </si>
  <si>
    <t>Deferred Income Taxes</t>
  </si>
  <si>
    <t>ZAV(TF.FN.PensionPlanProjectedBenefitObligation(period=FY0,sdate=#1,frq=FY,curn=#2,scale=6))</t>
  </si>
  <si>
    <t>Actuarial Losses / (Gains)</t>
  </si>
  <si>
    <t>Projected Benefit Obligations (PBO) - EOP</t>
  </si>
  <si>
    <t>Dividends Per Share</t>
  </si>
  <si>
    <t>Rate</t>
  </si>
  <si>
    <t>YoY $ Commodity Mix Impact on Rev</t>
  </si>
  <si>
    <t>YoY $ Other Mix Impact on Rev</t>
  </si>
  <si>
    <t>Operating Income</t>
  </si>
  <si>
    <t>ZAV(TF.FN.PensionPlanProjectedBenefitObligation(period=FY0,sdate=#1,edate=#2,frq=FY,curn=#3,scale=6))</t>
  </si>
  <si>
    <t>Sequential Growth</t>
  </si>
  <si>
    <t>ISO4217:USD</t>
  </si>
  <si>
    <t xml:space="preserve">NOTE:  Each model is structured differently, so the location to integrate the changes below (into either the BS or CFS) will depend on the model. Guidance for the typical model is described in column A.  </t>
  </si>
  <si>
    <t>Change in Assets</t>
  </si>
  <si>
    <t>NSC.N,mscalc:targetPrice,,,,,,HOLD</t>
  </si>
  <si>
    <t>Two-Month Lag Period</t>
  </si>
  <si>
    <t>Total Liabilities</t>
  </si>
  <si>
    <t>This sheet contains Factset binary data for use with this workbook's =FDS codes.  Modifying the worksheet's contents may damage the workbook's =FDS functionality.</t>
  </si>
  <si>
    <t>Chemicals Carloads</t>
  </si>
  <si>
    <t>Metals &amp; Const. Carloads</t>
  </si>
  <si>
    <t>Paper/Clay/Forest Carloads</t>
  </si>
  <si>
    <t xml:space="preserve">Other </t>
  </si>
  <si>
    <t>Funding Level (%)</t>
  </si>
  <si>
    <t>NSC.N,mstag:statutoryTaxRate,2004FY,,FYR</t>
  </si>
  <si>
    <t>Other Change in Debt</t>
  </si>
  <si>
    <t>CFF</t>
  </si>
  <si>
    <t>Acct. Payable</t>
  </si>
  <si>
    <t>USD American Dollar</t>
  </si>
  <si>
    <t>$</t>
  </si>
  <si>
    <t>Yield Impact of Mix/Other</t>
  </si>
  <si>
    <t>YoY % Change (Yield) ex Fuel Surcharge &amp; Mix/Other</t>
  </si>
  <si>
    <t>2014E</t>
  </si>
  <si>
    <t>9/27/14 Inv Day: Aim for 33% Target Payout Ratio</t>
  </si>
  <si>
    <t>12/4/14: Intermodal and auto traffic use OHD as fuel surcharge benchmark</t>
  </si>
  <si>
    <t>NSC.N,mscalc:lastActualYearAsPerYearEndCalc</t>
  </si>
  <si>
    <t>NSC.N,mscalc:fiscalYearEndMonth</t>
  </si>
  <si>
    <t>2014</t>
  </si>
  <si>
    <t>12</t>
  </si>
  <si>
    <t>NSC.N,mstag:statutoryTaxRate,2012FY,,FYE</t>
  </si>
  <si>
    <t>NSC.N,mstag:statutoryTaxRate,2022FY,,FYE</t>
  </si>
  <si>
    <t>NSC.N,mstag:statutoryTaxRate,2007FY,,FYE</t>
  </si>
  <si>
    <t>NSC.N,mstag:statutoryTaxRate,2011FY,,FYE</t>
  </si>
  <si>
    <t>NSC.N,mstag:statutoryTaxRate,2021FY,,FYE</t>
  </si>
  <si>
    <t>NSC.N,mstag:statutoryTaxRate,2019FY,,FYE</t>
  </si>
  <si>
    <t>NSC.N,mstag:statutoryTaxRate,2014FY,,FYE</t>
  </si>
  <si>
    <t>NSC.N,mstag:statutoryTaxRate,2009FY,,FYE</t>
  </si>
  <si>
    <t>NSC.N,mstag:statutoryTaxRate,2013FY,,FYE</t>
  </si>
  <si>
    <t>NSC.N,mstag:statutoryTaxRate,2023FY,,FYE</t>
  </si>
  <si>
    <t>NSC.N,mstag:statutoryTaxRate,2016FY,,FYE</t>
  </si>
  <si>
    <t>NSC.N,mstag:statutoryTaxRate,2015FY,,FYE</t>
  </si>
  <si>
    <t>NSC.N,mstag:statutoryTaxRate,2010FY,,FYE</t>
  </si>
  <si>
    <t>NSC.N,mstag:statutoryTaxRate,2020FY,,FYE</t>
  </si>
  <si>
    <t>NSC.N,mstag:statutoryTaxRate,2018FY,,FYE</t>
  </si>
  <si>
    <t>NSC.N,mstag:statutoryTaxRate,2017FY,,FYE</t>
  </si>
  <si>
    <t>NSC.N,mstag:statutoryTaxRate,2008FY,,FYE</t>
  </si>
  <si>
    <t>NSC.N,mstag:averageDilutedSharesOutstanding,2015FY,,FYR</t>
  </si>
  <si>
    <t>NSC.N,mstag:averageDilutedSharesOutstanding,2014FY,,FYR</t>
  </si>
  <si>
    <t>NSC.N,mstag:averageDilutedSharesOutstanding,2007FY,,FYR</t>
  </si>
  <si>
    <t>NSC.N,mstag:averageDilutedSharesOutstanding,2017FY,,FYR</t>
  </si>
  <si>
    <t>NSC.N,mstag:averageDilutedSharesOutstanding,2016FY,,FYR</t>
  </si>
  <si>
    <t>NSC.N,mstag:averageDilutedSharesOutstanding,2022FY,,FYR</t>
  </si>
  <si>
    <t>NSC.N,mstag:averageDilutedSharesOutstanding,2009FY,,FYR</t>
  </si>
  <si>
    <t>NSC.N,mstag:averageDilutedSharesOutstanding,2020FY,,FYR</t>
  </si>
  <si>
    <t>NSC.N,mstag:averageDilutedSharesOutstanding,2021FY,,FYR</t>
  </si>
  <si>
    <t>NSC.N,mstag:averageDilutedSharesOutstanding,2018FY,,FYR</t>
  </si>
  <si>
    <t>NSC.N,mstag:averageDilutedSharesOutstanding,2013FY,,FYR</t>
  </si>
  <si>
    <t>NSC.N,mstag:averageDilutedSharesOutstanding,2008FY,,FYR</t>
  </si>
  <si>
    <t>NSC.N,mstag:averageDilutedSharesOutstanding,2011FY,,FYR</t>
  </si>
  <si>
    <t>NSC.N,mstag:averageDilutedSharesOutstanding,2010FY,,FYR</t>
  </si>
  <si>
    <t>NSC.N,mstag:averageDilutedSharesOutstanding,2023FY,,FYR</t>
  </si>
  <si>
    <t>NSC.N,mstag:averageDilutedSharesOutstanding,2019FY,,FYR</t>
  </si>
  <si>
    <t>NSC.N,mstag:averageDilutedSharesOutstanding,2012FY,,FYR</t>
  </si>
  <si>
    <t>$GH$2</t>
  </si>
  <si>
    <t>309.113967927874</t>
  </si>
  <si>
    <t>312.675</t>
  </si>
  <si>
    <t>298.794559955058</t>
  </si>
  <si>
    <t>303.9100304731</t>
  </si>
  <si>
    <t>372.075</t>
  </si>
  <si>
    <t>315.525</t>
  </si>
  <si>
    <t>380.075</t>
  </si>
  <si>
    <t>351.35</t>
  </si>
  <si>
    <t>371.825</t>
  </si>
  <si>
    <t>325.2</t>
  </si>
  <si>
    <t>Cover of 10Q/K</t>
  </si>
  <si>
    <t>2014A</t>
  </si>
  <si>
    <t>Price</t>
  </si>
  <si>
    <t>2018E</t>
  </si>
  <si>
    <t>3Q15: TCS restructuring will negatively impact intermodal RPU in 2016</t>
  </si>
  <si>
    <t>4Q15: Target at Double-digit compound annual EPS growth through 2020</t>
  </si>
  <si>
    <t>4Q15: Expect annual comp and benefits savings of $420M by 2020</t>
  </si>
  <si>
    <t>4Q15: Expect annual materials savings of $80M by 2020</t>
  </si>
  <si>
    <t>4Q15: Expect annual fuel savings of $80M by 2020</t>
  </si>
  <si>
    <t>4Q15: Expect annual purchased services savings of $35M by 2020</t>
  </si>
  <si>
    <t>4Q15: Expect annual rents savings of $35M by 2020</t>
  </si>
  <si>
    <t>Capex will be back to 19% after PTC in 2020, then gradually reduce to 17%</t>
  </si>
  <si>
    <t>R^2</t>
  </si>
  <si>
    <t xml:space="preserve">Slope </t>
  </si>
  <si>
    <t>Intercept</t>
  </si>
  <si>
    <t>1Q16: Annual savings of $650M by 2020, with $200M in 2016</t>
  </si>
  <si>
    <t>TCS</t>
  </si>
  <si>
    <t>Dom (ex TCS)</t>
  </si>
  <si>
    <t>% of total IM</t>
  </si>
  <si>
    <t>Total IM</t>
  </si>
  <si>
    <t>TMF EPS</t>
  </si>
  <si>
    <t>PE Mult</t>
  </si>
  <si>
    <t>Upside %</t>
  </si>
  <si>
    <t>Period-End Date</t>
  </si>
  <si>
    <t>Discounted cash flow analysis</t>
  </si>
  <si>
    <t>Gross Revenue</t>
  </si>
  <si>
    <t>% change Y/Y</t>
  </si>
  <si>
    <t>Adj. EBIT</t>
  </si>
  <si>
    <t>Adj. EBITDA</t>
  </si>
  <si>
    <t>(-) Cash taxes</t>
  </si>
  <si>
    <t>(+/-) Changes in working capital / other</t>
  </si>
  <si>
    <t>(-) Net Capex</t>
  </si>
  <si>
    <t>Unlevered free cash flow</t>
  </si>
  <si>
    <t>% of Revenue</t>
  </si>
  <si>
    <t>YoY Growth</t>
  </si>
  <si>
    <t>Adj. EBIT Margin</t>
  </si>
  <si>
    <t>D&amp;A as % of Sales</t>
  </si>
  <si>
    <t>Net Capex as % of Sales</t>
  </si>
  <si>
    <t>NPV Calculations</t>
  </si>
  <si>
    <t>Year for 1-year forward value</t>
  </si>
  <si>
    <t>Discounted cash flows</t>
  </si>
  <si>
    <t>Perpetual Growth</t>
  </si>
  <si>
    <t>Fair value</t>
  </si>
  <si>
    <t>PV of FCF</t>
  </si>
  <si>
    <t>Equity Value: WACC vs. Perpetual Growth Rate</t>
  </si>
  <si>
    <t>NPV of terminal value</t>
  </si>
  <si>
    <t>Enterprise value</t>
  </si>
  <si>
    <t>Equity value</t>
  </si>
  <si>
    <t>Equity Value per Share: WACC vs. Perpetual Growth Rate</t>
  </si>
  <si>
    <t>Implied terminal EBITDA multiple</t>
  </si>
  <si>
    <t>DCF valuation assumptions</t>
  </si>
  <si>
    <t>Valuation date</t>
  </si>
  <si>
    <t>1-year</t>
  </si>
  <si>
    <t>Adj. Beta</t>
  </si>
  <si>
    <t>Market Risk Premium</t>
  </si>
  <si>
    <t>Cost of Equity</t>
  </si>
  <si>
    <t>Cost of Debt</t>
  </si>
  <si>
    <t>Long-Term Debt / Total Cap.</t>
  </si>
  <si>
    <t>WACC</t>
  </si>
  <si>
    <t>Perpetual growth rate</t>
  </si>
  <si>
    <t>(USD millions)</t>
  </si>
  <si>
    <t>0524: Grain is getting better, will pick up at the end of 3Q</t>
  </si>
  <si>
    <t>0524: WTI based FS trigger price: $64</t>
  </si>
  <si>
    <t>% of Capex</t>
  </si>
  <si>
    <t>% of PP&amp;E</t>
  </si>
  <si>
    <t>Equity fair value per share</t>
  </si>
  <si>
    <t>Marginal Cash Tax-Rate</t>
  </si>
  <si>
    <t>Assume deferred tax is 20% total book tax</t>
  </si>
  <si>
    <t>Tax Rate for WACC</t>
  </si>
  <si>
    <t>Merchandise YoY % Change</t>
  </si>
  <si>
    <t>0620: This quarter, we had more mix pressure, RPU ex. fuel will prob be down YoY</t>
  </si>
  <si>
    <t>5/31/2016: Issued $600M @2.9% due 2026</t>
  </si>
  <si>
    <t>Earnings Variance</t>
  </si>
  <si>
    <t>MSe</t>
  </si>
  <si>
    <t>YoY</t>
  </si>
  <si>
    <t>vs. MSe</t>
  </si>
  <si>
    <t>2Q16: Materials down $15M YoY each qtr for rest of 2016</t>
  </si>
  <si>
    <t>2Q16: Annual savings of $200M+ in 2016</t>
  </si>
  <si>
    <t>Int'l</t>
  </si>
  <si>
    <t>3Q16</t>
  </si>
  <si>
    <t>9/17/16: More mix pressure from weaker merch, RPU ex. fuel down seq in 3Q</t>
  </si>
  <si>
    <t>9/27/16: PS &amp; Rent down similar amt YoY in 2Q/3Q; 4Q decline half that b/c TCS downsized mid 4Q15</t>
  </si>
  <si>
    <t>2019E</t>
  </si>
  <si>
    <t>0525: Each head cost $25,000 per quarter</t>
  </si>
  <si>
    <t>3Q16: Lower equip rents continue in 4Q</t>
  </si>
  <si>
    <t>3Q16: $1.9B capex in 2016; 19% of rev in 2017/18, and 17% afterwards</t>
  </si>
  <si>
    <t>12/8/16 IR: $20M quarterly run-rate</t>
  </si>
  <si>
    <t>3Q16: Annual savings of ~$250M in 2016</t>
  </si>
  <si>
    <t>Invalid Time Period:-7FY for Ticker:NSC.N</t>
  </si>
  <si>
    <t>Invalid Time Period:-6FY for Ticker:NSC.N</t>
  </si>
  <si>
    <t>Invalid Time Period:-5FY for Ticker:NSC.N</t>
  </si>
  <si>
    <t>Invalid Time Period:-4FY for Ticker:NSC.N</t>
  </si>
  <si>
    <t>Invalid Time Period:-3FY for Ticker:NSC.N</t>
  </si>
  <si>
    <t>Invalid Time Period:-2FY for Ticker:NSC.N</t>
  </si>
  <si>
    <t>Invalid Time Period:-1FY for Ticker:NSC.N</t>
  </si>
  <si>
    <t>Invalid Time Period:FY for Ticker:NSC.N</t>
  </si>
  <si>
    <t>Invalid Time Period:1FY for Ticker:NSC.N</t>
  </si>
  <si>
    <t>Invalid Time Period:2FY for Ticker:NSC.N</t>
  </si>
  <si>
    <t>Invalid Time Period:3FY for Ticker:NSC.N</t>
  </si>
  <si>
    <t>Invalid Time Period:4FY for Ticker:NSC.N</t>
  </si>
  <si>
    <t>Invalid Time Period:5FY for Ticker:NSC.N</t>
  </si>
  <si>
    <t>Invalid Time Period:6FY for Ticker:NSC.N</t>
  </si>
  <si>
    <t>Invalid Time Period:7FY for Ticker:NSC.N</t>
  </si>
  <si>
    <t>Invalid Time Period:8FY for Ticker:NSC.N</t>
  </si>
  <si>
    <t>Invalid Time Period:9FY for Ticker:NSC.N</t>
  </si>
  <si>
    <t>4Q16: ~$200M buyback / qtr in 2017</t>
  </si>
  <si>
    <t>Most of labor $100M productivity savings in comp &amp; benefits</t>
  </si>
  <si>
    <t>4Q16 IR: Fair to think D&amp;A up $10M YoY each quarter through 2017</t>
  </si>
  <si>
    <t>PT</t>
  </si>
  <si>
    <t>2/14/17: Depreciation up ~3.5% YoY in 2017</t>
  </si>
  <si>
    <t>2/14/17: Infl and vol-related increases, partly offset by productivity</t>
  </si>
  <si>
    <t>4Q16: Annual savings of ~$100M in 2017</t>
  </si>
  <si>
    <t>2/14/17: Materials aligned with 2H16 normalized quarterly runrate</t>
  </si>
  <si>
    <t>Tied to auto volumes</t>
  </si>
  <si>
    <t>2020E</t>
  </si>
  <si>
    <t>1Q17: Pricing from 1Q16-1Q17 was relatively stable YoY</t>
  </si>
  <si>
    <t>1Q17: 1Q17 incr margin ex. fuel was 67%</t>
  </si>
  <si>
    <t>1Q17: $1.9B capex in 2017 ($240M PTC), decrease going fwd</t>
  </si>
  <si>
    <t>4Q16</t>
  </si>
  <si>
    <t>1Q17: Expect to improve OR YoY in remaining quarters</t>
  </si>
  <si>
    <t>1Q17: Annual savings of at least $100M in 2017</t>
  </si>
  <si>
    <t>6/29/17: 50k CBR carloads in 2016; 30k in 2017</t>
  </si>
  <si>
    <t>6/29/17: Biggest CBR vol decline in 2Q17</t>
  </si>
  <si>
    <t>6/29/17: Had some weather/flooding issues in 2Q; bridge washout</t>
  </si>
  <si>
    <t>2Q17: Increase buyback from $0.8B to $1B in 2017</t>
  </si>
  <si>
    <t>3Q17: On track to $150M in 2017</t>
  </si>
  <si>
    <t>9/26/17: Board authorized buyback of up to additional 50M shares through 12/31/22</t>
  </si>
  <si>
    <t>4Q17</t>
  </si>
  <si>
    <t>(-) Debt (YE18)</t>
  </si>
  <si>
    <t>(+) Cash (YE18)</t>
  </si>
  <si>
    <t>Fully Diluted Shares (2018)</t>
  </si>
  <si>
    <t>4Q17: Expect vol 2018-2020 CAGR of 2%</t>
  </si>
  <si>
    <t>4Q17: Expect RPU 2018-2020 CAGR of 2%</t>
  </si>
  <si>
    <t>4Q17: Expect auto vol to slightly trail U.S. vehicle production</t>
  </si>
  <si>
    <t>4Q17: Expect RPU +2% through 2020 s</t>
  </si>
  <si>
    <t>2Q17: Feel confident we'll post a lower operating ratio year-over-year in the 2H of the year</t>
  </si>
  <si>
    <t>4Q17: $1.845B capex in 2018</t>
  </si>
  <si>
    <t>4Q17: 1% all-in wage and health and welfare inflation in 2018</t>
  </si>
  <si>
    <t>4Q17: Expect export coal pricing to be challenged in 2018</t>
  </si>
  <si>
    <t>4Q17: Expect coal 2018-2020 CAGR of -4%</t>
  </si>
  <si>
    <t xml:space="preserve">4Q17: Expect intermodal vol 2018-2020 CAGR of +4% </t>
  </si>
  <si>
    <t xml:space="preserve">4Q17: Expect merch vol 2018-2020 CAGR of +2% </t>
  </si>
  <si>
    <t>4Q17: Expect headcount to remain stable for FY18, will vary from Q to Q</t>
  </si>
  <si>
    <t>4Q17: Expect lower FY18 OR, confident in delivering an OR of sub-65% by 2020 or sooner</t>
  </si>
  <si>
    <t>3/14/18: Exceed 5-6M tons in 1Q</t>
  </si>
  <si>
    <t>3/14/18: 15-17M tons/qtr in 1Q</t>
  </si>
  <si>
    <t>4Q17: 2018 SBC consistent with 2017, more evenly recognized 1-3Q18 compared to 2017</t>
  </si>
  <si>
    <t>3/14/18: $50M of service-related costs in comp &amp; benefits, fuel expense, purchased services, equipment rents</t>
  </si>
  <si>
    <t>1Q18</t>
  </si>
  <si>
    <t>1Q17</t>
  </si>
  <si>
    <t>1Q18: Increase annual buyback to $1.5B</t>
  </si>
  <si>
    <t>1Q18: 15-17M tons/qtr for rest of year</t>
  </si>
  <si>
    <t>1Q18: 5-7M tons/qtr for rest of year (high end in 2Q)</t>
  </si>
  <si>
    <t>1Q18: Still expect ~24% tax rate in 2018</t>
  </si>
  <si>
    <t>1Q18: $80-100M annually going fwd</t>
  </si>
  <si>
    <t>100</t>
  </si>
  <si>
    <t>1Q18: Include $18m rental income reclass</t>
  </si>
  <si>
    <t>1Q18: Expect to improve 2018 OR y/y before rental reclass</t>
  </si>
  <si>
    <t>1Q18: 1Q18 pricing better seq. vs. 2H17</t>
  </si>
  <si>
    <t>Research</t>
  </si>
  <si>
    <t>MSA12397</t>
  </si>
  <si>
    <t>#NAME?</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</si>
  <si>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</si>
  <si>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</si>
  <si>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</si>
  <si>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</si>
  <si>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</si>
  <si>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</si>
  <si>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</si>
  <si>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Ravi Shanker</t>
  </si>
  <si>
    <t>Date: 25 Apr 2018</t>
  </si>
  <si>
    <t>Ticker: NSC.N</t>
  </si>
  <si>
    <t>Stock Rating: Underweight</t>
  </si>
  <si>
    <t>Industry: Freight Transportation</t>
  </si>
  <si>
    <t>Industry View: In-Line</t>
  </si>
  <si>
    <t>Price as of 25 Apr 2018: 146.04</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</si>
  <si>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</si>
  <si>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</si>
  <si>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</si>
  <si>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</si>
  <si>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Norfolk Southern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</si>
  <si>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</si>
  <si>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</si>
  <si>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</si>
  <si>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</si>
  <si>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</si>
  <si>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</si>
  <si>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</si>
  <si>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</si>
  <si>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</si>
  <si>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</si>
  <si>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</si>
  <si>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</si>
  <si>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</si>
  <si>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</si>
  <si>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</si>
  <si>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</si>
  <si>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</si>
  <si>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</si>
  <si>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</si>
  <si>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</si>
  <si>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</si>
  <si>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</si>
  <si>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</si>
  <si>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</si>
  <si>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</si>
  <si>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</si>
  <si>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</si>
  <si>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</si>
  <si>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</si>
  <si>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</si>
  <si>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</si>
  <si>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</si>
  <si>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</si>
  <si>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</si>
  <si>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</si>
  <si>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</si>
  <si>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</si>
  <si>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</si>
  <si>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</si>
  <si>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</si>
  <si>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</si>
  <si>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</si>
  <si>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</si>
  <si>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</si>
  <si>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</si>
  <si>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</si>
  <si>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</si>
  <si>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</si>
  <si>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</si>
  <si>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</si>
  <si>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</si>
  <si>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</si>
  <si>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</si>
  <si>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</si>
  <si>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</si>
  <si>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</si>
  <si>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</si>
  <si>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</si>
  <si>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</si>
  <si>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</si>
  <si>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</si>
  <si>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</si>
  <si>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</si>
  <si>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</si>
  <si>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</si>
  <si>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</si>
  <si>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</si>
  <si>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</si>
  <si>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</si>
  <si>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</si>
  <si>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</si>
  <si>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</si>
  <si>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</si>
  <si>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</si>
  <si>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</si>
  <si>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</si>
  <si>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</si>
  <si>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</si>
  <si>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</si>
  <si>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</si>
  <si>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</si>
  <si>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</si>
  <si>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</si>
  <si>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</si>
  <si>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</si>
  <si>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</si>
  <si>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</si>
  <si>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</si>
  <si>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</si>
  <si>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</si>
  <si>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</si>
  <si>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</si>
  <si>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</si>
  <si>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</si>
  <si>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</si>
  <si>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</si>
  <si>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</si>
  <si>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</si>
  <si>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</si>
  <si>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</si>
  <si>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</si>
  <si>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</si>
  <si>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</si>
  <si>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</si>
  <si>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</si>
  <si>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</si>
  <si>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</si>
  <si>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</si>
  <si>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</si>
  <si>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</si>
  <si>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</si>
  <si>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</si>
  <si>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</si>
  <si>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</si>
  <si>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</si>
  <si>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</si>
  <si>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</si>
  <si>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</si>
  <si>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</si>
  <si>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</si>
  <si>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</si>
  <si>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</si>
  <si>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</si>
  <si>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</si>
  <si>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</si>
  <si>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</si>
  <si>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</si>
  <si>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</si>
  <si>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</si>
  <si>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</si>
  <si>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</si>
  <si>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</si>
  <si>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</si>
  <si>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</si>
  <si>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</si>
  <si>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</si>
  <si>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</si>
  <si>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</si>
  <si>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</si>
  <si>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</si>
  <si>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</si>
  <si>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</si>
  <si>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</si>
  <si>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</si>
  <si>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</si>
  <si>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</si>
  <si>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</si>
  <si>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</si>
  <si>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</si>
  <si>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</si>
  <si>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</si>
  <si>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</si>
  <si>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</si>
  <si>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</si>
  <si>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</si>
  <si>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</si>
  <si>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</si>
  <si>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</si>
  <si>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</si>
  <si>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</si>
  <si>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</si>
  <si>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</si>
  <si>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</si>
  <si>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</si>
  <si>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</si>
  <si>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</si>
  <si>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</si>
  <si>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</si>
  <si>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</si>
  <si>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</si>
  <si>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</si>
  <si>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</si>
  <si>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</si>
  <si>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</si>
  <si>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</si>
  <si>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</si>
  <si>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Norfolk Southern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</si>
  <si>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</si>
  <si>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</si>
  <si>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</si>
  <si>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</si>
  <si>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</si>
  <si>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</si>
  <si>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</si>
  <si>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</si>
  <si>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</si>
  <si>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</si>
  <si>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</si>
  <si>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</si>
  <si>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</si>
  <si>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</si>
  <si>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</si>
  <si>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</si>
  <si>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</si>
  <si>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</si>
  <si>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</si>
  <si>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</si>
  <si>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</si>
  <si>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</si>
  <si>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</si>
  <si>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</si>
  <si>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</si>
  <si>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</si>
  <si>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</si>
  <si>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</si>
  <si>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</si>
  <si>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</si>
  <si>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</si>
  <si>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</si>
  <si>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</si>
  <si>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</si>
  <si>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</si>
  <si>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</si>
  <si>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</si>
  <si>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</si>
  <si>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</si>
  <si>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</si>
  <si>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</si>
  <si>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</si>
  <si>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</si>
  <si>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</si>
  <si>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</si>
  <si>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</si>
  <si>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</si>
  <si>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</si>
  <si>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</si>
  <si>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</si>
  <si>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</si>
  <si>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</si>
  <si>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</si>
  <si>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</si>
  <si>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</si>
  <si>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</si>
  <si>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</si>
  <si>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</si>
  <si>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</si>
  <si>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</si>
  <si>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</si>
  <si>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</si>
  <si>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</si>
  <si>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</si>
  <si>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</si>
  <si>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</si>
  <si>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An employee, director or consultant of Morgan Stanley is a director of Norfolk Southern Corp.. This</t>
  </si>
  <si>
    <t>person is not a research analyst or a member of a research analyst's household.</t>
  </si>
  <si>
    <t>Within the last 12 months, Morgan Stanley has either provided or is providing non-investment banking,</t>
  </si>
  <si>
    <t>securities-related services to and/or in the past has entered into an agreement to provide services or</t>
  </si>
  <si>
    <t>has a client relationship with the following company: Norfolk Southern Corp..</t>
  </si>
  <si>
    <t>Within the last 12 months, Morgan Stanley has provided or is providing investment banking services to,</t>
  </si>
  <si>
    <t>or has an investment banking client relationship with, the following company: Norfolk Southern Corp..</t>
  </si>
  <si>
    <t>Within the last 12 months, Morgan Stanley has received compensation for products and services other than</t>
  </si>
  <si>
    <t>investment banking services from Norfolk Southern Corp..</t>
  </si>
  <si>
    <t>In the next 3 months, Morgan Stanley expects to receive or intends to seek compensation for investment</t>
  </si>
  <si>
    <t>banking services from Norfolk Southern Corp..</t>
  </si>
  <si>
    <t>Within the last 12 months, Morgan Stanley has received compensation for investment banking services from</t>
  </si>
  <si>
    <t>Norfolk Southern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</si>
  <si>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</si>
  <si>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</si>
  <si>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</si>
  <si>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</si>
  <si>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</si>
  <si>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Ravi Shanker.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</si>
  <si>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</si>
  <si>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</si>
  <si>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</si>
  <si>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</si>
  <si>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</si>
  <si>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</si>
  <si>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</si>
  <si>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</si>
  <si>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</si>
  <si>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</si>
  <si>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</si>
  <si>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</si>
  <si>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</si>
  <si>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</si>
  <si>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</si>
  <si>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</si>
  <si>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</si>
  <si>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</si>
  <si>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</si>
  <si>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</si>
  <si>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</si>
  <si>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</si>
  <si>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</si>
  <si>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</si>
  <si>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</si>
  <si>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</si>
  <si>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</si>
  <si>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</si>
  <si>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</si>
  <si>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</si>
  <si>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</si>
  <si>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</si>
  <si>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</si>
  <si>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</si>
  <si>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</si>
  <si>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</si>
  <si>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</si>
  <si>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</si>
  <si>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</si>
  <si>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</si>
  <si>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</si>
  <si>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</si>
  <si>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</si>
  <si>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</si>
  <si>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</si>
  <si>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</si>
  <si>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</si>
  <si>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</si>
  <si>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</si>
  <si>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</si>
  <si>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</si>
  <si>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</si>
  <si>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</si>
  <si>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</si>
  <si>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</si>
  <si>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</si>
  <si>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</si>
  <si>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</si>
  <si>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</si>
  <si>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</si>
  <si>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</si>
  <si>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</si>
  <si>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</si>
  <si>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</si>
  <si>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</si>
  <si>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</si>
  <si>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</si>
  <si>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</si>
  <si>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Quarterly Update</t>
  </si>
  <si>
    <t>NorthAmerica</t>
  </si>
  <si>
    <t>diahuang</t>
  </si>
  <si>
    <t>Norfolk Southern Corp.</t>
  </si>
  <si>
    <t>L:\FREIGHT\Nsc\NSC.Model.new.xlsm</t>
  </si>
  <si>
    <t>Publish at midnight</t>
  </si>
  <si>
    <t>[BRO MSA]</t>
  </si>
  <si>
    <t>[PRODUCT MODEL]</t>
  </si>
  <si>
    <t>[EMAIL_ALERT YES]</t>
  </si>
  <si>
    <t>[DISCIPLINE Company]</t>
  </si>
  <si>
    <t>[SUPPRESSED NO]</t>
  </si>
  <si>
    <t>[DOCDAT 2018-04-25]</t>
  </si>
  <si>
    <t>[DOCTIME 20:47]</t>
  </si>
  <si>
    <t>[PSYM NSC.N(S&amp;P) (None)]</t>
  </si>
  <si>
    <t>[COU 1]</t>
  </si>
  <si>
    <t>[ANA ]</t>
  </si>
  <si>
    <t>[HL NSC.N Model]</t>
  </si>
  <si>
    <t>[IND TRUCKG]</t>
  </si>
  <si>
    <t>[PANA MSA12397]</t>
  </si>
  <si>
    <t>Target Price: 103</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</si>
</sst>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00_-;\-* #,##0.00_-;_-* &quot;-&quot;??_-;_-@_-"/>
    <numFmt numFmtId="165" formatCode="0.0%"/>
    <numFmt numFmtId="166" formatCode="0.0"/>
    <numFmt numFmtId="167" formatCode="0.000"/>
    <numFmt numFmtId="168" formatCode="#,##0.0"/>
    <numFmt numFmtId="169" formatCode="&quot;$&quot;#,##0.00"/>
    <numFmt numFmtId="170" formatCode="&quot;$&quot;#,##0"/>
    <numFmt numFmtId="171" formatCode="&quot;$&quot;#,##0.0"/>
    <numFmt numFmtId="172" formatCode="_(* #,##0_);_(* \(#,##0\);_(* &quot;-&quot;??_);_(@_)"/>
    <numFmt numFmtId="173" formatCode="&quot;$&quot;#,##0.0_);\(&quot;$&quot;#,##0.0\)"/>
    <numFmt numFmtId="174" formatCode="[$-409]mmm\-yy;@"/>
    <numFmt numFmtId="175" formatCode="&quot;$&quot;#,##0.0_);[Red]\(&quot;$&quot;#,##0.0\)"/>
    <numFmt numFmtId="176" formatCode="&quot;FY&quot;yy"/>
    <numFmt numFmtId="177" formatCode="&quot;Q&quot;0&quot;A&quot;"/>
    <numFmt numFmtId="178" formatCode="&quot;Q&quot;0&quot;E&quot;"/>
    <numFmt numFmtId="179" formatCode="#,##0;\(#,##0\)"/>
    <numFmt numFmtId="180" formatCode="0.0\x"/>
    <numFmt numFmtId="181" formatCode="&quot;$&quot;#,##0.000"/>
    <numFmt numFmtId="182" formatCode="m/d/yy;@"/>
    <numFmt numFmtId="183" formatCode="#,##0.0_);\(#,##0.0\)"/>
    <numFmt numFmtId="184" formatCode="#,##0.0%_);\(#,##0.0%\)"/>
    <numFmt numFmtId="185" formatCode="0.00\x"/>
    <numFmt numFmtId="186" formatCode="#,##0&quot;&quot;;\(#,##0\)&quot;&quot;"/>
    <numFmt numFmtId="187" formatCode="mm/dd/yy;@"/>
    <numFmt numFmtId="188" formatCode="#,##0&quot; e&quot;;\(#,##0\)&quot; e&quot;"/>
    <numFmt numFmtId="189" formatCode="0.0%_);\(0.0%\);&quot;–&quot;_)"/>
    <numFmt numFmtId="190" formatCode="#,##0.00_);\(#,##0.00\);\–_);&quot;–&quot;_)"/>
    <numFmt numFmtId="191" formatCode="m/d/yy_);;@_)"/>
    <numFmt numFmtId="192" formatCode="yyyy_);;;@_)"/>
    <numFmt numFmtId="193" formatCode="yyyy&quot;E&quot;_);;;@_)"/>
    <numFmt numFmtId="194" formatCode="[$$-409]#,##0_);\([$$-409]#,##0\);[$$-409]\-\-_);@_)"/>
    <numFmt numFmtId="195" formatCode="#,##0.0%_);\(#,##0.0%\);\-\-\%_);@_)"/>
    <numFmt numFmtId="196" formatCode="#,##0_);\(#,##0\);\-\-_);@_)"/>
    <numFmt numFmtId="197" formatCode="[$$-409]#,##0.00_);\([$$-409]#,##0.00\);[$$-409]\-\-_);@_)"/>
    <numFmt numFmtId="198" formatCode="mmm\-yy_);;;@_)"/>
    <numFmt numFmtId="199" formatCode="#,##0.0\x_);\(#,##0.0\x\);\-\-\x_);@_)"/>
    <numFmt numFmtId="200" formatCode="#,##0.000"/>
    <numFmt numFmtId="201" formatCode="mm/dd/yy\ hh:mm"/>
  </numFmts>
  <fonts count="118" x14ac:knownFonts="1">
    <font>
      <sz val="10"/>
      <name val="Courier"/>
    </font>
    <font>
      <sz val="10"/>
      <name val="Helv"/>
    </font>
    <font>
      <sz val="9"/>
      <name val="Times New Roman"/>
      <family val="1"/>
    </font>
    <font>
      <sz val="10"/>
      <name val="Times New Roman"/>
      <family val="1"/>
    </font>
    <font>
      <sz val="8"/>
      <color indexed="81"/>
      <name val="Tahoma"/>
      <family val="2"/>
    </font>
    <font>
      <b/>
      <sz val="8"/>
      <color indexed="81"/>
      <name val="Tahoma"/>
      <family val="2"/>
    </font>
    <font>
      <sz val="10"/>
      <name val="Arial"/>
      <family val="2"/>
    </font>
    <font>
      <sz val="8"/>
      <name val="Arial"/>
      <family val="2"/>
    </font>
    <font>
      <sz val="10"/>
      <name val="Courier"/>
      <family val="3"/>
    </font>
    <font>
      <sz val="8"/>
      <name val="Arial"/>
      <family val="2"/>
    </font>
    <font>
      <sz val="10"/>
      <name val="Arial"/>
      <family val="2"/>
    </font>
    <font>
      <sz val="10"/>
      <color indexed="10"/>
      <name val="Arial"/>
      <family val="2"/>
    </font>
    <font>
      <b/>
      <i/>
      <sz val="10"/>
      <color indexed="10"/>
      <name val="Arial"/>
      <family val="2"/>
    </font>
    <font>
      <b/>
      <i/>
      <sz val="10"/>
      <color indexed="12"/>
      <name val="Arial"/>
      <family val="2"/>
    </font>
    <font>
      <sz val="10"/>
      <color indexed="12"/>
      <name val="Arial"/>
      <family val="2"/>
    </font>
    <font>
      <b/>
      <sz val="10"/>
      <name val="Arial"/>
      <family val="2"/>
    </font>
    <font>
      <b/>
      <sz val="8"/>
      <name val="Arial"/>
      <family val="2"/>
    </font>
    <font>
      <sz val="8"/>
      <color indexed="12"/>
      <name val="Arial"/>
      <family val="2"/>
    </font>
    <font>
      <sz val="8"/>
      <name val="Courier"/>
      <family val="3"/>
    </font>
    <font>
      <sz val="10"/>
      <name val="MS Sans Serif"/>
      <family val="2"/>
    </font>
    <font>
      <sz val="10"/>
      <color indexed="8"/>
      <name val="Arial"/>
      <family val="2"/>
    </font>
    <font>
      <sz val="8"/>
      <color indexed="10"/>
      <name val="Arial"/>
      <family val="2"/>
    </font>
    <font>
      <sz val="8"/>
      <color indexed="8"/>
      <name val="Arial"/>
      <family val="2"/>
    </font>
    <font>
      <b/>
      <sz val="9"/>
      <name val="Arial"/>
      <family val="2"/>
    </font>
    <font>
      <b/>
      <sz val="9"/>
      <color indexed="12"/>
      <name val="Arial"/>
      <family val="2"/>
    </font>
    <font>
      <sz val="9"/>
      <name val="Arial"/>
      <family val="2"/>
    </font>
    <font>
      <sz val="9"/>
      <color indexed="8"/>
      <name val="Arial"/>
      <family val="2"/>
    </font>
    <font>
      <i/>
      <sz val="10"/>
      <name val="Arial"/>
      <family val="2"/>
    </font>
    <font>
      <b/>
      <sz val="10"/>
      <color indexed="10"/>
      <name val="Arial"/>
      <family val="2"/>
    </font>
    <font>
      <b/>
      <sz val="10"/>
      <color indexed="8"/>
      <name val="Arial"/>
      <family val="2"/>
    </font>
    <font>
      <b/>
      <sz val="10"/>
      <color indexed="12"/>
      <name val="Arial"/>
      <family val="2"/>
    </font>
    <font>
      <b/>
      <sz val="10"/>
      <color indexed="8"/>
      <name val="Times New Roman"/>
      <family val="1"/>
    </font>
    <font>
      <sz val="10"/>
      <color indexed="8"/>
      <name val="Times New Roman"/>
      <family val="1"/>
    </font>
    <font>
      <i/>
      <sz val="8"/>
      <name val="Times New Roman"/>
      <family val="1"/>
    </font>
    <font>
      <b/>
      <sz val="10"/>
      <color indexed="9"/>
      <name val="Arial"/>
      <family val="2"/>
    </font>
    <font>
      <sz val="10"/>
      <color indexed="22"/>
      <name val="Arial"/>
      <family val="2"/>
    </font>
    <font>
      <b/>
      <i/>
      <sz val="10"/>
      <name val="Arial"/>
      <family val="2"/>
    </font>
    <font>
      <b/>
      <i/>
      <sz val="9"/>
      <name val="Arial"/>
      <family val="2"/>
    </font>
    <font>
      <i/>
      <sz val="9"/>
      <name val="Arial"/>
      <family val="2"/>
    </font>
    <font>
      <b/>
      <sz val="9"/>
      <color indexed="10"/>
      <name val="Arial"/>
      <family val="2"/>
    </font>
    <font>
      <sz val="9"/>
      <color indexed="22"/>
      <name val="Arial"/>
      <family val="2"/>
    </font>
    <font>
      <b/>
      <sz val="10"/>
      <color indexed="22"/>
      <name val="Arial"/>
      <family val="2"/>
    </font>
    <font>
      <sz val="9"/>
      <color indexed="10"/>
      <name val="Arial"/>
      <family val="2"/>
    </font>
    <font>
      <b/>
      <sz val="12"/>
      <color indexed="9"/>
      <name val="Arial"/>
      <family val="2"/>
    </font>
    <font>
      <i/>
      <sz val="10"/>
      <color indexed="8"/>
      <name val="Arial"/>
      <family val="2"/>
    </font>
    <font>
      <sz val="8"/>
      <color indexed="9"/>
      <name val="Arial"/>
      <family val="2"/>
    </font>
    <font>
      <sz val="10"/>
      <color indexed="9"/>
      <name val="Arial"/>
      <family val="2"/>
    </font>
    <font>
      <i/>
      <sz val="10"/>
      <color indexed="12"/>
      <name val="Arial"/>
      <family val="2"/>
    </font>
    <font>
      <u/>
      <sz val="8"/>
      <color indexed="81"/>
      <name val="Tahoma"/>
      <family val="2"/>
    </font>
    <font>
      <sz val="10"/>
      <color indexed="9"/>
      <name val="Arial"/>
      <family val="2"/>
    </font>
    <font>
      <b/>
      <sz val="8"/>
      <color indexed="17"/>
      <name val="Arial"/>
      <family val="2"/>
    </font>
    <font>
      <b/>
      <sz val="8"/>
      <color indexed="12"/>
      <name val="Arial"/>
      <family val="2"/>
    </font>
    <font>
      <b/>
      <i/>
      <sz val="10"/>
      <color indexed="8"/>
      <name val="Arial"/>
      <family val="2"/>
    </font>
    <font>
      <sz val="10"/>
      <name val="Courier"/>
      <family val="3"/>
    </font>
    <font>
      <b/>
      <sz val="9"/>
      <color indexed="9"/>
      <name val="Arial"/>
      <family val="2"/>
    </font>
    <font>
      <i/>
      <sz val="8"/>
      <color indexed="12"/>
      <name val="Arial"/>
      <family val="2"/>
    </font>
    <font>
      <b/>
      <i/>
      <sz val="8"/>
      <color indexed="12"/>
      <name val="Arial"/>
      <family val="2"/>
    </font>
    <font>
      <b/>
      <i/>
      <sz val="8"/>
      <color indexed="12"/>
      <name val="Times New Roman"/>
      <family val="1"/>
    </font>
    <font>
      <sz val="10"/>
      <color indexed="22"/>
      <name val="Arial"/>
      <family val="2"/>
    </font>
    <font>
      <sz val="11"/>
      <name val="Arial"/>
      <family val="2"/>
    </font>
    <font>
      <b/>
      <sz val="9"/>
      <color indexed="8"/>
      <name val="Arial"/>
      <family val="2"/>
    </font>
    <font>
      <b/>
      <sz val="9"/>
      <color indexed="22"/>
      <name val="Arial"/>
      <family val="2"/>
    </font>
    <font>
      <b/>
      <sz val="10"/>
      <name val="Courier"/>
      <family val="3"/>
    </font>
    <font>
      <b/>
      <sz val="6.25"/>
      <name val="Verdana"/>
      <family val="2"/>
    </font>
    <font>
      <sz val="9"/>
      <color indexed="9"/>
      <name val="Verdana"/>
      <family val="2"/>
    </font>
    <font>
      <b/>
      <sz val="9"/>
      <color indexed="9"/>
      <name val="Verdana"/>
      <family val="2"/>
    </font>
    <font>
      <b/>
      <sz val="8"/>
      <color indexed="16"/>
      <name val="Verdana"/>
      <family val="2"/>
    </font>
    <font>
      <sz val="8"/>
      <name val="Verdana"/>
      <family val="2"/>
    </font>
    <font>
      <sz val="8"/>
      <color indexed="22"/>
      <name val="Verdana"/>
      <family val="2"/>
    </font>
    <font>
      <sz val="8"/>
      <color indexed="9"/>
      <name val="Verdana"/>
      <family val="2"/>
    </font>
    <font>
      <b/>
      <sz val="7"/>
      <name val="Verdana"/>
      <family val="2"/>
    </font>
    <font>
      <sz val="10"/>
      <name val="Verdana"/>
      <family val="2"/>
    </font>
    <font>
      <b/>
      <sz val="10"/>
      <name val="Verdana"/>
      <family val="2"/>
    </font>
    <font>
      <sz val="8"/>
      <color indexed="60"/>
      <name val="Verdana"/>
      <family val="2"/>
    </font>
    <font>
      <b/>
      <sz val="8"/>
      <color indexed="9"/>
      <name val="Verdana"/>
      <family val="2"/>
    </font>
    <font>
      <sz val="8"/>
      <color indexed="16"/>
      <name val="Verdana"/>
      <family val="2"/>
    </font>
    <font>
      <b/>
      <i/>
      <sz val="9"/>
      <color indexed="16"/>
      <name val="Verdana"/>
      <family val="2"/>
    </font>
    <font>
      <b/>
      <i/>
      <sz val="9"/>
      <color indexed="56"/>
      <name val="Verdana"/>
      <family val="2"/>
    </font>
    <font>
      <b/>
      <sz val="9"/>
      <name val="Verdana"/>
      <family val="2"/>
    </font>
    <font>
      <b/>
      <sz val="8"/>
      <name val="Verdana"/>
      <family val="2"/>
    </font>
    <font>
      <sz val="10"/>
      <color indexed="9"/>
      <name val="Verdana"/>
      <family val="2"/>
    </font>
    <font>
      <b/>
      <i/>
      <sz val="8"/>
      <color indexed="16"/>
      <name val="Verdana"/>
      <family val="2"/>
    </font>
    <font>
      <sz val="10"/>
      <color indexed="10"/>
      <name val="Verdana"/>
      <family val="2"/>
    </font>
    <font>
      <i/>
      <sz val="8"/>
      <color indexed="60"/>
      <name val="Verdana"/>
      <family val="2"/>
    </font>
    <font>
      <i/>
      <sz val="8"/>
      <color indexed="10"/>
      <name val="Verdana"/>
      <family val="2"/>
    </font>
    <font>
      <sz val="8"/>
      <color indexed="10"/>
      <name val="Verdana"/>
      <family val="2"/>
    </font>
    <font>
      <b/>
      <sz val="9"/>
      <color indexed="16"/>
      <name val="Verdana"/>
      <family val="2"/>
    </font>
    <font>
      <b/>
      <sz val="9"/>
      <color indexed="56"/>
      <name val="Verdana"/>
      <family val="2"/>
    </font>
    <font>
      <i/>
      <sz val="8"/>
      <color indexed="53"/>
      <name val="Verdana"/>
      <family val="2"/>
    </font>
    <font>
      <sz val="8"/>
      <color indexed="53"/>
      <name val="Verdana"/>
      <family val="2"/>
    </font>
    <font>
      <b/>
      <sz val="10"/>
      <color indexed="56"/>
      <name val="Verdana"/>
      <family val="2"/>
    </font>
    <font>
      <b/>
      <i/>
      <sz val="8"/>
      <color indexed="13"/>
      <name val="Verdana"/>
      <family val="2"/>
    </font>
    <font>
      <sz val="10"/>
      <name val="Arial"/>
      <family val="2"/>
    </font>
    <font>
      <sz val="10"/>
      <color indexed="22"/>
      <name val="Arial"/>
      <family val="2"/>
    </font>
    <font>
      <sz val="10"/>
      <color indexed="60"/>
      <name val="Arial"/>
      <family val="2"/>
    </font>
    <font>
      <sz val="9"/>
      <color indexed="81"/>
      <name val="Tahoma"/>
      <family val="2"/>
    </font>
    <font>
      <b/>
      <sz val="9"/>
      <color indexed="81"/>
      <name val="Tahoma"/>
      <family val="2"/>
    </font>
    <font>
      <sz val="8"/>
      <name val="Courier"/>
      <family val="3"/>
    </font>
    <font>
      <b/>
      <u val="singleAccounting"/>
      <sz val="8"/>
      <name val="Arial"/>
      <family val="2"/>
    </font>
    <font>
      <sz val="10"/>
      <color indexed="59"/>
      <name val="Arial"/>
      <family val="2"/>
    </font>
    <font>
      <i/>
      <sz val="10"/>
      <color indexed="59"/>
      <name val="Arial"/>
      <family val="2"/>
    </font>
    <font>
      <b/>
      <sz val="8"/>
      <color indexed="62"/>
      <name val="Arial"/>
      <family val="2"/>
    </font>
    <font>
      <sz val="10"/>
      <color indexed="62"/>
      <name val="Arial"/>
      <family val="2"/>
    </font>
    <font>
      <sz val="10"/>
      <color rgb="FFC0C0C0"/>
      <name val="Arial"/>
      <family val="2"/>
    </font>
    <font>
      <i/>
      <sz val="10"/>
      <color rgb="FFFF0000"/>
      <name val="Arial"/>
      <family val="2"/>
    </font>
    <font>
      <sz val="10"/>
      <color rgb="FF000000"/>
      <name val="Arial"/>
      <family val="2"/>
    </font>
    <font>
      <sz val="10"/>
      <color rgb="FF0000FF"/>
      <name val="Arial"/>
      <family val="2"/>
    </font>
    <font>
      <b/>
      <sz val="9"/>
      <color rgb="FFFF0000"/>
      <name val="Arial"/>
      <family val="2"/>
    </font>
    <font>
      <b/>
      <i/>
      <sz val="10"/>
      <color rgb="FF000000"/>
      <name val="Arial"/>
      <family val="2"/>
    </font>
    <font>
      <b/>
      <sz val="10"/>
      <color rgb="FF008000"/>
      <name val="Arial"/>
      <family val="2"/>
    </font>
    <font>
      <sz val="10"/>
      <color rgb="FFFF0000"/>
      <name val="Arial"/>
      <family val="2"/>
    </font>
    <font>
      <b/>
      <sz val="10"/>
      <color rgb="FFFF0000"/>
      <name val="Arial"/>
      <family val="2"/>
    </font>
    <font>
      <i/>
      <sz val="10"/>
      <color rgb="FF7030A0"/>
      <name val="Arial"/>
      <family val="2"/>
    </font>
    <font>
      <sz val="9"/>
      <color rgb="FFFF0000"/>
      <name val="Arial"/>
      <family val="2"/>
    </font>
    <font>
      <sz val="10"/>
      <color rgb="FF7030A0"/>
      <name val="Arial"/>
      <family val="2"/>
    </font>
    <font>
      <b/>
      <i/>
      <sz val="10"/>
      <color rgb="FF7030A0"/>
      <name val="Arial"/>
      <family val="2"/>
    </font>
    <font>
      <b/>
      <sz val="10"/>
      <color rgb="FF7030A0"/>
      <name val="Arial"/>
      <family val="2"/>
    </font>
    <font>
      <b/>
      <sz val="12"/>
      <color rgb="FF000080"/>
      <name val="Arial"/>
      <family val="2"/>
    </font>
  </fonts>
  <fills count="23">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18"/>
        <bgColor indexed="64"/>
      </patternFill>
    </fill>
    <fill>
      <patternFill patternType="solid">
        <fgColor indexed="40"/>
        <bgColor indexed="64"/>
      </patternFill>
    </fill>
    <fill>
      <patternFill patternType="solid">
        <fgColor indexed="48"/>
        <bgColor indexed="64"/>
      </patternFill>
    </fill>
    <fill>
      <patternFill patternType="solid">
        <fgColor indexed="8"/>
        <bgColor indexed="64"/>
      </patternFill>
    </fill>
    <fill>
      <patternFill patternType="solid">
        <fgColor indexed="42"/>
        <bgColor indexed="64"/>
      </patternFill>
    </fill>
    <fill>
      <patternFill patternType="solid">
        <fgColor indexed="41"/>
        <bgColor indexed="64"/>
      </patternFill>
    </fill>
    <fill>
      <patternFill patternType="solid">
        <fgColor indexed="16"/>
        <bgColor indexed="64"/>
      </patternFill>
    </fill>
    <fill>
      <patternFill patternType="solid">
        <fgColor indexed="12"/>
        <bgColor indexed="64"/>
      </patternFill>
    </fill>
    <fill>
      <patternFill patternType="solid">
        <fgColor indexed="56"/>
        <bgColor indexed="64"/>
      </patternFill>
    </fill>
    <fill>
      <patternFill patternType="solid">
        <fgColor theme="0"/>
        <bgColor indexed="64"/>
      </patternFill>
    </fill>
    <fill>
      <patternFill patternType="solid">
        <fgColor theme="0" tint="-0.14999847407452621"/>
        <bgColor indexed="64"/>
      </patternFill>
    </fill>
    <fill>
      <patternFill patternType="solid">
        <fgColor rgb="FFC0C0C0"/>
        <bgColor indexed="64"/>
      </patternFill>
    </fill>
    <fill>
      <patternFill patternType="solid">
        <fgColor rgb="FFFFFF00"/>
        <bgColor indexed="64"/>
      </patternFill>
    </fill>
    <fill>
      <patternFill patternType="solid">
        <fgColor rgb="FF000080"/>
        <bgColor indexed="64"/>
      </patternFill>
    </fill>
    <fill>
      <patternFill patternType="solid">
        <fgColor rgb="FFFFC000"/>
        <bgColor indexed="64"/>
      </patternFill>
    </fill>
    <fill>
      <patternFill patternType="solid">
        <fgColor rgb="FFFF0000"/>
        <bgColor indexed="64"/>
      </patternFill>
    </fill>
    <fill>
      <patternFill patternType="solid">
        <fgColor indexed="65"/>
        <bgColor indexed="64"/>
      </patternFill>
    </fill>
  </fills>
  <borders count="106">
    <border>
      <left/>
      <right/>
      <top/>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medium">
        <color indexed="8"/>
      </right>
      <top/>
      <bottom/>
      <diagonal/>
    </border>
    <border>
      <left style="medium">
        <color indexed="8"/>
      </left>
      <right style="medium">
        <color indexed="8"/>
      </right>
      <top style="thin">
        <color indexed="64"/>
      </top>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style="medium">
        <color indexed="8"/>
      </left>
      <right style="medium">
        <color indexed="8"/>
      </right>
      <top style="dotted">
        <color indexed="64"/>
      </top>
      <bottom style="dotted">
        <color indexed="64"/>
      </bottom>
      <diagonal/>
    </border>
    <border>
      <left/>
      <right style="medium">
        <color indexed="64"/>
      </right>
      <top style="dashed">
        <color indexed="64"/>
      </top>
      <bottom/>
      <diagonal/>
    </border>
    <border>
      <left style="medium">
        <color indexed="8"/>
      </left>
      <right style="medium">
        <color indexed="8"/>
      </right>
      <top style="dashed">
        <color indexed="64"/>
      </top>
      <bottom/>
      <diagonal/>
    </border>
    <border>
      <left/>
      <right/>
      <top style="dashed">
        <color indexed="64"/>
      </top>
      <bottom/>
      <diagonal/>
    </border>
    <border>
      <left/>
      <right style="medium">
        <color indexed="64"/>
      </right>
      <top style="hair">
        <color indexed="64"/>
      </top>
      <bottom/>
      <diagonal/>
    </border>
    <border>
      <left/>
      <right/>
      <top style="hair">
        <color indexed="64"/>
      </top>
      <bottom/>
      <diagonal/>
    </border>
    <border>
      <left style="medium">
        <color indexed="8"/>
      </left>
      <right style="medium">
        <color indexed="8"/>
      </right>
      <top style="hair">
        <color indexed="64"/>
      </top>
      <bottom/>
      <diagonal/>
    </border>
    <border>
      <left/>
      <right style="medium">
        <color indexed="64"/>
      </right>
      <top style="dashed">
        <color indexed="64"/>
      </top>
      <bottom style="hair">
        <color indexed="64"/>
      </bottom>
      <diagonal/>
    </border>
    <border>
      <left/>
      <right/>
      <top style="dashed">
        <color indexed="64"/>
      </top>
      <bottom style="hair">
        <color indexed="64"/>
      </bottom>
      <diagonal/>
    </border>
    <border>
      <left style="medium">
        <color indexed="8"/>
      </left>
      <right style="medium">
        <color indexed="8"/>
      </right>
      <top style="dashed">
        <color indexed="64"/>
      </top>
      <bottom style="hair">
        <color indexed="64"/>
      </bottom>
      <diagonal/>
    </border>
    <border>
      <left/>
      <right style="dashed">
        <color indexed="64"/>
      </right>
      <top/>
      <bottom/>
      <diagonal/>
    </border>
    <border>
      <left style="medium">
        <color indexed="8"/>
      </left>
      <right style="medium">
        <color indexed="8"/>
      </right>
      <top style="hair">
        <color indexed="64"/>
      </top>
      <bottom style="hair">
        <color indexed="64"/>
      </bottom>
      <diagonal/>
    </border>
    <border>
      <left/>
      <right/>
      <top style="hair">
        <color indexed="64"/>
      </top>
      <bottom style="hair">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8"/>
      </right>
      <top style="thin">
        <color indexed="64"/>
      </top>
      <bottom style="thin">
        <color indexed="64"/>
      </bottom>
      <diagonal/>
    </border>
    <border>
      <left/>
      <right style="medium">
        <color indexed="8"/>
      </right>
      <top/>
      <bottom/>
      <diagonal/>
    </border>
    <border>
      <left/>
      <right style="medium">
        <color indexed="8"/>
      </right>
      <top style="thin">
        <color indexed="64"/>
      </top>
      <bottom/>
      <diagonal/>
    </border>
    <border>
      <left/>
      <right style="medium">
        <color indexed="8"/>
      </right>
      <top style="dotted">
        <color indexed="64"/>
      </top>
      <bottom style="dotted">
        <color indexed="64"/>
      </bottom>
      <diagonal/>
    </border>
    <border>
      <left/>
      <right style="medium">
        <color indexed="8"/>
      </right>
      <top style="dashed">
        <color indexed="64"/>
      </top>
      <bottom/>
      <diagonal/>
    </border>
    <border>
      <left/>
      <right style="medium">
        <color indexed="8"/>
      </right>
      <top style="hair">
        <color indexed="64"/>
      </top>
      <bottom/>
      <diagonal/>
    </border>
    <border>
      <left/>
      <right style="medium">
        <color indexed="8"/>
      </right>
      <top style="dashed">
        <color indexed="64"/>
      </top>
      <bottom style="hair">
        <color indexed="64"/>
      </bottom>
      <diagonal/>
    </border>
    <border>
      <left/>
      <right style="medium">
        <color indexed="8"/>
      </right>
      <top style="hair">
        <color indexed="64"/>
      </top>
      <bottom style="hair">
        <color indexed="64"/>
      </bottom>
      <diagonal/>
    </border>
    <border>
      <left style="medium">
        <color indexed="64"/>
      </left>
      <right style="medium">
        <color indexed="64"/>
      </right>
      <top style="thin">
        <color indexed="64"/>
      </top>
      <bottom style="thin">
        <color indexed="64"/>
      </bottom>
      <diagonal/>
    </border>
    <border>
      <left style="medium">
        <color indexed="8"/>
      </left>
      <right/>
      <top/>
      <bottom/>
      <diagonal/>
    </border>
    <border>
      <left style="medium">
        <color indexed="8"/>
      </left>
      <right style="medium">
        <color indexed="64"/>
      </right>
      <top/>
      <bottom/>
      <diagonal/>
    </border>
    <border>
      <left style="dotted">
        <color indexed="64"/>
      </left>
      <right style="dashed">
        <color indexed="64"/>
      </right>
      <top/>
      <bottom/>
      <diagonal/>
    </border>
    <border>
      <left style="dotted">
        <color indexed="64"/>
      </left>
      <right/>
      <top/>
      <bottom/>
      <diagonal/>
    </border>
    <border>
      <left/>
      <right style="medium">
        <color indexed="64"/>
      </right>
      <top style="hair">
        <color indexed="64"/>
      </top>
      <bottom style="hair">
        <color indexed="64"/>
      </bottom>
      <diagonal/>
    </border>
    <border>
      <left style="medium">
        <color indexed="8"/>
      </left>
      <right/>
      <top style="dashed">
        <color indexed="64"/>
      </top>
      <bottom style="hair">
        <color indexed="64"/>
      </bottom>
      <diagonal/>
    </border>
    <border>
      <left/>
      <right style="medium">
        <color indexed="64"/>
      </right>
      <top style="thin">
        <color indexed="64"/>
      </top>
      <bottom/>
      <diagonal/>
    </border>
    <border>
      <left style="medium">
        <color indexed="8"/>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bottom style="thin">
        <color indexed="64"/>
      </bottom>
      <diagonal/>
    </border>
    <border>
      <left/>
      <right style="medium">
        <color indexed="8"/>
      </right>
      <top/>
      <bottom style="thin">
        <color indexed="64"/>
      </bottom>
      <diagonal/>
    </border>
    <border>
      <left style="medium">
        <color indexed="8"/>
      </left>
      <right style="medium">
        <color indexed="8"/>
      </right>
      <top/>
      <bottom style="thin">
        <color indexed="64"/>
      </bottom>
      <diagonal/>
    </border>
    <border>
      <left style="medium">
        <color indexed="8"/>
      </left>
      <right style="medium">
        <color indexed="64"/>
      </right>
      <top/>
      <bottom style="thin">
        <color indexed="64"/>
      </bottom>
      <diagonal/>
    </border>
    <border>
      <left style="medium">
        <color indexed="64"/>
      </left>
      <right style="medium">
        <color indexed="64"/>
      </right>
      <top/>
      <bottom style="thin">
        <color indexed="64"/>
      </bottom>
      <diagonal/>
    </border>
    <border>
      <left/>
      <right/>
      <top style="thin">
        <color indexed="8"/>
      </top>
      <bottom/>
      <diagonal/>
    </border>
    <border>
      <left/>
      <right style="medium">
        <color indexed="8"/>
      </right>
      <top style="thin">
        <color indexed="8"/>
      </top>
      <bottom/>
      <diagonal/>
    </border>
    <border>
      <left style="medium">
        <color indexed="8"/>
      </left>
      <right style="medium">
        <color indexed="8"/>
      </right>
      <top style="thin">
        <color indexed="8"/>
      </top>
      <bottom/>
      <diagonal/>
    </border>
    <border>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dotted">
        <color indexed="64"/>
      </top>
      <bottom style="dotted">
        <color indexed="64"/>
      </bottom>
      <diagonal/>
    </border>
    <border>
      <left style="medium">
        <color indexed="64"/>
      </left>
      <right/>
      <top style="dashed">
        <color indexed="64"/>
      </top>
      <bottom style="hair">
        <color indexed="64"/>
      </bottom>
      <diagonal/>
    </border>
    <border>
      <left style="medium">
        <color indexed="64"/>
      </left>
      <right/>
      <top style="dashed">
        <color indexed="64"/>
      </top>
      <bottom/>
      <diagonal/>
    </border>
    <border>
      <left style="medium">
        <color indexed="64"/>
      </left>
      <right/>
      <top style="hair">
        <color indexed="64"/>
      </top>
      <bottom/>
      <diagonal/>
    </border>
    <border>
      <left style="medium">
        <color indexed="64"/>
      </left>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dashed">
        <color indexed="64"/>
      </top>
      <bottom style="dashed">
        <color indexed="64"/>
      </bottom>
      <diagonal/>
    </border>
    <border>
      <left style="thin">
        <color indexed="64"/>
      </left>
      <right/>
      <top style="thin">
        <color indexed="64"/>
      </top>
      <bottom/>
      <diagonal/>
    </border>
    <border>
      <left style="thin">
        <color indexed="64"/>
      </left>
      <right/>
      <top/>
      <bottom/>
      <diagonal/>
    </border>
    <border>
      <left style="thin">
        <color indexed="16"/>
      </left>
      <right/>
      <top/>
      <bottom/>
      <diagonal/>
    </border>
    <border>
      <left/>
      <right style="thin">
        <color indexed="1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indexed="8"/>
      </bottom>
      <diagonal/>
    </border>
    <border>
      <left style="hair">
        <color indexed="64"/>
      </left>
      <right style="hair">
        <color indexed="64"/>
      </right>
      <top/>
      <bottom/>
      <diagonal/>
    </border>
    <border>
      <left style="hair">
        <color indexed="64"/>
      </left>
      <right style="hair">
        <color indexed="64"/>
      </right>
      <top style="thin">
        <color indexed="64"/>
      </top>
      <bottom/>
      <diagonal/>
    </border>
    <border>
      <left style="thin">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style="medium">
        <color indexed="64"/>
      </right>
      <top style="dashed">
        <color indexed="64"/>
      </top>
      <bottom/>
      <diagonal/>
    </border>
    <border>
      <left style="medium">
        <color indexed="64"/>
      </left>
      <right style="medium">
        <color indexed="64"/>
      </right>
      <top style="medium">
        <color indexed="64"/>
      </top>
      <bottom style="thin">
        <color indexed="64"/>
      </bottom>
      <diagonal/>
    </border>
    <border>
      <left style="medium">
        <color indexed="8"/>
      </left>
      <right style="medium">
        <color indexed="64"/>
      </right>
      <top style="dotted">
        <color indexed="64"/>
      </top>
      <bottom style="dotted">
        <color indexed="64"/>
      </bottom>
      <diagonal/>
    </border>
    <border>
      <left style="medium">
        <color indexed="8"/>
      </left>
      <right style="medium">
        <color indexed="64"/>
      </right>
      <top style="dashed">
        <color indexed="64"/>
      </top>
      <bottom style="hair">
        <color indexed="64"/>
      </bottom>
      <diagonal/>
    </border>
    <border>
      <left style="medium">
        <color indexed="8"/>
      </left>
      <right style="medium">
        <color indexed="64"/>
      </right>
      <top style="dashed">
        <color indexed="64"/>
      </top>
      <bottom/>
      <diagonal/>
    </border>
    <border>
      <left style="medium">
        <color indexed="8"/>
      </left>
      <right style="medium">
        <color indexed="64"/>
      </right>
      <top style="hair">
        <color indexed="64"/>
      </top>
      <bottom/>
      <diagonal/>
    </border>
    <border>
      <left style="medium">
        <color indexed="8"/>
      </left>
      <right style="medium">
        <color indexed="64"/>
      </right>
      <top style="hair">
        <color indexed="64"/>
      </top>
      <bottom style="hair">
        <color indexed="64"/>
      </bottom>
      <diagonal/>
    </border>
    <border>
      <left style="medium">
        <color indexed="8"/>
      </left>
      <right style="medium">
        <color indexed="64"/>
      </right>
      <top style="thin">
        <color indexed="64"/>
      </top>
      <bottom style="thin">
        <color indexed="64"/>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s>
  <cellStyleXfs count="37">
    <xf numFmtId="0" fontId="0" fillId="0" borderId="0"/>
    <xf numFmtId="0" fontId="6" fillId="0" borderId="0"/>
    <xf numFmtId="0" fontId="6" fillId="0" borderId="0"/>
    <xf numFmtId="0" fontId="19" fillId="0" borderId="0"/>
    <xf numFmtId="0" fontId="19" fillId="0" borderId="0"/>
    <xf numFmtId="0" fontId="31" fillId="0" borderId="0"/>
    <xf numFmtId="4" fontId="1" fillId="0" borderId="0" applyFont="0" applyFill="0" applyBorder="0" applyAlignment="0" applyProtection="0"/>
    <xf numFmtId="43" fontId="92"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164" fontId="92" fillId="0" borderId="0" applyFont="0" applyFill="0" applyBorder="0" applyAlignment="0" applyProtection="0"/>
    <xf numFmtId="8"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6" fillId="0" borderId="0"/>
    <xf numFmtId="0" fontId="92" fillId="0" borderId="0"/>
    <xf numFmtId="0" fontId="6" fillId="0" borderId="0"/>
    <xf numFmtId="0" fontId="6" fillId="0" borderId="0"/>
    <xf numFmtId="0" fontId="6" fillId="0" borderId="0"/>
    <xf numFmtId="0" fontId="6" fillId="0" borderId="0"/>
    <xf numFmtId="0" fontId="10" fillId="0" borderId="0"/>
    <xf numFmtId="0" fontId="3" fillId="0" borderId="0"/>
    <xf numFmtId="0" fontId="6" fillId="0" borderId="0"/>
    <xf numFmtId="0" fontId="8" fillId="0" borderId="0"/>
    <xf numFmtId="0" fontId="10" fillId="0" borderId="0">
      <alignment wrapText="1"/>
    </xf>
    <xf numFmtId="0" fontId="2" fillId="0" borderId="0">
      <alignment vertical="center"/>
    </xf>
    <xf numFmtId="9" fontId="1" fillId="0" borderId="0" applyFont="0" applyFill="0" applyBorder="0" applyAlignment="0" applyProtection="0"/>
    <xf numFmtId="9" fontId="92" fillId="0" borderId="0" applyFont="0" applyFill="0" applyBorder="0" applyAlignment="0" applyProtection="0"/>
    <xf numFmtId="9" fontId="6" fillId="0" borderId="0" applyFont="0" applyFill="0" applyBorder="0" applyAlignment="0" applyProtection="0"/>
    <xf numFmtId="0" fontId="6" fillId="2" borderId="0" applyNumberFormat="0" applyFont="0" applyBorder="0" applyAlignment="0" applyProtection="0"/>
    <xf numFmtId="0" fontId="32" fillId="0" borderId="0"/>
    <xf numFmtId="0" fontId="32" fillId="0" borderId="1">
      <alignment horizontal="centerContinuous"/>
    </xf>
    <xf numFmtId="0" fontId="33" fillId="0" borderId="1"/>
    <xf numFmtId="0" fontId="6" fillId="0" borderId="0" applyNumberFormat="0" applyFill="0" applyBorder="0" applyAlignment="0" applyProtection="0"/>
    <xf numFmtId="0" fontId="7" fillId="3" borderId="2" applyNumberFormat="0" applyProtection="0">
      <alignment wrapText="1"/>
    </xf>
    <xf numFmtId="0" fontId="8" fillId="0" borderId="0"/>
  </cellStyleXfs>
  <cellXfs count="2177">
    <xf numFmtId="0" fontId="0" fillId="0" borderId="0" xfId="0"/>
    <xf numFmtId="0" fontId="6" fillId="0" borderId="0" xfId="15"/>
    <xf numFmtId="165" fontId="9" fillId="0" borderId="0" xfId="27" applyNumberFormat="1" applyFont="1"/>
    <xf numFmtId="0" fontId="9" fillId="3" borderId="0" xfId="0" applyFont="1" applyFill="1" applyAlignment="1">
      <alignment vertical="top"/>
    </xf>
    <xf numFmtId="49" fontId="0" fillId="0" borderId="0" xfId="0" applyNumberFormat="1"/>
    <xf numFmtId="0" fontId="34" fillId="6" borderId="9" xfId="20" applyFont="1" applyFill="1" applyBorder="1"/>
    <xf numFmtId="0" fontId="34" fillId="6" borderId="10" xfId="19" applyFont="1" applyFill="1" applyBorder="1"/>
    <xf numFmtId="165" fontId="34" fillId="6" borderId="10" xfId="27" applyNumberFormat="1" applyFont="1" applyFill="1" applyBorder="1"/>
    <xf numFmtId="165" fontId="34" fillId="6" borderId="11" xfId="27" applyNumberFormat="1" applyFont="1" applyFill="1" applyBorder="1"/>
    <xf numFmtId="0" fontId="34" fillId="6" borderId="11" xfId="19" applyFont="1" applyFill="1" applyBorder="1"/>
    <xf numFmtId="1" fontId="10" fillId="3" borderId="7" xfId="19" applyNumberFormat="1" applyFont="1" applyFill="1" applyBorder="1"/>
    <xf numFmtId="1" fontId="10" fillId="3" borderId="0" xfId="19" applyNumberFormat="1" applyFont="1" applyFill="1" applyBorder="1"/>
    <xf numFmtId="1" fontId="10" fillId="3" borderId="12" xfId="19" applyNumberFormat="1" applyFont="1" applyFill="1" applyBorder="1"/>
    <xf numFmtId="9" fontId="10" fillId="3" borderId="7" xfId="19" applyNumberFormat="1" applyFont="1" applyFill="1" applyBorder="1" applyAlignment="1">
      <alignment horizontal="left" indent="1"/>
    </xf>
    <xf numFmtId="9" fontId="10" fillId="3" borderId="12" xfId="27" applyNumberFormat="1" applyFont="1" applyFill="1" applyBorder="1"/>
    <xf numFmtId="9" fontId="10" fillId="3" borderId="0" xfId="27" applyNumberFormat="1" applyFont="1" applyFill="1" applyBorder="1"/>
    <xf numFmtId="9" fontId="10" fillId="3" borderId="0" xfId="19" applyNumberFormat="1" applyFont="1" applyFill="1" applyBorder="1"/>
    <xf numFmtId="3" fontId="15" fillId="3" borderId="4" xfId="19" applyNumberFormat="1" applyFont="1" applyFill="1" applyBorder="1"/>
    <xf numFmtId="3" fontId="15" fillId="3" borderId="13" xfId="19" applyNumberFormat="1" applyFont="1" applyFill="1" applyBorder="1"/>
    <xf numFmtId="0" fontId="10" fillId="3" borderId="7" xfId="19" applyFont="1" applyFill="1" applyBorder="1"/>
    <xf numFmtId="170" fontId="10" fillId="3" borderId="0" xfId="19" applyNumberFormat="1" applyFont="1" applyFill="1" applyBorder="1"/>
    <xf numFmtId="165" fontId="10" fillId="3" borderId="12" xfId="27" applyNumberFormat="1" applyFont="1" applyFill="1" applyBorder="1"/>
    <xf numFmtId="165" fontId="10" fillId="3" borderId="0" xfId="27" applyNumberFormat="1" applyFont="1" applyFill="1" applyBorder="1"/>
    <xf numFmtId="3" fontId="15" fillId="3" borderId="7" xfId="19" applyNumberFormat="1" applyFont="1" applyFill="1" applyBorder="1"/>
    <xf numFmtId="3" fontId="15" fillId="3" borderId="0" xfId="19" applyNumberFormat="1" applyFont="1" applyFill="1" applyBorder="1"/>
    <xf numFmtId="0" fontId="36" fillId="3" borderId="0" xfId="19" applyFont="1" applyFill="1" applyBorder="1"/>
    <xf numFmtId="166" fontId="36" fillId="3" borderId="0" xfId="19" applyNumberFormat="1" applyFont="1" applyFill="1" applyBorder="1"/>
    <xf numFmtId="165" fontId="20" fillId="3" borderId="0" xfId="27" applyNumberFormat="1" applyFont="1" applyFill="1" applyBorder="1"/>
    <xf numFmtId="165" fontId="20" fillId="3" borderId="12" xfId="27" applyNumberFormat="1" applyFont="1" applyFill="1" applyBorder="1"/>
    <xf numFmtId="165" fontId="14" fillId="3" borderId="12" xfId="27" applyNumberFormat="1" applyFont="1" applyFill="1" applyBorder="1"/>
    <xf numFmtId="3" fontId="15" fillId="3" borderId="12" xfId="19" applyNumberFormat="1" applyFont="1" applyFill="1" applyBorder="1"/>
    <xf numFmtId="170" fontId="15" fillId="7" borderId="7" xfId="19" applyNumberFormat="1" applyFont="1" applyFill="1" applyBorder="1"/>
    <xf numFmtId="170" fontId="15" fillId="7" borderId="0" xfId="19" applyNumberFormat="1" applyFont="1" applyFill="1" applyBorder="1"/>
    <xf numFmtId="170" fontId="15" fillId="7" borderId="12" xfId="19" applyNumberFormat="1" applyFont="1" applyFill="1" applyBorder="1"/>
    <xf numFmtId="9" fontId="15" fillId="3" borderId="0" xfId="19" applyNumberFormat="1" applyFont="1" applyFill="1" applyBorder="1"/>
    <xf numFmtId="170" fontId="10" fillId="3" borderId="7" xfId="19" applyNumberFormat="1" applyFont="1" applyFill="1" applyBorder="1"/>
    <xf numFmtId="3" fontId="20" fillId="3" borderId="0" xfId="19" applyNumberFormat="1" applyFont="1" applyFill="1" applyBorder="1" applyAlignment="1" applyProtection="1">
      <alignment vertical="top"/>
    </xf>
    <xf numFmtId="3" fontId="20" fillId="3" borderId="12" xfId="19" applyNumberFormat="1" applyFont="1" applyFill="1" applyBorder="1" applyAlignment="1" applyProtection="1">
      <alignment vertical="top"/>
    </xf>
    <xf numFmtId="3" fontId="20" fillId="3" borderId="0" xfId="19" applyNumberFormat="1" applyFont="1" applyFill="1" applyBorder="1" applyAlignment="1">
      <alignment vertical="top"/>
    </xf>
    <xf numFmtId="9" fontId="10" fillId="3" borderId="0" xfId="14" applyNumberFormat="1" applyFont="1" applyFill="1" applyBorder="1" applyAlignment="1">
      <alignment vertical="top"/>
    </xf>
    <xf numFmtId="9" fontId="10" fillId="3" borderId="12" xfId="19" applyNumberFormat="1" applyFont="1" applyFill="1" applyBorder="1"/>
    <xf numFmtId="170" fontId="15" fillId="3" borderId="14" xfId="19" applyNumberFormat="1" applyFont="1" applyFill="1" applyBorder="1"/>
    <xf numFmtId="170" fontId="15" fillId="3" borderId="15" xfId="19" applyNumberFormat="1" applyFont="1" applyFill="1" applyBorder="1"/>
    <xf numFmtId="170" fontId="15" fillId="3" borderId="16" xfId="19" applyNumberFormat="1" applyFont="1" applyFill="1" applyBorder="1"/>
    <xf numFmtId="0" fontId="10" fillId="3" borderId="7" xfId="19" applyFont="1" applyFill="1" applyBorder="1" applyAlignment="1">
      <alignment horizontal="left" indent="1"/>
    </xf>
    <xf numFmtId="0" fontId="10" fillId="3" borderId="0" xfId="19" applyFont="1" applyFill="1" applyBorder="1"/>
    <xf numFmtId="166" fontId="10" fillId="3" borderId="0" xfId="19" applyNumberFormat="1" applyFont="1" applyFill="1" applyBorder="1"/>
    <xf numFmtId="170" fontId="10" fillId="3" borderId="7" xfId="19" applyNumberFormat="1" applyFont="1" applyFill="1" applyBorder="1" applyAlignment="1">
      <alignment horizontal="left" indent="1"/>
    </xf>
    <xf numFmtId="170" fontId="10" fillId="3" borderId="12" xfId="19" applyNumberFormat="1" applyFont="1" applyFill="1" applyBorder="1"/>
    <xf numFmtId="170" fontId="25" fillId="3" borderId="0" xfId="19" applyNumberFormat="1" applyFont="1" applyFill="1" applyBorder="1"/>
    <xf numFmtId="170" fontId="23" fillId="7" borderId="0" xfId="19" applyNumberFormat="1" applyFont="1" applyFill="1" applyBorder="1"/>
    <xf numFmtId="9" fontId="23" fillId="3" borderId="0" xfId="19" applyNumberFormat="1" applyFont="1" applyFill="1" applyBorder="1"/>
    <xf numFmtId="3" fontId="26" fillId="3" borderId="0" xfId="19" applyNumberFormat="1" applyFont="1" applyFill="1" applyBorder="1" applyAlignment="1">
      <alignment vertical="top"/>
    </xf>
    <xf numFmtId="9" fontId="25" fillId="3" borderId="0" xfId="19" applyNumberFormat="1" applyFont="1" applyFill="1" applyBorder="1"/>
    <xf numFmtId="170" fontId="23" fillId="3" borderId="15" xfId="19" applyNumberFormat="1" applyFont="1" applyFill="1" applyBorder="1"/>
    <xf numFmtId="166" fontId="25" fillId="3" borderId="0" xfId="19" applyNumberFormat="1" applyFont="1" applyFill="1" applyBorder="1"/>
    <xf numFmtId="0" fontId="25" fillId="3" borderId="0" xfId="19" applyFont="1" applyFill="1" applyBorder="1"/>
    <xf numFmtId="170" fontId="27" fillId="3" borderId="17" xfId="19" applyNumberFormat="1" applyFont="1" applyFill="1" applyBorder="1"/>
    <xf numFmtId="165" fontId="10" fillId="3" borderId="18" xfId="27" applyNumberFormat="1" applyFont="1" applyFill="1" applyBorder="1"/>
    <xf numFmtId="166" fontId="10" fillId="3" borderId="19" xfId="19" applyNumberFormat="1" applyFont="1" applyFill="1" applyBorder="1"/>
    <xf numFmtId="165" fontId="10" fillId="3" borderId="19" xfId="27" applyNumberFormat="1" applyFont="1" applyFill="1" applyBorder="1"/>
    <xf numFmtId="175" fontId="10" fillId="3" borderId="19" xfId="14" applyNumberFormat="1" applyFont="1" applyFill="1" applyBorder="1" applyAlignment="1">
      <alignment vertical="top"/>
    </xf>
    <xf numFmtId="0" fontId="25" fillId="3" borderId="19" xfId="19" applyFont="1" applyFill="1" applyBorder="1"/>
    <xf numFmtId="170" fontId="10" fillId="3" borderId="20" xfId="19" applyNumberFormat="1" applyFont="1" applyFill="1" applyBorder="1" applyAlignment="1">
      <alignment horizontal="left" indent="1"/>
    </xf>
    <xf numFmtId="170" fontId="10" fillId="3" borderId="21" xfId="19" applyNumberFormat="1" applyFont="1" applyFill="1" applyBorder="1"/>
    <xf numFmtId="170" fontId="10" fillId="3" borderId="22" xfId="19" applyNumberFormat="1" applyFont="1" applyFill="1" applyBorder="1"/>
    <xf numFmtId="170" fontId="25" fillId="3" borderId="21" xfId="19" applyNumberFormat="1" applyFont="1" applyFill="1" applyBorder="1"/>
    <xf numFmtId="165" fontId="10" fillId="3" borderId="12" xfId="19" applyNumberFormat="1" applyFont="1" applyFill="1" applyBorder="1"/>
    <xf numFmtId="165" fontId="10" fillId="3" borderId="0" xfId="19" applyNumberFormat="1" applyFont="1" applyFill="1" applyBorder="1"/>
    <xf numFmtId="165" fontId="36" fillId="3" borderId="23" xfId="19" applyNumberFormat="1" applyFont="1" applyFill="1" applyBorder="1"/>
    <xf numFmtId="165" fontId="36" fillId="3" borderId="24" xfId="19" applyNumberFormat="1" applyFont="1" applyFill="1" applyBorder="1"/>
    <xf numFmtId="165" fontId="36" fillId="3" borderId="25" xfId="19" applyNumberFormat="1" applyFont="1" applyFill="1" applyBorder="1"/>
    <xf numFmtId="165" fontId="37" fillId="3" borderId="24" xfId="19" applyNumberFormat="1" applyFont="1" applyFill="1" applyBorder="1"/>
    <xf numFmtId="169" fontId="10" fillId="3" borderId="0" xfId="19" applyNumberFormat="1" applyFont="1" applyFill="1" applyBorder="1"/>
    <xf numFmtId="169" fontId="10" fillId="3" borderId="0" xfId="27" applyNumberFormat="1" applyFont="1" applyFill="1" applyBorder="1"/>
    <xf numFmtId="169" fontId="25" fillId="3" borderId="0" xfId="19" applyNumberFormat="1" applyFont="1" applyFill="1" applyBorder="1"/>
    <xf numFmtId="170" fontId="10" fillId="3" borderId="0" xfId="27" applyNumberFormat="1" applyFont="1" applyFill="1" applyBorder="1"/>
    <xf numFmtId="170" fontId="10" fillId="3" borderId="12" xfId="27" applyNumberFormat="1" applyFont="1" applyFill="1" applyBorder="1"/>
    <xf numFmtId="9" fontId="10" fillId="3" borderId="7" xfId="19" applyNumberFormat="1" applyFont="1" applyFill="1" applyBorder="1" applyAlignment="1">
      <alignment horizontal="left" indent="3"/>
    </xf>
    <xf numFmtId="170" fontId="10" fillId="3" borderId="12" xfId="27" applyNumberFormat="1" applyFont="1" applyFill="1" applyBorder="1" applyAlignment="1"/>
    <xf numFmtId="170" fontId="10" fillId="3" borderId="0" xfId="27" applyNumberFormat="1" applyFont="1" applyFill="1" applyBorder="1" applyAlignment="1"/>
    <xf numFmtId="170" fontId="25" fillId="3" borderId="0" xfId="19" applyNumberFormat="1" applyFont="1" applyFill="1" applyBorder="1" applyAlignment="1"/>
    <xf numFmtId="170" fontId="30" fillId="7" borderId="0" xfId="19" applyNumberFormat="1" applyFont="1" applyFill="1" applyBorder="1"/>
    <xf numFmtId="170" fontId="30" fillId="7" borderId="26" xfId="19" applyNumberFormat="1" applyFont="1" applyFill="1" applyBorder="1"/>
    <xf numFmtId="9" fontId="10" fillId="3" borderId="7" xfId="19" applyNumberFormat="1" applyFont="1" applyFill="1" applyBorder="1"/>
    <xf numFmtId="0" fontId="15" fillId="4" borderId="7" xfId="19" applyFont="1" applyFill="1" applyBorder="1"/>
    <xf numFmtId="166" fontId="15" fillId="4" borderId="0" xfId="19" applyNumberFormat="1" applyFont="1" applyFill="1" applyBorder="1"/>
    <xf numFmtId="0" fontId="23" fillId="4" borderId="0" xfId="19" applyFont="1" applyFill="1" applyBorder="1"/>
    <xf numFmtId="170" fontId="15" fillId="7" borderId="0" xfId="8" applyNumberFormat="1" applyFont="1" applyFill="1" applyBorder="1"/>
    <xf numFmtId="170" fontId="15" fillId="7" borderId="12" xfId="8" applyNumberFormat="1" applyFont="1" applyFill="1" applyBorder="1"/>
    <xf numFmtId="170" fontId="23" fillId="7" borderId="0" xfId="8" applyNumberFormat="1" applyFont="1" applyFill="1" applyBorder="1"/>
    <xf numFmtId="9" fontId="10" fillId="0" borderId="7" xfId="19" applyNumberFormat="1" applyFont="1" applyBorder="1" applyAlignment="1">
      <alignment horizontal="left" vertical="top" indent="1"/>
    </xf>
    <xf numFmtId="3" fontId="10" fillId="3" borderId="25" xfId="8" applyNumberFormat="1" applyFont="1" applyFill="1" applyBorder="1"/>
    <xf numFmtId="172" fontId="10" fillId="3" borderId="24" xfId="8" applyNumberFormat="1" applyFont="1" applyFill="1" applyBorder="1"/>
    <xf numFmtId="3" fontId="20" fillId="3" borderId="24" xfId="8" applyNumberFormat="1" applyFont="1" applyFill="1" applyBorder="1"/>
    <xf numFmtId="3" fontId="15" fillId="3" borderId="24" xfId="19" applyNumberFormat="1" applyFont="1" applyFill="1" applyBorder="1"/>
    <xf numFmtId="166" fontId="15" fillId="3" borderId="0" xfId="19" applyNumberFormat="1" applyFont="1" applyFill="1" applyBorder="1"/>
    <xf numFmtId="165" fontId="14" fillId="3" borderId="0" xfId="27" applyNumberFormat="1" applyFont="1" applyFill="1" applyBorder="1"/>
    <xf numFmtId="166" fontId="30" fillId="3" borderId="0" xfId="19" applyNumberFormat="1" applyFont="1" applyFill="1" applyBorder="1"/>
    <xf numFmtId="0" fontId="23" fillId="3" borderId="0" xfId="19" applyFont="1" applyFill="1" applyBorder="1"/>
    <xf numFmtId="166" fontId="10" fillId="3" borderId="12" xfId="19" applyNumberFormat="1" applyFont="1" applyFill="1" applyBorder="1"/>
    <xf numFmtId="170" fontId="10" fillId="3" borderId="23" xfId="19" applyNumberFormat="1" applyFont="1" applyFill="1" applyBorder="1" applyAlignment="1">
      <alignment horizontal="left"/>
    </xf>
    <xf numFmtId="170" fontId="10" fillId="3" borderId="24" xfId="19" applyNumberFormat="1" applyFont="1" applyFill="1" applyBorder="1"/>
    <xf numFmtId="170" fontId="10" fillId="3" borderId="25" xfId="19" applyNumberFormat="1" applyFont="1" applyFill="1" applyBorder="1"/>
    <xf numFmtId="170" fontId="25" fillId="3" borderId="24" xfId="19" applyNumberFormat="1" applyFont="1" applyFill="1" applyBorder="1"/>
    <xf numFmtId="0" fontId="10" fillId="0" borderId="7" xfId="19" applyFont="1" applyBorder="1" applyAlignment="1">
      <alignment horizontal="left" vertical="top" indent="1"/>
    </xf>
    <xf numFmtId="166" fontId="20" fillId="3" borderId="0" xfId="19" applyNumberFormat="1" applyFont="1" applyFill="1" applyBorder="1"/>
    <xf numFmtId="165" fontId="20" fillId="0" borderId="0" xfId="27" applyNumberFormat="1" applyFont="1" applyFill="1" applyBorder="1" applyAlignment="1" applyProtection="1">
      <alignment vertical="top"/>
    </xf>
    <xf numFmtId="165" fontId="20" fillId="0" borderId="12" xfId="27" applyNumberFormat="1" applyFont="1" applyFill="1" applyBorder="1" applyAlignment="1" applyProtection="1">
      <alignment vertical="top"/>
    </xf>
    <xf numFmtId="169" fontId="10" fillId="3" borderId="0" xfId="19" applyNumberFormat="1" applyFont="1" applyFill="1" applyAlignment="1">
      <alignment vertical="top"/>
    </xf>
    <xf numFmtId="170" fontId="10" fillId="3" borderId="0" xfId="19" applyNumberFormat="1" applyFont="1" applyFill="1" applyBorder="1" applyAlignment="1">
      <alignment vertical="top"/>
    </xf>
    <xf numFmtId="2" fontId="10" fillId="3" borderId="23" xfId="19" applyNumberFormat="1" applyFont="1" applyFill="1" applyBorder="1"/>
    <xf numFmtId="172" fontId="10" fillId="3" borderId="25" xfId="8" applyNumberFormat="1" applyFont="1" applyFill="1" applyBorder="1"/>
    <xf numFmtId="172" fontId="25" fillId="3" borderId="24" xfId="8" applyNumberFormat="1" applyFont="1" applyFill="1" applyBorder="1"/>
    <xf numFmtId="2" fontId="20" fillId="3" borderId="7" xfId="19" applyNumberFormat="1" applyFont="1" applyFill="1" applyBorder="1" applyAlignment="1">
      <alignment horizontal="left" indent="1"/>
    </xf>
    <xf numFmtId="43" fontId="20" fillId="3" borderId="12" xfId="8" applyNumberFormat="1" applyFont="1" applyFill="1" applyBorder="1"/>
    <xf numFmtId="43" fontId="20" fillId="3" borderId="0" xfId="8" applyNumberFormat="1" applyFont="1" applyFill="1" applyBorder="1"/>
    <xf numFmtId="172" fontId="26" fillId="3" borderId="0" xfId="8" applyNumberFormat="1" applyFont="1" applyFill="1" applyBorder="1"/>
    <xf numFmtId="170" fontId="15" fillId="3" borderId="0" xfId="19" applyNumberFormat="1" applyFont="1" applyFill="1" applyBorder="1"/>
    <xf numFmtId="1" fontId="23" fillId="3" borderId="0" xfId="19" applyNumberFormat="1" applyFont="1" applyFill="1" applyBorder="1"/>
    <xf numFmtId="165" fontId="15" fillId="4" borderId="0" xfId="19" applyNumberFormat="1" applyFont="1" applyFill="1" applyBorder="1"/>
    <xf numFmtId="170" fontId="15" fillId="4" borderId="7" xfId="19" applyNumberFormat="1" applyFont="1" applyFill="1" applyBorder="1"/>
    <xf numFmtId="170" fontId="15" fillId="4" borderId="0" xfId="19" applyNumberFormat="1" applyFont="1" applyFill="1" applyBorder="1"/>
    <xf numFmtId="170" fontId="15" fillId="4" borderId="12" xfId="27" applyNumberFormat="1" applyFont="1" applyFill="1" applyBorder="1"/>
    <xf numFmtId="170" fontId="15" fillId="4" borderId="0" xfId="27" applyNumberFormat="1" applyFont="1" applyFill="1" applyBorder="1"/>
    <xf numFmtId="170" fontId="23" fillId="4" borderId="0" xfId="19" applyNumberFormat="1" applyFont="1" applyFill="1" applyBorder="1"/>
    <xf numFmtId="170" fontId="10" fillId="0" borderId="0" xfId="27" applyNumberFormat="1" applyFont="1" applyFill="1" applyBorder="1"/>
    <xf numFmtId="170" fontId="28" fillId="3" borderId="7" xfId="20" applyNumberFormat="1" applyFont="1" applyFill="1" applyBorder="1" applyAlignment="1">
      <alignment horizontal="left" indent="1"/>
    </xf>
    <xf numFmtId="165" fontId="10" fillId="3" borderId="7" xfId="20" applyNumberFormat="1" applyFont="1" applyFill="1" applyBorder="1" applyAlignment="1">
      <alignment horizontal="left" indent="1"/>
    </xf>
    <xf numFmtId="170" fontId="20" fillId="3" borderId="7" xfId="22" applyNumberFormat="1" applyFont="1" applyFill="1" applyBorder="1" applyAlignment="1">
      <alignment horizontal="left" indent="1"/>
    </xf>
    <xf numFmtId="170" fontId="20" fillId="3" borderId="0" xfId="8" applyNumberFormat="1" applyFont="1" applyFill="1" applyBorder="1" applyProtection="1"/>
    <xf numFmtId="170" fontId="20" fillId="3" borderId="12" xfId="8" applyNumberFormat="1" applyFont="1" applyFill="1" applyBorder="1" applyProtection="1"/>
    <xf numFmtId="170" fontId="10" fillId="3" borderId="0" xfId="8" applyNumberFormat="1" applyFont="1" applyFill="1" applyBorder="1"/>
    <xf numFmtId="9" fontId="25" fillId="3" borderId="0" xfId="19" applyNumberFormat="1" applyFont="1" applyFill="1"/>
    <xf numFmtId="170" fontId="20" fillId="3" borderId="7" xfId="8" applyNumberFormat="1" applyFont="1" applyFill="1" applyBorder="1" applyAlignment="1" applyProtection="1"/>
    <xf numFmtId="170" fontId="25" fillId="3" borderId="0" xfId="8" applyNumberFormat="1" applyFont="1" applyFill="1" applyBorder="1"/>
    <xf numFmtId="3" fontId="29" fillId="3" borderId="9" xfId="8" applyNumberFormat="1" applyFont="1" applyFill="1" applyBorder="1" applyAlignment="1" applyProtection="1"/>
    <xf numFmtId="169" fontId="15" fillId="3" borderId="11" xfId="19" applyNumberFormat="1" applyFont="1" applyFill="1" applyBorder="1"/>
    <xf numFmtId="169" fontId="15" fillId="3" borderId="10" xfId="19" applyNumberFormat="1" applyFont="1" applyFill="1" applyBorder="1"/>
    <xf numFmtId="169" fontId="37" fillId="3" borderId="10" xfId="8" applyNumberFormat="1" applyFont="1" applyFill="1" applyBorder="1"/>
    <xf numFmtId="168" fontId="20" fillId="3" borderId="7" xfId="8" applyNumberFormat="1" applyFont="1" applyFill="1" applyBorder="1" applyAlignment="1" applyProtection="1"/>
    <xf numFmtId="165" fontId="10" fillId="3" borderId="12" xfId="27" applyNumberFormat="1" applyFont="1" applyFill="1" applyBorder="1" applyAlignment="1" applyProtection="1">
      <alignment horizontal="right"/>
    </xf>
    <xf numFmtId="165" fontId="14" fillId="3" borderId="0" xfId="8" applyNumberFormat="1" applyFont="1" applyFill="1" applyBorder="1" applyProtection="1"/>
    <xf numFmtId="168" fontId="10" fillId="3" borderId="0" xfId="8" applyNumberFormat="1" applyFont="1" applyFill="1" applyBorder="1"/>
    <xf numFmtId="168" fontId="25" fillId="3" borderId="0" xfId="8" applyNumberFormat="1" applyFont="1" applyFill="1"/>
    <xf numFmtId="170" fontId="10" fillId="3" borderId="0" xfId="19" applyNumberFormat="1" applyFont="1" applyFill="1" applyBorder="1" applyAlignment="1">
      <alignment horizontal="left"/>
    </xf>
    <xf numFmtId="9" fontId="10" fillId="3" borderId="0" xfId="19" applyNumberFormat="1" applyFont="1" applyFill="1" applyBorder="1" applyAlignment="1">
      <alignment vertical="top"/>
    </xf>
    <xf numFmtId="170" fontId="38" fillId="3" borderId="0" xfId="19" applyNumberFormat="1" applyFont="1" applyFill="1" applyAlignment="1">
      <alignment vertical="top"/>
    </xf>
    <xf numFmtId="170" fontId="10" fillId="3" borderId="12" xfId="14" applyNumberFormat="1" applyFont="1" applyFill="1" applyBorder="1" applyAlignment="1">
      <alignment vertical="top"/>
    </xf>
    <xf numFmtId="170" fontId="10" fillId="3" borderId="0" xfId="14" applyNumberFormat="1" applyFont="1" applyFill="1" applyBorder="1" applyAlignment="1">
      <alignment vertical="top"/>
    </xf>
    <xf numFmtId="165" fontId="34" fillId="6" borderId="9" xfId="27" applyNumberFormat="1" applyFont="1" applyFill="1" applyBorder="1" applyAlignment="1" applyProtection="1">
      <alignment horizontal="left"/>
    </xf>
    <xf numFmtId="165" fontId="20" fillId="6" borderId="12" xfId="8" applyNumberFormat="1" applyFont="1" applyFill="1" applyBorder="1" applyAlignment="1">
      <alignment vertical="top"/>
    </xf>
    <xf numFmtId="165" fontId="20" fillId="6" borderId="0" xfId="8" applyNumberFormat="1" applyFont="1" applyFill="1" applyBorder="1" applyAlignment="1">
      <alignment vertical="top"/>
    </xf>
    <xf numFmtId="165" fontId="28" fillId="6" borderId="0" xfId="19" applyNumberFormat="1" applyFont="1" applyFill="1" applyBorder="1" applyAlignment="1">
      <alignment vertical="top"/>
    </xf>
    <xf numFmtId="169" fontId="39" fillId="6" borderId="0" xfId="19" applyNumberFormat="1" applyFont="1" applyFill="1" applyBorder="1" applyAlignment="1">
      <alignment vertical="top"/>
    </xf>
    <xf numFmtId="5" fontId="10" fillId="3" borderId="12" xfId="24" applyNumberFormat="1" applyFont="1" applyFill="1" applyBorder="1"/>
    <xf numFmtId="5" fontId="10" fillId="3" borderId="0" xfId="24" applyNumberFormat="1" applyFont="1" applyFill="1"/>
    <xf numFmtId="5" fontId="25" fillId="3" borderId="0" xfId="24" applyNumberFormat="1" applyFont="1" applyFill="1"/>
    <xf numFmtId="5" fontId="10" fillId="3" borderId="0" xfId="19" applyNumberFormat="1" applyFont="1" applyFill="1" applyBorder="1"/>
    <xf numFmtId="5" fontId="10" fillId="3" borderId="12" xfId="19" applyNumberFormat="1" applyFont="1" applyFill="1" applyBorder="1"/>
    <xf numFmtId="5" fontId="25" fillId="3" borderId="0" xfId="19" applyNumberFormat="1" applyFont="1" applyFill="1" applyBorder="1"/>
    <xf numFmtId="0" fontId="15" fillId="3" borderId="9" xfId="24" applyFont="1" applyFill="1" applyBorder="1"/>
    <xf numFmtId="0" fontId="15" fillId="3" borderId="10" xfId="24" applyFont="1" applyFill="1" applyBorder="1"/>
    <xf numFmtId="170" fontId="15" fillId="3" borderId="11" xfId="24" applyNumberFormat="1" applyFont="1" applyFill="1" applyBorder="1"/>
    <xf numFmtId="0" fontId="23" fillId="3" borderId="10" xfId="24" applyFont="1" applyFill="1" applyBorder="1"/>
    <xf numFmtId="37" fontId="14" fillId="3" borderId="0" xfId="24" applyNumberFormat="1" applyFont="1" applyFill="1"/>
    <xf numFmtId="173" fontId="10" fillId="3" borderId="7" xfId="19" applyNumberFormat="1" applyFont="1" applyFill="1" applyBorder="1"/>
    <xf numFmtId="0" fontId="10" fillId="3" borderId="0" xfId="24" applyFont="1" applyFill="1" applyBorder="1"/>
    <xf numFmtId="0" fontId="10" fillId="3" borderId="0" xfId="24" applyFont="1" applyFill="1"/>
    <xf numFmtId="169" fontId="39" fillId="3" borderId="0" xfId="19" applyNumberFormat="1" applyFont="1" applyFill="1" applyBorder="1" applyAlignment="1">
      <alignment vertical="top"/>
    </xf>
    <xf numFmtId="0" fontId="10" fillId="3" borderId="7" xfId="24" applyNumberFormat="1" applyFont="1" applyFill="1" applyBorder="1" applyAlignment="1">
      <alignment horizontal="left"/>
    </xf>
    <xf numFmtId="170" fontId="10" fillId="3" borderId="12" xfId="24" applyNumberFormat="1" applyFont="1" applyFill="1" applyBorder="1"/>
    <xf numFmtId="170" fontId="10" fillId="3" borderId="0" xfId="24" applyNumberFormat="1" applyFont="1" applyFill="1"/>
    <xf numFmtId="0" fontId="25" fillId="3" borderId="0" xfId="24" applyFont="1" applyFill="1"/>
    <xf numFmtId="0" fontId="25" fillId="3" borderId="0" xfId="24" applyFont="1" applyFill="1" applyBorder="1"/>
    <xf numFmtId="165" fontId="43" fillId="6" borderId="9" xfId="27" applyNumberFormat="1" applyFont="1" applyFill="1" applyBorder="1" applyAlignment="1" applyProtection="1">
      <alignment horizontal="left"/>
    </xf>
    <xf numFmtId="0" fontId="15" fillId="3" borderId="7" xfId="24" applyFont="1" applyFill="1" applyBorder="1"/>
    <xf numFmtId="170" fontId="15" fillId="3" borderId="12" xfId="24" applyNumberFormat="1" applyFont="1" applyFill="1" applyBorder="1"/>
    <xf numFmtId="170" fontId="15" fillId="3" borderId="0" xfId="24" applyNumberFormat="1" applyFont="1" applyFill="1"/>
    <xf numFmtId="170" fontId="14" fillId="3" borderId="12" xfId="24" applyNumberFormat="1" applyFont="1" applyFill="1" applyBorder="1"/>
    <xf numFmtId="5" fontId="20" fillId="3" borderId="7" xfId="19" applyNumberFormat="1" applyFont="1" applyFill="1" applyBorder="1" applyAlignment="1" applyProtection="1">
      <alignment horizontal="left" indent="1"/>
      <protection locked="0"/>
    </xf>
    <xf numFmtId="169" fontId="42" fillId="3" borderId="0" xfId="19" applyNumberFormat="1" applyFont="1" applyFill="1" applyBorder="1" applyAlignment="1">
      <alignment vertical="top"/>
    </xf>
    <xf numFmtId="0" fontId="10" fillId="3" borderId="7" xfId="24" applyFont="1" applyFill="1" applyBorder="1" applyAlignment="1">
      <alignment horizontal="left" indent="1"/>
    </xf>
    <xf numFmtId="166" fontId="10" fillId="3" borderId="7" xfId="19" applyNumberFormat="1" applyFont="1" applyFill="1" applyBorder="1"/>
    <xf numFmtId="165" fontId="10" fillId="3" borderId="0" xfId="8" applyNumberFormat="1" applyFont="1" applyFill="1" applyBorder="1"/>
    <xf numFmtId="170" fontId="10" fillId="3" borderId="27" xfId="27" applyNumberFormat="1" applyFont="1" applyFill="1" applyBorder="1" applyAlignment="1"/>
    <xf numFmtId="170" fontId="10" fillId="3" borderId="28" xfId="27" applyNumberFormat="1" applyFont="1" applyFill="1" applyBorder="1" applyAlignment="1"/>
    <xf numFmtId="170" fontId="25" fillId="3" borderId="28" xfId="19" applyNumberFormat="1" applyFont="1" applyFill="1" applyBorder="1" applyAlignment="1"/>
    <xf numFmtId="170" fontId="10" fillId="3" borderId="7" xfId="0" applyNumberFormat="1" applyFont="1" applyFill="1" applyBorder="1" applyAlignment="1">
      <alignment horizontal="left" indent="2"/>
    </xf>
    <xf numFmtId="170" fontId="14" fillId="3" borderId="0" xfId="12" applyNumberFormat="1" applyFont="1" applyFill="1" applyBorder="1" applyAlignment="1">
      <alignment vertical="top"/>
    </xf>
    <xf numFmtId="43" fontId="20" fillId="3" borderId="0" xfId="6" applyNumberFormat="1" applyFont="1" applyFill="1" applyBorder="1"/>
    <xf numFmtId="165" fontId="25" fillId="3" borderId="0" xfId="19" applyNumberFormat="1" applyFont="1" applyFill="1" applyBorder="1"/>
    <xf numFmtId="6" fontId="10" fillId="3" borderId="0" xfId="12" applyNumberFormat="1" applyFont="1" applyFill="1" applyBorder="1"/>
    <xf numFmtId="165" fontId="34" fillId="6" borderId="33" xfId="27" applyNumberFormat="1" applyFont="1" applyFill="1" applyBorder="1"/>
    <xf numFmtId="1" fontId="10" fillId="3" borderId="34" xfId="19" applyNumberFormat="1" applyFont="1" applyFill="1" applyBorder="1"/>
    <xf numFmtId="9" fontId="10" fillId="3" borderId="34" xfId="27" applyNumberFormat="1" applyFont="1" applyFill="1" applyBorder="1"/>
    <xf numFmtId="3" fontId="15" fillId="3" borderId="35" xfId="19" applyNumberFormat="1" applyFont="1" applyFill="1" applyBorder="1"/>
    <xf numFmtId="165" fontId="10" fillId="3" borderId="34" xfId="27" applyNumberFormat="1" applyFont="1" applyFill="1" applyBorder="1"/>
    <xf numFmtId="3" fontId="15" fillId="3" borderId="34" xfId="19" applyNumberFormat="1" applyFont="1" applyFill="1" applyBorder="1"/>
    <xf numFmtId="170" fontId="15" fillId="7" borderId="34" xfId="19" applyNumberFormat="1" applyFont="1" applyFill="1" applyBorder="1"/>
    <xf numFmtId="3" fontId="20" fillId="3" borderId="34" xfId="19" applyNumberFormat="1" applyFont="1" applyFill="1" applyBorder="1" applyAlignment="1" applyProtection="1">
      <alignment vertical="top"/>
    </xf>
    <xf numFmtId="9" fontId="10" fillId="3" borderId="34" xfId="19" applyNumberFormat="1" applyFont="1" applyFill="1" applyBorder="1"/>
    <xf numFmtId="170" fontId="15" fillId="3" borderId="36" xfId="19" applyNumberFormat="1" applyFont="1" applyFill="1" applyBorder="1"/>
    <xf numFmtId="166" fontId="10" fillId="3" borderId="37" xfId="19" applyNumberFormat="1" applyFont="1" applyFill="1" applyBorder="1"/>
    <xf numFmtId="170" fontId="10" fillId="3" borderId="38" xfId="19" applyNumberFormat="1" applyFont="1" applyFill="1" applyBorder="1"/>
    <xf numFmtId="170" fontId="10" fillId="3" borderId="34" xfId="19" applyNumberFormat="1" applyFont="1" applyFill="1" applyBorder="1"/>
    <xf numFmtId="165" fontId="10" fillId="3" borderId="34" xfId="19" applyNumberFormat="1" applyFont="1" applyFill="1" applyBorder="1"/>
    <xf numFmtId="165" fontId="36" fillId="3" borderId="39" xfId="19" applyNumberFormat="1" applyFont="1" applyFill="1" applyBorder="1"/>
    <xf numFmtId="170" fontId="10" fillId="3" borderId="34" xfId="27" applyNumberFormat="1" applyFont="1" applyFill="1" applyBorder="1"/>
    <xf numFmtId="170" fontId="10" fillId="3" borderId="40" xfId="27" applyNumberFormat="1" applyFont="1" applyFill="1" applyBorder="1" applyAlignment="1"/>
    <xf numFmtId="170" fontId="10" fillId="3" borderId="34" xfId="27" applyNumberFormat="1" applyFont="1" applyFill="1" applyBorder="1" applyAlignment="1"/>
    <xf numFmtId="170" fontId="10" fillId="3" borderId="39" xfId="19" applyNumberFormat="1" applyFont="1" applyFill="1" applyBorder="1"/>
    <xf numFmtId="166" fontId="10" fillId="3" borderId="34" xfId="19" applyNumberFormat="1" applyFont="1" applyFill="1" applyBorder="1"/>
    <xf numFmtId="165" fontId="20" fillId="3" borderId="34" xfId="27" applyNumberFormat="1" applyFont="1" applyFill="1" applyBorder="1"/>
    <xf numFmtId="169" fontId="10" fillId="3" borderId="34" xfId="19" applyNumberFormat="1" applyFont="1" applyFill="1" applyBorder="1"/>
    <xf numFmtId="172" fontId="10" fillId="3" borderId="39" xfId="8" applyNumberFormat="1" applyFont="1" applyFill="1" applyBorder="1"/>
    <xf numFmtId="43" fontId="20" fillId="3" borderId="34" xfId="8" applyNumberFormat="1" applyFont="1" applyFill="1" applyBorder="1"/>
    <xf numFmtId="170" fontId="15" fillId="4" borderId="34" xfId="27" applyNumberFormat="1" applyFont="1" applyFill="1" applyBorder="1"/>
    <xf numFmtId="170" fontId="20" fillId="3" borderId="34" xfId="8" applyNumberFormat="1" applyFont="1" applyFill="1" applyBorder="1" applyProtection="1"/>
    <xf numFmtId="169" fontId="15" fillId="3" borderId="33" xfId="19" applyNumberFormat="1" applyFont="1" applyFill="1" applyBorder="1"/>
    <xf numFmtId="165" fontId="14" fillId="3" borderId="34" xfId="8" applyNumberFormat="1" applyFont="1" applyFill="1" applyBorder="1" applyProtection="1"/>
    <xf numFmtId="170" fontId="10" fillId="3" borderId="34" xfId="14" applyNumberFormat="1" applyFont="1" applyFill="1" applyBorder="1" applyAlignment="1">
      <alignment vertical="top"/>
    </xf>
    <xf numFmtId="165" fontId="20" fillId="6" borderId="34" xfId="8" applyNumberFormat="1" applyFont="1" applyFill="1" applyBorder="1" applyAlignment="1">
      <alignment vertical="top"/>
    </xf>
    <xf numFmtId="5" fontId="10" fillId="3" borderId="34" xfId="19" applyNumberFormat="1" applyFont="1" applyFill="1" applyBorder="1"/>
    <xf numFmtId="5" fontId="10" fillId="3" borderId="34" xfId="24" applyNumberFormat="1" applyFont="1" applyFill="1" applyBorder="1"/>
    <xf numFmtId="0" fontId="15" fillId="3" borderId="33" xfId="24" applyFont="1" applyFill="1" applyBorder="1"/>
    <xf numFmtId="37" fontId="14" fillId="3" borderId="34" xfId="24" applyNumberFormat="1" applyFont="1" applyFill="1" applyBorder="1"/>
    <xf numFmtId="0" fontId="10" fillId="3" borderId="34" xfId="24" applyFont="1" applyFill="1" applyBorder="1"/>
    <xf numFmtId="170" fontId="10" fillId="3" borderId="34" xfId="24" applyNumberFormat="1" applyFont="1" applyFill="1" applyBorder="1"/>
    <xf numFmtId="170" fontId="15" fillId="3" borderId="34" xfId="24" applyNumberFormat="1" applyFont="1" applyFill="1" applyBorder="1"/>
    <xf numFmtId="0" fontId="10" fillId="3" borderId="34" xfId="19" applyFont="1" applyFill="1" applyBorder="1"/>
    <xf numFmtId="169" fontId="15" fillId="3" borderId="41" xfId="19" applyNumberFormat="1" applyFont="1" applyFill="1" applyBorder="1"/>
    <xf numFmtId="0" fontId="10" fillId="4" borderId="0" xfId="0" applyFont="1" applyFill="1" applyBorder="1"/>
    <xf numFmtId="0" fontId="10" fillId="4" borderId="12" xfId="0" applyFont="1" applyFill="1" applyBorder="1"/>
    <xf numFmtId="0" fontId="25" fillId="4" borderId="0" xfId="0" applyFont="1" applyFill="1" applyBorder="1"/>
    <xf numFmtId="170" fontId="10" fillId="3" borderId="7" xfId="0" applyNumberFormat="1" applyFont="1" applyFill="1" applyBorder="1" applyAlignment="1">
      <alignment horizontal="left" indent="1"/>
    </xf>
    <xf numFmtId="173" fontId="15" fillId="4" borderId="7" xfId="0" applyNumberFormat="1" applyFont="1" applyFill="1" applyBorder="1"/>
    <xf numFmtId="5" fontId="10" fillId="3" borderId="7" xfId="0" applyNumberFormat="1" applyFont="1" applyFill="1" applyBorder="1"/>
    <xf numFmtId="5" fontId="20" fillId="3" borderId="7" xfId="0" applyNumberFormat="1" applyFont="1" applyFill="1" applyBorder="1"/>
    <xf numFmtId="0" fontId="10" fillId="3" borderId="7" xfId="19" applyFont="1" applyFill="1" applyBorder="1" applyAlignment="1">
      <alignment horizontal="left" indent="2"/>
    </xf>
    <xf numFmtId="170" fontId="20" fillId="3" borderId="0" xfId="19" applyNumberFormat="1" applyFont="1" applyFill="1" applyBorder="1" applyAlignment="1">
      <alignment vertical="top"/>
    </xf>
    <xf numFmtId="165" fontId="20" fillId="3" borderId="0" xfId="19" applyNumberFormat="1" applyFont="1" applyFill="1" applyBorder="1"/>
    <xf numFmtId="165" fontId="10" fillId="3" borderId="7" xfId="19" applyNumberFormat="1" applyFont="1" applyFill="1" applyBorder="1" applyAlignment="1">
      <alignment horizontal="left" indent="1"/>
    </xf>
    <xf numFmtId="165" fontId="15" fillId="3" borderId="0" xfId="19" applyNumberFormat="1" applyFont="1" applyFill="1" applyBorder="1"/>
    <xf numFmtId="165" fontId="23" fillId="3" borderId="0" xfId="19" applyNumberFormat="1" applyFont="1" applyFill="1" applyBorder="1"/>
    <xf numFmtId="170" fontId="27" fillId="3" borderId="7" xfId="19" applyNumberFormat="1" applyFont="1" applyFill="1" applyBorder="1"/>
    <xf numFmtId="170" fontId="27" fillId="3" borderId="0" xfId="19" applyNumberFormat="1" applyFont="1" applyFill="1" applyBorder="1"/>
    <xf numFmtId="170" fontId="27" fillId="3" borderId="34" xfId="19" applyNumberFormat="1" applyFont="1" applyFill="1" applyBorder="1"/>
    <xf numFmtId="170" fontId="27" fillId="3" borderId="12" xfId="14" applyNumberFormat="1" applyFont="1" applyFill="1" applyBorder="1"/>
    <xf numFmtId="170" fontId="27" fillId="3" borderId="0" xfId="19" applyNumberFormat="1" applyFont="1" applyFill="1" applyBorder="1" applyAlignment="1">
      <alignment vertical="top"/>
    </xf>
    <xf numFmtId="170" fontId="38" fillId="3" borderId="0" xfId="19" applyNumberFormat="1" applyFont="1" applyFill="1"/>
    <xf numFmtId="170" fontId="10" fillId="3" borderId="0" xfId="19" applyNumberFormat="1" applyFont="1" applyFill="1" applyBorder="1" applyAlignment="1" applyProtection="1">
      <alignment vertical="top"/>
    </xf>
    <xf numFmtId="9" fontId="10" fillId="3" borderId="7" xfId="0" applyNumberFormat="1" applyFont="1" applyFill="1" applyBorder="1"/>
    <xf numFmtId="9" fontId="10" fillId="3" borderId="12" xfId="8" applyNumberFormat="1" applyFont="1" applyFill="1" applyBorder="1"/>
    <xf numFmtId="9" fontId="14" fillId="3" borderId="0" xfId="19" applyNumberFormat="1" applyFont="1" applyFill="1" applyBorder="1"/>
    <xf numFmtId="3" fontId="10" fillId="3" borderId="7" xfId="19" applyNumberFormat="1" applyFont="1" applyFill="1" applyBorder="1"/>
    <xf numFmtId="3" fontId="10" fillId="3" borderId="0" xfId="19" applyNumberFormat="1" applyFont="1" applyFill="1" applyBorder="1"/>
    <xf numFmtId="3" fontId="10" fillId="3" borderId="34" xfId="19" applyNumberFormat="1" applyFont="1" applyFill="1" applyBorder="1"/>
    <xf numFmtId="3" fontId="10" fillId="3" borderId="12" xfId="8" applyNumberFormat="1" applyFont="1" applyFill="1" applyBorder="1"/>
    <xf numFmtId="3" fontId="20" fillId="3" borderId="0" xfId="0" applyNumberFormat="1" applyFont="1" applyFill="1" applyBorder="1"/>
    <xf numFmtId="9" fontId="20" fillId="3" borderId="0" xfId="27" applyNumberFormat="1" applyFont="1" applyFill="1" applyBorder="1"/>
    <xf numFmtId="9" fontId="20" fillId="3" borderId="34" xfId="27" applyNumberFormat="1" applyFont="1" applyFill="1" applyBorder="1"/>
    <xf numFmtId="9" fontId="20" fillId="3" borderId="12" xfId="27" applyNumberFormat="1" applyFont="1" applyFill="1" applyBorder="1"/>
    <xf numFmtId="9" fontId="20" fillId="0" borderId="0" xfId="27" applyNumberFormat="1" applyFont="1" applyFill="1" applyBorder="1" applyAlignment="1" applyProtection="1">
      <alignment vertical="top"/>
    </xf>
    <xf numFmtId="9" fontId="20" fillId="0" borderId="12" xfId="27" applyNumberFormat="1" applyFont="1" applyFill="1" applyBorder="1" applyAlignment="1" applyProtection="1">
      <alignment vertical="top"/>
    </xf>
    <xf numFmtId="9" fontId="20" fillId="3" borderId="0" xfId="19" applyNumberFormat="1" applyFont="1" applyFill="1" applyBorder="1"/>
    <xf numFmtId="165" fontId="20" fillId="3" borderId="0" xfId="6" applyNumberFormat="1" applyFont="1" applyFill="1" applyBorder="1" applyProtection="1"/>
    <xf numFmtId="165" fontId="20" fillId="3" borderId="12" xfId="27" applyNumberFormat="1" applyFont="1" applyFill="1" applyBorder="1" applyAlignment="1" applyProtection="1">
      <alignment horizontal="right"/>
    </xf>
    <xf numFmtId="165" fontId="10" fillId="3" borderId="42" xfId="27" applyNumberFormat="1" applyFont="1" applyFill="1" applyBorder="1"/>
    <xf numFmtId="3" fontId="15" fillId="3" borderId="43" xfId="19" applyNumberFormat="1" applyFont="1" applyFill="1" applyBorder="1"/>
    <xf numFmtId="165" fontId="10" fillId="3" borderId="43" xfId="27" applyNumberFormat="1" applyFont="1" applyFill="1" applyBorder="1"/>
    <xf numFmtId="165" fontId="20" fillId="3" borderId="7" xfId="19" applyNumberFormat="1" applyFont="1" applyFill="1" applyBorder="1" applyAlignment="1" applyProtection="1">
      <alignment horizontal="left" indent="2"/>
      <protection locked="0"/>
    </xf>
    <xf numFmtId="165" fontId="20" fillId="3" borderId="0" xfId="8" applyNumberFormat="1" applyFont="1" applyFill="1" applyBorder="1" applyAlignment="1">
      <alignment vertical="top"/>
    </xf>
    <xf numFmtId="170" fontId="29" fillId="3" borderId="7" xfId="19" applyNumberFormat="1" applyFont="1" applyFill="1" applyBorder="1" applyAlignment="1" applyProtection="1">
      <alignment horizontal="left"/>
    </xf>
    <xf numFmtId="170" fontId="20" fillId="3" borderId="34" xfId="19" applyNumberFormat="1" applyFont="1" applyFill="1" applyBorder="1" applyAlignment="1">
      <alignment vertical="top"/>
    </xf>
    <xf numFmtId="170" fontId="39" fillId="3" borderId="0" xfId="19" applyNumberFormat="1" applyFont="1" applyFill="1" applyBorder="1" applyAlignment="1">
      <alignment vertical="top"/>
    </xf>
    <xf numFmtId="165" fontId="20" fillId="3" borderId="34" xfId="8" applyNumberFormat="1" applyFont="1" applyFill="1" applyBorder="1" applyAlignment="1">
      <alignment vertical="top"/>
    </xf>
    <xf numFmtId="165" fontId="20" fillId="3" borderId="12" xfId="8" applyNumberFormat="1" applyFont="1" applyFill="1" applyBorder="1" applyAlignment="1">
      <alignment vertical="top"/>
    </xf>
    <xf numFmtId="165" fontId="14" fillId="3" borderId="12" xfId="8" applyNumberFormat="1" applyFont="1" applyFill="1" applyBorder="1" applyAlignment="1">
      <alignment vertical="top"/>
    </xf>
    <xf numFmtId="165" fontId="30" fillId="3" borderId="0" xfId="19" applyNumberFormat="1" applyFont="1" applyFill="1" applyBorder="1" applyAlignment="1">
      <alignment vertical="top"/>
    </xf>
    <xf numFmtId="170" fontId="20" fillId="3" borderId="7" xfId="19" applyNumberFormat="1" applyFont="1" applyFill="1" applyBorder="1" applyAlignment="1" applyProtection="1">
      <alignment horizontal="left" indent="1"/>
      <protection locked="0"/>
    </xf>
    <xf numFmtId="170" fontId="20" fillId="3" borderId="0" xfId="8" applyNumberFormat="1" applyFont="1" applyFill="1" applyBorder="1" applyAlignment="1">
      <alignment vertical="top"/>
    </xf>
    <xf numFmtId="170" fontId="20" fillId="3" borderId="34" xfId="8" applyNumberFormat="1" applyFont="1" applyFill="1" applyBorder="1" applyAlignment="1">
      <alignment vertical="top"/>
    </xf>
    <xf numFmtId="170" fontId="20" fillId="3" borderId="12" xfId="8" applyNumberFormat="1" applyFont="1" applyFill="1" applyBorder="1" applyAlignment="1">
      <alignment vertical="top"/>
    </xf>
    <xf numFmtId="170" fontId="28" fillId="3" borderId="0" xfId="19" applyNumberFormat="1" applyFont="1" applyFill="1" applyBorder="1" applyAlignment="1">
      <alignment vertical="top"/>
    </xf>
    <xf numFmtId="170" fontId="42" fillId="3" borderId="0" xfId="19" applyNumberFormat="1" applyFont="1" applyFill="1" applyBorder="1" applyAlignment="1">
      <alignment vertical="top"/>
    </xf>
    <xf numFmtId="5" fontId="29" fillId="3" borderId="7" xfId="19" applyNumberFormat="1" applyFont="1" applyFill="1" applyBorder="1" applyAlignment="1" applyProtection="1">
      <alignment horizontal="left"/>
    </xf>
    <xf numFmtId="0" fontId="10" fillId="3" borderId="7" xfId="19" applyFont="1" applyFill="1" applyBorder="1" applyAlignment="1">
      <alignment horizontal="left" vertical="top" indent="1"/>
    </xf>
    <xf numFmtId="165" fontId="28" fillId="3" borderId="0" xfId="19" applyNumberFormat="1" applyFont="1" applyFill="1" applyBorder="1" applyAlignment="1">
      <alignment vertical="top"/>
    </xf>
    <xf numFmtId="9" fontId="39" fillId="3" borderId="0" xfId="19" applyNumberFormat="1" applyFont="1" applyFill="1" applyBorder="1" applyAlignment="1">
      <alignment vertical="top"/>
    </xf>
    <xf numFmtId="5" fontId="20" fillId="3" borderId="7" xfId="19" applyNumberFormat="1" applyFont="1" applyFill="1" applyBorder="1" applyAlignment="1" applyProtection="1">
      <alignment horizontal="left" indent="2"/>
      <protection locked="0"/>
    </xf>
    <xf numFmtId="165" fontId="14" fillId="3" borderId="12" xfId="27" applyNumberFormat="1" applyFont="1" applyFill="1" applyBorder="1" applyProtection="1"/>
    <xf numFmtId="170" fontId="10" fillId="3" borderId="0" xfId="0" applyNumberFormat="1" applyFont="1" applyFill="1" applyBorder="1" applyAlignment="1">
      <alignment vertical="top"/>
    </xf>
    <xf numFmtId="170" fontId="11" fillId="3" borderId="0" xfId="0" applyNumberFormat="1" applyFont="1" applyFill="1" applyBorder="1" applyAlignment="1">
      <alignment vertical="top"/>
    </xf>
    <xf numFmtId="170" fontId="11" fillId="3" borderId="34" xfId="0" applyNumberFormat="1" applyFont="1" applyFill="1" applyBorder="1" applyAlignment="1">
      <alignment vertical="top"/>
    </xf>
    <xf numFmtId="170" fontId="21" fillId="3" borderId="0" xfId="0" applyNumberFormat="1" applyFont="1" applyFill="1" applyBorder="1" applyAlignment="1">
      <alignment vertical="top"/>
    </xf>
    <xf numFmtId="170" fontId="11" fillId="3" borderId="0" xfId="19" applyNumberFormat="1" applyFont="1" applyFill="1" applyBorder="1"/>
    <xf numFmtId="170" fontId="35" fillId="3" borderId="0" xfId="19" applyNumberFormat="1" applyFont="1" applyFill="1" applyBorder="1"/>
    <xf numFmtId="170" fontId="35" fillId="3" borderId="0" xfId="19" applyNumberFormat="1" applyFont="1" applyFill="1" applyBorder="1" applyAlignment="1">
      <alignment horizontal="left"/>
    </xf>
    <xf numFmtId="170" fontId="10" fillId="3" borderId="34" xfId="0" applyNumberFormat="1" applyFont="1" applyFill="1" applyBorder="1" applyAlignment="1">
      <alignment vertical="top"/>
    </xf>
    <xf numFmtId="169" fontId="20" fillId="3" borderId="7" xfId="19" applyNumberFormat="1" applyFont="1" applyFill="1" applyBorder="1"/>
    <xf numFmtId="169" fontId="20" fillId="3" borderId="0" xfId="19" applyNumberFormat="1" applyFont="1" applyFill="1" applyBorder="1"/>
    <xf numFmtId="169" fontId="20" fillId="3" borderId="34" xfId="19" applyNumberFormat="1" applyFont="1" applyFill="1" applyBorder="1"/>
    <xf numFmtId="169" fontId="10" fillId="3" borderId="12" xfId="19" applyNumberFormat="1" applyFont="1" applyFill="1" applyBorder="1"/>
    <xf numFmtId="169" fontId="35" fillId="3" borderId="0" xfId="19" applyNumberFormat="1" applyFont="1" applyFill="1" applyBorder="1"/>
    <xf numFmtId="169" fontId="26" fillId="3" borderId="0" xfId="19" applyNumberFormat="1" applyFont="1" applyFill="1" applyBorder="1"/>
    <xf numFmtId="9" fontId="35" fillId="3" borderId="0" xfId="19" applyNumberFormat="1" applyFont="1" applyFill="1" applyBorder="1"/>
    <xf numFmtId="9" fontId="35" fillId="3" borderId="0" xfId="19" applyNumberFormat="1" applyFont="1" applyFill="1" applyBorder="1" applyAlignment="1">
      <alignment horizontal="left"/>
    </xf>
    <xf numFmtId="7" fontId="15" fillId="3" borderId="7" xfId="19" applyNumberFormat="1" applyFont="1" applyFill="1" applyBorder="1"/>
    <xf numFmtId="169" fontId="15" fillId="3" borderId="0" xfId="19" applyNumberFormat="1" applyFont="1" applyFill="1" applyBorder="1"/>
    <xf numFmtId="169" fontId="15" fillId="3" borderId="34" xfId="19" applyNumberFormat="1" applyFont="1" applyFill="1" applyBorder="1"/>
    <xf numFmtId="169" fontId="15" fillId="3" borderId="12" xfId="19" applyNumberFormat="1" applyFont="1" applyFill="1" applyBorder="1"/>
    <xf numFmtId="169" fontId="29" fillId="3" borderId="12" xfId="19" applyNumberFormat="1" applyFont="1" applyFill="1" applyBorder="1"/>
    <xf numFmtId="169" fontId="29" fillId="3" borderId="0" xfId="19" applyNumberFormat="1" applyFont="1" applyFill="1" applyBorder="1"/>
    <xf numFmtId="7" fontId="23" fillId="3" borderId="0" xfId="19" applyNumberFormat="1" applyFont="1" applyFill="1"/>
    <xf numFmtId="9" fontId="10" fillId="3" borderId="7" xfId="19" applyNumberFormat="1" applyFont="1" applyFill="1" applyBorder="1" applyAlignment="1">
      <alignment horizontal="left" vertical="top" indent="1"/>
    </xf>
    <xf numFmtId="9" fontId="10" fillId="3" borderId="0" xfId="27" applyNumberFormat="1" applyFont="1" applyFill="1" applyBorder="1" applyAlignment="1">
      <alignment vertical="top"/>
    </xf>
    <xf numFmtId="9" fontId="10" fillId="3" borderId="34" xfId="27" applyNumberFormat="1" applyFont="1" applyFill="1" applyBorder="1" applyAlignment="1">
      <alignment vertical="top"/>
    </xf>
    <xf numFmtId="9" fontId="10" fillId="3" borderId="12" xfId="14" applyNumberFormat="1" applyFont="1" applyFill="1" applyBorder="1" applyAlignment="1">
      <alignment vertical="top"/>
    </xf>
    <xf numFmtId="9" fontId="10" fillId="3" borderId="12" xfId="27" applyNumberFormat="1" applyFont="1" applyFill="1" applyBorder="1" applyAlignment="1">
      <alignment vertical="top"/>
    </xf>
    <xf numFmtId="0" fontId="10" fillId="3" borderId="0" xfId="19" applyFont="1" applyFill="1" applyBorder="1" applyAlignment="1">
      <alignment vertical="top"/>
    </xf>
    <xf numFmtId="170" fontId="27" fillId="3" borderId="7" xfId="19" applyNumberFormat="1" applyFont="1" applyFill="1" applyBorder="1" applyAlignment="1">
      <alignment vertical="top"/>
    </xf>
    <xf numFmtId="170" fontId="27" fillId="3" borderId="34" xfId="19" applyNumberFormat="1" applyFont="1" applyFill="1" applyBorder="1" applyAlignment="1">
      <alignment vertical="top"/>
    </xf>
    <xf numFmtId="170" fontId="27" fillId="3" borderId="12" xfId="19" applyNumberFormat="1" applyFont="1" applyFill="1" applyBorder="1" applyAlignment="1">
      <alignment vertical="top"/>
    </xf>
    <xf numFmtId="170" fontId="27" fillId="3" borderId="26" xfId="14" applyNumberFormat="1" applyFont="1" applyFill="1" applyBorder="1" applyAlignment="1">
      <alignment vertical="top"/>
    </xf>
    <xf numFmtId="170" fontId="27" fillId="3" borderId="44" xfId="14" applyNumberFormat="1" applyFont="1" applyFill="1" applyBorder="1" applyAlignment="1">
      <alignment vertical="top"/>
    </xf>
    <xf numFmtId="170" fontId="27" fillId="3" borderId="45" xfId="14" applyNumberFormat="1" applyFont="1" applyFill="1" applyBorder="1" applyAlignment="1">
      <alignment vertical="top"/>
    </xf>
    <xf numFmtId="170" fontId="10" fillId="3" borderId="7" xfId="19" applyNumberFormat="1" applyFont="1" applyFill="1" applyBorder="1" applyAlignment="1">
      <alignment horizontal="left" vertical="top" indent="1"/>
    </xf>
    <xf numFmtId="170" fontId="25" fillId="3" borderId="0" xfId="19" applyNumberFormat="1" applyFont="1" applyFill="1" applyAlignment="1">
      <alignment vertical="top"/>
    </xf>
    <xf numFmtId="9" fontId="14" fillId="3" borderId="0" xfId="19" applyNumberFormat="1" applyFont="1" applyFill="1" applyBorder="1" applyAlignment="1">
      <alignment vertical="top"/>
    </xf>
    <xf numFmtId="9" fontId="25" fillId="3" borderId="0" xfId="19" applyNumberFormat="1" applyFont="1" applyFill="1" applyAlignment="1">
      <alignment vertical="top"/>
    </xf>
    <xf numFmtId="170" fontId="20" fillId="3" borderId="7" xfId="19" applyNumberFormat="1" applyFont="1" applyFill="1" applyBorder="1" applyAlignment="1" applyProtection="1"/>
    <xf numFmtId="170" fontId="20" fillId="3" borderId="0" xfId="19" applyNumberFormat="1" applyFont="1" applyFill="1" applyBorder="1" applyProtection="1"/>
    <xf numFmtId="170" fontId="20" fillId="3" borderId="34" xfId="19" applyNumberFormat="1" applyFont="1" applyFill="1" applyBorder="1" applyProtection="1"/>
    <xf numFmtId="170" fontId="20" fillId="3" borderId="12" xfId="19" applyNumberFormat="1" applyFont="1" applyFill="1" applyBorder="1" applyProtection="1"/>
    <xf numFmtId="170" fontId="15" fillId="3" borderId="0" xfId="27" applyNumberFormat="1" applyFont="1" applyFill="1" applyBorder="1"/>
    <xf numFmtId="170" fontId="25" fillId="3" borderId="0" xfId="19" applyNumberFormat="1" applyFont="1" applyFill="1"/>
    <xf numFmtId="170" fontId="20" fillId="3" borderId="7" xfId="19" applyNumberFormat="1" applyFont="1" applyFill="1" applyBorder="1" applyAlignment="1" applyProtection="1">
      <alignment horizontal="left" indent="1"/>
    </xf>
    <xf numFmtId="170" fontId="23" fillId="3" borderId="0" xfId="19" applyNumberFormat="1" applyFont="1" applyFill="1" applyBorder="1"/>
    <xf numFmtId="170" fontId="15" fillId="3" borderId="7" xfId="19" applyNumberFormat="1" applyFont="1" applyFill="1" applyBorder="1"/>
    <xf numFmtId="170" fontId="15" fillId="3" borderId="34" xfId="19" applyNumberFormat="1" applyFont="1" applyFill="1" applyBorder="1"/>
    <xf numFmtId="170" fontId="15" fillId="3" borderId="12" xfId="19" applyNumberFormat="1" applyFont="1" applyFill="1" applyBorder="1"/>
    <xf numFmtId="165" fontId="20" fillId="3" borderId="7" xfId="27" applyNumberFormat="1" applyFont="1" applyFill="1" applyBorder="1" applyAlignment="1" applyProtection="1">
      <alignment horizontal="left"/>
    </xf>
    <xf numFmtId="170" fontId="29" fillId="3" borderId="7" xfId="27" applyNumberFormat="1" applyFont="1" applyFill="1" applyBorder="1" applyAlignment="1" applyProtection="1">
      <alignment horizontal="left"/>
    </xf>
    <xf numFmtId="170" fontId="15" fillId="3" borderId="12" xfId="8" applyNumberFormat="1" applyFont="1" applyFill="1" applyBorder="1"/>
    <xf numFmtId="170" fontId="28" fillId="3" borderId="0" xfId="27" applyNumberFormat="1" applyFont="1" applyFill="1" applyBorder="1"/>
    <xf numFmtId="170" fontId="28" fillId="3" borderId="34" xfId="27" applyNumberFormat="1" applyFont="1" applyFill="1" applyBorder="1"/>
    <xf numFmtId="170" fontId="28" fillId="3" borderId="12" xfId="8" applyNumberFormat="1" applyFont="1" applyFill="1" applyBorder="1"/>
    <xf numFmtId="170" fontId="28" fillId="3" borderId="0" xfId="19" applyNumberFormat="1" applyFont="1" applyFill="1" applyBorder="1"/>
    <xf numFmtId="170" fontId="39" fillId="3" borderId="0" xfId="19" applyNumberFormat="1" applyFont="1" applyFill="1" applyBorder="1"/>
    <xf numFmtId="165" fontId="20" fillId="3" borderId="12" xfId="27" applyNumberFormat="1" applyFont="1" applyFill="1" applyBorder="1" applyProtection="1"/>
    <xf numFmtId="165" fontId="14" fillId="3" borderId="0" xfId="8" applyNumberFormat="1" applyFont="1" applyFill="1" applyBorder="1" applyProtection="1">
      <protection locked="0"/>
    </xf>
    <xf numFmtId="170" fontId="20" fillId="3" borderId="7" xfId="8" applyNumberFormat="1" applyFont="1" applyFill="1" applyBorder="1" applyAlignment="1">
      <alignment horizontal="left" indent="1"/>
    </xf>
    <xf numFmtId="170" fontId="29" fillId="3" borderId="7" xfId="8" applyNumberFormat="1" applyFont="1" applyFill="1" applyBorder="1" applyAlignment="1">
      <alignment horizontal="left"/>
    </xf>
    <xf numFmtId="170" fontId="12" fillId="3" borderId="7" xfId="8" applyNumberFormat="1" applyFont="1" applyFill="1" applyBorder="1" applyAlignment="1">
      <alignment horizontal="left"/>
    </xf>
    <xf numFmtId="3" fontId="20" fillId="3" borderId="0" xfId="6" applyNumberFormat="1" applyFont="1" applyFill="1" applyBorder="1" applyAlignment="1">
      <alignment vertical="top"/>
    </xf>
    <xf numFmtId="9" fontId="20" fillId="3" borderId="7" xfId="0" applyNumberFormat="1" applyFont="1" applyFill="1" applyBorder="1" applyAlignment="1" applyProtection="1">
      <alignment horizontal="left"/>
    </xf>
    <xf numFmtId="9" fontId="20" fillId="3" borderId="0" xfId="27" applyNumberFormat="1" applyFont="1" applyFill="1" applyBorder="1" applyProtection="1"/>
    <xf numFmtId="9" fontId="20" fillId="3" borderId="34" xfId="27" applyNumberFormat="1" applyFont="1" applyFill="1" applyBorder="1" applyProtection="1"/>
    <xf numFmtId="9" fontId="20" fillId="3" borderId="12" xfId="27" applyNumberFormat="1" applyFont="1" applyFill="1" applyBorder="1" applyProtection="1"/>
    <xf numFmtId="5" fontId="20" fillId="3" borderId="0" xfId="8" applyNumberFormat="1" applyFont="1" applyFill="1" applyBorder="1" applyAlignment="1">
      <alignment vertical="top"/>
    </xf>
    <xf numFmtId="165" fontId="14" fillId="3" borderId="0" xfId="19" applyNumberFormat="1" applyFont="1" applyFill="1" applyBorder="1" applyAlignment="1" applyProtection="1">
      <alignment vertical="top"/>
    </xf>
    <xf numFmtId="175" fontId="10" fillId="3" borderId="0" xfId="14" applyNumberFormat="1" applyFont="1" applyFill="1" applyBorder="1" applyAlignment="1">
      <alignment vertical="top"/>
    </xf>
    <xf numFmtId="165" fontId="10" fillId="3" borderId="0" xfId="19" applyNumberFormat="1" applyFont="1" applyFill="1" applyBorder="1" applyAlignment="1">
      <alignment vertical="top"/>
    </xf>
    <xf numFmtId="170" fontId="14" fillId="3" borderId="0" xfId="27" applyNumberFormat="1" applyFont="1" applyFill="1" applyBorder="1" applyAlignment="1"/>
    <xf numFmtId="165" fontId="10" fillId="3" borderId="0" xfId="27" applyNumberFormat="1" applyFont="1" applyFill="1" applyBorder="1" applyAlignment="1" applyProtection="1">
      <alignment vertical="top"/>
    </xf>
    <xf numFmtId="0" fontId="25" fillId="3" borderId="0" xfId="19" applyFont="1" applyFill="1" applyBorder="1" applyAlignment="1">
      <alignment vertical="top"/>
    </xf>
    <xf numFmtId="165" fontId="36" fillId="3" borderId="24" xfId="19" applyNumberFormat="1" applyFont="1" applyFill="1" applyBorder="1" applyAlignment="1" applyProtection="1">
      <alignment vertical="top"/>
    </xf>
    <xf numFmtId="170" fontId="10" fillId="3" borderId="34" xfId="19" applyNumberFormat="1" applyFont="1" applyFill="1" applyBorder="1" applyAlignment="1" applyProtection="1">
      <alignment vertical="top"/>
    </xf>
    <xf numFmtId="170" fontId="25" fillId="3" borderId="0" xfId="19" applyNumberFormat="1" applyFont="1" applyFill="1" applyBorder="1" applyAlignment="1" applyProtection="1">
      <alignment vertical="top"/>
    </xf>
    <xf numFmtId="170" fontId="10" fillId="3" borderId="0" xfId="12" applyNumberFormat="1" applyFont="1" applyFill="1" applyBorder="1" applyAlignment="1">
      <alignment vertical="top"/>
    </xf>
    <xf numFmtId="170" fontId="10" fillId="3" borderId="7" xfId="0" applyNumberFormat="1" applyFont="1" applyFill="1" applyBorder="1" applyAlignment="1">
      <alignment horizontal="left" vertical="top" indent="2"/>
    </xf>
    <xf numFmtId="2" fontId="20" fillId="3" borderId="7" xfId="19" applyNumberFormat="1" applyFont="1" applyFill="1" applyBorder="1" applyAlignment="1" applyProtection="1">
      <alignment horizontal="left" vertical="top" indent="2"/>
    </xf>
    <xf numFmtId="2" fontId="20" fillId="3" borderId="0" xfId="19" applyNumberFormat="1" applyFont="1" applyFill="1" applyBorder="1" applyAlignment="1" applyProtection="1">
      <alignment vertical="top"/>
    </xf>
    <xf numFmtId="2" fontId="20" fillId="3" borderId="34" xfId="19" applyNumberFormat="1" applyFont="1" applyFill="1" applyBorder="1" applyAlignment="1" applyProtection="1">
      <alignment vertical="top"/>
    </xf>
    <xf numFmtId="2" fontId="20" fillId="3" borderId="12" xfId="19" applyNumberFormat="1" applyFont="1" applyFill="1" applyBorder="1" applyAlignment="1" applyProtection="1">
      <alignment vertical="top"/>
    </xf>
    <xf numFmtId="2" fontId="20" fillId="3" borderId="0" xfId="19" applyNumberFormat="1" applyFont="1" applyFill="1" applyBorder="1" applyAlignment="1">
      <alignment vertical="top"/>
    </xf>
    <xf numFmtId="2" fontId="26" fillId="3" borderId="0" xfId="19" applyNumberFormat="1" applyFont="1" applyFill="1" applyBorder="1" applyAlignment="1">
      <alignment vertical="top"/>
    </xf>
    <xf numFmtId="170" fontId="10" fillId="3" borderId="46" xfId="0" applyNumberFormat="1" applyFont="1" applyFill="1" applyBorder="1" applyAlignment="1">
      <alignment horizontal="left" vertical="top" indent="1"/>
    </xf>
    <xf numFmtId="170" fontId="10" fillId="3" borderId="28" xfId="14" applyNumberFormat="1" applyFont="1" applyFill="1" applyBorder="1" applyAlignment="1">
      <alignment vertical="top"/>
    </xf>
    <xf numFmtId="2" fontId="20" fillId="3" borderId="7" xfId="0" applyNumberFormat="1" applyFont="1" applyFill="1" applyBorder="1" applyAlignment="1" applyProtection="1">
      <alignment horizontal="left" vertical="top" indent="2"/>
    </xf>
    <xf numFmtId="170" fontId="14" fillId="3" borderId="0" xfId="14" applyNumberFormat="1" applyFont="1" applyFill="1" applyBorder="1" applyAlignment="1">
      <alignment vertical="top"/>
    </xf>
    <xf numFmtId="9" fontId="20" fillId="3" borderId="0" xfId="27" applyNumberFormat="1" applyFont="1" applyFill="1" applyBorder="1" applyAlignment="1" applyProtection="1">
      <alignment vertical="top"/>
    </xf>
    <xf numFmtId="9" fontId="10" fillId="3" borderId="23" xfId="19" applyNumberFormat="1" applyFont="1" applyFill="1" applyBorder="1" applyAlignment="1"/>
    <xf numFmtId="169" fontId="10" fillId="3" borderId="24" xfId="19" applyNumberFormat="1" applyFont="1" applyFill="1" applyBorder="1"/>
    <xf numFmtId="169" fontId="10" fillId="3" borderId="39" xfId="19" applyNumberFormat="1" applyFont="1" applyFill="1" applyBorder="1"/>
    <xf numFmtId="169" fontId="10" fillId="3" borderId="25" xfId="19" applyNumberFormat="1" applyFont="1" applyFill="1" applyBorder="1"/>
    <xf numFmtId="9" fontId="10" fillId="3" borderId="24" xfId="19" applyNumberFormat="1" applyFont="1" applyFill="1" applyBorder="1"/>
    <xf numFmtId="9" fontId="25" fillId="3" borderId="24" xfId="19" applyNumberFormat="1" applyFont="1" applyFill="1" applyBorder="1"/>
    <xf numFmtId="169" fontId="10" fillId="3" borderId="7" xfId="19" applyNumberFormat="1" applyFont="1" applyFill="1" applyBorder="1" applyAlignment="1">
      <alignment horizontal="left" vertical="top" indent="1"/>
    </xf>
    <xf numFmtId="169" fontId="10" fillId="3" borderId="34" xfId="19" applyNumberFormat="1" applyFont="1" applyFill="1" applyBorder="1" applyAlignment="1">
      <alignment vertical="top"/>
    </xf>
    <xf numFmtId="169" fontId="10" fillId="3" borderId="12" xfId="19" applyNumberFormat="1" applyFont="1" applyFill="1" applyBorder="1" applyAlignment="1">
      <alignment vertical="top"/>
    </xf>
    <xf numFmtId="169" fontId="14" fillId="3" borderId="0" xfId="19" applyNumberFormat="1" applyFont="1" applyFill="1" applyBorder="1" applyAlignment="1">
      <alignment vertical="top"/>
    </xf>
    <xf numFmtId="0" fontId="14" fillId="3" borderId="0" xfId="19" applyFont="1" applyFill="1" applyBorder="1" applyAlignment="1">
      <alignment vertical="top"/>
    </xf>
    <xf numFmtId="0" fontId="25" fillId="3" borderId="0" xfId="19" applyFont="1" applyFill="1" applyAlignment="1">
      <alignment vertical="top"/>
    </xf>
    <xf numFmtId="9" fontId="10" fillId="3" borderId="7" xfId="19" applyNumberFormat="1" applyFont="1" applyFill="1" applyBorder="1" applyAlignment="1">
      <alignment horizontal="left" indent="2"/>
    </xf>
    <xf numFmtId="169" fontId="10" fillId="3" borderId="26" xfId="19" applyNumberFormat="1" applyFont="1" applyFill="1" applyBorder="1"/>
    <xf numFmtId="0" fontId="10" fillId="3" borderId="7" xfId="19" applyFont="1" applyFill="1" applyBorder="1" applyAlignment="1">
      <alignment horizontal="left" vertical="top" indent="2"/>
    </xf>
    <xf numFmtId="9" fontId="15" fillId="3" borderId="7" xfId="0" applyNumberFormat="1" applyFont="1" applyFill="1" applyBorder="1"/>
    <xf numFmtId="9" fontId="15" fillId="3" borderId="0" xfId="0" applyNumberFormat="1" applyFont="1" applyFill="1" applyBorder="1"/>
    <xf numFmtId="9" fontId="15" fillId="3" borderId="12" xfId="0" applyNumberFormat="1" applyFont="1" applyFill="1" applyBorder="1"/>
    <xf numFmtId="166" fontId="20" fillId="3" borderId="0" xfId="27" applyNumberFormat="1" applyFont="1" applyFill="1" applyBorder="1"/>
    <xf numFmtId="166" fontId="20" fillId="3" borderId="12" xfId="27" applyNumberFormat="1" applyFont="1" applyFill="1" applyBorder="1"/>
    <xf numFmtId="166" fontId="52" fillId="3" borderId="0" xfId="0" applyNumberFormat="1" applyFont="1" applyFill="1" applyBorder="1"/>
    <xf numFmtId="166" fontId="20" fillId="3" borderId="0" xfId="0" applyNumberFormat="1" applyFont="1" applyFill="1" applyBorder="1"/>
    <xf numFmtId="166" fontId="52" fillId="3" borderId="0" xfId="19" applyNumberFormat="1" applyFont="1" applyFill="1" applyBorder="1"/>
    <xf numFmtId="166" fontId="10" fillId="3" borderId="12" xfId="0" applyNumberFormat="1" applyFont="1" applyFill="1" applyBorder="1"/>
    <xf numFmtId="166" fontId="10" fillId="3" borderId="0" xfId="0" applyNumberFormat="1" applyFont="1" applyFill="1" applyBorder="1"/>
    <xf numFmtId="166" fontId="25" fillId="3" borderId="0" xfId="0" applyNumberFormat="1" applyFont="1" applyFill="1" applyBorder="1"/>
    <xf numFmtId="9" fontId="27" fillId="3" borderId="7" xfId="0" applyNumberFormat="1" applyFont="1" applyFill="1" applyBorder="1"/>
    <xf numFmtId="9" fontId="27" fillId="3" borderId="0" xfId="0" applyNumberFormat="1" applyFont="1" applyFill="1" applyBorder="1"/>
    <xf numFmtId="9" fontId="27" fillId="3" borderId="12" xfId="27" applyNumberFormat="1" applyFont="1" applyFill="1" applyBorder="1"/>
    <xf numFmtId="9" fontId="27" fillId="3" borderId="0" xfId="27" applyNumberFormat="1" applyFont="1" applyFill="1" applyBorder="1"/>
    <xf numFmtId="9" fontId="38" fillId="3" borderId="0" xfId="0" applyNumberFormat="1" applyFont="1" applyFill="1" applyBorder="1"/>
    <xf numFmtId="3" fontId="10" fillId="3" borderId="24" xfId="19" applyNumberFormat="1" applyFont="1" applyFill="1" applyBorder="1"/>
    <xf numFmtId="3" fontId="10" fillId="3" borderId="39" xfId="19" applyNumberFormat="1" applyFont="1" applyFill="1" applyBorder="1"/>
    <xf numFmtId="3" fontId="10" fillId="3" borderId="25" xfId="19" applyNumberFormat="1" applyFont="1" applyFill="1" applyBorder="1"/>
    <xf numFmtId="3" fontId="23" fillId="3" borderId="24" xfId="19" applyNumberFormat="1" applyFont="1" applyFill="1" applyBorder="1"/>
    <xf numFmtId="1" fontId="15" fillId="4" borderId="0" xfId="19" applyNumberFormat="1" applyFont="1" applyFill="1" applyBorder="1"/>
    <xf numFmtId="1" fontId="15" fillId="3" borderId="0" xfId="19" applyNumberFormat="1" applyFont="1" applyFill="1" applyBorder="1"/>
    <xf numFmtId="165" fontId="10" fillId="3" borderId="7" xfId="19" applyNumberFormat="1" applyFont="1" applyFill="1" applyBorder="1" applyAlignment="1">
      <alignment horizontal="left" vertical="top" indent="1"/>
    </xf>
    <xf numFmtId="165" fontId="20" fillId="3" borderId="0" xfId="27" applyNumberFormat="1" applyFont="1" applyFill="1" applyBorder="1" applyAlignment="1" applyProtection="1">
      <alignment vertical="top"/>
    </xf>
    <xf numFmtId="165" fontId="20" fillId="3" borderId="12" xfId="27" applyNumberFormat="1" applyFont="1" applyFill="1" applyBorder="1" applyAlignment="1" applyProtection="1">
      <alignment vertical="top"/>
    </xf>
    <xf numFmtId="3" fontId="20" fillId="3" borderId="23" xfId="8" applyNumberFormat="1" applyFont="1" applyFill="1" applyBorder="1" applyAlignment="1" applyProtection="1">
      <alignment horizontal="left"/>
    </xf>
    <xf numFmtId="1" fontId="20" fillId="3" borderId="7" xfId="8" applyNumberFormat="1" applyFont="1" applyFill="1" applyBorder="1" applyAlignment="1" applyProtection="1">
      <alignment horizontal="left"/>
    </xf>
    <xf numFmtId="5" fontId="15" fillId="3" borderId="12" xfId="24" applyNumberFormat="1" applyFont="1" applyFill="1" applyBorder="1"/>
    <xf numFmtId="170" fontId="25" fillId="3" borderId="0" xfId="0" applyNumberFormat="1" applyFont="1" applyFill="1" applyBorder="1"/>
    <xf numFmtId="170" fontId="20" fillId="3" borderId="7" xfId="0" applyNumberFormat="1" applyFont="1" applyFill="1" applyBorder="1" applyAlignment="1">
      <alignment horizontal="left" indent="1"/>
    </xf>
    <xf numFmtId="170" fontId="10" fillId="0" borderId="0" xfId="27" applyNumberFormat="1" applyFont="1" applyFill="1" applyBorder="1" applyAlignment="1"/>
    <xf numFmtId="166" fontId="20" fillId="3" borderId="12" xfId="19" applyNumberFormat="1" applyFont="1" applyFill="1" applyBorder="1" applyAlignment="1" applyProtection="1">
      <alignment horizontal="right"/>
    </xf>
    <xf numFmtId="166" fontId="23" fillId="3" borderId="0" xfId="8" applyNumberFormat="1" applyFont="1" applyFill="1" applyBorder="1"/>
    <xf numFmtId="166" fontId="20" fillId="3" borderId="7" xfId="8" applyNumberFormat="1" applyFont="1" applyFill="1" applyBorder="1" applyAlignment="1" applyProtection="1"/>
    <xf numFmtId="166" fontId="20" fillId="3" borderId="0" xfId="8" applyNumberFormat="1" applyFont="1" applyFill="1" applyBorder="1" applyProtection="1"/>
    <xf numFmtId="166" fontId="10" fillId="3" borderId="0" xfId="8" applyNumberFormat="1" applyFont="1" applyFill="1" applyBorder="1" applyProtection="1"/>
    <xf numFmtId="166" fontId="10" fillId="3" borderId="34" xfId="8" applyNumberFormat="1" applyFont="1" applyFill="1" applyBorder="1" applyProtection="1"/>
    <xf numFmtId="166" fontId="10" fillId="3" borderId="0" xfId="8" applyNumberFormat="1" applyFont="1" applyFill="1" applyBorder="1"/>
    <xf numFmtId="166" fontId="25" fillId="3" borderId="0" xfId="8" applyNumberFormat="1" applyFont="1" applyFill="1" applyBorder="1"/>
    <xf numFmtId="166" fontId="14" fillId="3" borderId="0" xfId="8" applyNumberFormat="1" applyFont="1" applyFill="1" applyBorder="1" applyProtection="1"/>
    <xf numFmtId="166" fontId="14" fillId="3" borderId="0" xfId="8" applyNumberFormat="1" applyFont="1" applyFill="1" applyBorder="1"/>
    <xf numFmtId="166" fontId="29" fillId="3" borderId="7" xfId="8" applyNumberFormat="1" applyFont="1" applyFill="1" applyBorder="1" applyAlignment="1" applyProtection="1"/>
    <xf numFmtId="165" fontId="36" fillId="3" borderId="47" xfId="19" applyNumberFormat="1" applyFont="1" applyFill="1" applyBorder="1"/>
    <xf numFmtId="170" fontId="10" fillId="3" borderId="42" xfId="19" applyNumberFormat="1" applyFont="1" applyFill="1" applyBorder="1"/>
    <xf numFmtId="9" fontId="10" fillId="3" borderId="42" xfId="27" applyNumberFormat="1" applyFont="1" applyFill="1" applyBorder="1"/>
    <xf numFmtId="170" fontId="15" fillId="3" borderId="42" xfId="19" applyNumberFormat="1" applyFont="1" applyFill="1" applyBorder="1"/>
    <xf numFmtId="170" fontId="15" fillId="7" borderId="42" xfId="19" applyNumberFormat="1" applyFont="1" applyFill="1" applyBorder="1"/>
    <xf numFmtId="0" fontId="27" fillId="3" borderId="23" xfId="0" applyFont="1" applyFill="1" applyBorder="1" applyAlignment="1">
      <alignment horizontal="left"/>
    </xf>
    <xf numFmtId="165" fontId="10" fillId="3" borderId="24" xfId="27" applyNumberFormat="1" applyFont="1" applyFill="1" applyBorder="1"/>
    <xf numFmtId="165" fontId="10" fillId="3" borderId="25" xfId="27" applyNumberFormat="1" applyFont="1" applyFill="1" applyBorder="1"/>
    <xf numFmtId="165" fontId="14" fillId="3" borderId="24" xfId="0" applyNumberFormat="1" applyFont="1" applyFill="1" applyBorder="1" applyAlignment="1" applyProtection="1">
      <alignment vertical="top"/>
    </xf>
    <xf numFmtId="165" fontId="10" fillId="3" borderId="24" xfId="0" applyNumberFormat="1" applyFont="1" applyFill="1" applyBorder="1" applyAlignment="1">
      <alignment vertical="top"/>
    </xf>
    <xf numFmtId="0" fontId="25" fillId="3" borderId="24" xfId="0" applyFont="1" applyFill="1" applyBorder="1"/>
    <xf numFmtId="166" fontId="10" fillId="3" borderId="7" xfId="0" applyNumberFormat="1" applyFont="1" applyFill="1" applyBorder="1" applyAlignment="1">
      <alignment horizontal="left" indent="1"/>
    </xf>
    <xf numFmtId="166" fontId="10" fillId="3" borderId="0" xfId="27" applyNumberFormat="1" applyFont="1" applyFill="1" applyBorder="1"/>
    <xf numFmtId="166" fontId="10" fillId="3" borderId="12" xfId="27" applyNumberFormat="1" applyFont="1" applyFill="1" applyBorder="1"/>
    <xf numFmtId="166" fontId="14" fillId="3" borderId="0" xfId="0" applyNumberFormat="1" applyFont="1" applyFill="1" applyBorder="1" applyAlignment="1" applyProtection="1">
      <alignment vertical="top"/>
    </xf>
    <xf numFmtId="166" fontId="14" fillId="3" borderId="0" xfId="0" applyNumberFormat="1" applyFont="1" applyFill="1" applyBorder="1" applyAlignment="1">
      <alignment vertical="top"/>
    </xf>
    <xf numFmtId="9" fontId="25" fillId="3" borderId="0" xfId="0" applyNumberFormat="1" applyFont="1" applyFill="1" applyBorder="1"/>
    <xf numFmtId="165" fontId="25" fillId="3" borderId="0" xfId="0" applyNumberFormat="1" applyFont="1" applyFill="1" applyBorder="1"/>
    <xf numFmtId="165" fontId="10" fillId="3" borderId="0" xfId="0" applyNumberFormat="1" applyFont="1" applyFill="1" applyBorder="1"/>
    <xf numFmtId="3" fontId="15" fillId="3" borderId="48" xfId="0" applyNumberFormat="1" applyFont="1" applyFill="1" applyBorder="1"/>
    <xf numFmtId="165" fontId="10" fillId="3" borderId="7" xfId="0" applyNumberFormat="1" applyFont="1" applyFill="1" applyBorder="1" applyAlignment="1">
      <alignment horizontal="left" indent="1"/>
    </xf>
    <xf numFmtId="3" fontId="15" fillId="3" borderId="7" xfId="0" applyNumberFormat="1" applyFont="1" applyFill="1" applyBorder="1"/>
    <xf numFmtId="165" fontId="10" fillId="3" borderId="12" xfId="0" applyNumberFormat="1" applyFont="1" applyFill="1" applyBorder="1"/>
    <xf numFmtId="37" fontId="52" fillId="3" borderId="7" xfId="22" applyNumberFormat="1" applyFont="1" applyFill="1" applyBorder="1"/>
    <xf numFmtId="170" fontId="36" fillId="3" borderId="0" xfId="27" applyNumberFormat="1" applyFont="1" applyFill="1" applyBorder="1"/>
    <xf numFmtId="170" fontId="36" fillId="3" borderId="34" xfId="19" applyNumberFormat="1" applyFont="1" applyFill="1" applyBorder="1"/>
    <xf numFmtId="170" fontId="36" fillId="3" borderId="12" xfId="27" applyNumberFormat="1" applyFont="1" applyFill="1" applyBorder="1"/>
    <xf numFmtId="170" fontId="36" fillId="3" borderId="0" xfId="19" applyNumberFormat="1" applyFont="1" applyFill="1" applyBorder="1"/>
    <xf numFmtId="170" fontId="52" fillId="3" borderId="12" xfId="8" applyNumberFormat="1" applyFont="1" applyFill="1" applyBorder="1" applyProtection="1"/>
    <xf numFmtId="170" fontId="36" fillId="3" borderId="0" xfId="8" applyNumberFormat="1" applyFont="1" applyFill="1" applyBorder="1"/>
    <xf numFmtId="170" fontId="37" fillId="3" borderId="0" xfId="8" applyNumberFormat="1" applyFont="1" applyFill="1" applyBorder="1"/>
    <xf numFmtId="170" fontId="36" fillId="3" borderId="7" xfId="22" applyNumberFormat="1" applyFont="1" applyFill="1" applyBorder="1" applyAlignment="1">
      <alignment horizontal="left"/>
    </xf>
    <xf numFmtId="170" fontId="37" fillId="3" borderId="0" xfId="19" applyNumberFormat="1" applyFont="1" applyFill="1" applyBorder="1"/>
    <xf numFmtId="166" fontId="20" fillId="3" borderId="7" xfId="19" applyNumberFormat="1" applyFont="1" applyFill="1" applyBorder="1" applyAlignment="1" applyProtection="1"/>
    <xf numFmtId="166" fontId="20" fillId="3" borderId="0" xfId="19" applyNumberFormat="1" applyFont="1" applyFill="1" applyBorder="1" applyProtection="1"/>
    <xf numFmtId="166" fontId="10" fillId="3" borderId="34" xfId="19" applyNumberFormat="1" applyFont="1" applyFill="1" applyBorder="1" applyProtection="1"/>
    <xf numFmtId="166" fontId="10" fillId="3" borderId="0" xfId="19" applyNumberFormat="1" applyFont="1" applyFill="1" applyBorder="1" applyProtection="1"/>
    <xf numFmtId="171" fontId="10" fillId="3" borderId="7" xfId="19" applyNumberFormat="1" applyFont="1" applyFill="1" applyBorder="1" applyAlignment="1">
      <alignment horizontal="left" indent="1"/>
    </xf>
    <xf numFmtId="9" fontId="27" fillId="3" borderId="7" xfId="0" applyNumberFormat="1" applyFont="1" applyFill="1" applyBorder="1" applyAlignment="1">
      <alignment horizontal="left" indent="1"/>
    </xf>
    <xf numFmtId="169" fontId="15" fillId="3" borderId="7" xfId="19" applyNumberFormat="1" applyFont="1" applyFill="1" applyBorder="1"/>
    <xf numFmtId="169" fontId="29" fillId="3" borderId="34" xfId="19" applyNumberFormat="1" applyFont="1" applyFill="1" applyBorder="1"/>
    <xf numFmtId="169" fontId="41" fillId="3" borderId="0" xfId="19" applyNumberFormat="1" applyFont="1" applyFill="1" applyBorder="1"/>
    <xf numFmtId="169" fontId="23" fillId="3" borderId="0" xfId="19" applyNumberFormat="1" applyFont="1" applyFill="1" applyBorder="1"/>
    <xf numFmtId="166" fontId="29" fillId="3" borderId="0" xfId="8" applyNumberFormat="1" applyFont="1" applyFill="1" applyBorder="1" applyProtection="1"/>
    <xf numFmtId="166" fontId="15" fillId="3" borderId="0" xfId="8" applyNumberFormat="1" applyFont="1" applyFill="1" applyBorder="1" applyProtection="1"/>
    <xf numFmtId="166" fontId="15" fillId="3" borderId="34" xfId="8" applyNumberFormat="1" applyFont="1" applyFill="1" applyBorder="1" applyProtection="1"/>
    <xf numFmtId="166" fontId="29" fillId="3" borderId="12" xfId="19" applyNumberFormat="1" applyFont="1" applyFill="1" applyBorder="1" applyAlignment="1" applyProtection="1">
      <alignment horizontal="right"/>
    </xf>
    <xf numFmtId="166" fontId="15" fillId="3" borderId="0" xfId="8" applyNumberFormat="1" applyFont="1" applyFill="1" applyBorder="1"/>
    <xf numFmtId="165" fontId="15" fillId="3" borderId="48" xfId="0" applyNumberFormat="1" applyFont="1" applyFill="1" applyBorder="1"/>
    <xf numFmtId="165" fontId="15" fillId="3" borderId="4" xfId="19" applyNumberFormat="1" applyFont="1" applyFill="1" applyBorder="1"/>
    <xf numFmtId="165" fontId="15" fillId="3" borderId="35" xfId="19" applyNumberFormat="1" applyFont="1" applyFill="1" applyBorder="1"/>
    <xf numFmtId="165" fontId="15" fillId="3" borderId="13" xfId="19" applyNumberFormat="1" applyFont="1" applyFill="1" applyBorder="1"/>
    <xf numFmtId="165" fontId="15" fillId="3" borderId="49" xfId="19" applyNumberFormat="1" applyFont="1" applyFill="1" applyBorder="1"/>
    <xf numFmtId="165" fontId="15" fillId="3" borderId="48" xfId="19" applyNumberFormat="1" applyFont="1" applyFill="1" applyBorder="1"/>
    <xf numFmtId="165" fontId="15" fillId="3" borderId="50" xfId="19" applyNumberFormat="1" applyFont="1" applyFill="1" applyBorder="1"/>
    <xf numFmtId="165" fontId="15" fillId="3" borderId="51" xfId="0" applyNumberFormat="1" applyFont="1" applyFill="1" applyBorder="1"/>
    <xf numFmtId="165" fontId="15" fillId="3" borderId="5" xfId="19" applyNumberFormat="1" applyFont="1" applyFill="1" applyBorder="1"/>
    <xf numFmtId="165" fontId="15" fillId="3" borderId="52" xfId="19" applyNumberFormat="1" applyFont="1" applyFill="1" applyBorder="1"/>
    <xf numFmtId="165" fontId="15" fillId="3" borderId="53" xfId="19" applyNumberFormat="1" applyFont="1" applyFill="1" applyBorder="1"/>
    <xf numFmtId="165" fontId="15" fillId="3" borderId="54" xfId="19" applyNumberFormat="1" applyFont="1" applyFill="1" applyBorder="1"/>
    <xf numFmtId="165" fontId="15" fillId="3" borderId="51" xfId="19" applyNumberFormat="1" applyFont="1" applyFill="1" applyBorder="1"/>
    <xf numFmtId="165" fontId="15" fillId="3" borderId="55" xfId="19" applyNumberFormat="1" applyFont="1" applyFill="1" applyBorder="1"/>
    <xf numFmtId="0" fontId="34" fillId="6" borderId="0" xfId="19" applyFont="1" applyFill="1" applyBorder="1"/>
    <xf numFmtId="169" fontId="20" fillId="3" borderId="0" xfId="8" applyNumberFormat="1" applyFont="1" applyFill="1" applyBorder="1" applyAlignment="1">
      <alignment vertical="top"/>
    </xf>
    <xf numFmtId="169" fontId="20" fillId="3" borderId="12" xfId="8" applyNumberFormat="1" applyFont="1" applyFill="1" applyBorder="1" applyAlignment="1">
      <alignment vertical="top"/>
    </xf>
    <xf numFmtId="169" fontId="28" fillId="3" borderId="0" xfId="19" applyNumberFormat="1" applyFont="1" applyFill="1" applyBorder="1" applyAlignment="1">
      <alignment vertical="top"/>
    </xf>
    <xf numFmtId="0" fontId="34" fillId="6" borderId="7" xfId="19" applyFont="1" applyFill="1" applyBorder="1"/>
    <xf numFmtId="177" fontId="34" fillId="6" borderId="56" xfId="19" applyNumberFormat="1" applyFont="1" applyFill="1" applyBorder="1" applyAlignment="1" applyProtection="1">
      <alignment horizontal="center"/>
    </xf>
    <xf numFmtId="177" fontId="34" fillId="6" borderId="57" xfId="19" applyNumberFormat="1" applyFont="1" applyFill="1" applyBorder="1" applyAlignment="1" applyProtection="1">
      <alignment horizontal="center"/>
    </xf>
    <xf numFmtId="176" fontId="34" fillId="6" borderId="58" xfId="19" applyNumberFormat="1" applyFont="1" applyFill="1" applyBorder="1" applyAlignment="1" applyProtection="1">
      <alignment horizontal="center"/>
    </xf>
    <xf numFmtId="178" fontId="34" fillId="6" borderId="56" xfId="19" applyNumberFormat="1" applyFont="1" applyFill="1" applyBorder="1" applyAlignment="1" applyProtection="1">
      <alignment horizontal="center"/>
    </xf>
    <xf numFmtId="0" fontId="34" fillId="6" borderId="51" xfId="19" applyFont="1" applyFill="1" applyBorder="1"/>
    <xf numFmtId="17" fontId="34" fillId="6" borderId="3" xfId="19" applyNumberFormat="1" applyFont="1" applyFill="1" applyBorder="1" applyAlignment="1" applyProtection="1">
      <alignment horizontal="center"/>
    </xf>
    <xf numFmtId="17" fontId="34" fillId="6" borderId="59" xfId="19" applyNumberFormat="1" applyFont="1" applyFill="1" applyBorder="1" applyAlignment="1" applyProtection="1">
      <alignment horizontal="center"/>
    </xf>
    <xf numFmtId="0" fontId="34" fillId="6" borderId="60" xfId="19" quotePrefix="1" applyNumberFormat="1" applyFont="1" applyFill="1" applyBorder="1" applyAlignment="1" applyProtection="1">
      <alignment horizontal="center"/>
    </xf>
    <xf numFmtId="0" fontId="34" fillId="6" borderId="5" xfId="19" applyFont="1" applyFill="1" applyBorder="1"/>
    <xf numFmtId="170" fontId="10" fillId="3" borderId="14" xfId="19" applyNumberFormat="1" applyFont="1" applyFill="1" applyBorder="1"/>
    <xf numFmtId="170" fontId="10" fillId="3" borderId="15" xfId="19" applyNumberFormat="1" applyFont="1" applyFill="1" applyBorder="1"/>
    <xf numFmtId="170" fontId="10" fillId="3" borderId="36" xfId="19" applyNumberFormat="1" applyFont="1" applyFill="1" applyBorder="1"/>
    <xf numFmtId="170" fontId="10" fillId="3" borderId="16" xfId="19" applyNumberFormat="1" applyFont="1" applyFill="1" applyBorder="1"/>
    <xf numFmtId="170" fontId="25" fillId="3" borderId="15" xfId="19" applyNumberFormat="1" applyFont="1" applyFill="1" applyBorder="1"/>
    <xf numFmtId="165" fontId="10" fillId="3" borderId="7" xfId="0" applyNumberFormat="1" applyFont="1" applyFill="1" applyBorder="1" applyAlignment="1">
      <alignment horizontal="left" indent="2"/>
    </xf>
    <xf numFmtId="0" fontId="34" fillId="8" borderId="9" xfId="20" applyFont="1" applyFill="1" applyBorder="1"/>
    <xf numFmtId="165" fontId="34" fillId="8" borderId="10" xfId="27" applyNumberFormat="1" applyFont="1" applyFill="1" applyBorder="1"/>
    <xf numFmtId="165" fontId="34" fillId="8" borderId="33" xfId="27" applyNumberFormat="1" applyFont="1" applyFill="1" applyBorder="1"/>
    <xf numFmtId="165" fontId="34" fillId="8" borderId="11" xfId="27" applyNumberFormat="1" applyFont="1" applyFill="1" applyBorder="1"/>
    <xf numFmtId="0" fontId="34" fillId="8" borderId="11" xfId="19" applyFont="1" applyFill="1" applyBorder="1"/>
    <xf numFmtId="0" fontId="34" fillId="8" borderId="10" xfId="19" applyFont="1" applyFill="1" applyBorder="1"/>
    <xf numFmtId="3" fontId="15" fillId="4" borderId="48" xfId="19" applyNumberFormat="1" applyFont="1" applyFill="1" applyBorder="1"/>
    <xf numFmtId="3" fontId="15" fillId="4" borderId="4" xfId="19" applyNumberFormat="1" applyFont="1" applyFill="1" applyBorder="1"/>
    <xf numFmtId="3" fontId="15" fillId="4" borderId="35" xfId="19" applyNumberFormat="1" applyFont="1" applyFill="1" applyBorder="1"/>
    <xf numFmtId="3" fontId="15" fillId="4" borderId="13" xfId="19" applyNumberFormat="1" applyFont="1" applyFill="1" applyBorder="1"/>
    <xf numFmtId="3" fontId="15" fillId="4" borderId="0" xfId="19" applyNumberFormat="1" applyFont="1" applyFill="1" applyBorder="1"/>
    <xf numFmtId="170" fontId="15" fillId="4" borderId="34" xfId="19" applyNumberFormat="1" applyFont="1" applyFill="1" applyBorder="1"/>
    <xf numFmtId="170" fontId="15" fillId="4" borderId="12" xfId="19" applyNumberFormat="1" applyFont="1" applyFill="1" applyBorder="1"/>
    <xf numFmtId="170" fontId="15" fillId="4" borderId="12" xfId="0" applyNumberFormat="1" applyFont="1" applyFill="1" applyBorder="1"/>
    <xf numFmtId="170" fontId="15" fillId="4" borderId="0" xfId="0" applyNumberFormat="1" applyFont="1" applyFill="1" applyBorder="1"/>
    <xf numFmtId="170" fontId="10" fillId="4" borderId="0" xfId="19" applyNumberFormat="1" applyFont="1" applyFill="1" applyBorder="1"/>
    <xf numFmtId="170" fontId="15" fillId="4" borderId="42" xfId="19" applyNumberFormat="1" applyFont="1" applyFill="1" applyBorder="1"/>
    <xf numFmtId="170" fontId="15" fillId="4" borderId="12" xfId="8" applyNumberFormat="1" applyFont="1" applyFill="1" applyBorder="1"/>
    <xf numFmtId="170" fontId="15" fillId="4" borderId="0" xfId="8" applyNumberFormat="1" applyFont="1" applyFill="1" applyBorder="1"/>
    <xf numFmtId="170" fontId="23" fillId="4" borderId="0" xfId="8" applyNumberFormat="1" applyFont="1" applyFill="1" applyBorder="1"/>
    <xf numFmtId="170" fontId="10" fillId="4" borderId="0" xfId="8" applyNumberFormat="1" applyFont="1" applyFill="1" applyBorder="1"/>
    <xf numFmtId="170" fontId="15" fillId="4" borderId="34" xfId="8" applyNumberFormat="1" applyFont="1" applyFill="1" applyBorder="1"/>
    <xf numFmtId="165" fontId="15" fillId="4" borderId="0" xfId="27" applyNumberFormat="1" applyFont="1" applyFill="1" applyBorder="1"/>
    <xf numFmtId="165" fontId="15" fillId="4" borderId="34" xfId="27" applyNumberFormat="1" applyFont="1" applyFill="1" applyBorder="1"/>
    <xf numFmtId="165" fontId="15" fillId="4" borderId="12" xfId="27" applyNumberFormat="1" applyFont="1" applyFill="1" applyBorder="1"/>
    <xf numFmtId="9" fontId="20" fillId="4" borderId="0" xfId="19" applyNumberFormat="1" applyFont="1" applyFill="1" applyBorder="1" applyProtection="1"/>
    <xf numFmtId="9" fontId="20" fillId="4" borderId="34" xfId="19" applyNumberFormat="1" applyFont="1" applyFill="1" applyBorder="1" applyProtection="1"/>
    <xf numFmtId="9" fontId="20" fillId="4" borderId="12" xfId="19" applyNumberFormat="1" applyFont="1" applyFill="1" applyBorder="1" applyProtection="1"/>
    <xf numFmtId="9" fontId="36" fillId="4" borderId="0" xfId="8" applyNumberFormat="1" applyFont="1" applyFill="1" applyBorder="1"/>
    <xf numFmtId="9" fontId="37" fillId="4" borderId="0" xfId="8" applyNumberFormat="1" applyFont="1" applyFill="1" applyBorder="1"/>
    <xf numFmtId="5" fontId="29" fillId="4" borderId="9" xfId="19" applyNumberFormat="1" applyFont="1" applyFill="1" applyBorder="1" applyAlignment="1" applyProtection="1">
      <alignment horizontal="left"/>
    </xf>
    <xf numFmtId="5" fontId="15" fillId="4" borderId="10" xfId="19" applyNumberFormat="1" applyFont="1" applyFill="1" applyBorder="1" applyAlignment="1">
      <alignment horizontal="right"/>
    </xf>
    <xf numFmtId="5" fontId="15" fillId="4" borderId="33" xfId="19" applyNumberFormat="1" applyFont="1" applyFill="1" applyBorder="1" applyAlignment="1">
      <alignment horizontal="right"/>
    </xf>
    <xf numFmtId="5" fontId="15" fillId="4" borderId="11" xfId="19" applyNumberFormat="1" applyFont="1" applyFill="1" applyBorder="1" applyAlignment="1">
      <alignment horizontal="right"/>
    </xf>
    <xf numFmtId="5" fontId="15" fillId="4" borderId="0" xfId="19" applyNumberFormat="1" applyFont="1" applyFill="1" applyBorder="1" applyAlignment="1">
      <alignment horizontal="right"/>
    </xf>
    <xf numFmtId="37" fontId="34" fillId="8" borderId="7" xfId="19" applyNumberFormat="1" applyFont="1" applyFill="1" applyBorder="1" applyAlignment="1" applyProtection="1">
      <alignment horizontal="left"/>
      <protection locked="0"/>
    </xf>
    <xf numFmtId="165" fontId="49" fillId="8" borderId="0" xfId="8" applyNumberFormat="1" applyFont="1" applyFill="1" applyBorder="1" applyAlignment="1">
      <alignment vertical="top"/>
    </xf>
    <xf numFmtId="165" fontId="49" fillId="8" borderId="34" xfId="8" applyNumberFormat="1" applyFont="1" applyFill="1" applyBorder="1" applyAlignment="1">
      <alignment vertical="top"/>
    </xf>
    <xf numFmtId="165" fontId="49" fillId="8" borderId="12" xfId="8" applyNumberFormat="1" applyFont="1" applyFill="1" applyBorder="1" applyAlignment="1">
      <alignment vertical="top"/>
    </xf>
    <xf numFmtId="165" fontId="34" fillId="8" borderId="0" xfId="19" applyNumberFormat="1" applyFont="1" applyFill="1" applyBorder="1" applyAlignment="1">
      <alignment vertical="top"/>
    </xf>
    <xf numFmtId="169" fontId="54" fillId="8" borderId="0" xfId="19" applyNumberFormat="1" applyFont="1" applyFill="1" applyBorder="1" applyAlignment="1">
      <alignment vertical="top"/>
    </xf>
    <xf numFmtId="0" fontId="34" fillId="4" borderId="0" xfId="19" applyFont="1" applyFill="1" applyBorder="1"/>
    <xf numFmtId="3" fontId="10" fillId="4" borderId="0" xfId="19" applyNumberFormat="1" applyFont="1" applyFill="1" applyBorder="1"/>
    <xf numFmtId="3" fontId="10" fillId="4" borderId="0" xfId="0" applyNumberFormat="1" applyFont="1" applyFill="1" applyBorder="1" applyAlignment="1">
      <alignment vertical="top"/>
    </xf>
    <xf numFmtId="165" fontId="10" fillId="4" borderId="0" xfId="0" applyNumberFormat="1" applyFont="1" applyFill="1" applyBorder="1"/>
    <xf numFmtId="9" fontId="10" fillId="4" borderId="0" xfId="19" applyNumberFormat="1" applyFont="1" applyFill="1" applyBorder="1"/>
    <xf numFmtId="9" fontId="10" fillId="4" borderId="0" xfId="0" applyNumberFormat="1" applyFont="1" applyFill="1" applyBorder="1" applyAlignment="1">
      <alignment vertical="top"/>
    </xf>
    <xf numFmtId="9" fontId="15" fillId="4" borderId="0" xfId="0" applyNumberFormat="1" applyFont="1" applyFill="1" applyBorder="1"/>
    <xf numFmtId="166" fontId="20" fillId="4" borderId="0" xfId="0" applyNumberFormat="1" applyFont="1" applyFill="1" applyBorder="1"/>
    <xf numFmtId="9" fontId="15" fillId="4" borderId="0" xfId="19" applyNumberFormat="1" applyFont="1" applyFill="1" applyBorder="1"/>
    <xf numFmtId="3" fontId="20" fillId="4" borderId="0" xfId="19" applyNumberFormat="1" applyFont="1" applyFill="1" applyBorder="1" applyAlignment="1">
      <alignment vertical="top"/>
    </xf>
    <xf numFmtId="166" fontId="10" fillId="4" borderId="0" xfId="0" applyNumberFormat="1" applyFont="1" applyFill="1" applyBorder="1"/>
    <xf numFmtId="9" fontId="10" fillId="4" borderId="0" xfId="0" applyNumberFormat="1" applyFont="1" applyFill="1" applyBorder="1"/>
    <xf numFmtId="166" fontId="10" fillId="4" borderId="0" xfId="19" applyNumberFormat="1" applyFont="1" applyFill="1" applyBorder="1"/>
    <xf numFmtId="0" fontId="10" fillId="4" borderId="0" xfId="19" applyFont="1" applyFill="1" applyBorder="1" applyAlignment="1">
      <alignment vertical="top"/>
    </xf>
    <xf numFmtId="165" fontId="36" fillId="4" borderId="0" xfId="19" applyNumberFormat="1" applyFont="1" applyFill="1" applyBorder="1"/>
    <xf numFmtId="170" fontId="10" fillId="4" borderId="0" xfId="0" applyNumberFormat="1" applyFont="1" applyFill="1" applyBorder="1"/>
    <xf numFmtId="170" fontId="10" fillId="4" borderId="0" xfId="19" applyNumberFormat="1" applyFont="1" applyFill="1" applyBorder="1" applyAlignment="1" applyProtection="1">
      <alignment vertical="top"/>
    </xf>
    <xf numFmtId="169" fontId="10" fillId="4" borderId="0" xfId="19" applyNumberFormat="1" applyFont="1" applyFill="1" applyBorder="1"/>
    <xf numFmtId="2" fontId="20" fillId="4" borderId="0" xfId="19" applyNumberFormat="1" applyFont="1" applyFill="1" applyBorder="1" applyAlignment="1">
      <alignment vertical="top"/>
    </xf>
    <xf numFmtId="170" fontId="10" fillId="4" borderId="0" xfId="19" applyNumberFormat="1" applyFont="1" applyFill="1" applyBorder="1" applyAlignment="1"/>
    <xf numFmtId="1" fontId="10" fillId="4" borderId="0" xfId="19" applyNumberFormat="1" applyFont="1" applyFill="1" applyBorder="1"/>
    <xf numFmtId="170" fontId="10" fillId="4" borderId="0" xfId="19" applyNumberFormat="1" applyFont="1" applyFill="1" applyBorder="1" applyAlignment="1">
      <alignment vertical="top"/>
    </xf>
    <xf numFmtId="172" fontId="10" fillId="4" borderId="0" xfId="8" applyNumberFormat="1" applyFont="1" applyFill="1" applyBorder="1"/>
    <xf numFmtId="172" fontId="20" fillId="4" borderId="0" xfId="8" applyNumberFormat="1" applyFont="1" applyFill="1" applyBorder="1"/>
    <xf numFmtId="165" fontId="10" fillId="4" borderId="0" xfId="19" applyNumberFormat="1" applyFont="1" applyFill="1" applyBorder="1"/>
    <xf numFmtId="9" fontId="27" fillId="4" borderId="0" xfId="0" applyNumberFormat="1" applyFont="1" applyFill="1" applyBorder="1"/>
    <xf numFmtId="170" fontId="36" fillId="4" borderId="0" xfId="19" applyNumberFormat="1" applyFont="1" applyFill="1" applyBorder="1"/>
    <xf numFmtId="170" fontId="28" fillId="4" borderId="0" xfId="19" applyNumberFormat="1" applyFont="1" applyFill="1" applyBorder="1"/>
    <xf numFmtId="170" fontId="36" fillId="4" borderId="0" xfId="8" applyNumberFormat="1" applyFont="1" applyFill="1" applyBorder="1"/>
    <xf numFmtId="169" fontId="36" fillId="4" borderId="0" xfId="8" applyNumberFormat="1" applyFont="1" applyFill="1" applyBorder="1"/>
    <xf numFmtId="166" fontId="10" fillId="4" borderId="0" xfId="8" applyNumberFormat="1" applyFont="1" applyFill="1" applyBorder="1"/>
    <xf numFmtId="166" fontId="15" fillId="4" borderId="0" xfId="8" applyNumberFormat="1" applyFont="1" applyFill="1" applyBorder="1"/>
    <xf numFmtId="168" fontId="10" fillId="4" borderId="0" xfId="8" applyNumberFormat="1" applyFont="1" applyFill="1" applyBorder="1"/>
    <xf numFmtId="169" fontId="20" fillId="4" borderId="0" xfId="19" applyNumberFormat="1" applyFont="1" applyFill="1" applyBorder="1"/>
    <xf numFmtId="169" fontId="15" fillId="4" borderId="0" xfId="19" applyNumberFormat="1" applyFont="1" applyFill="1" applyBorder="1"/>
    <xf numFmtId="7" fontId="15" fillId="4" borderId="0" xfId="19" applyNumberFormat="1" applyFont="1" applyFill="1" applyBorder="1"/>
    <xf numFmtId="170" fontId="27" fillId="4" borderId="0" xfId="19" applyNumberFormat="1" applyFont="1" applyFill="1" applyBorder="1"/>
    <xf numFmtId="9" fontId="28" fillId="4" borderId="0" xfId="19" applyNumberFormat="1" applyFont="1" applyFill="1" applyBorder="1" applyAlignment="1">
      <alignment vertical="top"/>
    </xf>
    <xf numFmtId="169" fontId="28" fillId="4" borderId="0" xfId="19" applyNumberFormat="1" applyFont="1" applyFill="1" applyBorder="1" applyAlignment="1">
      <alignment vertical="top"/>
    </xf>
    <xf numFmtId="170" fontId="27" fillId="4" borderId="0" xfId="19" applyNumberFormat="1" applyFont="1" applyFill="1" applyBorder="1" applyAlignment="1">
      <alignment vertical="top"/>
    </xf>
    <xf numFmtId="9" fontId="10" fillId="4" borderId="0" xfId="19" applyNumberFormat="1" applyFont="1" applyFill="1" applyBorder="1" applyAlignment="1">
      <alignment vertical="top"/>
    </xf>
    <xf numFmtId="169" fontId="34" fillId="4" borderId="0" xfId="19" applyNumberFormat="1" applyFont="1" applyFill="1" applyBorder="1" applyAlignment="1">
      <alignment vertical="top"/>
    </xf>
    <xf numFmtId="5" fontId="10" fillId="4" borderId="0" xfId="24" applyNumberFormat="1" applyFont="1" applyFill="1" applyBorder="1"/>
    <xf numFmtId="5" fontId="10" fillId="4" borderId="0" xfId="19" applyNumberFormat="1" applyFont="1" applyFill="1" applyBorder="1"/>
    <xf numFmtId="0" fontId="15" fillId="4" borderId="0" xfId="24" applyFont="1" applyFill="1" applyBorder="1"/>
    <xf numFmtId="0" fontId="10" fillId="4" borderId="0" xfId="0" applyFont="1" applyFill="1" applyBorder="1" applyAlignment="1">
      <alignment vertical="top"/>
    </xf>
    <xf numFmtId="0" fontId="10" fillId="4" borderId="0" xfId="24" applyFont="1" applyFill="1" applyBorder="1"/>
    <xf numFmtId="169" fontId="11" fillId="4" borderId="0" xfId="19" applyNumberFormat="1" applyFont="1" applyFill="1" applyBorder="1" applyAlignment="1">
      <alignment vertical="top"/>
    </xf>
    <xf numFmtId="170" fontId="28" fillId="4" borderId="0" xfId="19" applyNumberFormat="1" applyFont="1" applyFill="1" applyBorder="1" applyAlignment="1">
      <alignment vertical="top"/>
    </xf>
    <xf numFmtId="170" fontId="11" fillId="4" borderId="0" xfId="19" applyNumberFormat="1" applyFont="1" applyFill="1" applyBorder="1" applyAlignment="1">
      <alignment vertical="top"/>
    </xf>
    <xf numFmtId="0" fontId="10" fillId="4" borderId="0" xfId="19" applyFont="1" applyFill="1" applyBorder="1"/>
    <xf numFmtId="0" fontId="17" fillId="6" borderId="0" xfId="0" applyFont="1" applyFill="1" applyBorder="1" applyAlignment="1">
      <alignment horizontal="center"/>
    </xf>
    <xf numFmtId="0" fontId="51" fillId="6" borderId="0" xfId="0" applyFont="1" applyFill="1" applyBorder="1" applyAlignment="1">
      <alignment horizontal="center"/>
    </xf>
    <xf numFmtId="0" fontId="51" fillId="6" borderId="0" xfId="0" applyNumberFormat="1" applyFont="1" applyFill="1" applyBorder="1" applyAlignment="1" applyProtection="1">
      <alignment horizontal="right"/>
    </xf>
    <xf numFmtId="171" fontId="51" fillId="6" borderId="0" xfId="0" applyNumberFormat="1" applyFont="1" applyFill="1" applyBorder="1"/>
    <xf numFmtId="165" fontId="17" fillId="6" borderId="0" xfId="0" applyNumberFormat="1" applyFont="1" applyFill="1" applyBorder="1" applyAlignment="1" applyProtection="1"/>
    <xf numFmtId="171" fontId="55" fillId="6" borderId="0" xfId="27" applyNumberFormat="1" applyFont="1" applyFill="1" applyBorder="1" applyAlignment="1" applyProtection="1"/>
    <xf numFmtId="165" fontId="55" fillId="6" borderId="0" xfId="0" applyNumberFormat="1" applyFont="1" applyFill="1" applyBorder="1" applyAlignment="1" applyProtection="1"/>
    <xf numFmtId="171" fontId="56" fillId="6" borderId="0" xfId="0" applyNumberFormat="1" applyFont="1" applyFill="1" applyBorder="1" applyAlignment="1" applyProtection="1"/>
    <xf numFmtId="165" fontId="55" fillId="6" borderId="0" xfId="27" applyNumberFormat="1" applyFont="1" applyFill="1" applyBorder="1" applyAlignment="1" applyProtection="1"/>
    <xf numFmtId="170" fontId="56" fillId="6" borderId="0" xfId="0" applyNumberFormat="1" applyFont="1" applyFill="1" applyBorder="1" applyAlignment="1" applyProtection="1"/>
    <xf numFmtId="1" fontId="55" fillId="6" borderId="0" xfId="0" applyNumberFormat="1" applyFont="1" applyFill="1" applyBorder="1" applyAlignment="1" applyProtection="1"/>
    <xf numFmtId="0" fontId="55" fillId="6" borderId="0" xfId="0" applyNumberFormat="1" applyFont="1" applyFill="1" applyBorder="1" applyAlignment="1" applyProtection="1"/>
    <xf numFmtId="166" fontId="57" fillId="6" borderId="0" xfId="27" applyNumberFormat="1" applyFont="1" applyFill="1" applyBorder="1" applyAlignment="1" applyProtection="1">
      <alignment horizontal="right"/>
    </xf>
    <xf numFmtId="170" fontId="55" fillId="6" borderId="0" xfId="27" applyNumberFormat="1" applyFont="1" applyFill="1" applyBorder="1" applyAlignment="1" applyProtection="1"/>
    <xf numFmtId="169" fontId="55" fillId="6" borderId="0" xfId="27" applyNumberFormat="1" applyFont="1" applyFill="1" applyBorder="1" applyAlignment="1" applyProtection="1"/>
    <xf numFmtId="171" fontId="55" fillId="6" borderId="0" xfId="0" applyNumberFormat="1" applyFont="1" applyFill="1" applyBorder="1" applyAlignment="1" applyProtection="1">
      <alignment horizontal="right"/>
    </xf>
    <xf numFmtId="171" fontId="55" fillId="6" borderId="0" xfId="0" applyNumberFormat="1" applyFont="1" applyFill="1" applyBorder="1" applyAlignment="1" applyProtection="1"/>
    <xf numFmtId="0" fontId="57" fillId="6" borderId="0" xfId="0" applyNumberFormat="1" applyFont="1" applyFill="1" applyBorder="1" applyAlignment="1" applyProtection="1">
      <alignment horizontal="right"/>
    </xf>
    <xf numFmtId="0" fontId="56" fillId="6" borderId="0" xfId="0" applyNumberFormat="1" applyFont="1" applyFill="1" applyBorder="1" applyAlignment="1" applyProtection="1">
      <alignment horizontal="right"/>
    </xf>
    <xf numFmtId="165" fontId="56" fillId="6" borderId="0" xfId="0" applyNumberFormat="1" applyFont="1" applyFill="1" applyBorder="1" applyAlignment="1" applyProtection="1"/>
    <xf numFmtId="170" fontId="56" fillId="6" borderId="0" xfId="0" applyNumberFormat="1" applyFont="1" applyFill="1" applyBorder="1" applyAlignment="1" applyProtection="1">
      <alignment horizontal="right"/>
    </xf>
    <xf numFmtId="171" fontId="56" fillId="6" borderId="0" xfId="0" applyNumberFormat="1" applyFont="1" applyFill="1" applyBorder="1"/>
    <xf numFmtId="170" fontId="55" fillId="6" borderId="0" xfId="0" applyNumberFormat="1" applyFont="1" applyFill="1" applyBorder="1"/>
    <xf numFmtId="171" fontId="55" fillId="6" borderId="0" xfId="0" applyNumberFormat="1" applyFont="1" applyFill="1" applyBorder="1"/>
    <xf numFmtId="170" fontId="56" fillId="6" borderId="0" xfId="0" applyNumberFormat="1" applyFont="1" applyFill="1" applyBorder="1"/>
    <xf numFmtId="171" fontId="55" fillId="6" borderId="0" xfId="12" applyNumberFormat="1" applyFont="1" applyFill="1" applyBorder="1" applyAlignment="1" applyProtection="1"/>
    <xf numFmtId="165" fontId="55" fillId="6" borderId="0" xfId="12" applyNumberFormat="1" applyFont="1" applyFill="1" applyBorder="1" applyAlignment="1" applyProtection="1"/>
    <xf numFmtId="165" fontId="56" fillId="6" borderId="0" xfId="0" applyNumberFormat="1" applyFont="1" applyFill="1" applyBorder="1"/>
    <xf numFmtId="0" fontId="51" fillId="6" borderId="0" xfId="0" applyFont="1" applyFill="1" applyBorder="1"/>
    <xf numFmtId="166" fontId="17" fillId="6" borderId="0" xfId="6" applyNumberFormat="1" applyFont="1" applyFill="1" applyBorder="1" applyAlignment="1" applyProtection="1"/>
    <xf numFmtId="9" fontId="17" fillId="6" borderId="0" xfId="0" applyNumberFormat="1" applyFont="1" applyFill="1" applyBorder="1" applyAlignment="1" applyProtection="1"/>
    <xf numFmtId="166" fontId="51" fillId="6" borderId="0" xfId="6" applyNumberFormat="1" applyFont="1" applyFill="1" applyBorder="1" applyAlignment="1" applyProtection="1"/>
    <xf numFmtId="171" fontId="51" fillId="6" borderId="0" xfId="0" applyNumberFormat="1" applyFont="1" applyFill="1" applyBorder="1" applyAlignment="1" applyProtection="1">
      <alignment horizontal="right"/>
    </xf>
    <xf numFmtId="165" fontId="51" fillId="6" borderId="0" xfId="0" applyNumberFormat="1" applyFont="1" applyFill="1" applyBorder="1"/>
    <xf numFmtId="170" fontId="17" fillId="6" borderId="0" xfId="0" applyNumberFormat="1" applyFont="1" applyFill="1" applyBorder="1"/>
    <xf numFmtId="169" fontId="17" fillId="6" borderId="0" xfId="0" applyNumberFormat="1" applyFont="1" applyFill="1" applyBorder="1"/>
    <xf numFmtId="165" fontId="51" fillId="6" borderId="0" xfId="27" applyNumberFormat="1" applyFont="1" applyFill="1" applyBorder="1"/>
    <xf numFmtId="171" fontId="56" fillId="6" borderId="0" xfId="27" applyNumberFormat="1" applyFont="1" applyFill="1" applyBorder="1"/>
    <xf numFmtId="171" fontId="51" fillId="6" borderId="0" xfId="27" applyNumberFormat="1" applyFont="1" applyFill="1" applyBorder="1"/>
    <xf numFmtId="165" fontId="56" fillId="6" borderId="0" xfId="27" applyNumberFormat="1" applyFont="1" applyFill="1" applyBorder="1"/>
    <xf numFmtId="165" fontId="17" fillId="6" borderId="0" xfId="27" applyNumberFormat="1" applyFont="1" applyFill="1" applyBorder="1"/>
    <xf numFmtId="0" fontId="17" fillId="6" borderId="0" xfId="0" applyNumberFormat="1" applyFont="1" applyFill="1" applyBorder="1" applyAlignment="1" applyProtection="1"/>
    <xf numFmtId="171" fontId="17" fillId="6" borderId="0" xfId="0" applyNumberFormat="1" applyFont="1" applyFill="1" applyBorder="1" applyAlignment="1" applyProtection="1"/>
    <xf numFmtId="169" fontId="56" fillId="6" borderId="0" xfId="0" applyNumberFormat="1" applyFont="1" applyFill="1" applyBorder="1"/>
    <xf numFmtId="171" fontId="51" fillId="6" borderId="0" xfId="0" applyNumberFormat="1" applyFont="1" applyFill="1" applyBorder="1" applyAlignment="1" applyProtection="1"/>
    <xf numFmtId="165" fontId="51" fillId="6" borderId="0" xfId="0" applyNumberFormat="1" applyFont="1" applyFill="1" applyBorder="1" applyAlignment="1" applyProtection="1"/>
    <xf numFmtId="0" fontId="7" fillId="6" borderId="0" xfId="0" applyFont="1" applyFill="1" applyBorder="1"/>
    <xf numFmtId="3" fontId="15" fillId="4" borderId="7" xfId="19" applyNumberFormat="1" applyFont="1" applyFill="1" applyBorder="1"/>
    <xf numFmtId="3" fontId="15" fillId="4" borderId="34" xfId="19" applyNumberFormat="1" applyFont="1" applyFill="1" applyBorder="1"/>
    <xf numFmtId="3" fontId="15" fillId="4" borderId="12" xfId="19" applyNumberFormat="1" applyFont="1" applyFill="1" applyBorder="1"/>
    <xf numFmtId="3" fontId="15" fillId="4" borderId="43" xfId="19" applyNumberFormat="1" applyFont="1" applyFill="1" applyBorder="1"/>
    <xf numFmtId="3" fontId="15" fillId="4" borderId="61" xfId="19" applyNumberFormat="1" applyFont="1" applyFill="1" applyBorder="1"/>
    <xf numFmtId="165" fontId="10" fillId="3" borderId="0" xfId="19" applyNumberFormat="1" applyFont="1" applyFill="1" applyBorder="1" applyAlignment="1" applyProtection="1">
      <alignment vertical="top"/>
    </xf>
    <xf numFmtId="165" fontId="10" fillId="3" borderId="34" xfId="19" applyNumberFormat="1" applyFont="1" applyFill="1" applyBorder="1" applyAlignment="1" applyProtection="1">
      <alignment vertical="top"/>
    </xf>
    <xf numFmtId="165" fontId="10" fillId="3" borderId="0" xfId="12" applyNumberFormat="1" applyFont="1" applyFill="1" applyBorder="1" applyAlignment="1">
      <alignment vertical="top"/>
    </xf>
    <xf numFmtId="165" fontId="25" fillId="3" borderId="0" xfId="19" applyNumberFormat="1" applyFont="1" applyFill="1" applyBorder="1" applyAlignment="1" applyProtection="1">
      <alignment vertical="top"/>
    </xf>
    <xf numFmtId="165" fontId="10" fillId="4" borderId="0" xfId="19" applyNumberFormat="1" applyFont="1" applyFill="1" applyBorder="1" applyAlignment="1" applyProtection="1">
      <alignment vertical="top"/>
    </xf>
    <xf numFmtId="170" fontId="30" fillId="4" borderId="0" xfId="8" applyNumberFormat="1" applyFont="1" applyFill="1" applyBorder="1"/>
    <xf numFmtId="165" fontId="20" fillId="3" borderId="43" xfId="27" applyNumberFormat="1" applyFont="1" applyFill="1" applyBorder="1"/>
    <xf numFmtId="0" fontId="6" fillId="6" borderId="0" xfId="18" applyFill="1"/>
    <xf numFmtId="0" fontId="6" fillId="9" borderId="0" xfId="18" applyFill="1"/>
    <xf numFmtId="0" fontId="6" fillId="0" borderId="0" xfId="18"/>
    <xf numFmtId="0" fontId="23" fillId="4" borderId="5" xfId="18" applyFont="1" applyFill="1" applyBorder="1" applyAlignment="1">
      <alignment horizontal="center" wrapText="1"/>
    </xf>
    <xf numFmtId="0" fontId="15" fillId="4" borderId="0" xfId="18" applyFont="1" applyFill="1"/>
    <xf numFmtId="174" fontId="25" fillId="0" borderId="0" xfId="18" applyNumberFormat="1" applyFont="1" applyAlignment="1">
      <alignment horizontal="center"/>
    </xf>
    <xf numFmtId="2" fontId="6" fillId="0" borderId="0" xfId="18" applyNumberFormat="1" applyFill="1" applyAlignment="1">
      <alignment horizontal="center"/>
    </xf>
    <xf numFmtId="0" fontId="15" fillId="7" borderId="0" xfId="18" applyFont="1" applyFill="1"/>
    <xf numFmtId="0" fontId="6" fillId="7" borderId="0" xfId="18" applyFill="1"/>
    <xf numFmtId="0" fontId="15" fillId="0" borderId="0" xfId="18" applyFont="1"/>
    <xf numFmtId="0" fontId="10" fillId="0" borderId="0" xfId="18" applyFont="1"/>
    <xf numFmtId="0" fontId="15" fillId="10" borderId="0" xfId="18" applyFont="1" applyFill="1"/>
    <xf numFmtId="169" fontId="6" fillId="0" borderId="0" xfId="18" applyNumberFormat="1"/>
    <xf numFmtId="2" fontId="6" fillId="0" borderId="0" xfId="18" applyNumberFormat="1"/>
    <xf numFmtId="0" fontId="15" fillId="0" borderId="0" xfId="18" applyNumberFormat="1" applyFont="1"/>
    <xf numFmtId="1" fontId="15" fillId="0" borderId="0" xfId="18" applyNumberFormat="1" applyFont="1"/>
    <xf numFmtId="0" fontId="15" fillId="0" borderId="0" xfId="18" applyFont="1" applyFill="1"/>
    <xf numFmtId="0" fontId="15" fillId="11" borderId="0" xfId="18" applyFont="1" applyFill="1"/>
    <xf numFmtId="169" fontId="6" fillId="11" borderId="0" xfId="18" applyNumberFormat="1" applyFill="1"/>
    <xf numFmtId="1" fontId="15" fillId="11" borderId="0" xfId="18" applyNumberFormat="1" applyFont="1" applyFill="1"/>
    <xf numFmtId="174" fontId="25" fillId="0" borderId="0" xfId="18" applyNumberFormat="1" applyFont="1" applyFill="1" applyAlignment="1">
      <alignment horizontal="center"/>
    </xf>
    <xf numFmtId="182" fontId="25" fillId="0" borderId="0" xfId="18" applyNumberFormat="1" applyFont="1" applyFill="1" applyAlignment="1">
      <alignment horizontal="center"/>
    </xf>
    <xf numFmtId="0" fontId="6" fillId="5" borderId="0" xfId="18" applyFill="1"/>
    <xf numFmtId="0" fontId="9" fillId="0" borderId="0" xfId="21" applyFont="1" applyAlignment="1">
      <alignment horizontal="left"/>
    </xf>
    <xf numFmtId="0" fontId="9" fillId="0" borderId="0" xfId="21" applyFont="1"/>
    <xf numFmtId="0" fontId="16" fillId="0" borderId="0" xfId="21" applyFont="1" applyAlignment="1">
      <alignment horizontal="center"/>
    </xf>
    <xf numFmtId="0" fontId="9" fillId="0" borderId="0" xfId="21" applyFont="1" applyBorder="1"/>
    <xf numFmtId="0" fontId="16" fillId="0" borderId="0" xfId="21" applyFont="1"/>
    <xf numFmtId="0" fontId="9" fillId="0" borderId="0" xfId="21" applyFont="1" applyAlignment="1">
      <alignment horizontal="right"/>
    </xf>
    <xf numFmtId="0" fontId="9" fillId="0" borderId="26" xfId="21" applyFont="1" applyBorder="1" applyAlignment="1">
      <alignment horizontal="right"/>
    </xf>
    <xf numFmtId="0" fontId="10" fillId="0" borderId="0" xfId="21"/>
    <xf numFmtId="0" fontId="9" fillId="0" borderId="5" xfId="21" applyFont="1" applyBorder="1"/>
    <xf numFmtId="0" fontId="16" fillId="0" borderId="5" xfId="21" applyFont="1" applyBorder="1" applyAlignment="1">
      <alignment horizontal="right"/>
    </xf>
    <xf numFmtId="0" fontId="16" fillId="0" borderId="5" xfId="21" applyFont="1" applyBorder="1" applyAlignment="1">
      <alignment horizontal="left" wrapText="1"/>
    </xf>
    <xf numFmtId="0" fontId="16" fillId="0" borderId="5" xfId="21" applyFont="1" applyBorder="1" applyAlignment="1">
      <alignment horizontal="center" wrapText="1"/>
    </xf>
    <xf numFmtId="0" fontId="16" fillId="0" borderId="5" xfId="21" applyFont="1" applyBorder="1" applyAlignment="1">
      <alignment horizontal="right" wrapText="1"/>
    </xf>
    <xf numFmtId="174" fontId="9" fillId="0" borderId="0" xfId="21" applyNumberFormat="1" applyFont="1" applyAlignment="1">
      <alignment horizontal="left"/>
    </xf>
    <xf numFmtId="182" fontId="9" fillId="0" borderId="0" xfId="25" applyNumberFormat="1" applyFont="1" applyAlignment="1">
      <alignment horizontal="left" wrapText="1"/>
    </xf>
    <xf numFmtId="182" fontId="51" fillId="0" borderId="0" xfId="25" applyNumberFormat="1" applyFont="1" applyAlignment="1">
      <alignment horizontal="left" wrapText="1"/>
    </xf>
    <xf numFmtId="167" fontId="16" fillId="0" borderId="0" xfId="21" applyNumberFormat="1" applyFont="1" applyAlignment="1">
      <alignment horizontal="center"/>
    </xf>
    <xf numFmtId="167" fontId="9" fillId="0" borderId="0" xfId="21" applyNumberFormat="1" applyFont="1" applyAlignment="1">
      <alignment horizontal="center"/>
    </xf>
    <xf numFmtId="181" fontId="9" fillId="0" borderId="0" xfId="21" applyNumberFormat="1" applyFont="1" applyBorder="1"/>
    <xf numFmtId="181" fontId="9" fillId="0" borderId="26" xfId="21" applyNumberFormat="1" applyFont="1" applyBorder="1"/>
    <xf numFmtId="181" fontId="9" fillId="0" borderId="0" xfId="21" applyNumberFormat="1" applyFont="1"/>
    <xf numFmtId="0" fontId="9" fillId="0" borderId="26" xfId="21" applyFont="1" applyBorder="1"/>
    <xf numFmtId="3" fontId="9" fillId="0" borderId="0" xfId="21" applyNumberFormat="1" applyFont="1"/>
    <xf numFmtId="0" fontId="16" fillId="0" borderId="0" xfId="21" applyFont="1" applyBorder="1"/>
    <xf numFmtId="165" fontId="9" fillId="0" borderId="0" xfId="27" applyNumberFormat="1" applyFont="1" applyBorder="1"/>
    <xf numFmtId="165" fontId="17" fillId="0" borderId="0" xfId="27" applyNumberFormat="1" applyFont="1" applyBorder="1"/>
    <xf numFmtId="181" fontId="16" fillId="0" borderId="0" xfId="21" applyNumberFormat="1" applyFont="1"/>
    <xf numFmtId="165" fontId="9" fillId="0" borderId="0" xfId="21" applyNumberFormat="1" applyFont="1"/>
    <xf numFmtId="167" fontId="50" fillId="0" borderId="0" xfId="21" applyNumberFormat="1" applyFont="1" applyAlignment="1">
      <alignment horizontal="center"/>
    </xf>
    <xf numFmtId="0" fontId="15" fillId="0" borderId="0" xfId="21" applyFont="1"/>
    <xf numFmtId="170" fontId="10" fillId="3" borderId="0" xfId="14" applyNumberFormat="1" applyFont="1" applyFill="1" applyBorder="1" applyAlignment="1" applyProtection="1">
      <alignment vertical="top"/>
    </xf>
    <xf numFmtId="170" fontId="10" fillId="3" borderId="34" xfId="14" applyNumberFormat="1" applyFont="1" applyFill="1" applyBorder="1" applyAlignment="1" applyProtection="1">
      <alignment vertical="top"/>
    </xf>
    <xf numFmtId="170" fontId="10" fillId="3" borderId="12" xfId="14" applyNumberFormat="1" applyFont="1" applyFill="1" applyBorder="1" applyAlignment="1" applyProtection="1">
      <alignment vertical="top"/>
    </xf>
    <xf numFmtId="170" fontId="20" fillId="3" borderId="12" xfId="14" applyNumberFormat="1" applyFont="1" applyFill="1" applyBorder="1" applyAlignment="1" applyProtection="1">
      <alignment vertical="top"/>
    </xf>
    <xf numFmtId="170" fontId="14" fillId="3" borderId="0" xfId="19" applyNumberFormat="1" applyFont="1" applyFill="1" applyBorder="1" applyAlignment="1">
      <alignment vertical="top"/>
    </xf>
    <xf numFmtId="170" fontId="25" fillId="3" borderId="0" xfId="19" applyNumberFormat="1" applyFont="1" applyFill="1" applyBorder="1" applyAlignment="1">
      <alignment vertical="top"/>
    </xf>
    <xf numFmtId="165" fontId="10" fillId="3" borderId="12" xfId="27" applyNumberFormat="1" applyFont="1" applyFill="1" applyBorder="1" applyAlignment="1" applyProtection="1">
      <alignment vertical="top"/>
    </xf>
    <xf numFmtId="0" fontId="34" fillId="6" borderId="6" xfId="19" applyFont="1" applyFill="1" applyBorder="1"/>
    <xf numFmtId="0" fontId="34" fillId="6" borderId="62" xfId="19" applyFont="1" applyFill="1" applyBorder="1"/>
    <xf numFmtId="0" fontId="34" fillId="8" borderId="63" xfId="19" applyFont="1" applyFill="1" applyBorder="1"/>
    <xf numFmtId="3" fontId="15" fillId="4" borderId="64" xfId="19" applyNumberFormat="1" applyFont="1" applyFill="1" applyBorder="1"/>
    <xf numFmtId="3" fontId="10" fillId="3" borderId="6" xfId="19" applyNumberFormat="1" applyFont="1" applyFill="1" applyBorder="1"/>
    <xf numFmtId="3" fontId="9" fillId="3" borderId="6" xfId="0" applyNumberFormat="1" applyFont="1" applyFill="1" applyBorder="1" applyAlignment="1">
      <alignment vertical="top"/>
    </xf>
    <xf numFmtId="3" fontId="15" fillId="3" borderId="64" xfId="19" applyNumberFormat="1" applyFont="1" applyFill="1" applyBorder="1"/>
    <xf numFmtId="165" fontId="10" fillId="3" borderId="6" xfId="0" applyNumberFormat="1" applyFont="1" applyFill="1" applyBorder="1"/>
    <xf numFmtId="3" fontId="15" fillId="3" borderId="6" xfId="19" applyNumberFormat="1" applyFont="1" applyFill="1" applyBorder="1"/>
    <xf numFmtId="3" fontId="15" fillId="4" borderId="6" xfId="19" applyNumberFormat="1" applyFont="1" applyFill="1" applyBorder="1"/>
    <xf numFmtId="9" fontId="10" fillId="3" borderId="6" xfId="19" applyNumberFormat="1" applyFont="1" applyFill="1" applyBorder="1"/>
    <xf numFmtId="9" fontId="9" fillId="3" borderId="6" xfId="0" applyNumberFormat="1" applyFont="1" applyFill="1" applyBorder="1" applyAlignment="1">
      <alignment vertical="top"/>
    </xf>
    <xf numFmtId="165" fontId="15" fillId="3" borderId="64" xfId="19" applyNumberFormat="1" applyFont="1" applyFill="1" applyBorder="1"/>
    <xf numFmtId="165" fontId="15" fillId="3" borderId="62" xfId="19" applyNumberFormat="1" applyFont="1" applyFill="1" applyBorder="1"/>
    <xf numFmtId="170" fontId="10" fillId="3" borderId="6" xfId="19" applyNumberFormat="1" applyFont="1" applyFill="1" applyBorder="1"/>
    <xf numFmtId="166" fontId="36" fillId="3" borderId="6" xfId="19" applyNumberFormat="1" applyFont="1" applyFill="1" applyBorder="1"/>
    <xf numFmtId="9" fontId="15" fillId="3" borderId="6" xfId="0" applyNumberFormat="1" applyFont="1" applyFill="1" applyBorder="1"/>
    <xf numFmtId="166" fontId="20" fillId="3" borderId="6" xfId="0" applyNumberFormat="1" applyFont="1" applyFill="1" applyBorder="1"/>
    <xf numFmtId="0" fontId="34" fillId="6" borderId="63" xfId="19" applyFont="1" applyFill="1" applyBorder="1"/>
    <xf numFmtId="170" fontId="15" fillId="4" borderId="6" xfId="19" applyNumberFormat="1" applyFont="1" applyFill="1" applyBorder="1"/>
    <xf numFmtId="9" fontId="15" fillId="3" borderId="6" xfId="19" applyNumberFormat="1" applyFont="1" applyFill="1" applyBorder="1"/>
    <xf numFmtId="3" fontId="20" fillId="3" borderId="6" xfId="19" applyNumberFormat="1" applyFont="1" applyFill="1" applyBorder="1" applyAlignment="1">
      <alignment vertical="top"/>
    </xf>
    <xf numFmtId="170" fontId="15" fillId="3" borderId="65" xfId="19" applyNumberFormat="1" applyFont="1" applyFill="1" applyBorder="1"/>
    <xf numFmtId="170" fontId="23" fillId="4" borderId="6" xfId="19" applyNumberFormat="1" applyFont="1" applyFill="1" applyBorder="1"/>
    <xf numFmtId="9" fontId="23" fillId="3" borderId="6" xfId="19" applyNumberFormat="1" applyFont="1" applyFill="1" applyBorder="1"/>
    <xf numFmtId="3" fontId="26" fillId="3" borderId="6" xfId="19" applyNumberFormat="1" applyFont="1" applyFill="1" applyBorder="1" applyAlignment="1">
      <alignment vertical="top"/>
    </xf>
    <xf numFmtId="9" fontId="25" fillId="3" borderId="6" xfId="19" applyNumberFormat="1" applyFont="1" applyFill="1" applyBorder="1"/>
    <xf numFmtId="170" fontId="23" fillId="3" borderId="65" xfId="19" applyNumberFormat="1" applyFont="1" applyFill="1" applyBorder="1"/>
    <xf numFmtId="166" fontId="25" fillId="3" borderId="66" xfId="0" applyNumberFormat="1" applyFont="1" applyFill="1" applyBorder="1"/>
    <xf numFmtId="166" fontId="25" fillId="3" borderId="6" xfId="0" applyNumberFormat="1" applyFont="1" applyFill="1" applyBorder="1"/>
    <xf numFmtId="9" fontId="25" fillId="3" borderId="6" xfId="0" applyNumberFormat="1" applyFont="1" applyFill="1" applyBorder="1"/>
    <xf numFmtId="165" fontId="25" fillId="3" borderId="6" xfId="0" applyNumberFormat="1" applyFont="1" applyFill="1" applyBorder="1"/>
    <xf numFmtId="166" fontId="25" fillId="3" borderId="67" xfId="19" applyNumberFormat="1" applyFont="1" applyFill="1" applyBorder="1"/>
    <xf numFmtId="170" fontId="25" fillId="3" borderId="68" xfId="19" applyNumberFormat="1" applyFont="1" applyFill="1" applyBorder="1"/>
    <xf numFmtId="170" fontId="25" fillId="3" borderId="6" xfId="19" applyNumberFormat="1" applyFont="1" applyFill="1" applyBorder="1"/>
    <xf numFmtId="166" fontId="25" fillId="3" borderId="6" xfId="19" applyNumberFormat="1" applyFont="1" applyFill="1" applyBorder="1"/>
    <xf numFmtId="170" fontId="25" fillId="3" borderId="65" xfId="19" applyNumberFormat="1" applyFont="1" applyFill="1" applyBorder="1"/>
    <xf numFmtId="0" fontId="25" fillId="3" borderId="6" xfId="19" applyFont="1" applyFill="1" applyBorder="1" applyAlignment="1">
      <alignment vertical="top"/>
    </xf>
    <xf numFmtId="165" fontId="37" fillId="3" borderId="66" xfId="19" applyNumberFormat="1" applyFont="1" applyFill="1" applyBorder="1"/>
    <xf numFmtId="170" fontId="25" fillId="3" borderId="6" xfId="0" applyNumberFormat="1" applyFont="1" applyFill="1" applyBorder="1"/>
    <xf numFmtId="170" fontId="25" fillId="3" borderId="6" xfId="19" applyNumberFormat="1" applyFont="1" applyFill="1" applyBorder="1" applyAlignment="1" applyProtection="1">
      <alignment vertical="top"/>
    </xf>
    <xf numFmtId="165" fontId="25" fillId="3" borderId="6" xfId="19" applyNumberFormat="1" applyFont="1" applyFill="1" applyBorder="1" applyAlignment="1" applyProtection="1">
      <alignment vertical="top"/>
    </xf>
    <xf numFmtId="169" fontId="25" fillId="3" borderId="6" xfId="19" applyNumberFormat="1" applyFont="1" applyFill="1" applyBorder="1"/>
    <xf numFmtId="2" fontId="26" fillId="3" borderId="6" xfId="19" applyNumberFormat="1" applyFont="1" applyFill="1" applyBorder="1" applyAlignment="1">
      <alignment vertical="top"/>
    </xf>
    <xf numFmtId="170" fontId="25" fillId="3" borderId="69" xfId="19" applyNumberFormat="1" applyFont="1" applyFill="1" applyBorder="1" applyAlignment="1"/>
    <xf numFmtId="170" fontId="25" fillId="3" borderId="6" xfId="19" applyNumberFormat="1" applyFont="1" applyFill="1" applyBorder="1" applyAlignment="1"/>
    <xf numFmtId="170" fontId="23" fillId="7" borderId="6" xfId="19" applyNumberFormat="1" applyFont="1" applyFill="1" applyBorder="1"/>
    <xf numFmtId="170" fontId="23" fillId="4" borderId="6" xfId="8" applyNumberFormat="1" applyFont="1" applyFill="1" applyBorder="1"/>
    <xf numFmtId="3" fontId="23" fillId="3" borderId="66" xfId="19" applyNumberFormat="1" applyFont="1" applyFill="1" applyBorder="1"/>
    <xf numFmtId="166" fontId="24" fillId="3" borderId="6" xfId="19" applyNumberFormat="1" applyFont="1" applyFill="1" applyBorder="1"/>
    <xf numFmtId="1" fontId="23" fillId="3" borderId="6" xfId="19" applyNumberFormat="1" applyFont="1" applyFill="1" applyBorder="1"/>
    <xf numFmtId="166" fontId="23" fillId="3" borderId="6" xfId="19" applyNumberFormat="1" applyFont="1" applyFill="1" applyBorder="1"/>
    <xf numFmtId="170" fontId="25" fillId="3" borderId="66" xfId="19" applyNumberFormat="1" applyFont="1" applyFill="1" applyBorder="1"/>
    <xf numFmtId="170" fontId="25" fillId="3" borderId="6" xfId="19" applyNumberFormat="1" applyFont="1" applyFill="1" applyBorder="1" applyAlignment="1">
      <alignment vertical="top"/>
    </xf>
    <xf numFmtId="9" fontId="25" fillId="3" borderId="66" xfId="19" applyNumberFormat="1" applyFont="1" applyFill="1" applyBorder="1"/>
    <xf numFmtId="172" fontId="25" fillId="3" borderId="66" xfId="8" applyNumberFormat="1" applyFont="1" applyFill="1" applyBorder="1"/>
    <xf numFmtId="172" fontId="26" fillId="3" borderId="6" xfId="8" applyNumberFormat="1" applyFont="1" applyFill="1" applyBorder="1"/>
    <xf numFmtId="165" fontId="25" fillId="3" borderId="6" xfId="19" applyNumberFormat="1" applyFont="1" applyFill="1" applyBorder="1"/>
    <xf numFmtId="165" fontId="23" fillId="3" borderId="6" xfId="19" applyNumberFormat="1" applyFont="1" applyFill="1" applyBorder="1"/>
    <xf numFmtId="170" fontId="23" fillId="7" borderId="6" xfId="8" applyNumberFormat="1" applyFont="1" applyFill="1" applyBorder="1"/>
    <xf numFmtId="170" fontId="23" fillId="3" borderId="6" xfId="19" applyNumberFormat="1" applyFont="1" applyFill="1" applyBorder="1"/>
    <xf numFmtId="166" fontId="10" fillId="3" borderId="6" xfId="0" applyNumberFormat="1" applyFont="1" applyFill="1" applyBorder="1"/>
    <xf numFmtId="9" fontId="38" fillId="3" borderId="6" xfId="0" applyNumberFormat="1" applyFont="1" applyFill="1" applyBorder="1"/>
    <xf numFmtId="170" fontId="37" fillId="3" borderId="6" xfId="19" applyNumberFormat="1" applyFont="1" applyFill="1" applyBorder="1"/>
    <xf numFmtId="170" fontId="39" fillId="3" borderId="6" xfId="19" applyNumberFormat="1" applyFont="1" applyFill="1" applyBorder="1"/>
    <xf numFmtId="170" fontId="37" fillId="3" borderId="6" xfId="8" applyNumberFormat="1" applyFont="1" applyFill="1" applyBorder="1"/>
    <xf numFmtId="166" fontId="23" fillId="4" borderId="6" xfId="19" applyNumberFormat="1" applyFont="1" applyFill="1" applyBorder="1"/>
    <xf numFmtId="170" fontId="25" fillId="3" borderId="6" xfId="8" applyNumberFormat="1" applyFont="1" applyFill="1" applyBorder="1"/>
    <xf numFmtId="169" fontId="37" fillId="3" borderId="63" xfId="8" applyNumberFormat="1" applyFont="1" applyFill="1" applyBorder="1"/>
    <xf numFmtId="9" fontId="37" fillId="4" borderId="6" xfId="8" applyNumberFormat="1" applyFont="1" applyFill="1" applyBorder="1"/>
    <xf numFmtId="166" fontId="25" fillId="3" borderId="6" xfId="8" applyNumberFormat="1" applyFont="1" applyFill="1" applyBorder="1"/>
    <xf numFmtId="166" fontId="23" fillId="3" borderId="6" xfId="8" applyNumberFormat="1" applyFont="1" applyFill="1" applyBorder="1"/>
    <xf numFmtId="168" fontId="25" fillId="3" borderId="6" xfId="8" applyNumberFormat="1" applyFont="1" applyFill="1" applyBorder="1"/>
    <xf numFmtId="170" fontId="40" fillId="3" borderId="6" xfId="19" applyNumberFormat="1" applyFont="1" applyFill="1" applyBorder="1"/>
    <xf numFmtId="169" fontId="26" fillId="3" borderId="6" xfId="19" applyNumberFormat="1" applyFont="1" applyFill="1" applyBorder="1"/>
    <xf numFmtId="169" fontId="23" fillId="3" borderId="6" xfId="19" applyNumberFormat="1" applyFont="1" applyFill="1" applyBorder="1"/>
    <xf numFmtId="9" fontId="40" fillId="3" borderId="6" xfId="19" applyNumberFormat="1" applyFont="1" applyFill="1" applyBorder="1"/>
    <xf numFmtId="7" fontId="23" fillId="3" borderId="6" xfId="19" applyNumberFormat="1" applyFont="1" applyFill="1" applyBorder="1"/>
    <xf numFmtId="170" fontId="38" fillId="3" borderId="6" xfId="19" applyNumberFormat="1" applyFont="1" applyFill="1" applyBorder="1"/>
    <xf numFmtId="9" fontId="39" fillId="3" borderId="6" xfId="19" applyNumberFormat="1" applyFont="1" applyFill="1" applyBorder="1" applyAlignment="1">
      <alignment vertical="top"/>
    </xf>
    <xf numFmtId="169" fontId="39" fillId="3" borderId="6" xfId="19" applyNumberFormat="1" applyFont="1" applyFill="1" applyBorder="1" applyAlignment="1">
      <alignment vertical="top"/>
    </xf>
    <xf numFmtId="170" fontId="38" fillId="3" borderId="6" xfId="19" applyNumberFormat="1" applyFont="1" applyFill="1" applyBorder="1" applyAlignment="1">
      <alignment vertical="top"/>
    </xf>
    <xf numFmtId="9" fontId="25" fillId="3" borderId="6" xfId="19" applyNumberFormat="1" applyFont="1" applyFill="1" applyBorder="1" applyAlignment="1">
      <alignment vertical="top"/>
    </xf>
    <xf numFmtId="169" fontId="39" fillId="6" borderId="6" xfId="19" applyNumberFormat="1" applyFont="1" applyFill="1" applyBorder="1" applyAlignment="1">
      <alignment vertical="top"/>
    </xf>
    <xf numFmtId="169" fontId="54" fillId="8" borderId="6" xfId="19" applyNumberFormat="1" applyFont="1" applyFill="1" applyBorder="1" applyAlignment="1">
      <alignment vertical="top"/>
    </xf>
    <xf numFmtId="5" fontId="25" fillId="3" borderId="6" xfId="24" applyNumberFormat="1" applyFont="1" applyFill="1" applyBorder="1"/>
    <xf numFmtId="5" fontId="25" fillId="3" borderId="6" xfId="19" applyNumberFormat="1" applyFont="1" applyFill="1" applyBorder="1"/>
    <xf numFmtId="5" fontId="15" fillId="4" borderId="63" xfId="19" applyNumberFormat="1" applyFont="1" applyFill="1" applyBorder="1" applyAlignment="1">
      <alignment horizontal="right"/>
    </xf>
    <xf numFmtId="0" fontId="23" fillId="3" borderId="63" xfId="24" applyFont="1" applyFill="1" applyBorder="1"/>
    <xf numFmtId="0" fontId="9" fillId="3" borderId="6" xfId="0" applyFont="1" applyFill="1" applyBorder="1" applyAlignment="1">
      <alignment vertical="top"/>
    </xf>
    <xf numFmtId="0" fontId="25" fillId="3" borderId="6" xfId="24" applyFont="1" applyFill="1" applyBorder="1"/>
    <xf numFmtId="169" fontId="42" fillId="3" borderId="6" xfId="19" applyNumberFormat="1" applyFont="1" applyFill="1" applyBorder="1" applyAlignment="1">
      <alignment vertical="top"/>
    </xf>
    <xf numFmtId="170" fontId="39" fillId="3" borderId="6" xfId="19" applyNumberFormat="1" applyFont="1" applyFill="1" applyBorder="1" applyAlignment="1">
      <alignment vertical="top"/>
    </xf>
    <xf numFmtId="170" fontId="42" fillId="3" borderId="6" xfId="19" applyNumberFormat="1" applyFont="1" applyFill="1" applyBorder="1" applyAlignment="1">
      <alignment vertical="top"/>
    </xf>
    <xf numFmtId="43" fontId="20" fillId="3" borderId="6" xfId="8" applyFont="1" applyFill="1" applyBorder="1" applyAlignment="1">
      <alignment vertical="top"/>
    </xf>
    <xf numFmtId="0" fontId="25" fillId="3" borderId="6" xfId="19" applyFont="1" applyFill="1" applyBorder="1"/>
    <xf numFmtId="0" fontId="25" fillId="4" borderId="6" xfId="0" applyFont="1" applyFill="1" applyBorder="1"/>
    <xf numFmtId="178" fontId="34" fillId="6" borderId="6" xfId="19" applyNumberFormat="1" applyFont="1" applyFill="1" applyBorder="1" applyAlignment="1" applyProtection="1">
      <alignment horizontal="center"/>
    </xf>
    <xf numFmtId="0" fontId="34" fillId="6" borderId="8" xfId="19" quotePrefix="1" applyNumberFormat="1" applyFont="1" applyFill="1" applyBorder="1" applyAlignment="1" applyProtection="1">
      <alignment horizontal="center"/>
    </xf>
    <xf numFmtId="10" fontId="15" fillId="4" borderId="6" xfId="27" applyNumberFormat="1" applyFont="1" applyFill="1" applyBorder="1"/>
    <xf numFmtId="9" fontId="14" fillId="3" borderId="6" xfId="27" applyNumberFormat="1" applyFont="1" applyFill="1" applyBorder="1"/>
    <xf numFmtId="165" fontId="14" fillId="3" borderId="6" xfId="27" applyNumberFormat="1" applyFont="1" applyFill="1" applyBorder="1"/>
    <xf numFmtId="165" fontId="20" fillId="3" borderId="6" xfId="27" applyNumberFormat="1" applyFont="1" applyFill="1" applyBorder="1"/>
    <xf numFmtId="166" fontId="20" fillId="3" borderId="6" xfId="27" applyNumberFormat="1" applyFont="1" applyFill="1" applyBorder="1"/>
    <xf numFmtId="9" fontId="10" fillId="3" borderId="6" xfId="27" applyNumberFormat="1" applyFont="1" applyFill="1" applyBorder="1"/>
    <xf numFmtId="3" fontId="20" fillId="3" borderId="6" xfId="19" applyNumberFormat="1" applyFont="1" applyFill="1" applyBorder="1" applyAlignment="1" applyProtection="1">
      <alignment vertical="top"/>
    </xf>
    <xf numFmtId="165" fontId="14" fillId="3" borderId="66" xfId="0" applyNumberFormat="1" applyFont="1" applyFill="1" applyBorder="1" applyAlignment="1" applyProtection="1">
      <alignment vertical="top"/>
    </xf>
    <xf numFmtId="166" fontId="14" fillId="3" borderId="6" xfId="0" applyNumberFormat="1" applyFont="1" applyFill="1" applyBorder="1" applyAlignment="1" applyProtection="1">
      <alignment vertical="top"/>
    </xf>
    <xf numFmtId="165" fontId="10" fillId="3" borderId="67" xfId="27" applyNumberFormat="1" applyFont="1" applyFill="1" applyBorder="1"/>
    <xf numFmtId="170" fontId="10" fillId="3" borderId="68" xfId="19" applyNumberFormat="1" applyFont="1" applyFill="1" applyBorder="1"/>
    <xf numFmtId="170" fontId="15" fillId="4" borderId="6" xfId="0" applyNumberFormat="1" applyFont="1" applyFill="1" applyBorder="1"/>
    <xf numFmtId="165" fontId="10" fillId="3" borderId="6" xfId="27" applyNumberFormat="1" applyFont="1" applyFill="1" applyBorder="1"/>
    <xf numFmtId="170" fontId="10" fillId="3" borderId="65" xfId="19" applyNumberFormat="1" applyFont="1" applyFill="1" applyBorder="1"/>
    <xf numFmtId="165" fontId="10" fillId="3" borderId="6" xfId="19" applyNumberFormat="1" applyFont="1" applyFill="1" applyBorder="1"/>
    <xf numFmtId="165" fontId="14" fillId="3" borderId="6" xfId="19" applyNumberFormat="1" applyFont="1" applyFill="1" applyBorder="1" applyAlignment="1" applyProtection="1">
      <alignment vertical="top"/>
    </xf>
    <xf numFmtId="165" fontId="36" fillId="3" borderId="66" xfId="19" applyNumberFormat="1" applyFont="1" applyFill="1" applyBorder="1"/>
    <xf numFmtId="170" fontId="10" fillId="3" borderId="6" xfId="27" applyNumberFormat="1" applyFont="1" applyFill="1" applyBorder="1"/>
    <xf numFmtId="2" fontId="20" fillId="3" borderId="6" xfId="19" applyNumberFormat="1" applyFont="1" applyFill="1" applyBorder="1" applyAlignment="1" applyProtection="1">
      <alignment vertical="top"/>
    </xf>
    <xf numFmtId="170" fontId="10" fillId="3" borderId="69" xfId="27" applyNumberFormat="1" applyFont="1" applyFill="1" applyBorder="1" applyAlignment="1"/>
    <xf numFmtId="170" fontId="10" fillId="3" borderId="6" xfId="27" applyNumberFormat="1" applyFont="1" applyFill="1" applyBorder="1" applyAlignment="1"/>
    <xf numFmtId="170" fontId="14" fillId="3" borderId="6" xfId="27" applyNumberFormat="1" applyFont="1" applyFill="1" applyBorder="1" applyAlignment="1"/>
    <xf numFmtId="170" fontId="30" fillId="7" borderId="6" xfId="19" applyNumberFormat="1" applyFont="1" applyFill="1" applyBorder="1"/>
    <xf numFmtId="170" fontId="15" fillId="4" borderId="6" xfId="8" applyNumberFormat="1" applyFont="1" applyFill="1" applyBorder="1"/>
    <xf numFmtId="9" fontId="20" fillId="3" borderId="6" xfId="27" applyNumberFormat="1" applyFont="1" applyFill="1" applyBorder="1"/>
    <xf numFmtId="3" fontId="10" fillId="3" borderId="66" xfId="8" applyNumberFormat="1" applyFont="1" applyFill="1" applyBorder="1"/>
    <xf numFmtId="1" fontId="10" fillId="3" borderId="6" xfId="19" applyNumberFormat="1" applyFont="1" applyFill="1" applyBorder="1"/>
    <xf numFmtId="170" fontId="10" fillId="3" borderId="66" xfId="19" applyNumberFormat="1" applyFont="1" applyFill="1" applyBorder="1"/>
    <xf numFmtId="170" fontId="14" fillId="3" borderId="6" xfId="14" applyNumberFormat="1" applyFont="1" applyFill="1" applyBorder="1" applyAlignment="1" applyProtection="1">
      <alignment vertical="top"/>
    </xf>
    <xf numFmtId="169" fontId="10" fillId="3" borderId="66" xfId="19" applyNumberFormat="1" applyFont="1" applyFill="1" applyBorder="1"/>
    <xf numFmtId="169" fontId="14" fillId="3" borderId="6" xfId="19" applyNumberFormat="1" applyFont="1" applyFill="1" applyBorder="1" applyAlignment="1">
      <alignment vertical="top"/>
    </xf>
    <xf numFmtId="169" fontId="10" fillId="3" borderId="6" xfId="19" applyNumberFormat="1" applyFont="1" applyFill="1" applyBorder="1"/>
    <xf numFmtId="172" fontId="10" fillId="3" borderId="66" xfId="8" applyNumberFormat="1" applyFont="1" applyFill="1" applyBorder="1"/>
    <xf numFmtId="43" fontId="20" fillId="3" borderId="6" xfId="8" applyNumberFormat="1" applyFont="1" applyFill="1" applyBorder="1"/>
    <xf numFmtId="170" fontId="15" fillId="7" borderId="6" xfId="8" applyNumberFormat="1" applyFont="1" applyFill="1" applyBorder="1"/>
    <xf numFmtId="170" fontId="15" fillId="3" borderId="6" xfId="19" applyNumberFormat="1" applyFont="1" applyFill="1" applyBorder="1"/>
    <xf numFmtId="166" fontId="10" fillId="3" borderId="6" xfId="19" applyNumberFormat="1" applyFont="1" applyFill="1" applyBorder="1"/>
    <xf numFmtId="9" fontId="27" fillId="3" borderId="6" xfId="27" applyNumberFormat="1" applyFont="1" applyFill="1" applyBorder="1"/>
    <xf numFmtId="166" fontId="10" fillId="3" borderId="6" xfId="27" applyNumberFormat="1" applyFont="1" applyFill="1" applyBorder="1"/>
    <xf numFmtId="170" fontId="15" fillId="3" borderId="6" xfId="8" applyNumberFormat="1" applyFont="1" applyFill="1" applyBorder="1"/>
    <xf numFmtId="170" fontId="15" fillId="4" borderId="6" xfId="27" applyNumberFormat="1" applyFont="1" applyFill="1" applyBorder="1"/>
    <xf numFmtId="170" fontId="13" fillId="3" borderId="6" xfId="8" applyNumberFormat="1" applyFont="1" applyFill="1" applyBorder="1" applyProtection="1">
      <protection locked="0"/>
    </xf>
    <xf numFmtId="170" fontId="28" fillId="3" borderId="6" xfId="8" applyNumberFormat="1" applyFont="1" applyFill="1" applyBorder="1"/>
    <xf numFmtId="165" fontId="15" fillId="4" borderId="6" xfId="27" applyNumberFormat="1" applyFont="1" applyFill="1" applyBorder="1"/>
    <xf numFmtId="170" fontId="20" fillId="3" borderId="6" xfId="19" applyNumberFormat="1" applyFont="1" applyFill="1" applyBorder="1" applyProtection="1"/>
    <xf numFmtId="170" fontId="20" fillId="3" borderId="6" xfId="8" applyNumberFormat="1" applyFont="1" applyFill="1" applyBorder="1" applyProtection="1"/>
    <xf numFmtId="9" fontId="20" fillId="3" borderId="6" xfId="19" applyNumberFormat="1" applyFont="1" applyFill="1" applyBorder="1" applyProtection="1"/>
    <xf numFmtId="9" fontId="20" fillId="4" borderId="6" xfId="19" applyNumberFormat="1" applyFont="1" applyFill="1" applyBorder="1" applyProtection="1"/>
    <xf numFmtId="166" fontId="20" fillId="3" borderId="6" xfId="8" applyNumberFormat="1" applyFont="1" applyFill="1" applyBorder="1" applyProtection="1"/>
    <xf numFmtId="166" fontId="14" fillId="3" borderId="6" xfId="19" applyNumberFormat="1" applyFont="1" applyFill="1" applyBorder="1" applyAlignment="1" applyProtection="1">
      <alignment horizontal="right"/>
    </xf>
    <xf numFmtId="166" fontId="29" fillId="3" borderId="6" xfId="8" applyNumberFormat="1" applyFont="1" applyFill="1" applyBorder="1" applyProtection="1"/>
    <xf numFmtId="165" fontId="14" fillId="3" borderId="6" xfId="27" applyNumberFormat="1" applyFont="1" applyFill="1" applyBorder="1" applyAlignment="1" applyProtection="1">
      <alignment horizontal="right"/>
    </xf>
    <xf numFmtId="169" fontId="20" fillId="3" borderId="6" xfId="19" applyNumberFormat="1" applyFont="1" applyFill="1" applyBorder="1"/>
    <xf numFmtId="169" fontId="29" fillId="3" borderId="6" xfId="19" applyNumberFormat="1" applyFont="1" applyFill="1" applyBorder="1"/>
    <xf numFmtId="170" fontId="27" fillId="3" borderId="6" xfId="14" applyNumberFormat="1" applyFont="1" applyFill="1" applyBorder="1"/>
    <xf numFmtId="9" fontId="10" fillId="3" borderId="6" xfId="27" applyNumberFormat="1" applyFont="1" applyFill="1" applyBorder="1" applyAlignment="1">
      <alignment vertical="top"/>
    </xf>
    <xf numFmtId="165" fontId="10" fillId="3" borderId="6" xfId="27" applyNumberFormat="1" applyFont="1" applyFill="1" applyBorder="1" applyAlignment="1">
      <alignment vertical="top"/>
    </xf>
    <xf numFmtId="170" fontId="27" fillId="3" borderId="6" xfId="14" applyNumberFormat="1" applyFont="1" applyFill="1" applyBorder="1" applyAlignment="1">
      <alignment vertical="top"/>
    </xf>
    <xf numFmtId="170" fontId="10" fillId="3" borderId="6" xfId="14" applyNumberFormat="1" applyFont="1" applyFill="1" applyBorder="1" applyAlignment="1">
      <alignment vertical="top"/>
    </xf>
    <xf numFmtId="169" fontId="20" fillId="3" borderId="6" xfId="8" applyNumberFormat="1" applyFont="1" applyFill="1" applyBorder="1" applyAlignment="1">
      <alignment vertical="top"/>
    </xf>
    <xf numFmtId="165" fontId="20" fillId="6" borderId="6" xfId="8" applyNumberFormat="1" applyFont="1" applyFill="1" applyBorder="1" applyAlignment="1">
      <alignment vertical="top"/>
    </xf>
    <xf numFmtId="165" fontId="49" fillId="8" borderId="6" xfId="8" applyNumberFormat="1" applyFont="1" applyFill="1" applyBorder="1" applyAlignment="1">
      <alignment vertical="top"/>
    </xf>
    <xf numFmtId="170" fontId="10" fillId="3" borderId="6" xfId="24" applyNumberFormat="1" applyFont="1" applyFill="1" applyBorder="1"/>
    <xf numFmtId="165" fontId="20" fillId="3" borderId="6" xfId="8" applyNumberFormat="1" applyFont="1" applyFill="1" applyBorder="1" applyAlignment="1">
      <alignment vertical="top"/>
    </xf>
    <xf numFmtId="170" fontId="14" fillId="3" borderId="6" xfId="24" applyNumberFormat="1" applyFont="1" applyFill="1" applyBorder="1"/>
    <xf numFmtId="0" fontId="10" fillId="4" borderId="6" xfId="0" applyFont="1" applyFill="1" applyBorder="1"/>
    <xf numFmtId="9" fontId="20" fillId="3" borderId="6" xfId="27" applyNumberFormat="1" applyFont="1" applyFill="1" applyBorder="1" applyProtection="1"/>
    <xf numFmtId="166" fontId="20" fillId="3" borderId="6" xfId="19" applyNumberFormat="1" applyFont="1" applyFill="1" applyBorder="1" applyProtection="1"/>
    <xf numFmtId="166" fontId="10" fillId="3" borderId="7" xfId="0" applyNumberFormat="1" applyFont="1" applyFill="1" applyBorder="1" applyAlignment="1">
      <alignment horizontal="left" indent="2"/>
    </xf>
    <xf numFmtId="0" fontId="6" fillId="0" borderId="0" xfId="18" quotePrefix="1"/>
    <xf numFmtId="166" fontId="17" fillId="6" borderId="0" xfId="0" applyNumberFormat="1" applyFont="1" applyFill="1" applyBorder="1" applyAlignment="1" applyProtection="1"/>
    <xf numFmtId="166" fontId="57" fillId="6" borderId="0" xfId="0" applyNumberFormat="1" applyFont="1" applyFill="1" applyBorder="1" applyAlignment="1" applyProtection="1">
      <alignment horizontal="right"/>
    </xf>
    <xf numFmtId="165" fontId="10" fillId="0" borderId="0" xfId="19" applyNumberFormat="1" applyFont="1" applyFill="1" applyBorder="1"/>
    <xf numFmtId="170" fontId="17" fillId="6" borderId="0" xfId="0" applyNumberFormat="1" applyFont="1" applyFill="1" applyBorder="1" applyAlignment="1" applyProtection="1"/>
    <xf numFmtId="170" fontId="10" fillId="3" borderId="7" xfId="19" applyNumberFormat="1" applyFont="1" applyFill="1" applyBorder="1" applyAlignment="1">
      <alignment horizontal="left"/>
    </xf>
    <xf numFmtId="170" fontId="10" fillId="0" borderId="12" xfId="24" applyNumberFormat="1" applyFont="1" applyFill="1" applyBorder="1"/>
    <xf numFmtId="0" fontId="10" fillId="0" borderId="0" xfId="24" applyFont="1" applyFill="1"/>
    <xf numFmtId="166" fontId="14" fillId="3" borderId="0" xfId="19" applyNumberFormat="1" applyFont="1" applyFill="1" applyBorder="1"/>
    <xf numFmtId="2" fontId="10" fillId="0" borderId="0" xfId="18" applyNumberFormat="1" applyFont="1" applyFill="1" applyAlignment="1">
      <alignment horizontal="center"/>
    </xf>
    <xf numFmtId="2" fontId="14" fillId="0" borderId="0" xfId="18" applyNumberFormat="1" applyFont="1" applyAlignment="1">
      <alignment horizontal="center"/>
    </xf>
    <xf numFmtId="169" fontId="6" fillId="0" borderId="0" xfId="18" applyNumberFormat="1" applyFill="1"/>
    <xf numFmtId="165" fontId="10" fillId="0" borderId="0" xfId="0" applyNumberFormat="1" applyFont="1" applyFill="1" applyBorder="1"/>
    <xf numFmtId="165" fontId="15" fillId="3" borderId="7" xfId="19" applyNumberFormat="1" applyFont="1" applyFill="1" applyBorder="1"/>
    <xf numFmtId="165" fontId="15" fillId="3" borderId="0" xfId="27" applyNumberFormat="1" applyFont="1" applyFill="1" applyBorder="1"/>
    <xf numFmtId="165" fontId="15" fillId="3" borderId="34" xfId="27" applyNumberFormat="1" applyFont="1" applyFill="1" applyBorder="1"/>
    <xf numFmtId="165" fontId="15" fillId="3" borderId="12" xfId="27" applyNumberFormat="1" applyFont="1" applyFill="1" applyBorder="1"/>
    <xf numFmtId="165" fontId="15" fillId="3" borderId="6" xfId="27" applyNumberFormat="1" applyFont="1" applyFill="1" applyBorder="1"/>
    <xf numFmtId="1" fontId="15" fillId="4" borderId="0" xfId="27" applyNumberFormat="1" applyFont="1" applyFill="1" applyBorder="1"/>
    <xf numFmtId="170" fontId="14" fillId="3" borderId="0" xfId="14" applyNumberFormat="1" applyFont="1" applyFill="1" applyBorder="1" applyAlignment="1" applyProtection="1">
      <alignment vertical="top"/>
    </xf>
    <xf numFmtId="3" fontId="10" fillId="3" borderId="0" xfId="27" applyNumberFormat="1" applyFont="1" applyFill="1" applyBorder="1"/>
    <xf numFmtId="3" fontId="10" fillId="3" borderId="34" xfId="27" applyNumberFormat="1" applyFont="1" applyFill="1" applyBorder="1"/>
    <xf numFmtId="3" fontId="10" fillId="3" borderId="12" xfId="27" applyNumberFormat="1" applyFont="1" applyFill="1" applyBorder="1"/>
    <xf numFmtId="3" fontId="20" fillId="3" borderId="12" xfId="27" applyNumberFormat="1" applyFont="1" applyFill="1" applyBorder="1"/>
    <xf numFmtId="3" fontId="20" fillId="3" borderId="0" xfId="27" applyNumberFormat="1" applyFont="1" applyFill="1" applyBorder="1"/>
    <xf numFmtId="3" fontId="52" fillId="3" borderId="0" xfId="19" applyNumberFormat="1" applyFont="1" applyFill="1" applyBorder="1"/>
    <xf numFmtId="3" fontId="20" fillId="3" borderId="6" xfId="27" applyNumberFormat="1" applyFont="1" applyFill="1" applyBorder="1"/>
    <xf numFmtId="3" fontId="36" fillId="3" borderId="6" xfId="19" applyNumberFormat="1" applyFont="1" applyFill="1" applyBorder="1"/>
    <xf numFmtId="3" fontId="55" fillId="6" borderId="0" xfId="0" applyNumberFormat="1" applyFont="1" applyFill="1" applyBorder="1" applyAlignment="1" applyProtection="1"/>
    <xf numFmtId="3" fontId="36" fillId="3" borderId="0" xfId="19" applyNumberFormat="1" applyFont="1" applyFill="1" applyBorder="1"/>
    <xf numFmtId="165" fontId="27" fillId="3" borderId="0" xfId="27" applyNumberFormat="1" applyFont="1" applyFill="1" applyBorder="1"/>
    <xf numFmtId="165" fontId="27" fillId="3" borderId="34" xfId="27" applyNumberFormat="1" applyFont="1" applyFill="1" applyBorder="1"/>
    <xf numFmtId="165" fontId="27" fillId="3" borderId="12" xfId="27" applyNumberFormat="1" applyFont="1" applyFill="1" applyBorder="1"/>
    <xf numFmtId="165" fontId="44" fillId="3" borderId="12" xfId="27" applyNumberFormat="1" applyFont="1" applyFill="1" applyBorder="1"/>
    <xf numFmtId="165" fontId="44" fillId="3" borderId="43" xfId="27" applyNumberFormat="1" applyFont="1" applyFill="1" applyBorder="1"/>
    <xf numFmtId="170" fontId="27" fillId="3" borderId="6" xfId="19" applyNumberFormat="1" applyFont="1" applyFill="1" applyBorder="1"/>
    <xf numFmtId="3" fontId="10" fillId="3" borderId="7" xfId="19" applyNumberFormat="1" applyFont="1" applyFill="1" applyBorder="1" applyAlignment="1">
      <alignment horizontal="left" indent="1"/>
    </xf>
    <xf numFmtId="165" fontId="47" fillId="3" borderId="0" xfId="27" applyNumberFormat="1" applyFont="1" applyFill="1" applyBorder="1"/>
    <xf numFmtId="169" fontId="20" fillId="4" borderId="0" xfId="19" applyNumberFormat="1" applyFont="1" applyFill="1" applyBorder="1" applyProtection="1"/>
    <xf numFmtId="165" fontId="10" fillId="3" borderId="61" xfId="0" applyNumberFormat="1" applyFont="1" applyFill="1" applyBorder="1"/>
    <xf numFmtId="170" fontId="10" fillId="3" borderId="61" xfId="19" applyNumberFormat="1" applyFont="1" applyFill="1" applyBorder="1"/>
    <xf numFmtId="165" fontId="14" fillId="3" borderId="61" xfId="27" applyNumberFormat="1" applyFont="1" applyFill="1" applyBorder="1"/>
    <xf numFmtId="0" fontId="34" fillId="0" borderId="0" xfId="19" applyFont="1" applyFill="1" applyBorder="1"/>
    <xf numFmtId="3" fontId="10" fillId="0" borderId="0" xfId="19" applyNumberFormat="1" applyFont="1" applyFill="1" applyBorder="1"/>
    <xf numFmtId="3" fontId="15" fillId="0" borderId="0" xfId="19" applyNumberFormat="1" applyFont="1" applyFill="1" applyBorder="1"/>
    <xf numFmtId="9" fontId="10" fillId="0" borderId="0" xfId="19" applyNumberFormat="1" applyFont="1" applyFill="1" applyBorder="1"/>
    <xf numFmtId="170" fontId="10" fillId="0" borderId="0" xfId="19" applyNumberFormat="1" applyFont="1" applyFill="1" applyBorder="1"/>
    <xf numFmtId="0" fontId="36" fillId="0" borderId="0" xfId="19" applyFont="1" applyFill="1" applyBorder="1"/>
    <xf numFmtId="3" fontId="36" fillId="0" borderId="0" xfId="19" applyNumberFormat="1" applyFont="1" applyFill="1" applyBorder="1"/>
    <xf numFmtId="170" fontId="27" fillId="0" borderId="0" xfId="19" applyNumberFormat="1" applyFont="1" applyFill="1" applyBorder="1"/>
    <xf numFmtId="9" fontId="15" fillId="0" borderId="0" xfId="0" applyNumberFormat="1" applyFont="1" applyFill="1" applyBorder="1"/>
    <xf numFmtId="166" fontId="20" fillId="0" borderId="0" xfId="0" applyNumberFormat="1" applyFont="1" applyFill="1" applyBorder="1"/>
    <xf numFmtId="170" fontId="15" fillId="0" borderId="0" xfId="19" applyNumberFormat="1" applyFont="1" applyFill="1" applyBorder="1"/>
    <xf numFmtId="9" fontId="15" fillId="0" borderId="0" xfId="19" applyNumberFormat="1" applyFont="1" applyFill="1" applyBorder="1"/>
    <xf numFmtId="3" fontId="20" fillId="0" borderId="0" xfId="19" applyNumberFormat="1" applyFont="1" applyFill="1" applyBorder="1" applyAlignment="1">
      <alignment vertical="top"/>
    </xf>
    <xf numFmtId="170" fontId="23" fillId="0" borderId="0" xfId="19" applyNumberFormat="1" applyFont="1" applyFill="1" applyBorder="1"/>
    <xf numFmtId="9" fontId="23" fillId="0" borderId="0" xfId="19" applyNumberFormat="1" applyFont="1" applyFill="1" applyBorder="1"/>
    <xf numFmtId="3" fontId="26" fillId="0" borderId="0" xfId="19" applyNumberFormat="1" applyFont="1" applyFill="1" applyBorder="1" applyAlignment="1">
      <alignment vertical="top"/>
    </xf>
    <xf numFmtId="9" fontId="25" fillId="0" borderId="0" xfId="19" applyNumberFormat="1" applyFont="1" applyFill="1" applyBorder="1"/>
    <xf numFmtId="166" fontId="25" fillId="0" borderId="0" xfId="0" applyNumberFormat="1" applyFont="1" applyFill="1" applyBorder="1"/>
    <xf numFmtId="9" fontId="25" fillId="0" borderId="0" xfId="0" applyNumberFormat="1" applyFont="1" applyFill="1" applyBorder="1"/>
    <xf numFmtId="165" fontId="25" fillId="0" borderId="0" xfId="0" applyNumberFormat="1" applyFont="1" applyFill="1" applyBorder="1"/>
    <xf numFmtId="170" fontId="25" fillId="0" borderId="0" xfId="19" applyNumberFormat="1" applyFont="1" applyFill="1" applyBorder="1"/>
    <xf numFmtId="0" fontId="25" fillId="0" borderId="0" xfId="19" applyFont="1" applyFill="1" applyBorder="1"/>
    <xf numFmtId="0" fontId="25" fillId="0" borderId="0" xfId="19" applyFont="1" applyFill="1" applyBorder="1" applyAlignment="1">
      <alignment vertical="top"/>
    </xf>
    <xf numFmtId="170" fontId="25" fillId="0" borderId="0" xfId="0" applyNumberFormat="1" applyFont="1" applyFill="1" applyBorder="1"/>
    <xf numFmtId="170" fontId="25" fillId="0" borderId="0" xfId="19" applyNumberFormat="1" applyFont="1" applyFill="1" applyBorder="1" applyAlignment="1" applyProtection="1">
      <alignment vertical="top"/>
    </xf>
    <xf numFmtId="165" fontId="25" fillId="0" borderId="0" xfId="19" applyNumberFormat="1" applyFont="1" applyFill="1" applyBorder="1" applyAlignment="1" applyProtection="1">
      <alignment vertical="top"/>
    </xf>
    <xf numFmtId="169" fontId="25" fillId="0" borderId="0" xfId="19" applyNumberFormat="1" applyFont="1" applyFill="1" applyBorder="1"/>
    <xf numFmtId="2" fontId="26" fillId="0" borderId="0" xfId="19" applyNumberFormat="1" applyFont="1" applyFill="1" applyBorder="1" applyAlignment="1">
      <alignment vertical="top"/>
    </xf>
    <xf numFmtId="170" fontId="25" fillId="0" borderId="0" xfId="19" applyNumberFormat="1" applyFont="1" applyFill="1" applyBorder="1" applyAlignment="1"/>
    <xf numFmtId="170" fontId="23" fillId="0" borderId="0" xfId="8" applyNumberFormat="1" applyFont="1" applyFill="1" applyBorder="1"/>
    <xf numFmtId="165" fontId="23" fillId="0" borderId="0" xfId="19" applyNumberFormat="1" applyFont="1" applyFill="1" applyBorder="1"/>
    <xf numFmtId="0" fontId="23" fillId="0" borderId="0" xfId="19" applyFont="1" applyFill="1" applyBorder="1"/>
    <xf numFmtId="1" fontId="23" fillId="0" borderId="0" xfId="19" applyNumberFormat="1" applyFont="1" applyFill="1" applyBorder="1"/>
    <xf numFmtId="170" fontId="25" fillId="0" borderId="0" xfId="19" applyNumberFormat="1" applyFont="1" applyFill="1" applyBorder="1" applyAlignment="1">
      <alignment vertical="top"/>
    </xf>
    <xf numFmtId="172" fontId="26" fillId="0" borderId="0" xfId="8" applyNumberFormat="1" applyFont="1" applyFill="1" applyBorder="1"/>
    <xf numFmtId="165" fontId="25" fillId="0" borderId="0" xfId="19" applyNumberFormat="1" applyFont="1" applyFill="1" applyBorder="1"/>
    <xf numFmtId="166" fontId="10" fillId="0" borderId="0" xfId="0" applyNumberFormat="1" applyFont="1" applyFill="1" applyBorder="1"/>
    <xf numFmtId="9" fontId="38" fillId="0" borderId="0" xfId="0" applyNumberFormat="1" applyFont="1" applyFill="1" applyBorder="1"/>
    <xf numFmtId="170" fontId="37" fillId="0" borderId="0" xfId="19" applyNumberFormat="1" applyFont="1" applyFill="1" applyBorder="1"/>
    <xf numFmtId="170" fontId="39" fillId="0" borderId="0" xfId="19" applyNumberFormat="1" applyFont="1" applyFill="1" applyBorder="1"/>
    <xf numFmtId="170" fontId="37" fillId="0" borderId="0" xfId="8" applyNumberFormat="1" applyFont="1" applyFill="1" applyBorder="1"/>
    <xf numFmtId="170" fontId="25" fillId="0" borderId="0" xfId="8" applyNumberFormat="1" applyFont="1" applyFill="1" applyBorder="1"/>
    <xf numFmtId="9" fontId="37" fillId="0" borderId="0" xfId="8" applyNumberFormat="1" applyFont="1" applyFill="1" applyBorder="1"/>
    <xf numFmtId="166" fontId="25" fillId="0" borderId="0" xfId="8" applyNumberFormat="1" applyFont="1" applyFill="1" applyBorder="1"/>
    <xf numFmtId="166" fontId="23" fillId="0" borderId="0" xfId="8" applyNumberFormat="1" applyFont="1" applyFill="1" applyBorder="1"/>
    <xf numFmtId="169" fontId="26" fillId="0" borderId="0" xfId="19" applyNumberFormat="1" applyFont="1" applyFill="1" applyBorder="1"/>
    <xf numFmtId="169" fontId="23" fillId="0" borderId="0" xfId="19" applyNumberFormat="1" applyFont="1" applyFill="1" applyBorder="1"/>
    <xf numFmtId="9" fontId="39" fillId="0" borderId="0" xfId="19" applyNumberFormat="1" applyFont="1" applyFill="1" applyBorder="1" applyAlignment="1">
      <alignment vertical="top"/>
    </xf>
    <xf numFmtId="169" fontId="39" fillId="0" borderId="0" xfId="19" applyNumberFormat="1" applyFont="1" applyFill="1" applyBorder="1" applyAlignment="1">
      <alignment vertical="top"/>
    </xf>
    <xf numFmtId="169" fontId="54" fillId="0" borderId="0" xfId="19" applyNumberFormat="1" applyFont="1" applyFill="1" applyBorder="1" applyAlignment="1">
      <alignment vertical="top"/>
    </xf>
    <xf numFmtId="5" fontId="25" fillId="0" borderId="0" xfId="19" applyNumberFormat="1" applyFont="1" applyFill="1" applyBorder="1"/>
    <xf numFmtId="0" fontId="25" fillId="0" borderId="0" xfId="24" applyFont="1" applyFill="1" applyBorder="1"/>
    <xf numFmtId="169" fontId="42" fillId="0" borderId="0" xfId="19" applyNumberFormat="1" applyFont="1" applyFill="1" applyBorder="1" applyAlignment="1">
      <alignment vertical="top"/>
    </xf>
    <xf numFmtId="170" fontId="39" fillId="0" borderId="0" xfId="19" applyNumberFormat="1" applyFont="1" applyFill="1" applyBorder="1" applyAlignment="1">
      <alignment vertical="top"/>
    </xf>
    <xf numFmtId="170" fontId="42" fillId="0" borderId="0" xfId="19" applyNumberFormat="1" applyFont="1" applyFill="1" applyBorder="1" applyAlignment="1">
      <alignment vertical="top"/>
    </xf>
    <xf numFmtId="0" fontId="25" fillId="0" borderId="0" xfId="0" applyFont="1" applyFill="1" applyBorder="1"/>
    <xf numFmtId="166" fontId="25" fillId="0" borderId="0" xfId="19" applyNumberFormat="1" applyFont="1" applyFill="1" applyBorder="1"/>
    <xf numFmtId="168" fontId="25" fillId="0" borderId="0" xfId="8" applyNumberFormat="1" applyFont="1" applyFill="1" applyBorder="1"/>
    <xf numFmtId="7" fontId="23" fillId="0" borderId="0" xfId="19" applyNumberFormat="1" applyFont="1" applyFill="1" applyBorder="1"/>
    <xf numFmtId="170" fontId="38" fillId="0" borderId="0" xfId="19" applyNumberFormat="1" applyFont="1" applyFill="1" applyBorder="1"/>
    <xf numFmtId="170" fontId="38" fillId="0" borderId="0" xfId="19" applyNumberFormat="1" applyFont="1" applyFill="1" applyBorder="1" applyAlignment="1">
      <alignment vertical="top"/>
    </xf>
    <xf numFmtId="9" fontId="25" fillId="0" borderId="0" xfId="19" applyNumberFormat="1" applyFont="1" applyFill="1" applyBorder="1" applyAlignment="1">
      <alignment vertical="top"/>
    </xf>
    <xf numFmtId="5" fontId="25" fillId="0" borderId="0" xfId="24" applyNumberFormat="1" applyFont="1" applyFill="1" applyBorder="1"/>
    <xf numFmtId="0" fontId="0" fillId="0" borderId="0" xfId="0" applyFill="1" applyBorder="1"/>
    <xf numFmtId="165" fontId="15" fillId="0" borderId="0" xfId="19" applyNumberFormat="1" applyFont="1" applyFill="1" applyBorder="1"/>
    <xf numFmtId="165" fontId="37" fillId="0" borderId="0" xfId="19" applyNumberFormat="1" applyFont="1" applyFill="1" applyBorder="1"/>
    <xf numFmtId="3" fontId="23" fillId="0" borderId="0" xfId="19" applyNumberFormat="1" applyFont="1" applyFill="1" applyBorder="1"/>
    <xf numFmtId="172" fontId="25" fillId="0" borderId="0" xfId="8" applyNumberFormat="1" applyFont="1" applyFill="1" applyBorder="1"/>
    <xf numFmtId="169" fontId="37" fillId="0" borderId="0" xfId="8" applyNumberFormat="1" applyFont="1" applyFill="1" applyBorder="1"/>
    <xf numFmtId="5" fontId="15" fillId="0" borderId="0" xfId="19" applyNumberFormat="1" applyFont="1" applyFill="1" applyBorder="1" applyAlignment="1">
      <alignment horizontal="right"/>
    </xf>
    <xf numFmtId="0" fontId="23" fillId="0" borderId="0" xfId="24" applyFont="1" applyFill="1" applyBorder="1"/>
    <xf numFmtId="0" fontId="7" fillId="0" borderId="0" xfId="0" applyFont="1" applyFill="1" applyBorder="1"/>
    <xf numFmtId="0" fontId="53" fillId="0" borderId="0" xfId="0" applyFont="1" applyFill="1" applyBorder="1"/>
    <xf numFmtId="0" fontId="34" fillId="6" borderId="70" xfId="0" applyFont="1" applyFill="1" applyBorder="1" applyAlignment="1">
      <alignment horizontal="center"/>
    </xf>
    <xf numFmtId="3" fontId="10" fillId="3" borderId="70" xfId="19" applyNumberFormat="1" applyFont="1" applyFill="1" applyBorder="1"/>
    <xf numFmtId="3" fontId="9" fillId="3" borderId="70" xfId="0" applyNumberFormat="1" applyFont="1" applyFill="1" applyBorder="1" applyAlignment="1">
      <alignment vertical="top"/>
    </xf>
    <xf numFmtId="3" fontId="15" fillId="3" borderId="70" xfId="19" applyNumberFormat="1" applyFont="1" applyFill="1" applyBorder="1"/>
    <xf numFmtId="165" fontId="15" fillId="3" borderId="70" xfId="19" applyNumberFormat="1" applyFont="1" applyFill="1" applyBorder="1"/>
    <xf numFmtId="166" fontId="36" fillId="3" borderId="70" xfId="19" applyNumberFormat="1" applyFont="1" applyFill="1" applyBorder="1"/>
    <xf numFmtId="3" fontId="36" fillId="3" borderId="70" xfId="19" applyNumberFormat="1" applyFont="1" applyFill="1" applyBorder="1"/>
    <xf numFmtId="9" fontId="15" fillId="3" borderId="70" xfId="0" applyNumberFormat="1" applyFont="1" applyFill="1" applyBorder="1"/>
    <xf numFmtId="9" fontId="15" fillId="3" borderId="70" xfId="19" applyNumberFormat="1" applyFont="1" applyFill="1" applyBorder="1"/>
    <xf numFmtId="170" fontId="15" fillId="3" borderId="70" xfId="19" applyNumberFormat="1" applyFont="1" applyFill="1" applyBorder="1"/>
    <xf numFmtId="9" fontId="23" fillId="3" borderId="70" xfId="19" applyNumberFormat="1" applyFont="1" applyFill="1" applyBorder="1"/>
    <xf numFmtId="170" fontId="23" fillId="3" borderId="70" xfId="19" applyNumberFormat="1" applyFont="1" applyFill="1" applyBorder="1"/>
    <xf numFmtId="9" fontId="23" fillId="3" borderId="70" xfId="0" applyNumberFormat="1" applyFont="1" applyFill="1" applyBorder="1"/>
    <xf numFmtId="165" fontId="37" fillId="3" borderId="70" xfId="19" applyNumberFormat="1" applyFont="1" applyFill="1" applyBorder="1"/>
    <xf numFmtId="170" fontId="23" fillId="7" borderId="70" xfId="19" applyNumberFormat="1" applyFont="1" applyFill="1" applyBorder="1"/>
    <xf numFmtId="170" fontId="23" fillId="0" borderId="70" xfId="19" applyNumberFormat="1" applyFont="1" applyFill="1" applyBorder="1"/>
    <xf numFmtId="9" fontId="23" fillId="0" borderId="70" xfId="19" applyNumberFormat="1" applyFont="1" applyFill="1" applyBorder="1"/>
    <xf numFmtId="0" fontId="34" fillId="0" borderId="70" xfId="19" applyFont="1" applyFill="1" applyBorder="1"/>
    <xf numFmtId="170" fontId="23" fillId="0" borderId="70" xfId="8" applyNumberFormat="1" applyFont="1" applyFill="1" applyBorder="1"/>
    <xf numFmtId="3" fontId="23" fillId="3" borderId="70" xfId="19" applyNumberFormat="1" applyFont="1" applyFill="1" applyBorder="1"/>
    <xf numFmtId="166" fontId="24" fillId="3" borderId="70" xfId="19" applyNumberFormat="1" applyFont="1" applyFill="1" applyBorder="1"/>
    <xf numFmtId="1" fontId="23" fillId="3" borderId="70" xfId="19" applyNumberFormat="1" applyFont="1" applyFill="1" applyBorder="1"/>
    <xf numFmtId="166" fontId="23" fillId="3" borderId="70" xfId="19" applyNumberFormat="1" applyFont="1" applyFill="1" applyBorder="1"/>
    <xf numFmtId="166" fontId="23" fillId="0" borderId="70" xfId="19" applyNumberFormat="1" applyFont="1" applyFill="1" applyBorder="1"/>
    <xf numFmtId="1" fontId="23" fillId="0" borderId="70" xfId="19" applyNumberFormat="1" applyFont="1" applyFill="1" applyBorder="1"/>
    <xf numFmtId="165" fontId="23" fillId="0" borderId="70" xfId="19" applyNumberFormat="1" applyFont="1" applyFill="1" applyBorder="1"/>
    <xf numFmtId="170" fontId="37" fillId="0" borderId="70" xfId="19" applyNumberFormat="1" applyFont="1" applyFill="1" applyBorder="1"/>
    <xf numFmtId="170" fontId="39" fillId="0" borderId="70" xfId="19" applyNumberFormat="1" applyFont="1" applyFill="1" applyBorder="1"/>
    <xf numFmtId="169" fontId="37" fillId="0" borderId="70" xfId="8" applyNumberFormat="1" applyFont="1" applyFill="1" applyBorder="1"/>
    <xf numFmtId="9" fontId="37" fillId="0" borderId="70" xfId="8" applyNumberFormat="1" applyFont="1" applyFill="1" applyBorder="1"/>
    <xf numFmtId="166" fontId="23" fillId="0" borderId="70" xfId="8" applyNumberFormat="1" applyFont="1" applyFill="1" applyBorder="1"/>
    <xf numFmtId="169" fontId="23" fillId="0" borderId="70" xfId="19" applyNumberFormat="1" applyFont="1" applyFill="1" applyBorder="1"/>
    <xf numFmtId="7" fontId="23" fillId="0" borderId="70" xfId="19" applyNumberFormat="1" applyFont="1" applyFill="1" applyBorder="1"/>
    <xf numFmtId="9" fontId="39" fillId="0" borderId="70" xfId="19" applyNumberFormat="1" applyFont="1" applyFill="1" applyBorder="1" applyAlignment="1">
      <alignment vertical="top"/>
    </xf>
    <xf numFmtId="169" fontId="39" fillId="0" borderId="70" xfId="19" applyNumberFormat="1" applyFont="1" applyFill="1" applyBorder="1" applyAlignment="1">
      <alignment vertical="top"/>
    </xf>
    <xf numFmtId="169" fontId="54" fillId="0" borderId="70" xfId="19" applyNumberFormat="1" applyFont="1" applyFill="1" applyBorder="1" applyAlignment="1">
      <alignment vertical="top"/>
    </xf>
    <xf numFmtId="5" fontId="15" fillId="0" borderId="70" xfId="19" applyNumberFormat="1" applyFont="1" applyFill="1" applyBorder="1" applyAlignment="1">
      <alignment horizontal="right"/>
    </xf>
    <xf numFmtId="0" fontId="23" fillId="0" borderId="70" xfId="24" applyFont="1" applyFill="1" applyBorder="1"/>
    <xf numFmtId="165" fontId="15" fillId="3" borderId="70" xfId="0" applyNumberFormat="1" applyFont="1" applyFill="1" applyBorder="1"/>
    <xf numFmtId="9" fontId="16" fillId="3" borderId="70" xfId="0" applyNumberFormat="1" applyFont="1" applyFill="1" applyBorder="1" applyAlignment="1">
      <alignment vertical="top"/>
    </xf>
    <xf numFmtId="170" fontId="36" fillId="3" borderId="70" xfId="19" applyNumberFormat="1" applyFont="1" applyFill="1" applyBorder="1"/>
    <xf numFmtId="166" fontId="29" fillId="3" borderId="70" xfId="0" applyNumberFormat="1" applyFont="1" applyFill="1" applyBorder="1"/>
    <xf numFmtId="3" fontId="29" fillId="3" borderId="70" xfId="19" applyNumberFormat="1" applyFont="1" applyFill="1" applyBorder="1" applyAlignment="1">
      <alignment vertical="top"/>
    </xf>
    <xf numFmtId="3" fontId="60" fillId="3" borderId="70" xfId="19" applyNumberFormat="1" applyFont="1" applyFill="1" applyBorder="1" applyAlignment="1">
      <alignment vertical="top"/>
    </xf>
    <xf numFmtId="166" fontId="23" fillId="3" borderId="70" xfId="0" applyNumberFormat="1" applyFont="1" applyFill="1" applyBorder="1"/>
    <xf numFmtId="165" fontId="23" fillId="3" borderId="70" xfId="0" applyNumberFormat="1" applyFont="1" applyFill="1" applyBorder="1"/>
    <xf numFmtId="0" fontId="23" fillId="3" borderId="70" xfId="19" applyFont="1" applyFill="1" applyBorder="1" applyAlignment="1">
      <alignment vertical="top"/>
    </xf>
    <xf numFmtId="170" fontId="23" fillId="3" borderId="70" xfId="0" applyNumberFormat="1" applyFont="1" applyFill="1" applyBorder="1"/>
    <xf numFmtId="170" fontId="23" fillId="3" borderId="70" xfId="19" applyNumberFormat="1" applyFont="1" applyFill="1" applyBorder="1" applyAlignment="1" applyProtection="1">
      <alignment vertical="top"/>
    </xf>
    <xf numFmtId="165" fontId="23" fillId="3" borderId="70" xfId="19" applyNumberFormat="1" applyFont="1" applyFill="1" applyBorder="1" applyAlignment="1" applyProtection="1">
      <alignment vertical="top"/>
    </xf>
    <xf numFmtId="2" fontId="60" fillId="3" borderId="70" xfId="19" applyNumberFormat="1" applyFont="1" applyFill="1" applyBorder="1" applyAlignment="1">
      <alignment vertical="top"/>
    </xf>
    <xf numFmtId="170" fontId="23" fillId="3" borderId="70" xfId="19" applyNumberFormat="1" applyFont="1" applyFill="1" applyBorder="1" applyAlignment="1"/>
    <xf numFmtId="170" fontId="23" fillId="3" borderId="70" xfId="19" applyNumberFormat="1" applyFont="1" applyFill="1" applyBorder="1" applyAlignment="1">
      <alignment vertical="top"/>
    </xf>
    <xf numFmtId="0" fontId="23" fillId="0" borderId="70" xfId="19" applyFont="1" applyFill="1" applyBorder="1" applyAlignment="1">
      <alignment vertical="top"/>
    </xf>
    <xf numFmtId="169" fontId="15" fillId="0" borderId="70" xfId="19" applyNumberFormat="1" applyFont="1" applyFill="1" applyBorder="1" applyAlignment="1">
      <alignment vertical="top"/>
    </xf>
    <xf numFmtId="172" fontId="23" fillId="0" borderId="70" xfId="8" applyNumberFormat="1" applyFont="1" applyFill="1" applyBorder="1"/>
    <xf numFmtId="172" fontId="60" fillId="3" borderId="70" xfId="8" applyNumberFormat="1" applyFont="1" applyFill="1" applyBorder="1"/>
    <xf numFmtId="165" fontId="23" fillId="3" borderId="70" xfId="19" applyNumberFormat="1" applyFont="1" applyFill="1" applyBorder="1"/>
    <xf numFmtId="9" fontId="37" fillId="0" borderId="70" xfId="0" applyNumberFormat="1" applyFont="1" applyFill="1" applyBorder="1"/>
    <xf numFmtId="166" fontId="23" fillId="0" borderId="70" xfId="0" applyNumberFormat="1" applyFont="1" applyFill="1" applyBorder="1"/>
    <xf numFmtId="168" fontId="23" fillId="0" borderId="70" xfId="8" applyNumberFormat="1" applyFont="1" applyFill="1" applyBorder="1"/>
    <xf numFmtId="170" fontId="61" fillId="0" borderId="70" xfId="19" applyNumberFormat="1" applyFont="1" applyFill="1" applyBorder="1"/>
    <xf numFmtId="169" fontId="60" fillId="0" borderId="70" xfId="19" applyNumberFormat="1" applyFont="1" applyFill="1" applyBorder="1"/>
    <xf numFmtId="9" fontId="61" fillId="0" borderId="70" xfId="19" applyNumberFormat="1" applyFont="1" applyFill="1" applyBorder="1"/>
    <xf numFmtId="170" fontId="37" fillId="0" borderId="70" xfId="19" applyNumberFormat="1" applyFont="1" applyFill="1" applyBorder="1" applyAlignment="1">
      <alignment vertical="top"/>
    </xf>
    <xf numFmtId="170" fontId="23" fillId="0" borderId="70" xfId="19" applyNumberFormat="1" applyFont="1" applyFill="1" applyBorder="1" applyAlignment="1">
      <alignment vertical="top"/>
    </xf>
    <xf numFmtId="9" fontId="23" fillId="0" borderId="70" xfId="19" applyNumberFormat="1" applyFont="1" applyFill="1" applyBorder="1" applyAlignment="1">
      <alignment vertical="top"/>
    </xf>
    <xf numFmtId="5" fontId="23" fillId="0" borderId="70" xfId="24" applyNumberFormat="1" applyFont="1" applyFill="1" applyBorder="1"/>
    <xf numFmtId="5" fontId="23" fillId="0" borderId="70" xfId="19" applyNumberFormat="1" applyFont="1" applyFill="1" applyBorder="1"/>
    <xf numFmtId="37" fontId="23" fillId="0" borderId="70" xfId="24" applyNumberFormat="1" applyFont="1" applyFill="1" applyBorder="1"/>
    <xf numFmtId="37" fontId="23" fillId="3" borderId="70" xfId="24" applyNumberFormat="1" applyFont="1" applyFill="1" applyBorder="1"/>
    <xf numFmtId="0" fontId="62" fillId="0" borderId="0" xfId="0" applyFont="1" applyFill="1" applyBorder="1"/>
    <xf numFmtId="165" fontId="15" fillId="3" borderId="71" xfId="0" applyNumberFormat="1" applyFont="1" applyFill="1" applyBorder="1"/>
    <xf numFmtId="166" fontId="15" fillId="0" borderId="71" xfId="0" applyNumberFormat="1" applyFont="1" applyFill="1" applyBorder="1"/>
    <xf numFmtId="165" fontId="10" fillId="3" borderId="12" xfId="8" applyNumberFormat="1" applyFont="1" applyFill="1" applyBorder="1"/>
    <xf numFmtId="165" fontId="10" fillId="3" borderId="43" xfId="19" applyNumberFormat="1" applyFont="1" applyFill="1" applyBorder="1"/>
    <xf numFmtId="165" fontId="10" fillId="3" borderId="7" xfId="19" applyNumberFormat="1" applyFont="1" applyFill="1" applyBorder="1"/>
    <xf numFmtId="165" fontId="10" fillId="3" borderId="61" xfId="19" applyNumberFormat="1" applyFont="1" applyFill="1" applyBorder="1"/>
    <xf numFmtId="165" fontId="14" fillId="3" borderId="0" xfId="19" applyNumberFormat="1" applyFont="1" applyFill="1" applyBorder="1"/>
    <xf numFmtId="165" fontId="36" fillId="3" borderId="0" xfId="19" applyNumberFormat="1" applyFont="1" applyFill="1" applyBorder="1"/>
    <xf numFmtId="165" fontId="10" fillId="0" borderId="0" xfId="19" applyNumberFormat="1" applyFont="1" applyFill="1" applyBorder="1" applyAlignment="1">
      <alignment vertical="top"/>
    </xf>
    <xf numFmtId="165" fontId="14" fillId="0" borderId="6" xfId="19" applyNumberFormat="1" applyFont="1" applyFill="1" applyBorder="1" applyAlignment="1" applyProtection="1">
      <alignment vertical="top"/>
    </xf>
    <xf numFmtId="165" fontId="20" fillId="3" borderId="7" xfId="19" applyNumberFormat="1" applyFont="1" applyFill="1" applyBorder="1" applyAlignment="1" applyProtection="1">
      <alignment horizontal="left" indent="1"/>
    </xf>
    <xf numFmtId="165" fontId="10" fillId="3" borderId="0" xfId="19" applyNumberFormat="1" applyFont="1" applyFill="1" applyBorder="1" applyProtection="1">
      <protection locked="0"/>
    </xf>
    <xf numFmtId="165" fontId="10" fillId="3" borderId="34" xfId="19" applyNumberFormat="1" applyFont="1" applyFill="1" applyBorder="1" applyProtection="1">
      <protection locked="0"/>
    </xf>
    <xf numFmtId="165" fontId="20" fillId="3" borderId="12" xfId="19" applyNumberFormat="1" applyFont="1" applyFill="1" applyBorder="1" applyProtection="1"/>
    <xf numFmtId="165" fontId="7" fillId="6" borderId="0" xfId="0" applyNumberFormat="1" applyFont="1" applyFill="1" applyBorder="1"/>
    <xf numFmtId="165" fontId="25" fillId="3" borderId="0" xfId="19" applyNumberFormat="1" applyFont="1" applyFill="1"/>
    <xf numFmtId="0" fontId="27" fillId="3" borderId="7" xfId="19" applyFont="1" applyFill="1" applyBorder="1" applyAlignment="1">
      <alignment horizontal="left" indent="2"/>
    </xf>
    <xf numFmtId="166" fontId="55" fillId="6" borderId="0" xfId="27" applyNumberFormat="1" applyFont="1" applyFill="1" applyBorder="1" applyAlignment="1" applyProtection="1"/>
    <xf numFmtId="166" fontId="15" fillId="3" borderId="7" xfId="0" applyNumberFormat="1" applyFont="1" applyFill="1" applyBorder="1" applyAlignment="1">
      <alignment horizontal="left" indent="1"/>
    </xf>
    <xf numFmtId="166" fontId="15" fillId="3" borderId="0" xfId="27" applyNumberFormat="1" applyFont="1" applyFill="1" applyBorder="1"/>
    <xf numFmtId="166" fontId="15" fillId="3" borderId="12" xfId="27" applyNumberFormat="1" applyFont="1" applyFill="1" applyBorder="1"/>
    <xf numFmtId="166" fontId="29" fillId="3" borderId="12" xfId="27" applyNumberFormat="1" applyFont="1" applyFill="1" applyBorder="1"/>
    <xf numFmtId="166" fontId="23" fillId="3" borderId="6" xfId="0" applyNumberFormat="1" applyFont="1" applyFill="1" applyBorder="1"/>
    <xf numFmtId="166" fontId="15" fillId="4" borderId="0" xfId="0" applyNumberFormat="1" applyFont="1" applyFill="1" applyBorder="1"/>
    <xf numFmtId="166" fontId="23" fillId="0" borderId="0" xfId="0" applyNumberFormat="1" applyFont="1" applyFill="1" applyBorder="1"/>
    <xf numFmtId="166" fontId="23" fillId="3" borderId="0" xfId="0" applyNumberFormat="1" applyFont="1" applyFill="1" applyBorder="1"/>
    <xf numFmtId="166" fontId="56" fillId="6" borderId="0" xfId="0" applyNumberFormat="1" applyFont="1" applyFill="1" applyBorder="1"/>
    <xf numFmtId="165" fontId="10" fillId="3" borderId="51" xfId="19" applyNumberFormat="1" applyFont="1" applyFill="1" applyBorder="1"/>
    <xf numFmtId="165" fontId="10" fillId="3" borderId="5" xfId="27" applyNumberFormat="1" applyFont="1" applyFill="1" applyBorder="1"/>
    <xf numFmtId="165" fontId="10" fillId="3" borderId="52" xfId="27" applyNumberFormat="1" applyFont="1" applyFill="1" applyBorder="1"/>
    <xf numFmtId="165" fontId="10" fillId="3" borderId="53" xfId="27" applyNumberFormat="1" applyFont="1" applyFill="1" applyBorder="1"/>
    <xf numFmtId="165" fontId="10" fillId="3" borderId="62" xfId="27" applyNumberFormat="1" applyFont="1" applyFill="1" applyBorder="1"/>
    <xf numFmtId="165" fontId="23" fillId="3" borderId="62" xfId="19" applyNumberFormat="1" applyFont="1" applyFill="1" applyBorder="1"/>
    <xf numFmtId="165" fontId="23" fillId="3" borderId="5" xfId="19" applyNumberFormat="1" applyFont="1" applyFill="1" applyBorder="1"/>
    <xf numFmtId="2" fontId="44" fillId="3" borderId="17" xfId="0" applyNumberFormat="1" applyFont="1" applyFill="1" applyBorder="1" applyAlignment="1" applyProtection="1">
      <alignment horizontal="left" vertical="top" indent="1"/>
    </xf>
    <xf numFmtId="9" fontId="10" fillId="3" borderId="19" xfId="27" applyNumberFormat="1" applyFont="1" applyFill="1" applyBorder="1"/>
    <xf numFmtId="9" fontId="10" fillId="3" borderId="37" xfId="27" applyNumberFormat="1" applyFont="1" applyFill="1" applyBorder="1"/>
    <xf numFmtId="9" fontId="10" fillId="3" borderId="18" xfId="27" applyNumberFormat="1" applyFont="1" applyFill="1" applyBorder="1"/>
    <xf numFmtId="170" fontId="10" fillId="3" borderId="19" xfId="27" applyNumberFormat="1" applyFont="1" applyFill="1" applyBorder="1"/>
    <xf numFmtId="165" fontId="10" fillId="3" borderId="0" xfId="14" applyNumberFormat="1" applyFont="1" applyFill="1" applyBorder="1" applyAlignment="1">
      <alignment vertical="top"/>
    </xf>
    <xf numFmtId="165" fontId="17" fillId="6" borderId="0" xfId="0" applyNumberFormat="1" applyFont="1" applyFill="1" applyBorder="1"/>
    <xf numFmtId="165" fontId="10" fillId="3" borderId="7" xfId="0" applyNumberFormat="1" applyFont="1" applyFill="1" applyBorder="1" applyAlignment="1">
      <alignment horizontal="left" indent="3"/>
    </xf>
    <xf numFmtId="165" fontId="15" fillId="3" borderId="0" xfId="0" applyNumberFormat="1" applyFont="1" applyFill="1" applyBorder="1"/>
    <xf numFmtId="165" fontId="23" fillId="3" borderId="6" xfId="0" applyNumberFormat="1" applyFont="1" applyFill="1" applyBorder="1"/>
    <xf numFmtId="165" fontId="23" fillId="0" borderId="0" xfId="0" applyNumberFormat="1" applyFont="1" applyFill="1" applyBorder="1"/>
    <xf numFmtId="165" fontId="23" fillId="3" borderId="0" xfId="0" applyNumberFormat="1" applyFont="1" applyFill="1" applyBorder="1"/>
    <xf numFmtId="165" fontId="15" fillId="3" borderId="6" xfId="19" applyNumberFormat="1" applyFont="1" applyFill="1" applyBorder="1"/>
    <xf numFmtId="165" fontId="57" fillId="6" borderId="0" xfId="0" applyNumberFormat="1" applyFont="1" applyFill="1" applyBorder="1" applyAlignment="1" applyProtection="1">
      <alignment horizontal="right"/>
    </xf>
    <xf numFmtId="165" fontId="51" fillId="6" borderId="0" xfId="6" applyNumberFormat="1" applyFont="1" applyFill="1" applyBorder="1" applyAlignment="1" applyProtection="1"/>
    <xf numFmtId="165" fontId="10" fillId="3" borderId="7" xfId="19" applyNumberFormat="1" applyFont="1" applyFill="1" applyBorder="1" applyAlignment="1">
      <alignment horizontal="left" indent="2"/>
    </xf>
    <xf numFmtId="165" fontId="20" fillId="3" borderId="0" xfId="19" applyNumberFormat="1" applyFont="1" applyFill="1" applyBorder="1" applyProtection="1"/>
    <xf numFmtId="165" fontId="20" fillId="3" borderId="34" xfId="19" applyNumberFormat="1" applyFont="1" applyFill="1" applyBorder="1" applyProtection="1"/>
    <xf numFmtId="165" fontId="36" fillId="3" borderId="0" xfId="8" applyNumberFormat="1" applyFont="1" applyFill="1" applyBorder="1"/>
    <xf numFmtId="165" fontId="20" fillId="3" borderId="64" xfId="19" applyNumberFormat="1" applyFont="1" applyFill="1" applyBorder="1" applyProtection="1"/>
    <xf numFmtId="165" fontId="37" fillId="3" borderId="6" xfId="8" applyNumberFormat="1" applyFont="1" applyFill="1" applyBorder="1"/>
    <xf numFmtId="165" fontId="37" fillId="0" borderId="70" xfId="8" applyNumberFormat="1" applyFont="1" applyFill="1" applyBorder="1"/>
    <xf numFmtId="165" fontId="36" fillId="4" borderId="0" xfId="8" applyNumberFormat="1" applyFont="1" applyFill="1" applyBorder="1"/>
    <xf numFmtId="165" fontId="37" fillId="3" borderId="0" xfId="8" applyNumberFormat="1" applyFont="1" applyFill="1" applyBorder="1"/>
    <xf numFmtId="165" fontId="37" fillId="0" borderId="0" xfId="8" applyNumberFormat="1" applyFont="1" applyFill="1" applyBorder="1"/>
    <xf numFmtId="170" fontId="36" fillId="3" borderId="12" xfId="8" applyNumberFormat="1" applyFont="1" applyFill="1" applyBorder="1" applyProtection="1">
      <protection locked="0"/>
    </xf>
    <xf numFmtId="165" fontId="20" fillId="3" borderId="6" xfId="19" applyNumberFormat="1" applyFont="1" applyFill="1" applyBorder="1" applyProtection="1"/>
    <xf numFmtId="1" fontId="35" fillId="4" borderId="0" xfId="0" applyNumberFormat="1" applyFont="1" applyFill="1" applyBorder="1"/>
    <xf numFmtId="184" fontId="35" fillId="4" borderId="0" xfId="0" applyNumberFormat="1" applyFont="1" applyFill="1" applyBorder="1"/>
    <xf numFmtId="170" fontId="10" fillId="0" borderId="0" xfId="14" applyNumberFormat="1" applyFont="1" applyFill="1" applyBorder="1" applyAlignment="1" applyProtection="1">
      <alignment vertical="top"/>
    </xf>
    <xf numFmtId="7" fontId="9" fillId="0" borderId="0" xfId="21" applyNumberFormat="1" applyFont="1" applyBorder="1"/>
    <xf numFmtId="7" fontId="9" fillId="0" borderId="26" xfId="21" applyNumberFormat="1" applyFont="1" applyBorder="1"/>
    <xf numFmtId="7" fontId="9" fillId="0" borderId="0" xfId="21" applyNumberFormat="1" applyFont="1"/>
    <xf numFmtId="165" fontId="17" fillId="0" borderId="0" xfId="27" applyNumberFormat="1" applyFont="1"/>
    <xf numFmtId="9" fontId="44" fillId="4" borderId="0" xfId="19" applyNumberFormat="1" applyFont="1" applyFill="1" applyBorder="1" applyProtection="1"/>
    <xf numFmtId="4" fontId="9" fillId="3" borderId="70" xfId="0" applyNumberFormat="1" applyFont="1" applyFill="1" applyBorder="1" applyAlignment="1">
      <alignment vertical="top"/>
    </xf>
    <xf numFmtId="173" fontId="9" fillId="0" borderId="26" xfId="21" applyNumberFormat="1" applyFont="1" applyBorder="1"/>
    <xf numFmtId="173" fontId="17" fillId="0" borderId="0" xfId="21" applyNumberFormat="1" applyFont="1"/>
    <xf numFmtId="173" fontId="17" fillId="0" borderId="0" xfId="21" applyNumberFormat="1" applyFont="1" applyBorder="1"/>
    <xf numFmtId="183" fontId="34" fillId="8" borderId="10" xfId="27" applyNumberFormat="1" applyFont="1" applyFill="1" applyBorder="1"/>
    <xf numFmtId="173" fontId="16" fillId="0" borderId="0" xfId="21" applyNumberFormat="1" applyFont="1"/>
    <xf numFmtId="169" fontId="10" fillId="3" borderId="61" xfId="27" applyNumberFormat="1" applyFont="1" applyFill="1" applyBorder="1"/>
    <xf numFmtId="169" fontId="30" fillId="0" borderId="0" xfId="19" applyNumberFormat="1" applyFont="1" applyFill="1" applyBorder="1"/>
    <xf numFmtId="170" fontId="15" fillId="3" borderId="10" xfId="24" applyNumberFormat="1" applyFont="1" applyFill="1" applyBorder="1"/>
    <xf numFmtId="165" fontId="10" fillId="3" borderId="0" xfId="24" applyNumberFormat="1" applyFont="1" applyFill="1"/>
    <xf numFmtId="5" fontId="15" fillId="3" borderId="0" xfId="19" applyNumberFormat="1" applyFont="1" applyFill="1" applyBorder="1"/>
    <xf numFmtId="170" fontId="14" fillId="3" borderId="0" xfId="24" applyNumberFormat="1" applyFont="1" applyFill="1"/>
    <xf numFmtId="170" fontId="15" fillId="4" borderId="11" xfId="19" applyNumberFormat="1" applyFont="1" applyFill="1" applyBorder="1" applyAlignment="1">
      <alignment horizontal="right"/>
    </xf>
    <xf numFmtId="170" fontId="15" fillId="4" borderId="10" xfId="19" applyNumberFormat="1" applyFont="1" applyFill="1" applyBorder="1" applyAlignment="1">
      <alignment horizontal="right"/>
    </xf>
    <xf numFmtId="170" fontId="49" fillId="8" borderId="12" xfId="8" applyNumberFormat="1" applyFont="1" applyFill="1" applyBorder="1" applyAlignment="1">
      <alignment vertical="top"/>
    </xf>
    <xf numFmtId="170" fontId="49" fillId="8" borderId="0" xfId="8" applyNumberFormat="1" applyFont="1" applyFill="1" applyBorder="1" applyAlignment="1">
      <alignment vertical="top"/>
    </xf>
    <xf numFmtId="170" fontId="34" fillId="8" borderId="0" xfId="19" applyNumberFormat="1" applyFont="1" applyFill="1" applyBorder="1" applyAlignment="1">
      <alignment vertical="top"/>
    </xf>
    <xf numFmtId="170" fontId="14" fillId="3" borderId="12" xfId="19" applyNumberFormat="1" applyFont="1" applyFill="1" applyBorder="1"/>
    <xf numFmtId="170" fontId="14" fillId="0" borderId="12" xfId="19" applyNumberFormat="1" applyFont="1" applyFill="1" applyBorder="1"/>
    <xf numFmtId="165" fontId="10" fillId="3" borderId="34" xfId="24" applyNumberFormat="1" applyFont="1" applyFill="1" applyBorder="1"/>
    <xf numFmtId="165" fontId="14" fillId="3" borderId="0" xfId="24" applyNumberFormat="1" applyFont="1" applyFill="1"/>
    <xf numFmtId="165" fontId="25" fillId="3" borderId="6" xfId="24" applyNumberFormat="1" applyFont="1" applyFill="1" applyBorder="1"/>
    <xf numFmtId="165" fontId="23" fillId="0" borderId="70" xfId="24" applyNumberFormat="1" applyFont="1" applyFill="1" applyBorder="1"/>
    <xf numFmtId="165" fontId="10" fillId="4" borderId="0" xfId="24" applyNumberFormat="1" applyFont="1" applyFill="1" applyBorder="1"/>
    <xf numFmtId="165" fontId="25" fillId="0" borderId="0" xfId="24" applyNumberFormat="1" applyFont="1" applyFill="1" applyBorder="1"/>
    <xf numFmtId="165" fontId="25" fillId="3" borderId="0" xfId="24" applyNumberFormat="1" applyFont="1" applyFill="1"/>
    <xf numFmtId="165" fontId="39" fillId="3" borderId="6" xfId="19" applyNumberFormat="1" applyFont="1" applyFill="1" applyBorder="1" applyAlignment="1">
      <alignment vertical="top"/>
    </xf>
    <xf numFmtId="165" fontId="39" fillId="0" borderId="70" xfId="19" applyNumberFormat="1" applyFont="1" applyFill="1" applyBorder="1" applyAlignment="1">
      <alignment vertical="top"/>
    </xf>
    <xf numFmtId="165" fontId="28" fillId="4" borderId="0" xfId="19" applyNumberFormat="1" applyFont="1" applyFill="1" applyBorder="1" applyAlignment="1">
      <alignment vertical="top"/>
    </xf>
    <xf numFmtId="165" fontId="39" fillId="0" borderId="0" xfId="19" applyNumberFormat="1" applyFont="1" applyFill="1" applyBorder="1" applyAlignment="1">
      <alignment vertical="top"/>
    </xf>
    <xf numFmtId="165" fontId="39" fillId="3" borderId="0" xfId="19" applyNumberFormat="1" applyFont="1" applyFill="1" applyBorder="1" applyAlignment="1">
      <alignment vertical="top"/>
    </xf>
    <xf numFmtId="165" fontId="42" fillId="3" borderId="6" xfId="19" applyNumberFormat="1" applyFont="1" applyFill="1" applyBorder="1" applyAlignment="1">
      <alignment vertical="top"/>
    </xf>
    <xf numFmtId="165" fontId="11" fillId="4" borderId="0" xfId="19" applyNumberFormat="1" applyFont="1" applyFill="1" applyBorder="1" applyAlignment="1">
      <alignment vertical="top"/>
    </xf>
    <xf numFmtId="165" fontId="42" fillId="0" borderId="0" xfId="19" applyNumberFormat="1" applyFont="1" applyFill="1" applyBorder="1" applyAlignment="1">
      <alignment vertical="top"/>
    </xf>
    <xf numFmtId="165" fontId="42" fillId="3" borderId="0" xfId="19" applyNumberFormat="1" applyFont="1" applyFill="1" applyBorder="1" applyAlignment="1">
      <alignment vertical="top"/>
    </xf>
    <xf numFmtId="170" fontId="25" fillId="3" borderId="6" xfId="24" applyNumberFormat="1" applyFont="1" applyFill="1" applyBorder="1"/>
    <xf numFmtId="170" fontId="7" fillId="6" borderId="0" xfId="0" applyNumberFormat="1" applyFont="1" applyFill="1" applyBorder="1"/>
    <xf numFmtId="170" fontId="23" fillId="0" borderId="70" xfId="24" applyNumberFormat="1" applyFont="1" applyFill="1" applyBorder="1"/>
    <xf numFmtId="170" fontId="10" fillId="4" borderId="0" xfId="24" applyNumberFormat="1" applyFont="1" applyFill="1" applyBorder="1"/>
    <xf numFmtId="170" fontId="25" fillId="0" borderId="0" xfId="24" applyNumberFormat="1" applyFont="1" applyFill="1" applyBorder="1"/>
    <xf numFmtId="170" fontId="25" fillId="3" borderId="0" xfId="24" applyNumberFormat="1" applyFont="1" applyFill="1"/>
    <xf numFmtId="170" fontId="29" fillId="4" borderId="9" xfId="19" applyNumberFormat="1" applyFont="1" applyFill="1" applyBorder="1" applyAlignment="1" applyProtection="1">
      <alignment horizontal="left"/>
    </xf>
    <xf numFmtId="170" fontId="15" fillId="4" borderId="33" xfId="19" applyNumberFormat="1" applyFont="1" applyFill="1" applyBorder="1" applyAlignment="1">
      <alignment horizontal="right"/>
    </xf>
    <xf numFmtId="170" fontId="15" fillId="4" borderId="63" xfId="19" applyNumberFormat="1" applyFont="1" applyFill="1" applyBorder="1" applyAlignment="1">
      <alignment horizontal="right"/>
    </xf>
    <xf numFmtId="170" fontId="15" fillId="0" borderId="70" xfId="19" applyNumberFormat="1" applyFont="1" applyFill="1" applyBorder="1" applyAlignment="1">
      <alignment horizontal="right"/>
    </xf>
    <xf numFmtId="170" fontId="15" fillId="4" borderId="0" xfId="19" applyNumberFormat="1" applyFont="1" applyFill="1" applyBorder="1" applyAlignment="1">
      <alignment horizontal="right"/>
    </xf>
    <xf numFmtId="170" fontId="15" fillId="0" borderId="0" xfId="19" applyNumberFormat="1" applyFont="1" applyFill="1" applyBorder="1" applyAlignment="1">
      <alignment horizontal="right"/>
    </xf>
    <xf numFmtId="170" fontId="20" fillId="3" borderId="7" xfId="19" applyNumberFormat="1" applyFont="1" applyFill="1" applyBorder="1" applyAlignment="1" applyProtection="1">
      <alignment horizontal="left" indent="2"/>
      <protection locked="0"/>
    </xf>
    <xf numFmtId="170" fontId="14" fillId="3" borderId="34" xfId="24" applyNumberFormat="1" applyFont="1" applyFill="1" applyBorder="1"/>
    <xf numFmtId="166" fontId="10" fillId="3" borderId="0" xfId="0" applyNumberFormat="1" applyFont="1" applyFill="1" applyBorder="1" applyAlignment="1" applyProtection="1">
      <alignment vertical="top"/>
    </xf>
    <xf numFmtId="166" fontId="15" fillId="3" borderId="0" xfId="0" applyNumberFormat="1" applyFont="1" applyFill="1" applyBorder="1" applyAlignment="1" applyProtection="1">
      <alignment vertical="top"/>
    </xf>
    <xf numFmtId="169" fontId="10" fillId="3" borderId="0" xfId="19" applyNumberFormat="1" applyFont="1" applyFill="1" applyBorder="1" applyAlignment="1">
      <alignment vertical="top"/>
    </xf>
    <xf numFmtId="169" fontId="10" fillId="0" borderId="0" xfId="19" applyNumberFormat="1" applyFont="1" applyFill="1" applyBorder="1"/>
    <xf numFmtId="165" fontId="10" fillId="3" borderId="0" xfId="8" applyNumberFormat="1" applyFont="1" applyFill="1" applyBorder="1" applyProtection="1"/>
    <xf numFmtId="169" fontId="15" fillId="0" borderId="0" xfId="19" applyNumberFormat="1" applyFont="1" applyFill="1" applyBorder="1"/>
    <xf numFmtId="5" fontId="10" fillId="0" borderId="0" xfId="19" applyNumberFormat="1" applyFont="1" applyFill="1" applyBorder="1"/>
    <xf numFmtId="170" fontId="11" fillId="6" borderId="0" xfId="0" applyNumberFormat="1" applyFont="1" applyFill="1" applyBorder="1" applyAlignment="1">
      <alignment vertical="top"/>
    </xf>
    <xf numFmtId="165" fontId="20" fillId="6" borderId="12" xfId="6" applyNumberFormat="1" applyFont="1" applyFill="1" applyBorder="1" applyAlignment="1">
      <alignment vertical="top"/>
    </xf>
    <xf numFmtId="170" fontId="20" fillId="6" borderId="0" xfId="0" applyNumberFormat="1" applyFont="1" applyFill="1" applyBorder="1" applyAlignment="1">
      <alignment vertical="top"/>
    </xf>
    <xf numFmtId="165" fontId="20" fillId="6" borderId="0" xfId="6" applyNumberFormat="1" applyFont="1" applyFill="1" applyBorder="1" applyAlignment="1">
      <alignment vertical="top"/>
    </xf>
    <xf numFmtId="165" fontId="28" fillId="6" borderId="0" xfId="0" applyNumberFormat="1" applyFont="1" applyFill="1" applyBorder="1" applyAlignment="1">
      <alignment vertical="top"/>
    </xf>
    <xf numFmtId="169" fontId="39" fillId="6" borderId="0" xfId="0" applyNumberFormat="1" applyFont="1" applyFill="1" applyBorder="1" applyAlignment="1">
      <alignment vertical="top"/>
    </xf>
    <xf numFmtId="3" fontId="20" fillId="3" borderId="7" xfId="0" applyNumberFormat="1" applyFont="1" applyFill="1" applyBorder="1" applyAlignment="1" applyProtection="1">
      <alignment horizontal="left" indent="1"/>
    </xf>
    <xf numFmtId="3" fontId="20" fillId="3" borderId="0" xfId="0" applyNumberFormat="1" applyFont="1" applyFill="1" applyBorder="1" applyProtection="1"/>
    <xf numFmtId="3" fontId="20" fillId="3" borderId="12" xfId="27" applyNumberFormat="1" applyFont="1" applyFill="1" applyBorder="1" applyProtection="1"/>
    <xf numFmtId="170" fontId="20" fillId="3" borderId="12" xfId="6" applyNumberFormat="1" applyFont="1" applyFill="1" applyBorder="1" applyAlignment="1">
      <alignment vertical="top"/>
    </xf>
    <xf numFmtId="3" fontId="20" fillId="3" borderId="0" xfId="27" applyNumberFormat="1" applyFont="1" applyFill="1" applyBorder="1" applyProtection="1"/>
    <xf numFmtId="3" fontId="10" fillId="3" borderId="0" xfId="0" applyNumberFormat="1" applyFont="1" applyFill="1" applyBorder="1"/>
    <xf numFmtId="3" fontId="25" fillId="3" borderId="0" xfId="0" applyNumberFormat="1" applyFont="1" applyFill="1"/>
    <xf numFmtId="0" fontId="15" fillId="3" borderId="9" xfId="0" applyFont="1" applyFill="1" applyBorder="1"/>
    <xf numFmtId="166" fontId="10" fillId="3" borderId="10" xfId="0" applyNumberFormat="1" applyFont="1" applyFill="1" applyBorder="1"/>
    <xf numFmtId="165" fontId="10" fillId="3" borderId="11" xfId="27" applyNumberFormat="1" applyFont="1" applyFill="1" applyBorder="1"/>
    <xf numFmtId="165" fontId="10" fillId="3" borderId="10" xfId="27" applyNumberFormat="1" applyFont="1" applyFill="1" applyBorder="1"/>
    <xf numFmtId="0" fontId="25" fillId="3" borderId="0" xfId="0" applyFont="1" applyFill="1" applyBorder="1"/>
    <xf numFmtId="185" fontId="20" fillId="3" borderId="7" xfId="0" applyNumberFormat="1" applyFont="1" applyFill="1" applyBorder="1" applyAlignment="1" applyProtection="1">
      <alignment horizontal="left" indent="1"/>
    </xf>
    <xf numFmtId="185" fontId="20" fillId="3" borderId="0" xfId="0" applyNumberFormat="1" applyFont="1" applyFill="1" applyBorder="1" applyProtection="1"/>
    <xf numFmtId="185" fontId="20" fillId="3" borderId="12" xfId="27" applyNumberFormat="1" applyFont="1" applyFill="1" applyBorder="1" applyProtection="1"/>
    <xf numFmtId="185" fontId="10" fillId="3" borderId="12" xfId="27" applyNumberFormat="1" applyFont="1" applyFill="1" applyBorder="1"/>
    <xf numFmtId="185" fontId="20" fillId="3" borderId="0" xfId="27" applyNumberFormat="1" applyFont="1" applyFill="1" applyBorder="1" applyProtection="1"/>
    <xf numFmtId="185" fontId="10" fillId="3" borderId="0" xfId="0" applyNumberFormat="1" applyFont="1" applyFill="1" applyBorder="1"/>
    <xf numFmtId="185" fontId="0" fillId="0" borderId="0" xfId="0" applyNumberFormat="1" applyFill="1" applyBorder="1"/>
    <xf numFmtId="185" fontId="39" fillId="3" borderId="0" xfId="0" applyNumberFormat="1" applyFont="1" applyFill="1" applyBorder="1" applyAlignment="1">
      <alignment vertical="top"/>
    </xf>
    <xf numFmtId="9" fontId="20" fillId="3" borderId="7" xfId="0" applyNumberFormat="1" applyFont="1" applyFill="1" applyBorder="1" applyAlignment="1" applyProtection="1">
      <alignment horizontal="left" indent="1"/>
    </xf>
    <xf numFmtId="9" fontId="20" fillId="3" borderId="0" xfId="0" applyNumberFormat="1" applyFont="1" applyFill="1" applyBorder="1" applyProtection="1"/>
    <xf numFmtId="9" fontId="10" fillId="3" borderId="0" xfId="0" applyNumberFormat="1" applyFont="1" applyFill="1" applyBorder="1"/>
    <xf numFmtId="169" fontId="39" fillId="3" borderId="0" xfId="0" applyNumberFormat="1" applyFont="1" applyFill="1" applyBorder="1" applyAlignment="1">
      <alignment vertical="top"/>
    </xf>
    <xf numFmtId="180" fontId="20" fillId="3" borderId="7" xfId="0" applyNumberFormat="1" applyFont="1" applyFill="1" applyBorder="1" applyAlignment="1" applyProtection="1">
      <alignment horizontal="left" indent="1"/>
    </xf>
    <xf numFmtId="180" fontId="20" fillId="3" borderId="0" xfId="0" applyNumberFormat="1" applyFont="1" applyFill="1" applyBorder="1" applyProtection="1"/>
    <xf numFmtId="180" fontId="20" fillId="3" borderId="12" xfId="27" applyNumberFormat="1" applyFont="1" applyFill="1" applyBorder="1" applyProtection="1"/>
    <xf numFmtId="180" fontId="10" fillId="3" borderId="12" xfId="27" applyNumberFormat="1" applyFont="1" applyFill="1" applyBorder="1"/>
    <xf numFmtId="180" fontId="20" fillId="3" borderId="0" xfId="27" applyNumberFormat="1" applyFont="1" applyFill="1" applyBorder="1" applyProtection="1"/>
    <xf numFmtId="180" fontId="10" fillId="3" borderId="0" xfId="0" applyNumberFormat="1" applyFont="1" applyFill="1" applyBorder="1"/>
    <xf numFmtId="180" fontId="0" fillId="0" borderId="0" xfId="0" applyNumberFormat="1" applyFill="1" applyBorder="1"/>
    <xf numFmtId="180" fontId="39" fillId="3" borderId="0" xfId="0" applyNumberFormat="1" applyFont="1" applyFill="1" applyBorder="1" applyAlignment="1">
      <alignment vertical="top"/>
    </xf>
    <xf numFmtId="9" fontId="29" fillId="3" borderId="7" xfId="0" applyNumberFormat="1" applyFont="1" applyFill="1" applyBorder="1" applyAlignment="1" applyProtection="1">
      <alignment horizontal="left" indent="1"/>
    </xf>
    <xf numFmtId="9" fontId="29" fillId="3" borderId="0" xfId="0" applyNumberFormat="1" applyFont="1" applyFill="1" applyBorder="1" applyProtection="1"/>
    <xf numFmtId="9" fontId="29" fillId="3" borderId="12" xfId="27" applyNumberFormat="1" applyFont="1" applyFill="1" applyBorder="1" applyProtection="1"/>
    <xf numFmtId="9" fontId="29" fillId="3" borderId="0" xfId="27" applyNumberFormat="1" applyFont="1" applyFill="1" applyBorder="1" applyProtection="1"/>
    <xf numFmtId="166" fontId="10" fillId="3" borderId="7" xfId="0" applyNumberFormat="1" applyFont="1" applyFill="1" applyBorder="1"/>
    <xf numFmtId="7" fontId="15" fillId="3" borderId="0" xfId="0" applyNumberFormat="1" applyFont="1" applyFill="1" applyBorder="1"/>
    <xf numFmtId="7" fontId="23" fillId="3" borderId="0" xfId="0" applyNumberFormat="1" applyFont="1" applyFill="1" applyBorder="1"/>
    <xf numFmtId="0" fontId="25" fillId="3" borderId="70" xfId="0" applyFont="1" applyFill="1" applyBorder="1"/>
    <xf numFmtId="0" fontId="25" fillId="3" borderId="30" xfId="0" applyFont="1" applyFill="1" applyBorder="1"/>
    <xf numFmtId="184" fontId="10" fillId="3" borderId="11" xfId="27" applyNumberFormat="1" applyFont="1" applyFill="1" applyBorder="1"/>
    <xf numFmtId="184" fontId="10" fillId="3" borderId="10" xfId="0" applyNumberFormat="1" applyFont="1" applyFill="1" applyBorder="1"/>
    <xf numFmtId="165" fontId="10" fillId="3" borderId="12" xfId="27" applyNumberFormat="1" applyFont="1" applyFill="1" applyBorder="1" applyAlignment="1"/>
    <xf numFmtId="165" fontId="10" fillId="3" borderId="0" xfId="0" applyNumberFormat="1" applyFont="1" applyFill="1" applyBorder="1" applyAlignment="1"/>
    <xf numFmtId="165" fontId="67" fillId="0" borderId="0" xfId="27" applyNumberFormat="1" applyFont="1" applyFill="1" applyBorder="1" applyAlignment="1">
      <alignment horizontal="center"/>
    </xf>
    <xf numFmtId="165" fontId="68" fillId="0" borderId="0" xfId="27" applyNumberFormat="1" applyFont="1" applyFill="1"/>
    <xf numFmtId="165" fontId="67" fillId="0" borderId="0" xfId="27" applyNumberFormat="1" applyFont="1" applyFill="1" applyAlignment="1">
      <alignment horizontal="center"/>
    </xf>
    <xf numFmtId="165" fontId="75" fillId="10" borderId="0" xfId="27" applyNumberFormat="1" applyFont="1" applyFill="1" applyBorder="1" applyAlignment="1">
      <alignment horizontal="center"/>
    </xf>
    <xf numFmtId="172" fontId="68" fillId="0" borderId="0" xfId="10" applyNumberFormat="1" applyFont="1" applyFill="1" applyBorder="1" applyAlignment="1">
      <alignment horizontal="left"/>
    </xf>
    <xf numFmtId="172" fontId="68" fillId="0" borderId="0" xfId="10" applyNumberFormat="1" applyFont="1" applyFill="1" applyAlignment="1">
      <alignment horizontal="left"/>
    </xf>
    <xf numFmtId="172" fontId="68" fillId="0" borderId="0" xfId="10" applyNumberFormat="1" applyFont="1" applyFill="1"/>
    <xf numFmtId="9" fontId="79" fillId="0" borderId="0" xfId="27" applyNumberFormat="1" applyFont="1" applyFill="1" applyBorder="1" applyAlignment="1">
      <alignment horizontal="center"/>
    </xf>
    <xf numFmtId="9" fontId="79" fillId="0" borderId="0" xfId="27" applyNumberFormat="1" applyFont="1" applyFill="1" applyAlignment="1">
      <alignment horizontal="center"/>
    </xf>
    <xf numFmtId="37" fontId="79" fillId="0" borderId="0" xfId="10" applyNumberFormat="1" applyFont="1" applyFill="1" applyBorder="1" applyAlignment="1">
      <alignment horizontal="center"/>
    </xf>
    <xf numFmtId="2" fontId="67" fillId="0" borderId="0" xfId="27" applyNumberFormat="1" applyFont="1"/>
    <xf numFmtId="178" fontId="34" fillId="6" borderId="56" xfId="0" applyNumberFormat="1" applyFont="1" applyFill="1" applyBorder="1" applyAlignment="1" applyProtection="1">
      <alignment horizontal="center"/>
    </xf>
    <xf numFmtId="9" fontId="10" fillId="3" borderId="6" xfId="19" applyNumberFormat="1" applyFont="1" applyFill="1" applyBorder="1" applyAlignment="1">
      <alignment vertical="top"/>
    </xf>
    <xf numFmtId="0" fontId="85" fillId="0" borderId="0" xfId="0" applyFont="1" applyFill="1" applyBorder="1"/>
    <xf numFmtId="170" fontId="10" fillId="0" borderId="0" xfId="19" applyNumberFormat="1" applyFont="1" applyFill="1" applyBorder="1" applyAlignment="1" applyProtection="1">
      <alignment vertical="top"/>
    </xf>
    <xf numFmtId="165" fontId="14" fillId="0" borderId="0" xfId="19" applyNumberFormat="1" applyFont="1" applyFill="1" applyBorder="1"/>
    <xf numFmtId="165" fontId="10" fillId="3" borderId="0" xfId="8" applyNumberFormat="1" applyFont="1" applyFill="1" applyBorder="1" applyAlignment="1">
      <alignment vertical="top"/>
    </xf>
    <xf numFmtId="170" fontId="10" fillId="3" borderId="0" xfId="8" applyNumberFormat="1" applyFont="1" applyFill="1" applyBorder="1" applyAlignment="1">
      <alignment vertical="top"/>
    </xf>
    <xf numFmtId="165" fontId="10" fillId="8" borderId="0" xfId="8" applyNumberFormat="1" applyFont="1" applyFill="1" applyBorder="1" applyAlignment="1">
      <alignment vertical="top"/>
    </xf>
    <xf numFmtId="7" fontId="9" fillId="5" borderId="0" xfId="21" applyNumberFormat="1" applyFont="1" applyFill="1" applyBorder="1"/>
    <xf numFmtId="170" fontId="29" fillId="3" borderId="0" xfId="19" applyNumberFormat="1" applyFont="1" applyFill="1" applyBorder="1" applyAlignment="1">
      <alignment vertical="top"/>
    </xf>
    <xf numFmtId="170" fontId="15" fillId="3" borderId="0" xfId="19" applyNumberFormat="1" applyFont="1" applyFill="1" applyBorder="1" applyAlignment="1">
      <alignment vertical="top"/>
    </xf>
    <xf numFmtId="0" fontId="64" fillId="12" borderId="0" xfId="23" applyFont="1" applyFill="1" applyBorder="1"/>
    <xf numFmtId="0" fontId="65" fillId="12" borderId="0" xfId="23" applyFont="1" applyFill="1" applyBorder="1"/>
    <xf numFmtId="0" fontId="66" fillId="13" borderId="74" xfId="23" applyFont="1" applyFill="1" applyBorder="1" applyAlignment="1">
      <alignment horizontal="center"/>
    </xf>
    <xf numFmtId="0" fontId="67" fillId="0" borderId="0" xfId="23" applyFont="1" applyBorder="1"/>
    <xf numFmtId="0" fontId="67" fillId="0" borderId="0" xfId="23" applyFont="1"/>
    <xf numFmtId="0" fontId="67" fillId="0" borderId="0" xfId="23" applyFont="1" applyFill="1"/>
    <xf numFmtId="0" fontId="67" fillId="0" borderId="0" xfId="23" applyFont="1" applyFill="1" applyAlignment="1">
      <alignment horizontal="center"/>
    </xf>
    <xf numFmtId="0" fontId="68" fillId="0" borderId="0" xfId="23" applyFont="1"/>
    <xf numFmtId="0" fontId="66" fillId="0" borderId="0" xfId="23" applyFont="1" applyBorder="1"/>
    <xf numFmtId="0" fontId="67" fillId="0" borderId="0" xfId="23" applyFont="1" applyFill="1" applyBorder="1"/>
    <xf numFmtId="0" fontId="70" fillId="13" borderId="75" xfId="23" applyFont="1" applyFill="1" applyBorder="1" applyAlignment="1">
      <alignment wrapText="1"/>
    </xf>
    <xf numFmtId="0" fontId="69" fillId="3" borderId="0" xfId="23" applyFont="1" applyFill="1"/>
    <xf numFmtId="0" fontId="67" fillId="13" borderId="75" xfId="23" applyFont="1" applyFill="1" applyBorder="1" applyAlignment="1"/>
    <xf numFmtId="0" fontId="71" fillId="0" borderId="0" xfId="23" applyFont="1" applyFill="1" applyBorder="1"/>
    <xf numFmtId="0" fontId="72" fillId="0" borderId="0" xfId="23" applyFont="1" applyFill="1" applyBorder="1"/>
    <xf numFmtId="0" fontId="68" fillId="0" borderId="0" xfId="23" applyFont="1" applyFill="1"/>
    <xf numFmtId="0" fontId="73" fillId="0" borderId="0" xfId="23" applyFont="1" applyFill="1"/>
    <xf numFmtId="0" fontId="74" fillId="12" borderId="0" xfId="23" applyNumberFormat="1" applyFont="1" applyFill="1" applyBorder="1" applyAlignment="1">
      <alignment horizontal="center"/>
    </xf>
    <xf numFmtId="0" fontId="74" fillId="12" borderId="0" xfId="23" applyFont="1" applyFill="1" applyBorder="1" applyAlignment="1">
      <alignment horizontal="center"/>
    </xf>
    <xf numFmtId="0" fontId="73" fillId="0" borderId="0" xfId="23" applyFont="1"/>
    <xf numFmtId="0" fontId="71" fillId="0" borderId="0" xfId="23" applyFont="1" applyBorder="1"/>
    <xf numFmtId="0" fontId="72" fillId="0" borderId="0" xfId="23" applyFont="1" applyBorder="1"/>
    <xf numFmtId="37" fontId="67" fillId="0" borderId="0" xfId="9" applyNumberFormat="1" applyFont="1" applyFill="1" applyBorder="1" applyAlignment="1">
      <alignment horizontal="center"/>
    </xf>
    <xf numFmtId="37" fontId="67" fillId="0" borderId="0" xfId="9" applyNumberFormat="1" applyFont="1" applyBorder="1" applyAlignment="1">
      <alignment horizontal="center"/>
    </xf>
    <xf numFmtId="165" fontId="75" fillId="13" borderId="0" xfId="23" applyNumberFormat="1" applyFont="1" applyFill="1" applyBorder="1" applyAlignment="1">
      <alignment horizontal="center"/>
    </xf>
    <xf numFmtId="0" fontId="73" fillId="0" borderId="0" xfId="23" applyFont="1" applyBorder="1"/>
    <xf numFmtId="165" fontId="67" fillId="0" borderId="0" xfId="23" applyNumberFormat="1" applyFont="1"/>
    <xf numFmtId="165" fontId="67" fillId="0" borderId="0" xfId="23" applyNumberFormat="1" applyFont="1" applyFill="1" applyBorder="1" applyAlignment="1">
      <alignment horizontal="center"/>
    </xf>
    <xf numFmtId="165" fontId="75" fillId="0" borderId="0" xfId="23" applyNumberFormat="1" applyFont="1" applyFill="1" applyBorder="1" applyAlignment="1">
      <alignment horizontal="center"/>
    </xf>
    <xf numFmtId="0" fontId="68" fillId="0" borderId="0" xfId="23" applyFont="1" applyBorder="1"/>
    <xf numFmtId="165" fontId="67" fillId="0" borderId="0" xfId="23" applyNumberFormat="1" applyFont="1" applyFill="1" applyAlignment="1">
      <alignment horizontal="center"/>
    </xf>
    <xf numFmtId="166" fontId="67" fillId="0" borderId="0" xfId="23" applyNumberFormat="1" applyFont="1" applyFill="1" applyBorder="1" applyAlignment="1">
      <alignment horizontal="center"/>
    </xf>
    <xf numFmtId="166" fontId="75" fillId="0" borderId="0" xfId="23" applyNumberFormat="1" applyFont="1" applyFill="1" applyBorder="1" applyAlignment="1">
      <alignment horizontal="center"/>
    </xf>
    <xf numFmtId="0" fontId="68" fillId="0" borderId="76" xfId="23" applyFont="1" applyBorder="1"/>
    <xf numFmtId="0" fontId="68" fillId="0" borderId="77" xfId="23" applyFont="1" applyBorder="1"/>
    <xf numFmtId="0" fontId="68" fillId="0" borderId="72" xfId="23" applyFont="1" applyBorder="1"/>
    <xf numFmtId="179" fontId="68" fillId="3" borderId="0" xfId="23" applyNumberFormat="1" applyFont="1" applyFill="1" applyBorder="1" applyAlignment="1">
      <alignment vertical="center"/>
    </xf>
    <xf numFmtId="0" fontId="68" fillId="0" borderId="0" xfId="23" applyFont="1" applyFill="1" applyBorder="1"/>
    <xf numFmtId="0" fontId="72" fillId="0" borderId="0" xfId="23" applyFont="1" applyFill="1"/>
    <xf numFmtId="0" fontId="74" fillId="0" borderId="0" xfId="23" applyFont="1" applyFill="1" applyAlignment="1">
      <alignment horizontal="center"/>
    </xf>
    <xf numFmtId="0" fontId="67" fillId="0" borderId="0" xfId="23" applyFont="1" applyFill="1" applyBorder="1" applyAlignment="1">
      <alignment horizontal="center"/>
    </xf>
    <xf numFmtId="0" fontId="67" fillId="0" borderId="0" xfId="23" applyFont="1" applyBorder="1" applyAlignment="1">
      <alignment horizontal="center"/>
    </xf>
    <xf numFmtId="0" fontId="76" fillId="0" borderId="0" xfId="23" applyFont="1" applyFill="1" applyBorder="1" applyAlignment="1">
      <alignment horizontal="right"/>
    </xf>
    <xf numFmtId="0" fontId="76" fillId="0" borderId="0" xfId="23" applyFont="1" applyFill="1" applyBorder="1"/>
    <xf numFmtId="0" fontId="77" fillId="0" borderId="0" xfId="23" applyFont="1" applyFill="1" applyBorder="1"/>
    <xf numFmtId="0" fontId="68" fillId="0" borderId="0" xfId="23" applyFont="1" applyFill="1" applyBorder="1" applyAlignment="1">
      <alignment horizontal="left"/>
    </xf>
    <xf numFmtId="0" fontId="77" fillId="0" borderId="0" xfId="23" applyFont="1" applyFill="1"/>
    <xf numFmtId="37" fontId="67" fillId="0" borderId="0" xfId="9" applyNumberFormat="1" applyFont="1" applyFill="1" applyAlignment="1">
      <alignment horizontal="center"/>
    </xf>
    <xf numFmtId="37" fontId="67" fillId="0" borderId="0" xfId="23" applyNumberFormat="1" applyFont="1"/>
    <xf numFmtId="1" fontId="67" fillId="0" borderId="0" xfId="23" applyNumberFormat="1" applyFont="1" applyFill="1" applyBorder="1" applyAlignment="1">
      <alignment horizontal="center"/>
    </xf>
    <xf numFmtId="0" fontId="6" fillId="0" borderId="0" xfId="23" applyBorder="1"/>
    <xf numFmtId="0" fontId="6" fillId="0" borderId="0" xfId="23"/>
    <xf numFmtId="0" fontId="67" fillId="0" borderId="2" xfId="23" applyFont="1" applyFill="1" applyBorder="1"/>
    <xf numFmtId="0" fontId="67" fillId="0" borderId="0" xfId="23" applyFont="1" applyBorder="1" applyAlignment="1"/>
    <xf numFmtId="0" fontId="78" fillId="0" borderId="0" xfId="23" applyFont="1" applyBorder="1"/>
    <xf numFmtId="37" fontId="79" fillId="0" borderId="0" xfId="9" applyNumberFormat="1" applyFont="1" applyFill="1" applyBorder="1" applyAlignment="1">
      <alignment horizontal="center"/>
    </xf>
    <xf numFmtId="37" fontId="79" fillId="0" borderId="0" xfId="9" applyNumberFormat="1" applyFont="1" applyBorder="1" applyAlignment="1">
      <alignment horizontal="center"/>
    </xf>
    <xf numFmtId="37" fontId="79" fillId="0" borderId="0" xfId="9" applyNumberFormat="1" applyFont="1" applyFill="1" applyAlignment="1">
      <alignment horizontal="center"/>
    </xf>
    <xf numFmtId="37" fontId="69" fillId="0" borderId="0" xfId="9" applyNumberFormat="1" applyFont="1" applyFill="1" applyBorder="1" applyAlignment="1">
      <alignment horizontal="center"/>
    </xf>
    <xf numFmtId="37" fontId="80" fillId="0" borderId="0" xfId="23" applyNumberFormat="1" applyFont="1" applyBorder="1" applyAlignment="1">
      <alignment horizontal="center"/>
    </xf>
    <xf numFmtId="37" fontId="69" fillId="0" borderId="0" xfId="23" applyNumberFormat="1" applyFont="1" applyBorder="1" applyAlignment="1">
      <alignment horizontal="center"/>
    </xf>
    <xf numFmtId="37" fontId="69" fillId="0" borderId="0" xfId="9" applyNumberFormat="1" applyFont="1" applyBorder="1" applyAlignment="1">
      <alignment horizontal="center"/>
    </xf>
    <xf numFmtId="37" fontId="69" fillId="0" borderId="0" xfId="9" applyNumberFormat="1" applyFont="1" applyFill="1" applyAlignment="1">
      <alignment horizontal="center"/>
    </xf>
    <xf numFmtId="0" fontId="79" fillId="0" borderId="0" xfId="23" applyFont="1" applyFill="1"/>
    <xf numFmtId="9" fontId="67" fillId="0" borderId="0" xfId="23" applyNumberFormat="1" applyFont="1" applyFill="1"/>
    <xf numFmtId="37" fontId="67" fillId="10" borderId="0" xfId="9" applyNumberFormat="1" applyFont="1" applyFill="1" applyBorder="1" applyAlignment="1">
      <alignment horizontal="center"/>
    </xf>
    <xf numFmtId="37" fontId="67" fillId="13" borderId="0" xfId="9" applyNumberFormat="1" applyFont="1" applyFill="1" applyBorder="1" applyAlignment="1">
      <alignment horizontal="center"/>
    </xf>
    <xf numFmtId="9" fontId="67" fillId="0" borderId="0" xfId="23" applyNumberFormat="1" applyFont="1"/>
    <xf numFmtId="37" fontId="67" fillId="0" borderId="0" xfId="23" applyNumberFormat="1" applyFont="1" applyBorder="1"/>
    <xf numFmtId="37" fontId="67" fillId="0" borderId="0" xfId="23" applyNumberFormat="1" applyFont="1" applyBorder="1" applyAlignment="1">
      <alignment horizontal="center"/>
    </xf>
    <xf numFmtId="0" fontId="67" fillId="0" borderId="0" xfId="23" applyFont="1" applyAlignment="1">
      <alignment horizontal="left"/>
    </xf>
    <xf numFmtId="172" fontId="67" fillId="0" borderId="0" xfId="9" applyNumberFormat="1" applyFont="1"/>
    <xf numFmtId="37" fontId="67" fillId="0" borderId="0" xfId="23" applyNumberFormat="1" applyFont="1" applyFill="1" applyBorder="1" applyAlignment="1">
      <alignment horizontal="center"/>
    </xf>
    <xf numFmtId="37" fontId="79" fillId="0" borderId="0" xfId="23" applyNumberFormat="1" applyFont="1" applyFill="1" applyBorder="1" applyAlignment="1">
      <alignment horizontal="center"/>
    </xf>
    <xf numFmtId="37" fontId="79" fillId="0" borderId="0" xfId="23" applyNumberFormat="1" applyFont="1" applyFill="1" applyAlignment="1">
      <alignment horizontal="center"/>
    </xf>
    <xf numFmtId="0" fontId="6" fillId="3" borderId="0" xfId="23" applyFill="1" applyBorder="1"/>
    <xf numFmtId="0" fontId="6" fillId="3" borderId="0" xfId="23" applyFill="1"/>
    <xf numFmtId="0" fontId="58" fillId="3" borderId="0" xfId="23" applyFont="1" applyFill="1"/>
    <xf numFmtId="0" fontId="6" fillId="0" borderId="0" xfId="23" applyFill="1"/>
    <xf numFmtId="0" fontId="81" fillId="3" borderId="0" xfId="23" applyFont="1" applyFill="1" applyBorder="1" applyAlignment="1">
      <alignment horizontal="left" wrapText="1"/>
    </xf>
    <xf numFmtId="0" fontId="76" fillId="3" borderId="0" xfId="23" applyFont="1" applyFill="1" applyBorder="1" applyAlignment="1">
      <alignment horizontal="right"/>
    </xf>
    <xf numFmtId="0" fontId="76" fillId="3" borderId="0" xfId="23" applyFont="1" applyFill="1" applyBorder="1"/>
    <xf numFmtId="0" fontId="77" fillId="3" borderId="0" xfId="23" applyFont="1" applyFill="1" applyBorder="1"/>
    <xf numFmtId="0" fontId="67" fillId="3" borderId="0" xfId="23" applyFont="1" applyFill="1" applyBorder="1"/>
    <xf numFmtId="0" fontId="79" fillId="3" borderId="0" xfId="23" applyFont="1" applyFill="1" applyBorder="1"/>
    <xf numFmtId="0" fontId="82" fillId="0" borderId="0" xfId="23" applyFont="1" applyBorder="1"/>
    <xf numFmtId="0" fontId="83" fillId="0" borderId="0" xfId="23" applyFont="1" applyBorder="1"/>
    <xf numFmtId="0" fontId="84" fillId="0" borderId="0" xfId="23" applyFont="1" applyBorder="1"/>
    <xf numFmtId="37" fontId="84" fillId="0" borderId="0" xfId="23" applyNumberFormat="1" applyFont="1" applyBorder="1" applyAlignment="1">
      <alignment horizontal="right"/>
    </xf>
    <xf numFmtId="37" fontId="83" fillId="0" borderId="0" xfId="23" applyNumberFormat="1" applyFont="1" applyBorder="1" applyAlignment="1">
      <alignment horizontal="center"/>
    </xf>
    <xf numFmtId="0" fontId="85" fillId="0" borderId="0" xfId="23" applyFont="1"/>
    <xf numFmtId="0" fontId="85" fillId="0" borderId="0" xfId="23" applyFont="1" applyAlignment="1">
      <alignment horizontal="center"/>
    </xf>
    <xf numFmtId="0" fontId="85" fillId="0" borderId="0" xfId="23" applyFont="1" applyFill="1"/>
    <xf numFmtId="0" fontId="85" fillId="0" borderId="0" xfId="23" applyFont="1" applyBorder="1"/>
    <xf numFmtId="0" fontId="67" fillId="0" borderId="0" xfId="23" applyFont="1" applyAlignment="1"/>
    <xf numFmtId="49" fontId="85" fillId="0" borderId="0" xfId="23" applyNumberFormat="1" applyFont="1"/>
    <xf numFmtId="0" fontId="85" fillId="0" borderId="0" xfId="23" applyFont="1" applyAlignment="1">
      <alignment horizontal="right"/>
    </xf>
    <xf numFmtId="0" fontId="65" fillId="14" borderId="0" xfId="23" applyFont="1" applyFill="1" applyBorder="1"/>
    <xf numFmtId="49" fontId="66" fillId="0" borderId="0" xfId="23" applyNumberFormat="1" applyFont="1" applyBorder="1" applyAlignment="1">
      <alignment horizontal="left"/>
    </xf>
    <xf numFmtId="165" fontId="67" fillId="0" borderId="0" xfId="23" applyNumberFormat="1" applyFont="1" applyBorder="1"/>
    <xf numFmtId="0" fontId="68" fillId="0" borderId="29" xfId="23" applyFont="1" applyBorder="1"/>
    <xf numFmtId="0" fontId="68" fillId="0" borderId="0" xfId="23" quotePrefix="1" applyFont="1" applyFill="1" applyBorder="1" applyAlignment="1">
      <alignment horizontal="right"/>
    </xf>
    <xf numFmtId="0" fontId="68" fillId="0" borderId="0" xfId="23" applyFont="1" applyBorder="1" applyAlignment="1">
      <alignment horizontal="right"/>
    </xf>
    <xf numFmtId="49" fontId="68" fillId="0" borderId="0" xfId="23" applyNumberFormat="1" applyFont="1" applyBorder="1" applyAlignment="1">
      <alignment horizontal="right"/>
    </xf>
    <xf numFmtId="186" fontId="68" fillId="0" borderId="0" xfId="23" applyNumberFormat="1" applyFont="1" applyBorder="1"/>
    <xf numFmtId="0" fontId="69" fillId="0" borderId="0" xfId="23" applyFont="1" applyBorder="1" applyAlignment="1">
      <alignment horizontal="left"/>
    </xf>
    <xf numFmtId="0" fontId="68" fillId="0" borderId="0" xfId="23" applyFont="1" applyBorder="1" applyAlignment="1">
      <alignment horizontal="left"/>
    </xf>
    <xf numFmtId="0" fontId="67" fillId="0" borderId="0" xfId="23" applyNumberFormat="1" applyFont="1" applyAlignment="1">
      <alignment horizontal="right"/>
    </xf>
    <xf numFmtId="0" fontId="67" fillId="0" borderId="0" xfId="23" applyNumberFormat="1" applyFont="1" applyAlignment="1">
      <alignment horizontal="left"/>
    </xf>
    <xf numFmtId="0" fontId="82" fillId="0" borderId="0" xfId="23" applyFont="1"/>
    <xf numFmtId="0" fontId="84" fillId="0" borderId="0" xfId="23" applyFont="1"/>
    <xf numFmtId="37" fontId="84" fillId="0" borderId="0" xfId="23" applyNumberFormat="1" applyFont="1" applyAlignment="1">
      <alignment horizontal="right"/>
    </xf>
    <xf numFmtId="37" fontId="84" fillId="0" borderId="0" xfId="23" applyNumberFormat="1" applyFont="1" applyAlignment="1">
      <alignment horizontal="center"/>
    </xf>
    <xf numFmtId="37" fontId="88" fillId="0" borderId="0" xfId="23" applyNumberFormat="1" applyFont="1" applyAlignment="1">
      <alignment horizontal="center"/>
    </xf>
    <xf numFmtId="0" fontId="67" fillId="0" borderId="0" xfId="23" applyFont="1" applyAlignment="1">
      <alignment horizontal="right"/>
    </xf>
    <xf numFmtId="0" fontId="89" fillId="0" borderId="0" xfId="23" applyFont="1" applyAlignment="1">
      <alignment horizontal="right"/>
    </xf>
    <xf numFmtId="0" fontId="71" fillId="0" borderId="0" xfId="23" applyFont="1"/>
    <xf numFmtId="0" fontId="90" fillId="0" borderId="0" xfId="23" applyFont="1"/>
    <xf numFmtId="49" fontId="67" fillId="0" borderId="0" xfId="23" applyNumberFormat="1" applyFont="1"/>
    <xf numFmtId="37" fontId="67" fillId="11" borderId="0" xfId="9" applyNumberFormat="1" applyFont="1" applyFill="1" applyBorder="1" applyAlignment="1">
      <alignment horizontal="center"/>
    </xf>
    <xf numFmtId="170" fontId="10" fillId="0" borderId="0" xfId="24" applyNumberFormat="1" applyFont="1" applyFill="1"/>
    <xf numFmtId="170" fontId="20" fillId="0" borderId="12" xfId="8" applyNumberFormat="1" applyFont="1" applyFill="1" applyBorder="1" applyAlignment="1">
      <alignment vertical="top"/>
    </xf>
    <xf numFmtId="170" fontId="20" fillId="0" borderId="0" xfId="19" applyNumberFormat="1" applyFont="1" applyFill="1" applyBorder="1" applyAlignment="1">
      <alignment vertical="top"/>
    </xf>
    <xf numFmtId="170" fontId="28" fillId="0" borderId="0" xfId="19" applyNumberFormat="1" applyFont="1" applyFill="1" applyBorder="1" applyAlignment="1">
      <alignment vertical="top"/>
    </xf>
    <xf numFmtId="5" fontId="15" fillId="3" borderId="0" xfId="24" applyNumberFormat="1" applyFont="1" applyFill="1"/>
    <xf numFmtId="166" fontId="10" fillId="0" borderId="7" xfId="0" applyNumberFormat="1" applyFont="1" applyFill="1" applyBorder="1" applyAlignment="1">
      <alignment horizontal="left" indent="2"/>
    </xf>
    <xf numFmtId="166" fontId="10" fillId="0" borderId="0" xfId="27" applyNumberFormat="1" applyFont="1" applyFill="1" applyBorder="1"/>
    <xf numFmtId="166" fontId="10" fillId="0" borderId="12" xfId="27" applyNumberFormat="1" applyFont="1" applyFill="1" applyBorder="1"/>
    <xf numFmtId="166" fontId="20" fillId="0" borderId="12" xfId="27" applyNumberFormat="1" applyFont="1" applyFill="1" applyBorder="1"/>
    <xf numFmtId="166" fontId="10" fillId="0" borderId="0" xfId="0" applyNumberFormat="1" applyFont="1" applyFill="1" applyBorder="1" applyAlignment="1" applyProtection="1">
      <alignment vertical="top"/>
    </xf>
    <xf numFmtId="166" fontId="14" fillId="0" borderId="0" xfId="0" applyNumberFormat="1" applyFont="1" applyFill="1" applyBorder="1" applyAlignment="1" applyProtection="1">
      <alignment vertical="top"/>
    </xf>
    <xf numFmtId="166" fontId="14" fillId="0" borderId="0" xfId="0" applyNumberFormat="1" applyFont="1" applyFill="1" applyBorder="1" applyAlignment="1">
      <alignment vertical="top"/>
    </xf>
    <xf numFmtId="166" fontId="14" fillId="0" borderId="6" xfId="0" applyNumberFormat="1" applyFont="1" applyFill="1" applyBorder="1" applyAlignment="1" applyProtection="1">
      <alignment vertical="top"/>
    </xf>
    <xf numFmtId="165" fontId="14" fillId="0" borderId="6" xfId="19" applyNumberFormat="1" applyFont="1" applyFill="1" applyBorder="1" applyProtection="1">
      <protection locked="0"/>
    </xf>
    <xf numFmtId="166" fontId="20" fillId="0" borderId="0" xfId="19" applyNumberFormat="1" applyFont="1" applyFill="1" applyBorder="1" applyProtection="1"/>
    <xf numFmtId="165" fontId="14" fillId="0" borderId="0" xfId="8" applyNumberFormat="1" applyFont="1" applyFill="1" applyBorder="1" applyProtection="1"/>
    <xf numFmtId="165" fontId="27" fillId="3" borderId="7" xfId="0" applyNumberFormat="1" applyFont="1" applyFill="1" applyBorder="1" applyAlignment="1">
      <alignment horizontal="left" indent="3"/>
    </xf>
    <xf numFmtId="165" fontId="36" fillId="3" borderId="0" xfId="0" applyNumberFormat="1" applyFont="1" applyFill="1" applyBorder="1"/>
    <xf numFmtId="165" fontId="27" fillId="3" borderId="6" xfId="27" applyNumberFormat="1" applyFont="1" applyFill="1" applyBorder="1"/>
    <xf numFmtId="170" fontId="10" fillId="0" borderId="15" xfId="19" applyNumberFormat="1" applyFont="1" applyFill="1" applyBorder="1"/>
    <xf numFmtId="166" fontId="6" fillId="4" borderId="0" xfId="19" applyNumberFormat="1" applyFont="1" applyFill="1" applyBorder="1"/>
    <xf numFmtId="165" fontId="6" fillId="4" borderId="0" xfId="19" applyNumberFormat="1" applyFont="1" applyFill="1" applyBorder="1"/>
    <xf numFmtId="3" fontId="6" fillId="4" borderId="0" xfId="19" applyNumberFormat="1" applyFont="1" applyFill="1" applyBorder="1"/>
    <xf numFmtId="9" fontId="6" fillId="4" borderId="0" xfId="19" applyNumberFormat="1" applyFont="1" applyFill="1" applyBorder="1"/>
    <xf numFmtId="166" fontId="6" fillId="4" borderId="0" xfId="0" applyNumberFormat="1" applyFont="1" applyFill="1" applyBorder="1"/>
    <xf numFmtId="0" fontId="6" fillId="4" borderId="0" xfId="19" applyFont="1" applyFill="1" applyBorder="1" applyAlignment="1">
      <alignment vertical="top"/>
    </xf>
    <xf numFmtId="0" fontId="64" fillId="12" borderId="0" xfId="16" applyFont="1" applyFill="1" applyBorder="1"/>
    <xf numFmtId="0" fontId="65" fillId="12" borderId="0" xfId="16" applyFont="1" applyFill="1" applyBorder="1"/>
    <xf numFmtId="0" fontId="66" fillId="13" borderId="74" xfId="16" applyFont="1" applyFill="1" applyBorder="1" applyAlignment="1">
      <alignment horizontal="center"/>
    </xf>
    <xf numFmtId="0" fontId="67" fillId="0" borderId="0" xfId="16" applyFont="1" applyBorder="1"/>
    <xf numFmtId="0" fontId="67" fillId="0" borderId="0" xfId="16" applyFont="1"/>
    <xf numFmtId="0" fontId="67" fillId="0" borderId="0" xfId="16" applyFont="1" applyFill="1"/>
    <xf numFmtId="0" fontId="67" fillId="0" borderId="0" xfId="16" applyFont="1" applyFill="1" applyAlignment="1">
      <alignment horizontal="center"/>
    </xf>
    <xf numFmtId="0" fontId="68" fillId="0" borderId="0" xfId="16" applyFont="1"/>
    <xf numFmtId="0" fontId="66" fillId="0" borderId="0" xfId="16" applyFont="1" applyBorder="1"/>
    <xf numFmtId="0" fontId="69" fillId="0" borderId="0" xfId="16" applyFont="1" applyBorder="1"/>
    <xf numFmtId="0" fontId="67" fillId="0" borderId="0" xfId="16" applyFont="1" applyFill="1" applyBorder="1"/>
    <xf numFmtId="0" fontId="70" fillId="13" borderId="75" xfId="16" applyFont="1" applyFill="1" applyBorder="1" applyAlignment="1">
      <alignment wrapText="1"/>
    </xf>
    <xf numFmtId="0" fontId="69" fillId="3" borderId="0" xfId="16" applyFont="1" applyFill="1"/>
    <xf numFmtId="0" fontId="67" fillId="13" borderId="75" xfId="16" applyFont="1" applyFill="1" applyBorder="1" applyAlignment="1"/>
    <xf numFmtId="0" fontId="71" fillId="0" borderId="0" xfId="16" applyFont="1" applyFill="1" applyBorder="1"/>
    <xf numFmtId="0" fontId="72" fillId="0" borderId="0" xfId="16" applyFont="1" applyFill="1" applyBorder="1"/>
    <xf numFmtId="0" fontId="68" fillId="0" borderId="0" xfId="16" applyFont="1" applyFill="1"/>
    <xf numFmtId="0" fontId="73" fillId="0" borderId="0" xfId="16" applyFont="1" applyFill="1"/>
    <xf numFmtId="0" fontId="74" fillId="12" borderId="0" xfId="16" applyNumberFormat="1" applyFont="1" applyFill="1" applyBorder="1" applyAlignment="1">
      <alignment horizontal="center"/>
    </xf>
    <xf numFmtId="0" fontId="74" fillId="12" borderId="0" xfId="16" applyFont="1" applyFill="1" applyBorder="1" applyAlignment="1">
      <alignment horizontal="center"/>
    </xf>
    <xf numFmtId="0" fontId="73" fillId="0" borderId="0" xfId="16" applyFont="1"/>
    <xf numFmtId="0" fontId="71" fillId="0" borderId="0" xfId="16" applyFont="1" applyBorder="1"/>
    <xf numFmtId="0" fontId="72" fillId="0" borderId="0" xfId="16" applyFont="1" applyBorder="1"/>
    <xf numFmtId="37" fontId="67" fillId="0" borderId="0" xfId="7" applyNumberFormat="1" applyFont="1" applyFill="1" applyBorder="1" applyAlignment="1">
      <alignment horizontal="center"/>
    </xf>
    <xf numFmtId="37" fontId="67" fillId="0" borderId="0" xfId="7" applyNumberFormat="1" applyFont="1" applyBorder="1" applyAlignment="1">
      <alignment horizontal="center"/>
    </xf>
    <xf numFmtId="165" fontId="67" fillId="0" borderId="0" xfId="28" applyNumberFormat="1" applyFont="1" applyFill="1" applyBorder="1" applyAlignment="1">
      <alignment horizontal="center"/>
    </xf>
    <xf numFmtId="165" fontId="75" fillId="13" borderId="0" xfId="16" applyNumberFormat="1" applyFont="1" applyFill="1" applyBorder="1" applyAlignment="1">
      <alignment horizontal="center"/>
    </xf>
    <xf numFmtId="165" fontId="68" fillId="0" borderId="0" xfId="28" applyNumberFormat="1" applyFont="1" applyFill="1"/>
    <xf numFmtId="0" fontId="73" fillId="0" borderId="0" xfId="16" applyFont="1" applyBorder="1"/>
    <xf numFmtId="165" fontId="67" fillId="0" borderId="0" xfId="28" applyNumberFormat="1" applyFont="1" applyFill="1" applyAlignment="1">
      <alignment horizontal="center"/>
    </xf>
    <xf numFmtId="165" fontId="67" fillId="0" borderId="0" xfId="16" applyNumberFormat="1" applyFont="1"/>
    <xf numFmtId="165" fontId="67" fillId="0" borderId="0" xfId="16" applyNumberFormat="1" applyFont="1" applyFill="1" applyBorder="1" applyAlignment="1">
      <alignment horizontal="center"/>
    </xf>
    <xf numFmtId="165" fontId="75" fillId="0" borderId="0" xfId="16" applyNumberFormat="1" applyFont="1" applyFill="1" applyBorder="1" applyAlignment="1">
      <alignment horizontal="center"/>
    </xf>
    <xf numFmtId="0" fontId="68" fillId="0" borderId="0" xfId="16" applyFont="1" applyBorder="1"/>
    <xf numFmtId="165" fontId="67" fillId="0" borderId="0" xfId="16" applyNumberFormat="1" applyFont="1" applyFill="1" applyAlignment="1">
      <alignment horizontal="center"/>
    </xf>
    <xf numFmtId="166" fontId="67" fillId="0" borderId="0" xfId="16" applyNumberFormat="1" applyFont="1" applyFill="1" applyBorder="1" applyAlignment="1">
      <alignment horizontal="center"/>
    </xf>
    <xf numFmtId="166" fontId="75" fillId="0" borderId="0" xfId="16" applyNumberFormat="1" applyFont="1" applyFill="1" applyBorder="1" applyAlignment="1">
      <alignment horizontal="center"/>
    </xf>
    <xf numFmtId="0" fontId="68" fillId="0" borderId="76" xfId="16" applyFont="1" applyBorder="1"/>
    <xf numFmtId="0" fontId="68" fillId="0" borderId="77" xfId="16" applyFont="1" applyBorder="1"/>
    <xf numFmtId="0" fontId="68" fillId="0" borderId="78" xfId="16" applyFont="1" applyBorder="1"/>
    <xf numFmtId="0" fontId="68" fillId="0" borderId="72" xfId="16" applyFont="1" applyBorder="1"/>
    <xf numFmtId="0" fontId="68" fillId="0" borderId="29" xfId="16" quotePrefix="1" applyFont="1" applyFill="1" applyBorder="1" applyAlignment="1">
      <alignment horizontal="right"/>
    </xf>
    <xf numFmtId="0" fontId="68" fillId="0" borderId="70" xfId="16" applyFont="1" applyBorder="1"/>
    <xf numFmtId="179" fontId="68" fillId="3" borderId="0" xfId="16" applyNumberFormat="1" applyFont="1" applyFill="1" applyBorder="1" applyAlignment="1">
      <alignment vertical="center"/>
    </xf>
    <xf numFmtId="0" fontId="68" fillId="0" borderId="73" xfId="16" applyFont="1" applyBorder="1"/>
    <xf numFmtId="0" fontId="68" fillId="0" borderId="30" xfId="16" quotePrefix="1" applyFont="1" applyFill="1" applyBorder="1" applyAlignment="1">
      <alignment horizontal="right"/>
    </xf>
    <xf numFmtId="0" fontId="68" fillId="0" borderId="70" xfId="16" quotePrefix="1" applyFont="1" applyFill="1" applyBorder="1" applyAlignment="1">
      <alignment horizontal="right"/>
    </xf>
    <xf numFmtId="0" fontId="68" fillId="0" borderId="0" xfId="16" applyFont="1" applyFill="1" applyBorder="1"/>
    <xf numFmtId="165" fontId="75" fillId="10" borderId="0" xfId="28" applyNumberFormat="1" applyFont="1" applyFill="1" applyBorder="1" applyAlignment="1">
      <alignment horizontal="center"/>
    </xf>
    <xf numFmtId="0" fontId="68" fillId="0" borderId="30" xfId="16" applyFont="1" applyBorder="1" applyAlignment="1">
      <alignment horizontal="right"/>
    </xf>
    <xf numFmtId="0" fontId="67" fillId="0" borderId="73" xfId="16" applyFont="1" applyBorder="1"/>
    <xf numFmtId="0" fontId="67" fillId="0" borderId="30" xfId="16" applyFont="1" applyBorder="1"/>
    <xf numFmtId="0" fontId="67" fillId="0" borderId="70" xfId="16" applyFont="1" applyBorder="1"/>
    <xf numFmtId="0" fontId="72" fillId="0" borderId="0" xfId="16" applyFont="1" applyFill="1"/>
    <xf numFmtId="0" fontId="74" fillId="0" borderId="0" xfId="16" applyFont="1" applyFill="1" applyAlignment="1">
      <alignment horizontal="center"/>
    </xf>
    <xf numFmtId="0" fontId="67" fillId="0" borderId="0" xfId="16" applyFont="1" applyFill="1" applyBorder="1" applyAlignment="1">
      <alignment horizontal="center"/>
    </xf>
    <xf numFmtId="0" fontId="67" fillId="0" borderId="0" xfId="16" applyFont="1" applyBorder="1" applyAlignment="1">
      <alignment horizontal="center"/>
    </xf>
    <xf numFmtId="0" fontId="68" fillId="0" borderId="30" xfId="16" applyNumberFormat="1" applyFont="1" applyBorder="1" applyAlignment="1">
      <alignment horizontal="right"/>
    </xf>
    <xf numFmtId="0" fontId="76" fillId="0" borderId="0" xfId="16" applyFont="1" applyFill="1" applyBorder="1" applyAlignment="1">
      <alignment horizontal="right"/>
    </xf>
    <xf numFmtId="0" fontId="76" fillId="0" borderId="0" xfId="16" applyFont="1" applyFill="1" applyBorder="1"/>
    <xf numFmtId="0" fontId="77" fillId="0" borderId="0" xfId="16" applyFont="1" applyFill="1" applyBorder="1"/>
    <xf numFmtId="186" fontId="68" fillId="0" borderId="30" xfId="16" applyNumberFormat="1" applyFont="1" applyBorder="1" applyAlignment="1" applyProtection="1">
      <alignment horizontal="right"/>
    </xf>
    <xf numFmtId="186" fontId="68" fillId="0" borderId="70" xfId="16" applyNumberFormat="1" applyFont="1" applyBorder="1"/>
    <xf numFmtId="0" fontId="68" fillId="0" borderId="0" xfId="16" applyFont="1" applyFill="1" applyBorder="1" applyAlignment="1">
      <alignment horizontal="left"/>
    </xf>
    <xf numFmtId="0" fontId="77" fillId="0" borderId="0" xfId="16" applyFont="1" applyFill="1"/>
    <xf numFmtId="0" fontId="68" fillId="0" borderId="73" xfId="16" applyFont="1" applyBorder="1" applyAlignment="1">
      <alignment horizontal="left"/>
    </xf>
    <xf numFmtId="0" fontId="68" fillId="0" borderId="30" xfId="16" applyNumberFormat="1" applyFont="1" applyBorder="1" applyAlignment="1" applyProtection="1">
      <alignment horizontal="right"/>
    </xf>
    <xf numFmtId="172" fontId="68" fillId="0" borderId="0" xfId="11" applyNumberFormat="1" applyFont="1" applyFill="1" applyBorder="1" applyAlignment="1">
      <alignment horizontal="left"/>
    </xf>
    <xf numFmtId="0" fontId="68" fillId="0" borderId="31" xfId="16" applyFont="1" applyBorder="1" applyAlignment="1">
      <alignment horizontal="left"/>
    </xf>
    <xf numFmtId="187" fontId="68" fillId="0" borderId="32" xfId="16" applyNumberFormat="1" applyFont="1" applyBorder="1" applyAlignment="1">
      <alignment horizontal="right"/>
    </xf>
    <xf numFmtId="14" fontId="68" fillId="0" borderId="79" xfId="16" applyNumberFormat="1" applyFont="1" applyBorder="1"/>
    <xf numFmtId="37" fontId="67" fillId="0" borderId="0" xfId="7" applyNumberFormat="1" applyFont="1" applyFill="1" applyAlignment="1">
      <alignment horizontal="center"/>
    </xf>
    <xf numFmtId="37" fontId="68" fillId="0" borderId="0" xfId="11" applyNumberFormat="1" applyFont="1" applyFill="1" applyBorder="1" applyAlignment="1">
      <alignment horizontal="left"/>
    </xf>
    <xf numFmtId="37" fontId="67" fillId="0" borderId="0" xfId="16" applyNumberFormat="1" applyFont="1"/>
    <xf numFmtId="172" fontId="68" fillId="0" borderId="0" xfId="11" applyNumberFormat="1" applyFont="1" applyFill="1" applyAlignment="1">
      <alignment horizontal="left"/>
    </xf>
    <xf numFmtId="0" fontId="69" fillId="0" borderId="0" xfId="16" applyFont="1"/>
    <xf numFmtId="37" fontId="68" fillId="0" borderId="0" xfId="11" applyNumberFormat="1" applyFont="1" applyFill="1" applyAlignment="1">
      <alignment horizontal="left"/>
    </xf>
    <xf numFmtId="1" fontId="67" fillId="0" borderId="0" xfId="16" applyNumberFormat="1" applyFont="1" applyFill="1" applyBorder="1" applyAlignment="1">
      <alignment horizontal="center"/>
    </xf>
    <xf numFmtId="0" fontId="92" fillId="0" borderId="0" xfId="16" applyBorder="1"/>
    <xf numFmtId="0" fontId="92" fillId="0" borderId="0" xfId="16"/>
    <xf numFmtId="0" fontId="67" fillId="0" borderId="2" xfId="16" applyFont="1" applyFill="1" applyBorder="1"/>
    <xf numFmtId="0" fontId="67" fillId="0" borderId="0" xfId="16" applyFont="1" applyBorder="1" applyAlignment="1"/>
    <xf numFmtId="0" fontId="78" fillId="0" borderId="0" xfId="16" applyFont="1" applyBorder="1"/>
    <xf numFmtId="37" fontId="79" fillId="0" borderId="0" xfId="7" applyNumberFormat="1" applyFont="1" applyFill="1" applyBorder="1" applyAlignment="1">
      <alignment horizontal="center"/>
    </xf>
    <xf numFmtId="37" fontId="79" fillId="0" borderId="0" xfId="7" applyNumberFormat="1" applyFont="1" applyBorder="1" applyAlignment="1">
      <alignment horizontal="center"/>
    </xf>
    <xf numFmtId="37" fontId="79" fillId="0" borderId="0" xfId="7" applyNumberFormat="1" applyFont="1" applyFill="1" applyAlignment="1">
      <alignment horizontal="center"/>
    </xf>
    <xf numFmtId="37" fontId="69" fillId="0" borderId="0" xfId="7" applyNumberFormat="1" applyFont="1" applyFill="1" applyBorder="1" applyAlignment="1">
      <alignment horizontal="center"/>
    </xf>
    <xf numFmtId="37" fontId="80" fillId="0" borderId="0" xfId="16" applyNumberFormat="1" applyFont="1" applyBorder="1" applyAlignment="1">
      <alignment horizontal="center"/>
    </xf>
    <xf numFmtId="37" fontId="69" fillId="0" borderId="0" xfId="16" applyNumberFormat="1" applyFont="1" applyBorder="1" applyAlignment="1">
      <alignment horizontal="center"/>
    </xf>
    <xf numFmtId="37" fontId="69" fillId="0" borderId="0" xfId="7" applyNumberFormat="1" applyFont="1" applyBorder="1" applyAlignment="1">
      <alignment horizontal="center"/>
    </xf>
    <xf numFmtId="37" fontId="69" fillId="0" borderId="0" xfId="7" applyNumberFormat="1" applyFont="1" applyFill="1" applyAlignment="1">
      <alignment horizontal="center"/>
    </xf>
    <xf numFmtId="0" fontId="79" fillId="0" borderId="0" xfId="16" applyFont="1" applyFill="1"/>
    <xf numFmtId="9" fontId="67" fillId="0" borderId="0" xfId="16" applyNumberFormat="1" applyFont="1" applyFill="1"/>
    <xf numFmtId="0" fontId="69" fillId="0" borderId="0" xfId="16" applyNumberFormat="1" applyFont="1"/>
    <xf numFmtId="172" fontId="68" fillId="0" borderId="0" xfId="11" applyNumberFormat="1" applyFont="1" applyFill="1"/>
    <xf numFmtId="9" fontId="79" fillId="0" borderId="0" xfId="16" applyNumberFormat="1" applyFont="1"/>
    <xf numFmtId="37" fontId="67" fillId="10" borderId="0" xfId="7" applyNumberFormat="1" applyFont="1" applyFill="1" applyBorder="1" applyAlignment="1">
      <alignment horizontal="center"/>
    </xf>
    <xf numFmtId="37" fontId="67" fillId="13" borderId="0" xfId="7" applyNumberFormat="1" applyFont="1" applyFill="1" applyBorder="1" applyAlignment="1">
      <alignment horizontal="center"/>
    </xf>
    <xf numFmtId="9" fontId="67" fillId="0" borderId="0" xfId="16" applyNumberFormat="1" applyFont="1"/>
    <xf numFmtId="37" fontId="67" fillId="0" borderId="0" xfId="16" applyNumberFormat="1" applyFont="1" applyBorder="1"/>
    <xf numFmtId="37" fontId="68" fillId="0" borderId="0" xfId="11" applyNumberFormat="1" applyFont="1" applyFill="1"/>
    <xf numFmtId="37" fontId="67" fillId="0" borderId="0" xfId="16" applyNumberFormat="1" applyFont="1" applyBorder="1" applyAlignment="1">
      <alignment horizontal="center"/>
    </xf>
    <xf numFmtId="0" fontId="67" fillId="0" borderId="0" xfId="16" applyFont="1" applyFill="1" applyAlignment="1">
      <alignment horizontal="right"/>
    </xf>
    <xf numFmtId="0" fontId="67" fillId="0" borderId="0" xfId="16" applyFont="1" applyAlignment="1">
      <alignment horizontal="left"/>
    </xf>
    <xf numFmtId="172" fontId="67" fillId="0" borderId="0" xfId="7" applyNumberFormat="1" applyFont="1"/>
    <xf numFmtId="9" fontId="67" fillId="0" borderId="0" xfId="28" applyFont="1"/>
    <xf numFmtId="172" fontId="69" fillId="0" borderId="0" xfId="7" applyNumberFormat="1" applyFont="1"/>
    <xf numFmtId="9" fontId="79" fillId="0" borderId="0" xfId="28" applyNumberFormat="1" applyFont="1" applyFill="1" applyBorder="1" applyAlignment="1">
      <alignment horizontal="center"/>
    </xf>
    <xf numFmtId="9" fontId="79" fillId="0" borderId="0" xfId="28" applyNumberFormat="1" applyFont="1" applyFill="1" applyAlignment="1">
      <alignment horizontal="center"/>
    </xf>
    <xf numFmtId="165" fontId="67" fillId="0" borderId="0" xfId="28" applyNumberFormat="1" applyFont="1"/>
    <xf numFmtId="37" fontId="79" fillId="0" borderId="0" xfId="11" applyNumberFormat="1" applyFont="1" applyFill="1" applyBorder="1" applyAlignment="1">
      <alignment horizontal="center"/>
    </xf>
    <xf numFmtId="37" fontId="67" fillId="0" borderId="0" xfId="16" applyNumberFormat="1" applyFont="1" applyFill="1" applyBorder="1" applyAlignment="1">
      <alignment horizontal="center"/>
    </xf>
    <xf numFmtId="37" fontId="79" fillId="0" borderId="0" xfId="16" applyNumberFormat="1" applyFont="1" applyFill="1" applyBorder="1" applyAlignment="1">
      <alignment horizontal="center"/>
    </xf>
    <xf numFmtId="37" fontId="79" fillId="0" borderId="0" xfId="16" applyNumberFormat="1" applyFont="1" applyFill="1" applyAlignment="1">
      <alignment horizontal="center"/>
    </xf>
    <xf numFmtId="0" fontId="92" fillId="3" borderId="0" xfId="16" applyFill="1" applyBorder="1"/>
    <xf numFmtId="0" fontId="92" fillId="3" borderId="0" xfId="16" applyFill="1"/>
    <xf numFmtId="0" fontId="93" fillId="3" borderId="0" xfId="16" applyFont="1" applyFill="1"/>
    <xf numFmtId="0" fontId="92" fillId="0" borderId="0" xfId="16" applyFill="1"/>
    <xf numFmtId="0" fontId="81" fillId="3" borderId="0" xfId="16" applyFont="1" applyFill="1" applyBorder="1" applyAlignment="1">
      <alignment horizontal="left" wrapText="1"/>
    </xf>
    <xf numFmtId="0" fontId="76" fillId="3" borderId="0" xfId="16" applyFont="1" applyFill="1" applyBorder="1" applyAlignment="1">
      <alignment horizontal="right"/>
    </xf>
    <xf numFmtId="0" fontId="76" fillId="3" borderId="0" xfId="16" applyFont="1" applyFill="1" applyBorder="1"/>
    <xf numFmtId="0" fontId="77" fillId="3" borderId="0" xfId="16" applyFont="1" applyFill="1" applyBorder="1"/>
    <xf numFmtId="0" fontId="67" fillId="3" borderId="0" xfId="16" applyFont="1" applyFill="1" applyBorder="1"/>
    <xf numFmtId="0" fontId="79" fillId="3" borderId="0" xfId="16" applyFont="1" applyFill="1" applyBorder="1"/>
    <xf numFmtId="0" fontId="82" fillId="0" borderId="0" xfId="16" applyFont="1" applyBorder="1"/>
    <xf numFmtId="0" fontId="83" fillId="0" borderId="0" xfId="16" applyFont="1" applyBorder="1"/>
    <xf numFmtId="0" fontId="84" fillId="0" borderId="0" xfId="16" applyFont="1" applyBorder="1"/>
    <xf numFmtId="37" fontId="84" fillId="0" borderId="0" xfId="16" applyNumberFormat="1" applyFont="1" applyBorder="1" applyAlignment="1">
      <alignment horizontal="right"/>
    </xf>
    <xf numFmtId="37" fontId="83" fillId="0" borderId="0" xfId="16" applyNumberFormat="1" applyFont="1" applyBorder="1" applyAlignment="1">
      <alignment horizontal="center"/>
    </xf>
    <xf numFmtId="0" fontId="85" fillId="0" borderId="0" xfId="16" applyFont="1"/>
    <xf numFmtId="0" fontId="85" fillId="0" borderId="0" xfId="16" applyFont="1" applyAlignment="1">
      <alignment horizontal="center"/>
    </xf>
    <xf numFmtId="0" fontId="85" fillId="0" borderId="0" xfId="16" applyFont="1" applyFill="1"/>
    <xf numFmtId="37" fontId="84" fillId="0" borderId="0" xfId="16" applyNumberFormat="1" applyFont="1" applyBorder="1" applyAlignment="1">
      <alignment horizontal="center"/>
    </xf>
    <xf numFmtId="0" fontId="85" fillId="0" borderId="0" xfId="16" applyFont="1" applyBorder="1"/>
    <xf numFmtId="0" fontId="67" fillId="0" borderId="0" xfId="16" applyFont="1" applyBorder="1" applyAlignment="1">
      <alignment horizontal="right"/>
    </xf>
    <xf numFmtId="0" fontId="86" fillId="0" borderId="0" xfId="16" applyFont="1" applyBorder="1"/>
    <xf numFmtId="0" fontId="87" fillId="0" borderId="0" xfId="16" applyFont="1" applyBorder="1"/>
    <xf numFmtId="37" fontId="79" fillId="0" borderId="0" xfId="16" applyNumberFormat="1" applyFont="1" applyBorder="1" applyAlignment="1">
      <alignment horizontal="center"/>
    </xf>
    <xf numFmtId="186" fontId="67" fillId="0" borderId="0" xfId="16" applyNumberFormat="1" applyFont="1" applyBorder="1" applyAlignment="1">
      <alignment horizontal="center"/>
    </xf>
    <xf numFmtId="188" fontId="67" fillId="0" borderId="0" xfId="16" applyNumberFormat="1" applyFont="1" applyBorder="1" applyAlignment="1">
      <alignment horizontal="center"/>
    </xf>
    <xf numFmtId="39" fontId="66" fillId="0" borderId="0" xfId="16" applyNumberFormat="1" applyFont="1" applyBorder="1" applyAlignment="1">
      <alignment horizontal="center"/>
    </xf>
    <xf numFmtId="0" fontId="67" fillId="0" borderId="0" xfId="16" applyFont="1" applyAlignment="1"/>
    <xf numFmtId="49" fontId="85" fillId="0" borderId="0" xfId="16" applyNumberFormat="1" applyFont="1"/>
    <xf numFmtId="0" fontId="85" fillId="0" borderId="0" xfId="16" applyFont="1" applyAlignment="1">
      <alignment horizontal="right"/>
    </xf>
    <xf numFmtId="0" fontId="85" fillId="0" borderId="0" xfId="16" applyNumberFormat="1" applyFont="1"/>
    <xf numFmtId="0" fontId="67" fillId="0" borderId="0" xfId="16" applyNumberFormat="1" applyFont="1"/>
    <xf numFmtId="0" fontId="85" fillId="0" borderId="0" xfId="34" applyFont="1" applyFill="1" applyBorder="1"/>
    <xf numFmtId="170" fontId="6" fillId="4" borderId="0" xfId="8" applyNumberFormat="1" applyFont="1" applyFill="1" applyBorder="1"/>
    <xf numFmtId="165" fontId="6" fillId="4" borderId="0" xfId="19" applyNumberFormat="1" applyFont="1" applyFill="1" applyBorder="1" applyAlignment="1" applyProtection="1">
      <alignment vertical="top"/>
    </xf>
    <xf numFmtId="165" fontId="36" fillId="0" borderId="24" xfId="19" applyNumberFormat="1" applyFont="1" applyFill="1" applyBorder="1"/>
    <xf numFmtId="165" fontId="10" fillId="0" borderId="0" xfId="27" applyNumberFormat="1" applyFont="1" applyFill="1" applyBorder="1"/>
    <xf numFmtId="170" fontId="6" fillId="4" borderId="0" xfId="19" applyNumberFormat="1" applyFont="1" applyFill="1" applyBorder="1"/>
    <xf numFmtId="166" fontId="6" fillId="3" borderId="0" xfId="27" applyNumberFormat="1" applyFont="1" applyFill="1" applyBorder="1"/>
    <xf numFmtId="170" fontId="6" fillId="4" borderId="0" xfId="24" applyNumberFormat="1" applyFont="1" applyFill="1" applyBorder="1"/>
    <xf numFmtId="165" fontId="6" fillId="4" borderId="0" xfId="0" applyNumberFormat="1" applyFont="1" applyFill="1" applyBorder="1"/>
    <xf numFmtId="0" fontId="25" fillId="0" borderId="6" xfId="24" applyFont="1" applyFill="1" applyBorder="1"/>
    <xf numFmtId="165" fontId="6" fillId="4" borderId="0" xfId="24" applyNumberFormat="1" applyFont="1" applyFill="1" applyBorder="1"/>
    <xf numFmtId="0" fontId="67" fillId="0" borderId="0" xfId="0" applyFont="1"/>
    <xf numFmtId="170" fontId="10" fillId="0" borderId="0" xfId="12" applyNumberFormat="1" applyFont="1" applyFill="1" applyBorder="1" applyAlignment="1">
      <alignment vertical="top"/>
    </xf>
    <xf numFmtId="170" fontId="6" fillId="3" borderId="12" xfId="19" applyNumberFormat="1" applyFont="1" applyFill="1" applyBorder="1"/>
    <xf numFmtId="170" fontId="6" fillId="3" borderId="0" xfId="24" applyNumberFormat="1" applyFont="1" applyFill="1"/>
    <xf numFmtId="170" fontId="6" fillId="3" borderId="12" xfId="0" applyNumberFormat="1" applyFont="1" applyFill="1" applyBorder="1"/>
    <xf numFmtId="165" fontId="20" fillId="0" borderId="0" xfId="27" applyNumberFormat="1" applyFont="1" applyFill="1" applyBorder="1"/>
    <xf numFmtId="170" fontId="6" fillId="4" borderId="0" xfId="19" applyNumberFormat="1" applyFont="1" applyFill="1" applyBorder="1" applyAlignment="1"/>
    <xf numFmtId="165" fontId="14" fillId="0" borderId="0" xfId="19" applyNumberFormat="1" applyFont="1" applyFill="1" applyBorder="1" applyAlignment="1" applyProtection="1">
      <alignment vertical="top"/>
    </xf>
    <xf numFmtId="170" fontId="14" fillId="0" borderId="0" xfId="27" applyNumberFormat="1" applyFont="1" applyFill="1" applyBorder="1"/>
    <xf numFmtId="165" fontId="103" fillId="4" borderId="0" xfId="0" applyNumberFormat="1" applyFont="1" applyFill="1" applyBorder="1" applyAlignment="1">
      <alignment horizontal="right"/>
    </xf>
    <xf numFmtId="165" fontId="36" fillId="4" borderId="32" xfId="6" applyNumberFormat="1" applyFont="1" applyFill="1" applyBorder="1"/>
    <xf numFmtId="165" fontId="14" fillId="0" borderId="0" xfId="27" applyNumberFormat="1" applyFont="1" applyFill="1" applyBorder="1"/>
    <xf numFmtId="166" fontId="36" fillId="4" borderId="0" xfId="19" applyNumberFormat="1" applyFont="1" applyFill="1" applyBorder="1"/>
    <xf numFmtId="169" fontId="15" fillId="15" borderId="0" xfId="19" applyNumberFormat="1" applyFont="1" applyFill="1" applyBorder="1"/>
    <xf numFmtId="165" fontId="10" fillId="15" borderId="0" xfId="19" applyNumberFormat="1" applyFont="1" applyFill="1" applyBorder="1"/>
    <xf numFmtId="9" fontId="10" fillId="15" borderId="0" xfId="19" applyNumberFormat="1" applyFont="1" applyFill="1" applyBorder="1"/>
    <xf numFmtId="170" fontId="27" fillId="15" borderId="0" xfId="19" applyNumberFormat="1" applyFont="1" applyFill="1" applyBorder="1"/>
    <xf numFmtId="170" fontId="27" fillId="15" borderId="0" xfId="19" applyNumberFormat="1" applyFont="1" applyFill="1" applyBorder="1" applyAlignment="1">
      <alignment vertical="top"/>
    </xf>
    <xf numFmtId="9" fontId="10" fillId="15" borderId="0" xfId="27" applyNumberFormat="1" applyFont="1" applyFill="1" applyBorder="1" applyAlignment="1">
      <alignment vertical="top"/>
    </xf>
    <xf numFmtId="170" fontId="10" fillId="15" borderId="0" xfId="14" applyNumberFormat="1" applyFont="1" applyFill="1" applyBorder="1" applyAlignment="1">
      <alignment vertical="top"/>
    </xf>
    <xf numFmtId="169" fontId="15" fillId="15" borderId="12" xfId="19" applyNumberFormat="1" applyFont="1" applyFill="1" applyBorder="1"/>
    <xf numFmtId="165" fontId="10" fillId="15" borderId="12" xfId="27" applyNumberFormat="1" applyFont="1" applyFill="1" applyBorder="1"/>
    <xf numFmtId="9" fontId="10" fillId="15" borderId="12" xfId="27" applyNumberFormat="1" applyFont="1" applyFill="1" applyBorder="1"/>
    <xf numFmtId="170" fontId="27" fillId="15" borderId="12" xfId="14" applyNumberFormat="1" applyFont="1" applyFill="1" applyBorder="1"/>
    <xf numFmtId="9" fontId="10" fillId="15" borderId="12" xfId="14" applyNumberFormat="1" applyFont="1" applyFill="1" applyBorder="1" applyAlignment="1">
      <alignment vertical="top"/>
    </xf>
    <xf numFmtId="9" fontId="10" fillId="15" borderId="12" xfId="27" applyNumberFormat="1" applyFont="1" applyFill="1" applyBorder="1" applyAlignment="1">
      <alignment vertical="top"/>
    </xf>
    <xf numFmtId="170" fontId="27" fillId="15" borderId="12" xfId="19" applyNumberFormat="1" applyFont="1" applyFill="1" applyBorder="1" applyAlignment="1">
      <alignment vertical="top"/>
    </xf>
    <xf numFmtId="170" fontId="10" fillId="15" borderId="12" xfId="14" applyNumberFormat="1" applyFont="1" applyFill="1" applyBorder="1" applyAlignment="1">
      <alignment vertical="top"/>
    </xf>
    <xf numFmtId="165" fontId="104" fillId="3" borderId="19" xfId="27" applyNumberFormat="1" applyFont="1" applyFill="1" applyBorder="1"/>
    <xf numFmtId="170" fontId="34" fillId="8" borderId="10" xfId="19" applyNumberFormat="1" applyFont="1" applyFill="1" applyBorder="1"/>
    <xf numFmtId="165" fontId="10" fillId="0" borderId="0" xfId="19" applyNumberFormat="1" applyFont="1" applyFill="1" applyBorder="1" applyAlignment="1" applyProtection="1">
      <alignment vertical="top"/>
    </xf>
    <xf numFmtId="165" fontId="15" fillId="4" borderId="0" xfId="8" applyNumberFormat="1" applyFont="1" applyFill="1" applyBorder="1"/>
    <xf numFmtId="0" fontId="10" fillId="0" borderId="0" xfId="0" applyFont="1" applyFill="1"/>
    <xf numFmtId="0" fontId="10" fillId="0" borderId="0" xfId="18" applyFont="1" applyFill="1"/>
    <xf numFmtId="2" fontId="6" fillId="0" borderId="0" xfId="0" applyNumberFormat="1" applyFont="1" applyFill="1" applyAlignment="1">
      <alignment horizontal="center"/>
    </xf>
    <xf numFmtId="165" fontId="15" fillId="4" borderId="0" xfId="0" applyNumberFormat="1" applyFont="1" applyFill="1" applyBorder="1"/>
    <xf numFmtId="170" fontId="15" fillId="4" borderId="0" xfId="24" applyNumberFormat="1" applyFont="1" applyFill="1" applyBorder="1"/>
    <xf numFmtId="170" fontId="10" fillId="0" borderId="34" xfId="27" applyNumberFormat="1" applyFont="1" applyFill="1" applyBorder="1"/>
    <xf numFmtId="169" fontId="10" fillId="0" borderId="0" xfId="27" applyNumberFormat="1" applyFont="1" applyFill="1" applyBorder="1"/>
    <xf numFmtId="2" fontId="20" fillId="0" borderId="0" xfId="19" applyNumberFormat="1" applyFont="1" applyFill="1" applyBorder="1" applyAlignment="1" applyProtection="1">
      <alignment vertical="top"/>
    </xf>
    <xf numFmtId="9" fontId="10" fillId="0" borderId="0" xfId="27" applyNumberFormat="1" applyFont="1" applyFill="1" applyBorder="1"/>
    <xf numFmtId="3" fontId="20" fillId="0" borderId="0" xfId="19" applyNumberFormat="1" applyFont="1" applyFill="1" applyBorder="1" applyAlignment="1" applyProtection="1">
      <alignment vertical="top"/>
    </xf>
    <xf numFmtId="170" fontId="10" fillId="0" borderId="28" xfId="27" applyNumberFormat="1" applyFont="1" applyFill="1" applyBorder="1" applyAlignment="1"/>
    <xf numFmtId="189" fontId="15" fillId="3" borderId="70" xfId="19" applyNumberFormat="1" applyFont="1" applyFill="1" applyBorder="1"/>
    <xf numFmtId="190" fontId="15" fillId="3" borderId="70" xfId="19" applyNumberFormat="1" applyFont="1" applyFill="1" applyBorder="1"/>
    <xf numFmtId="37" fontId="34" fillId="8" borderId="10" xfId="27" applyNumberFormat="1" applyFont="1" applyFill="1" applyBorder="1"/>
    <xf numFmtId="3" fontId="6" fillId="3" borderId="0" xfId="19" applyNumberFormat="1" applyFont="1" applyFill="1" applyBorder="1"/>
    <xf numFmtId="165" fontId="27" fillId="0" borderId="0" xfId="27" applyNumberFormat="1" applyFont="1" applyFill="1" applyBorder="1"/>
    <xf numFmtId="165" fontId="10" fillId="0" borderId="6" xfId="27" applyNumberFormat="1" applyFont="1" applyFill="1" applyBorder="1"/>
    <xf numFmtId="170" fontId="15" fillId="0" borderId="15" xfId="19" applyNumberFormat="1" applyFont="1" applyFill="1" applyBorder="1"/>
    <xf numFmtId="170" fontId="15" fillId="0" borderId="65" xfId="19" applyNumberFormat="1" applyFont="1" applyFill="1" applyBorder="1"/>
    <xf numFmtId="3" fontId="6" fillId="4" borderId="0" xfId="0" applyNumberFormat="1" applyFont="1" applyFill="1" applyBorder="1" applyAlignment="1">
      <alignment vertical="top"/>
    </xf>
    <xf numFmtId="165" fontId="10" fillId="4" borderId="0" xfId="27" applyNumberFormat="1" applyFont="1" applyFill="1" applyBorder="1"/>
    <xf numFmtId="3" fontId="15" fillId="4" borderId="0" xfId="19" quotePrefix="1" applyNumberFormat="1" applyFont="1" applyFill="1" applyBorder="1"/>
    <xf numFmtId="165" fontId="6" fillId="4" borderId="0" xfId="8" applyNumberFormat="1" applyFont="1" applyFill="1" applyBorder="1"/>
    <xf numFmtId="169" fontId="15" fillId="4" borderId="72" xfId="6" applyNumberFormat="1" applyFont="1" applyFill="1" applyBorder="1" applyAlignment="1">
      <alignment horizontal="right"/>
    </xf>
    <xf numFmtId="169" fontId="15" fillId="4" borderId="29" xfId="6" applyNumberFormat="1" applyFont="1" applyFill="1" applyBorder="1" applyAlignment="1">
      <alignment horizontal="right"/>
    </xf>
    <xf numFmtId="169" fontId="15" fillId="4" borderId="73" xfId="6" applyNumberFormat="1" applyFont="1" applyFill="1" applyBorder="1" applyAlignment="1">
      <alignment horizontal="right"/>
    </xf>
    <xf numFmtId="180" fontId="15" fillId="4" borderId="30" xfId="6" applyNumberFormat="1" applyFont="1" applyFill="1" applyBorder="1" applyAlignment="1">
      <alignment horizontal="right"/>
    </xf>
    <xf numFmtId="169" fontId="15" fillId="4" borderId="31" xfId="6" applyNumberFormat="1" applyFont="1" applyFill="1" applyBorder="1" applyAlignment="1">
      <alignment horizontal="right"/>
    </xf>
    <xf numFmtId="165" fontId="15" fillId="4" borderId="31" xfId="6" applyNumberFormat="1" applyFont="1" applyFill="1" applyBorder="1" applyAlignment="1">
      <alignment horizontal="right"/>
    </xf>
    <xf numFmtId="8" fontId="34" fillId="8" borderId="10" xfId="27" applyNumberFormat="1" applyFont="1" applyFill="1" applyBorder="1"/>
    <xf numFmtId="0" fontId="6" fillId="0" borderId="0" xfId="17" applyFill="1"/>
    <xf numFmtId="0" fontId="7" fillId="0" borderId="0" xfId="17" applyFont="1" applyFill="1" applyAlignment="1">
      <alignment vertical="center"/>
    </xf>
    <xf numFmtId="191" fontId="7" fillId="0" borderId="0" xfId="17" applyNumberFormat="1" applyFont="1" applyFill="1" applyAlignment="1">
      <alignment vertical="center"/>
    </xf>
    <xf numFmtId="0" fontId="16" fillId="0" borderId="0" xfId="17" applyFont="1" applyFill="1" applyBorder="1" applyAlignment="1">
      <alignment vertical="center"/>
    </xf>
    <xf numFmtId="0" fontId="98" fillId="0" borderId="0" xfId="17" applyFont="1" applyFill="1" applyBorder="1" applyAlignment="1">
      <alignment horizontal="centerContinuous" vertical="center"/>
    </xf>
    <xf numFmtId="0" fontId="15" fillId="0" borderId="80" xfId="17" applyFont="1" applyFill="1" applyBorder="1" applyAlignment="1">
      <alignment vertical="center"/>
    </xf>
    <xf numFmtId="192" fontId="15" fillId="0" borderId="80" xfId="17" applyNumberFormat="1" applyFont="1" applyFill="1" applyBorder="1" applyAlignment="1">
      <alignment horizontal="right" vertical="center"/>
    </xf>
    <xf numFmtId="193" fontId="15" fillId="0" borderId="80" xfId="17" applyNumberFormat="1" applyFont="1" applyFill="1" applyBorder="1" applyAlignment="1">
      <alignment horizontal="right" vertical="center"/>
    </xf>
    <xf numFmtId="0" fontId="6" fillId="0" borderId="0" xfId="17" applyFont="1" applyFill="1" applyAlignment="1">
      <alignment vertical="center"/>
    </xf>
    <xf numFmtId="0" fontId="6" fillId="0" borderId="0" xfId="17" applyFont="1" applyFill="1"/>
    <xf numFmtId="0" fontId="15" fillId="0" borderId="5" xfId="17" applyFont="1" applyFill="1" applyBorder="1" applyAlignment="1">
      <alignment vertical="center"/>
    </xf>
    <xf numFmtId="0" fontId="6" fillId="0" borderId="0" xfId="17" applyFont="1" applyFill="1" applyAlignment="1">
      <alignment horizontal="left" vertical="center"/>
    </xf>
    <xf numFmtId="194" fontId="6" fillId="0" borderId="0" xfId="17" applyNumberFormat="1" applyFont="1" applyFill="1" applyAlignment="1">
      <alignment vertical="center"/>
    </xf>
    <xf numFmtId="0" fontId="27" fillId="0" borderId="0" xfId="17" applyFont="1" applyFill="1" applyAlignment="1">
      <alignment horizontal="left" vertical="center" indent="1"/>
    </xf>
    <xf numFmtId="195" fontId="27" fillId="0" borderId="0" xfId="17" applyNumberFormat="1" applyFont="1" applyFill="1" applyAlignment="1">
      <alignment horizontal="right" vertical="center"/>
    </xf>
    <xf numFmtId="195" fontId="47" fillId="0" borderId="0" xfId="17" applyNumberFormat="1" applyFont="1" applyFill="1" applyAlignment="1">
      <alignment horizontal="right" vertical="center"/>
    </xf>
    <xf numFmtId="0" fontId="6" fillId="0" borderId="0" xfId="17" applyFont="1" applyFill="1" applyAlignment="1">
      <alignment horizontal="left" vertical="center" indent="1"/>
    </xf>
    <xf numFmtId="9" fontId="6" fillId="0" borderId="0" xfId="29" applyFont="1" applyFill="1" applyAlignment="1">
      <alignment vertical="center"/>
    </xf>
    <xf numFmtId="5" fontId="6" fillId="0" borderId="0" xfId="17" applyNumberFormat="1" applyFont="1" applyFill="1" applyAlignment="1">
      <alignment vertical="center"/>
    </xf>
    <xf numFmtId="5" fontId="105" fillId="0" borderId="0" xfId="17" applyNumberFormat="1" applyFont="1" applyFill="1" applyAlignment="1">
      <alignment vertical="center"/>
    </xf>
    <xf numFmtId="5" fontId="14" fillId="16" borderId="0" xfId="17" applyNumberFormat="1" applyFont="1" applyFill="1" applyAlignment="1">
      <alignment vertical="center"/>
    </xf>
    <xf numFmtId="0" fontId="15" fillId="0" borderId="0" xfId="17" applyFont="1" applyFill="1" applyAlignment="1">
      <alignment vertical="center"/>
    </xf>
    <xf numFmtId="5" fontId="15" fillId="0" borderId="4" xfId="17" applyNumberFormat="1" applyFont="1" applyFill="1" applyBorder="1" applyAlignment="1">
      <alignment horizontal="right" vertical="center"/>
    </xf>
    <xf numFmtId="194" fontId="99" fillId="0" borderId="0" xfId="17" applyNumberFormat="1" applyFont="1" applyFill="1" applyAlignment="1">
      <alignment vertical="center"/>
    </xf>
    <xf numFmtId="189" fontId="100" fillId="0" borderId="0" xfId="17" applyNumberFormat="1" applyFont="1" applyFill="1" applyAlignment="1">
      <alignment vertical="center"/>
    </xf>
    <xf numFmtId="195" fontId="6" fillId="0" borderId="0" xfId="17" applyNumberFormat="1" applyFont="1" applyFill="1" applyAlignment="1">
      <alignment horizontal="right" vertical="center"/>
    </xf>
    <xf numFmtId="195" fontId="14" fillId="0" borderId="0" xfId="17" applyNumberFormat="1" applyFont="1" applyFill="1" applyAlignment="1">
      <alignment horizontal="right" vertical="center"/>
    </xf>
    <xf numFmtId="191" fontId="15" fillId="0" borderId="5" xfId="17" applyNumberFormat="1" applyFont="1" applyFill="1" applyBorder="1" applyAlignment="1">
      <alignment vertical="center"/>
    </xf>
    <xf numFmtId="0" fontId="11" fillId="0" borderId="0" xfId="17" applyFont="1" applyFill="1" applyAlignment="1">
      <alignment horizontal="center" vertical="center"/>
    </xf>
    <xf numFmtId="194" fontId="6" fillId="0" borderId="0" xfId="17" applyNumberFormat="1" applyFont="1" applyFill="1" applyBorder="1" applyAlignment="1">
      <alignment vertical="center"/>
    </xf>
    <xf numFmtId="4" fontId="30" fillId="0" borderId="0" xfId="17" applyNumberFormat="1" applyFont="1" applyFill="1" applyBorder="1" applyAlignment="1">
      <alignment vertical="center"/>
    </xf>
    <xf numFmtId="4" fontId="20" fillId="0" borderId="0" xfId="17" applyNumberFormat="1" applyFont="1" applyFill="1" applyBorder="1" applyAlignment="1">
      <alignment vertical="center"/>
    </xf>
    <xf numFmtId="196" fontId="6" fillId="0" borderId="0" xfId="17" applyNumberFormat="1" applyFont="1" applyFill="1" applyAlignment="1">
      <alignment vertical="center"/>
    </xf>
    <xf numFmtId="194" fontId="11" fillId="0" borderId="0" xfId="17" applyNumberFormat="1" applyFont="1" applyFill="1" applyBorder="1" applyAlignment="1">
      <alignment vertical="center"/>
    </xf>
    <xf numFmtId="194" fontId="11" fillId="0" borderId="0" xfId="17" applyNumberFormat="1" applyFont="1" applyFill="1" applyAlignment="1">
      <alignment vertical="center"/>
    </xf>
    <xf numFmtId="196" fontId="99" fillId="0" borderId="0" xfId="17" applyNumberFormat="1" applyFont="1" applyFill="1" applyAlignment="1">
      <alignment vertical="center"/>
    </xf>
    <xf numFmtId="0" fontId="6" fillId="0" borderId="0" xfId="17" applyFont="1" applyFill="1" applyAlignment="1">
      <alignment horizontal="left" vertical="center" indent="2"/>
    </xf>
    <xf numFmtId="165" fontId="30" fillId="0" borderId="2" xfId="17" applyNumberFormat="1" applyFont="1" applyFill="1" applyBorder="1" applyAlignment="1">
      <alignment vertical="center"/>
    </xf>
    <xf numFmtId="0" fontId="15" fillId="0" borderId="76" xfId="17" applyFont="1" applyFill="1" applyBorder="1" applyAlignment="1">
      <alignment vertical="center"/>
    </xf>
    <xf numFmtId="0" fontId="6" fillId="0" borderId="10" xfId="17" applyFont="1" applyFill="1" applyBorder="1" applyAlignment="1">
      <alignment vertical="center"/>
    </xf>
    <xf numFmtId="0" fontId="6" fillId="0" borderId="77" xfId="17" applyFont="1" applyFill="1" applyBorder="1" applyAlignment="1">
      <alignment vertical="center"/>
    </xf>
    <xf numFmtId="196" fontId="45" fillId="0" borderId="0" xfId="17" applyNumberFormat="1" applyFont="1" applyFill="1" applyAlignment="1">
      <alignment vertical="center"/>
    </xf>
    <xf numFmtId="195" fontId="101" fillId="0" borderId="0" xfId="17" applyNumberFormat="1" applyFont="1" applyFill="1" applyAlignment="1">
      <alignment vertical="center"/>
    </xf>
    <xf numFmtId="0" fontId="6" fillId="0" borderId="73" xfId="17" applyFont="1" applyFill="1" applyBorder="1" applyAlignment="1">
      <alignment vertical="center"/>
    </xf>
    <xf numFmtId="0" fontId="6" fillId="0" borderId="0" xfId="17" applyFont="1" applyFill="1" applyBorder="1" applyAlignment="1">
      <alignment vertical="center"/>
    </xf>
    <xf numFmtId="5" fontId="6" fillId="0" borderId="30" xfId="17" applyNumberFormat="1" applyFont="1" applyFill="1" applyBorder="1" applyAlignment="1">
      <alignment vertical="center"/>
    </xf>
    <xf numFmtId="0" fontId="15" fillId="0" borderId="76" xfId="17" applyFont="1" applyFill="1" applyBorder="1" applyAlignment="1">
      <alignment horizontal="centerContinuous" vertical="center"/>
    </xf>
    <xf numFmtId="0" fontId="15" fillId="0" borderId="10" xfId="17" applyFont="1" applyFill="1" applyBorder="1" applyAlignment="1">
      <alignment horizontal="centerContinuous" vertical="center"/>
    </xf>
    <xf numFmtId="0" fontId="15" fillId="0" borderId="77" xfId="17" applyFont="1" applyFill="1" applyBorder="1" applyAlignment="1">
      <alignment horizontal="centerContinuous" vertical="center"/>
    </xf>
    <xf numFmtId="195" fontId="22" fillId="0" borderId="0" xfId="17" applyNumberFormat="1" applyFont="1" applyFill="1" applyAlignment="1">
      <alignment vertical="center"/>
    </xf>
    <xf numFmtId="5" fontId="6" fillId="0" borderId="32" xfId="17" applyNumberFormat="1" applyFont="1" applyFill="1" applyBorder="1" applyAlignment="1">
      <alignment vertical="center"/>
    </xf>
    <xf numFmtId="194" fontId="34" fillId="0" borderId="73" xfId="17" applyNumberFormat="1" applyFont="1" applyFill="1" applyBorder="1" applyAlignment="1">
      <alignment vertical="center"/>
    </xf>
    <xf numFmtId="195" fontId="15" fillId="0" borderId="0" xfId="17" applyNumberFormat="1" applyFont="1" applyFill="1" applyBorder="1" applyAlignment="1">
      <alignment vertical="center"/>
    </xf>
    <xf numFmtId="195" fontId="30" fillId="0" borderId="81" xfId="17" applyNumberFormat="1" applyFont="1" applyFill="1" applyBorder="1" applyAlignment="1">
      <alignment vertical="center"/>
    </xf>
    <xf numFmtId="195" fontId="15" fillId="0" borderId="30" xfId="17" applyNumberFormat="1" applyFont="1" applyFill="1" applyBorder="1" applyAlignment="1">
      <alignment vertical="center"/>
    </xf>
    <xf numFmtId="0" fontId="15" fillId="0" borderId="73" xfId="17" applyFont="1" applyFill="1" applyBorder="1" applyAlignment="1">
      <alignment vertical="center"/>
    </xf>
    <xf numFmtId="0" fontId="15" fillId="0" borderId="0" xfId="17" applyFont="1" applyFill="1" applyBorder="1" applyAlignment="1">
      <alignment vertical="center"/>
    </xf>
    <xf numFmtId="5" fontId="15" fillId="0" borderId="30" xfId="17" applyNumberFormat="1" applyFont="1" applyFill="1" applyBorder="1" applyAlignment="1">
      <alignment vertical="center"/>
    </xf>
    <xf numFmtId="10" fontId="15" fillId="0" borderId="73" xfId="17" applyNumberFormat="1" applyFont="1" applyFill="1" applyBorder="1" applyAlignment="1">
      <alignment vertical="center"/>
    </xf>
    <xf numFmtId="5" fontId="6" fillId="0" borderId="72" xfId="17" applyNumberFormat="1" applyFont="1" applyFill="1" applyBorder="1" applyAlignment="1">
      <alignment vertical="center"/>
    </xf>
    <xf numFmtId="5" fontId="6" fillId="0" borderId="4" xfId="17" applyNumberFormat="1" applyFont="1" applyFill="1" applyBorder="1" applyAlignment="1">
      <alignment vertical="center"/>
    </xf>
    <xf numFmtId="5" fontId="6" fillId="0" borderId="82" xfId="17" applyNumberFormat="1" applyFont="1" applyFill="1" applyBorder="1" applyAlignment="1">
      <alignment vertical="center"/>
    </xf>
    <xf numFmtId="5" fontId="6" fillId="0" borderId="29" xfId="17" applyNumberFormat="1" applyFont="1" applyFill="1" applyBorder="1" applyAlignment="1">
      <alignment vertical="center"/>
    </xf>
    <xf numFmtId="9" fontId="6" fillId="0" borderId="0" xfId="29" applyFont="1" applyFill="1" applyAlignment="1"/>
    <xf numFmtId="0" fontId="6" fillId="0" borderId="0" xfId="0" applyFont="1" applyFill="1" applyAlignment="1"/>
    <xf numFmtId="10" fontId="30" fillId="0" borderId="83" xfId="17" applyNumberFormat="1" applyFont="1" applyFill="1" applyBorder="1" applyAlignment="1">
      <alignment vertical="center"/>
    </xf>
    <xf numFmtId="5" fontId="6" fillId="0" borderId="83" xfId="17" applyNumberFormat="1" applyFont="1" applyFill="1" applyBorder="1" applyAlignment="1">
      <alignment vertical="center"/>
    </xf>
    <xf numFmtId="5" fontId="6" fillId="0" borderId="28" xfId="17" applyNumberFormat="1" applyFont="1" applyFill="1" applyBorder="1" applyAlignment="1">
      <alignment vertical="center"/>
    </xf>
    <xf numFmtId="5" fontId="15" fillId="0" borderId="84" xfId="17" applyNumberFormat="1" applyFont="1" applyFill="1" applyBorder="1" applyAlignment="1">
      <alignment vertical="center"/>
    </xf>
    <xf numFmtId="5" fontId="6" fillId="0" borderId="85" xfId="17" applyNumberFormat="1" applyFont="1" applyFill="1" applyBorder="1" applyAlignment="1">
      <alignment vertical="center"/>
    </xf>
    <xf numFmtId="0" fontId="51" fillId="0" borderId="0" xfId="17" applyFont="1" applyFill="1" applyBorder="1" applyAlignment="1">
      <alignment horizontal="center"/>
    </xf>
    <xf numFmtId="194" fontId="16" fillId="0" borderId="0" xfId="17" applyNumberFormat="1" applyFont="1" applyFill="1" applyBorder="1" applyAlignment="1">
      <alignment vertical="center"/>
    </xf>
    <xf numFmtId="0" fontId="6" fillId="0" borderId="0" xfId="17" applyFill="1" applyBorder="1"/>
    <xf numFmtId="10" fontId="15" fillId="0" borderId="31" xfId="17" applyNumberFormat="1" applyFont="1" applyFill="1" applyBorder="1" applyAlignment="1">
      <alignment vertical="center"/>
    </xf>
    <xf numFmtId="5" fontId="6" fillId="0" borderId="31" xfId="17" applyNumberFormat="1" applyFont="1" applyFill="1" applyBorder="1" applyAlignment="1">
      <alignment vertical="center"/>
    </xf>
    <xf numFmtId="5" fontId="6" fillId="0" borderId="5" xfId="17" applyNumberFormat="1" applyFont="1" applyFill="1" applyBorder="1" applyAlignment="1">
      <alignment vertical="center"/>
    </xf>
    <xf numFmtId="5" fontId="6" fillId="0" borderId="86" xfId="17" applyNumberFormat="1" applyFont="1" applyFill="1" applyBorder="1" applyAlignment="1">
      <alignment vertical="center"/>
    </xf>
    <xf numFmtId="0" fontId="7" fillId="0" borderId="0" xfId="17" applyFont="1" applyFill="1" applyBorder="1" applyAlignment="1">
      <alignment vertical="center"/>
    </xf>
    <xf numFmtId="196" fontId="45" fillId="0" borderId="0" xfId="17" applyNumberFormat="1" applyFont="1" applyFill="1" applyBorder="1" applyAlignment="1">
      <alignment vertical="center"/>
    </xf>
    <xf numFmtId="194" fontId="7" fillId="0" borderId="0" xfId="17" applyNumberFormat="1" applyFont="1" applyFill="1" applyBorder="1" applyAlignment="1">
      <alignment vertical="center"/>
    </xf>
    <xf numFmtId="9" fontId="7" fillId="0" borderId="0" xfId="17" applyNumberFormat="1" applyFont="1" applyFill="1" applyBorder="1"/>
    <xf numFmtId="196" fontId="6" fillId="0" borderId="32" xfId="17" applyNumberFormat="1" applyFont="1" applyFill="1" applyBorder="1" applyAlignment="1">
      <alignment vertical="center"/>
    </xf>
    <xf numFmtId="0" fontId="15" fillId="17" borderId="73" xfId="17" applyFont="1" applyFill="1" applyBorder="1" applyAlignment="1">
      <alignment vertical="center"/>
    </xf>
    <xf numFmtId="0" fontId="15" fillId="17" borderId="0" xfId="17" applyFont="1" applyFill="1" applyBorder="1" applyAlignment="1">
      <alignment vertical="center"/>
    </xf>
    <xf numFmtId="194" fontId="15" fillId="17" borderId="30" xfId="17" applyNumberFormat="1" applyFont="1" applyFill="1" applyBorder="1" applyAlignment="1">
      <alignment vertical="center"/>
    </xf>
    <xf numFmtId="195" fontId="15" fillId="0" borderId="81" xfId="17" applyNumberFormat="1" applyFont="1" applyFill="1" applyBorder="1" applyAlignment="1">
      <alignment vertical="center"/>
    </xf>
    <xf numFmtId="0" fontId="6" fillId="0" borderId="98" xfId="17" applyFont="1" applyFill="1" applyBorder="1" applyAlignment="1">
      <alignment vertical="center"/>
    </xf>
    <xf numFmtId="0" fontId="6" fillId="0" borderId="99" xfId="17" applyFont="1" applyFill="1" applyBorder="1" applyAlignment="1">
      <alignment vertical="center"/>
    </xf>
    <xf numFmtId="180" fontId="6" fillId="0" borderId="100" xfId="17" applyNumberFormat="1" applyFont="1" applyFill="1" applyBorder="1" applyAlignment="1">
      <alignment horizontal="right"/>
    </xf>
    <xf numFmtId="197" fontId="16" fillId="0" borderId="0" xfId="17" applyNumberFormat="1" applyFont="1" applyFill="1" applyBorder="1" applyAlignment="1">
      <alignment vertical="center"/>
    </xf>
    <xf numFmtId="10" fontId="15" fillId="0" borderId="83" xfId="17" applyNumberFormat="1" applyFont="1" applyFill="1" applyBorder="1" applyAlignment="1">
      <alignment vertical="center"/>
    </xf>
    <xf numFmtId="8" fontId="7" fillId="0" borderId="0" xfId="17" applyNumberFormat="1" applyFont="1" applyFill="1" applyBorder="1" applyAlignment="1">
      <alignment vertical="center"/>
    </xf>
    <xf numFmtId="0" fontId="15" fillId="0" borderId="10" xfId="17" applyFont="1" applyFill="1" applyBorder="1" applyAlignment="1">
      <alignment vertical="center"/>
    </xf>
    <xf numFmtId="0" fontId="15" fillId="0" borderId="77" xfId="17" applyFont="1" applyFill="1" applyBorder="1" applyAlignment="1">
      <alignment vertical="center"/>
    </xf>
    <xf numFmtId="0" fontId="6" fillId="0" borderId="87" xfId="17" applyFont="1" applyFill="1" applyBorder="1" applyAlignment="1">
      <alignment vertical="center"/>
    </xf>
    <xf numFmtId="0" fontId="6" fillId="0" borderId="88" xfId="17" applyFont="1" applyFill="1" applyBorder="1" applyAlignment="1">
      <alignment vertical="center"/>
    </xf>
    <xf numFmtId="198" fontId="102" fillId="0" borderId="89" xfId="17" applyNumberFormat="1" applyFont="1" applyFill="1" applyBorder="1" applyAlignment="1">
      <alignment horizontal="right" vertical="center"/>
    </xf>
    <xf numFmtId="10" fontId="15" fillId="0" borderId="0" xfId="17" applyNumberFormat="1" applyFont="1" applyFill="1" applyBorder="1" applyAlignment="1">
      <alignment vertical="center"/>
    </xf>
    <xf numFmtId="5" fontId="6" fillId="0" borderId="0" xfId="17" applyNumberFormat="1" applyFont="1" applyFill="1" applyBorder="1" applyAlignment="1">
      <alignment vertical="center"/>
    </xf>
    <xf numFmtId="195" fontId="14" fillId="0" borderId="30" xfId="17" applyNumberFormat="1" applyFont="1" applyFill="1" applyBorder="1" applyAlignment="1">
      <alignment vertical="center"/>
    </xf>
    <xf numFmtId="195" fontId="6" fillId="0" borderId="30" xfId="17" applyNumberFormat="1" applyFont="1" applyFill="1" applyBorder="1" applyAlignment="1">
      <alignment vertical="center"/>
    </xf>
    <xf numFmtId="195" fontId="106" fillId="0" borderId="30" xfId="17" applyNumberFormat="1" applyFont="1" applyFill="1" applyBorder="1" applyAlignment="1">
      <alignment vertical="center"/>
    </xf>
    <xf numFmtId="199" fontId="16" fillId="0" borderId="0" xfId="17" applyNumberFormat="1" applyFont="1" applyFill="1" applyBorder="1" applyAlignment="1">
      <alignment vertical="center"/>
    </xf>
    <xf numFmtId="199" fontId="7" fillId="0" borderId="0" xfId="17" applyNumberFormat="1" applyFont="1" applyFill="1" applyBorder="1" applyAlignment="1">
      <alignment vertical="center"/>
    </xf>
    <xf numFmtId="195" fontId="15" fillId="0" borderId="77" xfId="17" applyNumberFormat="1" applyFont="1" applyFill="1" applyBorder="1" applyAlignment="1">
      <alignment vertical="center"/>
    </xf>
    <xf numFmtId="0" fontId="6" fillId="0" borderId="31" xfId="17" applyFont="1" applyFill="1" applyBorder="1" applyAlignment="1">
      <alignment vertical="center"/>
    </xf>
    <xf numFmtId="0" fontId="6" fillId="0" borderId="5" xfId="17" applyFont="1" applyFill="1" applyBorder="1" applyAlignment="1">
      <alignment vertical="center"/>
    </xf>
    <xf numFmtId="195" fontId="20" fillId="0" borderId="32" xfId="17" applyNumberFormat="1" applyFont="1" applyFill="1" applyBorder="1" applyAlignment="1">
      <alignment vertical="center"/>
    </xf>
    <xf numFmtId="196" fontId="16" fillId="0" borderId="0" xfId="17" applyNumberFormat="1" applyFont="1" applyFill="1" applyBorder="1" applyAlignment="1">
      <alignment vertical="center"/>
    </xf>
    <xf numFmtId="9" fontId="15" fillId="17" borderId="0" xfId="19" applyNumberFormat="1" applyFont="1" applyFill="1" applyBorder="1"/>
    <xf numFmtId="165" fontId="6" fillId="3" borderId="7" xfId="19" applyNumberFormat="1" applyFont="1" applyFill="1" applyBorder="1" applyAlignment="1">
      <alignment horizontal="left" indent="1"/>
    </xf>
    <xf numFmtId="170" fontId="107" fillId="3" borderId="70" xfId="19" applyNumberFormat="1" applyFont="1" applyFill="1" applyBorder="1" applyAlignment="1" applyProtection="1">
      <alignment vertical="top"/>
    </xf>
    <xf numFmtId="170" fontId="14" fillId="0" borderId="6" xfId="27" applyNumberFormat="1" applyFont="1" applyFill="1" applyBorder="1"/>
    <xf numFmtId="166" fontId="29" fillId="0" borderId="0" xfId="0" applyNumberFormat="1" applyFont="1" applyFill="1" applyBorder="1" applyAlignment="1" applyProtection="1">
      <alignment vertical="top"/>
    </xf>
    <xf numFmtId="166" fontId="29" fillId="0" borderId="0" xfId="0" applyNumberFormat="1" applyFont="1" applyFill="1" applyBorder="1" applyAlignment="1">
      <alignment vertical="top"/>
    </xf>
    <xf numFmtId="166" fontId="29" fillId="0" borderId="6" xfId="0" applyNumberFormat="1" applyFont="1" applyFill="1" applyBorder="1" applyAlignment="1" applyProtection="1">
      <alignment vertical="top"/>
    </xf>
    <xf numFmtId="165" fontId="36" fillId="0" borderId="0" xfId="0" applyNumberFormat="1" applyFont="1" applyFill="1" applyBorder="1"/>
    <xf numFmtId="165" fontId="27" fillId="0" borderId="6" xfId="27" applyNumberFormat="1" applyFont="1" applyFill="1" applyBorder="1"/>
    <xf numFmtId="2" fontId="6" fillId="18" borderId="0" xfId="0" applyNumberFormat="1" applyFont="1" applyFill="1" applyAlignment="1">
      <alignment horizontal="center"/>
    </xf>
    <xf numFmtId="3" fontId="6" fillId="3" borderId="7" xfId="0" applyNumberFormat="1" applyFont="1" applyFill="1" applyBorder="1" applyAlignment="1">
      <alignment horizontal="left"/>
    </xf>
    <xf numFmtId="165" fontId="105" fillId="3" borderId="0" xfId="19" applyNumberFormat="1" applyFont="1" applyFill="1" applyBorder="1"/>
    <xf numFmtId="165" fontId="105" fillId="3" borderId="34" xfId="19" applyNumberFormat="1" applyFont="1" applyFill="1" applyBorder="1"/>
    <xf numFmtId="165" fontId="105" fillId="3" borderId="12" xfId="8" applyNumberFormat="1" applyFont="1" applyFill="1" applyBorder="1"/>
    <xf numFmtId="165" fontId="105" fillId="3" borderId="43" xfId="19" applyNumberFormat="1" applyFont="1" applyFill="1" applyBorder="1"/>
    <xf numFmtId="165" fontId="105" fillId="3" borderId="7" xfId="19" applyNumberFormat="1" applyFont="1" applyFill="1" applyBorder="1"/>
    <xf numFmtId="165" fontId="105" fillId="3" borderId="61" xfId="19" applyNumberFormat="1" applyFont="1" applyFill="1" applyBorder="1"/>
    <xf numFmtId="165" fontId="105" fillId="3" borderId="12" xfId="19" applyNumberFormat="1" applyFont="1" applyFill="1" applyBorder="1"/>
    <xf numFmtId="165" fontId="108" fillId="3" borderId="0" xfId="19" applyNumberFormat="1" applyFont="1" applyFill="1" applyBorder="1"/>
    <xf numFmtId="165" fontId="105" fillId="3" borderId="6" xfId="27" applyNumberFormat="1" applyFont="1" applyFill="1" applyBorder="1"/>
    <xf numFmtId="170" fontId="109" fillId="4" borderId="30" xfId="6" applyNumberFormat="1" applyFont="1" applyFill="1" applyBorder="1" applyAlignment="1">
      <alignment horizontal="right"/>
    </xf>
    <xf numFmtId="170" fontId="10" fillId="15" borderId="0" xfId="19" applyNumberFormat="1" applyFont="1" applyFill="1" applyBorder="1" applyAlignment="1" applyProtection="1">
      <alignment vertical="top"/>
    </xf>
    <xf numFmtId="170" fontId="10" fillId="15" borderId="0" xfId="27" applyNumberFormat="1" applyFont="1" applyFill="1" applyBorder="1" applyAlignment="1"/>
    <xf numFmtId="170" fontId="10" fillId="15" borderId="0" xfId="14" applyNumberFormat="1" applyFont="1" applyFill="1" applyBorder="1" applyAlignment="1" applyProtection="1">
      <alignment vertical="top"/>
    </xf>
    <xf numFmtId="0" fontId="34" fillId="6" borderId="0" xfId="0" applyFont="1" applyFill="1" applyBorder="1" applyAlignment="1">
      <alignment horizontal="center"/>
    </xf>
    <xf numFmtId="5" fontId="23" fillId="0" borderId="0" xfId="24" applyNumberFormat="1" applyFont="1" applyFill="1" applyBorder="1"/>
    <xf numFmtId="5" fontId="23" fillId="0" borderId="0" xfId="19" applyNumberFormat="1" applyFont="1" applyFill="1" applyBorder="1"/>
    <xf numFmtId="165" fontId="23" fillId="0" borderId="0" xfId="24" applyNumberFormat="1" applyFont="1" applyFill="1" applyBorder="1"/>
    <xf numFmtId="170" fontId="23" fillId="0" borderId="0" xfId="24" applyNumberFormat="1" applyFont="1" applyFill="1" applyBorder="1"/>
    <xf numFmtId="37" fontId="23" fillId="0" borderId="0" xfId="24" applyNumberFormat="1" applyFont="1" applyFill="1" applyBorder="1"/>
    <xf numFmtId="37" fontId="23" fillId="3" borderId="0" xfId="24" applyNumberFormat="1" applyFont="1" applyFill="1" applyBorder="1"/>
    <xf numFmtId="0" fontId="34" fillId="19" borderId="0" xfId="0" applyFont="1" applyFill="1" applyBorder="1" applyAlignment="1">
      <alignment horizontal="center"/>
    </xf>
    <xf numFmtId="3" fontId="10" fillId="19" borderId="0" xfId="19" applyNumberFormat="1" applyFont="1" applyFill="1" applyBorder="1"/>
    <xf numFmtId="3" fontId="9" fillId="19" borderId="0" xfId="0" applyNumberFormat="1" applyFont="1" applyFill="1" applyBorder="1" applyAlignment="1">
      <alignment vertical="top"/>
    </xf>
    <xf numFmtId="3" fontId="15" fillId="19" borderId="0" xfId="19" applyNumberFormat="1" applyFont="1" applyFill="1" applyBorder="1"/>
    <xf numFmtId="165" fontId="15" fillId="19" borderId="0" xfId="0" applyNumberFormat="1" applyFont="1" applyFill="1" applyBorder="1"/>
    <xf numFmtId="9" fontId="15" fillId="19" borderId="0" xfId="19" applyNumberFormat="1" applyFont="1" applyFill="1" applyBorder="1"/>
    <xf numFmtId="9" fontId="16" fillId="19" borderId="0" xfId="0" applyNumberFormat="1" applyFont="1" applyFill="1" applyBorder="1" applyAlignment="1">
      <alignment vertical="top"/>
    </xf>
    <xf numFmtId="165" fontId="15" fillId="19" borderId="0" xfId="19" applyNumberFormat="1" applyFont="1" applyFill="1" applyBorder="1"/>
    <xf numFmtId="170" fontId="15" fillId="19" borderId="0" xfId="19" applyNumberFormat="1" applyFont="1" applyFill="1" applyBorder="1"/>
    <xf numFmtId="166" fontId="36" fillId="19" borderId="0" xfId="19" applyNumberFormat="1" applyFont="1" applyFill="1" applyBorder="1"/>
    <xf numFmtId="3" fontId="36" fillId="19" borderId="0" xfId="19" applyNumberFormat="1" applyFont="1" applyFill="1" applyBorder="1"/>
    <xf numFmtId="170" fontId="36" fillId="19" borderId="0" xfId="19" applyNumberFormat="1" applyFont="1" applyFill="1" applyBorder="1"/>
    <xf numFmtId="9" fontId="15" fillId="19" borderId="0" xfId="0" applyNumberFormat="1" applyFont="1" applyFill="1" applyBorder="1"/>
    <xf numFmtId="166" fontId="29" fillId="19" borderId="0" xfId="0" applyNumberFormat="1" applyFont="1" applyFill="1" applyBorder="1"/>
    <xf numFmtId="3" fontId="29" fillId="19" borderId="0" xfId="19" applyNumberFormat="1" applyFont="1" applyFill="1" applyBorder="1" applyAlignment="1">
      <alignment vertical="top"/>
    </xf>
    <xf numFmtId="165" fontId="23" fillId="19" borderId="0" xfId="19" applyNumberFormat="1" applyFont="1" applyFill="1" applyBorder="1"/>
    <xf numFmtId="9" fontId="23" fillId="19" borderId="0" xfId="19" applyNumberFormat="1" applyFont="1" applyFill="1" applyBorder="1"/>
    <xf numFmtId="3" fontId="60" fillId="19" borderId="0" xfId="19" applyNumberFormat="1" applyFont="1" applyFill="1" applyBorder="1" applyAlignment="1">
      <alignment vertical="top"/>
    </xf>
    <xf numFmtId="170" fontId="23" fillId="19" borderId="0" xfId="19" applyNumberFormat="1" applyFont="1" applyFill="1" applyBorder="1"/>
    <xf numFmtId="166" fontId="23" fillId="19" borderId="0" xfId="0" applyNumberFormat="1" applyFont="1" applyFill="1" applyBorder="1"/>
    <xf numFmtId="165" fontId="23" fillId="19" borderId="0" xfId="0" applyNumberFormat="1" applyFont="1" applyFill="1" applyBorder="1"/>
    <xf numFmtId="9" fontId="23" fillId="19" borderId="0" xfId="0" applyNumberFormat="1" applyFont="1" applyFill="1" applyBorder="1"/>
    <xf numFmtId="166" fontId="23" fillId="19" borderId="0" xfId="19" applyNumberFormat="1" applyFont="1" applyFill="1" applyBorder="1"/>
    <xf numFmtId="0" fontId="23" fillId="19" borderId="0" xfId="19" applyFont="1" applyFill="1" applyBorder="1" applyAlignment="1">
      <alignment vertical="top"/>
    </xf>
    <xf numFmtId="165" fontId="37" fillId="19" borderId="0" xfId="19" applyNumberFormat="1" applyFont="1" applyFill="1" applyBorder="1"/>
    <xf numFmtId="170" fontId="23" fillId="19" borderId="0" xfId="0" applyNumberFormat="1" applyFont="1" applyFill="1" applyBorder="1"/>
    <xf numFmtId="170" fontId="23" fillId="19" borderId="0" xfId="19" applyNumberFormat="1" applyFont="1" applyFill="1" applyBorder="1" applyAlignment="1" applyProtection="1">
      <alignment vertical="top"/>
    </xf>
    <xf numFmtId="165" fontId="23" fillId="19" borderId="0" xfId="19" applyNumberFormat="1" applyFont="1" applyFill="1" applyBorder="1" applyAlignment="1" applyProtection="1">
      <alignment vertical="top"/>
    </xf>
    <xf numFmtId="2" fontId="60" fillId="19" borderId="0" xfId="19" applyNumberFormat="1" applyFont="1" applyFill="1" applyBorder="1" applyAlignment="1">
      <alignment vertical="top"/>
    </xf>
    <xf numFmtId="170" fontId="23" fillId="19" borderId="0" xfId="19" applyNumberFormat="1" applyFont="1" applyFill="1" applyBorder="1" applyAlignment="1"/>
    <xf numFmtId="0" fontId="34" fillId="19" borderId="0" xfId="19" applyFont="1" applyFill="1" applyBorder="1"/>
    <xf numFmtId="170" fontId="23" fillId="19" borderId="0" xfId="8" applyNumberFormat="1" applyFont="1" applyFill="1" applyBorder="1"/>
    <xf numFmtId="3" fontId="23" fillId="19" borderId="0" xfId="19" applyNumberFormat="1" applyFont="1" applyFill="1" applyBorder="1"/>
    <xf numFmtId="166" fontId="24" fillId="19" borderId="0" xfId="19" applyNumberFormat="1" applyFont="1" applyFill="1" applyBorder="1"/>
    <xf numFmtId="1" fontId="23" fillId="19" borderId="0" xfId="19" applyNumberFormat="1" applyFont="1" applyFill="1" applyBorder="1"/>
    <xf numFmtId="170" fontId="23" fillId="19" borderId="0" xfId="19" applyNumberFormat="1" applyFont="1" applyFill="1" applyBorder="1" applyAlignment="1">
      <alignment vertical="top"/>
    </xf>
    <xf numFmtId="169" fontId="15" fillId="19" borderId="0" xfId="19" applyNumberFormat="1" applyFont="1" applyFill="1" applyBorder="1" applyAlignment="1">
      <alignment vertical="top"/>
    </xf>
    <xf numFmtId="169" fontId="23" fillId="19" borderId="0" xfId="19" applyNumberFormat="1" applyFont="1" applyFill="1" applyBorder="1"/>
    <xf numFmtId="172" fontId="23" fillId="19" borderId="0" xfId="8" applyNumberFormat="1" applyFont="1" applyFill="1" applyBorder="1"/>
    <xf numFmtId="172" fontId="60" fillId="19" borderId="0" xfId="8" applyNumberFormat="1" applyFont="1" applyFill="1" applyBorder="1"/>
    <xf numFmtId="166" fontId="15" fillId="19" borderId="0" xfId="0" applyNumberFormat="1" applyFont="1" applyFill="1" applyBorder="1"/>
    <xf numFmtId="9" fontId="37" fillId="19" borderId="0" xfId="0" applyNumberFormat="1" applyFont="1" applyFill="1" applyBorder="1"/>
    <xf numFmtId="170" fontId="37" fillId="19" borderId="0" xfId="19" applyNumberFormat="1" applyFont="1" applyFill="1" applyBorder="1"/>
    <xf numFmtId="170" fontId="39" fillId="19" borderId="0" xfId="19" applyNumberFormat="1" applyFont="1" applyFill="1" applyBorder="1"/>
    <xf numFmtId="170" fontId="37" fillId="19" borderId="0" xfId="8" applyNumberFormat="1" applyFont="1" applyFill="1" applyBorder="1"/>
    <xf numFmtId="169" fontId="37" fillId="19" borderId="0" xfId="8" applyNumberFormat="1" applyFont="1" applyFill="1" applyBorder="1"/>
    <xf numFmtId="165" fontId="37" fillId="19" borderId="0" xfId="8" applyNumberFormat="1" applyFont="1" applyFill="1" applyBorder="1"/>
    <xf numFmtId="9" fontId="37" fillId="19" borderId="0" xfId="8" applyNumberFormat="1" applyFont="1" applyFill="1" applyBorder="1"/>
    <xf numFmtId="166" fontId="23" fillId="19" borderId="0" xfId="8" applyNumberFormat="1" applyFont="1" applyFill="1" applyBorder="1"/>
    <xf numFmtId="168" fontId="23" fillId="19" borderId="0" xfId="8" applyNumberFormat="1" applyFont="1" applyFill="1" applyBorder="1"/>
    <xf numFmtId="170" fontId="61" fillId="19" borderId="0" xfId="19" applyNumberFormat="1" applyFont="1" applyFill="1" applyBorder="1"/>
    <xf numFmtId="169" fontId="60" fillId="19" borderId="0" xfId="19" applyNumberFormat="1" applyFont="1" applyFill="1" applyBorder="1"/>
    <xf numFmtId="9" fontId="61" fillId="19" borderId="0" xfId="19" applyNumberFormat="1" applyFont="1" applyFill="1" applyBorder="1"/>
    <xf numFmtId="7" fontId="23" fillId="19" borderId="0" xfId="19" applyNumberFormat="1" applyFont="1" applyFill="1" applyBorder="1"/>
    <xf numFmtId="9" fontId="39" fillId="19" borderId="0" xfId="19" applyNumberFormat="1" applyFont="1" applyFill="1" applyBorder="1" applyAlignment="1">
      <alignment vertical="top"/>
    </xf>
    <xf numFmtId="169" fontId="39" fillId="19" borderId="0" xfId="19" applyNumberFormat="1" applyFont="1" applyFill="1" applyBorder="1" applyAlignment="1">
      <alignment vertical="top"/>
    </xf>
    <xf numFmtId="170" fontId="37" fillId="19" borderId="0" xfId="19" applyNumberFormat="1" applyFont="1" applyFill="1" applyBorder="1" applyAlignment="1">
      <alignment vertical="top"/>
    </xf>
    <xf numFmtId="9" fontId="23" fillId="19" borderId="0" xfId="19" applyNumberFormat="1" applyFont="1" applyFill="1" applyBorder="1" applyAlignment="1">
      <alignment vertical="top"/>
    </xf>
    <xf numFmtId="169" fontId="54" fillId="19" borderId="0" xfId="19" applyNumberFormat="1" applyFont="1" applyFill="1" applyBorder="1" applyAlignment="1">
      <alignment vertical="top"/>
    </xf>
    <xf numFmtId="5" fontId="23" fillId="19" borderId="0" xfId="24" applyNumberFormat="1" applyFont="1" applyFill="1" applyBorder="1"/>
    <xf numFmtId="5" fontId="23" fillId="19" borderId="0" xfId="19" applyNumberFormat="1" applyFont="1" applyFill="1" applyBorder="1"/>
    <xf numFmtId="165" fontId="23" fillId="19" borderId="0" xfId="24" applyNumberFormat="1" applyFont="1" applyFill="1" applyBorder="1"/>
    <xf numFmtId="170" fontId="23" fillId="19" borderId="0" xfId="24" applyNumberFormat="1" applyFont="1" applyFill="1" applyBorder="1"/>
    <xf numFmtId="5" fontId="15" fillId="19" borderId="0" xfId="19" applyNumberFormat="1" applyFont="1" applyFill="1" applyBorder="1" applyAlignment="1">
      <alignment horizontal="right"/>
    </xf>
    <xf numFmtId="165" fontId="39" fillId="19" borderId="0" xfId="19" applyNumberFormat="1" applyFont="1" applyFill="1" applyBorder="1" applyAlignment="1">
      <alignment vertical="top"/>
    </xf>
    <xf numFmtId="0" fontId="23" fillId="19" borderId="0" xfId="24" applyFont="1" applyFill="1" applyBorder="1"/>
    <xf numFmtId="170" fontId="15" fillId="19" borderId="0" xfId="19" applyNumberFormat="1" applyFont="1" applyFill="1" applyBorder="1" applyAlignment="1">
      <alignment horizontal="right"/>
    </xf>
    <xf numFmtId="37" fontId="23" fillId="19" borderId="0" xfId="24" applyNumberFormat="1" applyFont="1" applyFill="1" applyBorder="1"/>
    <xf numFmtId="0" fontId="25" fillId="19" borderId="0" xfId="0" applyFont="1" applyFill="1" applyBorder="1"/>
    <xf numFmtId="17" fontId="34" fillId="6" borderId="0" xfId="0" applyNumberFormat="1" applyFont="1" applyFill="1" applyBorder="1" applyAlignment="1" applyProtection="1">
      <alignment horizontal="center"/>
    </xf>
    <xf numFmtId="9" fontId="15" fillId="3" borderId="4" xfId="19" applyNumberFormat="1" applyFont="1" applyFill="1" applyBorder="1"/>
    <xf numFmtId="9" fontId="20" fillId="3" borderId="0" xfId="19" applyNumberFormat="1" applyFont="1" applyFill="1" applyBorder="1" applyAlignment="1" applyProtection="1">
      <alignment vertical="top"/>
    </xf>
    <xf numFmtId="9" fontId="15" fillId="3" borderId="15" xfId="19" applyNumberFormat="1" applyFont="1" applyFill="1" applyBorder="1"/>
    <xf numFmtId="9" fontId="15" fillId="3" borderId="0" xfId="27" applyNumberFormat="1" applyFont="1" applyFill="1" applyBorder="1"/>
    <xf numFmtId="9" fontId="10" fillId="3" borderId="21" xfId="19" applyNumberFormat="1" applyFont="1" applyFill="1" applyBorder="1"/>
    <xf numFmtId="9" fontId="10" fillId="0" borderId="15" xfId="19" applyNumberFormat="1" applyFont="1" applyFill="1" applyBorder="1"/>
    <xf numFmtId="9" fontId="10" fillId="15" borderId="0" xfId="19" applyNumberFormat="1" applyFont="1" applyFill="1" applyBorder="1" applyAlignment="1" applyProtection="1">
      <alignment vertical="top"/>
    </xf>
    <xf numFmtId="9" fontId="10" fillId="3" borderId="28" xfId="27" applyNumberFormat="1" applyFont="1" applyFill="1" applyBorder="1" applyAlignment="1"/>
    <xf numFmtId="9" fontId="10" fillId="3" borderId="0" xfId="27" applyNumberFormat="1" applyFont="1" applyFill="1" applyBorder="1" applyAlignment="1"/>
    <xf numFmtId="9" fontId="10" fillId="15" borderId="0" xfId="27" applyNumberFormat="1" applyFont="1" applyFill="1" applyBorder="1" applyAlignment="1"/>
    <xf numFmtId="9" fontId="10" fillId="15" borderId="0" xfId="14" applyNumberFormat="1" applyFont="1" applyFill="1" applyBorder="1" applyAlignment="1" applyProtection="1">
      <alignment vertical="top"/>
    </xf>
    <xf numFmtId="9" fontId="10" fillId="3" borderId="0" xfId="19" applyNumberFormat="1" applyFont="1" applyFill="1" applyAlignment="1">
      <alignment vertical="top"/>
    </xf>
    <xf numFmtId="9" fontId="10" fillId="3" borderId="24" xfId="8" applyNumberFormat="1" applyFont="1" applyFill="1" applyBorder="1"/>
    <xf numFmtId="9" fontId="20" fillId="3" borderId="0" xfId="8" applyNumberFormat="1" applyFont="1" applyFill="1" applyBorder="1"/>
    <xf numFmtId="9" fontId="15" fillId="4" borderId="0" xfId="8" applyNumberFormat="1" applyFont="1" applyFill="1" applyBorder="1"/>
    <xf numFmtId="9" fontId="15" fillId="4" borderId="0" xfId="27" applyNumberFormat="1" applyFont="1" applyFill="1" applyBorder="1"/>
    <xf numFmtId="9" fontId="36" fillId="3" borderId="0" xfId="27" applyNumberFormat="1" applyFont="1" applyFill="1" applyBorder="1"/>
    <xf numFmtId="9" fontId="20" fillId="3" borderId="0" xfId="19" applyNumberFormat="1" applyFont="1" applyFill="1" applyBorder="1" applyProtection="1"/>
    <xf numFmtId="9" fontId="20" fillId="3" borderId="0" xfId="8" applyNumberFormat="1" applyFont="1" applyFill="1" applyBorder="1" applyProtection="1"/>
    <xf numFmtId="9" fontId="15" fillId="3" borderId="10" xfId="19" applyNumberFormat="1" applyFont="1" applyFill="1" applyBorder="1"/>
    <xf numFmtId="9" fontId="10" fillId="3" borderId="0" xfId="8" applyNumberFormat="1" applyFont="1" applyFill="1" applyBorder="1" applyProtection="1"/>
    <xf numFmtId="9" fontId="15" fillId="3" borderId="0" xfId="8" applyNumberFormat="1" applyFont="1" applyFill="1" applyBorder="1" applyProtection="1"/>
    <xf numFmtId="9" fontId="29" fillId="3" borderId="0" xfId="19" applyNumberFormat="1" applyFont="1" applyFill="1" applyBorder="1"/>
    <xf numFmtId="9" fontId="15" fillId="15" borderId="0" xfId="19" applyNumberFormat="1" applyFont="1" applyFill="1" applyBorder="1"/>
    <xf numFmtId="9" fontId="27" fillId="15" borderId="0" xfId="19" applyNumberFormat="1" applyFont="1" applyFill="1" applyBorder="1"/>
    <xf numFmtId="9" fontId="27" fillId="15" borderId="0" xfId="19" applyNumberFormat="1" applyFont="1" applyFill="1" applyBorder="1" applyAlignment="1">
      <alignment vertical="top"/>
    </xf>
    <xf numFmtId="9" fontId="10" fillId="15" borderId="0" xfId="14" applyNumberFormat="1" applyFont="1" applyFill="1" applyBorder="1" applyAlignment="1">
      <alignment vertical="top"/>
    </xf>
    <xf numFmtId="1" fontId="10" fillId="3" borderId="0" xfId="0" applyNumberFormat="1" applyFont="1" applyFill="1" applyBorder="1"/>
    <xf numFmtId="1" fontId="105" fillId="3" borderId="0" xfId="19" applyNumberFormat="1" applyFont="1" applyFill="1" applyBorder="1"/>
    <xf numFmtId="1" fontId="15" fillId="3" borderId="4" xfId="19" applyNumberFormat="1" applyFont="1" applyFill="1" applyBorder="1"/>
    <xf numFmtId="1" fontId="15" fillId="3" borderId="5" xfId="19" applyNumberFormat="1" applyFont="1" applyFill="1" applyBorder="1"/>
    <xf numFmtId="1" fontId="10" fillId="3" borderId="0" xfId="27" applyNumberFormat="1" applyFont="1" applyFill="1" applyBorder="1"/>
    <xf numFmtId="1" fontId="27" fillId="3" borderId="0" xfId="27" applyNumberFormat="1" applyFont="1" applyFill="1" applyBorder="1"/>
    <xf numFmtId="1" fontId="15" fillId="3" borderId="0" xfId="0" applyNumberFormat="1" applyFont="1" applyFill="1" applyBorder="1"/>
    <xf numFmtId="1" fontId="36" fillId="3" borderId="24" xfId="19" applyNumberFormat="1" applyFont="1" applyFill="1" applyBorder="1" applyAlignment="1" applyProtection="1">
      <alignment vertical="top"/>
    </xf>
    <xf numFmtId="1" fontId="10" fillId="3" borderId="5" xfId="27" applyNumberFormat="1" applyFont="1" applyFill="1" applyBorder="1"/>
    <xf numFmtId="1" fontId="20" fillId="3" borderId="0" xfId="27" applyNumberFormat="1" applyFont="1" applyFill="1" applyBorder="1" applyAlignment="1" applyProtection="1">
      <alignment vertical="top"/>
    </xf>
    <xf numFmtId="1" fontId="10" fillId="3" borderId="0" xfId="27" applyNumberFormat="1" applyFont="1" applyFill="1" applyBorder="1" applyAlignment="1" applyProtection="1">
      <alignment vertical="top"/>
    </xf>
    <xf numFmtId="1" fontId="15" fillId="3" borderId="0" xfId="27" applyNumberFormat="1" applyFont="1" applyFill="1" applyBorder="1"/>
    <xf numFmtId="1" fontId="10" fillId="3" borderId="0" xfId="19" applyNumberFormat="1" applyFont="1" applyFill="1" applyBorder="1" applyProtection="1">
      <protection locked="0"/>
    </xf>
    <xf numFmtId="1" fontId="20" fillId="3" borderId="0" xfId="19" applyNumberFormat="1" applyFont="1" applyFill="1" applyBorder="1" applyProtection="1"/>
    <xf numFmtId="1" fontId="20" fillId="3" borderId="0" xfId="6" applyNumberFormat="1" applyFont="1" applyFill="1" applyBorder="1" applyProtection="1"/>
    <xf numFmtId="1" fontId="10" fillId="15" borderId="0" xfId="19" applyNumberFormat="1" applyFont="1" applyFill="1" applyBorder="1"/>
    <xf numFmtId="1" fontId="10" fillId="15" borderId="0" xfId="27" applyNumberFormat="1" applyFont="1" applyFill="1" applyBorder="1" applyAlignment="1">
      <alignment vertical="top"/>
    </xf>
    <xf numFmtId="165" fontId="10" fillId="0" borderId="6" xfId="19" applyNumberFormat="1" applyFont="1" applyFill="1" applyBorder="1"/>
    <xf numFmtId="165" fontId="10" fillId="0" borderId="0" xfId="14" applyNumberFormat="1" applyFont="1" applyFill="1" applyBorder="1" applyAlignment="1">
      <alignment vertical="top"/>
    </xf>
    <xf numFmtId="165" fontId="104" fillId="0" borderId="19" xfId="27" applyNumberFormat="1" applyFont="1" applyFill="1" applyBorder="1"/>
    <xf numFmtId="165" fontId="104" fillId="3" borderId="18" xfId="27" applyNumberFormat="1" applyFont="1" applyFill="1" applyBorder="1"/>
    <xf numFmtId="165" fontId="110" fillId="3" borderId="90" xfId="27" applyNumberFormat="1" applyFont="1" applyFill="1" applyBorder="1"/>
    <xf numFmtId="165" fontId="111" fillId="3" borderId="19" xfId="19" applyNumberFormat="1" applyFont="1" applyFill="1" applyBorder="1"/>
    <xf numFmtId="166" fontId="34" fillId="8" borderId="10" xfId="19" applyNumberFormat="1" applyFont="1" applyFill="1" applyBorder="1"/>
    <xf numFmtId="170" fontId="36" fillId="0" borderId="0" xfId="27" applyNumberFormat="1" applyFont="1" applyFill="1" applyBorder="1"/>
    <xf numFmtId="170" fontId="13" fillId="0" borderId="0" xfId="19" applyNumberFormat="1" applyFont="1" applyFill="1" applyBorder="1"/>
    <xf numFmtId="165" fontId="14" fillId="0" borderId="0" xfId="19" applyNumberFormat="1" applyFont="1" applyFill="1" applyBorder="1" applyProtection="1">
      <protection locked="0"/>
    </xf>
    <xf numFmtId="165" fontId="15" fillId="0" borderId="4" xfId="19" applyNumberFormat="1" applyFont="1" applyFill="1" applyBorder="1"/>
    <xf numFmtId="165" fontId="10" fillId="0" borderId="43" xfId="19" applyNumberFormat="1" applyFont="1" applyFill="1" applyBorder="1"/>
    <xf numFmtId="170" fontId="25" fillId="0" borderId="70" xfId="8" applyNumberFormat="1" applyFont="1" applyFill="1" applyBorder="1"/>
    <xf numFmtId="170" fontId="106" fillId="3" borderId="0" xfId="24" applyNumberFormat="1" applyFont="1" applyFill="1"/>
    <xf numFmtId="165" fontId="36" fillId="0" borderId="24" xfId="19" applyNumberFormat="1" applyFont="1" applyFill="1" applyBorder="1" applyAlignment="1" applyProtection="1">
      <alignment vertical="top"/>
    </xf>
    <xf numFmtId="165" fontId="15" fillId="0" borderId="0" xfId="27" applyNumberFormat="1" applyFont="1" applyFill="1" applyBorder="1"/>
    <xf numFmtId="1" fontId="15" fillId="4" borderId="0" xfId="0" applyNumberFormat="1" applyFont="1" applyFill="1" applyBorder="1"/>
    <xf numFmtId="0" fontId="15" fillId="4" borderId="0" xfId="19" applyNumberFormat="1" applyFont="1" applyFill="1" applyBorder="1"/>
    <xf numFmtId="165" fontId="106" fillId="4" borderId="0" xfId="27" applyNumberFormat="1" applyFont="1" applyFill="1" applyBorder="1"/>
    <xf numFmtId="170" fontId="25" fillId="3" borderId="70" xfId="19" applyNumberFormat="1" applyFont="1" applyFill="1" applyBorder="1" applyAlignment="1"/>
    <xf numFmtId="200" fontId="15" fillId="4" borderId="4" xfId="19" applyNumberFormat="1" applyFont="1" applyFill="1" applyBorder="1"/>
    <xf numFmtId="170" fontId="110" fillId="4" borderId="0" xfId="19" applyNumberFormat="1" applyFont="1" applyFill="1" applyBorder="1"/>
    <xf numFmtId="10" fontId="15" fillId="4" borderId="0" xfId="27" applyNumberFormat="1" applyFont="1" applyFill="1" applyBorder="1"/>
    <xf numFmtId="0" fontId="34" fillId="8" borderId="91" xfId="19" applyFont="1" applyFill="1" applyBorder="1"/>
    <xf numFmtId="3" fontId="15" fillId="4" borderId="50" xfId="19" applyNumberFormat="1" applyFont="1" applyFill="1" applyBorder="1"/>
    <xf numFmtId="3" fontId="10" fillId="3" borderId="43" xfId="8" applyNumberFormat="1" applyFont="1" applyFill="1" applyBorder="1"/>
    <xf numFmtId="3" fontId="15" fillId="3" borderId="49" xfId="19" applyNumberFormat="1" applyFont="1" applyFill="1" applyBorder="1"/>
    <xf numFmtId="165" fontId="10" fillId="3" borderId="43" xfId="0" applyNumberFormat="1" applyFont="1" applyFill="1" applyBorder="1"/>
    <xf numFmtId="10" fontId="15" fillId="4" borderId="61" xfId="27" applyNumberFormat="1" applyFont="1" applyFill="1" applyBorder="1"/>
    <xf numFmtId="3" fontId="15" fillId="3" borderId="61" xfId="19" applyNumberFormat="1" applyFont="1" applyFill="1" applyBorder="1"/>
    <xf numFmtId="165" fontId="10" fillId="3" borderId="61" xfId="27" applyNumberFormat="1" applyFont="1" applyFill="1" applyBorder="1"/>
    <xf numFmtId="165" fontId="20" fillId="3" borderId="61" xfId="27" applyNumberFormat="1" applyFont="1" applyFill="1" applyBorder="1"/>
    <xf numFmtId="3" fontId="20" fillId="3" borderId="43" xfId="27" applyNumberFormat="1" applyFont="1" applyFill="1" applyBorder="1"/>
    <xf numFmtId="9" fontId="15" fillId="3" borderId="43" xfId="0" applyNumberFormat="1" applyFont="1" applyFill="1" applyBorder="1"/>
    <xf numFmtId="166" fontId="20" fillId="3" borderId="43" xfId="27" applyNumberFormat="1" applyFont="1" applyFill="1" applyBorder="1"/>
    <xf numFmtId="0" fontId="34" fillId="6" borderId="41" xfId="19" applyFont="1" applyFill="1" applyBorder="1"/>
    <xf numFmtId="0" fontId="34" fillId="8" borderId="41" xfId="19" applyFont="1" applyFill="1" applyBorder="1"/>
    <xf numFmtId="170" fontId="15" fillId="4" borderId="43" xfId="19" applyNumberFormat="1" applyFont="1" applyFill="1" applyBorder="1"/>
    <xf numFmtId="9" fontId="10" fillId="3" borderId="43" xfId="27" applyNumberFormat="1" applyFont="1" applyFill="1" applyBorder="1"/>
    <xf numFmtId="3" fontId="20" fillId="3" borderId="43" xfId="19" applyNumberFormat="1" applyFont="1" applyFill="1" applyBorder="1" applyAlignment="1" applyProtection="1">
      <alignment vertical="top"/>
    </xf>
    <xf numFmtId="9" fontId="10" fillId="3" borderId="43" xfId="19" applyNumberFormat="1" applyFont="1" applyFill="1" applyBorder="1"/>
    <xf numFmtId="170" fontId="15" fillId="3" borderId="92" xfId="19" applyNumberFormat="1" applyFont="1" applyFill="1" applyBorder="1"/>
    <xf numFmtId="165" fontId="10" fillId="3" borderId="93" xfId="27" applyNumberFormat="1" applyFont="1" applyFill="1" applyBorder="1"/>
    <xf numFmtId="166" fontId="29" fillId="0" borderId="43" xfId="27" applyNumberFormat="1" applyFont="1" applyFill="1" applyBorder="1"/>
    <xf numFmtId="165" fontId="27" fillId="0" borderId="43" xfId="27" applyNumberFormat="1" applyFont="1" applyFill="1" applyBorder="1"/>
    <xf numFmtId="166" fontId="20" fillId="0" borderId="43" xfId="27" applyNumberFormat="1" applyFont="1" applyFill="1" applyBorder="1"/>
    <xf numFmtId="165" fontId="27" fillId="3" borderId="43" xfId="27" applyNumberFormat="1" applyFont="1" applyFill="1" applyBorder="1"/>
    <xf numFmtId="165" fontId="10" fillId="3" borderId="94" xfId="27" applyNumberFormat="1" applyFont="1" applyFill="1" applyBorder="1"/>
    <xf numFmtId="170" fontId="10" fillId="3" borderId="95" xfId="19" applyNumberFormat="1" applyFont="1" applyFill="1" applyBorder="1"/>
    <xf numFmtId="170" fontId="10" fillId="3" borderId="43" xfId="19" applyNumberFormat="1" applyFont="1" applyFill="1" applyBorder="1"/>
    <xf numFmtId="170" fontId="15" fillId="4" borderId="43" xfId="0" applyNumberFormat="1" applyFont="1" applyFill="1" applyBorder="1"/>
    <xf numFmtId="165" fontId="10" fillId="0" borderId="43" xfId="27" applyNumberFormat="1" applyFont="1" applyFill="1" applyBorder="1"/>
    <xf numFmtId="170" fontId="15" fillId="0" borderId="92" xfId="19" applyNumberFormat="1" applyFont="1" applyFill="1" applyBorder="1"/>
    <xf numFmtId="170" fontId="10" fillId="3" borderId="92" xfId="19" applyNumberFormat="1" applyFont="1" applyFill="1" applyBorder="1"/>
    <xf numFmtId="165" fontId="36" fillId="3" borderId="93" xfId="19" applyNumberFormat="1" applyFont="1" applyFill="1" applyBorder="1"/>
    <xf numFmtId="170" fontId="10" fillId="3" borderId="43" xfId="27" applyNumberFormat="1" applyFont="1" applyFill="1" applyBorder="1"/>
    <xf numFmtId="2" fontId="20" fillId="3" borderId="43" xfId="19" applyNumberFormat="1" applyFont="1" applyFill="1" applyBorder="1" applyAlignment="1" applyProtection="1">
      <alignment vertical="top"/>
    </xf>
    <xf numFmtId="170" fontId="10" fillId="3" borderId="96" xfId="27" applyNumberFormat="1" applyFont="1" applyFill="1" applyBorder="1" applyAlignment="1"/>
    <xf numFmtId="170" fontId="10" fillId="3" borderId="43" xfId="27" applyNumberFormat="1" applyFont="1" applyFill="1" applyBorder="1" applyAlignment="1"/>
    <xf numFmtId="170" fontId="15" fillId="7" borderId="43" xfId="19" applyNumberFormat="1" applyFont="1" applyFill="1" applyBorder="1"/>
    <xf numFmtId="165" fontId="10" fillId="3" borderId="54" xfId="27" applyNumberFormat="1" applyFont="1" applyFill="1" applyBorder="1"/>
    <xf numFmtId="170" fontId="15" fillId="4" borderId="43" xfId="8" applyNumberFormat="1" applyFont="1" applyFill="1" applyBorder="1"/>
    <xf numFmtId="9" fontId="20" fillId="0" borderId="43" xfId="27" applyNumberFormat="1" applyFont="1" applyFill="1" applyBorder="1" applyAlignment="1" applyProtection="1">
      <alignment vertical="top"/>
    </xf>
    <xf numFmtId="3" fontId="10" fillId="3" borderId="93" xfId="8" applyNumberFormat="1" applyFont="1" applyFill="1" applyBorder="1"/>
    <xf numFmtId="1" fontId="10" fillId="3" borderId="43" xfId="19" applyNumberFormat="1" applyFont="1" applyFill="1" applyBorder="1"/>
    <xf numFmtId="170" fontId="10" fillId="3" borderId="93" xfId="19" applyNumberFormat="1" applyFont="1" applyFill="1" applyBorder="1"/>
    <xf numFmtId="170" fontId="20" fillId="3" borderId="43" xfId="14" applyNumberFormat="1" applyFont="1" applyFill="1" applyBorder="1" applyAlignment="1" applyProtection="1">
      <alignment vertical="top"/>
    </xf>
    <xf numFmtId="165" fontId="10" fillId="3" borderId="43" xfId="27" applyNumberFormat="1" applyFont="1" applyFill="1" applyBorder="1" applyAlignment="1" applyProtection="1">
      <alignment vertical="top"/>
    </xf>
    <xf numFmtId="9" fontId="20" fillId="3" borderId="43" xfId="27" applyNumberFormat="1" applyFont="1" applyFill="1" applyBorder="1"/>
    <xf numFmtId="169" fontId="10" fillId="3" borderId="93" xfId="19" applyNumberFormat="1" applyFont="1" applyFill="1" applyBorder="1"/>
    <xf numFmtId="169" fontId="10" fillId="3" borderId="43" xfId="19" applyNumberFormat="1" applyFont="1" applyFill="1" applyBorder="1" applyAlignment="1">
      <alignment vertical="top"/>
    </xf>
    <xf numFmtId="169" fontId="10" fillId="3" borderId="43" xfId="19" applyNumberFormat="1" applyFont="1" applyFill="1" applyBorder="1"/>
    <xf numFmtId="172" fontId="10" fillId="3" borderId="93" xfId="8" applyNumberFormat="1" applyFont="1" applyFill="1" applyBorder="1"/>
    <xf numFmtId="170" fontId="20" fillId="3" borderId="43" xfId="8" applyNumberFormat="1" applyFont="1" applyFill="1" applyBorder="1" applyProtection="1"/>
    <xf numFmtId="165" fontId="20" fillId="3" borderId="43" xfId="27" applyNumberFormat="1" applyFont="1" applyFill="1" applyBorder="1" applyAlignment="1" applyProtection="1">
      <alignment vertical="top"/>
    </xf>
    <xf numFmtId="170" fontId="15" fillId="7" borderId="43" xfId="8" applyNumberFormat="1" applyFont="1" applyFill="1" applyBorder="1"/>
    <xf numFmtId="165" fontId="20" fillId="0" borderId="43" xfId="27" applyNumberFormat="1" applyFont="1" applyFill="1" applyBorder="1" applyAlignment="1" applyProtection="1">
      <alignment vertical="top"/>
    </xf>
    <xf numFmtId="170" fontId="15" fillId="3" borderId="61" xfId="19" applyNumberFormat="1" applyFont="1" applyFill="1" applyBorder="1"/>
    <xf numFmtId="165" fontId="15" fillId="3" borderId="61" xfId="27" applyNumberFormat="1" applyFont="1" applyFill="1" applyBorder="1"/>
    <xf numFmtId="166" fontId="10" fillId="3" borderId="61" xfId="19" applyNumberFormat="1" applyFont="1" applyFill="1" applyBorder="1"/>
    <xf numFmtId="166" fontId="10" fillId="3" borderId="61" xfId="0" applyNumberFormat="1" applyFont="1" applyFill="1" applyBorder="1"/>
    <xf numFmtId="9" fontId="27" fillId="3" borderId="61" xfId="27" applyNumberFormat="1" applyFont="1" applyFill="1" applyBorder="1"/>
    <xf numFmtId="166" fontId="10" fillId="3" borderId="61" xfId="27" applyNumberFormat="1" applyFont="1" applyFill="1" applyBorder="1"/>
    <xf numFmtId="170" fontId="15" fillId="3" borderId="61" xfId="8" applyNumberFormat="1" applyFont="1" applyFill="1" applyBorder="1"/>
    <xf numFmtId="170" fontId="15" fillId="4" borderId="61" xfId="27" applyNumberFormat="1" applyFont="1" applyFill="1" applyBorder="1"/>
    <xf numFmtId="170" fontId="108" fillId="3" borderId="61" xfId="8" applyNumberFormat="1" applyFont="1" applyFill="1" applyBorder="1" applyProtection="1">
      <protection locked="0"/>
    </xf>
    <xf numFmtId="170" fontId="28" fillId="3" borderId="61" xfId="8" applyNumberFormat="1" applyFont="1" applyFill="1" applyBorder="1"/>
    <xf numFmtId="165" fontId="20" fillId="3" borderId="43" xfId="27" applyNumberFormat="1" applyFont="1" applyFill="1" applyBorder="1" applyProtection="1"/>
    <xf numFmtId="170" fontId="52" fillId="3" borderId="43" xfId="8" applyNumberFormat="1" applyFont="1" applyFill="1" applyBorder="1" applyProtection="1"/>
    <xf numFmtId="165" fontId="15" fillId="4" borderId="61" xfId="27" applyNumberFormat="1" applyFont="1" applyFill="1" applyBorder="1"/>
    <xf numFmtId="170" fontId="20" fillId="3" borderId="43" xfId="19" applyNumberFormat="1" applyFont="1" applyFill="1" applyBorder="1" applyProtection="1"/>
    <xf numFmtId="165" fontId="20" fillId="3" borderId="43" xfId="19" applyNumberFormat="1" applyFont="1" applyFill="1" applyBorder="1" applyProtection="1"/>
    <xf numFmtId="9" fontId="20" fillId="3" borderId="61" xfId="19" applyNumberFormat="1" applyFont="1" applyFill="1" applyBorder="1" applyProtection="1"/>
    <xf numFmtId="169" fontId="15" fillId="3" borderId="97" xfId="19" applyNumberFormat="1" applyFont="1" applyFill="1" applyBorder="1"/>
    <xf numFmtId="9" fontId="20" fillId="4" borderId="43" xfId="19" applyNumberFormat="1" applyFont="1" applyFill="1" applyBorder="1" applyProtection="1"/>
    <xf numFmtId="166" fontId="20" fillId="3" borderId="43" xfId="19" applyNumberFormat="1" applyFont="1" applyFill="1" applyBorder="1" applyAlignment="1" applyProtection="1">
      <alignment horizontal="right"/>
    </xf>
    <xf numFmtId="166" fontId="29" fillId="3" borderId="43" xfId="19" applyNumberFormat="1" applyFont="1" applyFill="1" applyBorder="1" applyAlignment="1" applyProtection="1">
      <alignment horizontal="right"/>
    </xf>
    <xf numFmtId="165" fontId="10" fillId="3" borderId="43" xfId="27" applyNumberFormat="1" applyFont="1" applyFill="1" applyBorder="1" applyAlignment="1" applyProtection="1">
      <alignment horizontal="right"/>
    </xf>
    <xf numFmtId="9" fontId="20" fillId="4" borderId="61" xfId="19" applyNumberFormat="1" applyFont="1" applyFill="1" applyBorder="1" applyProtection="1"/>
    <xf numFmtId="169" fontId="29" fillId="3" borderId="43" xfId="19" applyNumberFormat="1" applyFont="1" applyFill="1" applyBorder="1"/>
    <xf numFmtId="169" fontId="15" fillId="3" borderId="43" xfId="19" applyNumberFormat="1" applyFont="1" applyFill="1" applyBorder="1"/>
    <xf numFmtId="170" fontId="27" fillId="3" borderId="43" xfId="14" applyNumberFormat="1" applyFont="1" applyFill="1" applyBorder="1"/>
    <xf numFmtId="9" fontId="10" fillId="3" borderId="43" xfId="14" applyNumberFormat="1" applyFont="1" applyFill="1" applyBorder="1" applyAlignment="1">
      <alignment vertical="top"/>
    </xf>
    <xf numFmtId="9" fontId="10" fillId="3" borderId="43" xfId="27" applyNumberFormat="1" applyFont="1" applyFill="1" applyBorder="1" applyAlignment="1">
      <alignment vertical="top"/>
    </xf>
    <xf numFmtId="170" fontId="27" fillId="3" borderId="43" xfId="19" applyNumberFormat="1" applyFont="1" applyFill="1" applyBorder="1" applyAlignment="1">
      <alignment vertical="top"/>
    </xf>
    <xf numFmtId="170" fontId="10" fillId="3" borderId="43" xfId="14" applyNumberFormat="1" applyFont="1" applyFill="1" applyBorder="1" applyAlignment="1">
      <alignment vertical="top"/>
    </xf>
    <xf numFmtId="169" fontId="20" fillId="3" borderId="61" xfId="8" applyNumberFormat="1" applyFont="1" applyFill="1" applyBorder="1" applyAlignment="1">
      <alignment vertical="top"/>
    </xf>
    <xf numFmtId="0" fontId="10" fillId="4" borderId="61" xfId="0" applyFont="1" applyFill="1" applyBorder="1"/>
    <xf numFmtId="170" fontId="10" fillId="3" borderId="61" xfId="24" applyNumberFormat="1" applyFont="1" applyFill="1" applyBorder="1"/>
    <xf numFmtId="170" fontId="14" fillId="3" borderId="61" xfId="24" applyNumberFormat="1" applyFont="1" applyFill="1" applyBorder="1"/>
    <xf numFmtId="9" fontId="20" fillId="3" borderId="61" xfId="27" applyNumberFormat="1" applyFont="1" applyFill="1" applyBorder="1" applyProtection="1"/>
    <xf numFmtId="166" fontId="20" fillId="3" borderId="61" xfId="19" applyNumberFormat="1" applyFont="1" applyFill="1" applyBorder="1" applyProtection="1"/>
    <xf numFmtId="0" fontId="6" fillId="4" borderId="0" xfId="19" applyNumberFormat="1" applyFont="1" applyFill="1" applyBorder="1"/>
    <xf numFmtId="170" fontId="20" fillId="0" borderId="0" xfId="8" applyNumberFormat="1" applyFont="1" applyFill="1" applyBorder="1" applyProtection="1"/>
    <xf numFmtId="165" fontId="20" fillId="0" borderId="0" xfId="19" applyNumberFormat="1" applyFont="1" applyFill="1" applyBorder="1" applyProtection="1"/>
    <xf numFmtId="169" fontId="15" fillId="0" borderId="10" xfId="19" applyNumberFormat="1" applyFont="1" applyFill="1" applyBorder="1"/>
    <xf numFmtId="170" fontId="10" fillId="15" borderId="12" xfId="24" applyNumberFormat="1" applyFont="1" applyFill="1" applyBorder="1"/>
    <xf numFmtId="170" fontId="10" fillId="15" borderId="0" xfId="24" applyNumberFormat="1" applyFont="1" applyFill="1"/>
    <xf numFmtId="0" fontId="10" fillId="15" borderId="0" xfId="24" applyFont="1" applyFill="1"/>
    <xf numFmtId="165" fontId="10" fillId="15" borderId="0" xfId="24" applyNumberFormat="1" applyFont="1" applyFill="1"/>
    <xf numFmtId="5" fontId="10" fillId="15" borderId="0" xfId="19" applyNumberFormat="1" applyFont="1" applyFill="1" applyBorder="1"/>
    <xf numFmtId="5" fontId="10" fillId="15" borderId="0" xfId="24" applyNumberFormat="1" applyFont="1" applyFill="1"/>
    <xf numFmtId="170" fontId="15" fillId="15" borderId="12" xfId="24" applyNumberFormat="1" applyFont="1" applyFill="1" applyBorder="1"/>
    <xf numFmtId="170" fontId="15" fillId="15" borderId="0" xfId="24" applyNumberFormat="1" applyFont="1" applyFill="1"/>
    <xf numFmtId="5" fontId="15" fillId="15" borderId="0" xfId="24" applyNumberFormat="1" applyFont="1" applyFill="1"/>
    <xf numFmtId="170" fontId="10" fillId="15" borderId="12" xfId="19" applyNumberFormat="1" applyFont="1" applyFill="1" applyBorder="1"/>
    <xf numFmtId="5" fontId="15" fillId="15" borderId="0" xfId="19" applyNumberFormat="1" applyFont="1" applyFill="1" applyBorder="1"/>
    <xf numFmtId="170" fontId="29" fillId="15" borderId="0" xfId="19" applyNumberFormat="1" applyFont="1" applyFill="1" applyBorder="1" applyAlignment="1">
      <alignment vertical="top"/>
    </xf>
    <xf numFmtId="0" fontId="10" fillId="15" borderId="0" xfId="24" applyFont="1" applyFill="1" applyBorder="1"/>
    <xf numFmtId="165" fontId="25" fillId="0" borderId="70" xfId="27" applyNumberFormat="1" applyFont="1" applyFill="1" applyBorder="1"/>
    <xf numFmtId="1" fontId="10" fillId="3" borderId="24" xfId="27" applyNumberFormat="1" applyFont="1" applyFill="1" applyBorder="1"/>
    <xf numFmtId="1" fontId="14" fillId="3" borderId="24" xfId="0" applyNumberFormat="1" applyFont="1" applyFill="1" applyBorder="1" applyAlignment="1" applyProtection="1">
      <alignment vertical="top"/>
    </xf>
    <xf numFmtId="165" fontId="110" fillId="3" borderId="70" xfId="29" applyNumberFormat="1" applyFont="1" applyFill="1" applyBorder="1"/>
    <xf numFmtId="165" fontId="106" fillId="3" borderId="70" xfId="29" applyNumberFormat="1" applyFont="1" applyFill="1" applyBorder="1"/>
    <xf numFmtId="165" fontId="14" fillId="0" borderId="6" xfId="27" applyNumberFormat="1" applyFont="1" applyFill="1" applyBorder="1"/>
    <xf numFmtId="165" fontId="6" fillId="3" borderId="0" xfId="0" applyNumberFormat="1" applyFont="1" applyFill="1" applyBorder="1"/>
    <xf numFmtId="165" fontId="6" fillId="3" borderId="0" xfId="27" applyNumberFormat="1" applyFont="1" applyFill="1" applyBorder="1"/>
    <xf numFmtId="9" fontId="6" fillId="3" borderId="0" xfId="27" applyNumberFormat="1" applyFont="1" applyFill="1" applyBorder="1"/>
    <xf numFmtId="9" fontId="6" fillId="3" borderId="0" xfId="19" applyNumberFormat="1" applyFont="1" applyFill="1" applyBorder="1"/>
    <xf numFmtId="165" fontId="6" fillId="3" borderId="24" xfId="0" applyNumberFormat="1" applyFont="1" applyFill="1" applyBorder="1" applyAlignment="1">
      <alignment vertical="top"/>
    </xf>
    <xf numFmtId="166" fontId="6" fillId="0" borderId="0" xfId="27" applyNumberFormat="1" applyFont="1" applyFill="1" applyBorder="1"/>
    <xf numFmtId="175" fontId="6" fillId="3" borderId="19" xfId="14" applyNumberFormat="1" applyFont="1" applyFill="1" applyBorder="1" applyAlignment="1">
      <alignment vertical="top"/>
    </xf>
    <xf numFmtId="170" fontId="6" fillId="3" borderId="21" xfId="19" applyNumberFormat="1" applyFont="1" applyFill="1" applyBorder="1"/>
    <xf numFmtId="170" fontId="6" fillId="3" borderId="0" xfId="19" applyNumberFormat="1" applyFont="1" applyFill="1" applyBorder="1"/>
    <xf numFmtId="165" fontId="6" fillId="0" borderId="0" xfId="27" applyNumberFormat="1" applyFont="1" applyFill="1" applyBorder="1"/>
    <xf numFmtId="170" fontId="6" fillId="3" borderId="15" xfId="19" applyNumberFormat="1" applyFont="1" applyFill="1" applyBorder="1"/>
    <xf numFmtId="165" fontId="6" fillId="0" borderId="0" xfId="19" applyNumberFormat="1" applyFont="1" applyFill="1" applyBorder="1"/>
    <xf numFmtId="165" fontId="6" fillId="3" borderId="0" xfId="19" applyNumberFormat="1" applyFont="1" applyFill="1" applyBorder="1" applyAlignment="1">
      <alignment vertical="top"/>
    </xf>
    <xf numFmtId="170" fontId="6" fillId="3" borderId="0" xfId="27" applyNumberFormat="1" applyFont="1" applyFill="1" applyBorder="1"/>
    <xf numFmtId="169" fontId="6" fillId="0" borderId="0" xfId="27" applyNumberFormat="1" applyFont="1" applyFill="1" applyBorder="1"/>
    <xf numFmtId="170" fontId="6" fillId="3" borderId="28" xfId="27" applyNumberFormat="1" applyFont="1" applyFill="1" applyBorder="1" applyAlignment="1"/>
    <xf numFmtId="170" fontId="6" fillId="3" borderId="0" xfId="27" applyNumberFormat="1" applyFont="1" applyFill="1" applyBorder="1" applyAlignment="1"/>
    <xf numFmtId="165" fontId="6" fillId="3" borderId="5" xfId="27" applyNumberFormat="1" applyFont="1" applyFill="1" applyBorder="1"/>
    <xf numFmtId="1" fontId="6" fillId="3" borderId="0" xfId="19" applyNumberFormat="1" applyFont="1" applyFill="1" applyBorder="1"/>
    <xf numFmtId="170" fontId="6" fillId="3" borderId="24" xfId="19" applyNumberFormat="1" applyFont="1" applyFill="1" applyBorder="1"/>
    <xf numFmtId="169" fontId="6" fillId="3" borderId="24" xfId="19" applyNumberFormat="1" applyFont="1" applyFill="1" applyBorder="1"/>
    <xf numFmtId="169" fontId="6" fillId="3" borderId="0" xfId="19" applyNumberFormat="1" applyFont="1" applyFill="1" applyBorder="1"/>
    <xf numFmtId="172" fontId="6" fillId="3" borderId="24" xfId="8" applyNumberFormat="1" applyFont="1" applyFill="1" applyBorder="1"/>
    <xf numFmtId="166" fontId="6" fillId="3" borderId="0" xfId="19" applyNumberFormat="1" applyFont="1" applyFill="1" applyBorder="1"/>
    <xf numFmtId="166" fontId="6" fillId="3" borderId="0" xfId="0" applyNumberFormat="1" applyFont="1" applyFill="1" applyBorder="1"/>
    <xf numFmtId="165" fontId="6" fillId="3" borderId="0" xfId="19" applyNumberFormat="1" applyFont="1" applyFill="1" applyBorder="1"/>
    <xf numFmtId="9" fontId="6" fillId="3" borderId="0" xfId="27" applyNumberFormat="1" applyFont="1" applyFill="1" applyBorder="1" applyAlignment="1">
      <alignment vertical="top"/>
    </xf>
    <xf numFmtId="170" fontId="6" fillId="3" borderId="0" xfId="14" applyNumberFormat="1" applyFont="1" applyFill="1" applyBorder="1" applyAlignment="1">
      <alignment vertical="top"/>
    </xf>
    <xf numFmtId="165" fontId="36" fillId="15" borderId="24" xfId="19" applyNumberFormat="1" applyFont="1" applyFill="1" applyBorder="1"/>
    <xf numFmtId="166" fontId="15" fillId="0" borderId="0" xfId="8" applyNumberFormat="1" applyFont="1" applyFill="1" applyBorder="1" applyProtection="1"/>
    <xf numFmtId="166" fontId="112" fillId="4" borderId="0" xfId="19" applyNumberFormat="1" applyFont="1" applyFill="1" applyBorder="1"/>
    <xf numFmtId="14" fontId="6" fillId="0" borderId="0" xfId="17" applyNumberFormat="1" applyFill="1"/>
    <xf numFmtId="170" fontId="34" fillId="8" borderId="41" xfId="19" applyNumberFormat="1" applyFont="1" applyFill="1" applyBorder="1"/>
    <xf numFmtId="166" fontId="10" fillId="0" borderId="61" xfId="19" applyNumberFormat="1" applyFont="1" applyFill="1" applyBorder="1"/>
    <xf numFmtId="165" fontId="113" fillId="3" borderId="70" xfId="27" applyNumberFormat="1" applyFont="1" applyFill="1" applyBorder="1"/>
    <xf numFmtId="165" fontId="10" fillId="0" borderId="12" xfId="19" applyNumberFormat="1" applyFont="1" applyFill="1" applyBorder="1"/>
    <xf numFmtId="165" fontId="10" fillId="0" borderId="12" xfId="0" applyNumberFormat="1" applyFont="1" applyFill="1" applyBorder="1"/>
    <xf numFmtId="165" fontId="15" fillId="4" borderId="12" xfId="29" applyNumberFormat="1" applyFont="1" applyFill="1" applyBorder="1"/>
    <xf numFmtId="3" fontId="15" fillId="4" borderId="0" xfId="0" applyNumberFormat="1" applyFont="1" applyFill="1" applyBorder="1"/>
    <xf numFmtId="165" fontId="105" fillId="0" borderId="43" xfId="19" applyNumberFormat="1" applyFont="1" applyFill="1" applyBorder="1"/>
    <xf numFmtId="3" fontId="10" fillId="0" borderId="43" xfId="8" applyNumberFormat="1" applyFont="1" applyFill="1" applyBorder="1"/>
    <xf numFmtId="3" fontId="10" fillId="0" borderId="6" xfId="19" applyNumberFormat="1" applyFont="1" applyFill="1" applyBorder="1"/>
    <xf numFmtId="165" fontId="36" fillId="0" borderId="0" xfId="19" applyNumberFormat="1" applyFont="1" applyFill="1" applyBorder="1"/>
    <xf numFmtId="166" fontId="20" fillId="0" borderId="0" xfId="0" applyNumberFormat="1" applyFont="1" applyFill="1" applyBorder="1" applyAlignment="1">
      <alignment vertical="top"/>
    </xf>
    <xf numFmtId="166" fontId="20" fillId="0" borderId="6" xfId="0" applyNumberFormat="1" applyFont="1" applyFill="1" applyBorder="1" applyAlignment="1" applyProtection="1">
      <alignment vertical="top"/>
    </xf>
    <xf numFmtId="165" fontId="112" fillId="4" borderId="0" xfId="19" applyNumberFormat="1" applyFont="1" applyFill="1" applyBorder="1"/>
    <xf numFmtId="165" fontId="47" fillId="3" borderId="6" xfId="19" applyNumberFormat="1" applyFont="1" applyFill="1" applyBorder="1" applyAlignment="1" applyProtection="1">
      <alignment vertical="top"/>
    </xf>
    <xf numFmtId="165" fontId="27" fillId="3" borderId="0" xfId="19" applyNumberFormat="1" applyFont="1" applyFill="1" applyBorder="1" applyAlignment="1">
      <alignment vertical="top"/>
    </xf>
    <xf numFmtId="165" fontId="6" fillId="0" borderId="0" xfId="17" applyNumberFormat="1" applyFill="1"/>
    <xf numFmtId="9" fontId="27" fillId="0" borderId="0" xfId="27" applyNumberFormat="1" applyFont="1" applyFill="1" applyBorder="1"/>
    <xf numFmtId="43" fontId="20" fillId="0" borderId="0" xfId="8" applyNumberFormat="1" applyFont="1" applyFill="1" applyBorder="1"/>
    <xf numFmtId="43" fontId="20" fillId="0" borderId="12" xfId="8" applyNumberFormat="1" applyFont="1" applyFill="1" applyBorder="1"/>
    <xf numFmtId="43" fontId="20" fillId="0" borderId="43" xfId="8" applyNumberFormat="1" applyFont="1" applyFill="1" applyBorder="1"/>
    <xf numFmtId="165" fontId="10" fillId="0" borderId="12" xfId="27" applyNumberFormat="1" applyFont="1" applyFill="1" applyBorder="1"/>
    <xf numFmtId="165" fontId="14" fillId="0" borderId="12" xfId="27" applyNumberFormat="1" applyFont="1" applyFill="1" applyBorder="1"/>
    <xf numFmtId="165" fontId="14" fillId="0" borderId="0" xfId="24" applyNumberFormat="1" applyFont="1" applyFill="1"/>
    <xf numFmtId="165" fontId="15" fillId="0" borderId="6" xfId="27" applyNumberFormat="1" applyFont="1" applyFill="1" applyBorder="1"/>
    <xf numFmtId="169" fontId="10" fillId="0" borderId="61" xfId="27" applyNumberFormat="1" applyFont="1" applyFill="1" applyBorder="1"/>
    <xf numFmtId="4" fontId="15" fillId="4" borderId="43" xfId="19" applyNumberFormat="1" applyFont="1" applyFill="1" applyBorder="1"/>
    <xf numFmtId="166" fontId="10" fillId="0" borderId="0" xfId="19" applyNumberFormat="1" applyFont="1" applyFill="1" applyBorder="1"/>
    <xf numFmtId="9" fontId="114" fillId="4" borderId="0" xfId="19" applyNumberFormat="1" applyFont="1" applyFill="1" applyBorder="1"/>
    <xf numFmtId="165" fontId="25" fillId="0" borderId="70" xfId="19" applyNumberFormat="1" applyFont="1" applyFill="1" applyBorder="1"/>
    <xf numFmtId="165" fontId="105" fillId="0" borderId="0" xfId="19" applyNumberFormat="1" applyFont="1" applyFill="1" applyBorder="1"/>
    <xf numFmtId="9" fontId="6" fillId="3" borderId="70" xfId="27" applyFont="1" applyFill="1" applyBorder="1"/>
    <xf numFmtId="170" fontId="10" fillId="0" borderId="12" xfId="19" applyNumberFormat="1" applyFont="1" applyFill="1" applyBorder="1"/>
    <xf numFmtId="170" fontId="10" fillId="0" borderId="12" xfId="0" applyNumberFormat="1" applyFont="1" applyFill="1" applyBorder="1"/>
    <xf numFmtId="0" fontId="25" fillId="0" borderId="70" xfId="12" applyNumberFormat="1" applyFont="1" applyFill="1" applyBorder="1"/>
    <xf numFmtId="9" fontId="6" fillId="3" borderId="0" xfId="19" applyNumberFormat="1" applyFont="1" applyFill="1" applyBorder="1" applyAlignment="1">
      <alignment vertical="top"/>
    </xf>
    <xf numFmtId="1" fontId="6" fillId="4" borderId="0" xfId="0" applyNumberFormat="1" applyFont="1" applyFill="1" applyBorder="1"/>
    <xf numFmtId="165" fontId="14" fillId="15" borderId="0" xfId="0" applyNumberFormat="1" applyFont="1" applyFill="1" applyBorder="1"/>
    <xf numFmtId="170" fontId="15" fillId="0" borderId="70" xfId="19" applyNumberFormat="1" applyFont="1" applyFill="1" applyBorder="1"/>
    <xf numFmtId="9" fontId="10" fillId="0" borderId="43" xfId="27" applyNumberFormat="1" applyFont="1" applyFill="1" applyBorder="1"/>
    <xf numFmtId="9" fontId="10" fillId="0" borderId="6" xfId="27" applyNumberFormat="1" applyFont="1" applyFill="1" applyBorder="1"/>
    <xf numFmtId="3" fontId="20" fillId="0" borderId="43" xfId="19" applyNumberFormat="1" applyFont="1" applyFill="1" applyBorder="1" applyAlignment="1" applyProtection="1">
      <alignment vertical="top"/>
    </xf>
    <xf numFmtId="3" fontId="20" fillId="0" borderId="6" xfId="19" applyNumberFormat="1" applyFont="1" applyFill="1" applyBorder="1" applyAlignment="1" applyProtection="1">
      <alignment vertical="top"/>
    </xf>
    <xf numFmtId="9" fontId="10" fillId="0" borderId="43" xfId="19" applyNumberFormat="1" applyFont="1" applyFill="1" applyBorder="1"/>
    <xf numFmtId="9" fontId="10" fillId="0" borderId="6" xfId="19" applyNumberFormat="1" applyFont="1" applyFill="1" applyBorder="1"/>
    <xf numFmtId="9" fontId="10" fillId="0" borderId="12" xfId="27" applyNumberFormat="1" applyFont="1" applyFill="1" applyBorder="1"/>
    <xf numFmtId="185" fontId="14" fillId="0" borderId="30" xfId="17" applyNumberFormat="1" applyFont="1" applyFill="1" applyBorder="1" applyAlignment="1">
      <alignment vertical="center"/>
    </xf>
    <xf numFmtId="9" fontId="15" fillId="0" borderId="0" xfId="27" applyFont="1" applyFill="1" applyAlignment="1">
      <alignment vertical="center"/>
    </xf>
    <xf numFmtId="169" fontId="15" fillId="4" borderId="0" xfId="19" applyNumberFormat="1" applyFont="1" applyFill="1" applyBorder="1" applyAlignment="1">
      <alignment vertical="top"/>
    </xf>
    <xf numFmtId="165" fontId="10" fillId="20" borderId="0" xfId="19" applyNumberFormat="1" applyFont="1" applyFill="1" applyBorder="1"/>
    <xf numFmtId="165" fontId="10" fillId="20" borderId="0" xfId="27" applyNumberFormat="1" applyFont="1" applyFill="1" applyBorder="1"/>
    <xf numFmtId="165" fontId="14" fillId="0" borderId="12" xfId="29" applyNumberFormat="1" applyFont="1" applyFill="1" applyBorder="1"/>
    <xf numFmtId="170" fontId="10" fillId="0" borderId="16" xfId="19" applyNumberFormat="1" applyFont="1" applyFill="1" applyBorder="1"/>
    <xf numFmtId="170" fontId="14" fillId="0" borderId="0" xfId="14" applyNumberFormat="1" applyFont="1" applyFill="1" applyBorder="1" applyAlignment="1" applyProtection="1">
      <alignment vertical="top"/>
    </xf>
    <xf numFmtId="170" fontId="6" fillId="4" borderId="32" xfId="6" applyNumberFormat="1" applyFont="1" applyFill="1" applyBorder="1" applyAlignment="1">
      <alignment horizontal="right"/>
    </xf>
    <xf numFmtId="165" fontId="10" fillId="21" borderId="0" xfId="19" applyNumberFormat="1" applyFont="1" applyFill="1" applyBorder="1"/>
    <xf numFmtId="165" fontId="14" fillId="21" borderId="0" xfId="19" applyNumberFormat="1" applyFont="1" applyFill="1" applyBorder="1"/>
    <xf numFmtId="1" fontId="6" fillId="4" borderId="0" xfId="19" applyNumberFormat="1" applyFont="1" applyFill="1" applyBorder="1"/>
    <xf numFmtId="165" fontId="36" fillId="0" borderId="47" xfId="19" applyNumberFormat="1" applyFont="1" applyFill="1" applyBorder="1"/>
    <xf numFmtId="170" fontId="115" fillId="3" borderId="0" xfId="19" applyNumberFormat="1" applyFont="1" applyFill="1" applyBorder="1"/>
    <xf numFmtId="170" fontId="115" fillId="0" borderId="0" xfId="27" applyNumberFormat="1" applyFont="1" applyFill="1" applyBorder="1"/>
    <xf numFmtId="170" fontId="116" fillId="4" borderId="0" xfId="19" applyNumberFormat="1" applyFont="1" applyFill="1" applyBorder="1"/>
    <xf numFmtId="170" fontId="116" fillId="4" borderId="0" xfId="8" applyNumberFormat="1" applyFont="1" applyFill="1" applyBorder="1"/>
    <xf numFmtId="1" fontId="46" fillId="8" borderId="10" xfId="19" applyNumberFormat="1" applyFont="1" applyFill="1" applyBorder="1"/>
    <xf numFmtId="1" fontId="110" fillId="8" borderId="10" xfId="19" applyNumberFormat="1" applyFont="1" applyFill="1" applyBorder="1"/>
    <xf numFmtId="166" fontId="111" fillId="4" borderId="0" xfId="19" applyNumberFormat="1" applyFont="1" applyFill="1" applyBorder="1"/>
    <xf numFmtId="166" fontId="25" fillId="0" borderId="70" xfId="8" applyNumberFormat="1" applyFont="1" applyFill="1" applyBorder="1"/>
    <xf numFmtId="0" fontId="15" fillId="4" borderId="0" xfId="19" applyFont="1" applyFill="1" applyBorder="1" applyAlignment="1">
      <alignment vertical="top"/>
    </xf>
    <xf numFmtId="165" fontId="10" fillId="0" borderId="43" xfId="0" applyNumberFormat="1" applyFont="1" applyFill="1" applyBorder="1"/>
    <xf numFmtId="165" fontId="10" fillId="0" borderId="6" xfId="0" applyNumberFormat="1" applyFont="1" applyFill="1" applyBorder="1"/>
    <xf numFmtId="0" fontId="6" fillId="22" borderId="0" xfId="36" applyFont="1" applyFill="1" applyAlignment="1">
      <alignment vertical="top"/>
    </xf>
    <xf numFmtId="0" fontId="6" fillId="22" borderId="0" xfId="15" applyFill="1" applyAlignment="1">
      <alignment vertical="top"/>
    </xf>
    <xf numFmtId="0" fontId="6" fillId="22" borderId="0" xfId="15" applyFill="1"/>
    <xf numFmtId="0" fontId="59" fillId="22" borderId="0" xfId="36" applyFont="1" applyFill="1" applyAlignment="1">
      <alignment horizontal="left" vertical="top"/>
    </xf>
    <xf numFmtId="0" fontId="6" fillId="22" borderId="0" xfId="15" applyFont="1" applyFill="1" applyAlignment="1">
      <alignment vertical="top"/>
    </xf>
    <xf numFmtId="0" fontId="27" fillId="22" borderId="0" xfId="36" applyFont="1" applyFill="1" applyAlignment="1">
      <alignment vertical="top"/>
    </xf>
    <xf numFmtId="0" fontId="0" fillId="22" borderId="0" xfId="0" applyFill="1" applyAlignment="1">
      <alignment vertical="top"/>
    </xf>
    <xf numFmtId="0" fontId="105" fillId="22" borderId="0" xfId="0" applyFont="1" applyFill="1" applyAlignment="1">
      <alignment vertical="top"/>
    </xf>
    <xf numFmtId="0" fontId="117" fillId="22" borderId="0" xfId="0" applyFont="1" applyFill="1" applyAlignment="1">
      <alignment vertical="top"/>
    </xf>
    <xf numFmtId="0" fontId="105" fillId="22" borderId="101" xfId="0" applyFont="1" applyFill="1" applyBorder="1" applyAlignment="1">
      <alignment vertical="top"/>
    </xf>
    <xf numFmtId="9" fontId="105" fillId="22" borderId="101" xfId="0" applyNumberFormat="1" applyFont="1" applyFill="1" applyBorder="1" applyAlignment="1">
      <alignment vertical="top"/>
    </xf>
    <xf numFmtId="3" fontId="105" fillId="22" borderId="101" xfId="0" applyNumberFormat="1" applyFont="1" applyFill="1" applyBorder="1" applyAlignment="1">
      <alignment vertical="top"/>
    </xf>
    <xf numFmtId="2" fontId="6" fillId="0" borderId="0" xfId="15" applyNumberFormat="1" applyAlignment="1">
      <alignment horizontal="left"/>
    </xf>
    <xf numFmtId="0" fontId="6" fillId="0" borderId="0" xfId="15" applyNumberFormat="1" applyAlignment="1">
      <alignment horizontal="left"/>
    </xf>
    <xf numFmtId="1" fontId="6" fillId="0" borderId="0" xfId="15" applyNumberFormat="1" applyAlignment="1">
      <alignment horizontal="left"/>
    </xf>
    <xf numFmtId="0" fontId="6" fillId="0" borderId="0" xfId="15" applyFont="1"/>
    <xf numFmtId="201" fontId="6" fillId="0" borderId="0" xfId="15" applyNumberFormat="1" applyAlignment="1">
      <alignment horizontal="left"/>
    </xf>
    <xf numFmtId="49" fontId="6" fillId="0" borderId="0" xfId="15" applyNumberFormat="1"/>
    <xf numFmtId="0" fontId="0" fillId="22" borderId="105" xfId="0" applyFill="1" applyBorder="1" applyAlignment="1">
      <alignment vertical="top"/>
    </xf>
    <xf numFmtId="0" fontId="105" fillId="22" borderId="0" xfId="0" applyFont="1" applyFill="1" applyAlignment="1">
      <alignment vertical="top"/>
    </xf>
    <xf numFmtId="0" fontId="105" fillId="22" borderId="102" xfId="0" applyFont="1" applyFill="1" applyBorder="1" applyAlignment="1">
      <alignment vertical="top"/>
    </xf>
    <xf numFmtId="0" fontId="105" fillId="22" borderId="103" xfId="0" applyFont="1" applyFill="1" applyBorder="1" applyAlignment="1">
      <alignment vertical="top"/>
    </xf>
    <xf numFmtId="0" fontId="105" fillId="22" borderId="104" xfId="0" applyFont="1" applyFill="1" applyBorder="1" applyAlignment="1">
      <alignment vertical="top"/>
    </xf>
    <xf numFmtId="0" fontId="117" fillId="22" borderId="0" xfId="0" applyFont="1" applyFill="1" applyAlignment="1">
      <alignment vertical="top"/>
    </xf>
    <xf numFmtId="0" fontId="0" fillId="22" borderId="0" xfId="0" applyFill="1" applyAlignment="1">
      <alignment vertical="top"/>
    </xf>
    <xf numFmtId="0" fontId="0" fillId="22" borderId="99" xfId="0" applyFill="1" applyBorder="1" applyAlignment="1">
      <alignment vertical="top"/>
    </xf>
    <xf numFmtId="0" fontId="34" fillId="19" borderId="0" xfId="0" applyFont="1" applyFill="1" applyBorder="1" applyAlignment="1">
      <alignment horizontal="center"/>
    </xf>
    <xf numFmtId="0" fontId="16" fillId="0" borderId="0" xfId="21" applyFont="1" applyAlignment="1">
      <alignment horizontal="center"/>
    </xf>
    <xf numFmtId="0" fontId="63" fillId="13" borderId="75" xfId="16" applyFont="1" applyFill="1" applyBorder="1" applyAlignment="1">
      <alignment horizontal="left" wrapText="1"/>
    </xf>
    <xf numFmtId="0" fontId="91" fillId="3" borderId="0" xfId="16" applyFont="1" applyFill="1" applyBorder="1" applyAlignment="1">
      <alignment horizontal="center" wrapText="1"/>
    </xf>
    <xf numFmtId="0" fontId="73" fillId="0" borderId="0" xfId="16" applyFont="1" applyBorder="1" applyAlignment="1">
      <alignment horizontal="center" wrapText="1"/>
    </xf>
    <xf numFmtId="0" fontId="94" fillId="0" borderId="0" xfId="16" applyFont="1" applyBorder="1"/>
    <xf numFmtId="0" fontId="73" fillId="0" borderId="0" xfId="23" applyFont="1" applyBorder="1" applyAlignment="1">
      <alignment horizontal="center" wrapText="1"/>
    </xf>
    <xf numFmtId="0" fontId="91" fillId="3" borderId="0" xfId="23" applyFont="1" applyFill="1" applyBorder="1" applyAlignment="1">
      <alignment horizontal="center" wrapText="1"/>
    </xf>
    <xf numFmtId="0" fontId="63" fillId="13" borderId="75" xfId="23" applyFont="1" applyFill="1" applyBorder="1" applyAlignment="1">
      <alignment horizontal="left" wrapText="1"/>
    </xf>
  </cellXfs>
  <cellStyles count="37">
    <cellStyle name=" 1" xfId="1"/>
    <cellStyle name="_SUMMARY " xfId="2"/>
    <cellStyle name="0_Capex &amp; Depreciation " xfId="3"/>
    <cellStyle name="0_Valuing BP " xfId="4"/>
    <cellStyle name="c_HardInc " xfId="5"/>
    <cellStyle name="Comma" xfId="6" builtinId="3"/>
    <cellStyle name="Comma 2" xfId="7"/>
    <cellStyle name="Comma_CP.US.Model.Template" xfId="8"/>
    <cellStyle name="Comma_NSC.PensionAnalyzer_US_NEW" xfId="9"/>
    <cellStyle name="Comma_Pensions Module Europe FAS87" xfId="10"/>
    <cellStyle name="Comma_Pensions Module Europe FAS87 2" xfId="11"/>
    <cellStyle name="Currency" xfId="12" builtinId="4"/>
    <cellStyle name="Currency 2" xfId="13"/>
    <cellStyle name="Currency_CP.US.Model.Template" xfId="14"/>
    <cellStyle name="Normal" xfId="0" builtinId="0"/>
    <cellStyle name="Normal 2" xfId="15"/>
    <cellStyle name="Normal 3" xfId="16"/>
    <cellStyle name="Normal_299650.GOOG.O" xfId="17"/>
    <cellStyle name="Normal_CP.Model.new.Liz" xfId="18"/>
    <cellStyle name="Normal_CP.US.Model.Template" xfId="19"/>
    <cellStyle name="Normal_DisclaimerSheet Samples" xfId="36"/>
    <cellStyle name="Normal_Inc Statement" xfId="20"/>
    <cellStyle name="Normal_KNX.Model.New" xfId="21"/>
    <cellStyle name="Normal_Model" xfId="22"/>
    <cellStyle name="Normal_NSC.PensionAnalyzer_US_NEW" xfId="23"/>
    <cellStyle name="Normal_Nscqq modelware" xfId="24"/>
    <cellStyle name="Normal_psw18vwall" xfId="25"/>
    <cellStyle name="p " xfId="26"/>
    <cellStyle name="Percent" xfId="27" builtinId="5"/>
    <cellStyle name="Percent 2" xfId="28"/>
    <cellStyle name="Percent 3" xfId="29"/>
    <cellStyle name="RRSInstruction" xfId="30"/>
    <cellStyle name="s_HardInc " xfId="31"/>
    <cellStyle name="s_Valuation " xfId="32"/>
    <cellStyle name="ssp " xfId="33"/>
    <cellStyle name="Style 1 2" xfId="34"/>
    <cellStyle name="Style 32_LeaseT(1)" xfId="3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                                                                                                           #NAME?                                                                                                           </v>
        <stp/>
        <stp>aa1d6d86-53fe-4573-95f2-e8b391724d3a</stp>
        <tr r="CD44" s="453"/>
      </tp>
      <tp t="s">
        <v>#NAME?</v>
        <stp/>
        <stp>3d9a61c1-67d4-42df-ae45-a053191db127</stp>
        <tr r="BC37" s="453"/>
      </tp>
      <tp t="s">
        <v xml:space="preserve">                                                                                                           #NAME?                                                                                                           </v>
        <stp/>
        <stp>35e1124c-3e2d-43d4-a51e-d4583649393f</stp>
        <tr r="CC44" s="453"/>
      </tp>
      <tp t="s">
        <v>#NAME?</v>
        <stp/>
        <stp>275bca01-f660-4dc0-95ad-3ca6600238f6</stp>
        <tr r="BC22" s="453"/>
      </tp>
      <tp t="s">
        <v xml:space="preserve">                                                                                                           #NAME?                                                                                                           </v>
        <stp/>
        <stp>31e0189b-ae3e-44ce-9315-bae3da26b634</stp>
        <tr r="CA44" s="453"/>
      </tp>
      <tp t="s">
        <v>#NAME?</v>
        <stp/>
        <stp>0a4ad817-0ab4-4a14-a3f9-24d0d2c8875d</stp>
        <tr r="BC26" s="453"/>
      </tp>
      <tp t="s">
        <v xml:space="preserve">                                                                                                           #NAME?                                                                                                           </v>
        <stp/>
        <stp>aaca1e8a-19a0-4146-bfd7-67b4fc0dd8d8</stp>
        <tr r="CB44" s="453"/>
      </tp>
      <tp t="s">
        <v>#NAME?</v>
        <stp/>
        <stp>40d2d484-c008-49ec-a0ec-abf3752899c9</stp>
        <tr r="BC19" s="453"/>
      </tp>
      <tp t="s">
        <v xml:space="preserve">                                                                                                           #NAME?                                                                                                           </v>
        <stp/>
        <stp>2d8eaa2f-25d2-4761-8414-b1074b847ec5</stp>
        <tr r="CE44" s="453"/>
      </tp>
      <tp t="s">
        <v>#NAME?</v>
        <stp/>
        <stp>9c6435a1-6d8d-446c-be9f-7315637279f9</stp>
        <tr r="BC11" s="453"/>
      </tp>
      <tp t="s">
        <v>#NAME?</v>
        <stp/>
        <stp>b7253fcf-8d56-42cd-a00b-098f7af52ce0</stp>
        <tr r="BC35" s="453"/>
      </tp>
      <tp t="s">
        <v xml:space="preserve">                                                                                                           #NAME?                                                                                                           </v>
        <stp/>
        <stp>876c92c6-bf89-4eca-97ef-4bad01561662</stp>
        <tr r="BZ44" s="453"/>
      </tp>
      <tp t="s">
        <v>#NAME?</v>
        <stp/>
        <stp>495cef0a-6c29-43d6-9005-e1b87b52ef18</stp>
        <tr r="BC38" s="453"/>
      </tp>
      <tp t="s">
        <v>#NAME?</v>
        <stp/>
        <stp>ad8758e5-f9f2-4f6b-8af8-2b850bc8dc54</stp>
        <tr r="J3" s="453"/>
      </tp>
      <tp t="s">
        <v>#NAME?</v>
        <stp/>
        <stp>76d0f5a9-3f85-4f12-8e41-308e83fcaece</stp>
        <tr r="AW19" s="453"/>
      </tp>
      <tp t="s">
        <v xml:space="preserve">                                                                                                           #NAME?                                                                                                           </v>
        <stp/>
        <stp>bdc8b27e-3b12-43dd-833a-faaaab183a99</stp>
        <tr r="CF44" s="453"/>
      </tp>
      <tp t="s">
        <v>#NAME?</v>
        <stp/>
        <stp>c2051c22-d75f-438d-af39-accd94e35d08</stp>
        <tr r="BC29" s="453"/>
      </tp>
      <tp t="s">
        <v>#NAME?</v>
        <stp/>
        <stp>d4a11c49-ad49-48ab-ab5e-0294e346a2be</stp>
        <tr r="BC21" s="453"/>
      </tp>
      <tp t="s">
        <v>#NAME?</v>
        <stp/>
        <stp>387095c1-b756-44f7-9977-8f82289e8e44</stp>
        <tr r="BC42" s="453"/>
      </tp>
      <tp t="s">
        <v>#NAME?</v>
        <stp/>
        <stp>60029e37-2fe3-417d-be3a-0b83458aa340</stp>
        <tr r="BC20" s="453"/>
      </tp>
      <tp t="s">
        <v>#NAME?</v>
        <stp/>
        <stp>72aae102-cf3e-4025-ade4-913ee166afc6</stp>
        <tr r="BC8" s="45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externalLinks/externalLink5.xml" Type="http://schemas.openxmlformats.org/officeDocument/2006/relationships/externalLink"/>
<Relationship Id="rId18" Target="externalLinks/externalLink6.xml" Type="http://schemas.openxmlformats.org/officeDocument/2006/relationships/externalLink"/>
<Relationship Id="rId19" Target="externalLinks/externalLink7.xml" Type="http://schemas.openxmlformats.org/officeDocument/2006/relationships/externalLink"/>
<Relationship Id="rId2" Target="worksheets/sheet2.xml" Type="http://schemas.openxmlformats.org/officeDocument/2006/relationships/worksheet"/>
<Relationship Id="rId20" Target="theme/theme1.xml" Type="http://schemas.openxmlformats.org/officeDocument/2006/relationships/theme"/>
<Relationship Id="rId21" Target="styles.xml" Type="http://schemas.openxmlformats.org/officeDocument/2006/relationships/styles"/>
<Relationship Id="rId22" Target="sharedStrings.xml" Type="http://schemas.openxmlformats.org/officeDocument/2006/relationships/sharedStrings"/>
<Relationship Id="rId23" Target="calcChain.xml" Type="http://schemas.openxmlformats.org/officeDocument/2006/relationships/calcChain"/>
<Relationship Id="rId24" Target="../customXml/item1.xml" Type="http://schemas.openxmlformats.org/officeDocument/2006/relationships/customXml"/>
<Relationship Id="rId25" Target="../customXml/item2.xml" Type="http://schemas.openxmlformats.org/officeDocument/2006/relationships/customXml"/>
<Relationship Id="rId26" Target="volatileDependencies.xml" Type="http://schemas.openxmlformats.org/officeDocument/2006/relationships/volatileDependencies"/>
<Relationship Id="rId27"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'Fuel On-highway'!$F$840:$F$917</c:f>
              <c:numCache>
                <c:formatCode>0.000</c:formatCode>
                <c:ptCount val="78"/>
                <c:pt idx="0">
                  <c:v>2.2109999999999999</c:v>
                </c:pt>
                <c:pt idx="1">
                  <c:v>2.177</c:v>
                </c:pt>
                <c:pt idx="2">
                  <c:v>2.1120000000000001</c:v>
                </c:pt>
                <c:pt idx="3">
                  <c:v>2.0710000000000002</c:v>
                </c:pt>
                <c:pt idx="4">
                  <c:v>2.0310000000000001</c:v>
                </c:pt>
                <c:pt idx="5">
                  <c:v>2.008</c:v>
                </c:pt>
                <c:pt idx="6">
                  <c:v>1.98</c:v>
                </c:pt>
                <c:pt idx="7">
                  <c:v>1.9830000000000001</c:v>
                </c:pt>
                <c:pt idx="8">
                  <c:v>1.9890000000000001</c:v>
                </c:pt>
                <c:pt idx="9">
                  <c:v>2.0209999999999999</c:v>
                </c:pt>
                <c:pt idx="10">
                  <c:v>2.0990000000000002</c:v>
                </c:pt>
                <c:pt idx="11">
                  <c:v>2.1190000000000002</c:v>
                </c:pt>
                <c:pt idx="12">
                  <c:v>2.121</c:v>
                </c:pt>
                <c:pt idx="13">
                  <c:v>2.1150000000000002</c:v>
                </c:pt>
                <c:pt idx="14">
                  <c:v>2.1280000000000001</c:v>
                </c:pt>
                <c:pt idx="15">
                  <c:v>2.165</c:v>
                </c:pt>
                <c:pt idx="16">
                  <c:v>2.198</c:v>
                </c:pt>
                <c:pt idx="17">
                  <c:v>2.266</c:v>
                </c:pt>
                <c:pt idx="18">
                  <c:v>2.2709999999999999</c:v>
                </c:pt>
                <c:pt idx="19">
                  <c:v>2.2970000000000002</c:v>
                </c:pt>
                <c:pt idx="20">
                  <c:v>2.3570000000000002</c:v>
                </c:pt>
                <c:pt idx="21">
                  <c:v>2.3820000000000001</c:v>
                </c:pt>
                <c:pt idx="22">
                  <c:v>2.407</c:v>
                </c:pt>
                <c:pt idx="23">
                  <c:v>2.431</c:v>
                </c:pt>
                <c:pt idx="24">
                  <c:v>2.4260000000000002</c:v>
                </c:pt>
                <c:pt idx="25">
                  <c:v>2.4260000000000002</c:v>
                </c:pt>
                <c:pt idx="26">
                  <c:v>2.423</c:v>
                </c:pt>
                <c:pt idx="27">
                  <c:v>2.4140000000000001</c:v>
                </c:pt>
                <c:pt idx="28">
                  <c:v>2.4020000000000001</c:v>
                </c:pt>
                <c:pt idx="29">
                  <c:v>2.379</c:v>
                </c:pt>
                <c:pt idx="30">
                  <c:v>2.3479999999999999</c:v>
                </c:pt>
                <c:pt idx="31">
                  <c:v>2.3159999999999998</c:v>
                </c:pt>
                <c:pt idx="32">
                  <c:v>2.31</c:v>
                </c:pt>
                <c:pt idx="33">
                  <c:v>2.37</c:v>
                </c:pt>
                <c:pt idx="34">
                  <c:v>2.4089999999999998</c:v>
                </c:pt>
                <c:pt idx="35">
                  <c:v>2.407</c:v>
                </c:pt>
                <c:pt idx="36">
                  <c:v>2.399</c:v>
                </c:pt>
                <c:pt idx="37">
                  <c:v>2.3889999999999998</c:v>
                </c:pt>
                <c:pt idx="38">
                  <c:v>2.3820000000000001</c:v>
                </c:pt>
                <c:pt idx="39">
                  <c:v>2.3889999999999998</c:v>
                </c:pt>
                <c:pt idx="40">
                  <c:v>2.4449999999999998</c:v>
                </c:pt>
                <c:pt idx="41">
                  <c:v>2.4809999999999999</c:v>
                </c:pt>
                <c:pt idx="42">
                  <c:v>2.4780000000000002</c:v>
                </c:pt>
                <c:pt idx="43">
                  <c:v>2.4790000000000001</c:v>
                </c:pt>
                <c:pt idx="44">
                  <c:v>2.4700000000000002</c:v>
                </c:pt>
                <c:pt idx="45">
                  <c:v>2.4430000000000001</c:v>
                </c:pt>
                <c:pt idx="46">
                  <c:v>2.4209999999999998</c:v>
                </c:pt>
                <c:pt idx="47">
                  <c:v>2.42</c:v>
                </c:pt>
                <c:pt idx="48">
                  <c:v>2.48</c:v>
                </c:pt>
                <c:pt idx="49">
                  <c:v>2.4929999999999999</c:v>
                </c:pt>
                <c:pt idx="50">
                  <c:v>2.5270000000000001</c:v>
                </c:pt>
                <c:pt idx="51">
                  <c:v>2.54</c:v>
                </c:pt>
                <c:pt idx="52">
                  <c:v>2.5859999999999999</c:v>
                </c:pt>
                <c:pt idx="53">
                  <c:v>2.597</c:v>
                </c:pt>
                <c:pt idx="54">
                  <c:v>2.585</c:v>
                </c:pt>
                <c:pt idx="55">
                  <c:v>2.569</c:v>
                </c:pt>
                <c:pt idx="56">
                  <c:v>2.5619999999999998</c:v>
                </c:pt>
                <c:pt idx="57">
                  <c:v>2.5579999999999998</c:v>
                </c:pt>
                <c:pt idx="58">
                  <c:v>2.5649999999999999</c:v>
                </c:pt>
                <c:pt idx="59">
                  <c:v>2.5720000000000001</c:v>
                </c:pt>
                <c:pt idx="60">
                  <c:v>2.577</c:v>
                </c:pt>
                <c:pt idx="61">
                  <c:v>2.5790000000000002</c:v>
                </c:pt>
                <c:pt idx="62">
                  <c:v>2.5640000000000001</c:v>
                </c:pt>
                <c:pt idx="63">
                  <c:v>2.5390000000000001</c:v>
                </c:pt>
                <c:pt idx="64">
                  <c:v>2.532</c:v>
                </c:pt>
                <c:pt idx="65">
                  <c:v>2.556</c:v>
                </c:pt>
                <c:pt idx="66">
                  <c:v>2.5819999999999999</c:v>
                </c:pt>
                <c:pt idx="67">
                  <c:v>2.597</c:v>
                </c:pt>
                <c:pt idx="68">
                  <c:v>2.5950000000000002</c:v>
                </c:pt>
                <c:pt idx="69">
                  <c:v>2.5830000000000002</c:v>
                </c:pt>
                <c:pt idx="70">
                  <c:v>2.5649999999999999</c:v>
                </c:pt>
                <c:pt idx="71">
                  <c:v>2.544</c:v>
                </c:pt>
                <c:pt idx="72">
                  <c:v>2.5390000000000001</c:v>
                </c:pt>
                <c:pt idx="73">
                  <c:v>2.5710000000000002</c:v>
                </c:pt>
                <c:pt idx="74">
                  <c:v>2.5640000000000001</c:v>
                </c:pt>
                <c:pt idx="75">
                  <c:v>2.524</c:v>
                </c:pt>
                <c:pt idx="76">
                  <c:v>2.4889999999999999</c:v>
                </c:pt>
                <c:pt idx="77">
                  <c:v>2.4649999999999999</c:v>
                </c:pt>
              </c:numCache>
            </c:numRef>
          </c:val>
          <c:smooth val="0"/>
        </c:ser>
        <c:dLbls>
          <c:showLegendKey val="0"/>
          <c:showVal val="0"/>
          <c:showCatName val="0"/>
          <c:showSerName val="0"/>
          <c:showPercent val="0"/>
          <c:showBubbleSize val="0"/>
        </c:dLbls>
        <c:marker val="1"/>
        <c:smooth val="0"/>
        <c:axId val="377870208"/>
        <c:axId val="377871744"/>
      </c:lineChart>
      <c:catAx>
        <c:axId val="37787020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77871744"/>
        <c:crosses val="autoZero"/>
        <c:auto val="1"/>
        <c:lblAlgn val="ctr"/>
        <c:lblOffset val="100"/>
        <c:noMultiLvlLbl val="0"/>
      </c:catAx>
      <c:valAx>
        <c:axId val="377871744"/>
        <c:scaling>
          <c:orientation val="minMax"/>
          <c:min val="1.9000000000000001"/>
        </c:scaling>
        <c:delete val="0"/>
        <c:axPos val="l"/>
        <c:majorGridlines/>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7787020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45475754924575"/>
          <c:y val="6.7829457364341081E-2"/>
          <c:w val="0.80202178429171456"/>
          <c:h val="0.7684108527131783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26789721851319614"/>
                  <c:y val="-0.57968992248062012"/>
                </c:manualLayout>
              </c:layout>
              <c:numFmt formatCode="General" sourceLinked="0"/>
              <c:spPr>
                <a:noFill/>
                <a:ln w="25400">
                  <a:noFill/>
                </a:ln>
              </c:spPr>
              <c:txPr>
                <a:bodyPr/>
                <a:lstStyle/>
                <a:p>
                  <a:pPr>
                    <a:defRPr sz="1000" b="1" i="0" u="none" strike="noStrike" baseline="0">
                      <a:solidFill>
                        <a:srgbClr val="000000"/>
                      </a:solidFill>
                      <a:latin typeface="Arial"/>
                      <a:ea typeface="Arial"/>
                      <a:cs typeface="Arial"/>
                    </a:defRPr>
                  </a:pPr>
                  <a:endParaRPr lang="en-US"/>
                </a:p>
              </c:txPr>
            </c:trendlineLbl>
          </c:trendline>
          <c:xVal>
            <c:numRef>
              <c:f>'Fuel WTI'!$BN$5:$DB$5</c:f>
              <c:numCache>
                <c:formatCode>"$"#,##0.000</c:formatCode>
                <c:ptCount val="38"/>
                <c:pt idx="0">
                  <c:v>76.813846153846143</c:v>
                </c:pt>
                <c:pt idx="1">
                  <c:v>80.776153846153846</c:v>
                </c:pt>
                <c:pt idx="2">
                  <c:v>75.113076923076918</c:v>
                </c:pt>
                <c:pt idx="3">
                  <c:v>77.843846153846144</c:v>
                </c:pt>
                <c:pt idx="4" formatCode="&quot;$&quot;#,##0.00_);\(&quot;$&quot;#,##0.00\)">
                  <c:v>87.455384615384602</c:v>
                </c:pt>
                <c:pt idx="5" formatCode="&quot;$&quot;#,##0.00_);\(&quot;$&quot;#,##0.00\)">
                  <c:v>100.53384615384613</c:v>
                </c:pt>
                <c:pt idx="6" formatCode="&quot;$&quot;#,##0.00_);\(&quot;$&quot;#,##0.00\)">
                  <c:v>98.166923076923084</c:v>
                </c:pt>
                <c:pt idx="7" formatCode="&quot;$&quot;#,##0.00_);\(&quot;$&quot;#,##0.00\)">
                  <c:v>85.983846153846144</c:v>
                </c:pt>
                <c:pt idx="8" formatCode="&quot;$&quot;#,##0.00_);\(&quot;$&quot;#,##0.00\)">
                  <c:v>98.626153846153841</c:v>
                </c:pt>
                <c:pt idx="9" formatCode="&quot;$&quot;#,##0.00_);\(&quot;$&quot;#,##0.00\)">
                  <c:v>103.83000000000001</c:v>
                </c:pt>
                <c:pt idx="10" formatCode="&quot;$&quot;#,##0.00_);\(&quot;$&quot;#,##0.00\)">
                  <c:v>88.560000000000016</c:v>
                </c:pt>
                <c:pt idx="11" formatCode="&quot;$&quot;#,##0.00_);\(&quot;$&quot;#,##0.00\)">
                  <c:v>92.848461538461535</c:v>
                </c:pt>
                <c:pt idx="12" formatCode="&quot;$&quot;#,##0.00_);\(&quot;$&quot;#,##0.00\)">
                  <c:v>89.201538461538476</c:v>
                </c:pt>
                <c:pt idx="13" formatCode="&quot;$&quot;#,##0.00_);\(&quot;$&quot;#,##0.00\)">
                  <c:v>93.637692307692305</c:v>
                </c:pt>
                <c:pt idx="14" formatCode="&quot;$&quot;#,##0.00_);\(&quot;$&quot;#,##0.00\)">
                  <c:v>97.936153846153857</c:v>
                </c:pt>
                <c:pt idx="15" formatCode="&quot;$&quot;#,##0.00_);\(&quot;$&quot;#,##0.00\)">
                  <c:v>104.27142857142859</c:v>
                </c:pt>
                <c:pt idx="16" formatCode="&quot;$&quot;#,##0.00_);\(&quot;$&quot;#,##0.00\)">
                  <c:v>96.261703296703303</c:v>
                </c:pt>
                <c:pt idx="17" formatCode="&quot;$&quot;#,##0.00_);\(&quot;$&quot;#,##0.00\)">
                  <c:v>95.303333333333327</c:v>
                </c:pt>
                <c:pt idx="18" formatCode="&quot;$&quot;#,##0.00_);\(&quot;$&quot;#,##0.00\)">
                  <c:v>101.02076923076922</c:v>
                </c:pt>
                <c:pt idx="19" formatCode="&quot;$&quot;#,##0.00_);\(&quot;$&quot;#,##0.00\)">
                  <c:v>103.66357142857143</c:v>
                </c:pt>
                <c:pt idx="20" formatCode="&quot;$&quot;#,##0.00_);\(&quot;$&quot;#,##0.00\)">
                  <c:v>91.106923076923067</c:v>
                </c:pt>
                <c:pt idx="21" formatCode="&quot;$&quot;#,##0.00_);\(&quot;$&quot;#,##0.00\)">
                  <c:v>97.773649267399264</c:v>
                </c:pt>
                <c:pt idx="22" formatCode="&quot;$&quot;#,##0.00_);\(&quot;$&quot;#,##0.00\)">
                  <c:v>60.256153846153858</c:v>
                </c:pt>
                <c:pt idx="23" formatCode="&quot;$&quot;#,##0.00_);\(&quot;$&quot;#,##0.00\)">
                  <c:v>51.023076923076921</c:v>
                </c:pt>
                <c:pt idx="24" formatCode="&quot;$&quot;#,##0.00_);\(&quot;$&quot;#,##0.00\)">
                  <c:v>56.585384615384605</c:v>
                </c:pt>
                <c:pt idx="25" formatCode="&quot;$&quot;#,##0.00_);\(&quot;$&quot;#,##0.00\)">
                  <c:v>44.883076923076928</c:v>
                </c:pt>
                <c:pt idx="26" formatCode="&quot;$&quot;#,##0.00_);\(&quot;$&quot;#,##0.00\)">
                  <c:v>53.18692307692308</c:v>
                </c:pt>
                <c:pt idx="27" formatCode="&quot;$&quot;#,##0.00_);\(&quot;$&quot;#,##0.00\)">
                  <c:v>37.106923076923074</c:v>
                </c:pt>
                <c:pt idx="28" formatCode="&quot;$&quot;#,##0.00_);\(&quot;$&quot;#,##0.00\)">
                  <c:v>36.273846153846151</c:v>
                </c:pt>
                <c:pt idx="29" formatCode="&quot;$&quot;#,##0.00_);\(&quot;$&quot;#,##0.00\)">
                  <c:v>46.796923076923079</c:v>
                </c:pt>
                <c:pt idx="30" formatCode="&quot;$&quot;#,##0.00_);\(&quot;$&quot;#,##0.00\)">
                  <c:v>46.490769230769232</c:v>
                </c:pt>
                <c:pt idx="31" formatCode="&quot;$&quot;#,##0.00_);\(&quot;$&quot;#,##0.00\)">
                  <c:v>41.667115384615386</c:v>
                </c:pt>
                <c:pt idx="32" formatCode="&quot;$&quot;#,##0.00_);\(&quot;$&quot;#,##0.00\)">
                  <c:v>49.965384615384622</c:v>
                </c:pt>
                <c:pt idx="33" formatCode="&quot;$&quot;#,##0.00_);\(&quot;$&quot;#,##0.00\)">
                  <c:v>51.279230769230757</c:v>
                </c:pt>
                <c:pt idx="34" formatCode="&quot;$&quot;#,##0.00_);\(&quot;$&quot;#,##0.00\)">
                  <c:v>46.686153846153843</c:v>
                </c:pt>
                <c:pt idx="35" formatCode="&quot;$&quot;#,##0.00_);\(&quot;$&quot;#,##0.00\)">
                  <c:v>49.636153846153846</c:v>
                </c:pt>
                <c:pt idx="36" formatCode="&quot;$&quot;#,##0.00_);\(&quot;$&quot;#,##0.00\)">
                  <c:v>49.391730769230762</c:v>
                </c:pt>
                <c:pt idx="37" formatCode="&quot;$&quot;#,##0.00_);\(&quot;$&quot;#,##0.00\)">
                  <c:v>59.08461538461539</c:v>
                </c:pt>
              </c:numCache>
            </c:numRef>
          </c:xVal>
          <c:yVal>
            <c:numRef>
              <c:f>'Fuel WTI'!$BN$13:$DB$13</c:f>
              <c:numCache>
                <c:formatCode>0.0%</c:formatCode>
                <c:ptCount val="38"/>
                <c:pt idx="0">
                  <c:v>7.6388989088936279E-2</c:v>
                </c:pt>
                <c:pt idx="1">
                  <c:v>8.9423269184385104E-2</c:v>
                </c:pt>
                <c:pt idx="2">
                  <c:v>7.8612209046991649E-2</c:v>
                </c:pt>
                <c:pt idx="3">
                  <c:v>8.4812134343125511E-2</c:v>
                </c:pt>
                <c:pt idx="4">
                  <c:v>0.10501897933361451</c:v>
                </c:pt>
                <c:pt idx="5">
                  <c:v>0.144322825207683</c:v>
                </c:pt>
                <c:pt idx="6">
                  <c:v>0.14144606874753063</c:v>
                </c:pt>
                <c:pt idx="7">
                  <c:v>0.11434262948207172</c:v>
                </c:pt>
                <c:pt idx="8">
                  <c:v>0.13189935064935066</c:v>
                </c:pt>
                <c:pt idx="9">
                  <c:v>0.14547628537265844</c:v>
                </c:pt>
                <c:pt idx="10">
                  <c:v>0.11882010801828001</c:v>
                </c:pt>
                <c:pt idx="11">
                  <c:v>0.12678421494542402</c:v>
                </c:pt>
                <c:pt idx="12">
                  <c:v>0.1112012987012987</c:v>
                </c:pt>
                <c:pt idx="13">
                  <c:v>0.12259615384615384</c:v>
                </c:pt>
                <c:pt idx="14">
                  <c:v>0.12824610467439074</c:v>
                </c:pt>
                <c:pt idx="15">
                  <c:v>0.13963607594936708</c:v>
                </c:pt>
                <c:pt idx="16">
                  <c:v>0.12551296166549894</c:v>
                </c:pt>
                <c:pt idx="17">
                  <c:v>0.12322472848788638</c:v>
                </c:pt>
                <c:pt idx="18">
                  <c:v>0.13338301043219075</c:v>
                </c:pt>
                <c:pt idx="19">
                  <c:v>0.13860640301318267</c:v>
                </c:pt>
                <c:pt idx="20">
                  <c:v>0.12021857923497267</c:v>
                </c:pt>
                <c:pt idx="21">
                  <c:v>0.12909179213210295</c:v>
                </c:pt>
                <c:pt idx="22">
                  <c:v>6.7803660565723789E-2</c:v>
                </c:pt>
                <c:pt idx="23">
                  <c:v>4.5875096376252894E-2</c:v>
                </c:pt>
                <c:pt idx="24">
                  <c:v>4.3461538461538461E-2</c:v>
                </c:pt>
                <c:pt idx="25">
                  <c:v>3.3661740558292283E-2</c:v>
                </c:pt>
                <c:pt idx="26">
                  <c:v>4.7538369543551923E-2</c:v>
                </c:pt>
                <c:pt idx="27">
                  <c:v>2.0666385491353859E-2</c:v>
                </c:pt>
                <c:pt idx="28">
                  <c:v>2.0798668885191347E-2</c:v>
                </c:pt>
                <c:pt idx="29">
                  <c:v>2.726902726902727E-2</c:v>
                </c:pt>
                <c:pt idx="30">
                  <c:v>2.8925619834710745E-2</c:v>
                </c:pt>
                <c:pt idx="31">
                  <c:v>2.4450891007045172E-2</c:v>
                </c:pt>
                <c:pt idx="32">
                  <c:v>3.2064128256513023E-2</c:v>
                </c:pt>
                <c:pt idx="33">
                  <c:v>3.3307210031347963E-2</c:v>
                </c:pt>
                <c:pt idx="34">
                  <c:v>3.248259860788863E-2</c:v>
                </c:pt>
                <c:pt idx="35">
                  <c:v>4.2985541227041811E-2</c:v>
                </c:pt>
                <c:pt idx="36">
                  <c:v>3.5223704866562011E-2</c:v>
                </c:pt>
                <c:pt idx="37">
                  <c:v>5.0657385924207272E-2</c:v>
                </c:pt>
              </c:numCache>
            </c:numRef>
          </c:yVal>
          <c:smooth val="0"/>
        </c:ser>
        <c:dLbls>
          <c:showLegendKey val="0"/>
          <c:showVal val="0"/>
          <c:showCatName val="0"/>
          <c:showSerName val="0"/>
          <c:showPercent val="0"/>
          <c:showBubbleSize val="0"/>
        </c:dLbls>
        <c:axId val="630054912"/>
        <c:axId val="630056832"/>
      </c:scatterChart>
      <c:valAx>
        <c:axId val="63005491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WTI $/Barrel (2-month lag)</a:t>
                </a:r>
              </a:p>
            </c:rich>
          </c:tx>
          <c:layout>
            <c:manualLayout>
              <c:xMode val="edge"/>
              <c:yMode val="edge"/>
              <c:x val="0.36983037726344814"/>
              <c:y val="0.938953488372093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630056832"/>
        <c:crosses val="autoZero"/>
        <c:crossBetween val="midCat"/>
      </c:valAx>
      <c:valAx>
        <c:axId val="630056832"/>
        <c:scaling>
          <c:orientation val="minMax"/>
        </c:scaling>
        <c:delete val="0"/>
        <c:axPos val="l"/>
        <c:title>
          <c:tx>
            <c:rich>
              <a:bodyPr/>
              <a:lstStyle/>
              <a:p>
                <a:pPr>
                  <a:defRPr sz="1100" b="1" i="0" u="none" strike="noStrike" baseline="0">
                    <a:solidFill>
                      <a:srgbClr val="000000"/>
                    </a:solidFill>
                    <a:latin typeface="Arial"/>
                    <a:ea typeface="Arial"/>
                    <a:cs typeface="Arial"/>
                  </a:defRPr>
                </a:pPr>
                <a:r>
                  <a:rPr lang="en-US"/>
                  <a:t>FS rev as % of Total rev ex. FS</a:t>
                </a:r>
              </a:p>
            </c:rich>
          </c:tx>
          <c:layout>
            <c:manualLayout>
              <c:xMode val="edge"/>
              <c:yMode val="edge"/>
              <c:x val="1.2189082425302898E-3"/>
              <c:y val="0.141472868217054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630054912"/>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6779341194735"/>
          <c:y val="8.1395348837209308E-2"/>
          <c:w val="0.78388418591923137"/>
          <c:h val="0.75290697674418605"/>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4.808821974176309E-2"/>
                  <c:y val="-0.11131935542940853"/>
                </c:manualLayout>
              </c:layout>
              <c:numFmt formatCode="General"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trendlineLbl>
          </c:trendline>
          <c:xVal>
            <c:numRef>
              <c:f>'Fuel WTI'!$BS$8:$CE$8</c:f>
              <c:numCache>
                <c:formatCode>"$"#,##0.00_);\("$"#,##0.00\)</c:formatCode>
                <c:ptCount val="11"/>
                <c:pt idx="0">
                  <c:v>-17.591346153846175</c:v>
                </c:pt>
                <c:pt idx="1">
                  <c:v>-6.780000000000058</c:v>
                </c:pt>
                <c:pt idx="2">
                  <c:v>25.090054945054959</c:v>
                </c:pt>
                <c:pt idx="3">
                  <c:v>-24.496153846153874</c:v>
                </c:pt>
                <c:pt idx="4">
                  <c:v>-13.100769230769302</c:v>
                </c:pt>
                <c:pt idx="5">
                  <c:v>31.442307692307722</c:v>
                </c:pt>
                <c:pt idx="6">
                  <c:v>-10.689230769230761</c:v>
                </c:pt>
                <c:pt idx="7">
                  <c:v>14.626153846153812</c:v>
                </c:pt>
                <c:pt idx="8">
                  <c:v>-15.318461538461492</c:v>
                </c:pt>
                <c:pt idx="9">
                  <c:v>-1.2000000000000171</c:v>
                </c:pt>
                <c:pt idx="10">
                  <c:v>-23.741538461538411</c:v>
                </c:pt>
              </c:numCache>
            </c:numRef>
          </c:xVal>
          <c:yVal>
            <c:numRef>
              <c:f>'Fuel WTI'!$BS$9:$CE$9</c:f>
              <c:numCache>
                <c:formatCode>"$"#,##0.0_);\("$"#,##0.0\)</c:formatCode>
                <c:ptCount val="11"/>
                <c:pt idx="0">
                  <c:v>-40</c:v>
                </c:pt>
                <c:pt idx="1">
                  <c:v>-11</c:v>
                </c:pt>
                <c:pt idx="2">
                  <c:v>52</c:v>
                </c:pt>
                <c:pt idx="3">
                  <c:v>-46</c:v>
                </c:pt>
                <c:pt idx="4">
                  <c:v>-26</c:v>
                </c:pt>
                <c:pt idx="5">
                  <c:v>61</c:v>
                </c:pt>
                <c:pt idx="6">
                  <c:v>-21</c:v>
                </c:pt>
                <c:pt idx="7">
                  <c:v>25</c:v>
                </c:pt>
                <c:pt idx="8">
                  <c:v>-23</c:v>
                </c:pt>
                <c:pt idx="9">
                  <c:v>-4</c:v>
                </c:pt>
                <c:pt idx="10">
                  <c:v>-41</c:v>
                </c:pt>
              </c:numCache>
            </c:numRef>
          </c:yVal>
          <c:smooth val="0"/>
        </c:ser>
        <c:dLbls>
          <c:showLegendKey val="0"/>
          <c:showVal val="0"/>
          <c:showCatName val="0"/>
          <c:showSerName val="0"/>
          <c:showPercent val="0"/>
          <c:showBubbleSize val="0"/>
        </c:dLbls>
        <c:axId val="641597824"/>
        <c:axId val="642097920"/>
      </c:scatterChart>
      <c:valAx>
        <c:axId val="641597824"/>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Avg. WTI Spread (Current - 2-Month Lag) $/barrel</a:t>
                </a:r>
              </a:p>
            </c:rich>
          </c:tx>
          <c:layout>
            <c:manualLayout>
              <c:xMode val="edge"/>
              <c:yMode val="edge"/>
              <c:x val="0.20696009152702063"/>
              <c:y val="0.872093023255813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42097920"/>
        <c:crosses val="autoZero"/>
        <c:crossBetween val="midCat"/>
      </c:valAx>
      <c:valAx>
        <c:axId val="642097920"/>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Fuel lag (headwind)/tailwind ($ in mm)</a:t>
                </a:r>
              </a:p>
            </c:rich>
          </c:tx>
          <c:layout>
            <c:manualLayout>
              <c:xMode val="edge"/>
              <c:yMode val="edge"/>
              <c:x val="2.9304029304029304E-2"/>
              <c:y val="8.7209302325581398E-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41597824"/>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numRef>
              <c:f>'Fuel WTI'!$D$832:$D$929</c:f>
              <c:numCache>
                <c:formatCode>m/d/yy;@</c:formatCode>
                <c:ptCount val="98"/>
                <c:pt idx="0">
                  <c:v>42374</c:v>
                </c:pt>
                <c:pt idx="1">
                  <c:v>42381</c:v>
                </c:pt>
                <c:pt idx="2">
                  <c:v>42388</c:v>
                </c:pt>
                <c:pt idx="3">
                  <c:v>42395</c:v>
                </c:pt>
                <c:pt idx="4">
                  <c:v>42402</c:v>
                </c:pt>
                <c:pt idx="5">
                  <c:v>42409</c:v>
                </c:pt>
                <c:pt idx="6">
                  <c:v>42416</c:v>
                </c:pt>
                <c:pt idx="7">
                  <c:v>42423</c:v>
                </c:pt>
                <c:pt idx="8">
                  <c:v>42430</c:v>
                </c:pt>
                <c:pt idx="9">
                  <c:v>42437</c:v>
                </c:pt>
                <c:pt idx="10">
                  <c:v>42444</c:v>
                </c:pt>
                <c:pt idx="11">
                  <c:v>42451</c:v>
                </c:pt>
                <c:pt idx="12">
                  <c:v>42458</c:v>
                </c:pt>
                <c:pt idx="13">
                  <c:v>42465</c:v>
                </c:pt>
                <c:pt idx="14">
                  <c:v>42472</c:v>
                </c:pt>
                <c:pt idx="15">
                  <c:v>42479</c:v>
                </c:pt>
                <c:pt idx="16">
                  <c:v>42486</c:v>
                </c:pt>
                <c:pt idx="17">
                  <c:v>42493</c:v>
                </c:pt>
                <c:pt idx="18">
                  <c:v>42500</c:v>
                </c:pt>
                <c:pt idx="19">
                  <c:v>42507</c:v>
                </c:pt>
                <c:pt idx="20">
                  <c:v>42514</c:v>
                </c:pt>
                <c:pt idx="21">
                  <c:v>42521</c:v>
                </c:pt>
                <c:pt idx="22">
                  <c:v>42528</c:v>
                </c:pt>
                <c:pt idx="23">
                  <c:v>42535</c:v>
                </c:pt>
                <c:pt idx="24">
                  <c:v>42542</c:v>
                </c:pt>
                <c:pt idx="25">
                  <c:v>42549</c:v>
                </c:pt>
                <c:pt idx="26">
                  <c:v>42556</c:v>
                </c:pt>
                <c:pt idx="27">
                  <c:v>42563</c:v>
                </c:pt>
                <c:pt idx="28">
                  <c:v>42570</c:v>
                </c:pt>
                <c:pt idx="29">
                  <c:v>42577</c:v>
                </c:pt>
                <c:pt idx="30">
                  <c:v>42584</c:v>
                </c:pt>
                <c:pt idx="31">
                  <c:v>42591</c:v>
                </c:pt>
                <c:pt idx="32">
                  <c:v>42598</c:v>
                </c:pt>
                <c:pt idx="33">
                  <c:v>42605</c:v>
                </c:pt>
                <c:pt idx="34">
                  <c:v>42612</c:v>
                </c:pt>
                <c:pt idx="35">
                  <c:v>42619</c:v>
                </c:pt>
                <c:pt idx="36">
                  <c:v>42626</c:v>
                </c:pt>
                <c:pt idx="37">
                  <c:v>42633</c:v>
                </c:pt>
                <c:pt idx="38">
                  <c:v>42640</c:v>
                </c:pt>
                <c:pt idx="39">
                  <c:v>42647</c:v>
                </c:pt>
                <c:pt idx="40">
                  <c:v>42654</c:v>
                </c:pt>
                <c:pt idx="41">
                  <c:v>42661</c:v>
                </c:pt>
                <c:pt idx="42">
                  <c:v>42668</c:v>
                </c:pt>
                <c:pt idx="43">
                  <c:v>42675</c:v>
                </c:pt>
                <c:pt idx="44">
                  <c:v>42682</c:v>
                </c:pt>
                <c:pt idx="45">
                  <c:v>42689</c:v>
                </c:pt>
                <c:pt idx="46">
                  <c:v>42696</c:v>
                </c:pt>
                <c:pt idx="47">
                  <c:v>42703</c:v>
                </c:pt>
                <c:pt idx="48">
                  <c:v>42710</c:v>
                </c:pt>
                <c:pt idx="49">
                  <c:v>42717</c:v>
                </c:pt>
                <c:pt idx="50">
                  <c:v>42724</c:v>
                </c:pt>
                <c:pt idx="51">
                  <c:v>42731</c:v>
                </c:pt>
                <c:pt idx="52">
                  <c:v>42738</c:v>
                </c:pt>
                <c:pt idx="53">
                  <c:v>42745</c:v>
                </c:pt>
                <c:pt idx="54">
                  <c:v>42752</c:v>
                </c:pt>
                <c:pt idx="55">
                  <c:v>42759</c:v>
                </c:pt>
                <c:pt idx="56">
                  <c:v>42766</c:v>
                </c:pt>
                <c:pt idx="57">
                  <c:v>42773</c:v>
                </c:pt>
                <c:pt idx="58">
                  <c:v>42780</c:v>
                </c:pt>
                <c:pt idx="59">
                  <c:v>42787</c:v>
                </c:pt>
                <c:pt idx="60">
                  <c:v>42794</c:v>
                </c:pt>
                <c:pt idx="61">
                  <c:v>42801</c:v>
                </c:pt>
                <c:pt idx="62">
                  <c:v>42808</c:v>
                </c:pt>
                <c:pt idx="63">
                  <c:v>42815</c:v>
                </c:pt>
                <c:pt idx="64">
                  <c:v>42822</c:v>
                </c:pt>
                <c:pt idx="65">
                  <c:v>42829</c:v>
                </c:pt>
                <c:pt idx="66">
                  <c:v>42836</c:v>
                </c:pt>
                <c:pt idx="67">
                  <c:v>42843</c:v>
                </c:pt>
                <c:pt idx="68">
                  <c:v>42850</c:v>
                </c:pt>
                <c:pt idx="69">
                  <c:v>42857</c:v>
                </c:pt>
                <c:pt idx="70">
                  <c:v>42864</c:v>
                </c:pt>
                <c:pt idx="71">
                  <c:v>42871</c:v>
                </c:pt>
                <c:pt idx="72">
                  <c:v>42878</c:v>
                </c:pt>
                <c:pt idx="73">
                  <c:v>42885</c:v>
                </c:pt>
                <c:pt idx="74">
                  <c:v>42892</c:v>
                </c:pt>
                <c:pt idx="75">
                  <c:v>42899</c:v>
                </c:pt>
                <c:pt idx="76">
                  <c:v>42906</c:v>
                </c:pt>
                <c:pt idx="77">
                  <c:v>42913</c:v>
                </c:pt>
                <c:pt idx="78">
                  <c:v>42920</c:v>
                </c:pt>
                <c:pt idx="79">
                  <c:v>42927</c:v>
                </c:pt>
                <c:pt idx="80">
                  <c:v>42934</c:v>
                </c:pt>
                <c:pt idx="81">
                  <c:v>42941</c:v>
                </c:pt>
                <c:pt idx="82">
                  <c:v>42948</c:v>
                </c:pt>
                <c:pt idx="83">
                  <c:v>42955</c:v>
                </c:pt>
                <c:pt idx="84">
                  <c:v>42962</c:v>
                </c:pt>
                <c:pt idx="85">
                  <c:v>42969</c:v>
                </c:pt>
                <c:pt idx="86">
                  <c:v>42976</c:v>
                </c:pt>
                <c:pt idx="87">
                  <c:v>42983</c:v>
                </c:pt>
                <c:pt idx="88">
                  <c:v>42990</c:v>
                </c:pt>
                <c:pt idx="89">
                  <c:v>42997</c:v>
                </c:pt>
                <c:pt idx="90">
                  <c:v>43004</c:v>
                </c:pt>
                <c:pt idx="91">
                  <c:v>43011</c:v>
                </c:pt>
                <c:pt idx="92">
                  <c:v>43018</c:v>
                </c:pt>
                <c:pt idx="93">
                  <c:v>43025</c:v>
                </c:pt>
                <c:pt idx="94">
                  <c:v>43032</c:v>
                </c:pt>
                <c:pt idx="95">
                  <c:v>43039</c:v>
                </c:pt>
                <c:pt idx="96">
                  <c:v>43046</c:v>
                </c:pt>
                <c:pt idx="97">
                  <c:v>43053</c:v>
                </c:pt>
              </c:numCache>
            </c:numRef>
          </c:cat>
          <c:val>
            <c:numRef>
              <c:f>'Fuel WTI'!$F$840:$F$929</c:f>
              <c:numCache>
                <c:formatCode>0.000</c:formatCode>
                <c:ptCount val="90"/>
                <c:pt idx="0">
                  <c:v>36.99</c:v>
                </c:pt>
                <c:pt idx="1">
                  <c:v>34.65</c:v>
                </c:pt>
                <c:pt idx="2">
                  <c:v>30.59</c:v>
                </c:pt>
                <c:pt idx="3">
                  <c:v>29.19</c:v>
                </c:pt>
                <c:pt idx="4">
                  <c:v>31.81</c:v>
                </c:pt>
                <c:pt idx="5">
                  <c:v>31.26</c:v>
                </c:pt>
                <c:pt idx="6">
                  <c:v>28.14</c:v>
                </c:pt>
                <c:pt idx="7">
                  <c:v>30.02</c:v>
                </c:pt>
                <c:pt idx="8">
                  <c:v>31.32</c:v>
                </c:pt>
                <c:pt idx="9">
                  <c:v>34.43</c:v>
                </c:pt>
                <c:pt idx="10">
                  <c:v>37.69</c:v>
                </c:pt>
                <c:pt idx="11">
                  <c:v>38.32</c:v>
                </c:pt>
                <c:pt idx="12">
                  <c:v>39.450000000000003</c:v>
                </c:pt>
                <c:pt idx="13">
                  <c:v>36.82</c:v>
                </c:pt>
                <c:pt idx="14">
                  <c:v>36.72</c:v>
                </c:pt>
                <c:pt idx="15">
                  <c:v>41.23</c:v>
                </c:pt>
                <c:pt idx="16">
                  <c:v>41.86</c:v>
                </c:pt>
                <c:pt idx="17">
                  <c:v>44.3</c:v>
                </c:pt>
                <c:pt idx="18">
                  <c:v>44.22</c:v>
                </c:pt>
                <c:pt idx="19">
                  <c:v>45.44</c:v>
                </c:pt>
                <c:pt idx="20">
                  <c:v>47.99</c:v>
                </c:pt>
                <c:pt idx="21">
                  <c:v>48.72</c:v>
                </c:pt>
                <c:pt idx="22">
                  <c:v>49</c:v>
                </c:pt>
                <c:pt idx="23">
                  <c:v>50.18</c:v>
                </c:pt>
                <c:pt idx="24">
                  <c:v>47.89</c:v>
                </c:pt>
                <c:pt idx="25">
                  <c:v>48.71</c:v>
                </c:pt>
                <c:pt idx="26">
                  <c:v>48.17</c:v>
                </c:pt>
                <c:pt idx="27">
                  <c:v>46.17</c:v>
                </c:pt>
                <c:pt idx="28">
                  <c:v>45.6</c:v>
                </c:pt>
                <c:pt idx="29">
                  <c:v>44.44</c:v>
                </c:pt>
                <c:pt idx="30">
                  <c:v>41.83</c:v>
                </c:pt>
                <c:pt idx="31">
                  <c:v>40.82</c:v>
                </c:pt>
                <c:pt idx="32">
                  <c:v>43.11</c:v>
                </c:pt>
                <c:pt idx="33">
                  <c:v>47.16</c:v>
                </c:pt>
                <c:pt idx="34">
                  <c:v>47.05</c:v>
                </c:pt>
                <c:pt idx="35">
                  <c:v>45.11</c:v>
                </c:pt>
                <c:pt idx="36">
                  <c:v>45.96</c:v>
                </c:pt>
                <c:pt idx="37">
                  <c:v>44.34</c:v>
                </c:pt>
                <c:pt idx="38">
                  <c:v>44.59</c:v>
                </c:pt>
                <c:pt idx="39">
                  <c:v>46.55</c:v>
                </c:pt>
                <c:pt idx="40">
                  <c:v>49.48</c:v>
                </c:pt>
                <c:pt idx="41">
                  <c:v>50.29</c:v>
                </c:pt>
                <c:pt idx="42">
                  <c:v>50.56</c:v>
                </c:pt>
                <c:pt idx="43">
                  <c:v>49.36</c:v>
                </c:pt>
                <c:pt idx="44">
                  <c:v>45.51</c:v>
                </c:pt>
                <c:pt idx="45">
                  <c:v>44.61</c:v>
                </c:pt>
                <c:pt idx="46">
                  <c:v>45.15</c:v>
                </c:pt>
                <c:pt idx="47">
                  <c:v>47.25</c:v>
                </c:pt>
                <c:pt idx="48">
                  <c:v>48.63</c:v>
                </c:pt>
                <c:pt idx="49">
                  <c:v>50.97</c:v>
                </c:pt>
                <c:pt idx="50">
                  <c:v>51.91</c:v>
                </c:pt>
                <c:pt idx="51">
                  <c:v>51.95</c:v>
                </c:pt>
                <c:pt idx="52">
                  <c:v>53.6</c:v>
                </c:pt>
                <c:pt idx="53">
                  <c:v>53.34</c:v>
                </c:pt>
                <c:pt idx="54">
                  <c:v>52.07</c:v>
                </c:pt>
                <c:pt idx="55">
                  <c:v>51.82</c:v>
                </c:pt>
                <c:pt idx="56">
                  <c:v>52.74</c:v>
                </c:pt>
                <c:pt idx="57">
                  <c:v>53.33</c:v>
                </c:pt>
                <c:pt idx="58">
                  <c:v>52.88</c:v>
                </c:pt>
                <c:pt idx="59">
                  <c:v>53.22</c:v>
                </c:pt>
                <c:pt idx="60">
                  <c:v>54.03</c:v>
                </c:pt>
                <c:pt idx="61">
                  <c:v>53.56</c:v>
                </c:pt>
                <c:pt idx="62">
                  <c:v>50.5</c:v>
                </c:pt>
                <c:pt idx="63">
                  <c:v>48.03</c:v>
                </c:pt>
                <c:pt idx="64">
                  <c:v>47.28</c:v>
                </c:pt>
                <c:pt idx="65">
                  <c:v>49.14</c:v>
                </c:pt>
                <c:pt idx="66">
                  <c:v>51.26</c:v>
                </c:pt>
                <c:pt idx="67">
                  <c:v>53.19</c:v>
                </c:pt>
                <c:pt idx="68">
                  <c:v>51.09</c:v>
                </c:pt>
                <c:pt idx="69">
                  <c:v>49.12</c:v>
                </c:pt>
                <c:pt idx="70">
                  <c:v>47.21</c:v>
                </c:pt>
                <c:pt idx="71">
                  <c:v>47.04</c:v>
                </c:pt>
                <c:pt idx="72">
                  <c:v>49.24</c:v>
                </c:pt>
                <c:pt idx="73">
                  <c:v>50.21</c:v>
                </c:pt>
                <c:pt idx="74">
                  <c:v>48.48</c:v>
                </c:pt>
                <c:pt idx="75">
                  <c:v>46.57</c:v>
                </c:pt>
                <c:pt idx="76">
                  <c:v>45.3</c:v>
                </c:pt>
                <c:pt idx="77">
                  <c:v>43.09</c:v>
                </c:pt>
                <c:pt idx="78">
                  <c:v>44.63</c:v>
                </c:pt>
                <c:pt idx="79">
                  <c:v>44.96</c:v>
                </c:pt>
                <c:pt idx="80">
                  <c:v>45.51</c:v>
                </c:pt>
                <c:pt idx="81">
                  <c:v>46.41</c:v>
                </c:pt>
                <c:pt idx="82">
                  <c:v>48.27</c:v>
                </c:pt>
                <c:pt idx="83">
                  <c:v>49.52</c:v>
                </c:pt>
                <c:pt idx="84">
                  <c:v>49.08</c:v>
                </c:pt>
                <c:pt idx="85">
                  <c:v>47.52</c:v>
                </c:pt>
                <c:pt idx="86">
                  <c:v>47.68</c:v>
                </c:pt>
                <c:pt idx="87">
                  <c:v>46.68</c:v>
                </c:pt>
                <c:pt idx="88">
                  <c:v>48.58</c:v>
                </c:pt>
                <c:pt idx="89">
                  <c:v>49.07</c:v>
                </c:pt>
              </c:numCache>
            </c:numRef>
          </c:val>
          <c:smooth val="0"/>
        </c:ser>
        <c:dLbls>
          <c:showLegendKey val="0"/>
          <c:showVal val="0"/>
          <c:showCatName val="0"/>
          <c:showSerName val="0"/>
          <c:showPercent val="0"/>
          <c:showBubbleSize val="0"/>
        </c:dLbls>
        <c:marker val="1"/>
        <c:smooth val="0"/>
        <c:axId val="630654080"/>
        <c:axId val="630655616"/>
      </c:lineChart>
      <c:dateAx>
        <c:axId val="630654080"/>
        <c:scaling>
          <c:orientation val="minMax"/>
        </c:scaling>
        <c:delete val="0"/>
        <c:axPos val="b"/>
        <c:numFmt formatCode="m/d/yy;@"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30655616"/>
        <c:crosses val="autoZero"/>
        <c:auto val="1"/>
        <c:lblOffset val="100"/>
        <c:baseTimeUnit val="days"/>
      </c:dateAx>
      <c:valAx>
        <c:axId val="630655616"/>
        <c:scaling>
          <c:orientation val="minMax"/>
          <c:max val="60"/>
          <c:min val="25"/>
        </c:scaling>
        <c:delete val="0"/>
        <c:axPos val="l"/>
        <c:majorGridlines/>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3065408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808080"/>
                </a:solidFill>
                <a:latin typeface="Arial"/>
                <a:ea typeface="Arial"/>
                <a:cs typeface="Arial"/>
              </a:defRPr>
            </a:pPr>
            <a:r>
              <a:rPr lang="en-US"/>
              <a:t>Plan Asset Allocation(%)</a:t>
            </a:r>
          </a:p>
        </c:rich>
      </c:tx>
      <c:layout>
        <c:manualLayout>
          <c:xMode val="edge"/>
          <c:yMode val="edge"/>
          <c:x val="0.27508169586909748"/>
          <c:y val="2.1186885537612884E-2"/>
        </c:manualLayout>
      </c:layout>
      <c:overlay val="0"/>
      <c:spPr>
        <a:noFill/>
        <a:ln w="25400">
          <a:noFill/>
        </a:ln>
      </c:spPr>
    </c:title>
    <c:autoTitleDeleted val="0"/>
    <c:plotArea>
      <c:layout>
        <c:manualLayout>
          <c:layoutTarget val="inner"/>
          <c:xMode val="edge"/>
          <c:yMode val="edge"/>
          <c:x val="0.17475783385743407"/>
          <c:y val="0.15677966101694915"/>
          <c:w val="0.77993773999336313"/>
          <c:h val="0.51271186440677963"/>
        </c:manualLayout>
      </c:layout>
      <c:barChart>
        <c:barDir val="col"/>
        <c:grouping val="percentStacked"/>
        <c:varyColors val="0"/>
        <c:ser>
          <c:idx val="0"/>
          <c:order val="0"/>
          <c:tx>
            <c:strRef>
              <c:f>Pension!$BY$27</c:f>
              <c:strCache>
                <c:ptCount val="1"/>
                <c:pt idx="0">
                  <c:v>   Equity</c:v>
                </c:pt>
              </c:strCache>
            </c:strRef>
          </c:tx>
          <c:spPr>
            <a:solidFill>
              <a:srgbClr val="4091BF"/>
            </a:solidFill>
            <a:ln w="25400">
              <a:noFill/>
            </a:ln>
          </c:spPr>
          <c:invertIfNegative val="0"/>
          <c:cat>
            <c:numRef>
              <c:f>Pension!$BZ$26:$CC$26</c:f>
              <c:numCache>
                <c:formatCode>General</c:formatCode>
                <c:ptCount val="4"/>
                <c:pt idx="0">
                  <c:v>2012</c:v>
                </c:pt>
                <c:pt idx="1">
                  <c:v>2013</c:v>
                </c:pt>
                <c:pt idx="2">
                  <c:v>2014</c:v>
                </c:pt>
                <c:pt idx="3">
                  <c:v>2015</c:v>
                </c:pt>
              </c:numCache>
            </c:numRef>
          </c:cat>
          <c:val>
            <c:numRef>
              <c:f>Pension!$BZ$27:$CC$27</c:f>
              <c:numCache>
                <c:formatCode>0%</c:formatCode>
                <c:ptCount val="4"/>
                <c:pt idx="0">
                  <c:v>0.73</c:v>
                </c:pt>
                <c:pt idx="1">
                  <c:v>0.74</c:v>
                </c:pt>
                <c:pt idx="2">
                  <c:v>0.76</c:v>
                </c:pt>
                <c:pt idx="3">
                  <c:v>0.73</c:v>
                </c:pt>
              </c:numCache>
            </c:numRef>
          </c:val>
        </c:ser>
        <c:ser>
          <c:idx val="1"/>
          <c:order val="1"/>
          <c:tx>
            <c:strRef>
              <c:f>Pension!$BY$28</c:f>
              <c:strCache>
                <c:ptCount val="1"/>
                <c:pt idx="0">
                  <c:v>   Fixed Income</c:v>
                </c:pt>
              </c:strCache>
            </c:strRef>
          </c:tx>
          <c:spPr>
            <a:solidFill>
              <a:srgbClr val="ECD7B2"/>
            </a:solidFill>
            <a:ln w="25400">
              <a:noFill/>
            </a:ln>
          </c:spPr>
          <c:invertIfNegative val="0"/>
          <c:cat>
            <c:numRef>
              <c:f>Pension!$BZ$26:$CC$26</c:f>
              <c:numCache>
                <c:formatCode>General</c:formatCode>
                <c:ptCount val="4"/>
                <c:pt idx="0">
                  <c:v>2012</c:v>
                </c:pt>
                <c:pt idx="1">
                  <c:v>2013</c:v>
                </c:pt>
                <c:pt idx="2">
                  <c:v>2014</c:v>
                </c:pt>
                <c:pt idx="3">
                  <c:v>2015</c:v>
                </c:pt>
              </c:numCache>
            </c:numRef>
          </c:cat>
          <c:val>
            <c:numRef>
              <c:f>Pension!$BZ$28:$CC$28</c:f>
              <c:numCache>
                <c:formatCode>0%</c:formatCode>
                <c:ptCount val="4"/>
                <c:pt idx="0">
                  <c:v>0.25</c:v>
                </c:pt>
                <c:pt idx="1">
                  <c:v>0.24</c:v>
                </c:pt>
                <c:pt idx="2">
                  <c:v>0.2</c:v>
                </c:pt>
                <c:pt idx="3">
                  <c:v>0.25</c:v>
                </c:pt>
              </c:numCache>
            </c:numRef>
          </c:val>
        </c:ser>
        <c:ser>
          <c:idx val="2"/>
          <c:order val="2"/>
          <c:tx>
            <c:strRef>
              <c:f>Pension!$BY$29</c:f>
              <c:strCache>
                <c:ptCount val="1"/>
                <c:pt idx="0">
                  <c:v>   Real Estate</c:v>
                </c:pt>
              </c:strCache>
            </c:strRef>
          </c:tx>
          <c:spPr>
            <a:solidFill>
              <a:srgbClr val="74BE74"/>
            </a:solidFill>
            <a:ln w="25400">
              <a:noFill/>
            </a:ln>
          </c:spPr>
          <c:invertIfNegative val="0"/>
          <c:cat>
            <c:numRef>
              <c:f>Pension!$BZ$26:$CC$26</c:f>
              <c:numCache>
                <c:formatCode>General</c:formatCode>
                <c:ptCount val="4"/>
                <c:pt idx="0">
                  <c:v>2012</c:v>
                </c:pt>
                <c:pt idx="1">
                  <c:v>2013</c:v>
                </c:pt>
                <c:pt idx="2">
                  <c:v>2014</c:v>
                </c:pt>
                <c:pt idx="3">
                  <c:v>2015</c:v>
                </c:pt>
              </c:numCache>
            </c:numRef>
          </c:cat>
          <c:val>
            <c:numRef>
              <c:f>Pension!$BZ$29:$CC$29</c:f>
            </c:numRef>
          </c:val>
        </c:ser>
        <c:ser>
          <c:idx val="3"/>
          <c:order val="3"/>
          <c:tx>
            <c:strRef>
              <c:f>Pension!$BY$30</c:f>
              <c:strCache>
                <c:ptCount val="1"/>
                <c:pt idx="0">
                  <c:v>   Other</c:v>
                </c:pt>
              </c:strCache>
            </c:strRef>
          </c:tx>
          <c:spPr>
            <a:solidFill>
              <a:srgbClr val="C6D9E2"/>
            </a:solidFill>
            <a:ln w="25400">
              <a:noFill/>
            </a:ln>
          </c:spPr>
          <c:invertIfNegative val="0"/>
          <c:cat>
            <c:numRef>
              <c:f>Pension!$BZ$26:$CC$26</c:f>
              <c:numCache>
                <c:formatCode>General</c:formatCode>
                <c:ptCount val="4"/>
                <c:pt idx="0">
                  <c:v>2012</c:v>
                </c:pt>
                <c:pt idx="1">
                  <c:v>2013</c:v>
                </c:pt>
                <c:pt idx="2">
                  <c:v>2014</c:v>
                </c:pt>
                <c:pt idx="3">
                  <c:v>2015</c:v>
                </c:pt>
              </c:numCache>
            </c:numRef>
          </c:cat>
          <c:val>
            <c:numRef>
              <c:f>Pension!$BZ$30:$CC$30</c:f>
            </c:numRef>
          </c:val>
        </c:ser>
        <c:dLbls>
          <c:showLegendKey val="0"/>
          <c:showVal val="0"/>
          <c:showCatName val="0"/>
          <c:showSerName val="0"/>
          <c:showPercent val="0"/>
          <c:showBubbleSize val="0"/>
        </c:dLbls>
        <c:gapWidth val="150"/>
        <c:overlap val="100"/>
        <c:axId val="631184000"/>
        <c:axId val="631185792"/>
      </c:barChart>
      <c:catAx>
        <c:axId val="631184000"/>
        <c:scaling>
          <c:orientation val="minMax"/>
        </c:scaling>
        <c:delete val="0"/>
        <c:axPos val="b"/>
        <c:numFmt formatCode="General" sourceLinked="1"/>
        <c:majorTickMark val="out"/>
        <c:minorTickMark val="none"/>
        <c:tickLblPos val="nextTo"/>
        <c:spPr>
          <a:ln w="9525">
            <a:noFill/>
          </a:ln>
        </c:spPr>
        <c:txPr>
          <a:bodyPr rot="0" vert="horz"/>
          <a:lstStyle/>
          <a:p>
            <a:pPr>
              <a:defRPr sz="800" b="1" i="0" u="none" strike="noStrike" baseline="0">
                <a:solidFill>
                  <a:srgbClr val="808080"/>
                </a:solidFill>
                <a:latin typeface="Arial"/>
                <a:ea typeface="Arial"/>
                <a:cs typeface="Arial"/>
              </a:defRPr>
            </a:pPr>
            <a:endParaRPr lang="en-US"/>
          </a:p>
        </c:txPr>
        <c:crossAx val="631185792"/>
        <c:crosses val="autoZero"/>
        <c:auto val="1"/>
        <c:lblAlgn val="ctr"/>
        <c:lblOffset val="100"/>
        <c:tickLblSkip val="1"/>
        <c:tickMarkSkip val="1"/>
        <c:noMultiLvlLbl val="0"/>
      </c:catAx>
      <c:valAx>
        <c:axId val="631185792"/>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9525">
            <a:noFill/>
          </a:ln>
        </c:spPr>
        <c:txPr>
          <a:bodyPr rot="0" vert="horz"/>
          <a:lstStyle/>
          <a:p>
            <a:pPr>
              <a:defRPr sz="800" b="1" i="0" u="none" strike="noStrike" baseline="0">
                <a:solidFill>
                  <a:srgbClr val="808080"/>
                </a:solidFill>
                <a:latin typeface="Arial"/>
                <a:ea typeface="Arial"/>
                <a:cs typeface="Arial"/>
              </a:defRPr>
            </a:pPr>
            <a:endParaRPr lang="en-US"/>
          </a:p>
        </c:txPr>
        <c:crossAx val="631184000"/>
        <c:crosses val="autoZero"/>
        <c:crossBetween val="between"/>
      </c:valAx>
      <c:spPr>
        <a:noFill/>
        <a:ln w="25400">
          <a:noFill/>
        </a:ln>
      </c:spPr>
    </c:plotArea>
    <c:legend>
      <c:legendPos val="b"/>
      <c:layout>
        <c:manualLayout>
          <c:xMode val="edge"/>
          <c:yMode val="edge"/>
          <c:x val="4.2042042042042045E-2"/>
          <c:y val="0.81779705502913824"/>
          <c:w val="0.91291291291291288"/>
          <c:h val="0.16949152542372881"/>
        </c:manualLayout>
      </c:layout>
      <c:overlay val="0"/>
      <c:spPr>
        <a:solidFill>
          <a:srgbClr val="FFFFFF"/>
        </a:solidFill>
        <a:ln w="25400">
          <a:noFill/>
        </a:ln>
      </c:spPr>
      <c:txPr>
        <a:bodyPr/>
        <a:lstStyle/>
        <a:p>
          <a:pPr>
            <a:defRPr sz="10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808080"/>
                </a:solidFill>
                <a:latin typeface="Arial"/>
                <a:ea typeface="Arial"/>
                <a:cs typeface="Arial"/>
              </a:defRPr>
            </a:pPr>
            <a:r>
              <a:rPr lang="en-US"/>
              <a:t>Pension Funded Status</a:t>
            </a:r>
          </a:p>
        </c:rich>
      </c:tx>
      <c:layout>
        <c:manualLayout>
          <c:xMode val="edge"/>
          <c:yMode val="edge"/>
          <c:x val="0.29032297609505398"/>
          <c:y val="2.2026444807606595E-2"/>
        </c:manualLayout>
      </c:layout>
      <c:overlay val="0"/>
      <c:spPr>
        <a:noFill/>
        <a:ln w="25400">
          <a:noFill/>
        </a:ln>
      </c:spPr>
    </c:title>
    <c:autoTitleDeleted val="0"/>
    <c:plotArea>
      <c:layout>
        <c:manualLayout>
          <c:layoutTarget val="inner"/>
          <c:xMode val="edge"/>
          <c:yMode val="edge"/>
          <c:x val="0.11612921517328499"/>
          <c:y val="0.1762114537444934"/>
          <c:w val="0.72258178330043987"/>
          <c:h val="0.54625550660792954"/>
        </c:manualLayout>
      </c:layout>
      <c:barChart>
        <c:barDir val="col"/>
        <c:grouping val="clustered"/>
        <c:varyColors val="0"/>
        <c:ser>
          <c:idx val="1"/>
          <c:order val="0"/>
          <c:tx>
            <c:v>Funded Status(%)</c:v>
          </c:tx>
          <c:spPr>
            <a:solidFill>
              <a:srgbClr val="4091BF"/>
            </a:solidFill>
            <a:ln w="25400">
              <a:noFill/>
            </a:ln>
          </c:spPr>
          <c:invertIfNegative val="0"/>
          <c:dLbls>
            <c:numFmt formatCode="0%" sourceLinked="0"/>
            <c:spPr>
              <a:noFill/>
              <a:ln w="25400">
                <a:noFill/>
              </a:ln>
            </c:spPr>
            <c:txPr>
              <a:bodyPr/>
              <a:lstStyle/>
              <a:p>
                <a:pPr>
                  <a:defRPr sz="800" b="1" i="0" u="none" strike="noStrike" baseline="0">
                    <a:solidFill>
                      <a:srgbClr val="808080"/>
                    </a:solidFill>
                    <a:latin typeface="Arial"/>
                    <a:ea typeface="Arial"/>
                    <a:cs typeface="Arial"/>
                  </a:defRPr>
                </a:pPr>
                <a:endParaRPr lang="en-US"/>
              </a:p>
            </c:txPr>
            <c:showLegendKey val="0"/>
            <c:showVal val="1"/>
            <c:showCatName val="0"/>
            <c:showSerName val="0"/>
            <c:showPercent val="0"/>
            <c:showBubbleSize val="0"/>
            <c:showLeaderLines val="0"/>
          </c:dLbls>
          <c:cat>
            <c:multiLvlStrRef>
              <c:f>Pension!$BZ$38:$CF$38</c:f>
            </c:multiLvlStrRef>
          </c:cat>
          <c:val>
            <c:numRef>
              <c:f>Pension!$BZ$43:$CF$43</c:f>
              <c:numCache>
                <c:formatCode>0%</c:formatCode>
                <c:ptCount val="7"/>
                <c:pt idx="0">
                  <c:v>0.82387765170202265</c:v>
                </c:pt>
                <c:pt idx="1">
                  <c:v>0.78380743982494527</c:v>
                </c:pt>
                <c:pt idx="2">
                  <c:v>1.0114777618364419</c:v>
                </c:pt>
                <c:pt idx="3">
                  <c:v>0.89213668176204197</c:v>
                </c:pt>
                <c:pt idx="4">
                  <c:v>0.91107566839914345</c:v>
                </c:pt>
                <c:pt idx="5">
                  <c:v>0.93111265570803281</c:v>
                </c:pt>
                <c:pt idx="6">
                  <c:v>0.95225389901320889</c:v>
                </c:pt>
              </c:numCache>
            </c:numRef>
          </c:val>
        </c:ser>
        <c:dLbls>
          <c:showLegendKey val="0"/>
          <c:showVal val="0"/>
          <c:showCatName val="0"/>
          <c:showSerName val="0"/>
          <c:showPercent val="0"/>
          <c:showBubbleSize val="0"/>
        </c:dLbls>
        <c:gapWidth val="150"/>
        <c:axId val="631216768"/>
        <c:axId val="631230848"/>
      </c:barChart>
      <c:lineChart>
        <c:grouping val="standard"/>
        <c:varyColors val="0"/>
        <c:ser>
          <c:idx val="0"/>
          <c:order val="1"/>
          <c:tx>
            <c:strRef>
              <c:f>Pension!$BY$42</c:f>
              <c:strCache>
                <c:ptCount val="1"/>
                <c:pt idx="0">
                  <c:v>% of Market cap</c:v>
                </c:pt>
              </c:strCache>
            </c:strRef>
          </c:tx>
          <c:spPr>
            <a:ln w="38100">
              <a:solidFill>
                <a:srgbClr val="F6C54C"/>
              </a:solidFill>
              <a:prstDash val="solid"/>
            </a:ln>
          </c:spPr>
          <c:marker>
            <c:symbol val="none"/>
          </c:marker>
          <c:cat>
            <c:multiLvlStrRef>
              <c:f>Pension!$BZ$38:$CF$38</c:f>
            </c:multiLvlStrRef>
          </c:cat>
          <c:val>
            <c:numRef>
              <c:f>Pension!$BZ$42:$CF$42</c:f>
              <c:numCache>
                <c:formatCode>0%</c:formatCode>
                <c:ptCount val="7"/>
                <c:pt idx="0">
                  <c:v>1.4578161728486099E-2</c:v>
                </c:pt>
                <c:pt idx="1">
                  <c:v>2.5276169467254497E-2</c:v>
                </c:pt>
                <c:pt idx="2">
                  <c:v>-8.3701918636450493E-4</c:v>
                </c:pt>
                <c:pt idx="3">
                  <c:v>7.7546437765237952E-3</c:v>
                </c:pt>
                <c:pt idx="4">
                  <c:v>7.201590121113678E-3</c:v>
                </c:pt>
                <c:pt idx="5">
                  <c:v>5.9091818667281098E-3</c:v>
                </c:pt>
                <c:pt idx="6">
                  <c:v>4.3351407406199069E-3</c:v>
                </c:pt>
              </c:numCache>
            </c:numRef>
          </c:val>
          <c:smooth val="0"/>
        </c:ser>
        <c:dLbls>
          <c:showLegendKey val="0"/>
          <c:showVal val="0"/>
          <c:showCatName val="0"/>
          <c:showSerName val="0"/>
          <c:showPercent val="0"/>
          <c:showBubbleSize val="0"/>
        </c:dLbls>
        <c:marker val="1"/>
        <c:smooth val="0"/>
        <c:axId val="631232384"/>
        <c:axId val="631233920"/>
      </c:lineChart>
      <c:catAx>
        <c:axId val="631216768"/>
        <c:scaling>
          <c:orientation val="minMax"/>
        </c:scaling>
        <c:delete val="0"/>
        <c:axPos val="b"/>
        <c:numFmt formatCode="General" sourceLinked="1"/>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631230848"/>
        <c:crosses val="autoZero"/>
        <c:auto val="0"/>
        <c:lblAlgn val="ctr"/>
        <c:lblOffset val="100"/>
        <c:tickLblSkip val="1"/>
        <c:tickMarkSkip val="1"/>
        <c:noMultiLvlLbl val="0"/>
      </c:catAx>
      <c:valAx>
        <c:axId val="631230848"/>
        <c:scaling>
          <c:orientation val="minMax"/>
        </c:scaling>
        <c:delete val="0"/>
        <c:axPos val="l"/>
        <c:numFmt formatCode="0%" sourceLinked="0"/>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631216768"/>
        <c:crosses val="autoZero"/>
        <c:crossBetween val="between"/>
      </c:valAx>
      <c:catAx>
        <c:axId val="631232384"/>
        <c:scaling>
          <c:orientation val="minMax"/>
        </c:scaling>
        <c:delete val="1"/>
        <c:axPos val="b"/>
        <c:majorTickMark val="out"/>
        <c:minorTickMark val="none"/>
        <c:tickLblPos val="nextTo"/>
        <c:crossAx val="631233920"/>
        <c:crosses val="autoZero"/>
        <c:auto val="0"/>
        <c:lblAlgn val="ctr"/>
        <c:lblOffset val="100"/>
        <c:noMultiLvlLbl val="0"/>
      </c:catAx>
      <c:valAx>
        <c:axId val="631233920"/>
        <c:scaling>
          <c:orientation val="minMax"/>
        </c:scaling>
        <c:delete val="0"/>
        <c:axPos val="r"/>
        <c:numFmt formatCode="0.0%" sourceLinked="0"/>
        <c:majorTickMark val="cross"/>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631232384"/>
        <c:crosses val="max"/>
        <c:crossBetween val="between"/>
      </c:valAx>
      <c:spPr>
        <a:noFill/>
        <a:ln w="25400">
          <a:noFill/>
        </a:ln>
      </c:spPr>
    </c:plotArea>
    <c:legend>
      <c:legendPos val="r"/>
      <c:layout>
        <c:manualLayout>
          <c:xMode val="edge"/>
          <c:yMode val="edge"/>
          <c:x val="5.089820359281437E-2"/>
          <c:y val="0.88546228891199918"/>
          <c:w val="0.82335329341317365"/>
          <c:h val="8.8105779230426395E-2"/>
        </c:manualLayout>
      </c:layout>
      <c:overlay val="0"/>
      <c:spPr>
        <a:solidFill>
          <a:srgbClr val="FFFFFF"/>
        </a:solidFill>
        <a:ln w="25400">
          <a:noFill/>
        </a:ln>
      </c:spPr>
      <c:txPr>
        <a:bodyPr/>
        <a:lstStyle/>
        <a:p>
          <a:pPr>
            <a:defRPr sz="10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808080"/>
                </a:solidFill>
                <a:latin typeface="Arial"/>
                <a:ea typeface="Arial"/>
                <a:cs typeface="Arial"/>
              </a:defRPr>
            </a:pPr>
            <a:r>
              <a:rPr lang="en-US"/>
              <a:t>OPEB Liability</a:t>
            </a:r>
          </a:p>
        </c:rich>
      </c:tx>
      <c:layout>
        <c:manualLayout>
          <c:xMode val="edge"/>
          <c:yMode val="edge"/>
          <c:x val="0.37373843421087516"/>
          <c:y val="2.2831050228310501E-2"/>
        </c:manualLayout>
      </c:layout>
      <c:overlay val="0"/>
      <c:spPr>
        <a:noFill/>
        <a:ln w="25400">
          <a:noFill/>
        </a:ln>
      </c:spPr>
    </c:title>
    <c:autoTitleDeleted val="0"/>
    <c:plotArea>
      <c:layout>
        <c:manualLayout>
          <c:layoutTarget val="inner"/>
          <c:xMode val="edge"/>
          <c:yMode val="edge"/>
          <c:x val="0.14141460639798506"/>
          <c:y val="0.15525183384985841"/>
          <c:w val="0.73064213305625614"/>
          <c:h val="0.62100733539943365"/>
        </c:manualLayout>
      </c:layout>
      <c:barChart>
        <c:barDir val="col"/>
        <c:grouping val="clustered"/>
        <c:varyColors val="0"/>
        <c:ser>
          <c:idx val="1"/>
          <c:order val="0"/>
          <c:tx>
            <c:v>OPEB in $ mn</c:v>
          </c:tx>
          <c:spPr>
            <a:solidFill>
              <a:srgbClr val="008000"/>
            </a:solidFill>
            <a:ln w="25400">
              <a:noFill/>
            </a:ln>
          </c:spPr>
          <c:invertIfNegative val="0"/>
          <c:cat>
            <c:numRef>
              <c:f>OPEB!$BZ$38:$CF$38</c:f>
              <c:numCache>
                <c:formatCode>General</c:formatCode>
                <c:ptCount val="7"/>
                <c:pt idx="0">
                  <c:v>2012</c:v>
                </c:pt>
                <c:pt idx="1">
                  <c:v>2013</c:v>
                </c:pt>
                <c:pt idx="2">
                  <c:v>2014</c:v>
                </c:pt>
                <c:pt idx="3">
                  <c:v>2015</c:v>
                </c:pt>
                <c:pt idx="4">
                  <c:v>2016</c:v>
                </c:pt>
                <c:pt idx="5">
                  <c:v>2017</c:v>
                </c:pt>
                <c:pt idx="6">
                  <c:v>2018</c:v>
                </c:pt>
              </c:numCache>
            </c:numRef>
          </c:cat>
          <c:val>
            <c:numRef>
              <c:f>OPEB!$BZ$42:$CF$42</c:f>
              <c:numCache>
                <c:formatCode>0.00</c:formatCode>
                <c:ptCount val="7"/>
                <c:pt idx="0">
                  <c:v>1206</c:v>
                </c:pt>
                <c:pt idx="1">
                  <c:v>1311</c:v>
                </c:pt>
                <c:pt idx="2">
                  <c:v>855</c:v>
                </c:pt>
                <c:pt idx="3">
                  <c:v>571</c:v>
                </c:pt>
                <c:pt idx="4">
                  <c:v>580.66</c:v>
                </c:pt>
                <c:pt idx="5">
                  <c:v>590.31999999999994</c:v>
                </c:pt>
                <c:pt idx="6">
                  <c:v>599.9799999999999</c:v>
                </c:pt>
              </c:numCache>
            </c:numRef>
          </c:val>
        </c:ser>
        <c:dLbls>
          <c:showLegendKey val="0"/>
          <c:showVal val="0"/>
          <c:showCatName val="0"/>
          <c:showSerName val="0"/>
          <c:showPercent val="0"/>
          <c:showBubbleSize val="0"/>
        </c:dLbls>
        <c:gapWidth val="150"/>
        <c:axId val="634019200"/>
        <c:axId val="634020992"/>
      </c:barChart>
      <c:lineChart>
        <c:grouping val="standard"/>
        <c:varyColors val="0"/>
        <c:ser>
          <c:idx val="0"/>
          <c:order val="1"/>
          <c:tx>
            <c:v>% of Market cap</c:v>
          </c:tx>
          <c:spPr>
            <a:ln w="38100">
              <a:solidFill>
                <a:srgbClr val="FF00FF"/>
              </a:solidFill>
              <a:prstDash val="solid"/>
            </a:ln>
          </c:spPr>
          <c:marker>
            <c:symbol val="none"/>
          </c:marker>
          <c:cat>
            <c:numRef>
              <c:f>OPEB!$BZ$38:$CF$38</c:f>
              <c:numCache>
                <c:formatCode>General</c:formatCode>
                <c:ptCount val="7"/>
                <c:pt idx="0">
                  <c:v>2012</c:v>
                </c:pt>
                <c:pt idx="1">
                  <c:v>2013</c:v>
                </c:pt>
                <c:pt idx="2">
                  <c:v>2014</c:v>
                </c:pt>
                <c:pt idx="3">
                  <c:v>2015</c:v>
                </c:pt>
                <c:pt idx="4">
                  <c:v>2016</c:v>
                </c:pt>
                <c:pt idx="5">
                  <c:v>2017</c:v>
                </c:pt>
                <c:pt idx="6">
                  <c:v>2018</c:v>
                </c:pt>
              </c:numCache>
            </c:numRef>
          </c:cat>
          <c:val>
            <c:numRef>
              <c:f>OPEB!$BZ$41:$CF$41</c:f>
              <c:numCache>
                <c:formatCode>0.0%</c:formatCode>
                <c:ptCount val="7"/>
                <c:pt idx="0">
                  <c:v>5.2832111102618075E-2</c:v>
                </c:pt>
                <c:pt idx="1">
                  <c:v>5.3534930044944744E-2</c:v>
                </c:pt>
                <c:pt idx="2">
                  <c:v>4.3747216385632788E-2</c:v>
                </c:pt>
                <c:pt idx="3">
                  <c:v>1.9914081475588846E-2</c:v>
                </c:pt>
                <c:pt idx="4">
                  <c:v>1.9341279105410912E-2</c:v>
                </c:pt>
                <c:pt idx="5">
                  <c:v>1.9663045295880841E-2</c:v>
                </c:pt>
                <c:pt idx="6">
                  <c:v>1.998481148635077E-2</c:v>
                </c:pt>
              </c:numCache>
            </c:numRef>
          </c:val>
          <c:smooth val="0"/>
        </c:ser>
        <c:dLbls>
          <c:showLegendKey val="0"/>
          <c:showVal val="0"/>
          <c:showCatName val="0"/>
          <c:showSerName val="0"/>
          <c:showPercent val="0"/>
          <c:showBubbleSize val="0"/>
        </c:dLbls>
        <c:marker val="1"/>
        <c:smooth val="0"/>
        <c:axId val="634022528"/>
        <c:axId val="634036608"/>
      </c:lineChart>
      <c:catAx>
        <c:axId val="634019200"/>
        <c:scaling>
          <c:orientation val="minMax"/>
        </c:scaling>
        <c:delete val="0"/>
        <c:axPos val="b"/>
        <c:numFmt formatCode="General" sourceLinked="1"/>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634020992"/>
        <c:crosses val="autoZero"/>
        <c:auto val="0"/>
        <c:lblAlgn val="ctr"/>
        <c:lblOffset val="100"/>
        <c:tickLblSkip val="1"/>
        <c:tickMarkSkip val="1"/>
        <c:noMultiLvlLbl val="0"/>
      </c:catAx>
      <c:valAx>
        <c:axId val="634020992"/>
        <c:scaling>
          <c:orientation val="minMax"/>
          <c:min val="0"/>
        </c:scaling>
        <c:delete val="0"/>
        <c:axPos val="l"/>
        <c:numFmt formatCode="#,##0" sourceLinked="0"/>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634019200"/>
        <c:crosses val="autoZero"/>
        <c:crossBetween val="between"/>
      </c:valAx>
      <c:catAx>
        <c:axId val="634022528"/>
        <c:scaling>
          <c:orientation val="minMax"/>
        </c:scaling>
        <c:delete val="1"/>
        <c:axPos val="b"/>
        <c:numFmt formatCode="General" sourceLinked="1"/>
        <c:majorTickMark val="out"/>
        <c:minorTickMark val="none"/>
        <c:tickLblPos val="nextTo"/>
        <c:crossAx val="634036608"/>
        <c:crosses val="autoZero"/>
        <c:auto val="0"/>
        <c:lblAlgn val="ctr"/>
        <c:lblOffset val="100"/>
        <c:noMultiLvlLbl val="0"/>
      </c:catAx>
      <c:valAx>
        <c:axId val="634036608"/>
        <c:scaling>
          <c:orientation val="minMax"/>
        </c:scaling>
        <c:delete val="0"/>
        <c:axPos val="r"/>
        <c:numFmt formatCode="0.0%" sourceLinked="1"/>
        <c:majorTickMark val="cross"/>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634022528"/>
        <c:crosses val="max"/>
        <c:crossBetween val="between"/>
      </c:valAx>
      <c:spPr>
        <a:noFill/>
        <a:ln w="25400">
          <a:noFill/>
        </a:ln>
      </c:spPr>
    </c:plotArea>
    <c:legend>
      <c:legendPos val="r"/>
      <c:layout>
        <c:manualLayout>
          <c:xMode val="edge"/>
          <c:yMode val="edge"/>
          <c:x val="1.6835016835016835E-2"/>
          <c:y val="0.8904109589041096"/>
          <c:w val="0.86531986531986527"/>
          <c:h val="9.1324200913242004E-2"/>
        </c:manualLayout>
      </c:layout>
      <c:overlay val="0"/>
      <c:spPr>
        <a:solidFill>
          <a:srgbClr val="FFFFFF"/>
        </a:solidFill>
        <a:ln w="25400">
          <a:noFill/>
        </a:ln>
      </c:spPr>
      <c:txPr>
        <a:bodyPr/>
        <a:lstStyle/>
        <a:p>
          <a:pPr>
            <a:defRPr sz="10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s>

</file>

<file path=xl/drawings/_rels/drawing3.xml.rels><?xml version="1.0" encoding="UTF-8" standalone="yes"?>
<Relationships xmlns="http://schemas.openxmlformats.org/package/2006/relationships">
<Relationship Id="rId1" Target="../charts/chart2.xml" Type="http://schemas.openxmlformats.org/officeDocument/2006/relationships/chart"/>
<Relationship Id="rId2" Target="../charts/chart3.xml" Type="http://schemas.openxmlformats.org/officeDocument/2006/relationships/chart"/>
<Relationship Id="rId3" Target="../charts/chart4.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5.xml" Type="http://schemas.openxmlformats.org/officeDocument/2006/relationships/chart"/>
<Relationship Id="rId2" Target="../charts/chart6.xml" Type="http://schemas.openxmlformats.org/officeDocument/2006/relationships/chart"/>
</Relationships>

</file>

<file path=xl/drawings/_rels/drawing5.xml.rels><?xml version="1.0" encoding="UTF-8" standalone="yes"?>
<Relationships xmlns="http://schemas.openxmlformats.org/package/2006/relationships">
<Relationship Id="rId1" Target="../charts/chart7.xml" Type="http://schemas.openxmlformats.org/officeDocument/2006/relationships/chart"/>
</Relationships>

</file>

<file path=xl/drawings/_rels/vmlDrawing4.vml.rels><?xml version="1.0" encoding="UTF-8" standalone="yes"?>
<Relationships xmlns="http://schemas.openxmlformats.org/package/2006/relationships">
<Relationship Id="rId1" Target="../media/image4.emf" Type="http://schemas.openxmlformats.org/officeDocument/2006/relationships/image"/>
<Relationship Id="rId2" Target="../media/image5.emf" Type="http://schemas.openxmlformats.org/officeDocument/2006/relationships/image"/>
<Relationship Id="rId3" Target="../media/image6.emf" Type="http://schemas.openxmlformats.org/officeDocument/2006/relationships/image"/>
</Relationships>

</file>

<file path=xl/drawings/_rels/vmlDrawing5.vml.rels><?xml version="1.0" encoding="UTF-8" standalone="yes"?>
<Relationships xmlns="http://schemas.openxmlformats.org/package/2006/relationships">
<Relationship Id="rId1" Target="../media/image7.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6</xdr:col>
      <xdr:colOff>285750</xdr:colOff>
      <xdr:row>203</xdr:row>
      <xdr:rowOff>104775</xdr:rowOff>
    </xdr:to>
    <xdr:pic>
      <xdr:nvPicPr>
        <xdr:cNvPr id="10394625" name="Picture 1" descr="C:\Users\diahuang\AppData\Local\Temp\MercuryPriceRatingHistoryChart\NSC.N_2018_04_25_18_41_5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6129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209550</xdr:colOff>
      <xdr:row>886</xdr:row>
      <xdr:rowOff>19050</xdr:rowOff>
    </xdr:from>
    <xdr:to>
      <xdr:col>12</xdr:col>
      <xdr:colOff>1352550</xdr:colOff>
      <xdr:row>903</xdr:row>
      <xdr:rowOff>9525</xdr:rowOff>
    </xdr:to>
    <xdr:graphicFrame macro="">
      <xdr:nvGraphicFramePr>
        <xdr:cNvPr id="129642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98</xdr:col>
      <xdr:colOff>314325</xdr:colOff>
      <xdr:row>659</xdr:row>
      <xdr:rowOff>114300</xdr:rowOff>
    </xdr:from>
    <xdr:to>
      <xdr:col>105</xdr:col>
      <xdr:colOff>228600</xdr:colOff>
      <xdr:row>679</xdr:row>
      <xdr:rowOff>152400</xdr:rowOff>
    </xdr:to>
    <xdr:graphicFrame macro="">
      <xdr:nvGraphicFramePr>
        <xdr:cNvPr id="1020120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90</xdr:col>
      <xdr:colOff>209550</xdr:colOff>
      <xdr:row>659</xdr:row>
      <xdr:rowOff>114300</xdr:rowOff>
    </xdr:from>
    <xdr:to>
      <xdr:col>97</xdr:col>
      <xdr:colOff>609600</xdr:colOff>
      <xdr:row>679</xdr:row>
      <xdr:rowOff>152400</xdr:rowOff>
    </xdr:to>
    <xdr:graphicFrame macro="">
      <xdr:nvGraphicFramePr>
        <xdr:cNvPr id="10201206"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276225</xdr:colOff>
      <xdr:row>901</xdr:row>
      <xdr:rowOff>76200</xdr:rowOff>
    </xdr:from>
    <xdr:to>
      <xdr:col>12</xdr:col>
      <xdr:colOff>2105025</xdr:colOff>
      <xdr:row>918</xdr:row>
      <xdr:rowOff>66675</xdr:rowOff>
    </xdr:to>
    <xdr:graphicFrame macro="">
      <xdr:nvGraphicFramePr>
        <xdr:cNvPr id="1020120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295275</xdr:colOff>
      <xdr:row>76</xdr:row>
      <xdr:rowOff>133350</xdr:rowOff>
    </xdr:from>
    <xdr:to>
      <xdr:col>2</xdr:col>
      <xdr:colOff>2466975</xdr:colOff>
      <xdr:row>78</xdr:row>
      <xdr:rowOff>104775</xdr:rowOff>
    </xdr:to>
    <xdr:sp macro="" textlink="">
      <xdr:nvSpPr>
        <xdr:cNvPr id="2" name="Rectangle 24"/>
        <xdr:cNvSpPr>
          <a:spLocks noChangeArrowheads="1"/>
        </xdr:cNvSpPr>
      </xdr:nvSpPr>
      <xdr:spPr bwMode="auto">
        <a:xfrm>
          <a:off x="381000" y="11830050"/>
          <a:ext cx="2628900" cy="295275"/>
        </a:xfrm>
        <a:prstGeom prst="rect">
          <a:avLst/>
        </a:prstGeom>
        <a:solidFill>
          <a:srgbClr xmlns:mc="http://schemas.openxmlformats.org/markup-compatibility/2006" xmlns:a14="http://schemas.microsoft.com/office/drawing/2010/main" val="808000" mc:Ignorable="a14" a14:legacySpreadsheetColorIndex="19"/>
        </a:solidFill>
        <a:ln w="9525" algn="ctr">
          <a:solidFill>
            <a:srgbClr xmlns:mc="http://schemas.openxmlformats.org/markup-compatibility/2006" xmlns:a14="http://schemas.microsoft.com/office/drawing/2010/main" val="808000"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lnSpc>
              <a:spcPts val="900"/>
            </a:lnSpc>
            <a:defRPr sz="1000"/>
          </a:pPr>
          <a:r>
            <a:rPr lang="en-US" sz="900" b="1" i="0" u="none" strike="noStrike" baseline="0">
              <a:solidFill>
                <a:srgbClr val="FFFFFF"/>
              </a:solidFill>
              <a:latin typeface="Verdana"/>
              <a:ea typeface="Verdana"/>
              <a:cs typeface="Verdana"/>
            </a:rPr>
            <a:t>Future Service Costs (after-tax)</a:t>
          </a:r>
          <a:endParaRPr lang="en-US" sz="1000" b="1" i="0" u="none" strike="noStrike" baseline="0">
            <a:solidFill>
              <a:srgbClr val="FFFFFF"/>
            </a:solidFill>
            <a:latin typeface="Arial"/>
            <a:ea typeface="Verdana"/>
            <a:cs typeface="Arial"/>
          </a:endParaRPr>
        </a:p>
        <a:p>
          <a:pPr algn="l" rtl="0">
            <a:lnSpc>
              <a:spcPts val="1000"/>
            </a:lnSpc>
            <a:defRPr sz="1000"/>
          </a:pPr>
          <a:endParaRPr lang="en-US" sz="1000" b="1" i="0" u="none" strike="noStrike" baseline="0">
            <a:solidFill>
              <a:srgbClr val="FFFFFF"/>
            </a:solidFill>
            <a:latin typeface="Arial"/>
            <a:cs typeface="Arial"/>
          </a:endParaRPr>
        </a:p>
      </xdr:txBody>
    </xdr:sp>
    <xdr:clientData/>
  </xdr:twoCellAnchor>
  <xdr:twoCellAnchor>
    <xdr:from>
      <xdr:col>1</xdr:col>
      <xdr:colOff>266700</xdr:colOff>
      <xdr:row>73</xdr:row>
      <xdr:rowOff>104775</xdr:rowOff>
    </xdr:from>
    <xdr:to>
      <xdr:col>2</xdr:col>
      <xdr:colOff>2457450</xdr:colOff>
      <xdr:row>75</xdr:row>
      <xdr:rowOff>76200</xdr:rowOff>
    </xdr:to>
    <xdr:sp macro="" textlink="">
      <xdr:nvSpPr>
        <xdr:cNvPr id="3" name="Rectangle 25"/>
        <xdr:cNvSpPr>
          <a:spLocks noChangeArrowheads="1"/>
        </xdr:cNvSpPr>
      </xdr:nvSpPr>
      <xdr:spPr bwMode="auto">
        <a:xfrm>
          <a:off x="352425" y="11315700"/>
          <a:ext cx="2647950" cy="295275"/>
        </a:xfrm>
        <a:prstGeom prst="rect">
          <a:avLst/>
        </a:prstGeom>
        <a:solidFill>
          <a:srgbClr xmlns:mc="http://schemas.openxmlformats.org/markup-compatibility/2006" xmlns:a14="http://schemas.microsoft.com/office/drawing/2010/main" val="808000" mc:Ignorable="a14" a14:legacySpreadsheetColorIndex="19"/>
        </a:solidFill>
        <a:ln w="9525" algn="ctr">
          <a:solidFill>
            <a:srgbClr xmlns:mc="http://schemas.openxmlformats.org/markup-compatibility/2006" xmlns:a14="http://schemas.microsoft.com/office/drawing/2010/main" val="808000"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lnSpc>
              <a:spcPts val="900"/>
            </a:lnSpc>
            <a:defRPr sz="1000"/>
          </a:pPr>
          <a:r>
            <a:rPr lang="en-US" sz="900" b="1" i="0" u="none" strike="noStrike" baseline="0">
              <a:solidFill>
                <a:srgbClr val="FFFFFF"/>
              </a:solidFill>
              <a:latin typeface="Verdana"/>
              <a:ea typeface="Verdana"/>
              <a:cs typeface="Verdana"/>
            </a:rPr>
            <a:t>Current Funded Status (after-tax)</a:t>
          </a:r>
          <a:endParaRPr lang="en-US" sz="1000" b="1" i="0" u="none" strike="noStrike" baseline="0">
            <a:solidFill>
              <a:srgbClr val="FFFFFF"/>
            </a:solidFill>
            <a:latin typeface="Arial"/>
            <a:ea typeface="Verdana"/>
            <a:cs typeface="Arial"/>
          </a:endParaRPr>
        </a:p>
        <a:p>
          <a:pPr algn="l" rtl="0">
            <a:lnSpc>
              <a:spcPts val="1000"/>
            </a:lnSpc>
            <a:defRPr sz="1000"/>
          </a:pPr>
          <a:endParaRPr lang="en-US" sz="1000" b="1" i="0" u="none" strike="noStrike" baseline="0">
            <a:solidFill>
              <a:srgbClr val="FFFFFF"/>
            </a:solidFill>
            <a:latin typeface="Arial"/>
            <a:cs typeface="Arial"/>
          </a:endParaRPr>
        </a:p>
      </xdr:txBody>
    </xdr:sp>
    <xdr:clientData/>
  </xdr:twoCellAnchor>
  <xdr:twoCellAnchor>
    <xdr:from>
      <xdr:col>2</xdr:col>
      <xdr:colOff>895350</xdr:colOff>
      <xdr:row>74</xdr:row>
      <xdr:rowOff>104775</xdr:rowOff>
    </xdr:from>
    <xdr:to>
      <xdr:col>2</xdr:col>
      <xdr:colOff>1257300</xdr:colOff>
      <xdr:row>77</xdr:row>
      <xdr:rowOff>85725</xdr:rowOff>
    </xdr:to>
    <xdr:sp macro="" textlink="">
      <xdr:nvSpPr>
        <xdr:cNvPr id="4" name="Text Box 26"/>
        <xdr:cNvSpPr txBox="1">
          <a:spLocks noChangeArrowheads="1"/>
        </xdr:cNvSpPr>
      </xdr:nvSpPr>
      <xdr:spPr bwMode="auto">
        <a:xfrm>
          <a:off x="1438275" y="11477625"/>
          <a:ext cx="361950" cy="46672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2270AB"/>
              </a:solidFill>
              <a:latin typeface="Arial"/>
              <a:cs typeface="Arial"/>
            </a:rPr>
            <a:t>+</a:t>
          </a:r>
          <a:endParaRPr lang="en-US" sz="2000" b="0" i="0" u="none" strike="noStrike" baseline="0">
            <a:solidFill>
              <a:srgbClr val="2270AB"/>
            </a:solidFill>
            <a:latin typeface="Arial"/>
            <a:cs typeface="Arial"/>
          </a:endParaRPr>
        </a:p>
        <a:p>
          <a:pPr algn="l" rtl="0">
            <a:defRPr sz="1000"/>
          </a:pPr>
          <a:endParaRPr lang="en-US" sz="2000" b="0" i="0" u="none" strike="noStrike" baseline="0">
            <a:solidFill>
              <a:srgbClr val="2270AB"/>
            </a:solidFill>
            <a:latin typeface="Arial"/>
            <a:cs typeface="Arial"/>
          </a:endParaRPr>
        </a:p>
      </xdr:txBody>
    </xdr:sp>
    <xdr:clientData/>
  </xdr:twoCellAnchor>
  <xdr:twoCellAnchor>
    <xdr:from>
      <xdr:col>1</xdr:col>
      <xdr:colOff>285750</xdr:colOff>
      <xdr:row>80</xdr:row>
      <xdr:rowOff>19050</xdr:rowOff>
    </xdr:from>
    <xdr:to>
      <xdr:col>2</xdr:col>
      <xdr:colOff>2466975</xdr:colOff>
      <xdr:row>82</xdr:row>
      <xdr:rowOff>9525</xdr:rowOff>
    </xdr:to>
    <xdr:sp macro="" textlink="">
      <xdr:nvSpPr>
        <xdr:cNvPr id="5" name="Rectangle 27"/>
        <xdr:cNvSpPr>
          <a:spLocks noChangeArrowheads="1"/>
        </xdr:cNvSpPr>
      </xdr:nvSpPr>
      <xdr:spPr bwMode="auto">
        <a:xfrm>
          <a:off x="371475" y="12363450"/>
          <a:ext cx="2638425" cy="314325"/>
        </a:xfrm>
        <a:prstGeom prst="rect">
          <a:avLst/>
        </a:prstGeom>
        <a:solidFill>
          <a:srgbClr xmlns:mc="http://schemas.openxmlformats.org/markup-compatibility/2006" xmlns:a14="http://schemas.microsoft.com/office/drawing/2010/main" val="808000" mc:Ignorable="a14" a14:legacySpreadsheetColorIndex="19"/>
        </a:solidFill>
        <a:ln w="9525" algn="ctr">
          <a:solidFill>
            <a:srgbClr xmlns:mc="http://schemas.openxmlformats.org/markup-compatibility/2006" xmlns:a14="http://schemas.microsoft.com/office/drawing/2010/main" val="808000"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900" b="1" i="0" u="none" strike="noStrike" baseline="0">
              <a:solidFill>
                <a:srgbClr val="FFFFFF"/>
              </a:solidFill>
              <a:latin typeface="Verdana"/>
              <a:ea typeface="Verdana"/>
              <a:cs typeface="Verdana"/>
            </a:rPr>
            <a:t>Interest on Funded Status (after-tax)</a:t>
          </a:r>
        </a:p>
      </xdr:txBody>
    </xdr:sp>
    <xdr:clientData/>
  </xdr:twoCellAnchor>
  <xdr:twoCellAnchor>
    <xdr:from>
      <xdr:col>2</xdr:col>
      <xdr:colOff>876300</xdr:colOff>
      <xdr:row>77</xdr:row>
      <xdr:rowOff>152400</xdr:rowOff>
    </xdr:from>
    <xdr:to>
      <xdr:col>2</xdr:col>
      <xdr:colOff>1247775</xdr:colOff>
      <xdr:row>80</xdr:row>
      <xdr:rowOff>133350</xdr:rowOff>
    </xdr:to>
    <xdr:sp macro="" textlink="">
      <xdr:nvSpPr>
        <xdr:cNvPr id="6" name="Text Box 30"/>
        <xdr:cNvSpPr txBox="1">
          <a:spLocks noChangeArrowheads="1"/>
        </xdr:cNvSpPr>
      </xdr:nvSpPr>
      <xdr:spPr bwMode="auto">
        <a:xfrm>
          <a:off x="1419225" y="12011025"/>
          <a:ext cx="371475" cy="46672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2270AB"/>
              </a:solidFill>
              <a:latin typeface="Arial"/>
              <a:cs typeface="Arial"/>
            </a:rPr>
            <a:t>+</a:t>
          </a:r>
          <a:endParaRPr lang="en-US" sz="2000" b="0" i="0" u="none" strike="noStrike" baseline="0">
            <a:solidFill>
              <a:srgbClr val="2270AB"/>
            </a:solidFill>
            <a:latin typeface="Arial"/>
            <a:cs typeface="Arial"/>
          </a:endParaRPr>
        </a:p>
        <a:p>
          <a:pPr algn="l" rtl="0">
            <a:defRPr sz="1000"/>
          </a:pPr>
          <a:endParaRPr lang="en-US" sz="2000" b="0" i="0" u="none" strike="noStrike" baseline="0">
            <a:solidFill>
              <a:srgbClr val="2270AB"/>
            </a:solidFill>
            <a:latin typeface="Arial"/>
            <a:cs typeface="Arial"/>
          </a:endParaRPr>
        </a:p>
      </xdr:txBody>
    </xdr:sp>
    <xdr:clientData/>
  </xdr:twoCellAnchor>
  <xdr:twoCellAnchor>
    <xdr:from>
      <xdr:col>2</xdr:col>
      <xdr:colOff>2562225</xdr:colOff>
      <xdr:row>74</xdr:row>
      <xdr:rowOff>95250</xdr:rowOff>
    </xdr:from>
    <xdr:to>
      <xdr:col>7</xdr:col>
      <xdr:colOff>28575</xdr:colOff>
      <xdr:row>74</xdr:row>
      <xdr:rowOff>95250</xdr:rowOff>
    </xdr:to>
    <xdr:sp macro="" textlink="">
      <xdr:nvSpPr>
        <xdr:cNvPr id="10204739" name="Line 31"/>
        <xdr:cNvSpPr>
          <a:spLocks noChangeShapeType="1"/>
        </xdr:cNvSpPr>
      </xdr:nvSpPr>
      <xdr:spPr bwMode="gray">
        <a:xfrm>
          <a:off x="3105150" y="8877300"/>
          <a:ext cx="485775"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2</xdr:col>
      <xdr:colOff>2543175</xdr:colOff>
      <xdr:row>77</xdr:row>
      <xdr:rowOff>133350</xdr:rowOff>
    </xdr:from>
    <xdr:to>
      <xdr:col>7</xdr:col>
      <xdr:colOff>19050</xdr:colOff>
      <xdr:row>77</xdr:row>
      <xdr:rowOff>133350</xdr:rowOff>
    </xdr:to>
    <xdr:sp macro="" textlink="">
      <xdr:nvSpPr>
        <xdr:cNvPr id="10204740" name="Line 32"/>
        <xdr:cNvSpPr>
          <a:spLocks noChangeShapeType="1"/>
        </xdr:cNvSpPr>
      </xdr:nvSpPr>
      <xdr:spPr bwMode="gray">
        <a:xfrm>
          <a:off x="3086100" y="9401175"/>
          <a:ext cx="495300"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2</xdr:col>
      <xdr:colOff>2571750</xdr:colOff>
      <xdr:row>81</xdr:row>
      <xdr:rowOff>19050</xdr:rowOff>
    </xdr:from>
    <xdr:to>
      <xdr:col>7</xdr:col>
      <xdr:colOff>9525</xdr:colOff>
      <xdr:row>81</xdr:row>
      <xdr:rowOff>19050</xdr:rowOff>
    </xdr:to>
    <xdr:sp macro="" textlink="">
      <xdr:nvSpPr>
        <xdr:cNvPr id="10204741" name="Line 33"/>
        <xdr:cNvSpPr>
          <a:spLocks noChangeShapeType="1"/>
        </xdr:cNvSpPr>
      </xdr:nvSpPr>
      <xdr:spPr bwMode="gray">
        <a:xfrm>
          <a:off x="3114675" y="9934575"/>
          <a:ext cx="457200"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7</xdr:col>
      <xdr:colOff>95250</xdr:colOff>
      <xdr:row>73</xdr:row>
      <xdr:rowOff>104775</xdr:rowOff>
    </xdr:from>
    <xdr:to>
      <xdr:col>16</xdr:col>
      <xdr:colOff>0</xdr:colOff>
      <xdr:row>75</xdr:row>
      <xdr:rowOff>123825</xdr:rowOff>
    </xdr:to>
    <xdr:sp macro="" textlink="">
      <xdr:nvSpPr>
        <xdr:cNvPr id="10" name="Text Box 34"/>
        <xdr:cNvSpPr txBox="1">
          <a:spLocks noChangeArrowheads="1"/>
        </xdr:cNvSpPr>
      </xdr:nvSpPr>
      <xdr:spPr bwMode="gray">
        <a:xfrm>
          <a:off x="3657600" y="11315700"/>
          <a:ext cx="5314950" cy="34290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2270AB"/>
              </a:solidFill>
              <a:latin typeface="Verdana"/>
              <a:ea typeface="Verdana"/>
              <a:cs typeface="Verdana"/>
            </a:rPr>
            <a:t>Reduces equity value dollar for dollar as a debt-like liability</a:t>
          </a:r>
          <a:endParaRPr lang="en-US" sz="1200" b="0" i="0" u="none" strike="noStrike" baseline="0">
            <a:solidFill>
              <a:srgbClr val="2270AB"/>
            </a:solidFill>
            <a:latin typeface="Arial"/>
            <a:ea typeface="Verdana"/>
            <a:cs typeface="Arial"/>
          </a:endParaRPr>
        </a:p>
        <a:p>
          <a:pPr algn="l" rtl="0">
            <a:defRPr sz="1000"/>
          </a:pPr>
          <a:endParaRPr lang="en-US" sz="1200" b="0" i="0" u="none" strike="noStrike" baseline="0">
            <a:solidFill>
              <a:srgbClr val="2270AB"/>
            </a:solidFill>
            <a:latin typeface="Arial"/>
            <a:cs typeface="Arial"/>
          </a:endParaRPr>
        </a:p>
      </xdr:txBody>
    </xdr:sp>
    <xdr:clientData/>
  </xdr:twoCellAnchor>
  <xdr:twoCellAnchor>
    <xdr:from>
      <xdr:col>7</xdr:col>
      <xdr:colOff>95250</xdr:colOff>
      <xdr:row>76</xdr:row>
      <xdr:rowOff>95250</xdr:rowOff>
    </xdr:from>
    <xdr:to>
      <xdr:col>16</xdr:col>
      <xdr:colOff>0</xdr:colOff>
      <xdr:row>79</xdr:row>
      <xdr:rowOff>85725</xdr:rowOff>
    </xdr:to>
    <xdr:sp macro="" textlink="">
      <xdr:nvSpPr>
        <xdr:cNvPr id="11" name="Text Box 35"/>
        <xdr:cNvSpPr txBox="1">
          <a:spLocks noChangeArrowheads="1"/>
        </xdr:cNvSpPr>
      </xdr:nvSpPr>
      <xdr:spPr bwMode="gray">
        <a:xfrm>
          <a:off x="3657600" y="11791950"/>
          <a:ext cx="5314950" cy="47625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2270AB"/>
              </a:solidFill>
              <a:latin typeface="Verdana"/>
              <a:ea typeface="Verdana"/>
              <a:cs typeface="Verdana"/>
            </a:rPr>
            <a:t>Use in projections of earnings and operating cash flow as a proxy for contributions</a:t>
          </a:r>
          <a:r>
            <a:rPr lang="en-US" sz="900" b="1" i="0" u="none" strike="noStrike" baseline="30000">
              <a:solidFill>
                <a:srgbClr val="2270AB"/>
              </a:solidFill>
              <a:latin typeface="Verdana"/>
              <a:ea typeface="Verdana"/>
              <a:cs typeface="Verdana"/>
            </a:rPr>
            <a:t>(1)</a:t>
          </a:r>
          <a:endParaRPr lang="en-US" sz="1200" b="0" i="0" u="none" strike="noStrike" baseline="0">
            <a:solidFill>
              <a:srgbClr val="2270AB"/>
            </a:solidFill>
            <a:latin typeface="Arial"/>
            <a:ea typeface="Verdana"/>
            <a:cs typeface="Arial"/>
          </a:endParaRPr>
        </a:p>
        <a:p>
          <a:pPr algn="l" rtl="0">
            <a:defRPr sz="1000"/>
          </a:pPr>
          <a:endParaRPr lang="en-US" sz="1200" b="0" i="0" u="none" strike="noStrike" baseline="0">
            <a:solidFill>
              <a:srgbClr val="2270AB"/>
            </a:solidFill>
            <a:latin typeface="Arial"/>
            <a:cs typeface="Arial"/>
          </a:endParaRPr>
        </a:p>
      </xdr:txBody>
    </xdr:sp>
    <xdr:clientData/>
  </xdr:twoCellAnchor>
  <xdr:oneCellAnchor>
    <xdr:from>
      <xdr:col>7</xdr:col>
      <xdr:colOff>66675</xdr:colOff>
      <xdr:row>80</xdr:row>
      <xdr:rowOff>57150</xdr:rowOff>
    </xdr:from>
    <xdr:ext cx="3869201" cy="232628"/>
    <xdr:sp macro="" textlink="">
      <xdr:nvSpPr>
        <xdr:cNvPr id="12" name="Text Box 36"/>
        <xdr:cNvSpPr txBox="1">
          <a:spLocks noChangeArrowheads="1"/>
        </xdr:cNvSpPr>
      </xdr:nvSpPr>
      <xdr:spPr bwMode="gray">
        <a:xfrm>
          <a:off x="3629025" y="9810750"/>
          <a:ext cx="3869201" cy="232628"/>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wrap="none" lIns="45720" tIns="45720" rIns="45720" bIns="45720" anchor="t" upright="1">
          <a:spAutoFit/>
        </a:bodyPr>
        <a:lstStyle/>
        <a:p>
          <a:pPr algn="l" rtl="0">
            <a:defRPr sz="1000"/>
          </a:pPr>
          <a:r>
            <a:rPr lang="en-US" sz="900" b="1" i="0" u="none" strike="noStrike" baseline="0">
              <a:solidFill>
                <a:srgbClr val="2270AB"/>
              </a:solidFill>
              <a:latin typeface="Verdana"/>
              <a:ea typeface="Verdana"/>
              <a:cs typeface="Verdana"/>
            </a:rPr>
            <a:t>Use in projections of net income in equity-level valuations</a:t>
          </a:r>
        </a:p>
      </xdr:txBody>
    </xdr:sp>
    <xdr:clientData/>
  </xdr:oneCellAnchor>
  <xdr:twoCellAnchor>
    <xdr:from>
      <xdr:col>1</xdr:col>
      <xdr:colOff>257175</xdr:colOff>
      <xdr:row>82</xdr:row>
      <xdr:rowOff>104775</xdr:rowOff>
    </xdr:from>
    <xdr:to>
      <xdr:col>16</xdr:col>
      <xdr:colOff>0</xdr:colOff>
      <xdr:row>84</xdr:row>
      <xdr:rowOff>114300</xdr:rowOff>
    </xdr:to>
    <xdr:sp macro="" textlink="">
      <xdr:nvSpPr>
        <xdr:cNvPr id="13" name="Text Box 37"/>
        <xdr:cNvSpPr txBox="1">
          <a:spLocks noChangeArrowheads="1"/>
        </xdr:cNvSpPr>
      </xdr:nvSpPr>
      <xdr:spPr bwMode="gray">
        <a:xfrm>
          <a:off x="342900" y="12773025"/>
          <a:ext cx="8629650" cy="33337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30000">
              <a:solidFill>
                <a:srgbClr val="2270AB"/>
              </a:solidFill>
              <a:latin typeface="Verdana"/>
              <a:ea typeface="Verdana"/>
              <a:cs typeface="Verdana"/>
            </a:rPr>
            <a:t>(1)</a:t>
          </a:r>
          <a:r>
            <a:rPr lang="en-US" sz="900" b="1" i="0" u="none" strike="noStrike" baseline="0">
              <a:solidFill>
                <a:srgbClr val="2270AB"/>
              </a:solidFill>
              <a:latin typeface="Verdana"/>
              <a:ea typeface="Verdana"/>
              <a:cs typeface="Verdana"/>
            </a:rPr>
            <a:t>Projections of pension contributions are relevant only if large cash outflows would constrain business activities</a:t>
          </a:r>
        </a:p>
      </xdr:txBody>
    </xdr:sp>
    <xdr:clientData/>
  </xdr:twoCellAnchor>
  <mc:AlternateContent xmlns:mc="http://schemas.openxmlformats.org/markup-compatibility/2006">
    <mc:Choice xmlns:a14="http://schemas.microsoft.com/office/drawing/2010/main" Requires="a14">
      <xdr:twoCellAnchor editAs="oneCell">
        <xdr:from>
          <xdr:col>16</xdr:col>
          <xdr:colOff>0</xdr:colOff>
          <xdr:row>0</xdr:row>
          <xdr:rowOff>66675</xdr:rowOff>
        </xdr:from>
        <xdr:to>
          <xdr:col>21</xdr:col>
          <xdr:colOff>228600</xdr:colOff>
          <xdr:row>1</xdr:row>
          <xdr:rowOff>133350</xdr:rowOff>
        </xdr:to>
        <xdr:sp macro="" textlink="">
          <xdr:nvSpPr>
            <xdr:cNvPr id="1383425" name="CommandButton1" hidden="1">
              <a:extLst>
                <a:ext uri="{63B3BB69-23CF-44E3-9099-C40C66FF867C}">
                  <a14:compatExt spid="_x0000_s1383425"/>
                </a:ext>
              </a:extLst>
            </xdr:cNvPr>
            <xdr:cNvSpPr/>
          </xdr:nvSpPr>
          <xdr:spPr>
            <a:xfrm>
              <a:off x="0" y="0"/>
              <a:ext cx="0" cy="0"/>
            </a:xfrm>
            <a:prstGeom prst="rect">
              <a:avLst/>
            </a:prstGeom>
          </xdr:spPr>
        </xdr:sp>
        <xdr:clientData/>
      </xdr:twoCellAnchor>
    </mc:Choice>
    <mc:Fallback/>
  </mc:AlternateContent>
  <xdr:twoCellAnchor>
    <xdr:from>
      <xdr:col>16</xdr:col>
      <xdr:colOff>114300</xdr:colOff>
      <xdr:row>32</xdr:row>
      <xdr:rowOff>9525</xdr:rowOff>
    </xdr:from>
    <xdr:to>
      <xdr:col>21</xdr:col>
      <xdr:colOff>361950</xdr:colOff>
      <xdr:row>45</xdr:row>
      <xdr:rowOff>152400</xdr:rowOff>
    </xdr:to>
    <xdr:graphicFrame macro="">
      <xdr:nvGraphicFramePr>
        <xdr:cNvPr id="10204746"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85725</xdr:colOff>
      <xdr:row>16</xdr:row>
      <xdr:rowOff>38100</xdr:rowOff>
    </xdr:from>
    <xdr:to>
      <xdr:col>21</xdr:col>
      <xdr:colOff>342900</xdr:colOff>
      <xdr:row>31</xdr:row>
      <xdr:rowOff>19050</xdr:rowOff>
    </xdr:to>
    <xdr:graphicFrame macro="">
      <xdr:nvGraphicFramePr>
        <xdr:cNvPr id="10204747" name="Chart 1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0</xdr:colOff>
          <xdr:row>0</xdr:row>
          <xdr:rowOff>57150</xdr:rowOff>
        </xdr:from>
        <xdr:to>
          <xdr:col>22</xdr:col>
          <xdr:colOff>609600</xdr:colOff>
          <xdr:row>1</xdr:row>
          <xdr:rowOff>133350</xdr:rowOff>
        </xdr:to>
        <xdr:sp macro="" textlink="">
          <xdr:nvSpPr>
            <xdr:cNvPr id="1383426" name="CommandButton2" hidden="1">
              <a:extLst>
                <a:ext uri="{63B3BB69-23CF-44E3-9099-C40C66FF867C}">
                  <a14:compatExt spid="_x0000_s13834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0</xdr:row>
          <xdr:rowOff>85725</xdr:rowOff>
        </xdr:from>
        <xdr:to>
          <xdr:col>13</xdr:col>
          <xdr:colOff>657225</xdr:colOff>
          <xdr:row>1</xdr:row>
          <xdr:rowOff>171450</xdr:rowOff>
        </xdr:to>
        <xdr:sp macro="" textlink="">
          <xdr:nvSpPr>
            <xdr:cNvPr id="1383427" name="ComboBox1" hidden="1">
              <a:extLst>
                <a:ext uri="{63B3BB69-23CF-44E3-9099-C40C66FF867C}">
                  <a14:compatExt spid="_x0000_s138342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16</xdr:col>
      <xdr:colOff>171450</xdr:colOff>
      <xdr:row>17</xdr:row>
      <xdr:rowOff>19050</xdr:rowOff>
    </xdr:from>
    <xdr:to>
      <xdr:col>20</xdr:col>
      <xdr:colOff>200025</xdr:colOff>
      <xdr:row>31</xdr:row>
      <xdr:rowOff>152400</xdr:rowOff>
    </xdr:to>
    <xdr:graphicFrame macro="">
      <xdr:nvGraphicFramePr>
        <xdr:cNvPr id="1020727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0</xdr:row>
          <xdr:rowOff>57150</xdr:rowOff>
        </xdr:from>
        <xdr:to>
          <xdr:col>14</xdr:col>
          <xdr:colOff>0</xdr:colOff>
          <xdr:row>1</xdr:row>
          <xdr:rowOff>180975</xdr:rowOff>
        </xdr:to>
        <xdr:sp macro="" textlink="">
          <xdr:nvSpPr>
            <xdr:cNvPr id="340994" name="ComboBox1" hidden="1">
              <a:extLst>
                <a:ext uri="{63B3BB69-23CF-44E3-9099-C40C66FF867C}">
                  <a14:compatExt spid="_x0000_s34099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Documents%20and%20Settings/warjohn/Local%20Settings/Temporary%20Internet%20Files/OLK1DA/Funded%20status%20Chart.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Data/LeeR/Industry/Restaurants/WEN/Model/WEN_BobModel.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Users/diahuang/AppData/Local/Microsoft/Windows/Temporary%20Internet%20Files/Content.IE5/017ZJUBU/Pension+Analyzer_US_NEW__(MW_10.1+TRSL_1.51.7023.0)_10-09-13.xls"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NA/NY/USERS/diahuang/1Q14/NSC.PensionAnalyzer_US_NEW.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COP"/>
      <sheetName val="Income Statement"/>
      <sheetName val="Revenue&amp;EBIT"/>
      <sheetName val="Fin. Summary"/>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CENMODEL"/>
      <sheetName val="Cash flow"/>
      <sheetName val="Profit &amp; Loss"/>
      <sheetName val="Inputs, sensitivity &amp; val"/>
      <sheetName val="KQ"/>
      <sheetName val="Monthly figures"/>
      <sheetName val="DOMNETREV1002B"/>
      <sheetName val="Consolidated"/>
      <sheetName val="Customize Your Statement"/>
      <sheetName val="c1"/>
      <sheetName val="Sainsbury"/>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Flow"/>
      <sheetName val="upside_downside"/>
      <sheetName val="Income Statement"/>
      <sheetName val="Balance Sheet"/>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CPB"/>
      <sheetName val="Total_Food_Promo"/>
      <sheetName val="CPB_2yr"/>
      <sheetName val="FX"/>
      <sheetName val="Inputs"/>
      <sheetName val="Good 12-00 (2)"/>
      <sheetName val="Good 11-36"/>
      <sheetName val="Good 11-50"/>
      <sheetName val="Sheet3 (5)"/>
      <sheetName val="B11_BarSingle_AverageLine"/>
      <sheetName val="Summary"/>
      <sheetName val="Floater Demand"/>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Charts"/>
      <sheetName val="Pension"/>
      <sheetName val="Walk"/>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_Sheet"/>
      <sheetName val="Model"/>
      <sheetName val="DCF"/>
      <sheetName val="DCF2"/>
      <sheetName val="MktGuide"/>
      <sheetName val="CIBC_Model"/>
      <sheetName val="2005_EPS_Build"/>
      <sheetName val="Dunkin"/>
      <sheetName val="UpsideDownside"/>
      <sheetName val="SectorTemplate"/>
      <sheetName val="FairValue"/>
      <sheetName val="WEN_BobModel"/>
      <sheetName val="P"/>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ort"/>
      <sheetName val="MW-Cache"/>
      <sheetName val="Pension"/>
      <sheetName val="OPEB"/>
      <sheetName val="mwareSettings"/>
      <sheetName val="#REF"/>
    </sheetNames>
    <sheetDataSet>
      <sheetData sheetId="0" refreshError="1"/>
      <sheetData sheetId="1" refreshError="1"/>
      <sheetData sheetId="2" refreshError="1"/>
      <sheetData sheetId="3" refreshError="1">
        <row r="21">
          <cell r="AZ21">
            <v>1</v>
          </cell>
        </row>
      </sheetData>
      <sheetData sheetId="4" refreshError="1"/>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ort"/>
      <sheetName val="MW-Cache"/>
      <sheetName val="Pension"/>
      <sheetName val="OPEB"/>
      <sheetName val="mwareSettings"/>
    </sheetNames>
    <sheetDataSet>
      <sheetData sheetId="0"/>
      <sheetData sheetId="1"/>
      <sheetData sheetId="2">
        <row r="1">
          <cell r="H1" t="str">
            <v>NSC.N</v>
          </cell>
        </row>
        <row r="2">
          <cell r="H2" t="str">
            <v>Norfolk Southern Corp</v>
          </cell>
        </row>
        <row r="3">
          <cell r="H3">
            <v>2641894</v>
          </cell>
        </row>
        <row r="9">
          <cell r="D9">
            <v>0.1</v>
          </cell>
          <cell r="E9">
            <v>0.1</v>
          </cell>
          <cell r="F9">
            <v>0.1</v>
          </cell>
          <cell r="G9">
            <v>0.1</v>
          </cell>
          <cell r="H9">
            <v>0.1</v>
          </cell>
          <cell r="I9">
            <v>0.1</v>
          </cell>
          <cell r="J9">
            <v>0.1</v>
          </cell>
          <cell r="K9">
            <v>0.1</v>
          </cell>
        </row>
        <row r="10">
          <cell r="D10">
            <v>10</v>
          </cell>
          <cell r="E10">
            <v>10</v>
          </cell>
          <cell r="F10">
            <v>10</v>
          </cell>
          <cell r="G10">
            <v>10</v>
          </cell>
          <cell r="H10">
            <v>10</v>
          </cell>
          <cell r="I10">
            <v>10</v>
          </cell>
          <cell r="J10">
            <v>10</v>
          </cell>
          <cell r="K10">
            <v>10</v>
          </cell>
        </row>
        <row r="12">
          <cell r="AZ12" t="str">
            <v>-7FY</v>
          </cell>
        </row>
        <row r="13">
          <cell r="D13">
            <v>0.35</v>
          </cell>
          <cell r="E13">
            <v>0.36</v>
          </cell>
          <cell r="F13">
            <v>0.36</v>
          </cell>
          <cell r="G13">
            <v>0.36</v>
          </cell>
          <cell r="H13">
            <v>0.36</v>
          </cell>
          <cell r="I13">
            <v>0.36</v>
          </cell>
          <cell r="J13">
            <v>0.36</v>
          </cell>
          <cell r="K13">
            <v>0.36</v>
          </cell>
          <cell r="L13">
            <v>0.36</v>
          </cell>
          <cell r="M13">
            <v>0.36</v>
          </cell>
          <cell r="N13">
            <v>0.36</v>
          </cell>
          <cell r="O13">
            <v>0.35</v>
          </cell>
          <cell r="P13">
            <v>0.35</v>
          </cell>
          <cell r="AZ13" t="str">
            <v>0FY</v>
          </cell>
        </row>
        <row r="40">
          <cell r="CC40" t="str">
            <v>Market cap</v>
          </cell>
          <cell r="CD40">
            <v>22827.026496396</v>
          </cell>
          <cell r="CE40">
            <v>24488.68428331488</v>
          </cell>
          <cell r="CF40">
            <v>19544.10064547088</v>
          </cell>
          <cell r="CG40">
            <v>28673.177856580798</v>
          </cell>
          <cell r="CH40">
            <v>30021.79932544144</v>
          </cell>
          <cell r="CI40">
            <v>30021.79932544144</v>
          </cell>
          <cell r="CJ40">
            <v>30021.79932544144</v>
          </cell>
        </row>
        <row r="184">
          <cell r="AQ184" t="str">
            <v>USD</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2.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3.xml" Type="http://schemas.openxmlformats.org/officeDocument/2006/relationships/drawing"/>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10" Target="../comments4.xml" Type="http://schemas.openxmlformats.org/officeDocument/2006/relationships/comments"/>
<Relationship Id="rId2" Target="../drawings/drawing4.xml" Type="http://schemas.openxmlformats.org/officeDocument/2006/relationships/drawing"/>
<Relationship Id="rId3" Target="../drawings/vmlDrawing4.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activeX/activeX2.xml" Type="http://schemas.openxmlformats.org/officeDocument/2006/relationships/control"/>
<Relationship Id="rId7" Target="../media/image5.emf" Type="http://schemas.openxmlformats.org/officeDocument/2006/relationships/image"/>
<Relationship Id="rId8" Target="../activeX/activeX3.xml" Type="http://schemas.openxmlformats.org/officeDocument/2006/relationships/control"/>
<Relationship Id="rId9" Target="../media/image6.emf" Type="http://schemas.openxmlformats.org/officeDocument/2006/relationships/image"/>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5.xml" Type="http://schemas.openxmlformats.org/officeDocument/2006/relationships/drawing"/>
<Relationship Id="rId3" Target="../drawings/vmlDrawing5.vml" Type="http://schemas.openxmlformats.org/officeDocument/2006/relationships/vmlDrawing"/>
<Relationship Id="rId4" Target="../activeX/activeX4.xml" Type="http://schemas.openxmlformats.org/officeDocument/2006/relationships/control"/>
<Relationship Id="rId5" Target="../media/image7.emf" Type="http://schemas.openxmlformats.org/officeDocument/2006/relationships/image"/>
<Relationship Id="rId6"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H2"/>
  <sheetViews>
    <sheetView workbookViewId="0"/>
  </sheetViews>
  <sheetFormatPr defaultRowHeight="12" x14ac:dyDescent="0.15"/>
  <sheetData>
    <row r="1" spans="1:190" x14ac:dyDescent="0.15">
      <c r="A1" t="s">
        <v>705</v>
      </c>
    </row>
    <row r="2" spans="1:190" x14ac:dyDescent="0.15">
      <c r="A2" s="4" t="s">
        <v>697</v>
      </c>
      <c r="B2" s="4" t="s">
        <v>225</v>
      </c>
      <c r="C2" s="4" t="s">
        <v>694</v>
      </c>
      <c r="D2" s="4" t="s">
        <v>710</v>
      </c>
      <c r="E2" s="4" t="s">
        <v>699</v>
      </c>
      <c r="F2" s="4" t="s">
        <v>712</v>
      </c>
      <c r="G2" s="4" t="s">
        <v>668</v>
      </c>
      <c r="H2" s="4" t="s">
        <v>670</v>
      </c>
      <c r="I2" s="4" t="s">
        <v>381</v>
      </c>
      <c r="J2" s="4" t="s">
        <v>225</v>
      </c>
      <c r="K2" s="4" t="s">
        <v>552</v>
      </c>
      <c r="L2" s="4" t="s">
        <v>83</v>
      </c>
      <c r="M2" s="4" t="s">
        <v>675</v>
      </c>
      <c r="N2" s="4" t="s">
        <v>225</v>
      </c>
      <c r="O2" s="4" t="s">
        <v>692</v>
      </c>
      <c r="P2" s="4" t="s">
        <v>709</v>
      </c>
      <c r="Q2" s="4" t="s">
        <v>672</v>
      </c>
      <c r="R2" s="4" t="s">
        <v>225</v>
      </c>
      <c r="S2" s="4" t="s">
        <v>681</v>
      </c>
      <c r="T2" s="4" t="s">
        <v>83</v>
      </c>
      <c r="U2" s="4" t="s">
        <v>488</v>
      </c>
      <c r="V2" s="4" t="s">
        <v>554</v>
      </c>
      <c r="W2" s="4" t="s">
        <v>548</v>
      </c>
      <c r="X2" s="4" t="s">
        <v>225</v>
      </c>
      <c r="Y2" s="4" t="s">
        <v>683</v>
      </c>
      <c r="Z2" s="4" t="s">
        <v>83</v>
      </c>
      <c r="AA2" s="4" t="s">
        <v>704</v>
      </c>
      <c r="AB2" s="4" t="s">
        <v>715</v>
      </c>
      <c r="AC2" s="4" t="s">
        <v>323</v>
      </c>
      <c r="AD2" s="4" t="s">
        <v>225</v>
      </c>
      <c r="AE2" s="4" t="s">
        <v>255</v>
      </c>
      <c r="AF2" s="4" t="s">
        <v>594</v>
      </c>
      <c r="AG2" s="4" t="s">
        <v>6</v>
      </c>
      <c r="AH2" s="4" t="s">
        <v>576</v>
      </c>
      <c r="AI2" s="4" t="s">
        <v>460</v>
      </c>
      <c r="AJ2" s="4" t="s">
        <v>225</v>
      </c>
      <c r="AK2" s="4" t="s">
        <v>4</v>
      </c>
      <c r="AL2" s="4" t="s">
        <v>7</v>
      </c>
      <c r="AM2" s="4" t="s">
        <v>647</v>
      </c>
      <c r="AN2" s="4" t="s">
        <v>225</v>
      </c>
      <c r="AO2" s="4" t="s">
        <v>702</v>
      </c>
      <c r="AP2" s="4" t="s">
        <v>225</v>
      </c>
      <c r="AQ2" s="4" t="s">
        <v>368</v>
      </c>
      <c r="AR2" s="4" t="s">
        <v>369</v>
      </c>
      <c r="AS2" s="4" t="s">
        <v>682</v>
      </c>
      <c r="AT2" s="4" t="s">
        <v>83</v>
      </c>
      <c r="AU2" s="4" t="s">
        <v>700</v>
      </c>
      <c r="AV2" s="4" t="s">
        <v>713</v>
      </c>
      <c r="AW2" s="4" t="s">
        <v>604</v>
      </c>
      <c r="AX2" s="4" t="s">
        <v>225</v>
      </c>
      <c r="AY2" s="4" t="s">
        <v>453</v>
      </c>
      <c r="AZ2" s="4" t="s">
        <v>454</v>
      </c>
      <c r="BA2" s="4" t="s">
        <v>551</v>
      </c>
      <c r="BB2" s="4" t="s">
        <v>83</v>
      </c>
      <c r="BC2" s="4" t="s">
        <v>320</v>
      </c>
      <c r="BD2" s="4" t="s">
        <v>225</v>
      </c>
      <c r="BE2" s="4" t="s">
        <v>461</v>
      </c>
      <c r="BF2" s="4" t="s">
        <v>225</v>
      </c>
      <c r="BG2" s="4" t="s">
        <v>380</v>
      </c>
      <c r="BH2" s="4" t="s">
        <v>225</v>
      </c>
      <c r="BI2" s="4" t="s">
        <v>363</v>
      </c>
      <c r="BJ2" s="4" t="s">
        <v>83</v>
      </c>
      <c r="BK2" s="4" t="s">
        <v>371</v>
      </c>
      <c r="BL2" s="4" t="s">
        <v>372</v>
      </c>
      <c r="BM2" s="4" t="s">
        <v>680</v>
      </c>
      <c r="BN2" s="4" t="s">
        <v>225</v>
      </c>
      <c r="BO2" s="4" t="s">
        <v>685</v>
      </c>
      <c r="BP2" s="4" t="s">
        <v>225</v>
      </c>
      <c r="BQ2" s="4" t="s">
        <v>690</v>
      </c>
      <c r="BR2" s="4" t="s">
        <v>225</v>
      </c>
      <c r="BS2" s="4" t="s">
        <v>455</v>
      </c>
      <c r="BT2" s="4" t="s">
        <v>456</v>
      </c>
      <c r="BU2" s="4" t="s">
        <v>696</v>
      </c>
      <c r="BV2" s="4" t="s">
        <v>225</v>
      </c>
      <c r="BW2" s="4" t="s">
        <v>687</v>
      </c>
      <c r="BX2" s="4" t="s">
        <v>83</v>
      </c>
      <c r="BY2" s="4" t="s">
        <v>605</v>
      </c>
      <c r="BZ2" s="4" t="s">
        <v>225</v>
      </c>
      <c r="CA2" s="4" t="s">
        <v>671</v>
      </c>
      <c r="CB2" s="4" t="s">
        <v>83</v>
      </c>
      <c r="CC2" s="4" t="s">
        <v>476</v>
      </c>
      <c r="CD2" s="4" t="s">
        <v>83</v>
      </c>
      <c r="CE2" s="4" t="s">
        <v>689</v>
      </c>
      <c r="CF2" s="4" t="s">
        <v>707</v>
      </c>
      <c r="CG2" s="4" t="s">
        <v>462</v>
      </c>
      <c r="CH2" s="4" t="s">
        <v>225</v>
      </c>
      <c r="CI2" s="4" t="s">
        <v>370</v>
      </c>
      <c r="CJ2" s="4" t="s">
        <v>83</v>
      </c>
      <c r="CK2" s="4" t="s">
        <v>246</v>
      </c>
      <c r="CL2" s="4" t="s">
        <v>225</v>
      </c>
      <c r="CM2" s="4" t="s">
        <v>686</v>
      </c>
      <c r="CN2" s="4" t="s">
        <v>83</v>
      </c>
      <c r="CO2" s="4" t="s">
        <v>402</v>
      </c>
      <c r="CP2" s="4" t="s">
        <v>594</v>
      </c>
      <c r="CQ2" s="4" t="s">
        <v>457</v>
      </c>
      <c r="CR2" s="4" t="s">
        <v>458</v>
      </c>
      <c r="CS2" s="4" t="s">
        <v>362</v>
      </c>
      <c r="CT2" s="4" t="s">
        <v>83</v>
      </c>
      <c r="CU2" s="4" t="s">
        <v>684</v>
      </c>
      <c r="CV2" s="4" t="s">
        <v>225</v>
      </c>
      <c r="CW2" s="4" t="s">
        <v>673</v>
      </c>
      <c r="CX2" s="4" t="s">
        <v>225</v>
      </c>
      <c r="CY2" s="4" t="s">
        <v>254</v>
      </c>
      <c r="CZ2" s="4" t="s">
        <v>62</v>
      </c>
      <c r="DA2" s="4" t="s">
        <v>452</v>
      </c>
      <c r="DB2" s="4" t="s">
        <v>225</v>
      </c>
      <c r="DC2" s="4" t="s">
        <v>674</v>
      </c>
      <c r="DD2" s="4" t="s">
        <v>83</v>
      </c>
      <c r="DE2" s="4" t="s">
        <v>550</v>
      </c>
      <c r="DF2" s="4" t="s">
        <v>225</v>
      </c>
      <c r="DG2" s="4" t="s">
        <v>667</v>
      </c>
      <c r="DH2" s="4" t="s">
        <v>669</v>
      </c>
      <c r="DI2" s="4" t="s">
        <v>500</v>
      </c>
      <c r="DJ2" s="4" t="s">
        <v>225</v>
      </c>
      <c r="DK2" s="4" t="s">
        <v>366</v>
      </c>
      <c r="DL2" s="4" t="s">
        <v>225</v>
      </c>
      <c r="DM2" s="4" t="s">
        <v>478</v>
      </c>
      <c r="DN2" s="4" t="s">
        <v>225</v>
      </c>
      <c r="DO2" s="4" t="s">
        <v>324</v>
      </c>
      <c r="DP2" s="4" t="s">
        <v>225</v>
      </c>
      <c r="DQ2" s="4" t="s">
        <v>695</v>
      </c>
      <c r="DR2" s="4" t="s">
        <v>225</v>
      </c>
      <c r="DS2" s="4" t="s">
        <v>678</v>
      </c>
      <c r="DT2" s="4" t="s">
        <v>83</v>
      </c>
      <c r="DU2" s="4" t="s">
        <v>448</v>
      </c>
      <c r="DV2" s="4" t="s">
        <v>871</v>
      </c>
      <c r="DW2" s="4" t="s">
        <v>470</v>
      </c>
      <c r="DX2" s="4" t="s">
        <v>594</v>
      </c>
      <c r="DY2" s="4" t="s">
        <v>365</v>
      </c>
      <c r="DZ2" s="4" t="s">
        <v>83</v>
      </c>
      <c r="EA2" s="4" t="s">
        <v>549</v>
      </c>
      <c r="EB2" s="4" t="s">
        <v>83</v>
      </c>
      <c r="EC2" s="4" t="s">
        <v>322</v>
      </c>
      <c r="ED2" s="4" t="s">
        <v>225</v>
      </c>
      <c r="EE2" s="4" t="s">
        <v>58</v>
      </c>
      <c r="EF2" s="4" t="s">
        <v>225</v>
      </c>
      <c r="EG2" s="4" t="s">
        <v>677</v>
      </c>
      <c r="EH2" s="4" t="s">
        <v>83</v>
      </c>
      <c r="EI2" s="4" t="s">
        <v>367</v>
      </c>
      <c r="EJ2" s="4" t="s">
        <v>225</v>
      </c>
      <c r="EK2" s="4" t="s">
        <v>82</v>
      </c>
      <c r="EL2" s="4" t="s">
        <v>225</v>
      </c>
      <c r="EM2" s="4" t="s">
        <v>688</v>
      </c>
      <c r="EN2" s="4" t="s">
        <v>706</v>
      </c>
      <c r="EO2" s="4" t="s">
        <v>156</v>
      </c>
      <c r="EP2" s="4" t="s">
        <v>432</v>
      </c>
      <c r="EQ2" s="4" t="s">
        <v>59</v>
      </c>
      <c r="ER2" s="4" t="s">
        <v>83</v>
      </c>
      <c r="ES2" s="4" t="s">
        <v>584</v>
      </c>
      <c r="ET2" s="4" t="s">
        <v>225</v>
      </c>
      <c r="EU2" s="4" t="s">
        <v>499</v>
      </c>
      <c r="EV2" s="4" t="s">
        <v>225</v>
      </c>
      <c r="EW2" s="4" t="s">
        <v>61</v>
      </c>
      <c r="EX2" s="4" t="s">
        <v>83</v>
      </c>
      <c r="EY2" s="4" t="s">
        <v>698</v>
      </c>
      <c r="EZ2" s="4" t="s">
        <v>711</v>
      </c>
      <c r="FA2" s="4" t="s">
        <v>676</v>
      </c>
      <c r="FB2" s="4" t="s">
        <v>225</v>
      </c>
      <c r="FC2" s="4" t="s">
        <v>364</v>
      </c>
      <c r="FD2" s="4" t="s">
        <v>83</v>
      </c>
      <c r="FE2" s="4" t="s">
        <v>691</v>
      </c>
      <c r="FF2" s="4" t="s">
        <v>708</v>
      </c>
      <c r="FG2" s="4" t="s">
        <v>679</v>
      </c>
      <c r="FH2" s="4" t="s">
        <v>83</v>
      </c>
      <c r="FI2" s="4" t="s">
        <v>60</v>
      </c>
      <c r="FJ2" s="4" t="s">
        <v>594</v>
      </c>
      <c r="FK2" s="4" t="s">
        <v>5</v>
      </c>
      <c r="FL2" s="4" t="s">
        <v>575</v>
      </c>
      <c r="FM2" s="4" t="s">
        <v>469</v>
      </c>
      <c r="FN2" s="4" t="s">
        <v>449</v>
      </c>
      <c r="FO2" s="4" t="s">
        <v>703</v>
      </c>
      <c r="FP2" s="4" t="s">
        <v>225</v>
      </c>
      <c r="FQ2" s="4" t="s">
        <v>253</v>
      </c>
      <c r="FR2" s="4" t="s">
        <v>225</v>
      </c>
      <c r="FS2" s="4" t="s">
        <v>656</v>
      </c>
      <c r="FT2" s="4" t="s">
        <v>225</v>
      </c>
      <c r="FU2" s="4" t="s">
        <v>693</v>
      </c>
      <c r="FV2" s="4" t="s">
        <v>225</v>
      </c>
      <c r="FW2" s="4" t="s">
        <v>373</v>
      </c>
      <c r="FX2" s="4" t="s">
        <v>225</v>
      </c>
      <c r="FY2" s="4" t="s">
        <v>477</v>
      </c>
      <c r="FZ2" s="4" t="s">
        <v>83</v>
      </c>
      <c r="GA2" s="4" t="s">
        <v>701</v>
      </c>
      <c r="GB2" s="4" t="s">
        <v>714</v>
      </c>
      <c r="GC2" s="4" t="s">
        <v>553</v>
      </c>
      <c r="GD2" s="4" t="s">
        <v>83</v>
      </c>
      <c r="GE2" s="4" t="s">
        <v>501</v>
      </c>
      <c r="GF2" s="4" t="s">
        <v>225</v>
      </c>
      <c r="GG2" s="4" t="s">
        <v>479</v>
      </c>
      <c r="GH2" s="4" t="s">
        <v>594</v>
      </c>
    </row>
  </sheetData>
  <phoneticPr fontId="1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7"/>
  <sheetViews>
    <sheetView showGridLines="0" tabSelected="1" workbookViewId="0">
      <selection activeCell="A16" sqref="A16"/>
    </sheetView>
  </sheetViews>
  <sheetFormatPr defaultRowHeight="12.75" x14ac:dyDescent="0.2"/>
  <cols>
    <col min="1" max="1" width="25.625" style="2144" customWidth="1"/>
    <col min="2" max="5" width="9" style="2144"/>
    <col min="6" max="6" width="18.625" style="2144" customWidth="1"/>
    <col min="7" max="256" width="9" style="2144"/>
    <col min="257" max="257" width="88.125" style="2144" customWidth="1"/>
    <col min="258" max="512" width="9" style="2144"/>
    <col min="513" max="513" width="88.125" style="2144" customWidth="1"/>
    <col min="514" max="768" width="9" style="2144"/>
    <col min="769" max="769" width="88.125" style="2144" customWidth="1"/>
    <col min="770" max="1024" width="9" style="2144"/>
    <col min="1025" max="1025" width="88.125" style="2144" customWidth="1"/>
    <col min="1026" max="1280" width="9" style="2144"/>
    <col min="1281" max="1281" width="88.125" style="2144" customWidth="1"/>
    <col min="1282" max="1536" width="9" style="2144"/>
    <col min="1537" max="1537" width="88.125" style="2144" customWidth="1"/>
    <col min="1538" max="1792" width="9" style="2144"/>
    <col min="1793" max="1793" width="88.125" style="2144" customWidth="1"/>
    <col min="1794" max="2048" width="9" style="2144"/>
    <col min="2049" max="2049" width="88.125" style="2144" customWidth="1"/>
    <col min="2050" max="2304" width="9" style="2144"/>
    <col min="2305" max="2305" width="88.125" style="2144" customWidth="1"/>
    <col min="2306" max="2560" width="9" style="2144"/>
    <col min="2561" max="2561" width="88.125" style="2144" customWidth="1"/>
    <col min="2562" max="2816" width="9" style="2144"/>
    <col min="2817" max="2817" width="88.125" style="2144" customWidth="1"/>
    <col min="2818" max="3072" width="9" style="2144"/>
    <col min="3073" max="3073" width="88.125" style="2144" customWidth="1"/>
    <col min="3074" max="3328" width="9" style="2144"/>
    <col min="3329" max="3329" width="88.125" style="2144" customWidth="1"/>
    <col min="3330" max="3584" width="9" style="2144"/>
    <col min="3585" max="3585" width="88.125" style="2144" customWidth="1"/>
    <col min="3586" max="3840" width="9" style="2144"/>
    <col min="3841" max="3841" width="88.125" style="2144" customWidth="1"/>
    <col min="3842" max="4096" width="9" style="2144"/>
    <col min="4097" max="4097" width="88.125" style="2144" customWidth="1"/>
    <col min="4098" max="4352" width="9" style="2144"/>
    <col min="4353" max="4353" width="88.125" style="2144" customWidth="1"/>
    <col min="4354" max="4608" width="9" style="2144"/>
    <col min="4609" max="4609" width="88.125" style="2144" customWidth="1"/>
    <col min="4610" max="4864" width="9" style="2144"/>
    <col min="4865" max="4865" width="88.125" style="2144" customWidth="1"/>
    <col min="4866" max="5120" width="9" style="2144"/>
    <col min="5121" max="5121" width="88.125" style="2144" customWidth="1"/>
    <col min="5122" max="5376" width="9" style="2144"/>
    <col min="5377" max="5377" width="88.125" style="2144" customWidth="1"/>
    <col min="5378" max="5632" width="9" style="2144"/>
    <col min="5633" max="5633" width="88.125" style="2144" customWidth="1"/>
    <col min="5634" max="5888" width="9" style="2144"/>
    <col min="5889" max="5889" width="88.125" style="2144" customWidth="1"/>
    <col min="5890" max="6144" width="9" style="2144"/>
    <col min="6145" max="6145" width="88.125" style="2144" customWidth="1"/>
    <col min="6146" max="6400" width="9" style="2144"/>
    <col min="6401" max="6401" width="88.125" style="2144" customWidth="1"/>
    <col min="6402" max="6656" width="9" style="2144"/>
    <col min="6657" max="6657" width="88.125" style="2144" customWidth="1"/>
    <col min="6658" max="6912" width="9" style="2144"/>
    <col min="6913" max="6913" width="88.125" style="2144" customWidth="1"/>
    <col min="6914" max="7168" width="9" style="2144"/>
    <col min="7169" max="7169" width="88.125" style="2144" customWidth="1"/>
    <col min="7170" max="7424" width="9" style="2144"/>
    <col min="7425" max="7425" width="88.125" style="2144" customWidth="1"/>
    <col min="7426" max="7680" width="9" style="2144"/>
    <col min="7681" max="7681" width="88.125" style="2144" customWidth="1"/>
    <col min="7682" max="7936" width="9" style="2144"/>
    <col min="7937" max="7937" width="88.125" style="2144" customWidth="1"/>
    <col min="7938" max="8192" width="9" style="2144"/>
    <col min="8193" max="8193" width="88.125" style="2144" customWidth="1"/>
    <col min="8194" max="8448" width="9" style="2144"/>
    <col min="8449" max="8449" width="88.125" style="2144" customWidth="1"/>
    <col min="8450" max="8704" width="9" style="2144"/>
    <col min="8705" max="8705" width="88.125" style="2144" customWidth="1"/>
    <col min="8706" max="8960" width="9" style="2144"/>
    <col min="8961" max="8961" width="88.125" style="2144" customWidth="1"/>
    <col min="8962" max="9216" width="9" style="2144"/>
    <col min="9217" max="9217" width="88.125" style="2144" customWidth="1"/>
    <col min="9218" max="9472" width="9" style="2144"/>
    <col min="9473" max="9473" width="88.125" style="2144" customWidth="1"/>
    <col min="9474" max="9728" width="9" style="2144"/>
    <col min="9729" max="9729" width="88.125" style="2144" customWidth="1"/>
    <col min="9730" max="9984" width="9" style="2144"/>
    <col min="9985" max="9985" width="88.125" style="2144" customWidth="1"/>
    <col min="9986" max="10240" width="9" style="2144"/>
    <col min="10241" max="10241" width="88.125" style="2144" customWidth="1"/>
    <col min="10242" max="10496" width="9" style="2144"/>
    <col min="10497" max="10497" width="88.125" style="2144" customWidth="1"/>
    <col min="10498" max="10752" width="9" style="2144"/>
    <col min="10753" max="10753" width="88.125" style="2144" customWidth="1"/>
    <col min="10754" max="11008" width="9" style="2144"/>
    <col min="11009" max="11009" width="88.125" style="2144" customWidth="1"/>
    <col min="11010" max="11264" width="9" style="2144"/>
    <col min="11265" max="11265" width="88.125" style="2144" customWidth="1"/>
    <col min="11266" max="11520" width="9" style="2144"/>
    <col min="11521" max="11521" width="88.125" style="2144" customWidth="1"/>
    <col min="11522" max="11776" width="9" style="2144"/>
    <col min="11777" max="11777" width="88.125" style="2144" customWidth="1"/>
    <col min="11778" max="12032" width="9" style="2144"/>
    <col min="12033" max="12033" width="88.125" style="2144" customWidth="1"/>
    <col min="12034" max="12288" width="9" style="2144"/>
    <col min="12289" max="12289" width="88.125" style="2144" customWidth="1"/>
    <col min="12290" max="12544" width="9" style="2144"/>
    <col min="12545" max="12545" width="88.125" style="2144" customWidth="1"/>
    <col min="12546" max="12800" width="9" style="2144"/>
    <col min="12801" max="12801" width="88.125" style="2144" customWidth="1"/>
    <col min="12802" max="13056" width="9" style="2144"/>
    <col min="13057" max="13057" width="88.125" style="2144" customWidth="1"/>
    <col min="13058" max="13312" width="9" style="2144"/>
    <col min="13313" max="13313" width="88.125" style="2144" customWidth="1"/>
    <col min="13314" max="13568" width="9" style="2144"/>
    <col min="13569" max="13569" width="88.125" style="2144" customWidth="1"/>
    <col min="13570" max="13824" width="9" style="2144"/>
    <col min="13825" max="13825" width="88.125" style="2144" customWidth="1"/>
    <col min="13826" max="14080" width="9" style="2144"/>
    <col min="14081" max="14081" width="88.125" style="2144" customWidth="1"/>
    <col min="14082" max="14336" width="9" style="2144"/>
    <col min="14337" max="14337" width="88.125" style="2144" customWidth="1"/>
    <col min="14338" max="14592" width="9" style="2144"/>
    <col min="14593" max="14593" width="88.125" style="2144" customWidth="1"/>
    <col min="14594" max="14848" width="9" style="2144"/>
    <col min="14849" max="14849" width="88.125" style="2144" customWidth="1"/>
    <col min="14850" max="15104" width="9" style="2144"/>
    <col min="15105" max="15105" width="88.125" style="2144" customWidth="1"/>
    <col min="15106" max="15360" width="9" style="2144"/>
    <col min="15361" max="15361" width="88.125" style="2144" customWidth="1"/>
    <col min="15362" max="15616" width="9" style="2144"/>
    <col min="15617" max="15617" width="88.125" style="2144" customWidth="1"/>
    <col min="15618" max="15872" width="9" style="2144"/>
    <col min="15873" max="15873" width="88.125" style="2144" customWidth="1"/>
    <col min="15874" max="16128" width="9" style="2144"/>
    <col min="16129" max="16129" width="88.125" style="2144" customWidth="1"/>
    <col min="16130" max="16384" width="9" style="2144"/>
  </cols>
  <sheetData>
    <row r="1" spans="1:8" ht="30" customHeight="1" x14ac:dyDescent="0.2">
      <c r="A1" s="2142"/>
      <c r="B1" s="2143"/>
      <c r="C1" s="2143"/>
      <c r="D1" s="2143"/>
      <c r="E1" s="2143"/>
      <c r="F1" s="2143"/>
      <c r="G1" s="2143"/>
      <c r="H1" s="2143"/>
    </row>
    <row r="2" spans="1:8" ht="14.25" x14ac:dyDescent="0.2">
      <c r="A2" s="2145" t="s">
        <v>881</v>
      </c>
      <c r="B2" s="2143"/>
      <c r="C2" s="2143"/>
      <c r="D2" s="2143"/>
      <c r="E2" s="2143"/>
      <c r="F2" s="2143"/>
      <c r="G2" s="2143"/>
      <c r="H2" s="2143"/>
    </row>
    <row r="3" spans="1:8" ht="14.25" x14ac:dyDescent="0.2">
      <c r="A3" s="2145" t="s">
        <v>882</v>
      </c>
      <c r="B3" s="2143"/>
      <c r="C3" s="2143"/>
      <c r="D3" s="2143"/>
      <c r="E3" s="2143"/>
      <c r="F3" s="2143"/>
      <c r="G3" s="2143"/>
      <c r="H3" s="2143"/>
    </row>
    <row r="4" spans="1:8" ht="14.25" x14ac:dyDescent="0.2">
      <c r="A4" s="2145" t="s">
        <v>883</v>
      </c>
      <c r="B4" s="2143"/>
      <c r="C4" s="2143"/>
      <c r="D4" s="2143"/>
      <c r="E4" s="2143"/>
      <c r="F4" s="2143"/>
      <c r="G4" s="2143"/>
      <c r="H4" s="2143"/>
    </row>
    <row r="5" spans="1:8" ht="14.25" x14ac:dyDescent="0.2">
      <c r="A5" s="2145" t="s">
        <v>884</v>
      </c>
      <c r="B5" s="2143"/>
      <c r="C5" s="2143"/>
      <c r="D5" s="2143"/>
      <c r="E5" s="2143"/>
      <c r="F5" s="2143"/>
      <c r="G5" s="2143"/>
      <c r="H5" s="2143"/>
    </row>
    <row r="6" spans="1:8" ht="14.25" x14ac:dyDescent="0.2">
      <c r="A6" s="2145"/>
      <c r="B6" s="2143"/>
      <c r="C6" s="2143"/>
      <c r="D6" s="2143"/>
      <c r="E6" s="2143"/>
      <c r="F6" s="2143"/>
      <c r="G6" s="2143"/>
      <c r="H6" s="2143"/>
    </row>
    <row r="7" spans="1:8" x14ac:dyDescent="0.2">
      <c r="A7" s="2142" t="s">
        <v>885</v>
      </c>
      <c r="B7" s="2143"/>
      <c r="C7" s="2143"/>
      <c r="D7" s="2143"/>
      <c r="E7" s="2143"/>
      <c r="F7" s="2143"/>
      <c r="G7" s="2143"/>
      <c r="H7" s="2143"/>
    </row>
    <row r="8" spans="1:8" x14ac:dyDescent="0.2">
      <c r="A8" s="2142" t="s">
        <v>886</v>
      </c>
      <c r="B8" s="2143"/>
      <c r="C8" s="2143"/>
      <c r="D8" s="2143"/>
      <c r="E8" s="2143"/>
      <c r="F8" s="2143"/>
      <c r="G8" s="2143"/>
      <c r="H8" s="2143"/>
    </row>
    <row r="9" spans="1:8" x14ac:dyDescent="0.2">
      <c r="A9" s="2142"/>
      <c r="B9" s="2143"/>
      <c r="C9" s="2143"/>
      <c r="D9" s="2143"/>
      <c r="E9" s="2143"/>
      <c r="F9" s="2143"/>
      <c r="G9" s="2143"/>
      <c r="H9" s="2143"/>
    </row>
    <row r="10" spans="1:8" x14ac:dyDescent="0.2">
      <c r="A10" s="2146" t="s">
        <v>887</v>
      </c>
      <c r="B10" s="2143"/>
      <c r="C10" s="2143"/>
      <c r="D10" s="2143"/>
      <c r="E10" s="2143"/>
      <c r="F10" s="2143"/>
      <c r="G10" s="2143"/>
      <c r="H10" s="2143"/>
    </row>
    <row r="11" spans="1:8" x14ac:dyDescent="0.2">
      <c r="A11" s="2146" t="s">
        <v>888</v>
      </c>
      <c r="B11" s="2143"/>
      <c r="C11" s="2143"/>
      <c r="D11" s="2143"/>
      <c r="E11" s="2143"/>
      <c r="F11" s="2143"/>
      <c r="G11" s="2143"/>
      <c r="H11" s="2143"/>
    </row>
    <row r="12" spans="1:8" x14ac:dyDescent="0.2">
      <c r="A12" s="2146" t="s">
        <v>889</v>
      </c>
      <c r="B12" s="2143"/>
      <c r="C12" s="2143"/>
      <c r="D12" s="2143"/>
      <c r="E12" s="2143"/>
      <c r="F12" s="2143"/>
      <c r="G12" s="2143"/>
      <c r="H12" s="2143"/>
    </row>
    <row r="13" spans="1:8" x14ac:dyDescent="0.2">
      <c r="A13" s="2146" t="s">
        <v>890</v>
      </c>
      <c r="B13" s="2143"/>
      <c r="C13" s="2143"/>
      <c r="D13" s="2143"/>
      <c r="E13" s="2143"/>
      <c r="F13" s="2143"/>
      <c r="G13" s="2143"/>
      <c r="H13" s="2143"/>
    </row>
    <row r="14" spans="1:8" x14ac:dyDescent="0.2">
      <c r="A14" s="2146" t="s">
        <v>891</v>
      </c>
      <c r="B14" s="2143"/>
      <c r="C14" s="2143"/>
      <c r="D14" s="2143"/>
      <c r="E14" s="2143"/>
      <c r="F14" s="2143"/>
      <c r="G14" s="2143"/>
      <c r="H14" s="2143"/>
    </row>
    <row r="15" spans="1:8" x14ac:dyDescent="0.2">
      <c r="A15" s="2146" t="s">
        <v>1246</v>
      </c>
      <c r="B15" s="2143"/>
      <c r="C15" s="2143"/>
      <c r="D15" s="2143"/>
      <c r="E15" s="2143"/>
      <c r="F15" s="2143"/>
      <c r="G15" s="2143"/>
      <c r="H15" s="2143"/>
    </row>
    <row r="16" spans="1:8" x14ac:dyDescent="0.2">
      <c r="A16" s="2146"/>
      <c r="B16" s="2143"/>
      <c r="C16" s="2143"/>
      <c r="D16" s="2143"/>
      <c r="E16" s="2143"/>
      <c r="F16" s="2143"/>
      <c r="G16" s="2143"/>
      <c r="H16" s="2143"/>
    </row>
    <row r="17" spans="1:8" x14ac:dyDescent="0.2">
      <c r="A17" s="2146" t="s">
        <v>878</v>
      </c>
      <c r="B17" s="2143"/>
      <c r="C17" s="2143"/>
      <c r="D17" s="2143"/>
      <c r="E17" s="2143"/>
      <c r="F17" s="2143"/>
      <c r="G17" s="2143"/>
      <c r="H17" s="2143"/>
    </row>
    <row r="18" spans="1:8" x14ac:dyDescent="0.2">
      <c r="A18" s="2146"/>
      <c r="B18" s="2143"/>
      <c r="C18" s="2143"/>
      <c r="D18" s="2143"/>
      <c r="E18" s="2143"/>
      <c r="F18" s="2143"/>
      <c r="G18" s="2143"/>
      <c r="H18" s="2143"/>
    </row>
    <row r="19" spans="1:8" x14ac:dyDescent="0.2">
      <c r="A19" s="2146" t="s">
        <v>879</v>
      </c>
      <c r="B19" s="2143"/>
      <c r="C19" s="2143"/>
      <c r="D19" s="2143"/>
      <c r="E19" s="2143"/>
      <c r="F19" s="2143"/>
      <c r="G19" s="2143"/>
      <c r="H19" s="2143"/>
    </row>
    <row r="20" spans="1:8" x14ac:dyDescent="0.2">
      <c r="A20" s="2142"/>
      <c r="B20" s="2143"/>
      <c r="C20" s="2143"/>
      <c r="D20" s="2143"/>
      <c r="E20" s="2143"/>
      <c r="F20" s="2143"/>
      <c r="G20" s="2143"/>
      <c r="H20" s="2143"/>
    </row>
    <row r="21" spans="1:8" x14ac:dyDescent="0.2">
      <c r="A21" s="2147" t="s">
        <v>880</v>
      </c>
      <c r="B21" s="2143"/>
      <c r="C21" s="2143"/>
      <c r="D21" s="2143"/>
      <c r="E21" s="2143"/>
      <c r="F21" s="2143"/>
      <c r="G21" s="2143"/>
      <c r="H21" s="2143"/>
    </row>
    <row r="22" spans="1:8" x14ac:dyDescent="0.2">
      <c r="A22" s="2148"/>
      <c r="B22" s="2148"/>
      <c r="C22" s="2148"/>
      <c r="D22" s="2148"/>
      <c r="E22" s="2148"/>
      <c r="F22" s="2148"/>
      <c r="G22" s="2148"/>
      <c r="H22" s="2148"/>
    </row>
    <row r="23" spans="1:8" x14ac:dyDescent="0.2">
      <c r="A23" s="2149" t="s">
        <v>1174</v>
      </c>
      <c r="B23" s="2148"/>
      <c r="C23" s="2148"/>
      <c r="D23" s="2148"/>
      <c r="E23" s="2148"/>
      <c r="F23" s="2148"/>
      <c r="G23" s="2148"/>
      <c r="H23" s="2148"/>
    </row>
    <row r="24" spans="1:8" x14ac:dyDescent="0.2">
      <c r="A24" s="2149" t="s">
        <v>1175</v>
      </c>
      <c r="B24" s="2148"/>
      <c r="C24" s="2148"/>
      <c r="D24" s="2148"/>
      <c r="E24" s="2148"/>
      <c r="F24" s="2148"/>
      <c r="G24" s="2148"/>
      <c r="H24" s="2148"/>
    </row>
    <row r="25" spans="1:8" x14ac:dyDescent="0.2">
      <c r="A25" s="2149" t="s">
        <v>1176</v>
      </c>
      <c r="B25" s="2148"/>
      <c r="C25" s="2148"/>
      <c r="D25" s="2148"/>
      <c r="E25" s="2148"/>
      <c r="F25" s="2148"/>
      <c r="G25" s="2148"/>
      <c r="H25" s="2148"/>
    </row>
    <row r="26" spans="1:8" x14ac:dyDescent="0.2">
      <c r="A26" s="2149" t="s">
        <v>1177</v>
      </c>
      <c r="B26" s="2148"/>
      <c r="C26" s="2148"/>
      <c r="D26" s="2148"/>
      <c r="E26" s="2148"/>
      <c r="F26" s="2148"/>
      <c r="G26" s="2148"/>
      <c r="H26" s="2148"/>
    </row>
    <row r="27" spans="1:8" x14ac:dyDescent="0.2">
      <c r="A27" s="2148"/>
      <c r="B27" s="2148"/>
      <c r="C27" s="2148"/>
      <c r="D27" s="2148"/>
      <c r="E27" s="2148"/>
      <c r="F27" s="2148"/>
      <c r="G27" s="2148"/>
      <c r="H27" s="2148"/>
    </row>
    <row r="28" spans="1:8" x14ac:dyDescent="0.2">
      <c r="A28" s="2148"/>
      <c r="B28" s="2148"/>
      <c r="C28" s="2148"/>
      <c r="D28" s="2148"/>
      <c r="E28" s="2148"/>
      <c r="F28" s="2148"/>
      <c r="G28" s="2148"/>
      <c r="H28" s="2148"/>
    </row>
    <row r="29" spans="1:8" x14ac:dyDescent="0.2">
      <c r="A29" s="2149" t="s">
        <v>1169</v>
      </c>
      <c r="B29" s="2148"/>
      <c r="C29" s="2148"/>
      <c r="D29" s="2148"/>
      <c r="E29" s="2148"/>
      <c r="F29" s="2148"/>
      <c r="G29" s="2148"/>
      <c r="H29" s="2148"/>
    </row>
    <row r="30" spans="1:8" x14ac:dyDescent="0.2">
      <c r="A30" s="2149" t="s">
        <v>1170</v>
      </c>
      <c r="B30" s="2148"/>
      <c r="C30" s="2148"/>
      <c r="D30" s="2148"/>
      <c r="E30" s="2148"/>
      <c r="F30" s="2148"/>
      <c r="G30" s="2148"/>
      <c r="H30" s="2148"/>
    </row>
    <row r="31" spans="1:8" x14ac:dyDescent="0.2">
      <c r="A31" s="2149" t="s">
        <v>1171</v>
      </c>
      <c r="B31" s="2148"/>
      <c r="C31" s="2148"/>
      <c r="D31" s="2148"/>
      <c r="E31" s="2148"/>
      <c r="F31" s="2148"/>
      <c r="G31" s="2148"/>
      <c r="H31" s="2148"/>
    </row>
    <row r="32" spans="1:8" x14ac:dyDescent="0.2">
      <c r="A32" s="2149" t="s">
        <v>1172</v>
      </c>
      <c r="B32" s="2148"/>
      <c r="C32" s="2148"/>
      <c r="D32" s="2148"/>
      <c r="E32" s="2148"/>
      <c r="F32" s="2148"/>
      <c r="G32" s="2148"/>
      <c r="H32" s="2148"/>
    </row>
    <row r="33" spans="1:8" x14ac:dyDescent="0.2">
      <c r="A33" s="2149" t="s">
        <v>1173</v>
      </c>
      <c r="B33" s="2148"/>
      <c r="C33" s="2148"/>
      <c r="D33" s="2148"/>
      <c r="E33" s="2148"/>
      <c r="F33" s="2148"/>
      <c r="G33" s="2148"/>
      <c r="H33" s="2148"/>
    </row>
    <row r="34" spans="1:8" x14ac:dyDescent="0.2">
      <c r="A34" s="2148"/>
      <c r="B34" s="2148"/>
      <c r="C34" s="2148"/>
      <c r="D34" s="2148"/>
      <c r="E34" s="2148"/>
      <c r="F34" s="2148"/>
      <c r="G34" s="2148"/>
      <c r="H34" s="2148"/>
    </row>
    <row r="35" spans="1:8" x14ac:dyDescent="0.2">
      <c r="A35" s="2149" t="s">
        <v>1165</v>
      </c>
      <c r="B35" s="2148"/>
      <c r="C35" s="2148"/>
      <c r="D35" s="2148"/>
      <c r="E35" s="2148"/>
      <c r="F35" s="2148"/>
      <c r="G35" s="2148"/>
      <c r="H35" s="2148"/>
    </row>
    <row r="36" spans="1:8" x14ac:dyDescent="0.2">
      <c r="A36" s="2149" t="s">
        <v>1166</v>
      </c>
      <c r="B36" s="2148"/>
      <c r="C36" s="2148"/>
      <c r="D36" s="2148"/>
      <c r="E36" s="2148"/>
      <c r="F36" s="2148"/>
      <c r="G36" s="2148"/>
      <c r="H36" s="2148"/>
    </row>
    <row r="37" spans="1:8" x14ac:dyDescent="0.2">
      <c r="A37" s="2149" t="s">
        <v>1167</v>
      </c>
      <c r="B37" s="2148"/>
      <c r="C37" s="2148"/>
      <c r="D37" s="2148"/>
      <c r="E37" s="2148"/>
      <c r="F37" s="2148"/>
      <c r="G37" s="2148"/>
      <c r="H37" s="2148"/>
    </row>
    <row r="38" spans="1:8" x14ac:dyDescent="0.2">
      <c r="A38" s="2149" t="s">
        <v>1168</v>
      </c>
      <c r="B38" s="2148"/>
      <c r="C38" s="2148"/>
      <c r="D38" s="2148"/>
      <c r="E38" s="2148"/>
      <c r="F38" s="2148"/>
      <c r="G38" s="2148"/>
      <c r="H38" s="2148"/>
    </row>
    <row r="39" spans="1:8" x14ac:dyDescent="0.2">
      <c r="A39" s="2148"/>
      <c r="B39" s="2148"/>
      <c r="C39" s="2148"/>
      <c r="D39" s="2148"/>
      <c r="E39" s="2148"/>
      <c r="F39" s="2148"/>
      <c r="G39" s="2148"/>
      <c r="H39" s="2148"/>
    </row>
    <row r="40" spans="1:8" x14ac:dyDescent="0.2">
      <c r="A40" s="2149" t="s">
        <v>1159</v>
      </c>
      <c r="B40" s="2148"/>
      <c r="C40" s="2148"/>
      <c r="D40" s="2148"/>
      <c r="E40" s="2148"/>
      <c r="F40" s="2148"/>
      <c r="G40" s="2148"/>
      <c r="H40" s="2148"/>
    </row>
    <row r="41" spans="1:8" x14ac:dyDescent="0.2">
      <c r="A41" s="2149" t="s">
        <v>1160</v>
      </c>
      <c r="B41" s="2148"/>
      <c r="C41" s="2148"/>
      <c r="D41" s="2148"/>
      <c r="E41" s="2148"/>
      <c r="F41" s="2148"/>
      <c r="G41" s="2148"/>
      <c r="H41" s="2148"/>
    </row>
    <row r="42" spans="1:8" x14ac:dyDescent="0.2">
      <c r="A42" s="2149" t="s">
        <v>1161</v>
      </c>
      <c r="B42" s="2148"/>
      <c r="C42" s="2148"/>
      <c r="D42" s="2148"/>
      <c r="E42" s="2148"/>
      <c r="F42" s="2148"/>
      <c r="G42" s="2148"/>
      <c r="H42" s="2148"/>
    </row>
    <row r="43" spans="1:8" x14ac:dyDescent="0.2">
      <c r="A43" s="2149" t="s">
        <v>1162</v>
      </c>
      <c r="B43" s="2148"/>
      <c r="C43" s="2148"/>
      <c r="D43" s="2148"/>
      <c r="E43" s="2148"/>
      <c r="F43" s="2148"/>
      <c r="G43" s="2148"/>
      <c r="H43" s="2148"/>
    </row>
    <row r="44" spans="1:8" x14ac:dyDescent="0.2">
      <c r="A44" s="2149" t="s">
        <v>1163</v>
      </c>
      <c r="B44" s="2148"/>
      <c r="C44" s="2148"/>
      <c r="D44" s="2148"/>
      <c r="E44" s="2148"/>
      <c r="F44" s="2148"/>
      <c r="G44" s="2148"/>
      <c r="H44" s="2148"/>
    </row>
    <row r="45" spans="1:8" x14ac:dyDescent="0.2">
      <c r="A45" s="2149" t="s">
        <v>1164</v>
      </c>
      <c r="B45" s="2148"/>
      <c r="C45" s="2148"/>
      <c r="D45" s="2148"/>
      <c r="E45" s="2148"/>
      <c r="F45" s="2148"/>
      <c r="G45" s="2148"/>
      <c r="H45" s="2148"/>
    </row>
    <row r="46" spans="1:8" x14ac:dyDescent="0.2">
      <c r="A46" s="2148"/>
      <c r="B46" s="2148"/>
      <c r="C46" s="2148"/>
      <c r="D46" s="2148"/>
      <c r="E46" s="2148"/>
      <c r="F46" s="2148"/>
      <c r="G46" s="2148"/>
      <c r="H46" s="2148"/>
    </row>
    <row r="47" spans="1:8" ht="15.75" x14ac:dyDescent="0.2">
      <c r="A47" s="2150" t="s">
        <v>892</v>
      </c>
      <c r="B47" s="2148"/>
      <c r="C47" s="2148"/>
      <c r="D47" s="2148"/>
      <c r="E47" s="2148"/>
      <c r="F47" s="2148"/>
      <c r="G47" s="2148"/>
      <c r="H47" s="2148"/>
    </row>
    <row r="48" spans="1:8" x14ac:dyDescent="0.2">
      <c r="A48" s="2148"/>
      <c r="B48" s="2148"/>
      <c r="C48" s="2148"/>
      <c r="D48" s="2148"/>
      <c r="E48" s="2148"/>
      <c r="F48" s="2148"/>
      <c r="G48" s="2148"/>
      <c r="H48" s="2148"/>
    </row>
    <row r="49" spans="1:8" x14ac:dyDescent="0.2">
      <c r="A49" s="2149" t="s">
        <v>1155</v>
      </c>
      <c r="B49" s="2148"/>
      <c r="C49" s="2148"/>
      <c r="D49" s="2148"/>
      <c r="E49" s="2148"/>
      <c r="F49" s="2148"/>
      <c r="G49" s="2148"/>
      <c r="H49" s="2148"/>
    </row>
    <row r="50" spans="1:8" x14ac:dyDescent="0.2">
      <c r="A50" s="2149" t="s">
        <v>1156</v>
      </c>
      <c r="B50" s="2148"/>
      <c r="C50" s="2148"/>
      <c r="D50" s="2148"/>
      <c r="E50" s="2148"/>
      <c r="F50" s="2148"/>
      <c r="G50" s="2148"/>
      <c r="H50" s="2148"/>
    </row>
    <row r="51" spans="1:8" x14ac:dyDescent="0.2">
      <c r="A51" s="2149" t="s">
        <v>1157</v>
      </c>
      <c r="B51" s="2148"/>
      <c r="C51" s="2148"/>
      <c r="D51" s="2148"/>
      <c r="E51" s="2148"/>
      <c r="F51" s="2148"/>
      <c r="G51" s="2148"/>
      <c r="H51" s="2148"/>
    </row>
    <row r="52" spans="1:8" x14ac:dyDescent="0.2">
      <c r="A52" s="2149" t="s">
        <v>1158</v>
      </c>
      <c r="B52" s="2148"/>
      <c r="C52" s="2148"/>
      <c r="D52" s="2148"/>
      <c r="E52" s="2148"/>
      <c r="F52" s="2148"/>
      <c r="G52" s="2148"/>
      <c r="H52" s="2148"/>
    </row>
    <row r="53" spans="1:8" x14ac:dyDescent="0.2">
      <c r="A53" s="2148"/>
      <c r="B53" s="2148"/>
      <c r="C53" s="2148"/>
      <c r="D53" s="2148"/>
      <c r="E53" s="2148"/>
      <c r="F53" s="2148"/>
      <c r="G53" s="2148"/>
      <c r="H53" s="2148"/>
    </row>
    <row r="54" spans="1:8" x14ac:dyDescent="0.2">
      <c r="A54" s="2149" t="s">
        <v>893</v>
      </c>
      <c r="B54" s="2148"/>
      <c r="C54" s="2148"/>
      <c r="D54" s="2148"/>
      <c r="E54" s="2148"/>
      <c r="F54" s="2148"/>
      <c r="G54" s="2148"/>
      <c r="H54" s="2148"/>
    </row>
    <row r="55" spans="1:8" x14ac:dyDescent="0.2">
      <c r="A55" s="2148"/>
      <c r="B55" s="2148"/>
      <c r="C55" s="2148"/>
      <c r="D55" s="2148"/>
      <c r="E55" s="2148"/>
      <c r="F55" s="2148"/>
      <c r="G55" s="2148"/>
      <c r="H55" s="2148"/>
    </row>
    <row r="56" spans="1:8" ht="15.75" x14ac:dyDescent="0.2">
      <c r="A56" s="2150" t="s">
        <v>894</v>
      </c>
      <c r="B56" s="2148"/>
      <c r="C56" s="2148"/>
      <c r="D56" s="2148"/>
      <c r="E56" s="2148"/>
      <c r="F56" s="2148"/>
      <c r="G56" s="2148"/>
      <c r="H56" s="2148"/>
    </row>
    <row r="57" spans="1:8" x14ac:dyDescent="0.2">
      <c r="A57" s="2148"/>
      <c r="B57" s="2148"/>
      <c r="C57" s="2148"/>
      <c r="D57" s="2148"/>
      <c r="E57" s="2148"/>
      <c r="F57" s="2148"/>
      <c r="G57" s="2148"/>
      <c r="H57" s="2148"/>
    </row>
    <row r="58" spans="1:8" x14ac:dyDescent="0.2">
      <c r="A58" s="2149" t="s">
        <v>1153</v>
      </c>
      <c r="B58" s="2148"/>
      <c r="C58" s="2148"/>
      <c r="D58" s="2148"/>
      <c r="E58" s="2148"/>
      <c r="F58" s="2148"/>
      <c r="G58" s="2148"/>
      <c r="H58" s="2148"/>
    </row>
    <row r="59" spans="1:8" x14ac:dyDescent="0.2">
      <c r="A59" s="2149" t="s">
        <v>1154</v>
      </c>
      <c r="B59" s="2148"/>
      <c r="C59" s="2148"/>
      <c r="D59" s="2148"/>
      <c r="E59" s="2148"/>
      <c r="F59" s="2148"/>
      <c r="G59" s="2148"/>
      <c r="H59" s="2148"/>
    </row>
    <row r="60" spans="1:8" x14ac:dyDescent="0.2">
      <c r="A60" s="2148"/>
      <c r="B60" s="2148"/>
      <c r="C60" s="2148"/>
      <c r="D60" s="2148"/>
      <c r="E60" s="2148"/>
      <c r="F60" s="2148"/>
      <c r="G60" s="2148"/>
      <c r="H60" s="2148"/>
    </row>
    <row r="61" spans="1:8" ht="15.75" x14ac:dyDescent="0.2">
      <c r="A61" s="2150" t="s">
        <v>895</v>
      </c>
      <c r="B61" s="2148"/>
      <c r="C61" s="2148"/>
      <c r="D61" s="2148"/>
      <c r="E61" s="2148"/>
      <c r="F61" s="2148"/>
      <c r="G61" s="2148"/>
      <c r="H61" s="2148"/>
    </row>
    <row r="62" spans="1:8" x14ac:dyDescent="0.2">
      <c r="A62" s="2148"/>
      <c r="B62" s="2148"/>
      <c r="C62" s="2148"/>
      <c r="D62" s="2148"/>
      <c r="E62" s="2148"/>
      <c r="F62" s="2148"/>
      <c r="G62" s="2148"/>
      <c r="H62" s="2148"/>
    </row>
    <row r="63" spans="1:8" x14ac:dyDescent="0.2">
      <c r="A63" s="2149" t="s">
        <v>1151</v>
      </c>
      <c r="B63" s="2148"/>
      <c r="C63" s="2148"/>
      <c r="D63" s="2148"/>
      <c r="E63" s="2148"/>
      <c r="F63" s="2148"/>
      <c r="G63" s="2148"/>
      <c r="H63" s="2148"/>
    </row>
    <row r="64" spans="1:8" x14ac:dyDescent="0.2">
      <c r="A64" s="2149" t="s">
        <v>1152</v>
      </c>
      <c r="B64" s="2148"/>
      <c r="C64" s="2148"/>
      <c r="D64" s="2148"/>
      <c r="E64" s="2148"/>
      <c r="F64" s="2148"/>
      <c r="G64" s="2148"/>
      <c r="H64" s="2148"/>
    </row>
    <row r="65" spans="1:8" x14ac:dyDescent="0.2">
      <c r="A65" s="2148"/>
      <c r="B65" s="2148"/>
      <c r="C65" s="2148"/>
      <c r="D65" s="2148"/>
      <c r="E65" s="2148"/>
      <c r="F65" s="2148"/>
      <c r="G65" s="2148"/>
      <c r="H65" s="2148"/>
    </row>
    <row r="66" spans="1:8" x14ac:dyDescent="0.2">
      <c r="A66" s="2149" t="s">
        <v>1149</v>
      </c>
      <c r="B66" s="2148"/>
      <c r="C66" s="2148"/>
      <c r="D66" s="2148"/>
      <c r="E66" s="2148"/>
      <c r="F66" s="2148"/>
      <c r="G66" s="2148"/>
      <c r="H66" s="2148"/>
    </row>
    <row r="67" spans="1:8" x14ac:dyDescent="0.2">
      <c r="A67" s="2149" t="s">
        <v>1150</v>
      </c>
      <c r="B67" s="2148"/>
      <c r="C67" s="2148"/>
      <c r="D67" s="2148"/>
      <c r="E67" s="2148"/>
      <c r="F67" s="2148"/>
      <c r="G67" s="2148"/>
      <c r="H67" s="2148"/>
    </row>
    <row r="68" spans="1:8" x14ac:dyDescent="0.2">
      <c r="A68" s="2148"/>
      <c r="B68" s="2148"/>
      <c r="C68" s="2148"/>
      <c r="D68" s="2148"/>
      <c r="E68" s="2148"/>
      <c r="F68" s="2148"/>
      <c r="G68" s="2148"/>
      <c r="H68" s="2148"/>
    </row>
    <row r="69" spans="1:8" x14ac:dyDescent="0.2">
      <c r="A69" s="2149" t="s">
        <v>1147</v>
      </c>
      <c r="B69" s="2148"/>
      <c r="C69" s="2148"/>
      <c r="D69" s="2148"/>
      <c r="E69" s="2148"/>
      <c r="F69" s="2148"/>
      <c r="G69" s="2148"/>
      <c r="H69" s="2148"/>
    </row>
    <row r="70" spans="1:8" x14ac:dyDescent="0.2">
      <c r="A70" s="2149" t="s">
        <v>1148</v>
      </c>
      <c r="B70" s="2148"/>
      <c r="C70" s="2148"/>
      <c r="D70" s="2148"/>
      <c r="E70" s="2148"/>
      <c r="F70" s="2148"/>
      <c r="G70" s="2148"/>
      <c r="H70" s="2148"/>
    </row>
    <row r="71" spans="1:8" x14ac:dyDescent="0.2">
      <c r="A71" s="2148"/>
      <c r="B71" s="2148"/>
      <c r="C71" s="2148"/>
      <c r="D71" s="2148"/>
      <c r="E71" s="2148"/>
      <c r="F71" s="2148"/>
      <c r="G71" s="2148"/>
      <c r="H71" s="2148"/>
    </row>
    <row r="72" spans="1:8" x14ac:dyDescent="0.2">
      <c r="A72" s="2149" t="s">
        <v>1145</v>
      </c>
      <c r="B72" s="2148"/>
      <c r="C72" s="2148"/>
      <c r="D72" s="2148"/>
      <c r="E72" s="2148"/>
      <c r="F72" s="2148"/>
      <c r="G72" s="2148"/>
      <c r="H72" s="2148"/>
    </row>
    <row r="73" spans="1:8" x14ac:dyDescent="0.2">
      <c r="A73" s="2149" t="s">
        <v>1146</v>
      </c>
      <c r="B73" s="2148"/>
      <c r="C73" s="2148"/>
      <c r="D73" s="2148"/>
      <c r="E73" s="2148"/>
      <c r="F73" s="2148"/>
      <c r="G73" s="2148"/>
      <c r="H73" s="2148"/>
    </row>
    <row r="74" spans="1:8" x14ac:dyDescent="0.2">
      <c r="A74" s="2148"/>
      <c r="B74" s="2148"/>
      <c r="C74" s="2148"/>
      <c r="D74" s="2148"/>
      <c r="E74" s="2148"/>
      <c r="F74" s="2148"/>
      <c r="G74" s="2148"/>
      <c r="H74" s="2148"/>
    </row>
    <row r="75" spans="1:8" x14ac:dyDescent="0.2">
      <c r="A75" s="2149" t="s">
        <v>1142</v>
      </c>
      <c r="B75" s="2148"/>
      <c r="C75" s="2148"/>
      <c r="D75" s="2148"/>
      <c r="E75" s="2148"/>
      <c r="F75" s="2148"/>
      <c r="G75" s="2148"/>
      <c r="H75" s="2148"/>
    </row>
    <row r="76" spans="1:8" x14ac:dyDescent="0.2">
      <c r="A76" s="2149" t="s">
        <v>1143</v>
      </c>
      <c r="B76" s="2148"/>
      <c r="C76" s="2148"/>
      <c r="D76" s="2148"/>
      <c r="E76" s="2148"/>
      <c r="F76" s="2148"/>
      <c r="G76" s="2148"/>
      <c r="H76" s="2148"/>
    </row>
    <row r="77" spans="1:8" x14ac:dyDescent="0.2">
      <c r="A77" s="2149" t="s">
        <v>1144</v>
      </c>
      <c r="B77" s="2148"/>
      <c r="C77" s="2148"/>
      <c r="D77" s="2148"/>
      <c r="E77" s="2148"/>
      <c r="F77" s="2148"/>
      <c r="G77" s="2148"/>
      <c r="H77" s="2148"/>
    </row>
    <row r="78" spans="1:8" x14ac:dyDescent="0.2">
      <c r="A78" s="2148"/>
      <c r="B78" s="2148"/>
      <c r="C78" s="2148"/>
      <c r="D78" s="2148"/>
      <c r="E78" s="2148"/>
      <c r="F78" s="2148"/>
      <c r="G78" s="2148"/>
      <c r="H78" s="2148"/>
    </row>
    <row r="79" spans="1:8" x14ac:dyDescent="0.2">
      <c r="A79" s="2149" t="s">
        <v>1140</v>
      </c>
      <c r="B79" s="2148"/>
      <c r="C79" s="2148"/>
      <c r="D79" s="2148"/>
      <c r="E79" s="2148"/>
      <c r="F79" s="2148"/>
      <c r="G79" s="2148"/>
      <c r="H79" s="2148"/>
    </row>
    <row r="80" spans="1:8" x14ac:dyDescent="0.2">
      <c r="A80" s="2149" t="s">
        <v>1141</v>
      </c>
      <c r="B80" s="2148"/>
      <c r="C80" s="2148"/>
      <c r="D80" s="2148"/>
      <c r="E80" s="2148"/>
      <c r="F80" s="2148"/>
      <c r="G80" s="2148"/>
      <c r="H80" s="2148"/>
    </row>
    <row r="81" spans="1:8" x14ac:dyDescent="0.2">
      <c r="A81" s="2148"/>
      <c r="B81" s="2148"/>
      <c r="C81" s="2148"/>
      <c r="D81" s="2148"/>
      <c r="E81" s="2148"/>
      <c r="F81" s="2148"/>
      <c r="G81" s="2148"/>
      <c r="H81" s="2148"/>
    </row>
    <row r="82" spans="1:8" x14ac:dyDescent="0.2">
      <c r="A82" s="2149" t="s">
        <v>896</v>
      </c>
      <c r="B82" s="2148"/>
      <c r="C82" s="2148"/>
      <c r="D82" s="2148"/>
      <c r="E82" s="2148"/>
      <c r="F82" s="2148"/>
      <c r="G82" s="2148"/>
      <c r="H82" s="2148"/>
    </row>
    <row r="83" spans="1:8" x14ac:dyDescent="0.2">
      <c r="A83" s="2148"/>
      <c r="B83" s="2148"/>
      <c r="C83" s="2148"/>
      <c r="D83" s="2148"/>
      <c r="E83" s="2148"/>
      <c r="F83" s="2148"/>
      <c r="G83" s="2148"/>
      <c r="H83" s="2148"/>
    </row>
    <row r="84" spans="1:8" x14ac:dyDescent="0.2">
      <c r="A84" s="2149" t="s">
        <v>1135</v>
      </c>
      <c r="B84" s="2148"/>
      <c r="C84" s="2148"/>
      <c r="D84" s="2148"/>
      <c r="E84" s="2148"/>
      <c r="F84" s="2148"/>
      <c r="G84" s="2148"/>
      <c r="H84" s="2148"/>
    </row>
    <row r="85" spans="1:8" x14ac:dyDescent="0.2">
      <c r="A85" s="2149" t="s">
        <v>1136</v>
      </c>
      <c r="B85" s="2148"/>
      <c r="C85" s="2148"/>
      <c r="D85" s="2148"/>
      <c r="E85" s="2148"/>
      <c r="F85" s="2148"/>
      <c r="G85" s="2148"/>
      <c r="H85" s="2148"/>
    </row>
    <row r="86" spans="1:8" x14ac:dyDescent="0.2">
      <c r="A86" s="2149" t="s">
        <v>1137</v>
      </c>
      <c r="B86" s="2148"/>
      <c r="C86" s="2148"/>
      <c r="D86" s="2148"/>
      <c r="E86" s="2148"/>
      <c r="F86" s="2148"/>
      <c r="G86" s="2148"/>
      <c r="H86" s="2148"/>
    </row>
    <row r="87" spans="1:8" x14ac:dyDescent="0.2">
      <c r="A87" s="2149" t="s">
        <v>1138</v>
      </c>
      <c r="B87" s="2148"/>
      <c r="C87" s="2148"/>
      <c r="D87" s="2148"/>
      <c r="E87" s="2148"/>
      <c r="F87" s="2148"/>
      <c r="G87" s="2148"/>
      <c r="H87" s="2148"/>
    </row>
    <row r="88" spans="1:8" x14ac:dyDescent="0.2">
      <c r="A88" s="2149" t="s">
        <v>1139</v>
      </c>
      <c r="B88" s="2148"/>
      <c r="C88" s="2148"/>
      <c r="D88" s="2148"/>
      <c r="E88" s="2148"/>
      <c r="F88" s="2148"/>
      <c r="G88" s="2148"/>
      <c r="H88" s="2148"/>
    </row>
    <row r="89" spans="1:8" x14ac:dyDescent="0.2">
      <c r="A89" s="2149" t="s">
        <v>1022</v>
      </c>
      <c r="B89" s="2148"/>
      <c r="C89" s="2148"/>
      <c r="D89" s="2148"/>
      <c r="E89" s="2148"/>
      <c r="F89" s="2148"/>
      <c r="G89" s="2148"/>
      <c r="H89" s="2148"/>
    </row>
    <row r="90" spans="1:8" x14ac:dyDescent="0.2">
      <c r="A90" s="2148"/>
      <c r="B90" s="2148"/>
      <c r="C90" s="2148"/>
      <c r="D90" s="2148"/>
      <c r="E90" s="2148"/>
      <c r="F90" s="2148"/>
      <c r="G90" s="2148"/>
      <c r="H90" s="2148"/>
    </row>
    <row r="91" spans="1:8" x14ac:dyDescent="0.2">
      <c r="A91" s="2149" t="s">
        <v>1128</v>
      </c>
      <c r="B91" s="2148"/>
      <c r="C91" s="2148"/>
      <c r="D91" s="2148"/>
      <c r="E91" s="2148"/>
      <c r="F91" s="2148"/>
      <c r="G91" s="2148"/>
      <c r="H91" s="2148"/>
    </row>
    <row r="92" spans="1:8" x14ac:dyDescent="0.2">
      <c r="A92" s="2149" t="s">
        <v>1129</v>
      </c>
      <c r="B92" s="2148"/>
      <c r="C92" s="2148"/>
      <c r="D92" s="2148"/>
      <c r="E92" s="2148"/>
      <c r="F92" s="2148"/>
      <c r="G92" s="2148"/>
      <c r="H92" s="2148"/>
    </row>
    <row r="93" spans="1:8" x14ac:dyDescent="0.2">
      <c r="A93" s="2149" t="s">
        <v>1130</v>
      </c>
      <c r="B93" s="2148"/>
      <c r="C93" s="2148"/>
      <c r="D93" s="2148"/>
      <c r="E93" s="2148"/>
      <c r="F93" s="2148"/>
      <c r="G93" s="2148"/>
      <c r="H93" s="2148"/>
    </row>
    <row r="94" spans="1:8" x14ac:dyDescent="0.2">
      <c r="A94" s="2149" t="s">
        <v>1131</v>
      </c>
      <c r="B94" s="2148"/>
      <c r="C94" s="2148"/>
      <c r="D94" s="2148"/>
      <c r="E94" s="2148"/>
      <c r="F94" s="2148"/>
      <c r="G94" s="2148"/>
      <c r="H94" s="2148"/>
    </row>
    <row r="95" spans="1:8" x14ac:dyDescent="0.2">
      <c r="A95" s="2149" t="s">
        <v>1132</v>
      </c>
      <c r="B95" s="2148"/>
      <c r="C95" s="2148"/>
      <c r="D95" s="2148"/>
      <c r="E95" s="2148"/>
      <c r="F95" s="2148"/>
      <c r="G95" s="2148"/>
      <c r="H95" s="2148"/>
    </row>
    <row r="96" spans="1:8" x14ac:dyDescent="0.2">
      <c r="A96" s="2149" t="s">
        <v>1133</v>
      </c>
      <c r="B96" s="2148"/>
      <c r="C96" s="2148"/>
      <c r="D96" s="2148"/>
      <c r="E96" s="2148"/>
      <c r="F96" s="2148"/>
      <c r="G96" s="2148"/>
      <c r="H96" s="2148"/>
    </row>
    <row r="97" spans="1:8" x14ac:dyDescent="0.2">
      <c r="A97" s="2149" t="s">
        <v>1134</v>
      </c>
      <c r="B97" s="2148"/>
      <c r="C97" s="2148"/>
      <c r="D97" s="2148"/>
      <c r="E97" s="2148"/>
      <c r="F97" s="2148"/>
      <c r="G97" s="2148"/>
      <c r="H97" s="2148"/>
    </row>
    <row r="98" spans="1:8" x14ac:dyDescent="0.2">
      <c r="A98" s="2148"/>
      <c r="B98" s="2148"/>
      <c r="C98" s="2148"/>
      <c r="D98" s="2148"/>
      <c r="E98" s="2148"/>
      <c r="F98" s="2148"/>
      <c r="G98" s="2148"/>
      <c r="H98" s="2148"/>
    </row>
    <row r="99" spans="1:8" x14ac:dyDescent="0.2">
      <c r="A99" s="2149" t="s">
        <v>1126</v>
      </c>
      <c r="B99" s="2148"/>
      <c r="C99" s="2148"/>
      <c r="D99" s="2148"/>
      <c r="E99" s="2148"/>
      <c r="F99" s="2148"/>
      <c r="G99" s="2148"/>
      <c r="H99" s="2148"/>
    </row>
    <row r="100" spans="1:8" x14ac:dyDescent="0.2">
      <c r="A100" s="2149" t="s">
        <v>1127</v>
      </c>
      <c r="B100" s="2148"/>
      <c r="C100" s="2148"/>
      <c r="D100" s="2148"/>
      <c r="E100" s="2148"/>
      <c r="F100" s="2148"/>
      <c r="G100" s="2148"/>
      <c r="H100" s="2148"/>
    </row>
    <row r="101" spans="1:8" x14ac:dyDescent="0.2">
      <c r="A101" s="2148"/>
      <c r="B101" s="2148"/>
      <c r="C101" s="2148"/>
      <c r="D101" s="2148"/>
      <c r="E101" s="2148"/>
      <c r="F101" s="2148"/>
      <c r="G101" s="2148"/>
      <c r="H101" s="2148"/>
    </row>
    <row r="102" spans="1:8" ht="15.75" x14ac:dyDescent="0.2">
      <c r="A102" s="2150" t="s">
        <v>897</v>
      </c>
      <c r="B102" s="2148"/>
      <c r="C102" s="2148"/>
      <c r="D102" s="2148"/>
      <c r="E102" s="2148"/>
      <c r="F102" s="2148"/>
      <c r="G102" s="2148"/>
      <c r="H102" s="2148"/>
    </row>
    <row r="103" spans="1:8" x14ac:dyDescent="0.2">
      <c r="A103" s="2148"/>
      <c r="B103" s="2148"/>
      <c r="C103" s="2148"/>
      <c r="D103" s="2148"/>
      <c r="E103" s="2148"/>
      <c r="F103" s="2148"/>
      <c r="G103" s="2148"/>
      <c r="H103" s="2148"/>
    </row>
    <row r="104" spans="1:8" x14ac:dyDescent="0.2">
      <c r="A104" s="2149" t="s">
        <v>1117</v>
      </c>
      <c r="B104" s="2148"/>
      <c r="C104" s="2148"/>
      <c r="D104" s="2148"/>
      <c r="E104" s="2148"/>
      <c r="F104" s="2148"/>
      <c r="G104" s="2148"/>
      <c r="H104" s="2148"/>
    </row>
    <row r="105" spans="1:8" x14ac:dyDescent="0.2">
      <c r="A105" s="2149" t="s">
        <v>1118</v>
      </c>
      <c r="B105" s="2148"/>
      <c r="C105" s="2148"/>
      <c r="D105" s="2148"/>
      <c r="E105" s="2148"/>
      <c r="F105" s="2148"/>
      <c r="G105" s="2148"/>
      <c r="H105" s="2148"/>
    </row>
    <row r="106" spans="1:8" x14ac:dyDescent="0.2">
      <c r="A106" s="2149" t="s">
        <v>1119</v>
      </c>
      <c r="B106" s="2148"/>
      <c r="C106" s="2148"/>
      <c r="D106" s="2148"/>
      <c r="E106" s="2148"/>
      <c r="F106" s="2148"/>
      <c r="G106" s="2148"/>
      <c r="H106" s="2148"/>
    </row>
    <row r="107" spans="1:8" x14ac:dyDescent="0.2">
      <c r="A107" s="2149" t="s">
        <v>1120</v>
      </c>
      <c r="B107" s="2148"/>
      <c r="C107" s="2148"/>
      <c r="D107" s="2148"/>
      <c r="E107" s="2148"/>
      <c r="F107" s="2148"/>
      <c r="G107" s="2148"/>
      <c r="H107" s="2148"/>
    </row>
    <row r="108" spans="1:8" x14ac:dyDescent="0.2">
      <c r="A108" s="2149" t="s">
        <v>1121</v>
      </c>
      <c r="B108" s="2148"/>
      <c r="C108" s="2148"/>
      <c r="D108" s="2148"/>
      <c r="E108" s="2148"/>
      <c r="F108" s="2148"/>
      <c r="G108" s="2148"/>
      <c r="H108" s="2148"/>
    </row>
    <row r="109" spans="1:8" x14ac:dyDescent="0.2">
      <c r="A109" s="2149" t="s">
        <v>1122</v>
      </c>
      <c r="B109" s="2148"/>
      <c r="C109" s="2148"/>
      <c r="D109" s="2148"/>
      <c r="E109" s="2148"/>
      <c r="F109" s="2148"/>
      <c r="G109" s="2148"/>
      <c r="H109" s="2148"/>
    </row>
    <row r="110" spans="1:8" x14ac:dyDescent="0.2">
      <c r="A110" s="2149" t="s">
        <v>1123</v>
      </c>
      <c r="B110" s="2148"/>
      <c r="C110" s="2148"/>
      <c r="D110" s="2148"/>
      <c r="E110" s="2148"/>
      <c r="F110" s="2148"/>
      <c r="G110" s="2148"/>
      <c r="H110" s="2148"/>
    </row>
    <row r="111" spans="1:8" x14ac:dyDescent="0.2">
      <c r="A111" s="2149" t="s">
        <v>1124</v>
      </c>
      <c r="B111" s="2148"/>
      <c r="C111" s="2148"/>
      <c r="D111" s="2148"/>
      <c r="E111" s="2148"/>
      <c r="F111" s="2148"/>
      <c r="G111" s="2148"/>
      <c r="H111" s="2148"/>
    </row>
    <row r="112" spans="1:8" x14ac:dyDescent="0.2">
      <c r="A112" s="2149" t="s">
        <v>1125</v>
      </c>
      <c r="B112" s="2148"/>
      <c r="C112" s="2148"/>
      <c r="D112" s="2148"/>
      <c r="E112" s="2148"/>
      <c r="F112" s="2148"/>
      <c r="G112" s="2148"/>
      <c r="H112" s="2148"/>
    </row>
    <row r="113" spans="1:8" x14ac:dyDescent="0.2">
      <c r="A113" s="2148"/>
      <c r="B113" s="2148"/>
      <c r="C113" s="2148"/>
      <c r="D113" s="2148"/>
      <c r="E113" s="2148"/>
      <c r="F113" s="2148"/>
      <c r="G113" s="2148"/>
      <c r="H113" s="2148"/>
    </row>
    <row r="114" spans="1:8" ht="15.75" x14ac:dyDescent="0.2">
      <c r="A114" s="2165" t="s">
        <v>898</v>
      </c>
      <c r="B114" s="2165"/>
      <c r="C114" s="2165"/>
      <c r="D114" s="2165"/>
      <c r="E114" s="2165"/>
      <c r="F114" s="2165"/>
      <c r="G114" s="2165"/>
      <c r="H114" s="2165"/>
    </row>
    <row r="115" spans="1:8" x14ac:dyDescent="0.2">
      <c r="A115" s="2161" t="s">
        <v>899</v>
      </c>
      <c r="B115" s="2161"/>
      <c r="C115" s="2161"/>
      <c r="D115" s="2161"/>
      <c r="E115" s="2161"/>
      <c r="F115" s="2161"/>
      <c r="G115" s="2161"/>
      <c r="H115" s="2161"/>
    </row>
    <row r="116" spans="1:8" x14ac:dyDescent="0.2">
      <c r="A116" s="2166"/>
      <c r="B116" s="2166"/>
      <c r="C116" s="2166"/>
      <c r="D116" s="2166"/>
      <c r="E116" s="2166"/>
      <c r="F116" s="2166"/>
      <c r="G116" s="2166"/>
      <c r="H116" s="2166"/>
    </row>
    <row r="117" spans="1:8" x14ac:dyDescent="0.2">
      <c r="A117" s="2161" t="s">
        <v>1115</v>
      </c>
      <c r="B117" s="2161"/>
      <c r="C117" s="2161"/>
      <c r="D117" s="2161"/>
      <c r="E117" s="2161"/>
      <c r="F117" s="2161"/>
      <c r="G117" s="2161"/>
      <c r="H117" s="2161"/>
    </row>
    <row r="118" spans="1:8" x14ac:dyDescent="0.2">
      <c r="A118" s="2149" t="s">
        <v>1116</v>
      </c>
      <c r="B118" s="2149"/>
      <c r="C118" s="2149"/>
      <c r="D118" s="2149"/>
      <c r="E118" s="2149"/>
      <c r="F118" s="2149"/>
      <c r="G118" s="2149"/>
      <c r="H118" s="2149"/>
    </row>
    <row r="119" spans="1:8" x14ac:dyDescent="0.2">
      <c r="A119" s="2166"/>
      <c r="B119" s="2166"/>
      <c r="C119" s="2166"/>
      <c r="D119" s="2166"/>
      <c r="E119" s="2166"/>
      <c r="F119" s="2166"/>
      <c r="G119" s="2166"/>
      <c r="H119" s="2166"/>
    </row>
    <row r="120" spans="1:8" x14ac:dyDescent="0.2">
      <c r="A120" s="2161" t="s">
        <v>1108</v>
      </c>
      <c r="B120" s="2161"/>
      <c r="C120" s="2161"/>
      <c r="D120" s="2161"/>
      <c r="E120" s="2161"/>
      <c r="F120" s="2161"/>
      <c r="G120" s="2161"/>
      <c r="H120" s="2161"/>
    </row>
    <row r="121" spans="1:8" x14ac:dyDescent="0.2">
      <c r="A121" s="2149" t="s">
        <v>1109</v>
      </c>
      <c r="B121" s="2149"/>
      <c r="C121" s="2149"/>
      <c r="D121" s="2149"/>
      <c r="E121" s="2149"/>
      <c r="F121" s="2149"/>
      <c r="G121" s="2149"/>
      <c r="H121" s="2149"/>
    </row>
    <row r="122" spans="1:8" x14ac:dyDescent="0.2">
      <c r="A122" s="2149" t="s">
        <v>1110</v>
      </c>
      <c r="B122" s="2149"/>
      <c r="C122" s="2149"/>
      <c r="D122" s="2149"/>
      <c r="E122" s="2149"/>
      <c r="F122" s="2149"/>
      <c r="G122" s="2149"/>
      <c r="H122" s="2149"/>
    </row>
    <row r="123" spans="1:8" x14ac:dyDescent="0.2">
      <c r="A123" s="2149" t="s">
        <v>1111</v>
      </c>
      <c r="B123" s="2149"/>
      <c r="C123" s="2149"/>
      <c r="D123" s="2149"/>
      <c r="E123" s="2149"/>
      <c r="F123" s="2149"/>
      <c r="G123" s="2149"/>
      <c r="H123" s="2149"/>
    </row>
    <row r="124" spans="1:8" x14ac:dyDescent="0.2">
      <c r="A124" s="2149" t="s">
        <v>1112</v>
      </c>
      <c r="B124" s="2149"/>
      <c r="C124" s="2149"/>
      <c r="D124" s="2149"/>
      <c r="E124" s="2149"/>
      <c r="F124" s="2149"/>
      <c r="G124" s="2149"/>
      <c r="H124" s="2149"/>
    </row>
    <row r="125" spans="1:8" x14ac:dyDescent="0.2">
      <c r="A125" s="2149" t="s">
        <v>1113</v>
      </c>
      <c r="B125" s="2149"/>
      <c r="C125" s="2149"/>
      <c r="D125" s="2149"/>
      <c r="E125" s="2149"/>
      <c r="F125" s="2149"/>
      <c r="G125" s="2149"/>
      <c r="H125" s="2149"/>
    </row>
    <row r="126" spans="1:8" x14ac:dyDescent="0.2">
      <c r="A126" s="2149" t="s">
        <v>1114</v>
      </c>
      <c r="B126" s="2149"/>
      <c r="C126" s="2149"/>
      <c r="D126" s="2149"/>
      <c r="E126" s="2149"/>
      <c r="F126" s="2149"/>
      <c r="G126" s="2149"/>
      <c r="H126" s="2149"/>
    </row>
    <row r="127" spans="1:8" x14ac:dyDescent="0.2">
      <c r="A127" s="2167"/>
      <c r="B127" s="2167"/>
      <c r="C127" s="2167"/>
      <c r="D127" s="2167"/>
      <c r="E127" s="2167"/>
      <c r="F127" s="2167"/>
      <c r="G127" s="2167"/>
      <c r="H127" s="2167"/>
    </row>
    <row r="128" spans="1:8" x14ac:dyDescent="0.2">
      <c r="A128" s="2151"/>
      <c r="B128" s="2162" t="s">
        <v>900</v>
      </c>
      <c r="C128" s="2163"/>
      <c r="D128" s="2162" t="s">
        <v>901</v>
      </c>
      <c r="E128" s="2164"/>
      <c r="F128" s="2163"/>
      <c r="G128" s="2162" t="s">
        <v>902</v>
      </c>
      <c r="H128" s="2163"/>
    </row>
    <row r="129" spans="1:8" x14ac:dyDescent="0.2">
      <c r="A129" s="2151" t="s">
        <v>903</v>
      </c>
      <c r="B129" s="2151" t="s">
        <v>224</v>
      </c>
      <c r="C129" s="2151" t="s">
        <v>904</v>
      </c>
      <c r="D129" s="2151" t="s">
        <v>224</v>
      </c>
      <c r="E129" s="2151" t="s">
        <v>905</v>
      </c>
      <c r="F129" s="2151" t="s">
        <v>906</v>
      </c>
      <c r="G129" s="2151" t="s">
        <v>224</v>
      </c>
      <c r="H129" s="2151" t="s">
        <v>907</v>
      </c>
    </row>
    <row r="130" spans="1:8" x14ac:dyDescent="0.2">
      <c r="A130" s="2151" t="s">
        <v>908</v>
      </c>
      <c r="B130" s="2151">
        <v>1189</v>
      </c>
      <c r="C130" s="2152">
        <v>0.38</v>
      </c>
      <c r="D130" s="2151">
        <v>315</v>
      </c>
      <c r="E130" s="2152">
        <v>0.41</v>
      </c>
      <c r="F130" s="2152">
        <v>0.26</v>
      </c>
      <c r="G130" s="2151">
        <v>555</v>
      </c>
      <c r="H130" s="2152">
        <v>0.39</v>
      </c>
    </row>
    <row r="131" spans="1:8" x14ac:dyDescent="0.2">
      <c r="A131" s="2151" t="s">
        <v>909</v>
      </c>
      <c r="B131" s="2151">
        <v>1355</v>
      </c>
      <c r="C131" s="2152">
        <v>0.43</v>
      </c>
      <c r="D131" s="2151">
        <v>364</v>
      </c>
      <c r="E131" s="2152">
        <v>0.47</v>
      </c>
      <c r="F131" s="2152">
        <v>0.27</v>
      </c>
      <c r="G131" s="2151">
        <v>644</v>
      </c>
      <c r="H131" s="2152">
        <v>0.45</v>
      </c>
    </row>
    <row r="132" spans="1:8" x14ac:dyDescent="0.2">
      <c r="A132" s="2151" t="s">
        <v>910</v>
      </c>
      <c r="B132" s="2151">
        <v>53</v>
      </c>
      <c r="C132" s="2152">
        <v>0.02</v>
      </c>
      <c r="D132" s="2151">
        <v>4</v>
      </c>
      <c r="E132" s="2152">
        <v>0.01</v>
      </c>
      <c r="F132" s="2152">
        <v>0.08</v>
      </c>
      <c r="G132" s="2151">
        <v>7</v>
      </c>
      <c r="H132" s="2152">
        <v>0</v>
      </c>
    </row>
    <row r="133" spans="1:8" x14ac:dyDescent="0.2">
      <c r="A133" s="2151" t="s">
        <v>911</v>
      </c>
      <c r="B133" s="2151">
        <v>545</v>
      </c>
      <c r="C133" s="2152">
        <v>0.17</v>
      </c>
      <c r="D133" s="2151">
        <v>84</v>
      </c>
      <c r="E133" s="2152">
        <v>0.11</v>
      </c>
      <c r="F133" s="2152">
        <v>0.15</v>
      </c>
      <c r="G133" s="2151">
        <v>214</v>
      </c>
      <c r="H133" s="2152">
        <v>0.15</v>
      </c>
    </row>
    <row r="134" spans="1:8" x14ac:dyDescent="0.2">
      <c r="A134" s="2151" t="s">
        <v>305</v>
      </c>
      <c r="B134" s="2153">
        <v>3142</v>
      </c>
      <c r="C134" s="2151"/>
      <c r="D134" s="2151">
        <v>767</v>
      </c>
      <c r="E134" s="2151"/>
      <c r="F134" s="2151"/>
      <c r="G134" s="2151">
        <v>1420</v>
      </c>
      <c r="H134" s="2151"/>
    </row>
    <row r="135" spans="1:8" x14ac:dyDescent="0.2">
      <c r="A135" s="2160"/>
      <c r="B135" s="2160"/>
      <c r="C135" s="2160"/>
      <c r="D135" s="2160"/>
      <c r="E135" s="2160"/>
      <c r="F135" s="2160"/>
      <c r="G135" s="2160"/>
      <c r="H135" s="2160"/>
    </row>
    <row r="136" spans="1:8" x14ac:dyDescent="0.2">
      <c r="A136" s="2161" t="s">
        <v>1104</v>
      </c>
      <c r="B136" s="2161"/>
      <c r="C136" s="2161"/>
      <c r="D136" s="2161"/>
      <c r="E136" s="2161"/>
      <c r="F136" s="2161"/>
      <c r="G136" s="2161"/>
      <c r="H136" s="2161"/>
    </row>
    <row r="137" spans="1:8" x14ac:dyDescent="0.2">
      <c r="A137" s="2149" t="s">
        <v>1105</v>
      </c>
      <c r="B137" s="2149"/>
      <c r="C137" s="2149"/>
      <c r="D137" s="2149"/>
      <c r="E137" s="2149"/>
      <c r="F137" s="2149"/>
      <c r="G137" s="2149"/>
      <c r="H137" s="2149"/>
    </row>
    <row r="138" spans="1:8" x14ac:dyDescent="0.2">
      <c r="A138" s="2149" t="s">
        <v>1106</v>
      </c>
      <c r="B138" s="2149"/>
      <c r="C138" s="2149"/>
      <c r="D138" s="2149"/>
      <c r="E138" s="2149"/>
      <c r="F138" s="2149"/>
      <c r="G138" s="2149"/>
      <c r="H138" s="2149"/>
    </row>
    <row r="139" spans="1:8" x14ac:dyDescent="0.2">
      <c r="A139" s="2149" t="s">
        <v>1107</v>
      </c>
      <c r="B139" s="2149"/>
      <c r="C139" s="2149"/>
      <c r="D139" s="2149"/>
      <c r="E139" s="2149"/>
      <c r="F139" s="2149"/>
      <c r="G139" s="2149"/>
      <c r="H139" s="2149"/>
    </row>
    <row r="140" spans="1:8" x14ac:dyDescent="0.2">
      <c r="A140" s="2148"/>
      <c r="B140" s="2148"/>
      <c r="C140" s="2148"/>
      <c r="D140" s="2148"/>
      <c r="E140" s="2148"/>
      <c r="F140" s="2148"/>
      <c r="G140" s="2148"/>
      <c r="H140" s="2148"/>
    </row>
    <row r="141" spans="1:8" ht="15.75" x14ac:dyDescent="0.2">
      <c r="A141" s="2150" t="s">
        <v>912</v>
      </c>
      <c r="B141" s="2148"/>
      <c r="C141" s="2148"/>
      <c r="D141" s="2148"/>
      <c r="E141" s="2148"/>
      <c r="F141" s="2148"/>
      <c r="G141" s="2148"/>
      <c r="H141" s="2148"/>
    </row>
    <row r="142" spans="1:8" x14ac:dyDescent="0.2">
      <c r="A142" s="2148"/>
      <c r="B142" s="2148"/>
      <c r="C142" s="2148"/>
      <c r="D142" s="2148"/>
      <c r="E142" s="2148"/>
      <c r="F142" s="2148"/>
      <c r="G142" s="2148"/>
      <c r="H142" s="2148"/>
    </row>
    <row r="143" spans="1:8" x14ac:dyDescent="0.2">
      <c r="A143" s="2149" t="s">
        <v>1102</v>
      </c>
      <c r="B143" s="2148"/>
      <c r="C143" s="2148"/>
      <c r="D143" s="2148"/>
      <c r="E143" s="2148"/>
      <c r="F143" s="2148"/>
      <c r="G143" s="2148"/>
      <c r="H143" s="2148"/>
    </row>
    <row r="144" spans="1:8" x14ac:dyDescent="0.2">
      <c r="A144" s="2149" t="s">
        <v>1103</v>
      </c>
      <c r="B144" s="2148"/>
      <c r="C144" s="2148"/>
      <c r="D144" s="2148"/>
      <c r="E144" s="2148"/>
      <c r="F144" s="2148"/>
      <c r="G144" s="2148"/>
      <c r="H144" s="2148"/>
    </row>
    <row r="145" spans="1:8" x14ac:dyDescent="0.2">
      <c r="A145" s="2148"/>
      <c r="B145" s="2148"/>
      <c r="C145" s="2148"/>
      <c r="D145" s="2148"/>
      <c r="E145" s="2148"/>
      <c r="F145" s="2148"/>
      <c r="G145" s="2148"/>
      <c r="H145" s="2148"/>
    </row>
    <row r="146" spans="1:8" x14ac:dyDescent="0.2">
      <c r="A146" s="2149" t="s">
        <v>1099</v>
      </c>
      <c r="B146" s="2148"/>
      <c r="C146" s="2148"/>
      <c r="D146" s="2148"/>
      <c r="E146" s="2148"/>
      <c r="F146" s="2148"/>
      <c r="G146" s="2148"/>
      <c r="H146" s="2148"/>
    </row>
    <row r="147" spans="1:8" x14ac:dyDescent="0.2">
      <c r="A147" s="2149" t="s">
        <v>1100</v>
      </c>
      <c r="B147" s="2148"/>
      <c r="C147" s="2148"/>
      <c r="D147" s="2148"/>
      <c r="E147" s="2148"/>
      <c r="F147" s="2148"/>
      <c r="G147" s="2148"/>
      <c r="H147" s="2148"/>
    </row>
    <row r="148" spans="1:8" x14ac:dyDescent="0.2">
      <c r="A148" s="2149" t="s">
        <v>1101</v>
      </c>
      <c r="B148" s="2148"/>
      <c r="C148" s="2148"/>
      <c r="D148" s="2148"/>
      <c r="E148" s="2148"/>
      <c r="F148" s="2148"/>
      <c r="G148" s="2148"/>
      <c r="H148" s="2148"/>
    </row>
    <row r="149" spans="1:8" x14ac:dyDescent="0.2">
      <c r="A149" s="2148"/>
      <c r="B149" s="2148"/>
      <c r="C149" s="2148"/>
      <c r="D149" s="2148"/>
      <c r="E149" s="2148"/>
      <c r="F149" s="2148"/>
      <c r="G149" s="2148"/>
      <c r="H149" s="2148"/>
    </row>
    <row r="150" spans="1:8" x14ac:dyDescent="0.2">
      <c r="A150" s="2149" t="s">
        <v>1096</v>
      </c>
      <c r="B150" s="2148"/>
      <c r="C150" s="2148"/>
      <c r="D150" s="2148"/>
      <c r="E150" s="2148"/>
      <c r="F150" s="2148"/>
      <c r="G150" s="2148"/>
      <c r="H150" s="2148"/>
    </row>
    <row r="151" spans="1:8" x14ac:dyDescent="0.2">
      <c r="A151" s="2149" t="s">
        <v>1097</v>
      </c>
      <c r="B151" s="2148"/>
      <c r="C151" s="2148"/>
      <c r="D151" s="2148"/>
      <c r="E151" s="2148"/>
      <c r="F151" s="2148"/>
      <c r="G151" s="2148"/>
      <c r="H151" s="2148"/>
    </row>
    <row r="152" spans="1:8" x14ac:dyDescent="0.2">
      <c r="A152" s="2149" t="s">
        <v>1098</v>
      </c>
      <c r="B152" s="2148"/>
      <c r="C152" s="2148"/>
      <c r="D152" s="2148"/>
      <c r="E152" s="2148"/>
      <c r="F152" s="2148"/>
      <c r="G152" s="2148"/>
      <c r="H152" s="2148"/>
    </row>
    <row r="153" spans="1:8" x14ac:dyDescent="0.2">
      <c r="A153" s="2148"/>
      <c r="B153" s="2148"/>
      <c r="C153" s="2148"/>
      <c r="D153" s="2148"/>
      <c r="E153" s="2148"/>
      <c r="F153" s="2148"/>
      <c r="G153" s="2148"/>
      <c r="H153" s="2148"/>
    </row>
    <row r="154" spans="1:8" x14ac:dyDescent="0.2">
      <c r="A154" s="2149" t="s">
        <v>1093</v>
      </c>
      <c r="B154" s="2148"/>
      <c r="C154" s="2148"/>
      <c r="D154" s="2148"/>
      <c r="E154" s="2148"/>
      <c r="F154" s="2148"/>
      <c r="G154" s="2148"/>
      <c r="H154" s="2148"/>
    </row>
    <row r="155" spans="1:8" x14ac:dyDescent="0.2">
      <c r="A155" s="2149" t="s">
        <v>1094</v>
      </c>
      <c r="B155" s="2148"/>
      <c r="C155" s="2148"/>
      <c r="D155" s="2148"/>
      <c r="E155" s="2148"/>
      <c r="F155" s="2148"/>
      <c r="G155" s="2148"/>
      <c r="H155" s="2148"/>
    </row>
    <row r="156" spans="1:8" x14ac:dyDescent="0.2">
      <c r="A156" s="2149" t="s">
        <v>1095</v>
      </c>
      <c r="B156" s="2148"/>
      <c r="C156" s="2148"/>
      <c r="D156" s="2148"/>
      <c r="E156" s="2148"/>
      <c r="F156" s="2148"/>
      <c r="G156" s="2148"/>
      <c r="H156" s="2148"/>
    </row>
    <row r="157" spans="1:8" x14ac:dyDescent="0.2">
      <c r="A157" s="2148"/>
      <c r="B157" s="2148"/>
      <c r="C157" s="2148"/>
      <c r="D157" s="2148"/>
      <c r="E157" s="2148"/>
      <c r="F157" s="2148"/>
      <c r="G157" s="2148"/>
      <c r="H157" s="2148"/>
    </row>
    <row r="158" spans="1:8" x14ac:dyDescent="0.2">
      <c r="A158" s="2149" t="s">
        <v>1091</v>
      </c>
      <c r="B158" s="2148"/>
      <c r="C158" s="2148"/>
      <c r="D158" s="2148"/>
      <c r="E158" s="2148"/>
      <c r="F158" s="2148"/>
      <c r="G158" s="2148"/>
      <c r="H158" s="2148"/>
    </row>
    <row r="159" spans="1:8" x14ac:dyDescent="0.2">
      <c r="A159" s="2149" t="s">
        <v>1092</v>
      </c>
      <c r="B159" s="2148"/>
      <c r="C159" s="2148"/>
      <c r="D159" s="2148"/>
      <c r="E159" s="2148"/>
      <c r="F159" s="2148"/>
      <c r="G159" s="2148"/>
      <c r="H159" s="2148"/>
    </row>
    <row r="160" spans="1:8" x14ac:dyDescent="0.2">
      <c r="A160" s="2148"/>
      <c r="B160" s="2148"/>
      <c r="C160" s="2148"/>
      <c r="D160" s="2148"/>
      <c r="E160" s="2148"/>
      <c r="F160" s="2148"/>
      <c r="G160" s="2148"/>
      <c r="H160" s="2148"/>
    </row>
    <row r="161" spans="1:8" ht="15.75" x14ac:dyDescent="0.2">
      <c r="A161" s="2150" t="s">
        <v>913</v>
      </c>
      <c r="B161" s="2148"/>
      <c r="C161" s="2148"/>
      <c r="D161" s="2148"/>
      <c r="E161" s="2148"/>
      <c r="F161" s="2148"/>
      <c r="G161" s="2148"/>
      <c r="H161" s="2148"/>
    </row>
    <row r="162" spans="1:8" x14ac:dyDescent="0.2">
      <c r="A162" s="2148"/>
      <c r="B162" s="2148"/>
      <c r="C162" s="2148"/>
      <c r="D162" s="2148"/>
      <c r="E162" s="2148"/>
      <c r="F162" s="2148"/>
      <c r="G162" s="2148"/>
      <c r="H162" s="2148"/>
    </row>
    <row r="163" spans="1:8" x14ac:dyDescent="0.2">
      <c r="A163" s="2149" t="s">
        <v>1089</v>
      </c>
      <c r="B163" s="2148"/>
      <c r="C163" s="2148"/>
      <c r="D163" s="2148"/>
      <c r="E163" s="2148"/>
      <c r="F163" s="2148"/>
      <c r="G163" s="2148"/>
      <c r="H163" s="2148"/>
    </row>
    <row r="164" spans="1:8" x14ac:dyDescent="0.2">
      <c r="A164" s="2149" t="s">
        <v>1090</v>
      </c>
      <c r="B164" s="2148"/>
      <c r="C164" s="2148"/>
      <c r="D164" s="2148"/>
      <c r="E164" s="2148"/>
      <c r="F164" s="2148"/>
      <c r="G164" s="2148"/>
      <c r="H164" s="2148"/>
    </row>
    <row r="165" spans="1:8" x14ac:dyDescent="0.2">
      <c r="A165" s="2148"/>
      <c r="B165" s="2148"/>
      <c r="C165" s="2148"/>
      <c r="D165" s="2148"/>
      <c r="E165" s="2148"/>
      <c r="F165" s="2148"/>
      <c r="G165" s="2148"/>
      <c r="H165" s="2148"/>
    </row>
    <row r="166" spans="1:8" x14ac:dyDescent="0.2">
      <c r="A166" s="2149" t="s">
        <v>1087</v>
      </c>
      <c r="B166" s="2148"/>
      <c r="C166" s="2148"/>
      <c r="D166" s="2148"/>
      <c r="E166" s="2148"/>
      <c r="F166" s="2148"/>
      <c r="G166" s="2148"/>
      <c r="H166" s="2148"/>
    </row>
    <row r="167" spans="1:8" x14ac:dyDescent="0.2">
      <c r="A167" s="2149" t="s">
        <v>1088</v>
      </c>
      <c r="B167" s="2148"/>
      <c r="C167" s="2148"/>
      <c r="D167" s="2148"/>
      <c r="E167" s="2148"/>
      <c r="F167" s="2148"/>
      <c r="G167" s="2148"/>
      <c r="H167" s="2148"/>
    </row>
    <row r="168" spans="1:8" x14ac:dyDescent="0.2">
      <c r="A168" s="2148"/>
      <c r="B168" s="2148"/>
      <c r="C168" s="2148"/>
      <c r="D168" s="2148"/>
      <c r="E168" s="2148"/>
      <c r="F168" s="2148"/>
      <c r="G168" s="2148"/>
      <c r="H168" s="2148"/>
    </row>
    <row r="169" spans="1:8" x14ac:dyDescent="0.2">
      <c r="A169" s="2149" t="s">
        <v>1085</v>
      </c>
      <c r="B169" s="2148"/>
      <c r="C169" s="2148"/>
      <c r="D169" s="2148"/>
      <c r="E169" s="2148"/>
      <c r="F169" s="2148"/>
      <c r="G169" s="2148"/>
      <c r="H169" s="2148"/>
    </row>
    <row r="170" spans="1:8" x14ac:dyDescent="0.2">
      <c r="A170" s="2149" t="s">
        <v>1086</v>
      </c>
      <c r="B170" s="2148"/>
      <c r="C170" s="2148"/>
      <c r="D170" s="2148"/>
      <c r="E170" s="2148"/>
      <c r="F170" s="2148"/>
      <c r="G170" s="2148"/>
      <c r="H170" s="2148"/>
    </row>
    <row r="171" spans="1:8" x14ac:dyDescent="0.2">
      <c r="A171" s="2148"/>
      <c r="B171" s="2148"/>
      <c r="C171" s="2148"/>
      <c r="D171" s="2148"/>
      <c r="E171" s="2148"/>
      <c r="F171" s="2148"/>
      <c r="G171" s="2148"/>
      <c r="H171" s="2148"/>
    </row>
    <row r="172" spans="1:8" x14ac:dyDescent="0.2">
      <c r="A172" s="2149" t="s">
        <v>1082</v>
      </c>
      <c r="B172" s="2148"/>
      <c r="C172" s="2148"/>
      <c r="D172" s="2148"/>
      <c r="E172" s="2148"/>
      <c r="F172" s="2148"/>
      <c r="G172" s="2148"/>
      <c r="H172" s="2148"/>
    </row>
    <row r="173" spans="1:8" x14ac:dyDescent="0.2">
      <c r="A173" s="2149" t="s">
        <v>1083</v>
      </c>
      <c r="B173" s="2148"/>
      <c r="C173" s="2148"/>
      <c r="D173" s="2148"/>
      <c r="E173" s="2148"/>
      <c r="F173" s="2148"/>
      <c r="G173" s="2148"/>
      <c r="H173" s="2148"/>
    </row>
    <row r="174" spans="1:8" x14ac:dyDescent="0.2">
      <c r="A174" s="2149" t="s">
        <v>1084</v>
      </c>
      <c r="B174" s="2148"/>
      <c r="C174" s="2148"/>
      <c r="D174" s="2148"/>
      <c r="E174" s="2148"/>
      <c r="F174" s="2148"/>
      <c r="G174" s="2148"/>
      <c r="H174" s="2148"/>
    </row>
    <row r="175" spans="1:8" x14ac:dyDescent="0.2">
      <c r="A175" s="2148"/>
      <c r="B175" s="2148"/>
      <c r="C175" s="2148"/>
      <c r="D175" s="2148"/>
      <c r="E175" s="2148"/>
      <c r="F175" s="2148"/>
      <c r="G175" s="2148"/>
      <c r="H175" s="2148"/>
    </row>
    <row r="176" spans="1:8" x14ac:dyDescent="0.2">
      <c r="A176" s="2148"/>
      <c r="B176" s="2148"/>
      <c r="C176" s="2148"/>
      <c r="D176" s="2148"/>
      <c r="E176" s="2148"/>
      <c r="F176" s="2148"/>
      <c r="G176" s="2148"/>
      <c r="H176" s="2148"/>
    </row>
    <row r="177" spans="1:8" x14ac:dyDescent="0.2">
      <c r="A177" s="2149" t="s">
        <v>914</v>
      </c>
      <c r="B177" s="2148"/>
      <c r="C177" s="2148"/>
      <c r="D177" s="2148"/>
      <c r="E177" s="2148"/>
      <c r="F177" s="2148"/>
      <c r="G177" s="2148"/>
      <c r="H177" s="2148"/>
    </row>
    <row r="178" spans="1:8" x14ac:dyDescent="0.2">
      <c r="A178" s="2148"/>
      <c r="B178" s="2148"/>
      <c r="C178" s="2148"/>
      <c r="D178" s="2148"/>
      <c r="E178" s="2148"/>
      <c r="F178" s="2148"/>
      <c r="G178" s="2148"/>
      <c r="H178" s="2148"/>
    </row>
    <row r="179" spans="1:8" ht="15.75" x14ac:dyDescent="0.2">
      <c r="A179" s="2150" t="s">
        <v>915</v>
      </c>
      <c r="B179" s="2148"/>
      <c r="C179" s="2148"/>
      <c r="D179" s="2148"/>
      <c r="E179" s="2148"/>
      <c r="F179" s="2148"/>
      <c r="G179" s="2148"/>
      <c r="H179" s="2148"/>
    </row>
    <row r="180" spans="1:8" x14ac:dyDescent="0.2">
      <c r="A180" s="2148"/>
      <c r="B180" s="2148"/>
      <c r="C180" s="2148"/>
      <c r="D180" s="2148"/>
      <c r="E180" s="2148"/>
      <c r="F180" s="2148"/>
      <c r="G180" s="2148"/>
      <c r="H180" s="2148"/>
    </row>
    <row r="181" spans="1:8" x14ac:dyDescent="0.2">
      <c r="A181" s="2148"/>
      <c r="B181" s="2148"/>
      <c r="C181" s="2148"/>
      <c r="D181" s="2148"/>
      <c r="E181" s="2148"/>
      <c r="F181" s="2148"/>
      <c r="G181" s="2148"/>
      <c r="H181" s="2148"/>
    </row>
    <row r="182" spans="1:8" x14ac:dyDescent="0.2">
      <c r="A182" s="2148"/>
      <c r="B182" s="2148"/>
      <c r="C182" s="2148"/>
      <c r="D182" s="2148"/>
      <c r="E182" s="2148"/>
      <c r="F182" s="2148"/>
      <c r="G182" s="2148"/>
      <c r="H182" s="2148"/>
    </row>
    <row r="183" spans="1:8" x14ac:dyDescent="0.2">
      <c r="A183" s="2148"/>
      <c r="B183" s="2148"/>
      <c r="C183" s="2148"/>
      <c r="D183" s="2148"/>
      <c r="E183" s="2148"/>
      <c r="F183" s="2148"/>
      <c r="G183" s="2148"/>
      <c r="H183" s="2148"/>
    </row>
    <row r="184" spans="1:8" x14ac:dyDescent="0.2">
      <c r="A184" s="2148"/>
      <c r="B184" s="2148"/>
      <c r="C184" s="2148"/>
      <c r="D184" s="2148"/>
      <c r="E184" s="2148"/>
      <c r="F184" s="2148"/>
      <c r="G184" s="2148"/>
      <c r="H184" s="2148"/>
    </row>
    <row r="185" spans="1:8" x14ac:dyDescent="0.2">
      <c r="A185" s="2148"/>
      <c r="B185" s="2148"/>
      <c r="C185" s="2148"/>
      <c r="D185" s="2148"/>
      <c r="E185" s="2148"/>
      <c r="F185" s="2148"/>
      <c r="G185" s="2148"/>
      <c r="H185" s="2148"/>
    </row>
    <row r="186" spans="1:8" x14ac:dyDescent="0.2">
      <c r="A186" s="2148"/>
      <c r="B186" s="2148"/>
      <c r="C186" s="2148"/>
      <c r="D186" s="2148"/>
      <c r="E186" s="2148"/>
      <c r="F186" s="2148"/>
      <c r="G186" s="2148"/>
      <c r="H186" s="2148"/>
    </row>
    <row r="187" spans="1:8" x14ac:dyDescent="0.2">
      <c r="A187" s="2148"/>
      <c r="B187" s="2148"/>
      <c r="C187" s="2148"/>
      <c r="D187" s="2148"/>
      <c r="E187" s="2148"/>
      <c r="F187" s="2148"/>
      <c r="G187" s="2148"/>
      <c r="H187" s="2148"/>
    </row>
    <row r="188" spans="1:8" x14ac:dyDescent="0.2">
      <c r="A188" s="2148"/>
      <c r="B188" s="2148"/>
      <c r="C188" s="2148"/>
      <c r="D188" s="2148"/>
      <c r="E188" s="2148"/>
      <c r="F188" s="2148"/>
      <c r="G188" s="2148"/>
      <c r="H188" s="2148"/>
    </row>
    <row r="189" spans="1:8" x14ac:dyDescent="0.2">
      <c r="A189" s="2148"/>
      <c r="B189" s="2148"/>
      <c r="C189" s="2148"/>
      <c r="D189" s="2148"/>
      <c r="E189" s="2148"/>
      <c r="F189" s="2148"/>
      <c r="G189" s="2148"/>
      <c r="H189" s="2148"/>
    </row>
    <row r="190" spans="1:8" x14ac:dyDescent="0.2">
      <c r="A190" s="2148"/>
      <c r="B190" s="2148"/>
      <c r="C190" s="2148"/>
      <c r="D190" s="2148"/>
      <c r="E190" s="2148"/>
      <c r="F190" s="2148"/>
      <c r="G190" s="2148"/>
      <c r="H190" s="2148"/>
    </row>
    <row r="191" spans="1:8" x14ac:dyDescent="0.2">
      <c r="A191" s="2148"/>
      <c r="B191" s="2148"/>
      <c r="C191" s="2148"/>
      <c r="D191" s="2148"/>
      <c r="E191" s="2148"/>
      <c r="F191" s="2148"/>
      <c r="G191" s="2148"/>
      <c r="H191" s="2148"/>
    </row>
    <row r="192" spans="1:8" x14ac:dyDescent="0.2">
      <c r="A192" s="2148"/>
      <c r="B192" s="2148"/>
      <c r="C192" s="2148"/>
      <c r="D192" s="2148"/>
      <c r="E192" s="2148"/>
      <c r="F192" s="2148"/>
      <c r="G192" s="2148"/>
      <c r="H192" s="2148"/>
    </row>
    <row r="193" spans="1:8" x14ac:dyDescent="0.2">
      <c r="A193" s="2148"/>
      <c r="B193" s="2148"/>
      <c r="C193" s="2148"/>
      <c r="D193" s="2148"/>
      <c r="E193" s="2148"/>
      <c r="F193" s="2148"/>
      <c r="G193" s="2148"/>
      <c r="H193" s="2148"/>
    </row>
    <row r="194" spans="1:8" x14ac:dyDescent="0.2">
      <c r="A194" s="2148"/>
      <c r="B194" s="2148"/>
      <c r="C194" s="2148"/>
      <c r="D194" s="2148"/>
      <c r="E194" s="2148"/>
      <c r="F194" s="2148"/>
      <c r="G194" s="2148"/>
      <c r="H194" s="2148"/>
    </row>
    <row r="195" spans="1:8" x14ac:dyDescent="0.2">
      <c r="A195" s="2148"/>
      <c r="B195" s="2148"/>
      <c r="C195" s="2148"/>
      <c r="D195" s="2148"/>
      <c r="E195" s="2148"/>
      <c r="F195" s="2148"/>
      <c r="G195" s="2148"/>
      <c r="H195" s="2148"/>
    </row>
    <row r="196" spans="1:8" x14ac:dyDescent="0.2">
      <c r="A196" s="2148"/>
      <c r="B196" s="2148"/>
      <c r="C196" s="2148"/>
      <c r="D196" s="2148"/>
      <c r="E196" s="2148"/>
      <c r="F196" s="2148"/>
      <c r="G196" s="2148"/>
      <c r="H196" s="2148"/>
    </row>
    <row r="197" spans="1:8" x14ac:dyDescent="0.2">
      <c r="A197" s="2148"/>
      <c r="B197" s="2148"/>
      <c r="C197" s="2148"/>
      <c r="D197" s="2148"/>
      <c r="E197" s="2148"/>
      <c r="F197" s="2148"/>
      <c r="G197" s="2148"/>
      <c r="H197" s="2148"/>
    </row>
    <row r="198" spans="1:8" x14ac:dyDescent="0.2">
      <c r="A198" s="2148"/>
      <c r="B198" s="2148"/>
      <c r="C198" s="2148"/>
      <c r="D198" s="2148"/>
      <c r="E198" s="2148"/>
      <c r="F198" s="2148"/>
      <c r="G198" s="2148"/>
      <c r="H198" s="2148"/>
    </row>
    <row r="199" spans="1:8" x14ac:dyDescent="0.2">
      <c r="A199" s="2148"/>
      <c r="B199" s="2148"/>
      <c r="C199" s="2148"/>
      <c r="D199" s="2148"/>
      <c r="E199" s="2148"/>
      <c r="F199" s="2148"/>
      <c r="G199" s="2148"/>
      <c r="H199" s="2148"/>
    </row>
    <row r="200" spans="1:8" x14ac:dyDescent="0.2">
      <c r="A200" s="2148"/>
      <c r="B200" s="2148"/>
      <c r="C200" s="2148"/>
      <c r="D200" s="2148"/>
      <c r="E200" s="2148"/>
      <c r="F200" s="2148"/>
      <c r="G200" s="2148"/>
      <c r="H200" s="2148"/>
    </row>
    <row r="201" spans="1:8" x14ac:dyDescent="0.2">
      <c r="A201" s="2148"/>
      <c r="B201" s="2148"/>
      <c r="C201" s="2148"/>
      <c r="D201" s="2148"/>
      <c r="E201" s="2148"/>
      <c r="F201" s="2148"/>
      <c r="G201" s="2148"/>
      <c r="H201" s="2148"/>
    </row>
    <row r="202" spans="1:8" x14ac:dyDescent="0.2">
      <c r="A202" s="2148"/>
      <c r="B202" s="2148"/>
      <c r="C202" s="2148"/>
      <c r="D202" s="2148"/>
      <c r="E202" s="2148"/>
      <c r="F202" s="2148"/>
      <c r="G202" s="2148"/>
      <c r="H202" s="2148"/>
    </row>
    <row r="203" spans="1:8" x14ac:dyDescent="0.2">
      <c r="A203" s="2148"/>
      <c r="B203" s="2148"/>
      <c r="C203" s="2148"/>
      <c r="D203" s="2148"/>
      <c r="E203" s="2148"/>
      <c r="F203" s="2148"/>
      <c r="G203" s="2148"/>
      <c r="H203" s="2148"/>
    </row>
    <row r="204" spans="1:8" x14ac:dyDescent="0.2">
      <c r="A204" s="2148"/>
      <c r="B204" s="2148"/>
      <c r="C204" s="2148"/>
      <c r="D204" s="2148"/>
      <c r="E204" s="2148"/>
      <c r="F204" s="2148"/>
      <c r="G204" s="2148"/>
      <c r="H204" s="2148"/>
    </row>
    <row r="205" spans="1:8" x14ac:dyDescent="0.2">
      <c r="A205" s="2148"/>
      <c r="B205" s="2148"/>
      <c r="C205" s="2148"/>
      <c r="D205" s="2148"/>
      <c r="E205" s="2148"/>
      <c r="F205" s="2148"/>
      <c r="G205" s="2148"/>
      <c r="H205" s="2148"/>
    </row>
    <row r="206" spans="1:8" ht="15.75" x14ac:dyDescent="0.2">
      <c r="A206" s="2150" t="s">
        <v>916</v>
      </c>
      <c r="B206" s="2148"/>
      <c r="C206" s="2148"/>
      <c r="D206" s="2148"/>
      <c r="E206" s="2148"/>
      <c r="F206" s="2148"/>
      <c r="G206" s="2148"/>
      <c r="H206" s="2148"/>
    </row>
    <row r="207" spans="1:8" x14ac:dyDescent="0.2">
      <c r="A207" s="2148"/>
      <c r="B207" s="2148"/>
      <c r="C207" s="2148"/>
      <c r="D207" s="2148"/>
      <c r="E207" s="2148"/>
      <c r="F207" s="2148"/>
      <c r="G207" s="2148"/>
      <c r="H207" s="2148"/>
    </row>
    <row r="208" spans="1:8" x14ac:dyDescent="0.2">
      <c r="A208" s="2149" t="s">
        <v>1077</v>
      </c>
      <c r="B208" s="2148"/>
      <c r="C208" s="2148"/>
      <c r="D208" s="2148"/>
      <c r="E208" s="2148"/>
      <c r="F208" s="2148"/>
      <c r="G208" s="2148"/>
      <c r="H208" s="2148"/>
    </row>
    <row r="209" spans="1:8" x14ac:dyDescent="0.2">
      <c r="A209" s="2149" t="s">
        <v>1078</v>
      </c>
      <c r="B209" s="2148"/>
      <c r="C209" s="2148"/>
      <c r="D209" s="2148"/>
      <c r="E209" s="2148"/>
      <c r="F209" s="2148"/>
      <c r="G209" s="2148"/>
      <c r="H209" s="2148"/>
    </row>
    <row r="210" spans="1:8" x14ac:dyDescent="0.2">
      <c r="A210" s="2149" t="s">
        <v>1079</v>
      </c>
      <c r="B210" s="2148"/>
      <c r="C210" s="2148"/>
      <c r="D210" s="2148"/>
      <c r="E210" s="2148"/>
      <c r="F210" s="2148"/>
      <c r="G210" s="2148"/>
      <c r="H210" s="2148"/>
    </row>
    <row r="211" spans="1:8" x14ac:dyDescent="0.2">
      <c r="A211" s="2149" t="s">
        <v>1080</v>
      </c>
      <c r="B211" s="2148"/>
      <c r="C211" s="2148"/>
      <c r="D211" s="2148"/>
      <c r="E211" s="2148"/>
      <c r="F211" s="2148"/>
      <c r="G211" s="2148"/>
      <c r="H211" s="2148"/>
    </row>
    <row r="212" spans="1:8" x14ac:dyDescent="0.2">
      <c r="A212" s="2149" t="s">
        <v>1081</v>
      </c>
      <c r="B212" s="2148"/>
      <c r="C212" s="2148"/>
      <c r="D212" s="2148"/>
      <c r="E212" s="2148"/>
      <c r="F212" s="2148"/>
      <c r="G212" s="2148"/>
      <c r="H212" s="2148"/>
    </row>
    <row r="213" spans="1:8" x14ac:dyDescent="0.2">
      <c r="A213" s="2148"/>
      <c r="B213" s="2148"/>
      <c r="C213" s="2148"/>
      <c r="D213" s="2148"/>
      <c r="E213" s="2148"/>
      <c r="F213" s="2148"/>
      <c r="G213" s="2148"/>
      <c r="H213" s="2148"/>
    </row>
    <row r="214" spans="1:8" x14ac:dyDescent="0.2">
      <c r="A214" s="2149" t="s">
        <v>1074</v>
      </c>
      <c r="B214" s="2148"/>
      <c r="C214" s="2148"/>
      <c r="D214" s="2148"/>
      <c r="E214" s="2148"/>
      <c r="F214" s="2148"/>
      <c r="G214" s="2148"/>
      <c r="H214" s="2148"/>
    </row>
    <row r="215" spans="1:8" x14ac:dyDescent="0.2">
      <c r="A215" s="2149" t="s">
        <v>1075</v>
      </c>
      <c r="B215" s="2148"/>
      <c r="C215" s="2148"/>
      <c r="D215" s="2148"/>
      <c r="E215" s="2148"/>
      <c r="F215" s="2148"/>
      <c r="G215" s="2148"/>
      <c r="H215" s="2148"/>
    </row>
    <row r="216" spans="1:8" x14ac:dyDescent="0.2">
      <c r="A216" s="2149" t="s">
        <v>1076</v>
      </c>
      <c r="B216" s="2148"/>
      <c r="C216" s="2148"/>
      <c r="D216" s="2148"/>
      <c r="E216" s="2148"/>
      <c r="F216" s="2148"/>
      <c r="G216" s="2148"/>
      <c r="H216" s="2148"/>
    </row>
    <row r="217" spans="1:8" ht="15.75" x14ac:dyDescent="0.2">
      <c r="A217" s="2150" t="s">
        <v>917</v>
      </c>
      <c r="B217" s="2148"/>
      <c r="C217" s="2148"/>
      <c r="D217" s="2148"/>
      <c r="E217" s="2148"/>
      <c r="F217" s="2148"/>
      <c r="G217" s="2148"/>
      <c r="H217" s="2148"/>
    </row>
    <row r="218" spans="1:8" x14ac:dyDescent="0.2">
      <c r="A218" s="2148"/>
      <c r="B218" s="2148"/>
      <c r="C218" s="2148"/>
      <c r="D218" s="2148"/>
      <c r="E218" s="2148"/>
      <c r="F218" s="2148"/>
      <c r="G218" s="2148"/>
      <c r="H218" s="2148"/>
    </row>
    <row r="219" spans="1:8" x14ac:dyDescent="0.2">
      <c r="A219" s="2149" t="s">
        <v>1072</v>
      </c>
      <c r="B219" s="2148"/>
      <c r="C219" s="2148"/>
      <c r="D219" s="2148"/>
      <c r="E219" s="2148"/>
      <c r="F219" s="2148"/>
      <c r="G219" s="2148"/>
      <c r="H219" s="2148"/>
    </row>
    <row r="220" spans="1:8" x14ac:dyDescent="0.2">
      <c r="A220" s="2149" t="s">
        <v>1073</v>
      </c>
      <c r="B220" s="2148"/>
      <c r="C220" s="2148"/>
      <c r="D220" s="2148"/>
      <c r="E220" s="2148"/>
      <c r="F220" s="2148"/>
      <c r="G220" s="2148"/>
      <c r="H220" s="2148"/>
    </row>
    <row r="221" spans="1:8" x14ac:dyDescent="0.2">
      <c r="A221" s="2148"/>
      <c r="B221" s="2148"/>
      <c r="C221" s="2148"/>
      <c r="D221" s="2148"/>
      <c r="E221" s="2148"/>
      <c r="F221" s="2148"/>
      <c r="G221" s="2148"/>
      <c r="H221" s="2148"/>
    </row>
    <row r="222" spans="1:8" x14ac:dyDescent="0.2">
      <c r="A222" s="2149" t="s">
        <v>1065</v>
      </c>
      <c r="B222" s="2148"/>
      <c r="C222" s="2148"/>
      <c r="D222" s="2148"/>
      <c r="E222" s="2148"/>
      <c r="F222" s="2148"/>
      <c r="G222" s="2148"/>
      <c r="H222" s="2148"/>
    </row>
    <row r="223" spans="1:8" x14ac:dyDescent="0.2">
      <c r="A223" s="2149" t="s">
        <v>1066</v>
      </c>
      <c r="B223" s="2148"/>
      <c r="C223" s="2148"/>
      <c r="D223" s="2148"/>
      <c r="E223" s="2148"/>
      <c r="F223" s="2148"/>
      <c r="G223" s="2148"/>
      <c r="H223" s="2148"/>
    </row>
    <row r="224" spans="1:8" x14ac:dyDescent="0.2">
      <c r="A224" s="2149" t="s">
        <v>1067</v>
      </c>
      <c r="B224" s="2148"/>
      <c r="C224" s="2148"/>
      <c r="D224" s="2148"/>
      <c r="E224" s="2148"/>
      <c r="F224" s="2148"/>
      <c r="G224" s="2148"/>
      <c r="H224" s="2148"/>
    </row>
    <row r="225" spans="1:8" x14ac:dyDescent="0.2">
      <c r="A225" s="2149" t="s">
        <v>1068</v>
      </c>
      <c r="B225" s="2148"/>
      <c r="C225" s="2148"/>
      <c r="D225" s="2148"/>
      <c r="E225" s="2148"/>
      <c r="F225" s="2148"/>
      <c r="G225" s="2148"/>
      <c r="H225" s="2148"/>
    </row>
    <row r="226" spans="1:8" x14ac:dyDescent="0.2">
      <c r="A226" s="2149" t="s">
        <v>1069</v>
      </c>
      <c r="B226" s="2148"/>
      <c r="C226" s="2148"/>
      <c r="D226" s="2148"/>
      <c r="E226" s="2148"/>
      <c r="F226" s="2148"/>
      <c r="G226" s="2148"/>
      <c r="H226" s="2148"/>
    </row>
    <row r="227" spans="1:8" x14ac:dyDescent="0.2">
      <c r="A227" s="2149" t="s">
        <v>1070</v>
      </c>
      <c r="B227" s="2148"/>
      <c r="C227" s="2148"/>
      <c r="D227" s="2148"/>
      <c r="E227" s="2148"/>
      <c r="F227" s="2148"/>
      <c r="G227" s="2148"/>
      <c r="H227" s="2148"/>
    </row>
    <row r="228" spans="1:8" x14ac:dyDescent="0.2">
      <c r="A228" s="2149" t="s">
        <v>1071</v>
      </c>
      <c r="B228" s="2148"/>
      <c r="C228" s="2148"/>
      <c r="D228" s="2148"/>
      <c r="E228" s="2148"/>
      <c r="F228" s="2148"/>
      <c r="G228" s="2148"/>
      <c r="H228" s="2148"/>
    </row>
    <row r="229" spans="1:8" x14ac:dyDescent="0.2">
      <c r="A229" s="2148"/>
      <c r="B229" s="2148"/>
      <c r="C229" s="2148"/>
      <c r="D229" s="2148"/>
      <c r="E229" s="2148"/>
      <c r="F229" s="2148"/>
      <c r="G229" s="2148"/>
      <c r="H229" s="2148"/>
    </row>
    <row r="230" spans="1:8" x14ac:dyDescent="0.2">
      <c r="A230" s="2149" t="s">
        <v>1062</v>
      </c>
      <c r="B230" s="2148"/>
      <c r="C230" s="2148"/>
      <c r="D230" s="2148"/>
      <c r="E230" s="2148"/>
      <c r="F230" s="2148"/>
      <c r="G230" s="2148"/>
      <c r="H230" s="2148"/>
    </row>
    <row r="231" spans="1:8" x14ac:dyDescent="0.2">
      <c r="A231" s="2149" t="s">
        <v>1063</v>
      </c>
      <c r="B231" s="2148"/>
      <c r="C231" s="2148"/>
      <c r="D231" s="2148"/>
      <c r="E231" s="2148"/>
      <c r="F231" s="2148"/>
      <c r="G231" s="2148"/>
      <c r="H231" s="2148"/>
    </row>
    <row r="232" spans="1:8" x14ac:dyDescent="0.2">
      <c r="A232" s="2149" t="s">
        <v>1064</v>
      </c>
      <c r="B232" s="2148"/>
      <c r="C232" s="2148"/>
      <c r="D232" s="2148"/>
      <c r="E232" s="2148"/>
      <c r="F232" s="2148"/>
      <c r="G232" s="2148"/>
      <c r="H232" s="2148"/>
    </row>
    <row r="233" spans="1:8" x14ac:dyDescent="0.2">
      <c r="A233" s="2148"/>
      <c r="B233" s="2148"/>
      <c r="C233" s="2148"/>
      <c r="D233" s="2148"/>
      <c r="E233" s="2148"/>
      <c r="F233" s="2148"/>
      <c r="G233" s="2148"/>
      <c r="H233" s="2148"/>
    </row>
    <row r="234" spans="1:8" x14ac:dyDescent="0.2">
      <c r="A234" s="2149" t="s">
        <v>1057</v>
      </c>
      <c r="B234" s="2148"/>
      <c r="C234" s="2148"/>
      <c r="D234" s="2148"/>
      <c r="E234" s="2148"/>
      <c r="F234" s="2148"/>
      <c r="G234" s="2148"/>
      <c r="H234" s="2148"/>
    </row>
    <row r="235" spans="1:8" x14ac:dyDescent="0.2">
      <c r="A235" s="2149" t="s">
        <v>1058</v>
      </c>
      <c r="B235" s="2148"/>
      <c r="C235" s="2148"/>
      <c r="D235" s="2148"/>
      <c r="E235" s="2148"/>
      <c r="F235" s="2148"/>
      <c r="G235" s="2148"/>
      <c r="H235" s="2148"/>
    </row>
    <row r="236" spans="1:8" x14ac:dyDescent="0.2">
      <c r="A236" s="2149" t="s">
        <v>1059</v>
      </c>
      <c r="B236" s="2148"/>
      <c r="C236" s="2148"/>
      <c r="D236" s="2148"/>
      <c r="E236" s="2148"/>
      <c r="F236" s="2148"/>
      <c r="G236" s="2148"/>
      <c r="H236" s="2148"/>
    </row>
    <row r="237" spans="1:8" x14ac:dyDescent="0.2">
      <c r="A237" s="2149" t="s">
        <v>1060</v>
      </c>
      <c r="B237" s="2148"/>
      <c r="C237" s="2148"/>
      <c r="D237" s="2148"/>
      <c r="E237" s="2148"/>
      <c r="F237" s="2148"/>
      <c r="G237" s="2148"/>
      <c r="H237" s="2148"/>
    </row>
    <row r="238" spans="1:8" x14ac:dyDescent="0.2">
      <c r="A238" s="2149" t="s">
        <v>1061</v>
      </c>
      <c r="B238" s="2148"/>
      <c r="C238" s="2148"/>
      <c r="D238" s="2148"/>
      <c r="E238" s="2148"/>
      <c r="F238" s="2148"/>
      <c r="G238" s="2148"/>
      <c r="H238" s="2148"/>
    </row>
    <row r="239" spans="1:8" x14ac:dyDescent="0.2">
      <c r="A239" s="2148"/>
      <c r="B239" s="2148"/>
      <c r="C239" s="2148"/>
      <c r="D239" s="2148"/>
      <c r="E239" s="2148"/>
      <c r="F239" s="2148"/>
      <c r="G239" s="2148"/>
      <c r="H239" s="2148"/>
    </row>
    <row r="240" spans="1:8" x14ac:dyDescent="0.2">
      <c r="A240" s="2149" t="s">
        <v>1051</v>
      </c>
      <c r="B240" s="2148"/>
      <c r="C240" s="2148"/>
      <c r="D240" s="2148"/>
      <c r="E240" s="2148"/>
      <c r="F240" s="2148"/>
      <c r="G240" s="2148"/>
      <c r="H240" s="2148"/>
    </row>
    <row r="241" spans="1:8" x14ac:dyDescent="0.2">
      <c r="A241" s="2149" t="s">
        <v>1052</v>
      </c>
      <c r="B241" s="2148"/>
      <c r="C241" s="2148"/>
      <c r="D241" s="2148"/>
      <c r="E241" s="2148"/>
      <c r="F241" s="2148"/>
      <c r="G241" s="2148"/>
      <c r="H241" s="2148"/>
    </row>
    <row r="242" spans="1:8" x14ac:dyDescent="0.2">
      <c r="A242" s="2149" t="s">
        <v>1053</v>
      </c>
      <c r="B242" s="2148"/>
      <c r="C242" s="2148"/>
      <c r="D242" s="2148"/>
      <c r="E242" s="2148"/>
      <c r="F242" s="2148"/>
      <c r="G242" s="2148"/>
      <c r="H242" s="2148"/>
    </row>
    <row r="243" spans="1:8" x14ac:dyDescent="0.2">
      <c r="A243" s="2149" t="s">
        <v>1054</v>
      </c>
      <c r="B243" s="2148"/>
      <c r="C243" s="2148"/>
      <c r="D243" s="2148"/>
      <c r="E243" s="2148"/>
      <c r="F243" s="2148"/>
      <c r="G243" s="2148"/>
      <c r="H243" s="2148"/>
    </row>
    <row r="244" spans="1:8" x14ac:dyDescent="0.2">
      <c r="A244" s="2149" t="s">
        <v>1055</v>
      </c>
      <c r="B244" s="2148"/>
      <c r="C244" s="2148"/>
      <c r="D244" s="2148"/>
      <c r="E244" s="2148"/>
      <c r="F244" s="2148"/>
      <c r="G244" s="2148"/>
      <c r="H244" s="2148"/>
    </row>
    <row r="245" spans="1:8" x14ac:dyDescent="0.2">
      <c r="A245" s="2149" t="s">
        <v>1056</v>
      </c>
      <c r="B245" s="2148"/>
      <c r="C245" s="2148"/>
      <c r="D245" s="2148"/>
      <c r="E245" s="2148"/>
      <c r="F245" s="2148"/>
      <c r="G245" s="2148"/>
      <c r="H245" s="2148"/>
    </row>
    <row r="246" spans="1:8" x14ac:dyDescent="0.2">
      <c r="A246" s="2148"/>
      <c r="B246" s="2148"/>
      <c r="C246" s="2148"/>
      <c r="D246" s="2148"/>
      <c r="E246" s="2148"/>
      <c r="F246" s="2148"/>
      <c r="G246" s="2148"/>
      <c r="H246" s="2148"/>
    </row>
    <row r="247" spans="1:8" x14ac:dyDescent="0.2">
      <c r="A247" s="2149" t="s">
        <v>1041</v>
      </c>
      <c r="B247" s="2148"/>
      <c r="C247" s="2148"/>
      <c r="D247" s="2148"/>
      <c r="E247" s="2148"/>
      <c r="F247" s="2148"/>
      <c r="G247" s="2148"/>
      <c r="H247" s="2148"/>
    </row>
    <row r="248" spans="1:8" x14ac:dyDescent="0.2">
      <c r="A248" s="2149" t="s">
        <v>1042</v>
      </c>
      <c r="B248" s="2148"/>
      <c r="C248" s="2148"/>
      <c r="D248" s="2148"/>
      <c r="E248" s="2148"/>
      <c r="F248" s="2148"/>
      <c r="G248" s="2148"/>
      <c r="H248" s="2148"/>
    </row>
    <row r="249" spans="1:8" x14ac:dyDescent="0.2">
      <c r="A249" s="2149" t="s">
        <v>1043</v>
      </c>
      <c r="B249" s="2148"/>
      <c r="C249" s="2148"/>
      <c r="D249" s="2148"/>
      <c r="E249" s="2148"/>
      <c r="F249" s="2148"/>
      <c r="G249" s="2148"/>
      <c r="H249" s="2148"/>
    </row>
    <row r="250" spans="1:8" x14ac:dyDescent="0.2">
      <c r="A250" s="2149" t="s">
        <v>1044</v>
      </c>
      <c r="B250" s="2148"/>
      <c r="C250" s="2148"/>
      <c r="D250" s="2148"/>
      <c r="E250" s="2148"/>
      <c r="F250" s="2148"/>
      <c r="G250" s="2148"/>
      <c r="H250" s="2148"/>
    </row>
    <row r="251" spans="1:8" x14ac:dyDescent="0.2">
      <c r="A251" s="2149" t="s">
        <v>1045</v>
      </c>
      <c r="B251" s="2148"/>
      <c r="C251" s="2148"/>
      <c r="D251" s="2148"/>
      <c r="E251" s="2148"/>
      <c r="F251" s="2148"/>
      <c r="G251" s="2148"/>
      <c r="H251" s="2148"/>
    </row>
    <row r="252" spans="1:8" x14ac:dyDescent="0.2">
      <c r="A252" s="2149" t="s">
        <v>1046</v>
      </c>
      <c r="B252" s="2148"/>
      <c r="C252" s="2148"/>
      <c r="D252" s="2148"/>
      <c r="E252" s="2148"/>
      <c r="F252" s="2148"/>
      <c r="G252" s="2148"/>
      <c r="H252" s="2148"/>
    </row>
    <row r="253" spans="1:8" x14ac:dyDescent="0.2">
      <c r="A253" s="2149" t="s">
        <v>1047</v>
      </c>
      <c r="B253" s="2148"/>
      <c r="C253" s="2148"/>
      <c r="D253" s="2148"/>
      <c r="E253" s="2148"/>
      <c r="F253" s="2148"/>
      <c r="G253" s="2148"/>
      <c r="H253" s="2148"/>
    </row>
    <row r="254" spans="1:8" x14ac:dyDescent="0.2">
      <c r="A254" s="2149" t="s">
        <v>1048</v>
      </c>
      <c r="B254" s="2148"/>
      <c r="C254" s="2148"/>
      <c r="D254" s="2148"/>
      <c r="E254" s="2148"/>
      <c r="F254" s="2148"/>
      <c r="G254" s="2148"/>
      <c r="H254" s="2148"/>
    </row>
    <row r="255" spans="1:8" x14ac:dyDescent="0.2">
      <c r="A255" s="2149" t="s">
        <v>1049</v>
      </c>
      <c r="B255" s="2148"/>
      <c r="C255" s="2148"/>
      <c r="D255" s="2148"/>
      <c r="E255" s="2148"/>
      <c r="F255" s="2148"/>
      <c r="G255" s="2148"/>
      <c r="H255" s="2148"/>
    </row>
    <row r="256" spans="1:8" x14ac:dyDescent="0.2">
      <c r="A256" s="2149" t="s">
        <v>1050</v>
      </c>
      <c r="B256" s="2148"/>
      <c r="C256" s="2148"/>
      <c r="D256" s="2148"/>
      <c r="E256" s="2148"/>
      <c r="F256" s="2148"/>
      <c r="G256" s="2148"/>
      <c r="H256" s="2148"/>
    </row>
    <row r="257" spans="1:8" x14ac:dyDescent="0.2">
      <c r="A257" s="2148"/>
      <c r="B257" s="2148"/>
      <c r="C257" s="2148"/>
      <c r="D257" s="2148"/>
      <c r="E257" s="2148"/>
      <c r="F257" s="2148"/>
      <c r="G257" s="2148"/>
      <c r="H257" s="2148"/>
    </row>
    <row r="258" spans="1:8" x14ac:dyDescent="0.2">
      <c r="A258" s="2149" t="s">
        <v>1039</v>
      </c>
      <c r="B258" s="2148"/>
      <c r="C258" s="2148"/>
      <c r="D258" s="2148"/>
      <c r="E258" s="2148"/>
      <c r="F258" s="2148"/>
      <c r="G258" s="2148"/>
      <c r="H258" s="2148"/>
    </row>
    <row r="259" spans="1:8" x14ac:dyDescent="0.2">
      <c r="A259" s="2149" t="s">
        <v>1040</v>
      </c>
      <c r="B259" s="2148"/>
      <c r="C259" s="2148"/>
      <c r="D259" s="2148"/>
      <c r="E259" s="2148"/>
      <c r="F259" s="2148"/>
      <c r="G259" s="2148"/>
      <c r="H259" s="2148"/>
    </row>
    <row r="260" spans="1:8" x14ac:dyDescent="0.2">
      <c r="A260" s="2148"/>
      <c r="B260" s="2148"/>
      <c r="C260" s="2148"/>
      <c r="D260" s="2148"/>
      <c r="E260" s="2148"/>
      <c r="F260" s="2148"/>
      <c r="G260" s="2148"/>
      <c r="H260" s="2148"/>
    </row>
    <row r="261" spans="1:8" x14ac:dyDescent="0.2">
      <c r="A261" s="2149" t="s">
        <v>1023</v>
      </c>
      <c r="B261" s="2148"/>
      <c r="C261" s="2148"/>
      <c r="D261" s="2148"/>
      <c r="E261" s="2148"/>
      <c r="F261" s="2148"/>
      <c r="G261" s="2148"/>
      <c r="H261" s="2148"/>
    </row>
    <row r="262" spans="1:8" x14ac:dyDescent="0.2">
      <c r="A262" s="2149" t="s">
        <v>1024</v>
      </c>
      <c r="B262" s="2148"/>
      <c r="C262" s="2148"/>
      <c r="D262" s="2148"/>
      <c r="E262" s="2148"/>
      <c r="F262" s="2148"/>
      <c r="G262" s="2148"/>
      <c r="H262" s="2148"/>
    </row>
    <row r="263" spans="1:8" x14ac:dyDescent="0.2">
      <c r="A263" s="2149" t="s">
        <v>1025</v>
      </c>
      <c r="B263" s="2148"/>
      <c r="C263" s="2148"/>
      <c r="D263" s="2148"/>
      <c r="E263" s="2148"/>
      <c r="F263" s="2148"/>
      <c r="G263" s="2148"/>
      <c r="H263" s="2148"/>
    </row>
    <row r="264" spans="1:8" x14ac:dyDescent="0.2">
      <c r="A264" s="2149" t="s">
        <v>1026</v>
      </c>
      <c r="B264" s="2148"/>
      <c r="C264" s="2148"/>
      <c r="D264" s="2148"/>
      <c r="E264" s="2148"/>
      <c r="F264" s="2148"/>
      <c r="G264" s="2148"/>
      <c r="H264" s="2148"/>
    </row>
    <row r="265" spans="1:8" x14ac:dyDescent="0.2">
      <c r="A265" s="2149" t="s">
        <v>1027</v>
      </c>
      <c r="B265" s="2148"/>
      <c r="C265" s="2148"/>
      <c r="D265" s="2148"/>
      <c r="E265" s="2148"/>
      <c r="F265" s="2148"/>
      <c r="G265" s="2148"/>
      <c r="H265" s="2148"/>
    </row>
    <row r="266" spans="1:8" x14ac:dyDescent="0.2">
      <c r="A266" s="2149" t="s">
        <v>1028</v>
      </c>
      <c r="B266" s="2148"/>
      <c r="C266" s="2148"/>
      <c r="D266" s="2148"/>
      <c r="E266" s="2148"/>
      <c r="F266" s="2148"/>
      <c r="G266" s="2148"/>
      <c r="H266" s="2148"/>
    </row>
    <row r="267" spans="1:8" x14ac:dyDescent="0.2">
      <c r="A267" s="2149" t="s">
        <v>1029</v>
      </c>
      <c r="B267" s="2148"/>
      <c r="C267" s="2148"/>
      <c r="D267" s="2148"/>
      <c r="E267" s="2148"/>
      <c r="F267" s="2148"/>
      <c r="G267" s="2148"/>
      <c r="H267" s="2148"/>
    </row>
    <row r="268" spans="1:8" x14ac:dyDescent="0.2">
      <c r="A268" s="2149" t="s">
        <v>1030</v>
      </c>
      <c r="B268" s="2148"/>
      <c r="C268" s="2148"/>
      <c r="D268" s="2148"/>
      <c r="E268" s="2148"/>
      <c r="F268" s="2148"/>
      <c r="G268" s="2148"/>
      <c r="H268" s="2148"/>
    </row>
    <row r="269" spans="1:8" x14ac:dyDescent="0.2">
      <c r="A269" s="2149" t="s">
        <v>1031</v>
      </c>
      <c r="B269" s="2148"/>
      <c r="C269" s="2148"/>
      <c r="D269" s="2148"/>
      <c r="E269" s="2148"/>
      <c r="F269" s="2148"/>
      <c r="G269" s="2148"/>
      <c r="H269" s="2148"/>
    </row>
    <row r="270" spans="1:8" x14ac:dyDescent="0.2">
      <c r="A270" s="2149" t="s">
        <v>1032</v>
      </c>
      <c r="B270" s="2148"/>
      <c r="C270" s="2148"/>
      <c r="D270" s="2148"/>
      <c r="E270" s="2148"/>
      <c r="F270" s="2148"/>
      <c r="G270" s="2148"/>
      <c r="H270" s="2148"/>
    </row>
    <row r="271" spans="1:8" x14ac:dyDescent="0.2">
      <c r="A271" s="2149" t="s">
        <v>1033</v>
      </c>
      <c r="B271" s="2148"/>
      <c r="C271" s="2148"/>
      <c r="D271" s="2148"/>
      <c r="E271" s="2148"/>
      <c r="F271" s="2148"/>
      <c r="G271" s="2148"/>
      <c r="H271" s="2148"/>
    </row>
    <row r="272" spans="1:8" x14ac:dyDescent="0.2">
      <c r="A272" s="2149" t="s">
        <v>1034</v>
      </c>
      <c r="B272" s="2148"/>
      <c r="C272" s="2148"/>
      <c r="D272" s="2148"/>
      <c r="E272" s="2148"/>
      <c r="F272" s="2148"/>
      <c r="G272" s="2148"/>
      <c r="H272" s="2148"/>
    </row>
    <row r="273" spans="1:8" x14ac:dyDescent="0.2">
      <c r="A273" s="2149" t="s">
        <v>1035</v>
      </c>
      <c r="B273" s="2148"/>
      <c r="C273" s="2148"/>
      <c r="D273" s="2148"/>
      <c r="E273" s="2148"/>
      <c r="F273" s="2148"/>
      <c r="G273" s="2148"/>
      <c r="H273" s="2148"/>
    </row>
    <row r="274" spans="1:8" x14ac:dyDescent="0.2">
      <c r="A274" s="2149" t="s">
        <v>1036</v>
      </c>
      <c r="B274" s="2148"/>
      <c r="C274" s="2148"/>
      <c r="D274" s="2148"/>
      <c r="E274" s="2148"/>
      <c r="F274" s="2148"/>
      <c r="G274" s="2148"/>
      <c r="H274" s="2148"/>
    </row>
    <row r="275" spans="1:8" x14ac:dyDescent="0.2">
      <c r="A275" s="2149" t="s">
        <v>1037</v>
      </c>
      <c r="B275" s="2148"/>
      <c r="C275" s="2148"/>
      <c r="D275" s="2148"/>
      <c r="E275" s="2148"/>
      <c r="F275" s="2148"/>
      <c r="G275" s="2148"/>
      <c r="H275" s="2148"/>
    </row>
    <row r="276" spans="1:8" x14ac:dyDescent="0.2">
      <c r="A276" s="2149" t="s">
        <v>1038</v>
      </c>
      <c r="B276" s="2148"/>
      <c r="C276" s="2148"/>
      <c r="D276" s="2148"/>
      <c r="E276" s="2148"/>
      <c r="F276" s="2148"/>
      <c r="G276" s="2148"/>
      <c r="H276" s="2148"/>
    </row>
    <row r="277" spans="1:8" x14ac:dyDescent="0.2">
      <c r="A277" s="2148"/>
      <c r="B277" s="2148"/>
      <c r="C277" s="2148"/>
      <c r="D277" s="2148"/>
      <c r="E277" s="2148"/>
      <c r="F277" s="2148"/>
      <c r="G277" s="2148"/>
      <c r="H277" s="2148"/>
    </row>
    <row r="278" spans="1:8" x14ac:dyDescent="0.2">
      <c r="A278" s="2149" t="s">
        <v>1016</v>
      </c>
      <c r="B278" s="2148"/>
      <c r="C278" s="2148"/>
      <c r="D278" s="2148"/>
      <c r="E278" s="2148"/>
      <c r="F278" s="2148"/>
      <c r="G278" s="2148"/>
      <c r="H278" s="2148"/>
    </row>
    <row r="279" spans="1:8" x14ac:dyDescent="0.2">
      <c r="A279" s="2149" t="s">
        <v>1017</v>
      </c>
      <c r="B279" s="2148"/>
      <c r="C279" s="2148"/>
      <c r="D279" s="2148"/>
      <c r="E279" s="2148"/>
      <c r="F279" s="2148"/>
      <c r="G279" s="2148"/>
      <c r="H279" s="2148"/>
    </row>
    <row r="280" spans="1:8" x14ac:dyDescent="0.2">
      <c r="A280" s="2149" t="s">
        <v>1018</v>
      </c>
      <c r="B280" s="2148"/>
      <c r="C280" s="2148"/>
      <c r="D280" s="2148"/>
      <c r="E280" s="2148"/>
      <c r="F280" s="2148"/>
      <c r="G280" s="2148"/>
      <c r="H280" s="2148"/>
    </row>
    <row r="281" spans="1:8" x14ac:dyDescent="0.2">
      <c r="A281" s="2149" t="s">
        <v>1019</v>
      </c>
      <c r="B281" s="2148"/>
      <c r="C281" s="2148"/>
      <c r="D281" s="2148"/>
      <c r="E281" s="2148"/>
      <c r="F281" s="2148"/>
      <c r="G281" s="2148"/>
      <c r="H281" s="2148"/>
    </row>
    <row r="282" spans="1:8" x14ac:dyDescent="0.2">
      <c r="A282" s="2149" t="s">
        <v>1020</v>
      </c>
      <c r="B282" s="2148"/>
      <c r="C282" s="2148"/>
      <c r="D282" s="2148"/>
      <c r="E282" s="2148"/>
      <c r="F282" s="2148"/>
      <c r="G282" s="2148"/>
      <c r="H282" s="2148"/>
    </row>
    <row r="283" spans="1:8" x14ac:dyDescent="0.2">
      <c r="A283" s="2149" t="s">
        <v>1021</v>
      </c>
      <c r="B283" s="2148"/>
      <c r="C283" s="2148"/>
      <c r="D283" s="2148"/>
      <c r="E283" s="2148"/>
      <c r="F283" s="2148"/>
      <c r="G283" s="2148"/>
      <c r="H283" s="2148"/>
    </row>
    <row r="284" spans="1:8" x14ac:dyDescent="0.2">
      <c r="A284" s="2149" t="s">
        <v>1022</v>
      </c>
      <c r="B284" s="2148"/>
      <c r="C284" s="2148"/>
      <c r="D284" s="2148"/>
      <c r="E284" s="2148"/>
      <c r="F284" s="2148"/>
      <c r="G284" s="2148"/>
      <c r="H284" s="2148"/>
    </row>
    <row r="285" spans="1:8" x14ac:dyDescent="0.2">
      <c r="A285" s="2148"/>
      <c r="B285" s="2148"/>
      <c r="C285" s="2148"/>
      <c r="D285" s="2148"/>
      <c r="E285" s="2148"/>
      <c r="F285" s="2148"/>
      <c r="G285" s="2148"/>
      <c r="H285" s="2148"/>
    </row>
    <row r="286" spans="1:8" x14ac:dyDescent="0.2">
      <c r="A286" s="2149" t="s">
        <v>1007</v>
      </c>
      <c r="B286" s="2148"/>
      <c r="C286" s="2148"/>
      <c r="D286" s="2148"/>
      <c r="E286" s="2148"/>
      <c r="F286" s="2148"/>
      <c r="G286" s="2148"/>
      <c r="H286" s="2148"/>
    </row>
    <row r="287" spans="1:8" x14ac:dyDescent="0.2">
      <c r="A287" s="2149" t="s">
        <v>1008</v>
      </c>
      <c r="B287" s="2148"/>
      <c r="C287" s="2148"/>
      <c r="D287" s="2148"/>
      <c r="E287" s="2148"/>
      <c r="F287" s="2148"/>
      <c r="G287" s="2148"/>
      <c r="H287" s="2148"/>
    </row>
    <row r="288" spans="1:8" x14ac:dyDescent="0.2">
      <c r="A288" s="2149" t="s">
        <v>1009</v>
      </c>
      <c r="B288" s="2148"/>
      <c r="C288" s="2148"/>
      <c r="D288" s="2148"/>
      <c r="E288" s="2148"/>
      <c r="F288" s="2148"/>
      <c r="G288" s="2148"/>
      <c r="H288" s="2148"/>
    </row>
    <row r="289" spans="1:8" x14ac:dyDescent="0.2">
      <c r="A289" s="2149" t="s">
        <v>1010</v>
      </c>
      <c r="B289" s="2148"/>
      <c r="C289" s="2148"/>
      <c r="D289" s="2148"/>
      <c r="E289" s="2148"/>
      <c r="F289" s="2148"/>
      <c r="G289" s="2148"/>
      <c r="H289" s="2148"/>
    </row>
    <row r="290" spans="1:8" x14ac:dyDescent="0.2">
      <c r="A290" s="2149" t="s">
        <v>1011</v>
      </c>
      <c r="B290" s="2148"/>
      <c r="C290" s="2148"/>
      <c r="D290" s="2148"/>
      <c r="E290" s="2148"/>
      <c r="F290" s="2148"/>
      <c r="G290" s="2148"/>
      <c r="H290" s="2148"/>
    </row>
    <row r="291" spans="1:8" x14ac:dyDescent="0.2">
      <c r="A291" s="2149" t="s">
        <v>1012</v>
      </c>
      <c r="B291" s="2148"/>
      <c r="C291" s="2148"/>
      <c r="D291" s="2148"/>
      <c r="E291" s="2148"/>
      <c r="F291" s="2148"/>
      <c r="G291" s="2148"/>
      <c r="H291" s="2148"/>
    </row>
    <row r="292" spans="1:8" x14ac:dyDescent="0.2">
      <c r="A292" s="2149" t="s">
        <v>1013</v>
      </c>
      <c r="B292" s="2148"/>
      <c r="C292" s="2148"/>
      <c r="D292" s="2148"/>
      <c r="E292" s="2148"/>
      <c r="F292" s="2148"/>
      <c r="G292" s="2148"/>
      <c r="H292" s="2148"/>
    </row>
    <row r="293" spans="1:8" x14ac:dyDescent="0.2">
      <c r="A293" s="2149" t="s">
        <v>1014</v>
      </c>
      <c r="B293" s="2148"/>
      <c r="C293" s="2148"/>
      <c r="D293" s="2148"/>
      <c r="E293" s="2148"/>
      <c r="F293" s="2148"/>
      <c r="G293" s="2148"/>
      <c r="H293" s="2148"/>
    </row>
    <row r="294" spans="1:8" x14ac:dyDescent="0.2">
      <c r="A294" s="2149" t="s">
        <v>1015</v>
      </c>
      <c r="B294" s="2148"/>
      <c r="C294" s="2148"/>
      <c r="D294" s="2148"/>
      <c r="E294" s="2148"/>
      <c r="F294" s="2148"/>
      <c r="G294" s="2148"/>
      <c r="H294" s="2148"/>
    </row>
    <row r="295" spans="1:8" x14ac:dyDescent="0.2">
      <c r="A295" s="2148"/>
      <c r="B295" s="2148"/>
      <c r="C295" s="2148"/>
      <c r="D295" s="2148"/>
      <c r="E295" s="2148"/>
      <c r="F295" s="2148"/>
      <c r="G295" s="2148"/>
      <c r="H295" s="2148"/>
    </row>
    <row r="296" spans="1:8" x14ac:dyDescent="0.2">
      <c r="A296" s="2149" t="s">
        <v>1000</v>
      </c>
      <c r="B296" s="2148"/>
      <c r="C296" s="2148"/>
      <c r="D296" s="2148"/>
      <c r="E296" s="2148"/>
      <c r="F296" s="2148"/>
      <c r="G296" s="2148"/>
      <c r="H296" s="2148"/>
    </row>
    <row r="297" spans="1:8" x14ac:dyDescent="0.2">
      <c r="A297" s="2149" t="s">
        <v>1001</v>
      </c>
      <c r="B297" s="2148"/>
      <c r="C297" s="2148"/>
      <c r="D297" s="2148"/>
      <c r="E297" s="2148"/>
      <c r="F297" s="2148"/>
      <c r="G297" s="2148"/>
      <c r="H297" s="2148"/>
    </row>
    <row r="298" spans="1:8" x14ac:dyDescent="0.2">
      <c r="A298" s="2149" t="s">
        <v>1002</v>
      </c>
      <c r="B298" s="2148"/>
      <c r="C298" s="2148"/>
      <c r="D298" s="2148"/>
      <c r="E298" s="2148"/>
      <c r="F298" s="2148"/>
      <c r="G298" s="2148"/>
      <c r="H298" s="2148"/>
    </row>
    <row r="299" spans="1:8" x14ac:dyDescent="0.2">
      <c r="A299" s="2149" t="s">
        <v>1003</v>
      </c>
      <c r="B299" s="2148"/>
      <c r="C299" s="2148"/>
      <c r="D299" s="2148"/>
      <c r="E299" s="2148"/>
      <c r="F299" s="2148"/>
      <c r="G299" s="2148"/>
      <c r="H299" s="2148"/>
    </row>
    <row r="300" spans="1:8" x14ac:dyDescent="0.2">
      <c r="A300" s="2149" t="s">
        <v>1004</v>
      </c>
      <c r="B300" s="2148"/>
      <c r="C300" s="2148"/>
      <c r="D300" s="2148"/>
      <c r="E300" s="2148"/>
      <c r="F300" s="2148"/>
      <c r="G300" s="2148"/>
      <c r="H300" s="2148"/>
    </row>
    <row r="301" spans="1:8" x14ac:dyDescent="0.2">
      <c r="A301" s="2149" t="s">
        <v>1005</v>
      </c>
      <c r="B301" s="2148"/>
      <c r="C301" s="2148"/>
      <c r="D301" s="2148"/>
      <c r="E301" s="2148"/>
      <c r="F301" s="2148"/>
      <c r="G301" s="2148"/>
      <c r="H301" s="2148"/>
    </row>
    <row r="302" spans="1:8" x14ac:dyDescent="0.2">
      <c r="A302" s="2149" t="s">
        <v>1006</v>
      </c>
      <c r="B302" s="2148"/>
      <c r="C302" s="2148"/>
      <c r="D302" s="2148"/>
      <c r="E302" s="2148"/>
      <c r="F302" s="2148"/>
      <c r="G302" s="2148"/>
      <c r="H302" s="2148"/>
    </row>
    <row r="303" spans="1:8" x14ac:dyDescent="0.2">
      <c r="A303" s="2148"/>
      <c r="B303" s="2148"/>
      <c r="C303" s="2148"/>
      <c r="D303" s="2148"/>
      <c r="E303" s="2148"/>
      <c r="F303" s="2148"/>
      <c r="G303" s="2148"/>
      <c r="H303" s="2148"/>
    </row>
    <row r="304" spans="1:8" x14ac:dyDescent="0.2">
      <c r="A304" s="2149" t="s">
        <v>997</v>
      </c>
      <c r="B304" s="2148"/>
      <c r="C304" s="2148"/>
      <c r="D304" s="2148"/>
      <c r="E304" s="2148"/>
      <c r="F304" s="2148"/>
      <c r="G304" s="2148"/>
      <c r="H304" s="2148"/>
    </row>
    <row r="305" spans="1:8" x14ac:dyDescent="0.2">
      <c r="A305" s="2149" t="s">
        <v>998</v>
      </c>
      <c r="B305" s="2148"/>
      <c r="C305" s="2148"/>
      <c r="D305" s="2148"/>
      <c r="E305" s="2148"/>
      <c r="F305" s="2148"/>
      <c r="G305" s="2148"/>
      <c r="H305" s="2148"/>
    </row>
    <row r="306" spans="1:8" x14ac:dyDescent="0.2">
      <c r="A306" s="2149" t="s">
        <v>999</v>
      </c>
      <c r="B306" s="2148"/>
      <c r="C306" s="2148"/>
      <c r="D306" s="2148"/>
      <c r="E306" s="2148"/>
      <c r="F306" s="2148"/>
      <c r="G306" s="2148"/>
      <c r="H306" s="2148"/>
    </row>
    <row r="307" spans="1:8" x14ac:dyDescent="0.2">
      <c r="A307" s="2148"/>
      <c r="B307" s="2148"/>
      <c r="C307" s="2148"/>
      <c r="D307" s="2148"/>
      <c r="E307" s="2148"/>
      <c r="F307" s="2148"/>
      <c r="G307" s="2148"/>
      <c r="H307" s="2148"/>
    </row>
    <row r="308" spans="1:8" x14ac:dyDescent="0.2">
      <c r="A308" s="2149" t="s">
        <v>995</v>
      </c>
      <c r="B308" s="2148"/>
      <c r="C308" s="2148"/>
      <c r="D308" s="2148"/>
      <c r="E308" s="2148"/>
      <c r="F308" s="2148"/>
      <c r="G308" s="2148"/>
      <c r="H308" s="2148"/>
    </row>
    <row r="309" spans="1:8" x14ac:dyDescent="0.2">
      <c r="A309" s="2149" t="s">
        <v>996</v>
      </c>
      <c r="B309" s="2148"/>
      <c r="C309" s="2148"/>
      <c r="D309" s="2148"/>
      <c r="E309" s="2148"/>
      <c r="F309" s="2148"/>
      <c r="G309" s="2148"/>
      <c r="H309" s="2148"/>
    </row>
    <row r="310" spans="1:8" x14ac:dyDescent="0.2">
      <c r="A310" s="2148"/>
      <c r="B310" s="2148"/>
      <c r="C310" s="2148"/>
      <c r="D310" s="2148"/>
      <c r="E310" s="2148"/>
      <c r="F310" s="2148"/>
      <c r="G310" s="2148"/>
      <c r="H310" s="2148"/>
    </row>
    <row r="311" spans="1:8" x14ac:dyDescent="0.2">
      <c r="A311" s="2149" t="s">
        <v>982</v>
      </c>
      <c r="B311" s="2148"/>
      <c r="C311" s="2148"/>
      <c r="D311" s="2148"/>
      <c r="E311" s="2148"/>
      <c r="F311" s="2148"/>
      <c r="G311" s="2148"/>
      <c r="H311" s="2148"/>
    </row>
    <row r="312" spans="1:8" x14ac:dyDescent="0.2">
      <c r="A312" s="2149" t="s">
        <v>983</v>
      </c>
      <c r="B312" s="2148"/>
      <c r="C312" s="2148"/>
      <c r="D312" s="2148"/>
      <c r="E312" s="2148"/>
      <c r="F312" s="2148"/>
      <c r="G312" s="2148"/>
      <c r="H312" s="2148"/>
    </row>
    <row r="313" spans="1:8" x14ac:dyDescent="0.2">
      <c r="A313" s="2149" t="s">
        <v>984</v>
      </c>
      <c r="B313" s="2148"/>
      <c r="C313" s="2148"/>
      <c r="D313" s="2148"/>
      <c r="E313" s="2148"/>
      <c r="F313" s="2148"/>
      <c r="G313" s="2148"/>
      <c r="H313" s="2148"/>
    </row>
    <row r="314" spans="1:8" x14ac:dyDescent="0.2">
      <c r="A314" s="2149" t="s">
        <v>985</v>
      </c>
      <c r="B314" s="2148"/>
      <c r="C314" s="2148"/>
      <c r="D314" s="2148"/>
      <c r="E314" s="2148"/>
      <c r="F314" s="2148"/>
      <c r="G314" s="2148"/>
      <c r="H314" s="2148"/>
    </row>
    <row r="315" spans="1:8" x14ac:dyDescent="0.2">
      <c r="A315" s="2149" t="s">
        <v>986</v>
      </c>
      <c r="B315" s="2148"/>
      <c r="C315" s="2148"/>
      <c r="D315" s="2148"/>
      <c r="E315" s="2148"/>
      <c r="F315" s="2148"/>
      <c r="G315" s="2148"/>
      <c r="H315" s="2148"/>
    </row>
    <row r="316" spans="1:8" x14ac:dyDescent="0.2">
      <c r="A316" s="2149" t="s">
        <v>987</v>
      </c>
      <c r="B316" s="2148"/>
      <c r="C316" s="2148"/>
      <c r="D316" s="2148"/>
      <c r="E316" s="2148"/>
      <c r="F316" s="2148"/>
      <c r="G316" s="2148"/>
      <c r="H316" s="2148"/>
    </row>
    <row r="317" spans="1:8" x14ac:dyDescent="0.2">
      <c r="A317" s="2149" t="s">
        <v>988</v>
      </c>
      <c r="B317" s="2148"/>
      <c r="C317" s="2148"/>
      <c r="D317" s="2148"/>
      <c r="E317" s="2148"/>
      <c r="F317" s="2148"/>
      <c r="G317" s="2148"/>
      <c r="H317" s="2148"/>
    </row>
    <row r="318" spans="1:8" x14ac:dyDescent="0.2">
      <c r="A318" s="2149" t="s">
        <v>989</v>
      </c>
      <c r="B318" s="2148"/>
      <c r="C318" s="2148"/>
      <c r="D318" s="2148"/>
      <c r="E318" s="2148"/>
      <c r="F318" s="2148"/>
      <c r="G318" s="2148"/>
      <c r="H318" s="2148"/>
    </row>
    <row r="319" spans="1:8" x14ac:dyDescent="0.2">
      <c r="A319" s="2149" t="s">
        <v>990</v>
      </c>
      <c r="B319" s="2148"/>
      <c r="C319" s="2148"/>
      <c r="D319" s="2148"/>
      <c r="E319" s="2148"/>
      <c r="F319" s="2148"/>
      <c r="G319" s="2148"/>
      <c r="H319" s="2148"/>
    </row>
    <row r="320" spans="1:8" x14ac:dyDescent="0.2">
      <c r="A320" s="2149" t="s">
        <v>991</v>
      </c>
      <c r="B320" s="2148"/>
      <c r="C320" s="2148"/>
      <c r="D320" s="2148"/>
      <c r="E320" s="2148"/>
      <c r="F320" s="2148"/>
      <c r="G320" s="2148"/>
      <c r="H320" s="2148"/>
    </row>
    <row r="321" spans="1:8" x14ac:dyDescent="0.2">
      <c r="A321" s="2149" t="s">
        <v>992</v>
      </c>
      <c r="B321" s="2148"/>
      <c r="C321" s="2148"/>
      <c r="D321" s="2148"/>
      <c r="E321" s="2148"/>
      <c r="F321" s="2148"/>
      <c r="G321" s="2148"/>
      <c r="H321" s="2148"/>
    </row>
    <row r="322" spans="1:8" x14ac:dyDescent="0.2">
      <c r="A322" s="2149" t="s">
        <v>993</v>
      </c>
      <c r="B322" s="2148"/>
      <c r="C322" s="2148"/>
      <c r="D322" s="2148"/>
      <c r="E322" s="2148"/>
      <c r="F322" s="2148"/>
      <c r="G322" s="2148"/>
      <c r="H322" s="2148"/>
    </row>
    <row r="323" spans="1:8" x14ac:dyDescent="0.2">
      <c r="A323" s="2149" t="s">
        <v>994</v>
      </c>
      <c r="B323" s="2148"/>
      <c r="C323" s="2148"/>
      <c r="D323" s="2148"/>
      <c r="E323" s="2148"/>
      <c r="F323" s="2148"/>
      <c r="G323" s="2148"/>
      <c r="H323" s="2148"/>
    </row>
    <row r="324" spans="1:8" x14ac:dyDescent="0.2">
      <c r="A324" s="2148"/>
      <c r="B324" s="2148"/>
      <c r="C324" s="2148"/>
      <c r="D324" s="2148"/>
      <c r="E324" s="2148"/>
      <c r="F324" s="2148"/>
      <c r="G324" s="2148"/>
      <c r="H324" s="2148"/>
    </row>
    <row r="325" spans="1:8" x14ac:dyDescent="0.2">
      <c r="A325" s="2149" t="s">
        <v>974</v>
      </c>
      <c r="B325" s="2148"/>
      <c r="C325" s="2148"/>
      <c r="D325" s="2148"/>
      <c r="E325" s="2148"/>
      <c r="F325" s="2148"/>
      <c r="G325" s="2148"/>
      <c r="H325" s="2148"/>
    </row>
    <row r="326" spans="1:8" x14ac:dyDescent="0.2">
      <c r="A326" s="2149" t="s">
        <v>975</v>
      </c>
      <c r="B326" s="2148"/>
      <c r="C326" s="2148"/>
      <c r="D326" s="2148"/>
      <c r="E326" s="2148"/>
      <c r="F326" s="2148"/>
      <c r="G326" s="2148"/>
      <c r="H326" s="2148"/>
    </row>
    <row r="327" spans="1:8" x14ac:dyDescent="0.2">
      <c r="A327" s="2149" t="s">
        <v>976</v>
      </c>
      <c r="B327" s="2148"/>
      <c r="C327" s="2148"/>
      <c r="D327" s="2148"/>
      <c r="E327" s="2148"/>
      <c r="F327" s="2148"/>
      <c r="G327" s="2148"/>
      <c r="H327" s="2148"/>
    </row>
    <row r="328" spans="1:8" x14ac:dyDescent="0.2">
      <c r="A328" s="2149" t="s">
        <v>977</v>
      </c>
      <c r="B328" s="2148"/>
      <c r="C328" s="2148"/>
      <c r="D328" s="2148"/>
      <c r="E328" s="2148"/>
      <c r="F328" s="2148"/>
      <c r="G328" s="2148"/>
      <c r="H328" s="2148"/>
    </row>
    <row r="329" spans="1:8" x14ac:dyDescent="0.2">
      <c r="A329" s="2149" t="s">
        <v>978</v>
      </c>
      <c r="B329" s="2148"/>
      <c r="C329" s="2148"/>
      <c r="D329" s="2148"/>
      <c r="E329" s="2148"/>
      <c r="F329" s="2148"/>
      <c r="G329" s="2148"/>
      <c r="H329" s="2148"/>
    </row>
    <row r="330" spans="1:8" x14ac:dyDescent="0.2">
      <c r="A330" s="2149" t="s">
        <v>979</v>
      </c>
      <c r="B330" s="2148"/>
      <c r="C330" s="2148"/>
      <c r="D330" s="2148"/>
      <c r="E330" s="2148"/>
      <c r="F330" s="2148"/>
      <c r="G330" s="2148"/>
      <c r="H330" s="2148"/>
    </row>
    <row r="331" spans="1:8" x14ac:dyDescent="0.2">
      <c r="A331" s="2149" t="s">
        <v>980</v>
      </c>
      <c r="B331" s="2148"/>
      <c r="C331" s="2148"/>
      <c r="D331" s="2148"/>
      <c r="E331" s="2148"/>
      <c r="F331" s="2148"/>
      <c r="G331" s="2148"/>
      <c r="H331" s="2148"/>
    </row>
    <row r="332" spans="1:8" x14ac:dyDescent="0.2">
      <c r="A332" s="2149" t="s">
        <v>981</v>
      </c>
      <c r="B332" s="2148"/>
      <c r="C332" s="2148"/>
      <c r="D332" s="2148"/>
      <c r="E332" s="2148"/>
      <c r="F332" s="2148"/>
      <c r="G332" s="2148"/>
      <c r="H332" s="2148"/>
    </row>
    <row r="333" spans="1:8" x14ac:dyDescent="0.2">
      <c r="A333" s="2148"/>
      <c r="B333" s="2148"/>
      <c r="C333" s="2148"/>
      <c r="D333" s="2148"/>
      <c r="E333" s="2148"/>
      <c r="F333" s="2148"/>
      <c r="G333" s="2148"/>
      <c r="H333" s="2148"/>
    </row>
    <row r="334" spans="1:8" x14ac:dyDescent="0.2">
      <c r="A334" s="2149" t="s">
        <v>939</v>
      </c>
      <c r="B334" s="2148"/>
      <c r="C334" s="2148"/>
      <c r="D334" s="2148"/>
      <c r="E334" s="2148"/>
      <c r="F334" s="2148"/>
      <c r="G334" s="2148"/>
      <c r="H334" s="2148"/>
    </row>
    <row r="335" spans="1:8" x14ac:dyDescent="0.2">
      <c r="A335" s="2149" t="s">
        <v>940</v>
      </c>
      <c r="B335" s="2148"/>
      <c r="C335" s="2148"/>
      <c r="D335" s="2148"/>
      <c r="E335" s="2148"/>
      <c r="F335" s="2148"/>
      <c r="G335" s="2148"/>
      <c r="H335" s="2148"/>
    </row>
    <row r="336" spans="1:8" x14ac:dyDescent="0.2">
      <c r="A336" s="2149" t="s">
        <v>941</v>
      </c>
      <c r="B336" s="2148"/>
      <c r="C336" s="2148"/>
      <c r="D336" s="2148"/>
      <c r="E336" s="2148"/>
      <c r="F336" s="2148"/>
      <c r="G336" s="2148"/>
      <c r="H336" s="2148"/>
    </row>
    <row r="337" spans="1:8" x14ac:dyDescent="0.2">
      <c r="A337" s="2149" t="s">
        <v>942</v>
      </c>
      <c r="B337" s="2148"/>
      <c r="C337" s="2148"/>
      <c r="D337" s="2148"/>
      <c r="E337" s="2148"/>
      <c r="F337" s="2148"/>
      <c r="G337" s="2148"/>
      <c r="H337" s="2148"/>
    </row>
    <row r="338" spans="1:8" x14ac:dyDescent="0.2">
      <c r="A338" s="2149" t="s">
        <v>943</v>
      </c>
      <c r="B338" s="2148"/>
      <c r="C338" s="2148"/>
      <c r="D338" s="2148"/>
      <c r="E338" s="2148"/>
      <c r="F338" s="2148"/>
      <c r="G338" s="2148"/>
      <c r="H338" s="2148"/>
    </row>
    <row r="339" spans="1:8" x14ac:dyDescent="0.2">
      <c r="A339" s="2149" t="s">
        <v>944</v>
      </c>
      <c r="B339" s="2148"/>
      <c r="C339" s="2148"/>
      <c r="D339" s="2148"/>
      <c r="E339" s="2148"/>
      <c r="F339" s="2148"/>
      <c r="G339" s="2148"/>
      <c r="H339" s="2148"/>
    </row>
    <row r="340" spans="1:8" x14ac:dyDescent="0.2">
      <c r="A340" s="2149" t="s">
        <v>945</v>
      </c>
      <c r="B340" s="2148"/>
      <c r="C340" s="2148"/>
      <c r="D340" s="2148"/>
      <c r="E340" s="2148"/>
      <c r="F340" s="2148"/>
      <c r="G340" s="2148"/>
      <c r="H340" s="2148"/>
    </row>
    <row r="341" spans="1:8" x14ac:dyDescent="0.2">
      <c r="A341" s="2149" t="s">
        <v>946</v>
      </c>
      <c r="B341" s="2148"/>
      <c r="C341" s="2148"/>
      <c r="D341" s="2148"/>
      <c r="E341" s="2148"/>
      <c r="F341" s="2148"/>
      <c r="G341" s="2148"/>
      <c r="H341" s="2148"/>
    </row>
    <row r="342" spans="1:8" x14ac:dyDescent="0.2">
      <c r="A342" s="2149" t="s">
        <v>947</v>
      </c>
      <c r="B342" s="2148"/>
      <c r="C342" s="2148"/>
      <c r="D342" s="2148"/>
      <c r="E342" s="2148"/>
      <c r="F342" s="2148"/>
      <c r="G342" s="2148"/>
      <c r="H342" s="2148"/>
    </row>
    <row r="343" spans="1:8" x14ac:dyDescent="0.2">
      <c r="A343" s="2149" t="s">
        <v>948</v>
      </c>
      <c r="B343" s="2148"/>
      <c r="C343" s="2148"/>
      <c r="D343" s="2148"/>
      <c r="E343" s="2148"/>
      <c r="F343" s="2148"/>
      <c r="G343" s="2148"/>
      <c r="H343" s="2148"/>
    </row>
    <row r="344" spans="1:8" x14ac:dyDescent="0.2">
      <c r="A344" s="2149" t="s">
        <v>949</v>
      </c>
      <c r="B344" s="2148"/>
      <c r="C344" s="2148"/>
      <c r="D344" s="2148"/>
      <c r="E344" s="2148"/>
      <c r="F344" s="2148"/>
      <c r="G344" s="2148"/>
      <c r="H344" s="2148"/>
    </row>
    <row r="345" spans="1:8" x14ac:dyDescent="0.2">
      <c r="A345" s="2149" t="s">
        <v>950</v>
      </c>
      <c r="B345" s="2148"/>
      <c r="C345" s="2148"/>
      <c r="D345" s="2148"/>
      <c r="E345" s="2148"/>
      <c r="F345" s="2148"/>
      <c r="G345" s="2148"/>
      <c r="H345" s="2148"/>
    </row>
    <row r="346" spans="1:8" x14ac:dyDescent="0.2">
      <c r="A346" s="2149" t="s">
        <v>951</v>
      </c>
      <c r="B346" s="2148"/>
      <c r="C346" s="2148"/>
      <c r="D346" s="2148"/>
      <c r="E346" s="2148"/>
      <c r="F346" s="2148"/>
      <c r="G346" s="2148"/>
      <c r="H346" s="2148"/>
    </row>
    <row r="347" spans="1:8" x14ac:dyDescent="0.2">
      <c r="A347" s="2149" t="s">
        <v>952</v>
      </c>
      <c r="B347" s="2148"/>
      <c r="C347" s="2148"/>
      <c r="D347" s="2148"/>
      <c r="E347" s="2148"/>
      <c r="F347" s="2148"/>
      <c r="G347" s="2148"/>
      <c r="H347" s="2148"/>
    </row>
    <row r="348" spans="1:8" x14ac:dyDescent="0.2">
      <c r="A348" s="2149" t="s">
        <v>953</v>
      </c>
      <c r="B348" s="2148"/>
      <c r="C348" s="2148"/>
      <c r="D348" s="2148"/>
      <c r="E348" s="2148"/>
      <c r="F348" s="2148"/>
      <c r="G348" s="2148"/>
      <c r="H348" s="2148"/>
    </row>
    <row r="349" spans="1:8" x14ac:dyDescent="0.2">
      <c r="A349" s="2149" t="s">
        <v>954</v>
      </c>
      <c r="B349" s="2148"/>
      <c r="C349" s="2148"/>
      <c r="D349" s="2148"/>
      <c r="E349" s="2148"/>
      <c r="F349" s="2148"/>
      <c r="G349" s="2148"/>
      <c r="H349" s="2148"/>
    </row>
    <row r="350" spans="1:8" x14ac:dyDescent="0.2">
      <c r="A350" s="2149" t="s">
        <v>955</v>
      </c>
      <c r="B350" s="2148"/>
      <c r="C350" s="2148"/>
      <c r="D350" s="2148"/>
      <c r="E350" s="2148"/>
      <c r="F350" s="2148"/>
      <c r="G350" s="2148"/>
      <c r="H350" s="2148"/>
    </row>
    <row r="351" spans="1:8" x14ac:dyDescent="0.2">
      <c r="A351" s="2149" t="s">
        <v>956</v>
      </c>
      <c r="B351" s="2148"/>
      <c r="C351" s="2148"/>
      <c r="D351" s="2148"/>
      <c r="E351" s="2148"/>
      <c r="F351" s="2148"/>
      <c r="G351" s="2148"/>
      <c r="H351" s="2148"/>
    </row>
    <row r="352" spans="1:8" x14ac:dyDescent="0.2">
      <c r="A352" s="2149" t="s">
        <v>957</v>
      </c>
      <c r="B352" s="2148"/>
      <c r="C352" s="2148"/>
      <c r="D352" s="2148"/>
      <c r="E352" s="2148"/>
      <c r="F352" s="2148"/>
      <c r="G352" s="2148"/>
      <c r="H352" s="2148"/>
    </row>
    <row r="353" spans="1:8" x14ac:dyDescent="0.2">
      <c r="A353" s="2149" t="s">
        <v>958</v>
      </c>
      <c r="B353" s="2148"/>
      <c r="C353" s="2148"/>
      <c r="D353" s="2148"/>
      <c r="E353" s="2148"/>
      <c r="F353" s="2148"/>
      <c r="G353" s="2148"/>
      <c r="H353" s="2148"/>
    </row>
    <row r="354" spans="1:8" x14ac:dyDescent="0.2">
      <c r="A354" s="2149" t="s">
        <v>959</v>
      </c>
      <c r="B354" s="2148"/>
      <c r="C354" s="2148"/>
      <c r="D354" s="2148"/>
      <c r="E354" s="2148"/>
      <c r="F354" s="2148"/>
      <c r="G354" s="2148"/>
      <c r="H354" s="2148"/>
    </row>
    <row r="355" spans="1:8" x14ac:dyDescent="0.2">
      <c r="A355" s="2149" t="s">
        <v>960</v>
      </c>
      <c r="B355" s="2148"/>
      <c r="C355" s="2148"/>
      <c r="D355" s="2148"/>
      <c r="E355" s="2148"/>
      <c r="F355" s="2148"/>
      <c r="G355" s="2148"/>
      <c r="H355" s="2148"/>
    </row>
    <row r="356" spans="1:8" x14ac:dyDescent="0.2">
      <c r="A356" s="2149" t="s">
        <v>961</v>
      </c>
      <c r="B356" s="2148"/>
      <c r="C356" s="2148"/>
      <c r="D356" s="2148"/>
      <c r="E356" s="2148"/>
      <c r="F356" s="2148"/>
      <c r="G356" s="2148"/>
      <c r="H356" s="2148"/>
    </row>
    <row r="357" spans="1:8" x14ac:dyDescent="0.2">
      <c r="A357" s="2149" t="s">
        <v>962</v>
      </c>
      <c r="B357" s="2148"/>
      <c r="C357" s="2148"/>
      <c r="D357" s="2148"/>
      <c r="E357" s="2148"/>
      <c r="F357" s="2148"/>
      <c r="G357" s="2148"/>
      <c r="H357" s="2148"/>
    </row>
    <row r="358" spans="1:8" x14ac:dyDescent="0.2">
      <c r="A358" s="2149" t="s">
        <v>963</v>
      </c>
      <c r="B358" s="2148"/>
      <c r="C358" s="2148"/>
      <c r="D358" s="2148"/>
      <c r="E358" s="2148"/>
      <c r="F358" s="2148"/>
      <c r="G358" s="2148"/>
      <c r="H358" s="2148"/>
    </row>
    <row r="359" spans="1:8" x14ac:dyDescent="0.2">
      <c r="A359" s="2149" t="s">
        <v>964</v>
      </c>
      <c r="B359" s="2148"/>
      <c r="C359" s="2148"/>
      <c r="D359" s="2148"/>
      <c r="E359" s="2148"/>
      <c r="F359" s="2148"/>
      <c r="G359" s="2148"/>
      <c r="H359" s="2148"/>
    </row>
    <row r="360" spans="1:8" x14ac:dyDescent="0.2">
      <c r="A360" s="2149" t="s">
        <v>965</v>
      </c>
      <c r="B360" s="2148"/>
      <c r="C360" s="2148"/>
      <c r="D360" s="2148"/>
      <c r="E360" s="2148"/>
      <c r="F360" s="2148"/>
      <c r="G360" s="2148"/>
      <c r="H360" s="2148"/>
    </row>
    <row r="361" spans="1:8" x14ac:dyDescent="0.2">
      <c r="A361" s="2149" t="s">
        <v>966</v>
      </c>
      <c r="B361" s="2148"/>
      <c r="C361" s="2148"/>
      <c r="D361" s="2148"/>
      <c r="E361" s="2148"/>
      <c r="F361" s="2148"/>
      <c r="G361" s="2148"/>
      <c r="H361" s="2148"/>
    </row>
    <row r="362" spans="1:8" x14ac:dyDescent="0.2">
      <c r="A362" s="2149" t="s">
        <v>967</v>
      </c>
      <c r="B362" s="2148"/>
      <c r="C362" s="2148"/>
      <c r="D362" s="2148"/>
      <c r="E362" s="2148"/>
      <c r="F362" s="2148"/>
      <c r="G362" s="2148"/>
      <c r="H362" s="2148"/>
    </row>
    <row r="363" spans="1:8" x14ac:dyDescent="0.2">
      <c r="A363" s="2149" t="s">
        <v>968</v>
      </c>
      <c r="B363" s="2148"/>
      <c r="C363" s="2148"/>
      <c r="D363" s="2148"/>
      <c r="E363" s="2148"/>
      <c r="F363" s="2148"/>
      <c r="G363" s="2148"/>
      <c r="H363" s="2148"/>
    </row>
    <row r="364" spans="1:8" x14ac:dyDescent="0.2">
      <c r="A364" s="2149" t="s">
        <v>969</v>
      </c>
      <c r="B364" s="2148"/>
      <c r="C364" s="2148"/>
      <c r="D364" s="2148"/>
      <c r="E364" s="2148"/>
      <c r="F364" s="2148"/>
      <c r="G364" s="2148"/>
      <c r="H364" s="2148"/>
    </row>
    <row r="365" spans="1:8" x14ac:dyDescent="0.2">
      <c r="A365" s="2149" t="s">
        <v>970</v>
      </c>
      <c r="B365" s="2148"/>
      <c r="C365" s="2148"/>
      <c r="D365" s="2148"/>
      <c r="E365" s="2148"/>
      <c r="F365" s="2148"/>
      <c r="G365" s="2148"/>
      <c r="H365" s="2148"/>
    </row>
    <row r="366" spans="1:8" x14ac:dyDescent="0.2">
      <c r="A366" s="2149" t="s">
        <v>971</v>
      </c>
      <c r="B366" s="2148"/>
      <c r="C366" s="2148"/>
      <c r="D366" s="2148"/>
      <c r="E366" s="2148"/>
      <c r="F366" s="2148"/>
      <c r="G366" s="2148"/>
      <c r="H366" s="2148"/>
    </row>
    <row r="367" spans="1:8" x14ac:dyDescent="0.2">
      <c r="A367" s="2149" t="s">
        <v>972</v>
      </c>
      <c r="B367" s="2148"/>
      <c r="C367" s="2148"/>
      <c r="D367" s="2148"/>
      <c r="E367" s="2148"/>
      <c r="F367" s="2148"/>
      <c r="G367" s="2148"/>
      <c r="H367" s="2148"/>
    </row>
    <row r="368" spans="1:8" x14ac:dyDescent="0.2">
      <c r="A368" s="2149" t="s">
        <v>973</v>
      </c>
      <c r="B368" s="2148"/>
      <c r="C368" s="2148"/>
      <c r="D368" s="2148"/>
      <c r="E368" s="2148"/>
      <c r="F368" s="2148"/>
      <c r="G368" s="2148"/>
      <c r="H368" s="2148"/>
    </row>
    <row r="369" spans="1:8" x14ac:dyDescent="0.2">
      <c r="A369" s="2148"/>
      <c r="B369" s="2148"/>
      <c r="C369" s="2148"/>
      <c r="D369" s="2148"/>
      <c r="E369" s="2148"/>
      <c r="F369" s="2148"/>
      <c r="G369" s="2148"/>
      <c r="H369" s="2148"/>
    </row>
    <row r="370" spans="1:8" x14ac:dyDescent="0.2">
      <c r="A370" s="2149" t="s">
        <v>931</v>
      </c>
      <c r="B370" s="2148"/>
      <c r="C370" s="2148"/>
      <c r="D370" s="2148"/>
      <c r="E370" s="2148"/>
      <c r="F370" s="2148"/>
      <c r="G370" s="2148"/>
      <c r="H370" s="2148"/>
    </row>
    <row r="371" spans="1:8" x14ac:dyDescent="0.2">
      <c r="A371" s="2149" t="s">
        <v>935</v>
      </c>
      <c r="B371" s="2148"/>
      <c r="C371" s="2148"/>
      <c r="D371" s="2148"/>
      <c r="E371" s="2148"/>
      <c r="F371" s="2148"/>
      <c r="G371" s="2148"/>
      <c r="H371" s="2148"/>
    </row>
    <row r="372" spans="1:8" x14ac:dyDescent="0.2">
      <c r="A372" s="2149" t="s">
        <v>936</v>
      </c>
      <c r="B372" s="2148"/>
      <c r="C372" s="2148"/>
      <c r="D372" s="2148"/>
      <c r="E372" s="2148"/>
      <c r="F372" s="2148"/>
      <c r="G372" s="2148"/>
      <c r="H372" s="2148"/>
    </row>
    <row r="373" spans="1:8" x14ac:dyDescent="0.2">
      <c r="A373" s="2149" t="s">
        <v>937</v>
      </c>
      <c r="B373" s="2148"/>
      <c r="C373" s="2148"/>
      <c r="D373" s="2148"/>
      <c r="E373" s="2148"/>
      <c r="F373" s="2148"/>
      <c r="G373" s="2148"/>
      <c r="H373" s="2148"/>
    </row>
    <row r="374" spans="1:8" x14ac:dyDescent="0.2">
      <c r="A374" s="2149" t="s">
        <v>938</v>
      </c>
      <c r="B374" s="2148"/>
      <c r="C374" s="2148"/>
      <c r="D374" s="2148"/>
      <c r="E374" s="2148"/>
      <c r="F374" s="2148"/>
      <c r="G374" s="2148"/>
      <c r="H374" s="2148"/>
    </row>
    <row r="375" spans="1:8" x14ac:dyDescent="0.2">
      <c r="A375" s="2148"/>
      <c r="B375" s="2148"/>
      <c r="C375" s="2148"/>
      <c r="D375" s="2148"/>
      <c r="E375" s="2148"/>
      <c r="F375" s="2148"/>
      <c r="G375" s="2148"/>
      <c r="H375" s="2148"/>
    </row>
    <row r="376" spans="1:8" x14ac:dyDescent="0.2">
      <c r="A376" s="2149" t="s">
        <v>931</v>
      </c>
      <c r="B376" s="2148"/>
      <c r="C376" s="2148"/>
      <c r="D376" s="2148"/>
      <c r="E376" s="2148"/>
      <c r="F376" s="2148"/>
      <c r="G376" s="2148"/>
      <c r="H376" s="2148"/>
    </row>
    <row r="377" spans="1:8" x14ac:dyDescent="0.2">
      <c r="A377" s="2149" t="s">
        <v>932</v>
      </c>
      <c r="B377" s="2148"/>
      <c r="C377" s="2148"/>
      <c r="D377" s="2148"/>
      <c r="E377" s="2148"/>
      <c r="F377" s="2148"/>
      <c r="G377" s="2148"/>
      <c r="H377" s="2148"/>
    </row>
    <row r="378" spans="1:8" x14ac:dyDescent="0.2">
      <c r="A378" s="2149" t="s">
        <v>933</v>
      </c>
      <c r="B378" s="2148"/>
      <c r="C378" s="2148"/>
      <c r="D378" s="2148"/>
      <c r="E378" s="2148"/>
      <c r="F378" s="2148"/>
      <c r="G378" s="2148"/>
      <c r="H378" s="2148"/>
    </row>
    <row r="379" spans="1:8" x14ac:dyDescent="0.2">
      <c r="A379" s="2149" t="s">
        <v>934</v>
      </c>
      <c r="B379" s="2148"/>
      <c r="C379" s="2148"/>
      <c r="D379" s="2148"/>
      <c r="E379" s="2148"/>
      <c r="F379" s="2148"/>
      <c r="G379" s="2148"/>
      <c r="H379" s="2148"/>
    </row>
    <row r="380" spans="1:8" x14ac:dyDescent="0.2">
      <c r="A380" s="2148"/>
      <c r="B380" s="2148"/>
      <c r="C380" s="2148"/>
      <c r="D380" s="2148"/>
      <c r="E380" s="2148"/>
      <c r="F380" s="2148"/>
      <c r="G380" s="2148"/>
      <c r="H380" s="2148"/>
    </row>
    <row r="381" spans="1:8" x14ac:dyDescent="0.2">
      <c r="A381" s="2149" t="s">
        <v>925</v>
      </c>
      <c r="B381" s="2148"/>
      <c r="C381" s="2148"/>
      <c r="D381" s="2148"/>
      <c r="E381" s="2148"/>
      <c r="F381" s="2148"/>
      <c r="G381" s="2148"/>
      <c r="H381" s="2148"/>
    </row>
    <row r="382" spans="1:8" x14ac:dyDescent="0.2">
      <c r="A382" s="2149" t="s">
        <v>926</v>
      </c>
      <c r="B382" s="2148"/>
      <c r="C382" s="2148"/>
      <c r="D382" s="2148"/>
      <c r="E382" s="2148"/>
      <c r="F382" s="2148"/>
      <c r="G382" s="2148"/>
      <c r="H382" s="2148"/>
    </row>
    <row r="383" spans="1:8" x14ac:dyDescent="0.2">
      <c r="A383" s="2149" t="s">
        <v>927</v>
      </c>
      <c r="B383" s="2148"/>
      <c r="C383" s="2148"/>
      <c r="D383" s="2148"/>
      <c r="E383" s="2148"/>
      <c r="F383" s="2148"/>
      <c r="G383" s="2148"/>
      <c r="H383" s="2148"/>
    </row>
    <row r="384" spans="1:8" x14ac:dyDescent="0.2">
      <c r="A384" s="2149" t="s">
        <v>928</v>
      </c>
      <c r="B384" s="2148"/>
      <c r="C384" s="2148"/>
      <c r="D384" s="2148"/>
      <c r="E384" s="2148"/>
      <c r="F384" s="2148"/>
      <c r="G384" s="2148"/>
      <c r="H384" s="2148"/>
    </row>
    <row r="385" spans="1:8" x14ac:dyDescent="0.2">
      <c r="A385" s="2149" t="s">
        <v>929</v>
      </c>
      <c r="B385" s="2148"/>
      <c r="C385" s="2148"/>
      <c r="D385" s="2148"/>
      <c r="E385" s="2148"/>
      <c r="F385" s="2148"/>
      <c r="G385" s="2148"/>
      <c r="H385" s="2148"/>
    </row>
    <row r="386" spans="1:8" x14ac:dyDescent="0.2">
      <c r="A386" s="2149" t="s">
        <v>930</v>
      </c>
      <c r="B386" s="2148"/>
      <c r="C386" s="2148"/>
      <c r="D386" s="2148"/>
      <c r="E386" s="2148"/>
      <c r="F386" s="2148"/>
      <c r="G386" s="2148"/>
      <c r="H386" s="2148"/>
    </row>
    <row r="387" spans="1:8" x14ac:dyDescent="0.2">
      <c r="A387" s="2148"/>
      <c r="B387" s="2148"/>
      <c r="C387" s="2148"/>
      <c r="D387" s="2148"/>
      <c r="E387" s="2148"/>
      <c r="F387" s="2148"/>
      <c r="G387" s="2148"/>
      <c r="H387" s="2148"/>
    </row>
    <row r="388" spans="1:8" x14ac:dyDescent="0.2">
      <c r="A388" s="2149" t="s">
        <v>920</v>
      </c>
      <c r="B388" s="2148"/>
      <c r="C388" s="2148"/>
      <c r="D388" s="2148"/>
      <c r="E388" s="2148"/>
      <c r="F388" s="2148"/>
      <c r="G388" s="2148"/>
      <c r="H388" s="2148"/>
    </row>
    <row r="389" spans="1:8" x14ac:dyDescent="0.2">
      <c r="A389" s="2149" t="s">
        <v>921</v>
      </c>
      <c r="B389" s="2148"/>
      <c r="C389" s="2148"/>
      <c r="D389" s="2148"/>
      <c r="E389" s="2148"/>
      <c r="F389" s="2148"/>
      <c r="G389" s="2148"/>
      <c r="H389" s="2148"/>
    </row>
    <row r="390" spans="1:8" x14ac:dyDescent="0.2">
      <c r="A390" s="2149" t="s">
        <v>922</v>
      </c>
      <c r="B390" s="2148"/>
      <c r="C390" s="2148"/>
      <c r="D390" s="2148"/>
      <c r="E390" s="2148"/>
      <c r="F390" s="2148"/>
      <c r="G390" s="2148"/>
      <c r="H390" s="2148"/>
    </row>
    <row r="391" spans="1:8" x14ac:dyDescent="0.2">
      <c r="A391" s="2149" t="s">
        <v>923</v>
      </c>
      <c r="B391" s="2148"/>
      <c r="C391" s="2148"/>
      <c r="D391" s="2148"/>
      <c r="E391" s="2148"/>
      <c r="F391" s="2148"/>
      <c r="G391" s="2148"/>
      <c r="H391" s="2148"/>
    </row>
    <row r="392" spans="1:8" x14ac:dyDescent="0.2">
      <c r="A392" s="2149" t="s">
        <v>924</v>
      </c>
      <c r="B392" s="2148"/>
      <c r="C392" s="2148"/>
      <c r="D392" s="2148"/>
      <c r="E392" s="2148"/>
      <c r="F392" s="2148"/>
      <c r="G392" s="2148"/>
      <c r="H392" s="2148"/>
    </row>
    <row r="393" spans="1:8" x14ac:dyDescent="0.2">
      <c r="A393" s="2148"/>
      <c r="B393" s="2148"/>
      <c r="C393" s="2148"/>
      <c r="D393" s="2148"/>
      <c r="E393" s="2148"/>
      <c r="F393" s="2148"/>
      <c r="G393" s="2148"/>
      <c r="H393" s="2148"/>
    </row>
    <row r="394" spans="1:8" x14ac:dyDescent="0.2">
      <c r="A394" s="2149" t="s">
        <v>918</v>
      </c>
      <c r="B394" s="2148"/>
      <c r="C394" s="2148"/>
      <c r="D394" s="2148"/>
      <c r="E394" s="2148"/>
      <c r="F394" s="2148"/>
      <c r="G394" s="2148"/>
      <c r="H394" s="2148"/>
    </row>
    <row r="395" spans="1:8" x14ac:dyDescent="0.2">
      <c r="A395" s="2149" t="s">
        <v>919</v>
      </c>
      <c r="B395" s="2148"/>
      <c r="C395" s="2148"/>
      <c r="D395" s="2148"/>
      <c r="E395" s="2148"/>
      <c r="F395" s="2148"/>
      <c r="G395" s="2148"/>
      <c r="H395" s="2148"/>
    </row>
    <row r="397" spans="1:8" x14ac:dyDescent="0.2">
      <c r="A397" s="2144" t="s">
        <v>1178</v>
      </c>
    </row>
  </sheetData>
  <mergeCells count="12">
    <mergeCell ref="A120:H120"/>
    <mergeCell ref="A127:H127"/>
    <mergeCell ref="A114:H114"/>
    <mergeCell ref="A115:H115"/>
    <mergeCell ref="A116:H116"/>
    <mergeCell ref="A117:H117"/>
    <mergeCell ref="A119:H119"/>
    <mergeCell ref="A135:H135"/>
    <mergeCell ref="A136:H136"/>
    <mergeCell ref="B128:C128"/>
    <mergeCell ref="D128:F128"/>
    <mergeCell ref="G128:H128"/>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IV526"/>
  <sheetViews>
    <sheetView showGridLines="0" zoomScale="85" zoomScaleNormal="85" workbookViewId="0">
      <pane xSplit="1" ySplit="2" topLeftCell="EI3" activePane="bottomRight" state="frozen"/>
      <selection activeCell="CD8" sqref="CD8"/>
      <selection pane="topRight" activeCell="CD8" sqref="CD8"/>
      <selection pane="bottomLeft" activeCell="CD8" sqref="CD8"/>
      <selection pane="bottomRight" activeCell="EP2" sqref="EP2"/>
    </sheetView>
  </sheetViews>
  <sheetFormatPr defaultRowHeight="12" outlineLevelRow="1" outlineLevelCol="2" x14ac:dyDescent="0.15"/>
  <cols>
    <col min="1" max="1" width="36.5" style="1006" customWidth="1"/>
    <col min="2" max="5" width="9.125" style="1006" hidden="1" customWidth="1" outlineLevel="1"/>
    <col min="6" max="6" width="9.125" style="1006" customWidth="1" collapsed="1"/>
    <col min="7" max="10" width="9.125" style="1006" hidden="1" customWidth="1" outlineLevel="1"/>
    <col min="11" max="11" width="9.125" style="1006" customWidth="1" collapsed="1"/>
    <col min="12" max="15" width="9.125" style="1006" customWidth="1" outlineLevel="1"/>
    <col min="16" max="16" width="9.125" style="1006" customWidth="1"/>
    <col min="17" max="20" width="9.125" style="1006" customWidth="1" outlineLevel="1"/>
    <col min="21" max="21" width="9.125" style="1006" customWidth="1"/>
    <col min="22" max="25" width="9.125" style="1006" hidden="1" customWidth="1" outlineLevel="1"/>
    <col min="26" max="26" width="9.125" style="1006" customWidth="1" collapsed="1"/>
    <col min="27" max="30" width="9.125" style="1006" hidden="1" customWidth="1" outlineLevel="1"/>
    <col min="31" max="31" width="9.125" style="1006" customWidth="1" collapsed="1"/>
    <col min="32" max="35" width="9.125" style="1006" hidden="1" customWidth="1" outlineLevel="1"/>
    <col min="36" max="36" width="9.125" style="1006" customWidth="1" collapsed="1"/>
    <col min="37" max="40" width="9.125" style="1006" hidden="1" customWidth="1" outlineLevel="1"/>
    <col min="41" max="41" width="9.125" style="1006" customWidth="1" collapsed="1"/>
    <col min="42" max="45" width="9.125" style="1006" hidden="1" customWidth="1" outlineLevel="1"/>
    <col min="46" max="46" width="9.125" style="1006" customWidth="1" collapsed="1"/>
    <col min="47" max="50" width="9.125" style="1006" hidden="1" customWidth="1" outlineLevel="1"/>
    <col min="51" max="51" width="9.125" style="1006" customWidth="1" collapsed="1"/>
    <col min="52" max="55" width="9.125" style="1006" hidden="1" customWidth="1" outlineLevel="1"/>
    <col min="56" max="56" width="9.125" style="1006" customWidth="1" collapsed="1"/>
    <col min="57" max="60" width="9.125" style="1006" hidden="1" customWidth="1" outlineLevel="1"/>
    <col min="61" max="61" width="9.125" style="1006" customWidth="1" collapsed="1"/>
    <col min="62" max="65" width="9.125" style="1006" hidden="1" customWidth="1" outlineLevel="1"/>
    <col min="66" max="66" width="9.125" style="1006" customWidth="1" collapsed="1"/>
    <col min="67" max="70" width="9.125" style="1006" hidden="1" customWidth="1" outlineLevel="1"/>
    <col min="71" max="71" width="9.125" style="1006" customWidth="1" collapsed="1"/>
    <col min="72" max="75" width="9.125" style="1006" hidden="1" customWidth="1" outlineLevel="1"/>
    <col min="76" max="76" width="9.125" style="1006" customWidth="1" collapsed="1"/>
    <col min="77" max="80" width="9.125" style="1006" hidden="1" customWidth="1" outlineLevel="1"/>
    <col min="81" max="81" width="9.125" style="1006" customWidth="1" collapsed="1"/>
    <col min="82" max="85" width="9.125" style="1006" hidden="1" customWidth="1" outlineLevel="1"/>
    <col min="86" max="86" width="9.125" style="1006" customWidth="1" collapsed="1"/>
    <col min="87" max="90" width="9.125" style="1006" hidden="1" customWidth="1" outlineLevel="1"/>
    <col min="91" max="91" width="9.125" style="1006" customWidth="1" collapsed="1"/>
    <col min="92" max="95" width="9.125" style="1006" hidden="1" customWidth="1" outlineLevel="1"/>
    <col min="96" max="96" width="9.125" style="1006" customWidth="1" collapsed="1"/>
    <col min="97" max="100" width="9.125" style="1006" hidden="1" customWidth="1" outlineLevel="1"/>
    <col min="101" max="101" width="9.125" style="1006" customWidth="1" collapsed="1"/>
    <col min="102" max="105" width="9.125" style="1006" hidden="1" customWidth="1" outlineLevel="1"/>
    <col min="106" max="106" width="9.125" style="1006" customWidth="1" collapsed="1"/>
    <col min="107" max="110" width="9.125" style="1006" hidden="1" customWidth="1" outlineLevel="1"/>
    <col min="111" max="111" width="9.125" style="1006" customWidth="1" collapsed="1"/>
    <col min="112" max="115" width="9.125" style="1006" customWidth="1" outlineLevel="1"/>
    <col min="116" max="116" width="9.125" style="1006" customWidth="1"/>
    <col min="117" max="120" width="9.125" style="1006" customWidth="1" outlineLevel="1"/>
    <col min="121" max="121" width="9.125" style="1006" customWidth="1"/>
    <col min="122" max="125" width="9.125" style="1006" customWidth="1" outlineLevel="1"/>
    <col min="126" max="126" width="9.125" style="1006" customWidth="1"/>
    <col min="127" max="130" width="9.125" style="1006" customWidth="1" outlineLevel="1"/>
    <col min="131" max="131" width="9.125" style="1006" customWidth="1"/>
    <col min="132" max="135" width="9.125" style="1006" customWidth="1" outlineLevel="1"/>
    <col min="136" max="136" width="9.125" style="1006" customWidth="1"/>
    <col min="137" max="140" width="9.125" style="1006" customWidth="1" outlineLevel="1"/>
    <col min="141" max="141" width="9.125" style="1006" customWidth="1"/>
    <col min="142" max="145" width="9.125" style="1006" customWidth="1" outlineLevel="1"/>
    <col min="146" max="146" width="9.125" style="1006" customWidth="1"/>
    <col min="147" max="150" width="9.125" style="1006" customWidth="1" outlineLevel="1"/>
    <col min="151" max="151" width="9.125" style="1006" customWidth="1"/>
    <col min="152" max="155" width="9.125" style="1006" hidden="1" customWidth="1" outlineLevel="1"/>
    <col min="156" max="156" width="9.125" style="1006" customWidth="1" collapsed="1"/>
    <col min="157" max="160" width="9.125" style="1006" hidden="1" customWidth="1" outlineLevel="1"/>
    <col min="161" max="161" width="9.125" style="1006" customWidth="1" collapsed="1"/>
    <col min="162" max="163" width="1.625" style="1006" customWidth="1"/>
    <col min="164" max="167" width="7.375" style="1006" customWidth="1" outlineLevel="1"/>
    <col min="168" max="168" width="1.75" style="1006" customWidth="1"/>
    <col min="169" max="169" width="7.625" style="1006" hidden="1" customWidth="1" outlineLevel="1"/>
    <col min="170" max="170" width="7.625" style="1006" hidden="1" customWidth="1" outlineLevel="2"/>
    <col min="171" max="171" width="7.625" style="1006" hidden="1" customWidth="1" outlineLevel="1" collapsed="1"/>
    <col min="172" max="173" width="7.625" style="1006" hidden="1" customWidth="1" outlineLevel="1"/>
    <col min="174" max="174" width="2.625" style="1015" customWidth="1" collapsed="1"/>
    <col min="175" max="176" width="2.625" style="1015" customWidth="1"/>
    <col min="177" max="177" width="16.125" style="1015" customWidth="1"/>
    <col min="178" max="181" width="10.625" style="1015" customWidth="1"/>
    <col min="182" max="182" width="12.25" style="1015" customWidth="1"/>
    <col min="183" max="183" width="1.5" style="1006" customWidth="1"/>
    <col min="184" max="184" width="8.625" customWidth="1"/>
    <col min="185" max="185" width="12.5" bestFit="1" customWidth="1"/>
    <col min="186" max="186" width="10.75" customWidth="1"/>
    <col min="187" max="188" width="7.125" customWidth="1"/>
    <col min="189" max="189" width="9.875" bestFit="1" customWidth="1"/>
    <col min="190" max="16384" width="9" style="1006"/>
  </cols>
  <sheetData>
    <row r="1" spans="1:256" s="502" customFormat="1" ht="12.75" x14ac:dyDescent="0.2">
      <c r="A1" s="506" t="s">
        <v>172</v>
      </c>
      <c r="B1" s="507" t="s">
        <v>522</v>
      </c>
      <c r="C1" s="507" t="s">
        <v>523</v>
      </c>
      <c r="D1" s="507" t="s">
        <v>531</v>
      </c>
      <c r="E1" s="508" t="s">
        <v>532</v>
      </c>
      <c r="F1" s="509"/>
      <c r="G1" s="507" t="str">
        <f>B1</f>
        <v>1QA</v>
      </c>
      <c r="H1" s="507" t="str">
        <f>C1</f>
        <v>2QA</v>
      </c>
      <c r="I1" s="507" t="str">
        <f>D1</f>
        <v>3QA</v>
      </c>
      <c r="J1" s="508" t="str">
        <f>E1</f>
        <v>4QA</v>
      </c>
      <c r="K1" s="509"/>
      <c r="L1" s="507" t="str">
        <f>G1</f>
        <v>1QA</v>
      </c>
      <c r="M1" s="507" t="str">
        <f>H1</f>
        <v>2QA</v>
      </c>
      <c r="N1" s="507" t="str">
        <f>I1</f>
        <v>3QA</v>
      </c>
      <c r="O1" s="508" t="str">
        <f>J1</f>
        <v>4QA</v>
      </c>
      <c r="P1" s="509"/>
      <c r="Q1" s="507" t="str">
        <f>L1</f>
        <v>1QA</v>
      </c>
      <c r="R1" s="507" t="str">
        <f>M1</f>
        <v>2QA</v>
      </c>
      <c r="S1" s="507" t="str">
        <f>N1</f>
        <v>3QA</v>
      </c>
      <c r="T1" s="508" t="str">
        <f>O1</f>
        <v>4QA</v>
      </c>
      <c r="U1" s="509"/>
      <c r="V1" s="507" t="str">
        <f>Q1</f>
        <v>1QA</v>
      </c>
      <c r="W1" s="507" t="str">
        <f>R1</f>
        <v>2QA</v>
      </c>
      <c r="X1" s="507" t="str">
        <f>S1</f>
        <v>3QA</v>
      </c>
      <c r="Y1" s="508" t="str">
        <f>T1</f>
        <v>4QA</v>
      </c>
      <c r="Z1" s="509"/>
      <c r="AA1" s="507" t="str">
        <f>V1</f>
        <v>1QA</v>
      </c>
      <c r="AB1" s="507" t="str">
        <f>W1</f>
        <v>2QA</v>
      </c>
      <c r="AC1" s="507" t="str">
        <f>X1</f>
        <v>3QA</v>
      </c>
      <c r="AD1" s="508" t="str">
        <f>Y1</f>
        <v>4QA</v>
      </c>
      <c r="AE1" s="509"/>
      <c r="AF1" s="507" t="str">
        <f>AA1</f>
        <v>1QA</v>
      </c>
      <c r="AG1" s="507" t="str">
        <f>AB1</f>
        <v>2QA</v>
      </c>
      <c r="AH1" s="507" t="str">
        <f>AC1</f>
        <v>3QA</v>
      </c>
      <c r="AI1" s="508" t="str">
        <f>AD1</f>
        <v>4QA</v>
      </c>
      <c r="AJ1" s="509"/>
      <c r="AK1" s="507" t="str">
        <f>AF1</f>
        <v>1QA</v>
      </c>
      <c r="AL1" s="507" t="str">
        <f>AG1</f>
        <v>2QA</v>
      </c>
      <c r="AM1" s="507" t="str">
        <f>AH1</f>
        <v>3QA</v>
      </c>
      <c r="AN1" s="508" t="str">
        <f>AI1</f>
        <v>4QA</v>
      </c>
      <c r="AO1" s="509"/>
      <c r="AP1" s="507" t="str">
        <f>AK1</f>
        <v>1QA</v>
      </c>
      <c r="AQ1" s="507" t="str">
        <f>AL1</f>
        <v>2QA</v>
      </c>
      <c r="AR1" s="507" t="str">
        <f>AM1</f>
        <v>3QA</v>
      </c>
      <c r="AS1" s="508" t="str">
        <f>AN1</f>
        <v>4QA</v>
      </c>
      <c r="AT1" s="509"/>
      <c r="AU1" s="507" t="str">
        <f>AP1</f>
        <v>1QA</v>
      </c>
      <c r="AV1" s="507" t="str">
        <f>AQ1</f>
        <v>2QA</v>
      </c>
      <c r="AW1" s="507" t="str">
        <f>AR1</f>
        <v>3QA</v>
      </c>
      <c r="AX1" s="508" t="str">
        <f>AS1</f>
        <v>4QA</v>
      </c>
      <c r="AY1" s="509"/>
      <c r="AZ1" s="507" t="str">
        <f>AU1</f>
        <v>1QA</v>
      </c>
      <c r="BA1" s="507" t="str">
        <f>AV1</f>
        <v>2QA</v>
      </c>
      <c r="BB1" s="507" t="str">
        <f>AW1</f>
        <v>3QA</v>
      </c>
      <c r="BC1" s="508" t="str">
        <f>AX1</f>
        <v>4QA</v>
      </c>
      <c r="BD1" s="509"/>
      <c r="BE1" s="507" t="str">
        <f>AZ1</f>
        <v>1QA</v>
      </c>
      <c r="BF1" s="507" t="str">
        <f>BA1</f>
        <v>2QA</v>
      </c>
      <c r="BG1" s="507" t="str">
        <f>BB1</f>
        <v>3QA</v>
      </c>
      <c r="BH1" s="508" t="str">
        <f>BC1</f>
        <v>4QA</v>
      </c>
      <c r="BI1" s="509"/>
      <c r="BJ1" s="507" t="str">
        <f>BE1</f>
        <v>1QA</v>
      </c>
      <c r="BK1" s="507" t="str">
        <f>BF1</f>
        <v>2QA</v>
      </c>
      <c r="BL1" s="507" t="str">
        <f>BG1</f>
        <v>3QA</v>
      </c>
      <c r="BM1" s="508" t="str">
        <f>BH1</f>
        <v>4QA</v>
      </c>
      <c r="BN1" s="509"/>
      <c r="BO1" s="507" t="str">
        <f>BJ1</f>
        <v>1QA</v>
      </c>
      <c r="BP1" s="507" t="str">
        <f>BK1</f>
        <v>2QA</v>
      </c>
      <c r="BQ1" s="507" t="str">
        <f>BL1</f>
        <v>3QA</v>
      </c>
      <c r="BR1" s="508" t="str">
        <f>BM1</f>
        <v>4QA</v>
      </c>
      <c r="BS1" s="509"/>
      <c r="BT1" s="507" t="str">
        <f>BO1</f>
        <v>1QA</v>
      </c>
      <c r="BU1" s="507" t="str">
        <f>BP1</f>
        <v>2QA</v>
      </c>
      <c r="BV1" s="507" t="str">
        <f>BQ1</f>
        <v>3QA</v>
      </c>
      <c r="BW1" s="508" t="str">
        <f>BR1</f>
        <v>4QA</v>
      </c>
      <c r="BX1" s="509"/>
      <c r="BY1" s="507" t="str">
        <f>BT1</f>
        <v>1QA</v>
      </c>
      <c r="BZ1" s="507" t="str">
        <f>BU1</f>
        <v>2QA</v>
      </c>
      <c r="CA1" s="507" t="str">
        <f>BV1</f>
        <v>3QA</v>
      </c>
      <c r="CB1" s="508" t="str">
        <f>BW1</f>
        <v>4QA</v>
      </c>
      <c r="CC1" s="509"/>
      <c r="CD1" s="507" t="str">
        <f>BY1</f>
        <v>1QA</v>
      </c>
      <c r="CE1" s="507" t="str">
        <f>BZ1</f>
        <v>2QA</v>
      </c>
      <c r="CF1" s="507" t="str">
        <f>CA1</f>
        <v>3QA</v>
      </c>
      <c r="CG1" s="508" t="str">
        <f>CB1</f>
        <v>4QA</v>
      </c>
      <c r="CH1" s="509"/>
      <c r="CI1" s="507" t="str">
        <f>CD1</f>
        <v>1QA</v>
      </c>
      <c r="CJ1" s="507" t="str">
        <f>CE1</f>
        <v>2QA</v>
      </c>
      <c r="CK1" s="507" t="str">
        <f>CF1</f>
        <v>3QA</v>
      </c>
      <c r="CL1" s="508" t="str">
        <f>CG1</f>
        <v>4QA</v>
      </c>
      <c r="CM1" s="509"/>
      <c r="CN1" s="507" t="str">
        <f>CI1</f>
        <v>1QA</v>
      </c>
      <c r="CO1" s="507" t="str">
        <f>CJ1</f>
        <v>2QA</v>
      </c>
      <c r="CP1" s="507" t="str">
        <f>CK1</f>
        <v>3QA</v>
      </c>
      <c r="CQ1" s="508" t="str">
        <f>CL1</f>
        <v>4QA</v>
      </c>
      <c r="CR1" s="509"/>
      <c r="CS1" s="507" t="str">
        <f>CN1</f>
        <v>1QA</v>
      </c>
      <c r="CT1" s="507" t="str">
        <f>CO1</f>
        <v>2QA</v>
      </c>
      <c r="CU1" s="507" t="str">
        <f>CP1</f>
        <v>3QA</v>
      </c>
      <c r="CV1" s="508" t="str">
        <f>CQ1</f>
        <v>4QA</v>
      </c>
      <c r="CW1" s="509"/>
      <c r="CX1" s="507" t="str">
        <f>CS1</f>
        <v>1QA</v>
      </c>
      <c r="CY1" s="507" t="str">
        <f>CT1</f>
        <v>2QA</v>
      </c>
      <c r="CZ1" s="507" t="str">
        <f>CU1</f>
        <v>3QA</v>
      </c>
      <c r="DA1" s="507" t="str">
        <f>CV1</f>
        <v>4QA</v>
      </c>
      <c r="DB1" s="509"/>
      <c r="DC1" s="507" t="str">
        <f>CX1</f>
        <v>1QA</v>
      </c>
      <c r="DD1" s="507" t="str">
        <f>CY1</f>
        <v>2QA</v>
      </c>
      <c r="DE1" s="507" t="str">
        <f>CZ1</f>
        <v>3QA</v>
      </c>
      <c r="DF1" s="507" t="str">
        <f>DA1</f>
        <v>4QA</v>
      </c>
      <c r="DG1" s="509"/>
      <c r="DH1" s="507" t="str">
        <f>DC1</f>
        <v>1QA</v>
      </c>
      <c r="DI1" s="507" t="str">
        <f>DD1</f>
        <v>2QA</v>
      </c>
      <c r="DJ1" s="507" t="str">
        <f>DE1</f>
        <v>3QA</v>
      </c>
      <c r="DK1" s="507" t="str">
        <f>DF1</f>
        <v>4QA</v>
      </c>
      <c r="DL1" s="509"/>
      <c r="DM1" s="507" t="str">
        <f>DH1</f>
        <v>1QA</v>
      </c>
      <c r="DN1" s="507" t="str">
        <f>DI1</f>
        <v>2QA</v>
      </c>
      <c r="DO1" s="507" t="str">
        <f>DJ1</f>
        <v>3QA</v>
      </c>
      <c r="DP1" s="507" t="str">
        <f>DK1</f>
        <v>4QA</v>
      </c>
      <c r="DQ1" s="509"/>
      <c r="DR1" s="507" t="str">
        <f>DM1</f>
        <v>1QA</v>
      </c>
      <c r="DS1" s="507" t="str">
        <f>DN1</f>
        <v>2QA</v>
      </c>
      <c r="DT1" s="507" t="str">
        <f>DO1</f>
        <v>3QA</v>
      </c>
      <c r="DU1" s="507" t="str">
        <f>DP1</f>
        <v>4QA</v>
      </c>
      <c r="DV1" s="509"/>
      <c r="DW1" s="507" t="str">
        <f>DR1</f>
        <v>1QA</v>
      </c>
      <c r="DX1" s="507" t="str">
        <f>DS1</f>
        <v>2QA</v>
      </c>
      <c r="DY1" s="507" t="str">
        <f>DT1</f>
        <v>3QA</v>
      </c>
      <c r="DZ1" s="507" t="str">
        <f>DU1</f>
        <v>4QA</v>
      </c>
      <c r="EA1" s="509"/>
      <c r="EB1" s="507" t="str">
        <f>DW1</f>
        <v>1QA</v>
      </c>
      <c r="EC1" s="507" t="str">
        <f>DX1</f>
        <v>2QA</v>
      </c>
      <c r="ED1" s="1275" t="s">
        <v>531</v>
      </c>
      <c r="EE1" s="1275" t="s">
        <v>532</v>
      </c>
      <c r="EF1" s="509"/>
      <c r="EG1" s="507" t="str">
        <f>EB1</f>
        <v>1QA</v>
      </c>
      <c r="EH1" s="1275" t="s">
        <v>523</v>
      </c>
      <c r="EI1" s="1275" t="s">
        <v>531</v>
      </c>
      <c r="EJ1" s="1275" t="s">
        <v>532</v>
      </c>
      <c r="EK1" s="830"/>
      <c r="EL1" s="510" t="s">
        <v>522</v>
      </c>
      <c r="EM1" s="1275" t="s">
        <v>523</v>
      </c>
      <c r="EN1" s="1275" t="s">
        <v>531</v>
      </c>
      <c r="EO1" s="1275" t="s">
        <v>532</v>
      </c>
      <c r="EP1" s="830"/>
      <c r="EQ1" s="510" t="s">
        <v>522</v>
      </c>
      <c r="ER1" s="510">
        <v>2</v>
      </c>
      <c r="ES1" s="510">
        <v>3</v>
      </c>
      <c r="ET1" s="510">
        <v>4</v>
      </c>
      <c r="EU1" s="830" t="s">
        <v>398</v>
      </c>
      <c r="EV1" s="510"/>
      <c r="EW1" s="510"/>
      <c r="EX1" s="510"/>
      <c r="EY1" s="510"/>
      <c r="EZ1" s="830" t="s">
        <v>398</v>
      </c>
      <c r="FA1" s="510"/>
      <c r="FB1" s="510"/>
      <c r="FC1" s="510"/>
      <c r="FD1" s="510"/>
      <c r="FE1" s="830" t="s">
        <v>398</v>
      </c>
      <c r="FF1" s="733"/>
      <c r="FG1" s="614"/>
      <c r="FH1" s="1016" t="s">
        <v>22</v>
      </c>
      <c r="FI1" s="1016" t="s">
        <v>23</v>
      </c>
      <c r="FJ1" s="1016" t="s">
        <v>317</v>
      </c>
      <c r="FK1" s="1016" t="s">
        <v>318</v>
      </c>
      <c r="FL1" s="1791"/>
      <c r="FM1" s="2168" t="s">
        <v>788</v>
      </c>
      <c r="FN1" s="2168"/>
      <c r="FO1" s="2168"/>
      <c r="FP1" s="2168"/>
      <c r="FQ1" s="2168"/>
      <c r="FR1" s="502" t="s">
        <v>203</v>
      </c>
      <c r="GA1" s="614"/>
      <c r="GB1"/>
      <c r="GC1"/>
      <c r="GD1"/>
      <c r="GE1"/>
      <c r="GF1"/>
      <c r="GG1"/>
      <c r="GH1" s="943"/>
      <c r="GI1" s="943"/>
      <c r="GJ1" s="943"/>
      <c r="GK1" s="943"/>
      <c r="GL1" s="943"/>
      <c r="GM1" s="943"/>
      <c r="GN1" s="943"/>
      <c r="GO1" s="943"/>
      <c r="GP1" s="943"/>
      <c r="GQ1" s="943"/>
      <c r="GR1" s="943"/>
      <c r="GS1" s="943"/>
      <c r="GT1" s="943"/>
      <c r="GU1" s="943"/>
      <c r="GV1" s="943"/>
      <c r="GW1" s="943"/>
      <c r="GX1" s="943"/>
      <c r="GY1" s="943"/>
      <c r="GZ1" s="943"/>
      <c r="HA1" s="943"/>
      <c r="HB1" s="943"/>
      <c r="HC1" s="943"/>
      <c r="HD1" s="943"/>
      <c r="HE1" s="943"/>
      <c r="HF1" s="943"/>
      <c r="HG1" s="943"/>
      <c r="HH1" s="943"/>
      <c r="HI1" s="943"/>
      <c r="HJ1" s="943"/>
      <c r="HK1" s="943"/>
      <c r="HL1" s="943"/>
      <c r="HM1" s="943"/>
      <c r="HN1" s="943"/>
      <c r="HO1" s="943"/>
      <c r="HP1" s="943"/>
      <c r="HQ1" s="943"/>
      <c r="HR1" s="943"/>
      <c r="HS1" s="943"/>
      <c r="HT1" s="943"/>
      <c r="HU1" s="943"/>
      <c r="HV1" s="943"/>
      <c r="HW1" s="943"/>
      <c r="HX1" s="943"/>
      <c r="HY1" s="943"/>
      <c r="HZ1" s="943"/>
      <c r="IA1" s="943"/>
      <c r="IB1" s="943"/>
      <c r="IC1" s="943"/>
      <c r="ID1" s="943"/>
      <c r="IE1" s="943"/>
      <c r="IF1" s="943"/>
      <c r="IG1" s="943"/>
      <c r="IH1" s="943"/>
      <c r="II1" s="943"/>
      <c r="IJ1" s="943"/>
      <c r="IK1" s="943"/>
      <c r="IL1" s="943"/>
      <c r="IM1" s="943"/>
      <c r="IN1" s="943"/>
      <c r="IO1" s="943"/>
      <c r="IP1" s="943"/>
      <c r="IQ1" s="943"/>
      <c r="IR1" s="943"/>
      <c r="IS1" s="943"/>
      <c r="IT1" s="943"/>
      <c r="IU1" s="943"/>
      <c r="IV1" s="943"/>
    </row>
    <row r="2" spans="1:256" s="515" customFormat="1" ht="13.5" thickBot="1" x14ac:dyDescent="0.25">
      <c r="A2" s="511"/>
      <c r="B2" s="512"/>
      <c r="C2" s="512"/>
      <c r="D2" s="512"/>
      <c r="E2" s="513"/>
      <c r="F2" s="514">
        <v>1989</v>
      </c>
      <c r="G2" s="512"/>
      <c r="H2" s="512"/>
      <c r="I2" s="512"/>
      <c r="J2" s="513"/>
      <c r="K2" s="514">
        <f>F2+1</f>
        <v>1990</v>
      </c>
      <c r="L2" s="512"/>
      <c r="M2" s="512"/>
      <c r="N2" s="512"/>
      <c r="O2" s="513"/>
      <c r="P2" s="514">
        <f>K2+1</f>
        <v>1991</v>
      </c>
      <c r="Q2" s="512"/>
      <c r="R2" s="512"/>
      <c r="S2" s="512"/>
      <c r="T2" s="513"/>
      <c r="U2" s="514">
        <f>P2+1</f>
        <v>1992</v>
      </c>
      <c r="V2" s="512"/>
      <c r="W2" s="512"/>
      <c r="X2" s="512"/>
      <c r="Y2" s="513"/>
      <c r="Z2" s="514">
        <f>U2+1</f>
        <v>1993</v>
      </c>
      <c r="AA2" s="512"/>
      <c r="AB2" s="512"/>
      <c r="AC2" s="512"/>
      <c r="AD2" s="513"/>
      <c r="AE2" s="514">
        <f>Z2+1</f>
        <v>1994</v>
      </c>
      <c r="AF2" s="512"/>
      <c r="AG2" s="512"/>
      <c r="AH2" s="512"/>
      <c r="AI2" s="513"/>
      <c r="AJ2" s="514">
        <f>AE2+1</f>
        <v>1995</v>
      </c>
      <c r="AK2" s="512"/>
      <c r="AL2" s="512"/>
      <c r="AM2" s="512"/>
      <c r="AN2" s="513"/>
      <c r="AO2" s="514">
        <f>AJ2+1</f>
        <v>1996</v>
      </c>
      <c r="AP2" s="512"/>
      <c r="AQ2" s="512"/>
      <c r="AR2" s="512"/>
      <c r="AS2" s="513"/>
      <c r="AT2" s="514">
        <f>AO2+1</f>
        <v>1997</v>
      </c>
      <c r="AU2" s="512"/>
      <c r="AV2" s="512"/>
      <c r="AW2" s="512"/>
      <c r="AX2" s="513"/>
      <c r="AY2" s="514">
        <f>AT2+1</f>
        <v>1998</v>
      </c>
      <c r="AZ2" s="512"/>
      <c r="BA2" s="512"/>
      <c r="BB2" s="512"/>
      <c r="BC2" s="513"/>
      <c r="BD2" s="514">
        <f>AY2+1</f>
        <v>1999</v>
      </c>
      <c r="BE2" s="512"/>
      <c r="BF2" s="512"/>
      <c r="BG2" s="512"/>
      <c r="BH2" s="513"/>
      <c r="BI2" s="514">
        <f>BD2+1</f>
        <v>2000</v>
      </c>
      <c r="BJ2" s="512"/>
      <c r="BK2" s="512"/>
      <c r="BL2" s="512"/>
      <c r="BM2" s="513"/>
      <c r="BN2" s="514">
        <f>BI2+1</f>
        <v>2001</v>
      </c>
      <c r="BO2" s="512"/>
      <c r="BP2" s="512"/>
      <c r="BQ2" s="512"/>
      <c r="BR2" s="513"/>
      <c r="BS2" s="514">
        <f>BN2+1</f>
        <v>2002</v>
      </c>
      <c r="BT2" s="512"/>
      <c r="BU2" s="512"/>
      <c r="BV2" s="512"/>
      <c r="BW2" s="513"/>
      <c r="BX2" s="514">
        <f>BS2+1</f>
        <v>2003</v>
      </c>
      <c r="BY2" s="512"/>
      <c r="BZ2" s="512"/>
      <c r="CA2" s="512"/>
      <c r="CB2" s="513"/>
      <c r="CC2" s="514">
        <f>BX2+1</f>
        <v>2004</v>
      </c>
      <c r="CD2" s="512"/>
      <c r="CE2" s="512"/>
      <c r="CF2" s="512"/>
      <c r="CG2" s="513"/>
      <c r="CH2" s="514">
        <f>CC2+1</f>
        <v>2005</v>
      </c>
      <c r="CI2" s="512"/>
      <c r="CJ2" s="512"/>
      <c r="CK2" s="512"/>
      <c r="CL2" s="513"/>
      <c r="CM2" s="514">
        <f>CH2+1</f>
        <v>2006</v>
      </c>
      <c r="CN2" s="512"/>
      <c r="CO2" s="512"/>
      <c r="CP2" s="512"/>
      <c r="CQ2" s="513"/>
      <c r="CR2" s="514">
        <f>CM2+1</f>
        <v>2007</v>
      </c>
      <c r="CS2" s="512"/>
      <c r="CT2" s="512"/>
      <c r="CU2" s="512"/>
      <c r="CV2" s="513"/>
      <c r="CW2" s="514">
        <f>CR2+1</f>
        <v>2008</v>
      </c>
      <c r="CX2" s="512"/>
      <c r="CY2" s="512"/>
      <c r="CZ2" s="512"/>
      <c r="DA2" s="512"/>
      <c r="DB2" s="514">
        <f>CW2+1</f>
        <v>2009</v>
      </c>
      <c r="DC2" s="512"/>
      <c r="DD2" s="512"/>
      <c r="DE2" s="512"/>
      <c r="DF2" s="512"/>
      <c r="DG2" s="514">
        <f>DB2+1</f>
        <v>2010</v>
      </c>
      <c r="DH2" s="512"/>
      <c r="DI2" s="512"/>
      <c r="DJ2" s="512"/>
      <c r="DK2" s="512"/>
      <c r="DL2" s="514">
        <f>DG2+1</f>
        <v>2011</v>
      </c>
      <c r="DM2" s="512"/>
      <c r="DN2" s="512"/>
      <c r="DO2" s="512"/>
      <c r="DP2" s="512"/>
      <c r="DQ2" s="514">
        <f>DL2+1</f>
        <v>2012</v>
      </c>
      <c r="DR2" s="512"/>
      <c r="DS2" s="512"/>
      <c r="DT2" s="512"/>
      <c r="DU2" s="512"/>
      <c r="DV2" s="514">
        <f>DQ2+1</f>
        <v>2013</v>
      </c>
      <c r="DW2" s="512"/>
      <c r="DX2" s="512"/>
      <c r="DY2" s="512"/>
      <c r="DZ2" s="512"/>
      <c r="EA2" s="514">
        <f>DV2+1</f>
        <v>2014</v>
      </c>
      <c r="EB2" s="512"/>
      <c r="EC2" s="512"/>
      <c r="ED2" s="512"/>
      <c r="EE2" s="512"/>
      <c r="EF2" s="514">
        <f>EA2+1</f>
        <v>2015</v>
      </c>
      <c r="EG2" s="512"/>
      <c r="EH2" s="512"/>
      <c r="EI2" s="512"/>
      <c r="EJ2" s="512"/>
      <c r="EK2" s="831">
        <f>EF2+1</f>
        <v>2016</v>
      </c>
      <c r="EL2" s="512"/>
      <c r="EM2" s="512"/>
      <c r="EN2" s="512"/>
      <c r="EO2" s="512"/>
      <c r="EP2" s="831">
        <f>EK2+1</f>
        <v>2017</v>
      </c>
      <c r="EQ2" s="512"/>
      <c r="ER2" s="512"/>
      <c r="ES2" s="512"/>
      <c r="ET2" s="512"/>
      <c r="EU2" s="831">
        <f>EP2+1</f>
        <v>2018</v>
      </c>
      <c r="EV2" s="512"/>
      <c r="EW2" s="512"/>
      <c r="EX2" s="512"/>
      <c r="EY2" s="512"/>
      <c r="EZ2" s="831">
        <f>EU2+1</f>
        <v>2019</v>
      </c>
      <c r="FA2" s="512"/>
      <c r="FB2" s="512"/>
      <c r="FC2" s="512"/>
      <c r="FD2" s="512"/>
      <c r="FE2" s="831">
        <f>EZ2+1</f>
        <v>2020</v>
      </c>
      <c r="FF2" s="734"/>
      <c r="FG2" s="615"/>
      <c r="FH2" s="1016" t="s">
        <v>319</v>
      </c>
      <c r="FI2" s="1016" t="s">
        <v>319</v>
      </c>
      <c r="FJ2" s="1016" t="s">
        <v>319</v>
      </c>
      <c r="FK2" s="1016" t="s">
        <v>319</v>
      </c>
      <c r="FL2" s="1791"/>
      <c r="FM2" s="1860" t="s">
        <v>390</v>
      </c>
      <c r="FN2" s="1784" t="s">
        <v>865</v>
      </c>
      <c r="FO2" s="1784" t="s">
        <v>789</v>
      </c>
      <c r="FP2" s="1784" t="s">
        <v>790</v>
      </c>
      <c r="FQ2" s="1784" t="s">
        <v>791</v>
      </c>
      <c r="FR2" s="502"/>
      <c r="FS2" s="502"/>
      <c r="FT2" s="502"/>
      <c r="FU2" s="502"/>
      <c r="FV2" s="502"/>
      <c r="FW2" s="502"/>
      <c r="FX2" s="502"/>
      <c r="FY2" s="502"/>
      <c r="FZ2" s="502"/>
      <c r="GA2" s="615"/>
      <c r="GB2"/>
      <c r="GC2"/>
      <c r="GD2"/>
      <c r="GE2"/>
      <c r="GF2"/>
      <c r="GG2"/>
      <c r="GH2" s="943"/>
      <c r="GI2" s="943"/>
      <c r="GJ2" s="943"/>
      <c r="GK2" s="943"/>
      <c r="GL2" s="943"/>
      <c r="GM2" s="943"/>
      <c r="GN2" s="943"/>
      <c r="GO2" s="943"/>
      <c r="GP2" s="943"/>
      <c r="GQ2" s="943"/>
      <c r="GR2" s="943"/>
      <c r="GS2" s="943"/>
      <c r="GT2" s="943"/>
      <c r="GU2" s="943"/>
      <c r="GV2" s="943"/>
      <c r="GW2" s="943"/>
      <c r="GX2" s="943"/>
      <c r="GY2" s="943"/>
      <c r="GZ2" s="943"/>
      <c r="HA2" s="943"/>
      <c r="HB2" s="943"/>
      <c r="HC2" s="943"/>
      <c r="HD2" s="943"/>
      <c r="HE2" s="943"/>
      <c r="HF2" s="943"/>
      <c r="HG2" s="943"/>
      <c r="HH2" s="943"/>
      <c r="HI2" s="943"/>
      <c r="HJ2" s="943"/>
      <c r="HK2" s="943"/>
      <c r="HL2" s="943"/>
      <c r="HM2" s="943"/>
      <c r="HN2" s="943"/>
      <c r="HO2" s="943"/>
      <c r="HP2" s="943"/>
      <c r="HQ2" s="943"/>
      <c r="HR2" s="943"/>
      <c r="HS2" s="943"/>
      <c r="HT2" s="943"/>
      <c r="HU2" s="943"/>
      <c r="HV2" s="943"/>
      <c r="HW2" s="943"/>
      <c r="HX2" s="943"/>
      <c r="HY2" s="943"/>
      <c r="HZ2" s="943"/>
      <c r="IA2" s="943"/>
      <c r="IB2" s="943"/>
      <c r="IC2" s="943"/>
      <c r="ID2" s="943"/>
      <c r="IE2" s="943"/>
      <c r="IF2" s="943"/>
      <c r="IG2" s="943"/>
      <c r="IH2" s="943"/>
      <c r="II2" s="943"/>
      <c r="IJ2" s="943"/>
      <c r="IK2" s="943"/>
      <c r="IL2" s="943"/>
      <c r="IM2" s="943"/>
      <c r="IN2" s="943"/>
      <c r="IO2" s="943"/>
      <c r="IP2" s="943"/>
      <c r="IQ2" s="943"/>
      <c r="IR2" s="943"/>
      <c r="IS2" s="943"/>
      <c r="IT2" s="943"/>
      <c r="IU2" s="943"/>
      <c r="IV2" s="943"/>
    </row>
    <row r="3" spans="1:256" s="527" customFormat="1" ht="12.75" x14ac:dyDescent="0.2">
      <c r="A3" s="522" t="s">
        <v>71</v>
      </c>
      <c r="B3" s="523"/>
      <c r="C3" s="523"/>
      <c r="D3" s="523"/>
      <c r="E3" s="524"/>
      <c r="F3" s="525"/>
      <c r="G3" s="523"/>
      <c r="H3" s="523"/>
      <c r="I3" s="523"/>
      <c r="J3" s="524"/>
      <c r="K3" s="525"/>
      <c r="L3" s="523"/>
      <c r="M3" s="523"/>
      <c r="N3" s="523"/>
      <c r="O3" s="524"/>
      <c r="P3" s="525"/>
      <c r="Q3" s="523"/>
      <c r="R3" s="523"/>
      <c r="S3" s="523"/>
      <c r="T3" s="524"/>
      <c r="U3" s="525"/>
      <c r="V3" s="523"/>
      <c r="W3" s="523"/>
      <c r="X3" s="523"/>
      <c r="Y3" s="524"/>
      <c r="Z3" s="525"/>
      <c r="AA3" s="523"/>
      <c r="AB3" s="523"/>
      <c r="AC3" s="523"/>
      <c r="AD3" s="524"/>
      <c r="AE3" s="525"/>
      <c r="AF3" s="523"/>
      <c r="AG3" s="523"/>
      <c r="AH3" s="523"/>
      <c r="AI3" s="524"/>
      <c r="AJ3" s="525"/>
      <c r="AK3" s="523"/>
      <c r="AL3" s="523"/>
      <c r="AM3" s="523"/>
      <c r="AN3" s="524"/>
      <c r="AO3" s="525"/>
      <c r="AP3" s="523"/>
      <c r="AQ3" s="523"/>
      <c r="AR3" s="523"/>
      <c r="AS3" s="524"/>
      <c r="AT3" s="525"/>
      <c r="AU3" s="523"/>
      <c r="AV3" s="523"/>
      <c r="AW3" s="523"/>
      <c r="AX3" s="524"/>
      <c r="AY3" s="525"/>
      <c r="AZ3" s="523"/>
      <c r="BA3" s="523"/>
      <c r="BB3" s="523"/>
      <c r="BC3" s="524"/>
      <c r="BD3" s="525"/>
      <c r="BE3" s="523"/>
      <c r="BF3" s="523"/>
      <c r="BG3" s="523"/>
      <c r="BH3" s="524"/>
      <c r="BI3" s="525"/>
      <c r="BJ3" s="523"/>
      <c r="BK3" s="523"/>
      <c r="BL3" s="523"/>
      <c r="BM3" s="524"/>
      <c r="BN3" s="525"/>
      <c r="BO3" s="523"/>
      <c r="BP3" s="523"/>
      <c r="BQ3" s="523"/>
      <c r="BR3" s="524"/>
      <c r="BS3" s="525"/>
      <c r="BT3" s="523"/>
      <c r="BU3" s="523"/>
      <c r="BV3" s="523"/>
      <c r="BW3" s="524"/>
      <c r="BX3" s="525"/>
      <c r="BY3" s="523"/>
      <c r="BZ3" s="523"/>
      <c r="CA3" s="523"/>
      <c r="CB3" s="524"/>
      <c r="CC3" s="525"/>
      <c r="CD3" s="523"/>
      <c r="CE3" s="523"/>
      <c r="CF3" s="523"/>
      <c r="CG3" s="524"/>
      <c r="CH3" s="525"/>
      <c r="CI3" s="523"/>
      <c r="CJ3" s="523"/>
      <c r="CK3" s="523"/>
      <c r="CL3" s="524"/>
      <c r="CM3" s="525"/>
      <c r="CN3" s="523"/>
      <c r="CO3" s="523"/>
      <c r="CP3" s="523"/>
      <c r="CQ3" s="524"/>
      <c r="CR3" s="525"/>
      <c r="CS3" s="523"/>
      <c r="CT3" s="523"/>
      <c r="CU3" s="523"/>
      <c r="CV3" s="524"/>
      <c r="CW3" s="525"/>
      <c r="CX3" s="523"/>
      <c r="CY3" s="523"/>
      <c r="CZ3" s="523"/>
      <c r="DA3" s="523"/>
      <c r="DB3" s="525"/>
      <c r="DC3" s="523"/>
      <c r="DD3" s="523"/>
      <c r="DE3" s="523"/>
      <c r="DF3" s="523"/>
      <c r="DG3" s="526"/>
      <c r="DH3" s="523"/>
      <c r="DI3" s="523"/>
      <c r="DJ3" s="523"/>
      <c r="DK3" s="523"/>
      <c r="DL3" s="526"/>
      <c r="DM3" s="523"/>
      <c r="DN3" s="523"/>
      <c r="DO3" s="523"/>
      <c r="DP3" s="523"/>
      <c r="DQ3" s="526"/>
      <c r="DR3" s="523"/>
      <c r="DS3" s="523"/>
      <c r="DU3" s="523"/>
      <c r="DV3" s="526"/>
      <c r="DW3" s="523"/>
      <c r="DX3" s="523"/>
      <c r="DZ3" s="523"/>
      <c r="EA3" s="526"/>
      <c r="EB3" s="523"/>
      <c r="EC3" s="523"/>
      <c r="EF3" s="526"/>
      <c r="EG3" s="523"/>
      <c r="EK3" s="1928"/>
      <c r="EP3" s="1928"/>
      <c r="EU3" s="735"/>
      <c r="EZ3" s="735"/>
      <c r="FE3" s="735"/>
      <c r="FF3" s="735"/>
      <c r="FG3" s="616"/>
      <c r="FH3" s="1017"/>
      <c r="FI3" s="1017"/>
      <c r="FJ3" s="1017"/>
      <c r="FK3" s="1017"/>
      <c r="FL3" s="1792"/>
      <c r="FR3" s="563"/>
      <c r="FS3" s="563"/>
      <c r="FT3" s="563"/>
      <c r="FU3" s="563"/>
      <c r="FV3" s="563"/>
      <c r="FW3" s="563"/>
      <c r="FX3" s="563"/>
      <c r="FY3" s="563"/>
      <c r="FZ3" s="563"/>
      <c r="GA3" s="616"/>
      <c r="GB3"/>
      <c r="GC3"/>
      <c r="GD3"/>
      <c r="GE3"/>
      <c r="GF3"/>
      <c r="GG3"/>
      <c r="GH3" s="943"/>
      <c r="GI3" s="943"/>
      <c r="GJ3" s="943"/>
      <c r="GK3" s="943"/>
      <c r="GL3" s="943"/>
      <c r="GM3" s="943"/>
      <c r="GN3" s="943"/>
      <c r="GO3" s="943"/>
      <c r="GP3" s="943"/>
      <c r="GQ3" s="943"/>
      <c r="GR3" s="943"/>
      <c r="GS3" s="943"/>
      <c r="GT3" s="943"/>
      <c r="GU3" s="943"/>
      <c r="GV3" s="943"/>
      <c r="GW3" s="943"/>
      <c r="GX3" s="943"/>
      <c r="GY3" s="943"/>
      <c r="GZ3" s="943"/>
      <c r="HA3" s="943"/>
      <c r="HB3" s="943"/>
      <c r="HC3" s="943"/>
      <c r="HD3" s="943"/>
      <c r="HE3" s="943"/>
      <c r="HF3" s="943"/>
      <c r="HG3" s="943"/>
      <c r="HH3" s="943"/>
      <c r="HI3" s="943"/>
      <c r="HJ3" s="943"/>
      <c r="HK3" s="943"/>
      <c r="HL3" s="943"/>
      <c r="HM3" s="943"/>
      <c r="HN3" s="943"/>
      <c r="HO3" s="943"/>
      <c r="HP3" s="943"/>
      <c r="HQ3" s="943"/>
      <c r="HR3" s="943"/>
      <c r="HS3" s="943"/>
      <c r="HT3" s="943"/>
      <c r="HU3" s="943"/>
      <c r="HV3" s="943"/>
      <c r="HW3" s="943"/>
      <c r="HX3" s="943"/>
      <c r="HY3" s="943"/>
      <c r="HZ3" s="943"/>
      <c r="IA3" s="943"/>
      <c r="IB3" s="943"/>
      <c r="IC3" s="943"/>
      <c r="ID3" s="943"/>
      <c r="IE3" s="943"/>
      <c r="IF3" s="943"/>
      <c r="IG3" s="943"/>
      <c r="IH3" s="943"/>
      <c r="II3" s="943"/>
      <c r="IJ3" s="943"/>
      <c r="IK3" s="943"/>
      <c r="IL3" s="943"/>
      <c r="IM3" s="943"/>
      <c r="IN3" s="943"/>
      <c r="IO3" s="943"/>
      <c r="IP3" s="943"/>
      <c r="IQ3" s="943"/>
      <c r="IR3" s="943"/>
      <c r="IS3" s="943"/>
      <c r="IT3" s="943"/>
      <c r="IU3" s="943"/>
      <c r="IV3" s="943"/>
    </row>
    <row r="4" spans="1:256" s="529" customFormat="1" ht="12.75" x14ac:dyDescent="0.2">
      <c r="A4" s="528" t="s">
        <v>72</v>
      </c>
      <c r="E4" s="530"/>
      <c r="F4" s="531"/>
      <c r="J4" s="530"/>
      <c r="K4" s="531"/>
      <c r="O4" s="530"/>
      <c r="P4" s="531"/>
      <c r="T4" s="530"/>
      <c r="U4" s="531"/>
      <c r="Y4" s="530"/>
      <c r="Z4" s="531"/>
      <c r="AD4" s="530"/>
      <c r="AE4" s="531"/>
      <c r="AI4" s="530"/>
      <c r="AJ4" s="531"/>
      <c r="AN4" s="530"/>
      <c r="AO4" s="531"/>
      <c r="AS4" s="530"/>
      <c r="AT4" s="531"/>
      <c r="AX4" s="530"/>
      <c r="AY4" s="531"/>
      <c r="BC4" s="530"/>
      <c r="BD4" s="531"/>
      <c r="BH4" s="530"/>
      <c r="BI4" s="531"/>
      <c r="BM4" s="530"/>
      <c r="BN4" s="531"/>
      <c r="BR4" s="530"/>
      <c r="BS4" s="531"/>
      <c r="BW4" s="530"/>
      <c r="BX4" s="531"/>
      <c r="CB4" s="530"/>
      <c r="CC4" s="531"/>
      <c r="CG4" s="530"/>
      <c r="CH4" s="531"/>
      <c r="CL4" s="530"/>
      <c r="CM4" s="531"/>
      <c r="CQ4" s="530"/>
      <c r="CR4" s="531"/>
      <c r="CV4" s="530"/>
      <c r="CW4" s="531"/>
      <c r="DB4" s="531"/>
      <c r="DG4" s="531"/>
      <c r="DL4" s="531"/>
      <c r="DQ4" s="531"/>
      <c r="DV4" s="531"/>
      <c r="EA4" s="531"/>
      <c r="EF4" s="531"/>
      <c r="EH4" s="1925"/>
      <c r="EK4" s="1929"/>
      <c r="EM4" s="1925"/>
      <c r="EP4" s="1929"/>
      <c r="EU4" s="2077"/>
      <c r="EV4" s="2078"/>
      <c r="EW4" s="2078"/>
      <c r="EX4" s="2078"/>
      <c r="EY4" s="2078"/>
      <c r="EZ4" s="2077"/>
      <c r="FA4" s="2078"/>
      <c r="FB4" s="2078"/>
      <c r="FC4" s="2078"/>
      <c r="FD4" s="2078"/>
      <c r="FE4" s="2077"/>
      <c r="FF4" s="736"/>
      <c r="FG4" s="616"/>
      <c r="FH4" s="1017"/>
      <c r="FI4" s="1017"/>
      <c r="FJ4" s="1017"/>
      <c r="FK4" s="1017"/>
      <c r="FL4" s="1792"/>
      <c r="FR4" s="532"/>
      <c r="FS4" s="532"/>
      <c r="FT4" s="532"/>
      <c r="FU4" s="564"/>
      <c r="FV4" s="532"/>
      <c r="FW4" s="1642" t="s">
        <v>795</v>
      </c>
      <c r="FX4" s="564"/>
      <c r="FY4" s="532"/>
      <c r="FZ4" s="532"/>
      <c r="GA4" s="616"/>
      <c r="GB4"/>
      <c r="GC4"/>
      <c r="GD4"/>
      <c r="GE4"/>
      <c r="GF4"/>
      <c r="GG4"/>
      <c r="GH4" s="945"/>
      <c r="GI4" s="945"/>
      <c r="GJ4" s="945"/>
      <c r="GK4" s="945"/>
      <c r="GL4" s="945"/>
      <c r="GM4" s="945"/>
      <c r="GN4" s="945"/>
      <c r="GO4" s="945"/>
      <c r="GP4" s="945"/>
      <c r="GQ4" s="945"/>
      <c r="GR4" s="945"/>
      <c r="GS4" s="945"/>
      <c r="GT4" s="945"/>
      <c r="GU4" s="945"/>
      <c r="GV4" s="945"/>
      <c r="GW4" s="945"/>
      <c r="GX4" s="945"/>
      <c r="GY4" s="945"/>
      <c r="GZ4" s="945"/>
      <c r="HA4" s="945"/>
      <c r="HB4" s="945"/>
      <c r="HC4" s="945"/>
      <c r="HD4" s="945"/>
      <c r="HE4" s="945"/>
      <c r="HF4" s="945"/>
      <c r="HG4" s="945"/>
      <c r="HH4" s="945"/>
      <c r="HI4" s="945"/>
      <c r="HJ4" s="945"/>
      <c r="HK4" s="945"/>
      <c r="HL4" s="945"/>
      <c r="HM4" s="945"/>
      <c r="HN4" s="945"/>
      <c r="HO4" s="945"/>
      <c r="HP4" s="945"/>
      <c r="HQ4" s="945"/>
      <c r="HR4" s="945"/>
      <c r="HS4" s="945"/>
      <c r="HT4" s="945"/>
      <c r="HU4" s="945"/>
      <c r="HV4" s="945"/>
      <c r="HW4" s="945"/>
      <c r="HX4" s="945"/>
      <c r="HY4" s="945"/>
      <c r="HZ4" s="945"/>
      <c r="IA4" s="945"/>
      <c r="IB4" s="945"/>
      <c r="IC4" s="945"/>
      <c r="ID4" s="945"/>
      <c r="IE4" s="945"/>
      <c r="IF4" s="945"/>
      <c r="IG4" s="945"/>
      <c r="IH4" s="945"/>
      <c r="II4" s="945"/>
      <c r="IJ4" s="945"/>
      <c r="IK4" s="945"/>
      <c r="IL4" s="945"/>
      <c r="IM4" s="945"/>
      <c r="IN4" s="945"/>
      <c r="IO4" s="945"/>
      <c r="IP4" s="945"/>
      <c r="IQ4" s="945"/>
      <c r="IR4" s="945"/>
      <c r="IS4" s="945"/>
      <c r="IT4" s="945"/>
      <c r="IU4" s="945"/>
      <c r="IV4" s="945"/>
    </row>
    <row r="5" spans="1:256" s="256" customFormat="1" ht="12.75" x14ac:dyDescent="0.2">
      <c r="A5" s="1770" t="s">
        <v>395</v>
      </c>
      <c r="E5" s="257"/>
      <c r="F5" s="258"/>
      <c r="J5" s="257"/>
      <c r="K5" s="258"/>
      <c r="L5" s="256">
        <f>+L7+L8+L10+L11+L12</f>
        <v>399.3</v>
      </c>
      <c r="M5" s="256">
        <f t="shared" ref="M5:BX5" si="0">+M7+M8+M10+M11+M12</f>
        <v>420.1</v>
      </c>
      <c r="N5" s="256">
        <f t="shared" si="0"/>
        <v>425.3</v>
      </c>
      <c r="O5" s="257">
        <f t="shared" si="0"/>
        <v>415.09999999999997</v>
      </c>
      <c r="P5" s="258">
        <f t="shared" si="0"/>
        <v>1659.8</v>
      </c>
      <c r="Q5" s="256">
        <f t="shared" si="0"/>
        <v>425.70000000000005</v>
      </c>
      <c r="R5" s="256">
        <f t="shared" si="0"/>
        <v>438.70000000000005</v>
      </c>
      <c r="S5" s="256">
        <f t="shared" si="0"/>
        <v>438.2</v>
      </c>
      <c r="T5" s="257">
        <f t="shared" si="0"/>
        <v>443.1</v>
      </c>
      <c r="U5" s="258">
        <f t="shared" si="0"/>
        <v>1745.6999999999998</v>
      </c>
      <c r="V5" s="256">
        <f t="shared" si="0"/>
        <v>445.40000000000003</v>
      </c>
      <c r="W5" s="256">
        <f t="shared" si="0"/>
        <v>467.2</v>
      </c>
      <c r="X5" s="256">
        <f t="shared" si="0"/>
        <v>444.29999999999995</v>
      </c>
      <c r="Y5" s="257">
        <f t="shared" si="0"/>
        <v>467.50000000000006</v>
      </c>
      <c r="Z5" s="258">
        <f t="shared" si="0"/>
        <v>1824.3999999999999</v>
      </c>
      <c r="AA5" s="256">
        <f t="shared" si="0"/>
        <v>459.29999999999995</v>
      </c>
      <c r="AB5" s="256">
        <f t="shared" si="0"/>
        <v>488.8</v>
      </c>
      <c r="AC5" s="256">
        <f t="shared" si="0"/>
        <v>466.59999999999997</v>
      </c>
      <c r="AD5" s="257">
        <f t="shared" si="0"/>
        <v>491.20000000000005</v>
      </c>
      <c r="AE5" s="258">
        <f t="shared" si="0"/>
        <v>1905.9</v>
      </c>
      <c r="AF5" s="256">
        <f t="shared" si="0"/>
        <v>486.5</v>
      </c>
      <c r="AG5" s="256">
        <f t="shared" si="0"/>
        <v>491.9</v>
      </c>
      <c r="AH5" s="256">
        <f t="shared" si="0"/>
        <v>466.8</v>
      </c>
      <c r="AI5" s="257">
        <f t="shared" si="0"/>
        <v>473.99999999999994</v>
      </c>
      <c r="AJ5" s="258">
        <f t="shared" si="0"/>
        <v>1919.1999999999998</v>
      </c>
      <c r="AK5" s="256">
        <f t="shared" si="0"/>
        <v>466</v>
      </c>
      <c r="AL5" s="256">
        <f t="shared" si="0"/>
        <v>484.1</v>
      </c>
      <c r="AM5" s="256">
        <f t="shared" si="0"/>
        <v>478.6</v>
      </c>
      <c r="AN5" s="257">
        <f t="shared" si="0"/>
        <v>483.6</v>
      </c>
      <c r="AO5" s="258">
        <f t="shared" si="0"/>
        <v>1912.3000000000002</v>
      </c>
      <c r="AP5" s="256">
        <f t="shared" si="0"/>
        <v>485.59999999999997</v>
      </c>
      <c r="AQ5" s="256">
        <f t="shared" si="0"/>
        <v>501.40000000000003</v>
      </c>
      <c r="AR5" s="256">
        <f t="shared" si="0"/>
        <v>481.4</v>
      </c>
      <c r="AS5" s="257">
        <f t="shared" si="0"/>
        <v>494.20000000000005</v>
      </c>
      <c r="AT5" s="258">
        <f t="shared" si="0"/>
        <v>1962.6</v>
      </c>
      <c r="AU5" s="256">
        <f t="shared" si="0"/>
        <v>511.40000000000003</v>
      </c>
      <c r="AV5" s="256">
        <f t="shared" si="0"/>
        <v>529.1</v>
      </c>
      <c r="AW5" s="256">
        <f t="shared" si="0"/>
        <v>506.4</v>
      </c>
      <c r="AX5" s="257">
        <f t="shared" si="0"/>
        <v>513.19999999999993</v>
      </c>
      <c r="AY5" s="258">
        <f t="shared" si="0"/>
        <v>2060.1000000000004</v>
      </c>
      <c r="AZ5" s="256">
        <f t="shared" si="0"/>
        <v>512.1</v>
      </c>
      <c r="BA5" s="256">
        <f t="shared" si="0"/>
        <v>604.29999999999995</v>
      </c>
      <c r="BB5" s="256">
        <f t="shared" si="0"/>
        <v>710.90000000000009</v>
      </c>
      <c r="BC5" s="257">
        <f t="shared" si="0"/>
        <v>718.45999999999992</v>
      </c>
      <c r="BD5" s="258">
        <f t="shared" si="0"/>
        <v>2545.7599999999998</v>
      </c>
      <c r="BE5" s="256">
        <f t="shared" si="0"/>
        <v>747.5</v>
      </c>
      <c r="BF5" s="256">
        <f t="shared" si="0"/>
        <v>765.5</v>
      </c>
      <c r="BG5" s="256">
        <f t="shared" si="0"/>
        <v>717.10000000000014</v>
      </c>
      <c r="BH5" s="257">
        <f t="shared" si="0"/>
        <v>687.49999999999989</v>
      </c>
      <c r="BI5" s="258">
        <f t="shared" si="0"/>
        <v>2917.6</v>
      </c>
      <c r="BJ5" s="256">
        <f t="shared" si="0"/>
        <v>671.6</v>
      </c>
      <c r="BK5" s="256">
        <f t="shared" si="0"/>
        <v>712</v>
      </c>
      <c r="BL5" s="256">
        <f t="shared" si="0"/>
        <v>662.9</v>
      </c>
      <c r="BM5" s="257">
        <f t="shared" si="0"/>
        <v>669.6</v>
      </c>
      <c r="BN5" s="258">
        <f t="shared" si="0"/>
        <v>2716.1000000000004</v>
      </c>
      <c r="BO5" s="256">
        <f t="shared" si="0"/>
        <v>659.09999999999991</v>
      </c>
      <c r="BP5" s="256">
        <f t="shared" si="0"/>
        <v>723.40000000000009</v>
      </c>
      <c r="BQ5" s="256">
        <f t="shared" si="0"/>
        <v>698.09999999999991</v>
      </c>
      <c r="BR5" s="257">
        <f t="shared" si="0"/>
        <v>676.4</v>
      </c>
      <c r="BS5" s="258">
        <f t="shared" si="0"/>
        <v>2756.9999999999995</v>
      </c>
      <c r="BT5" s="256">
        <f t="shared" si="0"/>
        <v>674.6</v>
      </c>
      <c r="BU5" s="256">
        <f t="shared" si="0"/>
        <v>707.7</v>
      </c>
      <c r="BV5" s="256">
        <f t="shared" si="0"/>
        <v>687.9</v>
      </c>
      <c r="BW5" s="257">
        <f t="shared" si="0"/>
        <v>709.8</v>
      </c>
      <c r="BX5" s="258">
        <f t="shared" si="0"/>
        <v>2780</v>
      </c>
      <c r="BY5" s="256">
        <f t="shared" ref="BY5:EG5" si="1">+BY7+BY8+BY10+BY11+BY12</f>
        <v>702.6</v>
      </c>
      <c r="BZ5" s="256">
        <f t="shared" si="1"/>
        <v>740</v>
      </c>
      <c r="CA5" s="256">
        <f t="shared" si="1"/>
        <v>717.1</v>
      </c>
      <c r="CB5" s="257">
        <f t="shared" si="1"/>
        <v>722.2</v>
      </c>
      <c r="CC5" s="258">
        <f t="shared" si="1"/>
        <v>2881.8999999999996</v>
      </c>
      <c r="CD5" s="256">
        <f t="shared" si="1"/>
        <v>716</v>
      </c>
      <c r="CE5" s="256">
        <f t="shared" si="1"/>
        <v>746.6</v>
      </c>
      <c r="CF5" s="256">
        <f t="shared" si="1"/>
        <v>713.09999999999991</v>
      </c>
      <c r="CG5" s="257">
        <f t="shared" si="1"/>
        <v>720.5</v>
      </c>
      <c r="CH5" s="258">
        <f t="shared" si="1"/>
        <v>2896.2</v>
      </c>
      <c r="CI5" s="256">
        <f t="shared" si="1"/>
        <v>738.4</v>
      </c>
      <c r="CJ5" s="256">
        <f t="shared" si="1"/>
        <v>754.9</v>
      </c>
      <c r="CK5" s="256">
        <f t="shared" si="1"/>
        <v>713</v>
      </c>
      <c r="CL5" s="257">
        <f t="shared" si="1"/>
        <v>678.09999999999991</v>
      </c>
      <c r="CM5" s="258">
        <f t="shared" si="1"/>
        <v>2884.3999999999996</v>
      </c>
      <c r="CN5" s="256">
        <f t="shared" si="1"/>
        <v>679.8</v>
      </c>
      <c r="CO5" s="256">
        <f t="shared" si="1"/>
        <v>724.3</v>
      </c>
      <c r="CP5" s="256">
        <f t="shared" si="1"/>
        <v>691.7</v>
      </c>
      <c r="CQ5" s="257">
        <f t="shared" si="1"/>
        <v>677.1</v>
      </c>
      <c r="CR5" s="258">
        <f t="shared" si="1"/>
        <v>2772.9</v>
      </c>
      <c r="CS5" s="256">
        <f t="shared" si="1"/>
        <v>660.6</v>
      </c>
      <c r="CT5" s="256">
        <f t="shared" si="1"/>
        <v>689.59999999999991</v>
      </c>
      <c r="CU5" s="256">
        <f t="shared" si="1"/>
        <v>653.5</v>
      </c>
      <c r="CV5" s="257">
        <f t="shared" si="1"/>
        <v>551.09999999999991</v>
      </c>
      <c r="CW5" s="258">
        <f t="shared" si="1"/>
        <v>2554.7999999999997</v>
      </c>
      <c r="CX5" s="256">
        <f t="shared" si="1"/>
        <v>468</v>
      </c>
      <c r="CY5" s="256">
        <f t="shared" si="1"/>
        <v>467.59999999999997</v>
      </c>
      <c r="CZ5" s="256">
        <f t="shared" si="1"/>
        <v>530.79999999999995</v>
      </c>
      <c r="DA5" s="256">
        <f t="shared" si="1"/>
        <v>541.9</v>
      </c>
      <c r="DB5" s="258">
        <f t="shared" si="1"/>
        <v>2008.3000000000002</v>
      </c>
      <c r="DC5" s="256">
        <f t="shared" si="1"/>
        <v>542</v>
      </c>
      <c r="DD5" s="256">
        <f t="shared" si="1"/>
        <v>592.09999999999991</v>
      </c>
      <c r="DE5" s="256">
        <f t="shared" si="1"/>
        <v>587.69999999999993</v>
      </c>
      <c r="DF5" s="256">
        <f t="shared" si="1"/>
        <v>558.5</v>
      </c>
      <c r="DG5" s="258">
        <f t="shared" si="1"/>
        <v>2280.3000000000002</v>
      </c>
      <c r="DH5" s="256">
        <f t="shared" si="1"/>
        <v>558.19999999999993</v>
      </c>
      <c r="DI5" s="256">
        <f t="shared" si="1"/>
        <v>582.30000000000007</v>
      </c>
      <c r="DJ5" s="256">
        <f t="shared" si="1"/>
        <v>578.09999999999991</v>
      </c>
      <c r="DK5" s="256">
        <f t="shared" si="1"/>
        <v>566</v>
      </c>
      <c r="DL5" s="258">
        <f t="shared" si="1"/>
        <v>2284.6</v>
      </c>
      <c r="DM5" s="256">
        <f t="shared" si="1"/>
        <v>586.80000000000007</v>
      </c>
      <c r="DN5" s="256">
        <f t="shared" si="1"/>
        <v>604.1</v>
      </c>
      <c r="DO5" s="256">
        <f t="shared" si="1"/>
        <v>569.70000000000005</v>
      </c>
      <c r="DP5" s="256">
        <f t="shared" si="1"/>
        <v>574.20000000000005</v>
      </c>
      <c r="DQ5" s="258">
        <f t="shared" si="1"/>
        <v>2334.8000000000002</v>
      </c>
      <c r="DR5" s="256">
        <f t="shared" si="1"/>
        <v>584</v>
      </c>
      <c r="DS5" s="256">
        <f t="shared" si="1"/>
        <v>615.79999999999995</v>
      </c>
      <c r="DT5" s="259">
        <f t="shared" si="1"/>
        <v>604.29999999999995</v>
      </c>
      <c r="DU5" s="256">
        <f t="shared" si="1"/>
        <v>617.79999999999995</v>
      </c>
      <c r="DV5" s="258">
        <f t="shared" si="1"/>
        <v>2421.9</v>
      </c>
      <c r="DW5" s="256">
        <f t="shared" si="1"/>
        <v>577.79999999999995</v>
      </c>
      <c r="DX5" s="256">
        <f t="shared" si="1"/>
        <v>656.5</v>
      </c>
      <c r="DY5" s="259">
        <f t="shared" si="1"/>
        <v>664.19999999999993</v>
      </c>
      <c r="DZ5" s="256">
        <f t="shared" si="1"/>
        <v>646.79999999999995</v>
      </c>
      <c r="EA5" s="258">
        <f t="shared" si="1"/>
        <v>2545.3000000000002</v>
      </c>
      <c r="EB5" s="256">
        <f t="shared" si="1"/>
        <v>598</v>
      </c>
      <c r="EC5" s="256">
        <f t="shared" si="1"/>
        <v>661.5</v>
      </c>
      <c r="ED5" s="259">
        <f t="shared" si="1"/>
        <v>658</v>
      </c>
      <c r="EE5" s="256">
        <f t="shared" si="1"/>
        <v>620.69999999999993</v>
      </c>
      <c r="EF5" s="258">
        <f t="shared" si="1"/>
        <v>2538.2000000000003</v>
      </c>
      <c r="EG5" s="256">
        <f t="shared" si="1"/>
        <v>613.19999999999993</v>
      </c>
      <c r="EH5" s="256">
        <f t="shared" ref="EH5:EM5" si="2">+EH7+EH8+EH10+EH11+EH12</f>
        <v>638.70000000000005</v>
      </c>
      <c r="EI5" s="259">
        <f t="shared" si="2"/>
        <v>630.5</v>
      </c>
      <c r="EJ5" s="256">
        <f t="shared" si="2"/>
        <v>604.80000000000007</v>
      </c>
      <c r="EK5" s="258">
        <f t="shared" si="2"/>
        <v>2487.1999999999998</v>
      </c>
      <c r="EL5" s="256">
        <f t="shared" si="2"/>
        <v>617.6</v>
      </c>
      <c r="EM5" s="256">
        <f t="shared" si="2"/>
        <v>635.6</v>
      </c>
      <c r="EN5" s="259">
        <f t="shared" ref="EN5:EQ5" si="3">+EN7+EN8+EN10+EN11+EN12</f>
        <v>627.19999999999993</v>
      </c>
      <c r="EO5" s="256">
        <f t="shared" si="3"/>
        <v>611</v>
      </c>
      <c r="EP5" s="258">
        <f t="shared" si="3"/>
        <v>2491.4</v>
      </c>
      <c r="EQ5" s="256">
        <f t="shared" si="3"/>
        <v>606.1</v>
      </c>
      <c r="ER5" s="259">
        <f t="shared" ref="ER5" si="4">+ER7+ER8+ER10+ER11+ER12</f>
        <v>644.64099999999996</v>
      </c>
      <c r="ES5" s="259">
        <f t="shared" ref="ES5:ET5" si="5">+ES7+ES8+ES10+ES11+ES12</f>
        <v>638.1640000000001</v>
      </c>
      <c r="ET5" s="259">
        <f t="shared" si="5"/>
        <v>614.47749999999996</v>
      </c>
      <c r="EU5" s="1930">
        <f>+EU7+EU8+EU10+EU11+EU12</f>
        <v>2503.3824999999997</v>
      </c>
      <c r="EV5" s="256">
        <f t="shared" ref="EV5:FE5" si="6">+EV7+EV8+EV10+EV11+EV12</f>
        <v>0</v>
      </c>
      <c r="EW5" s="256">
        <f t="shared" si="6"/>
        <v>0</v>
      </c>
      <c r="EX5" s="256">
        <f t="shared" si="6"/>
        <v>0</v>
      </c>
      <c r="EY5" s="256">
        <f t="shared" si="6"/>
        <v>0</v>
      </c>
      <c r="EZ5" s="737">
        <f t="shared" si="6"/>
        <v>2517.4610624999996</v>
      </c>
      <c r="FA5" s="256">
        <f t="shared" si="6"/>
        <v>0</v>
      </c>
      <c r="FB5" s="256">
        <f t="shared" si="6"/>
        <v>0</v>
      </c>
      <c r="FC5" s="256">
        <f t="shared" si="6"/>
        <v>0</v>
      </c>
      <c r="FD5" s="256">
        <f t="shared" si="6"/>
        <v>0</v>
      </c>
      <c r="FE5" s="737">
        <f t="shared" si="6"/>
        <v>2548.0058958624995</v>
      </c>
      <c r="FF5" s="737"/>
      <c r="FG5" s="617"/>
      <c r="FH5" s="1017"/>
      <c r="FI5" s="1017"/>
      <c r="FJ5" s="1017"/>
      <c r="FK5" s="1017"/>
      <c r="FL5" s="1792"/>
      <c r="FM5" s="256">
        <f t="shared" ref="FM5:FM16" si="7">EQ5</f>
        <v>606.1</v>
      </c>
      <c r="FN5" s="256">
        <f t="shared" ref="FN5:FN16" si="8">EL5</f>
        <v>617.6</v>
      </c>
      <c r="FO5" s="259">
        <v>602.745</v>
      </c>
      <c r="FP5" s="16">
        <f>IFERROR(($FM5/FN5)-1,"")</f>
        <v>-1.8620466321243478E-2</v>
      </c>
      <c r="FQ5" s="16">
        <f>IFERROR(($FM5/FO5)-1,"")</f>
        <v>5.5662012957387041E-3</v>
      </c>
      <c r="FR5" s="564"/>
      <c r="FS5" s="564"/>
      <c r="FT5" s="564"/>
      <c r="FU5" s="564"/>
      <c r="FV5" s="532" t="s">
        <v>734</v>
      </c>
      <c r="FW5" s="1642" t="s">
        <v>93</v>
      </c>
      <c r="FX5" s="564"/>
      <c r="FY5" s="564"/>
      <c r="FZ5" s="564"/>
      <c r="GA5" s="617"/>
      <c r="GB5"/>
      <c r="GC5"/>
      <c r="GD5"/>
      <c r="GE5"/>
      <c r="GF5"/>
      <c r="GG5"/>
      <c r="GH5" s="944"/>
      <c r="GI5" s="944"/>
      <c r="GJ5" s="944"/>
      <c r="GK5" s="944"/>
      <c r="GL5" s="944"/>
      <c r="GM5" s="944"/>
      <c r="GN5" s="944"/>
      <c r="GO5" s="944"/>
      <c r="GP5" s="944"/>
      <c r="GQ5" s="944"/>
      <c r="GR5" s="944"/>
      <c r="GS5" s="944"/>
      <c r="GT5" s="944"/>
      <c r="GU5" s="944"/>
      <c r="GV5" s="944"/>
      <c r="GW5" s="944"/>
      <c r="GX5" s="944"/>
      <c r="GY5" s="944"/>
      <c r="GZ5" s="944"/>
      <c r="HA5" s="944"/>
      <c r="HB5" s="944"/>
      <c r="HC5" s="944"/>
      <c r="HD5" s="944"/>
      <c r="HE5" s="944"/>
      <c r="HF5" s="944"/>
      <c r="HG5" s="944"/>
      <c r="HH5" s="944"/>
      <c r="HI5" s="944"/>
      <c r="HJ5" s="944"/>
      <c r="HK5" s="944"/>
      <c r="HL5" s="944"/>
      <c r="HM5" s="944"/>
      <c r="HN5" s="944"/>
      <c r="HO5" s="944"/>
      <c r="HP5" s="944"/>
      <c r="HQ5" s="944"/>
      <c r="HR5" s="944"/>
      <c r="HS5" s="944"/>
      <c r="HT5" s="944"/>
      <c r="HU5" s="944"/>
      <c r="HV5" s="944"/>
      <c r="HW5" s="944"/>
      <c r="HX5" s="944"/>
      <c r="HY5" s="944"/>
      <c r="HZ5" s="944"/>
      <c r="IA5" s="944"/>
      <c r="IB5" s="944"/>
      <c r="IC5" s="944"/>
      <c r="ID5" s="944"/>
      <c r="IE5" s="944"/>
      <c r="IF5" s="944"/>
      <c r="IG5" s="944"/>
      <c r="IH5" s="944"/>
      <c r="II5" s="944"/>
      <c r="IJ5" s="944"/>
      <c r="IK5" s="944"/>
      <c r="IL5" s="944"/>
      <c r="IM5" s="944"/>
      <c r="IN5" s="944"/>
      <c r="IO5" s="944"/>
      <c r="IP5" s="944"/>
      <c r="IQ5" s="944"/>
      <c r="IR5" s="944"/>
      <c r="IS5" s="944"/>
      <c r="IT5" s="944"/>
      <c r="IU5" s="944"/>
      <c r="IV5" s="944"/>
    </row>
    <row r="6" spans="1:256" s="256" customFormat="1" ht="12.75" x14ac:dyDescent="0.2">
      <c r="A6" s="255" t="s">
        <v>75</v>
      </c>
      <c r="E6" s="257"/>
      <c r="F6" s="258"/>
      <c r="J6" s="257"/>
      <c r="K6" s="258"/>
      <c r="L6" s="256">
        <v>345.8</v>
      </c>
      <c r="M6" s="256">
        <v>318.8</v>
      </c>
      <c r="N6" s="256">
        <v>335.4</v>
      </c>
      <c r="O6" s="257">
        <v>319.89999999999998</v>
      </c>
      <c r="P6" s="258">
        <f>SUM(L6:O6)</f>
        <v>1319.9</v>
      </c>
      <c r="Q6" s="256">
        <v>321.10000000000002</v>
      </c>
      <c r="R6" s="256">
        <v>319.89999999999998</v>
      </c>
      <c r="S6" s="256">
        <v>323.89999999999998</v>
      </c>
      <c r="T6" s="257">
        <v>327</v>
      </c>
      <c r="U6" s="258">
        <f>SUM(Q6:T6)</f>
        <v>1291.9000000000001</v>
      </c>
      <c r="V6" s="256">
        <v>290.10000000000002</v>
      </c>
      <c r="W6" s="256">
        <v>313.10000000000002</v>
      </c>
      <c r="X6" s="256">
        <v>300.3</v>
      </c>
      <c r="Y6" s="257">
        <v>305.2</v>
      </c>
      <c r="Z6" s="258">
        <f>SUM(V6:Y6)</f>
        <v>1208.7</v>
      </c>
      <c r="AA6" s="256">
        <v>306</v>
      </c>
      <c r="AB6" s="256">
        <v>332.9</v>
      </c>
      <c r="AC6" s="256">
        <v>325</v>
      </c>
      <c r="AD6" s="257">
        <v>310.3</v>
      </c>
      <c r="AE6" s="258">
        <f>SUM(AA6:AD6)</f>
        <v>1274.2</v>
      </c>
      <c r="AF6" s="256">
        <v>318.39999999999998</v>
      </c>
      <c r="AG6" s="256">
        <v>313.60000000000002</v>
      </c>
      <c r="AH6" s="256">
        <v>319.89999999999998</v>
      </c>
      <c r="AI6" s="257">
        <v>314.89999999999998</v>
      </c>
      <c r="AJ6" s="258">
        <f>SUM(AF6:AI6)</f>
        <v>1266.8</v>
      </c>
      <c r="AK6" s="256">
        <v>319.60000000000002</v>
      </c>
      <c r="AL6" s="256">
        <v>334.5</v>
      </c>
      <c r="AM6" s="256">
        <v>333.4</v>
      </c>
      <c r="AN6" s="257">
        <v>322.10000000000002</v>
      </c>
      <c r="AO6" s="258">
        <f>SUM(AK6:AN6)</f>
        <v>1309.5999999999999</v>
      </c>
      <c r="AP6" s="256">
        <v>327.7</v>
      </c>
      <c r="AQ6" s="256">
        <v>327.39999999999998</v>
      </c>
      <c r="AR6" s="256">
        <v>332.3</v>
      </c>
      <c r="AS6" s="257">
        <v>337.1</v>
      </c>
      <c r="AT6" s="258">
        <f>SUM(AP6:AS6)</f>
        <v>1324.5</v>
      </c>
      <c r="AU6" s="256">
        <v>331.1</v>
      </c>
      <c r="AV6" s="256">
        <v>326.5</v>
      </c>
      <c r="AW6" s="256">
        <v>326.5</v>
      </c>
      <c r="AX6" s="257">
        <v>316.2</v>
      </c>
      <c r="AY6" s="258">
        <f>SUM(AU6:AX6)</f>
        <v>1300.3</v>
      </c>
      <c r="AZ6" s="256">
        <v>300.5</v>
      </c>
      <c r="BA6" s="256">
        <v>339.9</v>
      </c>
      <c r="BB6" s="256">
        <v>437.7</v>
      </c>
      <c r="BC6" s="257">
        <v>441.1</v>
      </c>
      <c r="BD6" s="258">
        <f>SUM(AZ6:BC6)</f>
        <v>1519.1999999999998</v>
      </c>
      <c r="BE6" s="256">
        <v>422</v>
      </c>
      <c r="BF6" s="256">
        <v>435.7</v>
      </c>
      <c r="BG6" s="256">
        <v>424.7</v>
      </c>
      <c r="BH6" s="257">
        <v>405</v>
      </c>
      <c r="BI6" s="258">
        <f>SUM(BE6:BH6)</f>
        <v>1687.4</v>
      </c>
      <c r="BJ6" s="256">
        <v>439.2</v>
      </c>
      <c r="BK6" s="256">
        <v>436.8</v>
      </c>
      <c r="BL6" s="256">
        <v>403.3</v>
      </c>
      <c r="BM6" s="257">
        <v>416.08800000000002</v>
      </c>
      <c r="BN6" s="258">
        <f>SUM(BJ6:BM6)</f>
        <v>1695.3879999999999</v>
      </c>
      <c r="BO6" s="256">
        <v>398.5</v>
      </c>
      <c r="BP6" s="256">
        <v>393.5</v>
      </c>
      <c r="BQ6" s="256">
        <v>412.4</v>
      </c>
      <c r="BR6" s="257">
        <v>405.2</v>
      </c>
      <c r="BS6" s="258">
        <f>SUM(BO6:BR6)</f>
        <v>1609.6000000000001</v>
      </c>
      <c r="BT6" s="256">
        <v>395.2</v>
      </c>
      <c r="BU6" s="256">
        <v>420.2</v>
      </c>
      <c r="BV6" s="256">
        <v>406.8</v>
      </c>
      <c r="BW6" s="257">
        <v>392.4</v>
      </c>
      <c r="BX6" s="258">
        <f>SUM(BT6:BW6)</f>
        <v>1614.6</v>
      </c>
      <c r="BY6" s="256">
        <v>406.3</v>
      </c>
      <c r="BZ6" s="256">
        <v>427.1</v>
      </c>
      <c r="CA6" s="256">
        <v>428.2</v>
      </c>
      <c r="CB6" s="257">
        <v>429.2</v>
      </c>
      <c r="CC6" s="258">
        <f>SUM(BY6:CB6)</f>
        <v>1690.8000000000002</v>
      </c>
      <c r="CD6" s="256">
        <v>420.6</v>
      </c>
      <c r="CE6" s="256">
        <v>439.3</v>
      </c>
      <c r="CF6" s="256">
        <v>451.8</v>
      </c>
      <c r="CG6" s="257">
        <v>423.7</v>
      </c>
      <c r="CH6" s="258">
        <f>SUM(CD6:CG6)</f>
        <v>1735.4</v>
      </c>
      <c r="CI6" s="256">
        <v>435.7</v>
      </c>
      <c r="CJ6" s="256">
        <v>448.6</v>
      </c>
      <c r="CK6" s="256">
        <v>436.7</v>
      </c>
      <c r="CL6" s="257">
        <v>439</v>
      </c>
      <c r="CM6" s="258">
        <f>SUM(CI6:CL6)</f>
        <v>1760</v>
      </c>
      <c r="CN6" s="256">
        <v>420.2</v>
      </c>
      <c r="CO6" s="256">
        <v>434.6</v>
      </c>
      <c r="CP6" s="256">
        <v>427.3</v>
      </c>
      <c r="CQ6" s="257">
        <v>417.3</v>
      </c>
      <c r="CR6" s="258">
        <f>SUM(CN6:CQ6)</f>
        <v>1699.3999999999999</v>
      </c>
      <c r="CS6" s="256">
        <v>427</v>
      </c>
      <c r="CT6" s="256">
        <v>448.3</v>
      </c>
      <c r="CU6" s="256">
        <v>450.9</v>
      </c>
      <c r="CV6" s="257">
        <v>439.5</v>
      </c>
      <c r="CW6" s="258">
        <f>SUM(CS6:CV6)</f>
        <v>1765.6999999999998</v>
      </c>
      <c r="CX6" s="256">
        <v>380.8</v>
      </c>
      <c r="CY6" s="256">
        <v>331.9</v>
      </c>
      <c r="CZ6" s="256">
        <v>351.3</v>
      </c>
      <c r="DA6" s="256">
        <v>354.5</v>
      </c>
      <c r="DB6" s="258">
        <f>SUM(CX6:DA6)</f>
        <v>1418.5</v>
      </c>
      <c r="DC6" s="256">
        <v>364.3</v>
      </c>
      <c r="DD6" s="256">
        <v>394.4</v>
      </c>
      <c r="DE6" s="256">
        <v>402.7</v>
      </c>
      <c r="DF6" s="256">
        <v>395.3</v>
      </c>
      <c r="DG6" s="258">
        <f>SUM(DC6:DF6)</f>
        <v>1556.7</v>
      </c>
      <c r="DH6" s="256">
        <v>406.1</v>
      </c>
      <c r="DI6" s="256">
        <v>402.6</v>
      </c>
      <c r="DJ6" s="256">
        <v>405.1</v>
      </c>
      <c r="DK6" s="256">
        <v>405.8</v>
      </c>
      <c r="DL6" s="258">
        <f>SUM(DH6:DK6)</f>
        <v>1619.6000000000001</v>
      </c>
      <c r="DM6" s="256">
        <v>359</v>
      </c>
      <c r="DN6" s="256">
        <v>354.8</v>
      </c>
      <c r="DO6" s="256">
        <v>348.2</v>
      </c>
      <c r="DP6" s="256">
        <v>352.1</v>
      </c>
      <c r="DQ6" s="258">
        <f>SUM(DM6:DP6)</f>
        <v>1414.1</v>
      </c>
      <c r="DR6" s="256">
        <v>343.2</v>
      </c>
      <c r="DS6" s="256">
        <v>341.4</v>
      </c>
      <c r="DT6" s="259">
        <v>339.9</v>
      </c>
      <c r="DU6" s="256">
        <v>322.2</v>
      </c>
      <c r="DV6" s="258">
        <f t="shared" ref="DV6:DV12" si="9">SUM(DR6:DU6)</f>
        <v>1346.7</v>
      </c>
      <c r="DW6" s="256">
        <v>299.7</v>
      </c>
      <c r="DX6" s="256">
        <v>350.5</v>
      </c>
      <c r="DY6" s="259">
        <v>332.1</v>
      </c>
      <c r="DZ6" s="256">
        <v>302.10000000000002</v>
      </c>
      <c r="EA6" s="258">
        <f t="shared" ref="EA6:EA12" si="10">SUM(DW6:DZ6)</f>
        <v>1284.4000000000001</v>
      </c>
      <c r="EB6" s="256">
        <v>277.39999999999998</v>
      </c>
      <c r="EC6" s="256">
        <v>275.7</v>
      </c>
      <c r="ED6" s="259">
        <v>278.8</v>
      </c>
      <c r="EE6" s="256">
        <v>247.8</v>
      </c>
      <c r="EF6" s="258">
        <f t="shared" ref="EF6:EF12" si="11">SUM(EB6:EE6)</f>
        <v>1079.6999999999998</v>
      </c>
      <c r="EG6" s="256">
        <v>214.8</v>
      </c>
      <c r="EH6" s="256">
        <v>210</v>
      </c>
      <c r="EI6" s="259">
        <v>238.2</v>
      </c>
      <c r="EJ6" s="256">
        <v>239.1</v>
      </c>
      <c r="EK6" s="258">
        <f t="shared" ref="EK6:EK12" si="12">SUM(EG6:EJ6)</f>
        <v>902.1</v>
      </c>
      <c r="EL6" s="256">
        <v>259.60000000000002</v>
      </c>
      <c r="EM6" s="256">
        <v>266.10000000000002</v>
      </c>
      <c r="EN6" s="259">
        <v>266.60000000000002</v>
      </c>
      <c r="EO6" s="256">
        <v>253.7</v>
      </c>
      <c r="EP6" s="258">
        <f t="shared" ref="EP6:EP12" si="13">SUM(EL6:EO6)</f>
        <v>1046</v>
      </c>
      <c r="EQ6" s="256">
        <v>249.1</v>
      </c>
      <c r="ER6" s="259">
        <f t="shared" ref="ER6:ER12" si="14">EM6*(1+ER19)</f>
        <v>252.79500000000002</v>
      </c>
      <c r="ES6" s="259">
        <f t="shared" ref="ES6:ET12" si="15">EN6*(1+ES19)</f>
        <v>245.27200000000002</v>
      </c>
      <c r="ET6" s="259">
        <f t="shared" si="15"/>
        <v>238.47799999999998</v>
      </c>
      <c r="EU6" s="2080">
        <f t="shared" ref="EU6:EU12" si="16">SUM(EQ6:ET6)</f>
        <v>985.64499999999998</v>
      </c>
      <c r="EV6" s="944"/>
      <c r="EW6" s="944"/>
      <c r="EX6" s="944"/>
      <c r="EY6" s="944"/>
      <c r="EZ6" s="2081">
        <f t="shared" ref="EZ6:EZ12" si="17">EU6*(1+EZ19)</f>
        <v>931.43452499999989</v>
      </c>
      <c r="FA6" s="944"/>
      <c r="FB6" s="944"/>
      <c r="FC6" s="944"/>
      <c r="FD6" s="944"/>
      <c r="FE6" s="2081">
        <f t="shared" ref="FE6:FE12" si="18">EZ6*(1+FE19)</f>
        <v>884.86279874999991</v>
      </c>
      <c r="FF6" s="737"/>
      <c r="FG6" s="617"/>
      <c r="FH6" s="2103">
        <f>+(FE6/EP6)^(0.333333333333333)-1</f>
        <v>-5.4238964574469306E-2</v>
      </c>
      <c r="FJ6" s="1017"/>
      <c r="FK6" s="1017"/>
      <c r="FL6" s="1792"/>
      <c r="FM6" s="256">
        <f t="shared" si="7"/>
        <v>249.1</v>
      </c>
      <c r="FN6" s="256">
        <f t="shared" si="8"/>
        <v>259.60000000000002</v>
      </c>
      <c r="FO6" s="259">
        <v>247.91800000000001</v>
      </c>
      <c r="FP6" s="16">
        <f t="shared" ref="FP6:FQ12" si="19">IFERROR(($FM6/FN6)-1,"")</f>
        <v>-4.0446841294298985E-2</v>
      </c>
      <c r="FQ6" s="16">
        <f t="shared" si="19"/>
        <v>4.7677054509958072E-3</v>
      </c>
      <c r="FR6" s="564"/>
      <c r="FS6" s="564"/>
      <c r="FT6" s="564"/>
      <c r="FU6" s="1428" t="s">
        <v>732</v>
      </c>
      <c r="FV6" s="1641">
        <v>7.0000000000000007E-2</v>
      </c>
      <c r="FW6" s="1923">
        <v>-0.74</v>
      </c>
      <c r="FX6" s="1641">
        <f>+FV6*FW6</f>
        <v>-5.1800000000000006E-2</v>
      </c>
      <c r="FY6" s="564"/>
      <c r="FZ6" s="564"/>
      <c r="GA6" s="617"/>
      <c r="GB6"/>
      <c r="GC6"/>
      <c r="GD6"/>
      <c r="GE6"/>
      <c r="GF6"/>
      <c r="GG6"/>
      <c r="GH6" s="944"/>
      <c r="GI6" s="944"/>
      <c r="GJ6" s="944"/>
      <c r="GK6" s="944"/>
      <c r="GL6" s="944"/>
      <c r="GM6" s="944"/>
      <c r="GN6" s="944"/>
      <c r="GO6" s="944"/>
      <c r="GP6" s="944"/>
      <c r="GQ6" s="944"/>
      <c r="GR6" s="944"/>
      <c r="GS6" s="944"/>
      <c r="GT6" s="944"/>
      <c r="GU6" s="944"/>
      <c r="GV6" s="944"/>
      <c r="GW6" s="944"/>
      <c r="GX6" s="944"/>
      <c r="GY6" s="944"/>
      <c r="GZ6" s="944"/>
      <c r="HA6" s="944"/>
      <c r="HB6" s="944"/>
      <c r="HC6" s="944"/>
      <c r="HD6" s="944"/>
      <c r="HE6" s="944"/>
      <c r="HF6" s="944"/>
      <c r="HG6" s="944"/>
      <c r="HH6" s="944"/>
      <c r="HI6" s="944"/>
      <c r="HJ6" s="944"/>
      <c r="HK6" s="944"/>
      <c r="HL6" s="944"/>
      <c r="HM6" s="944"/>
      <c r="HN6" s="944"/>
      <c r="HO6" s="944"/>
      <c r="HP6" s="944"/>
      <c r="HQ6" s="944"/>
      <c r="HR6" s="944"/>
      <c r="HS6" s="944"/>
      <c r="HT6" s="944"/>
      <c r="HU6" s="944"/>
      <c r="HV6" s="944"/>
      <c r="HW6" s="944"/>
      <c r="HX6" s="944"/>
      <c r="HY6" s="944"/>
      <c r="HZ6" s="944"/>
      <c r="IA6" s="944"/>
      <c r="IB6" s="944"/>
      <c r="IC6" s="944"/>
      <c r="ID6" s="944"/>
      <c r="IE6" s="944"/>
      <c r="IF6" s="944"/>
      <c r="IG6" s="944"/>
      <c r="IH6" s="944"/>
      <c r="II6" s="944"/>
      <c r="IJ6" s="944"/>
      <c r="IK6" s="944"/>
      <c r="IL6" s="944"/>
      <c r="IM6" s="944"/>
      <c r="IN6" s="944"/>
      <c r="IO6" s="944"/>
      <c r="IP6" s="944"/>
      <c r="IQ6" s="944"/>
      <c r="IR6" s="944"/>
      <c r="IS6" s="944"/>
      <c r="IT6" s="944"/>
      <c r="IU6" s="944"/>
      <c r="IV6" s="944"/>
    </row>
    <row r="7" spans="1:256" s="256" customFormat="1" ht="12.75" x14ac:dyDescent="0.2">
      <c r="A7" s="255" t="s">
        <v>73</v>
      </c>
      <c r="E7" s="257"/>
      <c r="F7" s="258"/>
      <c r="J7" s="257"/>
      <c r="K7" s="258"/>
      <c r="L7" s="256">
        <v>55.3</v>
      </c>
      <c r="M7" s="256">
        <v>72.099999999999994</v>
      </c>
      <c r="N7" s="256">
        <v>65.900000000000006</v>
      </c>
      <c r="O7" s="257">
        <v>68.7</v>
      </c>
      <c r="P7" s="258">
        <f t="shared" ref="P7:P12" si="20">L7+M7+N7+O7</f>
        <v>262</v>
      </c>
      <c r="Q7" s="256">
        <v>74.099999999999994</v>
      </c>
      <c r="R7" s="256">
        <v>83.3</v>
      </c>
      <c r="S7" s="256">
        <v>74.3</v>
      </c>
      <c r="T7" s="257">
        <v>82.2</v>
      </c>
      <c r="U7" s="258">
        <f t="shared" ref="U7:U12" si="21">Q7+R7+S7+T7</f>
        <v>313.89999999999998</v>
      </c>
      <c r="V7" s="256">
        <v>84.4</v>
      </c>
      <c r="W7" s="256">
        <v>93.2</v>
      </c>
      <c r="X7" s="256">
        <v>73.400000000000006</v>
      </c>
      <c r="Y7" s="257">
        <v>86.7</v>
      </c>
      <c r="Z7" s="258">
        <f t="shared" ref="Z7:Z12" si="22">V7+W7+X7+Y7</f>
        <v>337.70000000000005</v>
      </c>
      <c r="AA7" s="256">
        <v>80.400000000000006</v>
      </c>
      <c r="AB7" s="256">
        <v>81.8</v>
      </c>
      <c r="AC7" s="256">
        <v>70.2</v>
      </c>
      <c r="AD7" s="257">
        <v>84.8</v>
      </c>
      <c r="AE7" s="258">
        <f t="shared" ref="AE7:AE12" si="23">AA7+AB7+AC7+AD7</f>
        <v>317.2</v>
      </c>
      <c r="AF7" s="256">
        <v>86.7</v>
      </c>
      <c r="AG7" s="256">
        <v>87.7</v>
      </c>
      <c r="AH7" s="256">
        <v>70.900000000000006</v>
      </c>
      <c r="AI7" s="257">
        <v>83.1</v>
      </c>
      <c r="AJ7" s="258">
        <f t="shared" ref="AJ7:AJ12" si="24">AF7+AG7+AH7+AI7</f>
        <v>328.4</v>
      </c>
      <c r="AK7" s="256">
        <v>83.8</v>
      </c>
      <c r="AL7" s="256">
        <v>95.8</v>
      </c>
      <c r="AM7" s="256">
        <v>83.5</v>
      </c>
      <c r="AN7" s="257">
        <v>91.2</v>
      </c>
      <c r="AO7" s="258">
        <f t="shared" ref="AO7:AO12" si="25">AK7+AL7+AM7+AN7</f>
        <v>354.3</v>
      </c>
      <c r="AP7" s="256">
        <v>92.1</v>
      </c>
      <c r="AQ7" s="256">
        <v>97</v>
      </c>
      <c r="AR7" s="256">
        <v>81.400000000000006</v>
      </c>
      <c r="AS7" s="257">
        <v>90.3</v>
      </c>
      <c r="AT7" s="258">
        <f t="shared" ref="AT7:AT12" si="26">AP7+AQ7+AR7+AS7</f>
        <v>360.8</v>
      </c>
      <c r="AU7" s="256">
        <v>116.2</v>
      </c>
      <c r="AV7" s="256">
        <v>127.2</v>
      </c>
      <c r="AW7" s="256">
        <v>110.2</v>
      </c>
      <c r="AX7" s="257">
        <v>133.1</v>
      </c>
      <c r="AY7" s="258">
        <f t="shared" ref="AY7:AY12" si="27">AU7+AV7+AW7+AX7</f>
        <v>486.70000000000005</v>
      </c>
      <c r="AZ7" s="256">
        <v>135.5</v>
      </c>
      <c r="BA7" s="256">
        <v>156.19999999999999</v>
      </c>
      <c r="BB7" s="256">
        <v>154.69999999999999</v>
      </c>
      <c r="BC7" s="257">
        <v>164.96</v>
      </c>
      <c r="BD7" s="258">
        <f t="shared" ref="BD7:BD12" si="28">AZ7+BA7+BB7+BC7</f>
        <v>611.36</v>
      </c>
      <c r="BE7" s="256">
        <v>182.8</v>
      </c>
      <c r="BF7" s="256">
        <v>189.2</v>
      </c>
      <c r="BG7" s="256">
        <v>157.80000000000001</v>
      </c>
      <c r="BH7" s="257">
        <v>162.4</v>
      </c>
      <c r="BI7" s="258">
        <f t="shared" ref="BI7:BI12" si="29">BE7+BF7+BG7+BH7</f>
        <v>692.19999999999993</v>
      </c>
      <c r="BJ7" s="256">
        <v>152</v>
      </c>
      <c r="BK7" s="256">
        <v>172.7</v>
      </c>
      <c r="BL7" s="256">
        <v>137.19999999999999</v>
      </c>
      <c r="BM7" s="257">
        <v>159.9</v>
      </c>
      <c r="BN7" s="258">
        <f t="shared" ref="BN7:BN12" si="30">BJ7+BK7+BL7+BM7</f>
        <v>621.79999999999995</v>
      </c>
      <c r="BO7" s="256">
        <v>163.19999999999999</v>
      </c>
      <c r="BP7" s="256">
        <v>181.1</v>
      </c>
      <c r="BQ7" s="256">
        <v>154.80000000000001</v>
      </c>
      <c r="BR7" s="257">
        <v>163.4</v>
      </c>
      <c r="BS7" s="258">
        <f t="shared" ref="BS7:BS12" si="31">BO7+BP7+BQ7+BR7</f>
        <v>662.5</v>
      </c>
      <c r="BT7" s="256">
        <v>166.4</v>
      </c>
      <c r="BU7" s="256">
        <v>168.9</v>
      </c>
      <c r="BV7" s="256">
        <v>141.80000000000001</v>
      </c>
      <c r="BW7" s="257">
        <v>168</v>
      </c>
      <c r="BX7" s="258">
        <f t="shared" ref="BX7:BX12" si="32">BT7+BU7+BV7+BW7</f>
        <v>645.1</v>
      </c>
      <c r="BY7" s="256">
        <v>166.9</v>
      </c>
      <c r="BZ7" s="256">
        <v>170.2</v>
      </c>
      <c r="CA7" s="256">
        <v>139.4</v>
      </c>
      <c r="CB7" s="257">
        <v>158.1</v>
      </c>
      <c r="CC7" s="258">
        <f t="shared" ref="CC7:CC12" si="33">BY7+BZ7+CA7+CB7</f>
        <v>634.6</v>
      </c>
      <c r="CD7" s="256">
        <v>159.19999999999999</v>
      </c>
      <c r="CE7" s="256">
        <v>164</v>
      </c>
      <c r="CF7" s="256">
        <v>139.1</v>
      </c>
      <c r="CG7" s="257">
        <v>153.6</v>
      </c>
      <c r="CH7" s="258">
        <f t="shared" ref="CH7:CH12" si="34">CD7+CE7+CF7+CG7</f>
        <v>615.9</v>
      </c>
      <c r="CI7" s="256">
        <v>154.19999999999999</v>
      </c>
      <c r="CJ7" s="256">
        <v>159.80000000000001</v>
      </c>
      <c r="CK7" s="256">
        <v>119.3</v>
      </c>
      <c r="CL7" s="257">
        <v>128.6</v>
      </c>
      <c r="CM7" s="258">
        <f t="shared" ref="CM7:CM12" si="35">CI7+CJ7+CK7+CL7</f>
        <v>561.9</v>
      </c>
      <c r="CN7" s="256">
        <v>132.5</v>
      </c>
      <c r="CO7" s="256">
        <v>146.9</v>
      </c>
      <c r="CP7" s="256">
        <v>123.5</v>
      </c>
      <c r="CQ7" s="257">
        <v>130.1</v>
      </c>
      <c r="CR7" s="258">
        <f t="shared" ref="CR7:CR12" si="36">CN7+CO7+CP7+CQ7</f>
        <v>533</v>
      </c>
      <c r="CS7" s="256">
        <v>119.6</v>
      </c>
      <c r="CT7" s="256">
        <v>116.3</v>
      </c>
      <c r="CU7" s="256">
        <v>86.7</v>
      </c>
      <c r="CV7" s="257">
        <v>89.6</v>
      </c>
      <c r="CW7" s="258">
        <f t="shared" ref="CW7:CW12" si="37">CS7+CT7+CU7+CV7</f>
        <v>412.19999999999993</v>
      </c>
      <c r="CX7" s="256">
        <v>61.8</v>
      </c>
      <c r="CY7" s="256">
        <v>60.9</v>
      </c>
      <c r="CZ7" s="256">
        <v>74.599999999999994</v>
      </c>
      <c r="DA7" s="256">
        <v>92.1</v>
      </c>
      <c r="DB7" s="258">
        <f t="shared" ref="DB7:DB12" si="38">CX7+CY7+CZ7+DA7</f>
        <v>289.39999999999998</v>
      </c>
      <c r="DC7" s="256">
        <v>70.400000000000006</v>
      </c>
      <c r="DD7" s="256">
        <v>72.5</v>
      </c>
      <c r="DE7" s="256">
        <v>74</v>
      </c>
      <c r="DF7" s="256">
        <v>73.5</v>
      </c>
      <c r="DG7" s="258">
        <f>SUM(DC7:DF7)</f>
        <v>290.39999999999998</v>
      </c>
      <c r="DH7" s="256">
        <v>78.599999999999994</v>
      </c>
      <c r="DI7" s="256">
        <v>84.6</v>
      </c>
      <c r="DJ7" s="256">
        <v>80.2</v>
      </c>
      <c r="DK7" s="256">
        <v>88.8</v>
      </c>
      <c r="DL7" s="258">
        <f>SUM(DH7:DK7)</f>
        <v>332.2</v>
      </c>
      <c r="DM7" s="256">
        <v>96.3</v>
      </c>
      <c r="DN7" s="256">
        <v>98.4</v>
      </c>
      <c r="DO7" s="256">
        <v>85.8</v>
      </c>
      <c r="DP7" s="256">
        <v>94.1</v>
      </c>
      <c r="DQ7" s="258">
        <f>SUM(DM7:DP7)</f>
        <v>374.6</v>
      </c>
      <c r="DR7" s="256">
        <v>98.7</v>
      </c>
      <c r="DS7" s="256">
        <v>106.4</v>
      </c>
      <c r="DT7" s="259">
        <v>93.3</v>
      </c>
      <c r="DU7" s="256">
        <v>103.7</v>
      </c>
      <c r="DV7" s="258">
        <f t="shared" si="9"/>
        <v>402.1</v>
      </c>
      <c r="DW7" s="256">
        <v>92.3</v>
      </c>
      <c r="DX7" s="256">
        <v>109.5</v>
      </c>
      <c r="DY7" s="259">
        <v>104.6</v>
      </c>
      <c r="DZ7" s="256">
        <v>103.7</v>
      </c>
      <c r="EA7" s="258">
        <f t="shared" si="10"/>
        <v>410.09999999999997</v>
      </c>
      <c r="EB7" s="256">
        <v>95.7</v>
      </c>
      <c r="EC7" s="256">
        <v>111.2</v>
      </c>
      <c r="ED7" s="259">
        <v>109.7</v>
      </c>
      <c r="EE7" s="256">
        <v>112.7</v>
      </c>
      <c r="EF7" s="258">
        <f t="shared" si="11"/>
        <v>429.3</v>
      </c>
      <c r="EG7" s="256">
        <v>113.3</v>
      </c>
      <c r="EH7" s="256">
        <v>112.7</v>
      </c>
      <c r="EI7" s="259">
        <v>106.8</v>
      </c>
      <c r="EJ7" s="256">
        <v>107.7</v>
      </c>
      <c r="EK7" s="258">
        <f t="shared" si="12"/>
        <v>440.5</v>
      </c>
      <c r="EL7" s="256">
        <v>110.5</v>
      </c>
      <c r="EM7" s="256">
        <v>111.4</v>
      </c>
      <c r="EN7" s="259">
        <v>96.6</v>
      </c>
      <c r="EO7" s="256">
        <v>104.6</v>
      </c>
      <c r="EP7" s="258">
        <f t="shared" si="13"/>
        <v>423.1</v>
      </c>
      <c r="EQ7" s="256">
        <v>102.8</v>
      </c>
      <c r="ER7" s="259">
        <f t="shared" si="14"/>
        <v>105.83</v>
      </c>
      <c r="ES7" s="259">
        <f t="shared" si="15"/>
        <v>94.667999999999992</v>
      </c>
      <c r="ET7" s="259">
        <f t="shared" si="15"/>
        <v>102.508</v>
      </c>
      <c r="EU7" s="2080">
        <f t="shared" si="16"/>
        <v>405.80599999999998</v>
      </c>
      <c r="EV7" s="944"/>
      <c r="EW7" s="944"/>
      <c r="EX7" s="944"/>
      <c r="EY7" s="944"/>
      <c r="EZ7" s="2081">
        <f t="shared" si="17"/>
        <v>393.63181999999995</v>
      </c>
      <c r="FA7" s="944"/>
      <c r="FB7" s="944"/>
      <c r="FC7" s="944"/>
      <c r="FD7" s="944"/>
      <c r="FE7" s="2081">
        <f t="shared" si="18"/>
        <v>397.56813819999996</v>
      </c>
      <c r="FF7" s="737"/>
      <c r="FG7" s="618"/>
      <c r="FH7" s="2037"/>
      <c r="FI7" s="2038"/>
      <c r="FJ7" s="1017"/>
      <c r="FK7" s="1017"/>
      <c r="FL7" s="1792"/>
      <c r="FM7" s="256">
        <f t="shared" si="7"/>
        <v>102.8</v>
      </c>
      <c r="FN7" s="256">
        <f t="shared" si="8"/>
        <v>110.5</v>
      </c>
      <c r="FO7" s="259">
        <v>102.76499999999999</v>
      </c>
      <c r="FP7" s="16">
        <f t="shared" si="19"/>
        <v>-6.9683257918552011E-2</v>
      </c>
      <c r="FQ7" s="16">
        <f t="shared" si="19"/>
        <v>3.4058288327742936E-4</v>
      </c>
      <c r="FR7" s="564"/>
      <c r="FS7" s="564"/>
      <c r="FT7" s="564"/>
      <c r="FU7" s="1640" t="s">
        <v>733</v>
      </c>
      <c r="FV7" s="1641">
        <v>0.6</v>
      </c>
      <c r="FW7" s="1923">
        <v>7.0000000000000007E-2</v>
      </c>
      <c r="FX7" s="1641">
        <f>+FV7*FW7</f>
        <v>4.2000000000000003E-2</v>
      </c>
      <c r="FY7" s="564"/>
      <c r="FZ7" s="564"/>
      <c r="GA7" s="618"/>
      <c r="GB7"/>
      <c r="GC7"/>
      <c r="GD7"/>
      <c r="GE7"/>
      <c r="GF7"/>
      <c r="GG7"/>
      <c r="GH7" s="944"/>
      <c r="GI7" s="944"/>
      <c r="GJ7" s="944"/>
      <c r="GK7" s="944"/>
      <c r="GL7" s="944"/>
      <c r="GM7" s="944"/>
      <c r="GN7" s="944"/>
      <c r="GO7" s="944"/>
      <c r="GP7" s="944"/>
      <c r="GQ7" s="944"/>
      <c r="GR7" s="944"/>
      <c r="GS7" s="944"/>
      <c r="GT7" s="944"/>
      <c r="GU7" s="944"/>
      <c r="GV7" s="944"/>
      <c r="GW7" s="944"/>
      <c r="GX7" s="944"/>
      <c r="GY7" s="944"/>
      <c r="GZ7" s="944"/>
      <c r="HA7" s="944"/>
      <c r="HB7" s="944"/>
      <c r="HC7" s="944"/>
      <c r="HD7" s="944"/>
      <c r="HE7" s="944"/>
      <c r="HF7" s="944"/>
      <c r="HG7" s="944"/>
      <c r="HH7" s="944"/>
      <c r="HI7" s="944"/>
      <c r="HJ7" s="944"/>
      <c r="HK7" s="944"/>
      <c r="HL7" s="944"/>
      <c r="HM7" s="944"/>
      <c r="HN7" s="944"/>
      <c r="HO7" s="944"/>
      <c r="HP7" s="944"/>
      <c r="HQ7" s="944"/>
      <c r="HR7" s="944"/>
      <c r="HS7" s="944"/>
      <c r="HT7" s="944"/>
      <c r="HU7" s="944"/>
      <c r="HV7" s="944"/>
      <c r="HW7" s="944"/>
      <c r="HX7" s="944"/>
      <c r="HY7" s="944"/>
      <c r="HZ7" s="944"/>
      <c r="IA7" s="944"/>
      <c r="IB7" s="944"/>
      <c r="IC7" s="944"/>
      <c r="ID7" s="944"/>
      <c r="IE7" s="944"/>
      <c r="IF7" s="944"/>
      <c r="IG7" s="944"/>
      <c r="IH7" s="944"/>
      <c r="II7" s="944"/>
      <c r="IJ7" s="944"/>
      <c r="IK7" s="944"/>
      <c r="IL7" s="944"/>
      <c r="IM7" s="944"/>
      <c r="IN7" s="944"/>
      <c r="IO7" s="944"/>
      <c r="IP7" s="944"/>
      <c r="IQ7" s="944"/>
      <c r="IR7" s="944"/>
      <c r="IS7" s="944"/>
      <c r="IT7" s="944"/>
      <c r="IU7" s="944"/>
      <c r="IV7" s="944"/>
    </row>
    <row r="8" spans="1:256" s="256" customFormat="1" ht="12.75" x14ac:dyDescent="0.2">
      <c r="A8" s="255" t="s">
        <v>95</v>
      </c>
      <c r="E8" s="257"/>
      <c r="F8" s="258"/>
      <c r="J8" s="257"/>
      <c r="K8" s="258"/>
      <c r="L8" s="256">
        <v>83.8</v>
      </c>
      <c r="M8" s="256">
        <v>82.4</v>
      </c>
      <c r="N8" s="256">
        <v>88.1</v>
      </c>
      <c r="O8" s="257">
        <v>81.2</v>
      </c>
      <c r="P8" s="258">
        <f t="shared" si="20"/>
        <v>335.5</v>
      </c>
      <c r="Q8" s="256">
        <v>81.099999999999994</v>
      </c>
      <c r="R8" s="256">
        <v>78</v>
      </c>
      <c r="S8" s="256">
        <v>83.2</v>
      </c>
      <c r="T8" s="257">
        <v>90.7</v>
      </c>
      <c r="U8" s="258">
        <f t="shared" si="21"/>
        <v>333</v>
      </c>
      <c r="V8" s="256">
        <v>85</v>
      </c>
      <c r="W8" s="256">
        <v>85.9</v>
      </c>
      <c r="X8" s="256">
        <v>82.8</v>
      </c>
      <c r="Y8" s="257">
        <v>92.6</v>
      </c>
      <c r="Z8" s="258">
        <f t="shared" si="22"/>
        <v>346.29999999999995</v>
      </c>
      <c r="AA8" s="256">
        <v>91.5</v>
      </c>
      <c r="AB8" s="256">
        <v>94.2</v>
      </c>
      <c r="AC8" s="256">
        <v>92</v>
      </c>
      <c r="AD8" s="257">
        <v>104.8</v>
      </c>
      <c r="AE8" s="258">
        <f t="shared" si="23"/>
        <v>382.5</v>
      </c>
      <c r="AF8" s="256">
        <v>98.5</v>
      </c>
      <c r="AG8" s="256">
        <v>96.6</v>
      </c>
      <c r="AH8" s="256">
        <v>96.9</v>
      </c>
      <c r="AI8" s="257">
        <v>99.1</v>
      </c>
      <c r="AJ8" s="258">
        <f t="shared" si="24"/>
        <v>391.1</v>
      </c>
      <c r="AK8" s="256">
        <v>93.1</v>
      </c>
      <c r="AL8" s="256">
        <v>90.8</v>
      </c>
      <c r="AM8" s="256">
        <v>91.6</v>
      </c>
      <c r="AN8" s="257">
        <v>100.8</v>
      </c>
      <c r="AO8" s="258">
        <f t="shared" si="25"/>
        <v>376.3</v>
      </c>
      <c r="AP8" s="256">
        <v>91</v>
      </c>
      <c r="AQ8" s="256">
        <v>89.4</v>
      </c>
      <c r="AR8" s="256">
        <v>86.9</v>
      </c>
      <c r="AS8" s="257">
        <v>99</v>
      </c>
      <c r="AT8" s="258">
        <f t="shared" si="26"/>
        <v>366.3</v>
      </c>
      <c r="AU8" s="256">
        <v>113.2</v>
      </c>
      <c r="AV8" s="256">
        <v>107.6</v>
      </c>
      <c r="AW8" s="256">
        <v>105.8</v>
      </c>
      <c r="AX8" s="257">
        <v>114</v>
      </c>
      <c r="AY8" s="258">
        <f t="shared" si="27"/>
        <v>440.6</v>
      </c>
      <c r="AZ8" s="256">
        <v>105.5</v>
      </c>
      <c r="BA8" s="256">
        <v>117.2</v>
      </c>
      <c r="BB8" s="256">
        <v>131.5</v>
      </c>
      <c r="BC8" s="257">
        <v>134.6</v>
      </c>
      <c r="BD8" s="258">
        <f t="shared" si="28"/>
        <v>488.79999999999995</v>
      </c>
      <c r="BE8" s="256">
        <v>134.1</v>
      </c>
      <c r="BF8" s="256">
        <v>128.5</v>
      </c>
      <c r="BG8" s="256">
        <v>129.19999999999999</v>
      </c>
      <c r="BH8" s="257">
        <v>133.5</v>
      </c>
      <c r="BI8" s="258">
        <f t="shared" si="29"/>
        <v>525.29999999999995</v>
      </c>
      <c r="BJ8" s="256">
        <v>130.30000000000001</v>
      </c>
      <c r="BK8" s="256">
        <v>125.8</v>
      </c>
      <c r="BL8" s="256">
        <v>120.4</v>
      </c>
      <c r="BM8" s="257">
        <v>132.69999999999999</v>
      </c>
      <c r="BN8" s="258">
        <f t="shared" si="30"/>
        <v>509.2</v>
      </c>
      <c r="BO8" s="256">
        <v>125.3</v>
      </c>
      <c r="BP8" s="256">
        <v>127.2</v>
      </c>
      <c r="BQ8" s="256">
        <v>127.6</v>
      </c>
      <c r="BR8" s="257">
        <v>135.1</v>
      </c>
      <c r="BS8" s="258">
        <f t="shared" si="31"/>
        <v>515.20000000000005</v>
      </c>
      <c r="BT8" s="256">
        <v>134.6</v>
      </c>
      <c r="BU8" s="256">
        <v>136.9</v>
      </c>
      <c r="BV8" s="256">
        <v>137.69999999999999</v>
      </c>
      <c r="BW8" s="257">
        <v>146.6</v>
      </c>
      <c r="BX8" s="258">
        <f t="shared" si="32"/>
        <v>555.79999999999995</v>
      </c>
      <c r="BY8" s="256">
        <v>138.80000000000001</v>
      </c>
      <c r="BZ8" s="256">
        <v>137.69999999999999</v>
      </c>
      <c r="CA8" s="256">
        <v>139.69999999999999</v>
      </c>
      <c r="CB8" s="257">
        <v>143.6</v>
      </c>
      <c r="CC8" s="258">
        <f t="shared" si="33"/>
        <v>559.79999999999995</v>
      </c>
      <c r="CD8" s="256">
        <v>143.6</v>
      </c>
      <c r="CE8" s="256">
        <v>144.30000000000001</v>
      </c>
      <c r="CF8" s="256">
        <v>138.30000000000001</v>
      </c>
      <c r="CG8" s="257">
        <v>145.6</v>
      </c>
      <c r="CH8" s="258">
        <f t="shared" si="34"/>
        <v>571.79999999999995</v>
      </c>
      <c r="CI8" s="256">
        <v>149.9</v>
      </c>
      <c r="CJ8" s="256">
        <v>146.1</v>
      </c>
      <c r="CK8" s="256">
        <v>147.9</v>
      </c>
      <c r="CL8" s="257">
        <v>150.19999999999999</v>
      </c>
      <c r="CM8" s="258">
        <f t="shared" si="35"/>
        <v>594.09999999999991</v>
      </c>
      <c r="CN8" s="256">
        <v>146.69999999999999</v>
      </c>
      <c r="CO8" s="256">
        <v>148.9</v>
      </c>
      <c r="CP8" s="256">
        <v>151.4</v>
      </c>
      <c r="CQ8" s="257">
        <v>154.5</v>
      </c>
      <c r="CR8" s="258">
        <f t="shared" si="36"/>
        <v>601.5</v>
      </c>
      <c r="CS8" s="256">
        <v>152.1</v>
      </c>
      <c r="CT8" s="256">
        <v>156.6</v>
      </c>
      <c r="CU8" s="256">
        <v>158.6</v>
      </c>
      <c r="CV8" s="257">
        <v>145.1</v>
      </c>
      <c r="CW8" s="258">
        <f t="shared" si="37"/>
        <v>612.4</v>
      </c>
      <c r="CX8" s="256">
        <v>130.4</v>
      </c>
      <c r="CY8" s="256">
        <v>135</v>
      </c>
      <c r="CZ8" s="256">
        <v>141.6</v>
      </c>
      <c r="DA8" s="256">
        <v>156.30000000000001</v>
      </c>
      <c r="DB8" s="258">
        <f t="shared" si="38"/>
        <v>563.29999999999995</v>
      </c>
      <c r="DC8" s="256">
        <v>158.30000000000001</v>
      </c>
      <c r="DD8" s="256">
        <v>152.9</v>
      </c>
      <c r="DE8" s="256">
        <v>154.5</v>
      </c>
      <c r="DF8" s="256">
        <v>162</v>
      </c>
      <c r="DG8" s="258">
        <f>DC8+DD8+DE8+DF8</f>
        <v>627.70000000000005</v>
      </c>
      <c r="DH8" s="256">
        <v>155.6</v>
      </c>
      <c r="DI8" s="256">
        <v>150.1</v>
      </c>
      <c r="DJ8" s="256">
        <v>143.19999999999999</v>
      </c>
      <c r="DK8" s="256">
        <v>150.5</v>
      </c>
      <c r="DL8" s="258">
        <f>DH8+DI8+DJ8+DK8</f>
        <v>599.4</v>
      </c>
      <c r="DM8" s="256">
        <v>152.30000000000001</v>
      </c>
      <c r="DN8" s="256">
        <v>150.1</v>
      </c>
      <c r="DO8" s="256">
        <v>142.6</v>
      </c>
      <c r="DP8" s="256">
        <v>150.9</v>
      </c>
      <c r="DQ8" s="258">
        <f>DM8+DN8+DO8+DP8</f>
        <v>595.9</v>
      </c>
      <c r="DR8" s="256">
        <v>147.9</v>
      </c>
      <c r="DS8" s="256">
        <v>147.9</v>
      </c>
      <c r="DT8" s="259">
        <v>138</v>
      </c>
      <c r="DU8" s="256">
        <v>160.5</v>
      </c>
      <c r="DV8" s="258">
        <f t="shared" si="9"/>
        <v>594.29999999999995</v>
      </c>
      <c r="DW8" s="256">
        <v>147.1</v>
      </c>
      <c r="DX8" s="256">
        <v>155.6</v>
      </c>
      <c r="DY8" s="259">
        <v>146.1</v>
      </c>
      <c r="DZ8" s="256">
        <v>155</v>
      </c>
      <c r="EA8" s="258">
        <f t="shared" si="10"/>
        <v>603.79999999999995</v>
      </c>
      <c r="EB8" s="256">
        <v>150</v>
      </c>
      <c r="EC8" s="256">
        <v>153.69999999999999</v>
      </c>
      <c r="ED8" s="259">
        <v>152.9</v>
      </c>
      <c r="EE8" s="256">
        <v>152.4</v>
      </c>
      <c r="EF8" s="258">
        <f t="shared" si="11"/>
        <v>609</v>
      </c>
      <c r="EG8" s="256">
        <v>151.4</v>
      </c>
      <c r="EH8" s="256">
        <v>148</v>
      </c>
      <c r="EI8" s="259">
        <v>147.6</v>
      </c>
      <c r="EJ8" s="256">
        <v>154.19999999999999</v>
      </c>
      <c r="EK8" s="258">
        <f t="shared" si="12"/>
        <v>601.20000000000005</v>
      </c>
      <c r="EL8" s="256">
        <v>149.5</v>
      </c>
      <c r="EM8" s="256">
        <v>145.69999999999999</v>
      </c>
      <c r="EN8" s="259">
        <v>147.80000000000001</v>
      </c>
      <c r="EO8" s="256">
        <v>146</v>
      </c>
      <c r="EP8" s="258">
        <f t="shared" si="13"/>
        <v>589</v>
      </c>
      <c r="EQ8" s="256">
        <v>148.30000000000001</v>
      </c>
      <c r="ER8" s="259">
        <f t="shared" si="14"/>
        <v>142.78599999999997</v>
      </c>
      <c r="ES8" s="259">
        <f t="shared" si="15"/>
        <v>146.322</v>
      </c>
      <c r="ET8" s="259">
        <f t="shared" si="15"/>
        <v>150.38</v>
      </c>
      <c r="EU8" s="1930">
        <f t="shared" si="16"/>
        <v>587.78800000000001</v>
      </c>
      <c r="EZ8" s="737">
        <f t="shared" si="17"/>
        <v>596.6048199999999</v>
      </c>
      <c r="FE8" s="737">
        <f t="shared" si="18"/>
        <v>605.5538922999998</v>
      </c>
      <c r="FF8" s="738"/>
      <c r="FG8" s="618"/>
      <c r="FH8" s="2037"/>
      <c r="FI8" s="1157"/>
      <c r="FJ8" s="1018"/>
      <c r="FK8" s="1018"/>
      <c r="FL8" s="1793"/>
      <c r="FM8" s="256">
        <f t="shared" si="7"/>
        <v>148.30000000000001</v>
      </c>
      <c r="FN8" s="256">
        <f t="shared" si="8"/>
        <v>149.5</v>
      </c>
      <c r="FO8" s="259">
        <v>139.035</v>
      </c>
      <c r="FP8" s="16">
        <f t="shared" si="19"/>
        <v>-8.0267558528427374E-3</v>
      </c>
      <c r="FQ8" s="16">
        <f t="shared" si="19"/>
        <v>6.6637896932427276E-2</v>
      </c>
      <c r="FR8" s="565"/>
      <c r="FS8" s="565"/>
      <c r="FT8" s="565"/>
      <c r="FU8" s="1640" t="s">
        <v>794</v>
      </c>
      <c r="FV8" s="1641">
        <v>0.33</v>
      </c>
      <c r="FW8" s="1923">
        <v>5.0000000000000001E-3</v>
      </c>
      <c r="FX8" s="1641">
        <f>+FV8*FW8</f>
        <v>1.6500000000000002E-3</v>
      </c>
      <c r="FY8" s="565"/>
      <c r="FZ8" s="565"/>
      <c r="GA8" s="618"/>
      <c r="GB8"/>
      <c r="GC8"/>
      <c r="GD8"/>
      <c r="GE8"/>
      <c r="GF8"/>
      <c r="GG8"/>
      <c r="GH8" s="944"/>
      <c r="GI8" s="944"/>
      <c r="GJ8" s="944"/>
      <c r="GK8" s="944"/>
      <c r="GL8" s="944"/>
      <c r="GM8" s="944"/>
      <c r="GN8" s="944"/>
      <c r="GO8" s="944"/>
      <c r="GP8" s="944"/>
      <c r="GQ8" s="944"/>
      <c r="GR8" s="944"/>
      <c r="GS8" s="944"/>
      <c r="GT8" s="944"/>
      <c r="GU8" s="944"/>
      <c r="GV8" s="944"/>
      <c r="GW8" s="944"/>
      <c r="GX8" s="944"/>
      <c r="GY8" s="944"/>
      <c r="GZ8" s="944"/>
      <c r="HA8" s="944"/>
      <c r="HB8" s="944"/>
      <c r="HC8" s="944"/>
      <c r="HD8" s="944"/>
      <c r="HE8" s="944"/>
      <c r="HF8" s="944"/>
      <c r="HG8" s="944"/>
      <c r="HH8" s="944"/>
      <c r="HI8" s="944"/>
      <c r="HJ8" s="944"/>
      <c r="HK8" s="944"/>
      <c r="HL8" s="944"/>
      <c r="HM8" s="944"/>
      <c r="HN8" s="944"/>
      <c r="HO8" s="944"/>
      <c r="HP8" s="944"/>
      <c r="HQ8" s="944"/>
      <c r="HR8" s="944"/>
      <c r="HS8" s="944"/>
      <c r="HT8" s="944"/>
      <c r="HU8" s="944"/>
      <c r="HV8" s="944"/>
      <c r="HW8" s="944"/>
      <c r="HX8" s="944"/>
      <c r="HY8" s="944"/>
      <c r="HZ8" s="944"/>
      <c r="IA8" s="944"/>
      <c r="IB8" s="944"/>
      <c r="IC8" s="944"/>
      <c r="ID8" s="944"/>
      <c r="IE8" s="944"/>
      <c r="IF8" s="944"/>
      <c r="IG8" s="944"/>
      <c r="IH8" s="944"/>
      <c r="II8" s="944"/>
      <c r="IJ8" s="944"/>
      <c r="IK8" s="944"/>
      <c r="IL8" s="944"/>
      <c r="IM8" s="944"/>
      <c r="IN8" s="944"/>
      <c r="IO8" s="944"/>
      <c r="IP8" s="944"/>
      <c r="IQ8" s="944"/>
      <c r="IR8" s="944"/>
      <c r="IS8" s="944"/>
      <c r="IT8" s="944"/>
      <c r="IU8" s="944"/>
      <c r="IV8" s="944"/>
    </row>
    <row r="9" spans="1:256" s="256" customFormat="1" ht="12.75" x14ac:dyDescent="0.2">
      <c r="A9" s="255" t="s">
        <v>94</v>
      </c>
      <c r="E9" s="257"/>
      <c r="F9" s="258"/>
      <c r="J9" s="257"/>
      <c r="K9" s="258"/>
      <c r="L9" s="256">
        <v>205.5</v>
      </c>
      <c r="M9" s="256">
        <v>209.8</v>
      </c>
      <c r="N9" s="256">
        <v>222.9</v>
      </c>
      <c r="O9" s="257">
        <v>224.6</v>
      </c>
      <c r="P9" s="258">
        <f t="shared" si="20"/>
        <v>862.80000000000007</v>
      </c>
      <c r="Q9" s="256">
        <v>221.1</v>
      </c>
      <c r="R9" s="256">
        <v>219.9</v>
      </c>
      <c r="S9" s="256">
        <v>232.6</v>
      </c>
      <c r="T9" s="257">
        <v>242.6</v>
      </c>
      <c r="U9" s="258">
        <f t="shared" si="21"/>
        <v>916.2</v>
      </c>
      <c r="V9" s="256">
        <v>236.3</v>
      </c>
      <c r="W9" s="256">
        <v>248.6</v>
      </c>
      <c r="X9" s="256">
        <v>250.7</v>
      </c>
      <c r="Y9" s="257">
        <v>259.10000000000002</v>
      </c>
      <c r="Z9" s="258">
        <f t="shared" si="22"/>
        <v>994.69999999999993</v>
      </c>
      <c r="AA9" s="256">
        <v>249.1</v>
      </c>
      <c r="AB9" s="256">
        <v>279.2</v>
      </c>
      <c r="AC9" s="256">
        <v>286.5</v>
      </c>
      <c r="AD9" s="257">
        <v>312.5</v>
      </c>
      <c r="AE9" s="258">
        <f t="shared" si="23"/>
        <v>1127.3</v>
      </c>
      <c r="AF9" s="256">
        <v>306.89999999999998</v>
      </c>
      <c r="AG9" s="256">
        <v>317.3</v>
      </c>
      <c r="AH9" s="256">
        <v>313.89999999999998</v>
      </c>
      <c r="AI9" s="257">
        <v>324.5</v>
      </c>
      <c r="AJ9" s="258">
        <f t="shared" si="24"/>
        <v>1262.5999999999999</v>
      </c>
      <c r="AK9" s="256">
        <v>319.2</v>
      </c>
      <c r="AL9" s="256">
        <v>323.2</v>
      </c>
      <c r="AM9" s="256">
        <v>334.1</v>
      </c>
      <c r="AN9" s="257">
        <v>354.5</v>
      </c>
      <c r="AO9" s="258">
        <f t="shared" si="25"/>
        <v>1331</v>
      </c>
      <c r="AP9" s="256">
        <v>342.2</v>
      </c>
      <c r="AQ9" s="256">
        <v>373</v>
      </c>
      <c r="AR9" s="256">
        <v>379.8</v>
      </c>
      <c r="AS9" s="257">
        <v>376.6</v>
      </c>
      <c r="AT9" s="258">
        <f t="shared" si="26"/>
        <v>1471.6</v>
      </c>
      <c r="AU9" s="256">
        <v>366.7</v>
      </c>
      <c r="AV9" s="256">
        <v>375.2</v>
      </c>
      <c r="AW9" s="256">
        <v>349.6</v>
      </c>
      <c r="AX9" s="257">
        <v>351.4</v>
      </c>
      <c r="AY9" s="258">
        <f t="shared" si="27"/>
        <v>1442.9</v>
      </c>
      <c r="AZ9" s="256">
        <v>346.1</v>
      </c>
      <c r="BA9" s="256">
        <v>425.2</v>
      </c>
      <c r="BB9" s="256">
        <v>565.1</v>
      </c>
      <c r="BC9" s="257">
        <v>559.5</v>
      </c>
      <c r="BD9" s="258">
        <f t="shared" si="28"/>
        <v>1895.9</v>
      </c>
      <c r="BE9" s="256">
        <v>508</v>
      </c>
      <c r="BF9" s="256">
        <v>554.6</v>
      </c>
      <c r="BG9" s="256">
        <v>590.4</v>
      </c>
      <c r="BH9" s="257">
        <v>589.1</v>
      </c>
      <c r="BI9" s="258">
        <f t="shared" si="29"/>
        <v>2242.1</v>
      </c>
      <c r="BJ9" s="256">
        <v>542.79999999999995</v>
      </c>
      <c r="BK9" s="256">
        <v>538.1</v>
      </c>
      <c r="BL9" s="256">
        <v>557.29999999999995</v>
      </c>
      <c r="BM9" s="257">
        <v>575.29999999999995</v>
      </c>
      <c r="BN9" s="258">
        <f t="shared" si="30"/>
        <v>2213.5</v>
      </c>
      <c r="BO9" s="256">
        <v>548.79999999999995</v>
      </c>
      <c r="BP9" s="256">
        <v>599.6</v>
      </c>
      <c r="BQ9" s="256">
        <v>625.29999999999995</v>
      </c>
      <c r="BR9" s="257">
        <v>580.4</v>
      </c>
      <c r="BS9" s="258">
        <f t="shared" si="31"/>
        <v>2354.1</v>
      </c>
      <c r="BT9" s="256">
        <v>578.20000000000005</v>
      </c>
      <c r="BU9" s="256">
        <v>607.9</v>
      </c>
      <c r="BV9" s="256">
        <v>627.20000000000005</v>
      </c>
      <c r="BW9" s="257">
        <v>653.29999999999995</v>
      </c>
      <c r="BX9" s="258">
        <f t="shared" si="32"/>
        <v>2466.6</v>
      </c>
      <c r="BY9" s="256">
        <v>648.1</v>
      </c>
      <c r="BZ9" s="256">
        <v>708.1</v>
      </c>
      <c r="CA9" s="256">
        <v>759.4</v>
      </c>
      <c r="CB9" s="257">
        <v>775.9</v>
      </c>
      <c r="CC9" s="258">
        <f t="shared" si="33"/>
        <v>2891.5</v>
      </c>
      <c r="CD9" s="256">
        <v>726.51599999999996</v>
      </c>
      <c r="CE9" s="256">
        <v>762</v>
      </c>
      <c r="CF9" s="256">
        <v>827.4</v>
      </c>
      <c r="CG9" s="257">
        <v>839</v>
      </c>
      <c r="CH9" s="258">
        <f t="shared" si="34"/>
        <v>3154.9160000000002</v>
      </c>
      <c r="CI9" s="256">
        <v>783.1</v>
      </c>
      <c r="CJ9" s="256">
        <v>821.2</v>
      </c>
      <c r="CK9" s="256">
        <v>841.2</v>
      </c>
      <c r="CL9" s="257">
        <v>811</v>
      </c>
      <c r="CM9" s="258">
        <f t="shared" si="35"/>
        <v>3256.5</v>
      </c>
      <c r="CN9" s="256">
        <v>771.5</v>
      </c>
      <c r="CO9" s="256">
        <v>783.4</v>
      </c>
      <c r="CP9" s="256">
        <v>790.1</v>
      </c>
      <c r="CQ9" s="257">
        <v>775.7</v>
      </c>
      <c r="CR9" s="258">
        <f t="shared" si="36"/>
        <v>3120.7</v>
      </c>
      <c r="CS9" s="256">
        <v>740.4</v>
      </c>
      <c r="CT9" s="256">
        <v>763.1</v>
      </c>
      <c r="CU9" s="256">
        <v>790.9</v>
      </c>
      <c r="CV9" s="257">
        <v>734.6</v>
      </c>
      <c r="CW9" s="258">
        <f t="shared" si="37"/>
        <v>3029</v>
      </c>
      <c r="CX9" s="256">
        <v>606.79999999999995</v>
      </c>
      <c r="CY9" s="256">
        <v>612.79999999999995</v>
      </c>
      <c r="CZ9" s="256">
        <v>640.1</v>
      </c>
      <c r="DA9" s="256">
        <v>670.8</v>
      </c>
      <c r="DB9" s="258">
        <f t="shared" si="38"/>
        <v>2530.5</v>
      </c>
      <c r="DC9" s="256">
        <v>676.6</v>
      </c>
      <c r="DD9" s="256">
        <v>733.3</v>
      </c>
      <c r="DE9" s="256">
        <v>762.2</v>
      </c>
      <c r="DF9" s="256">
        <v>755</v>
      </c>
      <c r="DG9" s="258">
        <f>SUM(DC9:DF9)</f>
        <v>2927.1000000000004</v>
      </c>
      <c r="DH9" s="256">
        <v>746.9</v>
      </c>
      <c r="DI9" s="256">
        <v>802</v>
      </c>
      <c r="DJ9" s="256">
        <v>826.7</v>
      </c>
      <c r="DK9" s="256">
        <v>834.9</v>
      </c>
      <c r="DL9" s="258">
        <f>SUM(DH9:DK9)</f>
        <v>3210.5000000000005</v>
      </c>
      <c r="DM9" s="256">
        <v>785</v>
      </c>
      <c r="DN9" s="256">
        <v>840.4</v>
      </c>
      <c r="DO9" s="256">
        <v>867.1</v>
      </c>
      <c r="DP9" s="256">
        <v>865.8</v>
      </c>
      <c r="DQ9" s="258">
        <f>SUM(DM9:DP9)</f>
        <v>3358.3</v>
      </c>
      <c r="DR9" s="256">
        <v>856.4</v>
      </c>
      <c r="DS9" s="256">
        <v>881</v>
      </c>
      <c r="DT9" s="259">
        <v>912.9</v>
      </c>
      <c r="DU9" s="256">
        <v>922</v>
      </c>
      <c r="DV9" s="258">
        <f t="shared" si="9"/>
        <v>3572.3</v>
      </c>
      <c r="DW9" s="256">
        <v>885.1</v>
      </c>
      <c r="DX9" s="256">
        <v>976.1</v>
      </c>
      <c r="DY9" s="259">
        <v>1004.7</v>
      </c>
      <c r="DZ9" s="256">
        <v>979.3</v>
      </c>
      <c r="EA9" s="258">
        <f t="shared" si="10"/>
        <v>3845.2</v>
      </c>
      <c r="EB9" s="256">
        <v>926.7</v>
      </c>
      <c r="EC9" s="256">
        <v>999.9</v>
      </c>
      <c r="ED9" s="259">
        <v>999.5</v>
      </c>
      <c r="EE9" s="256">
        <v>934.9</v>
      </c>
      <c r="EF9" s="258">
        <f t="shared" si="11"/>
        <v>3861</v>
      </c>
      <c r="EG9" s="256">
        <v>929.1</v>
      </c>
      <c r="EH9" s="256">
        <v>951.8</v>
      </c>
      <c r="EI9" s="259">
        <v>993.5</v>
      </c>
      <c r="EJ9" s="256">
        <v>996</v>
      </c>
      <c r="EK9" s="258">
        <f t="shared" si="12"/>
        <v>3870.4</v>
      </c>
      <c r="EL9" s="256">
        <v>969.4</v>
      </c>
      <c r="EM9" s="256">
        <v>1009.1</v>
      </c>
      <c r="EN9" s="259">
        <v>1035.2</v>
      </c>
      <c r="EO9" s="256">
        <v>1060.4000000000001</v>
      </c>
      <c r="EP9" s="258">
        <f t="shared" si="13"/>
        <v>4074.1</v>
      </c>
      <c r="EQ9" s="256">
        <v>1049.2</v>
      </c>
      <c r="ER9" s="259">
        <f t="shared" si="14"/>
        <v>1089.8280000000002</v>
      </c>
      <c r="ES9" s="259">
        <f t="shared" si="15"/>
        <v>1128.3680000000002</v>
      </c>
      <c r="ET9" s="259">
        <f t="shared" si="15"/>
        <v>1124.0240000000001</v>
      </c>
      <c r="EU9" s="1930">
        <f t="shared" si="16"/>
        <v>4391.420000000001</v>
      </c>
      <c r="EZ9" s="737">
        <f t="shared" si="17"/>
        <v>4589.0339000000004</v>
      </c>
      <c r="FE9" s="737">
        <f t="shared" si="18"/>
        <v>4795.5404255000003</v>
      </c>
      <c r="FF9" s="737"/>
      <c r="FG9" s="619"/>
      <c r="FH9" s="1017"/>
      <c r="FI9" s="1017"/>
      <c r="FJ9" s="1017"/>
      <c r="FK9" s="1017"/>
      <c r="FL9" s="1792"/>
      <c r="FM9" s="256">
        <f t="shared" si="7"/>
        <v>1049.2</v>
      </c>
      <c r="FN9" s="256">
        <f t="shared" si="8"/>
        <v>969.4</v>
      </c>
      <c r="FO9" s="259">
        <v>1046.952</v>
      </c>
      <c r="FP9" s="16">
        <f t="shared" si="19"/>
        <v>8.2318960181555711E-2</v>
      </c>
      <c r="FQ9" s="16">
        <f t="shared" si="19"/>
        <v>2.1471853532921692E-3</v>
      </c>
      <c r="FR9" s="564"/>
      <c r="FS9" s="564"/>
      <c r="FT9" s="564"/>
      <c r="FU9" s="1640" t="s">
        <v>735</v>
      </c>
      <c r="FV9" s="1641">
        <f>SUM(FV6:FV8)</f>
        <v>1</v>
      </c>
      <c r="FW9" s="1641"/>
      <c r="FX9" s="544">
        <f>SUM(FX6:FX8)</f>
        <v>-8.1500000000000027E-3</v>
      </c>
      <c r="FY9" s="564"/>
      <c r="FZ9" s="564"/>
      <c r="GA9" s="619"/>
      <c r="GB9"/>
      <c r="GC9"/>
      <c r="GD9"/>
      <c r="GE9"/>
      <c r="GF9"/>
      <c r="GG9"/>
      <c r="GH9" s="944"/>
      <c r="GI9" s="944"/>
      <c r="GJ9" s="944"/>
      <c r="GK9" s="944"/>
      <c r="GL9" s="944"/>
      <c r="GM9" s="944"/>
      <c r="GN9" s="944"/>
      <c r="GO9" s="944"/>
      <c r="GP9" s="944"/>
      <c r="GQ9" s="944"/>
      <c r="GR9" s="944"/>
      <c r="GS9" s="944"/>
      <c r="GT9" s="944"/>
      <c r="GU9" s="944"/>
      <c r="GV9" s="944"/>
      <c r="GW9" s="944"/>
      <c r="GX9" s="944"/>
      <c r="GY9" s="944"/>
      <c r="GZ9" s="944"/>
      <c r="HA9" s="944"/>
      <c r="HB9" s="944"/>
      <c r="HC9" s="944"/>
      <c r="HD9" s="944"/>
      <c r="HE9" s="944"/>
      <c r="HF9" s="944"/>
      <c r="HG9" s="944"/>
      <c r="HH9" s="944"/>
      <c r="HI9" s="944"/>
      <c r="HJ9" s="944"/>
      <c r="HK9" s="944"/>
      <c r="HL9" s="944"/>
      <c r="HM9" s="944"/>
      <c r="HN9" s="944"/>
      <c r="HO9" s="944"/>
      <c r="HP9" s="944"/>
      <c r="HQ9" s="944"/>
      <c r="HR9" s="944"/>
      <c r="HS9" s="944"/>
      <c r="HT9" s="944"/>
      <c r="HU9" s="944"/>
      <c r="HV9" s="944"/>
      <c r="HW9" s="944"/>
      <c r="HX9" s="944"/>
      <c r="HY9" s="944"/>
      <c r="HZ9" s="944"/>
      <c r="IA9" s="944"/>
      <c r="IB9" s="944"/>
      <c r="IC9" s="944"/>
      <c r="ID9" s="944"/>
      <c r="IE9" s="944"/>
      <c r="IF9" s="944"/>
      <c r="IG9" s="944"/>
      <c r="IH9" s="944"/>
      <c r="II9" s="944"/>
      <c r="IJ9" s="944"/>
      <c r="IK9" s="944"/>
      <c r="IL9" s="944"/>
      <c r="IM9" s="944"/>
      <c r="IN9" s="944"/>
      <c r="IO9" s="944"/>
      <c r="IP9" s="944"/>
      <c r="IQ9" s="944"/>
      <c r="IR9" s="944"/>
      <c r="IS9" s="944"/>
      <c r="IT9" s="944"/>
      <c r="IU9" s="944"/>
      <c r="IV9" s="944"/>
    </row>
    <row r="10" spans="1:256" s="256" customFormat="1" ht="12.75" x14ac:dyDescent="0.2">
      <c r="A10" s="255" t="s">
        <v>651</v>
      </c>
      <c r="E10" s="257"/>
      <c r="F10" s="258"/>
      <c r="J10" s="257"/>
      <c r="K10" s="258"/>
      <c r="L10" s="256">
        <v>77.7</v>
      </c>
      <c r="M10" s="256">
        <v>76.599999999999994</v>
      </c>
      <c r="N10" s="256">
        <v>79</v>
      </c>
      <c r="O10" s="257">
        <v>77.8</v>
      </c>
      <c r="P10" s="258">
        <f t="shared" si="20"/>
        <v>311.10000000000002</v>
      </c>
      <c r="Q10" s="256">
        <v>80.900000000000006</v>
      </c>
      <c r="R10" s="256">
        <v>79.2</v>
      </c>
      <c r="S10" s="256">
        <v>80.8</v>
      </c>
      <c r="T10" s="257">
        <v>79.8</v>
      </c>
      <c r="U10" s="258">
        <f t="shared" si="21"/>
        <v>320.70000000000005</v>
      </c>
      <c r="V10" s="256">
        <v>83.5</v>
      </c>
      <c r="W10" s="256">
        <v>84.7</v>
      </c>
      <c r="X10" s="256">
        <v>82</v>
      </c>
      <c r="Y10" s="257">
        <v>84.3</v>
      </c>
      <c r="Z10" s="258">
        <f t="shared" si="22"/>
        <v>334.5</v>
      </c>
      <c r="AA10" s="256">
        <v>90.9</v>
      </c>
      <c r="AB10" s="256">
        <v>94.5</v>
      </c>
      <c r="AC10" s="256">
        <v>92.1</v>
      </c>
      <c r="AD10" s="257">
        <v>93.2</v>
      </c>
      <c r="AE10" s="258">
        <f t="shared" si="23"/>
        <v>370.7</v>
      </c>
      <c r="AF10" s="256">
        <v>95.3</v>
      </c>
      <c r="AG10" s="256">
        <v>92</v>
      </c>
      <c r="AH10" s="256">
        <v>87.5</v>
      </c>
      <c r="AI10" s="257">
        <v>93.5</v>
      </c>
      <c r="AJ10" s="258">
        <f t="shared" si="24"/>
        <v>368.3</v>
      </c>
      <c r="AK10" s="256">
        <v>95.5</v>
      </c>
      <c r="AL10" s="256">
        <v>91.4</v>
      </c>
      <c r="AM10" s="256">
        <v>95.6</v>
      </c>
      <c r="AN10" s="257">
        <v>97.8</v>
      </c>
      <c r="AO10" s="258">
        <f t="shared" si="25"/>
        <v>380.3</v>
      </c>
      <c r="AP10" s="256">
        <v>100.6</v>
      </c>
      <c r="AQ10" s="256">
        <v>102.2</v>
      </c>
      <c r="AR10" s="256">
        <v>100.8</v>
      </c>
      <c r="AS10" s="257">
        <v>101</v>
      </c>
      <c r="AT10" s="258">
        <f t="shared" si="26"/>
        <v>404.6</v>
      </c>
      <c r="AU10" s="256">
        <v>77.8</v>
      </c>
      <c r="AV10" s="256">
        <v>80.5</v>
      </c>
      <c r="AW10" s="256">
        <v>80.400000000000006</v>
      </c>
      <c r="AX10" s="257">
        <v>76.599999999999994</v>
      </c>
      <c r="AY10" s="258">
        <f t="shared" si="27"/>
        <v>315.3</v>
      </c>
      <c r="AZ10" s="256">
        <v>78.3</v>
      </c>
      <c r="BA10" s="256">
        <v>92.1</v>
      </c>
      <c r="BB10" s="256">
        <v>111.4</v>
      </c>
      <c r="BC10" s="257">
        <v>112.1</v>
      </c>
      <c r="BD10" s="258">
        <f t="shared" si="28"/>
        <v>393.9</v>
      </c>
      <c r="BE10" s="256">
        <v>113.8</v>
      </c>
      <c r="BF10" s="256">
        <v>115.7</v>
      </c>
      <c r="BG10" s="256">
        <v>114.1</v>
      </c>
      <c r="BH10" s="257">
        <v>109.4</v>
      </c>
      <c r="BI10" s="258">
        <f t="shared" si="29"/>
        <v>453</v>
      </c>
      <c r="BJ10" s="256">
        <v>107.2</v>
      </c>
      <c r="BK10" s="256">
        <v>110.8</v>
      </c>
      <c r="BL10" s="256">
        <v>109.9</v>
      </c>
      <c r="BM10" s="257">
        <v>104</v>
      </c>
      <c r="BN10" s="258">
        <f t="shared" si="30"/>
        <v>431.9</v>
      </c>
      <c r="BO10" s="256">
        <v>103.9</v>
      </c>
      <c r="BP10" s="256">
        <v>107.3</v>
      </c>
      <c r="BQ10" s="256">
        <v>109.6</v>
      </c>
      <c r="BR10" s="257">
        <v>104.8</v>
      </c>
      <c r="BS10" s="258">
        <f t="shared" si="31"/>
        <v>425.59999999999997</v>
      </c>
      <c r="BT10" s="256">
        <v>105.7</v>
      </c>
      <c r="BU10" s="256">
        <v>104.9</v>
      </c>
      <c r="BV10" s="256">
        <v>108.4</v>
      </c>
      <c r="BW10" s="257">
        <v>106.7</v>
      </c>
      <c r="BX10" s="258">
        <f t="shared" si="32"/>
        <v>425.7</v>
      </c>
      <c r="BY10" s="256">
        <v>109.6</v>
      </c>
      <c r="BZ10" s="256">
        <v>111.7</v>
      </c>
      <c r="CA10" s="256">
        <v>114.2</v>
      </c>
      <c r="CB10" s="257">
        <v>109.2</v>
      </c>
      <c r="CC10" s="258">
        <f t="shared" si="33"/>
        <v>444.7</v>
      </c>
      <c r="CD10" s="256">
        <v>110.8</v>
      </c>
      <c r="CE10" s="256">
        <v>115.9</v>
      </c>
      <c r="CF10" s="256">
        <v>110.9</v>
      </c>
      <c r="CG10" s="257">
        <v>104.5</v>
      </c>
      <c r="CH10" s="258">
        <f t="shared" si="34"/>
        <v>442.1</v>
      </c>
      <c r="CI10" s="256">
        <v>107.3</v>
      </c>
      <c r="CJ10" s="256">
        <v>107.6</v>
      </c>
      <c r="CK10" s="256">
        <v>109.1</v>
      </c>
      <c r="CL10" s="257">
        <v>102.4</v>
      </c>
      <c r="CM10" s="258">
        <f t="shared" si="35"/>
        <v>426.4</v>
      </c>
      <c r="CN10" s="256">
        <v>105.7</v>
      </c>
      <c r="CO10" s="256">
        <v>109.7</v>
      </c>
      <c r="CP10" s="256">
        <v>108</v>
      </c>
      <c r="CQ10" s="257">
        <v>103.3</v>
      </c>
      <c r="CR10" s="258">
        <f t="shared" si="36"/>
        <v>426.7</v>
      </c>
      <c r="CS10" s="256">
        <v>102.2</v>
      </c>
      <c r="CT10" s="256">
        <v>103.9</v>
      </c>
      <c r="CU10" s="256">
        <v>103</v>
      </c>
      <c r="CV10" s="257">
        <v>84.6</v>
      </c>
      <c r="CW10" s="258">
        <f t="shared" si="37"/>
        <v>393.70000000000005</v>
      </c>
      <c r="CX10" s="256">
        <v>80.3</v>
      </c>
      <c r="CY10" s="256">
        <v>80.5</v>
      </c>
      <c r="CZ10" s="256">
        <v>95.9</v>
      </c>
      <c r="DA10" s="256">
        <v>88.3</v>
      </c>
      <c r="DB10" s="258">
        <f t="shared" si="38"/>
        <v>345.00000000000006</v>
      </c>
      <c r="DC10" s="256">
        <v>96.6</v>
      </c>
      <c r="DD10" s="256">
        <v>106</v>
      </c>
      <c r="DE10" s="256">
        <v>106.9</v>
      </c>
      <c r="DF10" s="256">
        <v>96.6</v>
      </c>
      <c r="DG10" s="258">
        <f>SUM(DC10:DF10)</f>
        <v>406.1</v>
      </c>
      <c r="DH10" s="256">
        <v>95.7</v>
      </c>
      <c r="DI10" s="256">
        <v>95.4</v>
      </c>
      <c r="DJ10" s="256">
        <v>95.4</v>
      </c>
      <c r="DK10" s="256">
        <v>87.2</v>
      </c>
      <c r="DL10" s="258">
        <f>SUM(DH10:DK10)</f>
        <v>373.7</v>
      </c>
      <c r="DM10" s="256">
        <v>96</v>
      </c>
      <c r="DN10" s="256">
        <v>98.5</v>
      </c>
      <c r="DO10" s="256">
        <v>99</v>
      </c>
      <c r="DP10" s="256">
        <v>95.3</v>
      </c>
      <c r="DQ10" s="258">
        <f>SUM(DM10:DP10)</f>
        <v>388.8</v>
      </c>
      <c r="DR10" s="256">
        <v>106</v>
      </c>
      <c r="DS10" s="256">
        <v>114</v>
      </c>
      <c r="DT10" s="259">
        <v>113.1</v>
      </c>
      <c r="DU10" s="256">
        <v>116.1</v>
      </c>
      <c r="DV10" s="258">
        <f t="shared" si="9"/>
        <v>449.20000000000005</v>
      </c>
      <c r="DW10" s="256">
        <v>116.1</v>
      </c>
      <c r="DX10" s="256">
        <v>121.8</v>
      </c>
      <c r="DY10" s="259">
        <v>132</v>
      </c>
      <c r="DZ10" s="256">
        <v>132.69999999999999</v>
      </c>
      <c r="EA10" s="258">
        <f t="shared" si="10"/>
        <v>502.59999999999997</v>
      </c>
      <c r="EB10" s="256">
        <v>127.3</v>
      </c>
      <c r="EC10" s="256">
        <v>137.30000000000001</v>
      </c>
      <c r="ED10" s="259">
        <v>134.30000000000001</v>
      </c>
      <c r="EE10" s="256">
        <v>128.69999999999999</v>
      </c>
      <c r="EF10" s="258">
        <f t="shared" si="11"/>
        <v>527.6</v>
      </c>
      <c r="EG10" s="256">
        <v>120.6</v>
      </c>
      <c r="EH10" s="256">
        <v>122.8</v>
      </c>
      <c r="EI10" s="259">
        <v>117.5</v>
      </c>
      <c r="EJ10" s="256">
        <v>114.8</v>
      </c>
      <c r="EK10" s="258">
        <f t="shared" si="12"/>
        <v>475.7</v>
      </c>
      <c r="EL10" s="256">
        <v>118.6</v>
      </c>
      <c r="EM10" s="256">
        <v>114.8</v>
      </c>
      <c r="EN10" s="259">
        <v>115.2</v>
      </c>
      <c r="EO10" s="256">
        <v>118.6</v>
      </c>
      <c r="EP10" s="258">
        <f t="shared" si="13"/>
        <v>467.19999999999993</v>
      </c>
      <c r="EQ10" s="256">
        <v>120.8</v>
      </c>
      <c r="ER10" s="259">
        <f t="shared" si="14"/>
        <v>121.688</v>
      </c>
      <c r="ES10" s="259">
        <f t="shared" si="15"/>
        <v>118.65600000000001</v>
      </c>
      <c r="ET10" s="259">
        <f t="shared" si="15"/>
        <v>117.41399999999999</v>
      </c>
      <c r="EU10" s="1930">
        <f t="shared" si="16"/>
        <v>478.55799999999999</v>
      </c>
      <c r="EZ10" s="737">
        <f t="shared" si="17"/>
        <v>483.34357999999997</v>
      </c>
      <c r="FE10" s="737">
        <f t="shared" si="18"/>
        <v>488.17701579999999</v>
      </c>
      <c r="FF10" s="737"/>
      <c r="FG10" s="620"/>
      <c r="FH10" s="1017"/>
      <c r="FI10" s="1017"/>
      <c r="FJ10" s="1017"/>
      <c r="FK10" s="1017"/>
      <c r="FL10" s="1792"/>
      <c r="FM10" s="256">
        <f t="shared" si="7"/>
        <v>120.8</v>
      </c>
      <c r="FN10" s="256">
        <f t="shared" si="8"/>
        <v>118.6</v>
      </c>
      <c r="FO10" s="259">
        <v>128.68099999999998</v>
      </c>
      <c r="FP10" s="16">
        <f t="shared" si="19"/>
        <v>1.8549747048903997E-2</v>
      </c>
      <c r="FQ10" s="16">
        <f t="shared" si="19"/>
        <v>-6.1244472765987101E-2</v>
      </c>
      <c r="FR10" s="1429" t="s">
        <v>837</v>
      </c>
      <c r="FS10" s="1428"/>
      <c r="FT10" s="1428"/>
      <c r="FU10" s="1428"/>
      <c r="FV10" s="1428"/>
      <c r="FW10" s="1428"/>
      <c r="FX10" s="1428"/>
      <c r="FY10" s="564"/>
      <c r="FZ10" s="564"/>
      <c r="GA10" s="620"/>
      <c r="GB10"/>
      <c r="GC10"/>
      <c r="GD10"/>
      <c r="GE10"/>
      <c r="GF10"/>
      <c r="GG10"/>
      <c r="GH10" s="944"/>
      <c r="GI10" s="944"/>
      <c r="GJ10" s="944"/>
      <c r="GK10" s="944"/>
      <c r="GL10" s="944"/>
      <c r="GM10" s="944"/>
      <c r="GN10" s="944"/>
      <c r="GO10" s="944"/>
      <c r="GP10" s="944"/>
      <c r="GQ10" s="944"/>
      <c r="GR10" s="944"/>
      <c r="GS10" s="944"/>
      <c r="GT10" s="944"/>
      <c r="GU10" s="944"/>
      <c r="GV10" s="944"/>
      <c r="GW10" s="944"/>
      <c r="GX10" s="944"/>
      <c r="GY10" s="944"/>
      <c r="GZ10" s="944"/>
      <c r="HA10" s="944"/>
      <c r="HB10" s="944"/>
      <c r="HC10" s="944"/>
      <c r="HD10" s="944"/>
      <c r="HE10" s="944"/>
      <c r="HF10" s="944"/>
      <c r="HG10" s="944"/>
      <c r="HH10" s="944"/>
      <c r="HI10" s="944"/>
      <c r="HJ10" s="944"/>
      <c r="HK10" s="944"/>
      <c r="HL10" s="944"/>
      <c r="HM10" s="944"/>
      <c r="HN10" s="944"/>
      <c r="HO10" s="944"/>
      <c r="HP10" s="944"/>
      <c r="HQ10" s="944"/>
      <c r="HR10" s="944"/>
      <c r="HS10" s="944"/>
      <c r="HT10" s="944"/>
      <c r="HU10" s="944"/>
      <c r="HV10" s="944"/>
      <c r="HW10" s="944"/>
      <c r="HX10" s="944"/>
      <c r="HY10" s="944"/>
      <c r="HZ10" s="944"/>
      <c r="IA10" s="944"/>
      <c r="IB10" s="944"/>
      <c r="IC10" s="944"/>
      <c r="ID10" s="944"/>
      <c r="IE10" s="944"/>
      <c r="IF10" s="944"/>
      <c r="IG10" s="944"/>
      <c r="IH10" s="944"/>
      <c r="II10" s="944"/>
      <c r="IJ10" s="944"/>
      <c r="IK10" s="944"/>
      <c r="IL10" s="944"/>
      <c r="IM10" s="944"/>
      <c r="IN10" s="944"/>
      <c r="IO10" s="944"/>
      <c r="IP10" s="944"/>
      <c r="IQ10" s="944"/>
      <c r="IR10" s="944"/>
      <c r="IS10" s="944"/>
      <c r="IT10" s="944"/>
      <c r="IU10" s="944"/>
      <c r="IV10" s="944"/>
    </row>
    <row r="11" spans="1:256" s="256" customFormat="1" ht="12.75" x14ac:dyDescent="0.2">
      <c r="A11" s="255" t="s">
        <v>652</v>
      </c>
      <c r="E11" s="257"/>
      <c r="F11" s="258"/>
      <c r="J11" s="257"/>
      <c r="K11" s="258"/>
      <c r="L11" s="256">
        <v>73.5</v>
      </c>
      <c r="M11" s="256">
        <v>81.2</v>
      </c>
      <c r="N11" s="256">
        <v>80.3</v>
      </c>
      <c r="O11" s="257">
        <v>74.7</v>
      </c>
      <c r="P11" s="258">
        <f t="shared" si="20"/>
        <v>309.7</v>
      </c>
      <c r="Q11" s="256">
        <v>72.2</v>
      </c>
      <c r="R11" s="256">
        <v>81.099999999999994</v>
      </c>
      <c r="S11" s="256">
        <v>82.1</v>
      </c>
      <c r="T11" s="257">
        <v>77.3</v>
      </c>
      <c r="U11" s="258">
        <f t="shared" si="21"/>
        <v>312.7</v>
      </c>
      <c r="V11" s="256">
        <v>76.2</v>
      </c>
      <c r="W11" s="256">
        <v>87.1</v>
      </c>
      <c r="X11" s="256">
        <v>89.2</v>
      </c>
      <c r="Y11" s="257">
        <v>87.1</v>
      </c>
      <c r="Z11" s="258">
        <f t="shared" si="22"/>
        <v>339.6</v>
      </c>
      <c r="AA11" s="256">
        <v>81.099999999999994</v>
      </c>
      <c r="AB11" s="256">
        <v>99.8</v>
      </c>
      <c r="AC11" s="256">
        <v>96.5</v>
      </c>
      <c r="AD11" s="257">
        <v>93.9</v>
      </c>
      <c r="AE11" s="258">
        <f t="shared" si="23"/>
        <v>371.29999999999995</v>
      </c>
      <c r="AF11" s="256">
        <v>90</v>
      </c>
      <c r="AG11" s="256">
        <v>97.7</v>
      </c>
      <c r="AH11" s="256">
        <v>95.5</v>
      </c>
      <c r="AI11" s="257">
        <v>89.1</v>
      </c>
      <c r="AJ11" s="258">
        <f t="shared" si="24"/>
        <v>372.29999999999995</v>
      </c>
      <c r="AK11" s="256">
        <v>83.8</v>
      </c>
      <c r="AL11" s="256">
        <v>97.7</v>
      </c>
      <c r="AM11" s="256">
        <v>96.3</v>
      </c>
      <c r="AN11" s="257">
        <v>85.4</v>
      </c>
      <c r="AO11" s="258">
        <f t="shared" si="25"/>
        <v>363.20000000000005</v>
      </c>
      <c r="AP11" s="256">
        <v>87.2</v>
      </c>
      <c r="AQ11" s="256">
        <v>98.6</v>
      </c>
      <c r="AR11" s="256">
        <v>96.2</v>
      </c>
      <c r="AS11" s="257">
        <v>91.5</v>
      </c>
      <c r="AT11" s="258">
        <f t="shared" si="26"/>
        <v>373.5</v>
      </c>
      <c r="AU11" s="256">
        <v>88.4</v>
      </c>
      <c r="AV11" s="256">
        <v>96.7</v>
      </c>
      <c r="AW11" s="256">
        <v>98.9</v>
      </c>
      <c r="AX11" s="257">
        <v>88.6</v>
      </c>
      <c r="AY11" s="258">
        <f t="shared" si="27"/>
        <v>372.6</v>
      </c>
      <c r="AZ11" s="256">
        <v>90.2</v>
      </c>
      <c r="BA11" s="256">
        <v>126.3</v>
      </c>
      <c r="BB11" s="256">
        <v>187.6</v>
      </c>
      <c r="BC11" s="257">
        <v>182.7</v>
      </c>
      <c r="BD11" s="258">
        <f t="shared" si="28"/>
        <v>586.79999999999995</v>
      </c>
      <c r="BE11" s="256">
        <v>190.6</v>
      </c>
      <c r="BF11" s="256">
        <v>205.9</v>
      </c>
      <c r="BG11" s="256">
        <v>194.3</v>
      </c>
      <c r="BH11" s="257">
        <v>165.9</v>
      </c>
      <c r="BI11" s="258">
        <f t="shared" si="29"/>
        <v>756.69999999999993</v>
      </c>
      <c r="BJ11" s="256">
        <v>165.7</v>
      </c>
      <c r="BK11" s="256">
        <v>184.9</v>
      </c>
      <c r="BL11" s="256">
        <v>186.1</v>
      </c>
      <c r="BM11" s="257">
        <v>166</v>
      </c>
      <c r="BN11" s="258">
        <f t="shared" si="30"/>
        <v>702.7</v>
      </c>
      <c r="BO11" s="256">
        <v>161.4</v>
      </c>
      <c r="BP11" s="256">
        <v>196.1</v>
      </c>
      <c r="BQ11" s="256">
        <v>193.3</v>
      </c>
      <c r="BR11" s="257">
        <v>165.3</v>
      </c>
      <c r="BS11" s="258">
        <f t="shared" si="31"/>
        <v>716.09999999999991</v>
      </c>
      <c r="BT11" s="256">
        <v>161.30000000000001</v>
      </c>
      <c r="BU11" s="256">
        <v>183.8</v>
      </c>
      <c r="BV11" s="256">
        <v>187.1</v>
      </c>
      <c r="BW11" s="257">
        <v>178</v>
      </c>
      <c r="BX11" s="258">
        <f t="shared" si="32"/>
        <v>710.2</v>
      </c>
      <c r="BY11" s="256">
        <v>177.2</v>
      </c>
      <c r="BZ11" s="256">
        <v>203.8</v>
      </c>
      <c r="CA11" s="256">
        <v>205.8</v>
      </c>
      <c r="CB11" s="257">
        <v>194.3</v>
      </c>
      <c r="CC11" s="258">
        <f t="shared" si="33"/>
        <v>781.09999999999991</v>
      </c>
      <c r="CD11" s="256">
        <v>185.8</v>
      </c>
      <c r="CE11" s="256">
        <v>202.4</v>
      </c>
      <c r="CF11" s="256">
        <v>206.8</v>
      </c>
      <c r="CG11" s="257">
        <v>199.2</v>
      </c>
      <c r="CH11" s="258">
        <f t="shared" si="34"/>
        <v>794.2</v>
      </c>
      <c r="CI11" s="256">
        <v>208.6</v>
      </c>
      <c r="CJ11" s="256">
        <v>222.6</v>
      </c>
      <c r="CK11" s="256">
        <v>219.1</v>
      </c>
      <c r="CL11" s="257">
        <v>185</v>
      </c>
      <c r="CM11" s="258">
        <f t="shared" si="35"/>
        <v>835.3</v>
      </c>
      <c r="CN11" s="256">
        <v>185.6</v>
      </c>
      <c r="CO11" s="256">
        <v>209.8</v>
      </c>
      <c r="CP11" s="256">
        <v>200.3</v>
      </c>
      <c r="CQ11" s="257">
        <v>187.9</v>
      </c>
      <c r="CR11" s="258">
        <f t="shared" si="36"/>
        <v>783.6</v>
      </c>
      <c r="CS11" s="256">
        <v>186.5</v>
      </c>
      <c r="CT11" s="256">
        <v>210.4</v>
      </c>
      <c r="CU11" s="256">
        <v>203.7</v>
      </c>
      <c r="CV11" s="257">
        <v>141.80000000000001</v>
      </c>
      <c r="CW11" s="258">
        <f t="shared" si="37"/>
        <v>742.39999999999986</v>
      </c>
      <c r="CX11" s="256">
        <v>120.9</v>
      </c>
      <c r="CY11" s="256">
        <v>117.2</v>
      </c>
      <c r="CZ11" s="256">
        <v>139.4</v>
      </c>
      <c r="DA11" s="256">
        <v>126.7</v>
      </c>
      <c r="DB11" s="258">
        <f t="shared" si="38"/>
        <v>504.2</v>
      </c>
      <c r="DC11" s="256">
        <v>138.30000000000001</v>
      </c>
      <c r="DD11" s="256">
        <v>175.4</v>
      </c>
      <c r="DE11" s="256">
        <v>167.4</v>
      </c>
      <c r="DF11" s="256">
        <v>147.30000000000001</v>
      </c>
      <c r="DG11" s="258">
        <f>SUM(DC11:DF11)</f>
        <v>628.40000000000009</v>
      </c>
      <c r="DH11" s="256">
        <v>148.4</v>
      </c>
      <c r="DI11" s="256">
        <v>173.3</v>
      </c>
      <c r="DJ11" s="256">
        <v>178.4</v>
      </c>
      <c r="DK11" s="256">
        <v>164.9</v>
      </c>
      <c r="DL11" s="258">
        <f>SUM(DH11:DK11)</f>
        <v>665</v>
      </c>
      <c r="DM11" s="256">
        <v>165.5</v>
      </c>
      <c r="DN11" s="256">
        <v>180.2</v>
      </c>
      <c r="DO11" s="256">
        <v>165.6</v>
      </c>
      <c r="DP11" s="256">
        <v>158.4</v>
      </c>
      <c r="DQ11" s="258">
        <f>SUM(DM11:DP11)</f>
        <v>669.69999999999993</v>
      </c>
      <c r="DR11" s="256">
        <v>154.80000000000001</v>
      </c>
      <c r="DS11" s="256">
        <v>171.1</v>
      </c>
      <c r="DT11" s="259">
        <v>180.5</v>
      </c>
      <c r="DU11" s="256">
        <v>160.5</v>
      </c>
      <c r="DV11" s="258">
        <f t="shared" si="9"/>
        <v>666.9</v>
      </c>
      <c r="DW11" s="256">
        <v>149.9</v>
      </c>
      <c r="DX11" s="256">
        <v>193.6</v>
      </c>
      <c r="DY11" s="259">
        <v>202.1</v>
      </c>
      <c r="DZ11" s="256">
        <v>180</v>
      </c>
      <c r="EA11" s="258">
        <f t="shared" si="10"/>
        <v>725.6</v>
      </c>
      <c r="EB11" s="256">
        <v>152.5</v>
      </c>
      <c r="EC11" s="256">
        <v>182.1</v>
      </c>
      <c r="ED11" s="259">
        <v>183.3</v>
      </c>
      <c r="EE11" s="256">
        <v>154.5</v>
      </c>
      <c r="EF11" s="258">
        <f t="shared" si="11"/>
        <v>672.40000000000009</v>
      </c>
      <c r="EG11" s="1635">
        <v>154.9</v>
      </c>
      <c r="EH11" s="256">
        <v>183.6</v>
      </c>
      <c r="EI11" s="259">
        <v>186.9</v>
      </c>
      <c r="EJ11" s="256">
        <v>160.4</v>
      </c>
      <c r="EK11" s="258">
        <f t="shared" si="12"/>
        <v>685.8</v>
      </c>
      <c r="EL11" s="1635">
        <v>168.4</v>
      </c>
      <c r="EM11" s="256">
        <v>193.4</v>
      </c>
      <c r="EN11" s="259">
        <v>194.2</v>
      </c>
      <c r="EO11" s="256">
        <v>171.5</v>
      </c>
      <c r="EP11" s="258">
        <f t="shared" si="13"/>
        <v>727.5</v>
      </c>
      <c r="EQ11" s="1635">
        <v>164.6</v>
      </c>
      <c r="ER11" s="259">
        <f t="shared" si="14"/>
        <v>204.03700000000001</v>
      </c>
      <c r="ES11" s="259">
        <f t="shared" si="15"/>
        <v>205.852</v>
      </c>
      <c r="ET11" s="259">
        <f t="shared" si="15"/>
        <v>174.93</v>
      </c>
      <c r="EU11" s="1930">
        <f t="shared" si="16"/>
        <v>749.4190000000001</v>
      </c>
      <c r="EZ11" s="737">
        <f t="shared" si="17"/>
        <v>760.66028500000004</v>
      </c>
      <c r="FE11" s="737">
        <f t="shared" si="18"/>
        <v>772.07018927499996</v>
      </c>
      <c r="FF11" s="737"/>
      <c r="FG11" s="621"/>
      <c r="FH11" s="1017"/>
      <c r="FI11" s="1017"/>
      <c r="FJ11" s="1017"/>
      <c r="FK11" s="1017"/>
      <c r="FL11" s="1792"/>
      <c r="FM11" s="256">
        <f t="shared" si="7"/>
        <v>164.6</v>
      </c>
      <c r="FN11" s="256">
        <f t="shared" si="8"/>
        <v>168.4</v>
      </c>
      <c r="FO11" s="259">
        <v>161.66399999999999</v>
      </c>
      <c r="FP11" s="16">
        <f t="shared" si="19"/>
        <v>-2.2565320665083211E-2</v>
      </c>
      <c r="FQ11" s="16">
        <f t="shared" si="19"/>
        <v>1.8161124307205068E-2</v>
      </c>
      <c r="FR11" s="1428"/>
      <c r="FS11" s="564"/>
      <c r="FT11" s="564"/>
      <c r="FU11" s="1149" t="s">
        <v>33</v>
      </c>
      <c r="FV11" s="1149"/>
      <c r="FW11" s="564"/>
      <c r="FX11" s="564"/>
      <c r="FY11" s="564"/>
      <c r="FZ11" s="564"/>
      <c r="GA11" s="621"/>
      <c r="GB11"/>
      <c r="GC11"/>
      <c r="GD11"/>
      <c r="GE11"/>
      <c r="GF11"/>
      <c r="GG11"/>
      <c r="GH11" s="944"/>
      <c r="GI11" s="944"/>
      <c r="GJ11" s="944"/>
      <c r="GK11" s="944"/>
      <c r="GL11" s="944"/>
      <c r="GM11" s="944"/>
      <c r="GN11" s="944"/>
      <c r="GO11" s="944"/>
      <c r="GP11" s="944"/>
      <c r="GQ11" s="944"/>
      <c r="GR11" s="944"/>
      <c r="GS11" s="944"/>
      <c r="GT11" s="944"/>
      <c r="GU11" s="944"/>
      <c r="GV11" s="944"/>
      <c r="GW11" s="944"/>
      <c r="GX11" s="944"/>
      <c r="GY11" s="944"/>
      <c r="GZ11" s="944"/>
      <c r="HA11" s="944"/>
      <c r="HB11" s="944"/>
      <c r="HC11" s="944"/>
      <c r="HD11" s="944"/>
      <c r="HE11" s="944"/>
      <c r="HF11" s="944"/>
      <c r="HG11" s="944"/>
      <c r="HH11" s="944"/>
      <c r="HI11" s="944"/>
      <c r="HJ11" s="944"/>
      <c r="HK11" s="944"/>
      <c r="HL11" s="944"/>
      <c r="HM11" s="944"/>
      <c r="HN11" s="944"/>
      <c r="HO11" s="944"/>
      <c r="HP11" s="944"/>
      <c r="HQ11" s="944"/>
      <c r="HR11" s="944"/>
      <c r="HS11" s="944"/>
      <c r="HT11" s="944"/>
      <c r="HU11" s="944"/>
      <c r="HV11" s="944"/>
      <c r="HW11" s="944"/>
      <c r="HX11" s="944"/>
      <c r="HY11" s="944"/>
      <c r="HZ11" s="944"/>
      <c r="IA11" s="944"/>
      <c r="IB11" s="944"/>
      <c r="IC11" s="944"/>
      <c r="ID11" s="944"/>
      <c r="IE11" s="944"/>
      <c r="IF11" s="944"/>
      <c r="IG11" s="944"/>
      <c r="IH11" s="944"/>
      <c r="II11" s="944"/>
      <c r="IJ11" s="944"/>
      <c r="IK11" s="944"/>
      <c r="IL11" s="944"/>
      <c r="IM11" s="944"/>
      <c r="IN11" s="944"/>
      <c r="IO11" s="944"/>
      <c r="IP11" s="944"/>
      <c r="IQ11" s="944"/>
      <c r="IR11" s="944"/>
      <c r="IS11" s="944"/>
      <c r="IT11" s="944"/>
      <c r="IU11" s="944"/>
      <c r="IV11" s="944"/>
    </row>
    <row r="12" spans="1:256" s="256" customFormat="1" ht="12.75" x14ac:dyDescent="0.2">
      <c r="A12" s="255" t="s">
        <v>653</v>
      </c>
      <c r="E12" s="257"/>
      <c r="F12" s="258"/>
      <c r="J12" s="257"/>
      <c r="K12" s="258"/>
      <c r="L12" s="256">
        <v>109</v>
      </c>
      <c r="M12" s="256">
        <v>107.8</v>
      </c>
      <c r="N12" s="256">
        <v>112</v>
      </c>
      <c r="O12" s="257">
        <v>112.7</v>
      </c>
      <c r="P12" s="258">
        <f t="shared" si="20"/>
        <v>441.5</v>
      </c>
      <c r="Q12" s="256">
        <v>117.4</v>
      </c>
      <c r="R12" s="256">
        <v>117.1</v>
      </c>
      <c r="S12" s="256">
        <v>117.8</v>
      </c>
      <c r="T12" s="257">
        <v>113.1</v>
      </c>
      <c r="U12" s="258">
        <f t="shared" si="21"/>
        <v>465.4</v>
      </c>
      <c r="V12" s="256">
        <v>116.3</v>
      </c>
      <c r="W12" s="256">
        <v>116.3</v>
      </c>
      <c r="X12" s="256">
        <v>116.9</v>
      </c>
      <c r="Y12" s="257">
        <v>116.8</v>
      </c>
      <c r="Z12" s="258">
        <f t="shared" si="22"/>
        <v>466.3</v>
      </c>
      <c r="AA12" s="256">
        <v>115.4</v>
      </c>
      <c r="AB12" s="256">
        <v>118.5</v>
      </c>
      <c r="AC12" s="256">
        <v>115.8</v>
      </c>
      <c r="AD12" s="257">
        <v>114.5</v>
      </c>
      <c r="AE12" s="258">
        <f t="shared" si="23"/>
        <v>464.2</v>
      </c>
      <c r="AF12" s="256">
        <v>116</v>
      </c>
      <c r="AG12" s="256">
        <v>117.9</v>
      </c>
      <c r="AH12" s="256">
        <v>116</v>
      </c>
      <c r="AI12" s="257">
        <v>109.2</v>
      </c>
      <c r="AJ12" s="258">
        <f t="shared" si="24"/>
        <v>459.09999999999997</v>
      </c>
      <c r="AK12" s="256">
        <v>109.8</v>
      </c>
      <c r="AL12" s="256">
        <v>108.4</v>
      </c>
      <c r="AM12" s="256">
        <v>111.6</v>
      </c>
      <c r="AN12" s="257">
        <v>108.4</v>
      </c>
      <c r="AO12" s="258">
        <f t="shared" si="25"/>
        <v>438.19999999999993</v>
      </c>
      <c r="AP12" s="256">
        <v>114.7</v>
      </c>
      <c r="AQ12" s="256">
        <v>114.2</v>
      </c>
      <c r="AR12" s="256">
        <v>116.1</v>
      </c>
      <c r="AS12" s="257">
        <v>112.4</v>
      </c>
      <c r="AT12" s="258">
        <f t="shared" si="26"/>
        <v>457.4</v>
      </c>
      <c r="AU12" s="256">
        <v>115.8</v>
      </c>
      <c r="AV12" s="256">
        <v>117.1</v>
      </c>
      <c r="AW12" s="256">
        <v>111.1</v>
      </c>
      <c r="AX12" s="257">
        <v>100.9</v>
      </c>
      <c r="AY12" s="258">
        <f t="shared" si="27"/>
        <v>444.9</v>
      </c>
      <c r="AZ12" s="256">
        <v>102.6</v>
      </c>
      <c r="BA12" s="256">
        <v>112.5</v>
      </c>
      <c r="BB12" s="256">
        <v>125.7</v>
      </c>
      <c r="BC12" s="257">
        <v>124.1</v>
      </c>
      <c r="BD12" s="258">
        <f t="shared" si="28"/>
        <v>464.9</v>
      </c>
      <c r="BE12" s="256">
        <v>126.2</v>
      </c>
      <c r="BF12" s="256">
        <v>126.2</v>
      </c>
      <c r="BG12" s="256">
        <v>121.7</v>
      </c>
      <c r="BH12" s="257">
        <v>116.3</v>
      </c>
      <c r="BI12" s="258">
        <f t="shared" si="29"/>
        <v>490.40000000000003</v>
      </c>
      <c r="BJ12" s="256">
        <v>116.4</v>
      </c>
      <c r="BK12" s="256">
        <v>117.8</v>
      </c>
      <c r="BL12" s="256">
        <v>109.3</v>
      </c>
      <c r="BM12" s="257">
        <v>107</v>
      </c>
      <c r="BN12" s="258">
        <f t="shared" si="30"/>
        <v>450.5</v>
      </c>
      <c r="BO12" s="256">
        <v>105.3</v>
      </c>
      <c r="BP12" s="256">
        <v>111.7</v>
      </c>
      <c r="BQ12" s="256">
        <v>112.8</v>
      </c>
      <c r="BR12" s="257">
        <v>107.8</v>
      </c>
      <c r="BS12" s="258">
        <f t="shared" si="31"/>
        <v>437.6</v>
      </c>
      <c r="BT12" s="256">
        <v>106.6</v>
      </c>
      <c r="BU12" s="256">
        <v>113.2</v>
      </c>
      <c r="BV12" s="256">
        <v>112.9</v>
      </c>
      <c r="BW12" s="257">
        <v>110.5</v>
      </c>
      <c r="BX12" s="258">
        <f t="shared" si="32"/>
        <v>443.20000000000005</v>
      </c>
      <c r="BY12" s="256">
        <v>110.1</v>
      </c>
      <c r="BZ12" s="256">
        <v>116.6</v>
      </c>
      <c r="CA12" s="256">
        <v>118</v>
      </c>
      <c r="CB12" s="257">
        <v>117</v>
      </c>
      <c r="CC12" s="258">
        <f t="shared" si="33"/>
        <v>461.7</v>
      </c>
      <c r="CD12" s="256">
        <v>116.6</v>
      </c>
      <c r="CE12" s="256">
        <v>120</v>
      </c>
      <c r="CF12" s="256">
        <v>118</v>
      </c>
      <c r="CG12" s="257">
        <v>117.6</v>
      </c>
      <c r="CH12" s="258">
        <f t="shared" si="34"/>
        <v>472.20000000000005</v>
      </c>
      <c r="CI12" s="256">
        <v>118.4</v>
      </c>
      <c r="CJ12" s="256">
        <v>118.8</v>
      </c>
      <c r="CK12" s="256">
        <v>117.6</v>
      </c>
      <c r="CL12" s="257">
        <v>111.9</v>
      </c>
      <c r="CM12" s="258">
        <f t="shared" si="35"/>
        <v>466.69999999999993</v>
      </c>
      <c r="CN12" s="256">
        <v>109.3</v>
      </c>
      <c r="CO12" s="256">
        <v>109</v>
      </c>
      <c r="CP12" s="256">
        <v>108.5</v>
      </c>
      <c r="CQ12" s="257">
        <v>101.3</v>
      </c>
      <c r="CR12" s="258">
        <f t="shared" si="36"/>
        <v>428.1</v>
      </c>
      <c r="CS12" s="256">
        <v>100.2</v>
      </c>
      <c r="CT12" s="256">
        <v>102.4</v>
      </c>
      <c r="CU12" s="256">
        <v>101.5</v>
      </c>
      <c r="CV12" s="257">
        <v>90</v>
      </c>
      <c r="CW12" s="258">
        <f t="shared" si="37"/>
        <v>394.1</v>
      </c>
      <c r="CX12" s="256">
        <v>74.599999999999994</v>
      </c>
      <c r="CY12" s="256">
        <v>74</v>
      </c>
      <c r="CZ12" s="256">
        <v>79.3</v>
      </c>
      <c r="DA12" s="256">
        <v>78.5</v>
      </c>
      <c r="DB12" s="258">
        <f t="shared" si="38"/>
        <v>306.39999999999998</v>
      </c>
      <c r="DC12" s="256">
        <v>78.400000000000006</v>
      </c>
      <c r="DD12" s="256">
        <v>85.3</v>
      </c>
      <c r="DE12" s="256">
        <v>84.9</v>
      </c>
      <c r="DF12" s="256">
        <v>79.099999999999994</v>
      </c>
      <c r="DG12" s="258">
        <f>SUM(DC12:DF12)</f>
        <v>327.7</v>
      </c>
      <c r="DH12" s="256">
        <v>79.900000000000006</v>
      </c>
      <c r="DI12" s="256">
        <v>78.900000000000006</v>
      </c>
      <c r="DJ12" s="256">
        <v>80.900000000000006</v>
      </c>
      <c r="DK12" s="256">
        <v>74.599999999999994</v>
      </c>
      <c r="DL12" s="258">
        <f>SUM(DH12:DK12)</f>
        <v>314.3</v>
      </c>
      <c r="DM12" s="256">
        <v>76.7</v>
      </c>
      <c r="DN12" s="256">
        <v>76.900000000000006</v>
      </c>
      <c r="DO12" s="256">
        <v>76.7</v>
      </c>
      <c r="DP12" s="256">
        <v>75.5</v>
      </c>
      <c r="DQ12" s="258">
        <f>SUM(DM12:DP12)</f>
        <v>305.8</v>
      </c>
      <c r="DR12" s="256">
        <v>76.599999999999994</v>
      </c>
      <c r="DS12" s="256">
        <v>76.400000000000006</v>
      </c>
      <c r="DT12" s="259">
        <v>79.400000000000006</v>
      </c>
      <c r="DU12" s="256">
        <v>77</v>
      </c>
      <c r="DV12" s="258">
        <f t="shared" si="9"/>
        <v>309.39999999999998</v>
      </c>
      <c r="DW12" s="256">
        <v>72.400000000000006</v>
      </c>
      <c r="DX12" s="256">
        <v>76</v>
      </c>
      <c r="DY12" s="259">
        <v>79.400000000000006</v>
      </c>
      <c r="DZ12" s="256">
        <v>75.400000000000006</v>
      </c>
      <c r="EA12" s="258">
        <f t="shared" si="10"/>
        <v>303.20000000000005</v>
      </c>
      <c r="EB12" s="256">
        <v>72.5</v>
      </c>
      <c r="EC12" s="256">
        <v>77.2</v>
      </c>
      <c r="ED12" s="259">
        <v>77.8</v>
      </c>
      <c r="EE12" s="256">
        <v>72.400000000000006</v>
      </c>
      <c r="EF12" s="258">
        <f t="shared" si="11"/>
        <v>299.89999999999998</v>
      </c>
      <c r="EG12" s="256">
        <v>73</v>
      </c>
      <c r="EH12" s="256">
        <v>71.599999999999994</v>
      </c>
      <c r="EI12" s="259">
        <v>71.7</v>
      </c>
      <c r="EJ12" s="256">
        <v>67.7</v>
      </c>
      <c r="EK12" s="258">
        <f t="shared" si="12"/>
        <v>284</v>
      </c>
      <c r="EL12" s="256">
        <v>70.599999999999994</v>
      </c>
      <c r="EM12" s="256">
        <v>70.3</v>
      </c>
      <c r="EN12" s="259">
        <v>73.400000000000006</v>
      </c>
      <c r="EO12" s="256">
        <v>70.3</v>
      </c>
      <c r="EP12" s="258">
        <f t="shared" si="13"/>
        <v>284.59999999999997</v>
      </c>
      <c r="EQ12" s="256">
        <v>69.599999999999994</v>
      </c>
      <c r="ER12" s="259">
        <f t="shared" si="14"/>
        <v>70.3</v>
      </c>
      <c r="ES12" s="259">
        <f t="shared" si="15"/>
        <v>72.666000000000011</v>
      </c>
      <c r="ET12" s="259">
        <f t="shared" si="15"/>
        <v>69.245499999999993</v>
      </c>
      <c r="EU12" s="1930">
        <f t="shared" si="16"/>
        <v>281.81149999999997</v>
      </c>
      <c r="EZ12" s="737">
        <f t="shared" si="17"/>
        <v>283.22055749999993</v>
      </c>
      <c r="FE12" s="737">
        <f t="shared" si="18"/>
        <v>284.63666028749992</v>
      </c>
      <c r="FF12" s="737"/>
      <c r="FG12" s="620"/>
      <c r="FH12" s="1017"/>
      <c r="FI12" s="1017"/>
      <c r="FJ12" s="1017"/>
      <c r="FK12" s="1017"/>
      <c r="FL12" s="1792"/>
      <c r="FM12" s="256">
        <f t="shared" si="7"/>
        <v>69.599999999999994</v>
      </c>
      <c r="FN12" s="256">
        <f t="shared" si="8"/>
        <v>70.599999999999994</v>
      </c>
      <c r="FO12" s="259">
        <v>70.599999999999994</v>
      </c>
      <c r="FP12" s="16">
        <f t="shared" si="19"/>
        <v>-1.4164305949008527E-2</v>
      </c>
      <c r="FQ12" s="16">
        <f t="shared" si="19"/>
        <v>-1.4164305949008527E-2</v>
      </c>
      <c r="FR12" s="564"/>
      <c r="FS12" s="564"/>
      <c r="FT12" s="564"/>
      <c r="FU12" s="1149" t="s">
        <v>34</v>
      </c>
      <c r="FV12" s="1150"/>
      <c r="FW12" s="564"/>
      <c r="FX12" s="564"/>
      <c r="FY12" s="564"/>
      <c r="FZ12" s="564"/>
      <c r="GA12" s="620"/>
      <c r="GB12"/>
      <c r="GC12"/>
      <c r="GD12"/>
      <c r="GE12"/>
      <c r="GF12"/>
      <c r="GG12"/>
      <c r="GH12" s="944"/>
      <c r="GI12" s="944"/>
      <c r="GJ12" s="944"/>
      <c r="GK12" s="944"/>
      <c r="GL12" s="944"/>
      <c r="GM12" s="944"/>
      <c r="GN12" s="944"/>
      <c r="GO12" s="944"/>
      <c r="GP12" s="944"/>
      <c r="GQ12" s="944"/>
      <c r="GR12" s="944"/>
      <c r="GS12" s="944"/>
      <c r="GT12" s="944"/>
      <c r="GU12" s="944"/>
      <c r="GV12" s="944"/>
      <c r="GW12" s="944"/>
      <c r="GX12" s="944"/>
      <c r="GY12" s="944"/>
      <c r="GZ12" s="944"/>
      <c r="HA12" s="944"/>
      <c r="HB12" s="944"/>
      <c r="HC12" s="944"/>
      <c r="HD12" s="944"/>
      <c r="HE12" s="944"/>
      <c r="HF12" s="944"/>
      <c r="HG12" s="944"/>
      <c r="HH12" s="944"/>
      <c r="HI12" s="944"/>
      <c r="HJ12" s="944"/>
      <c r="HK12" s="944"/>
      <c r="HL12" s="944"/>
      <c r="HM12" s="944"/>
      <c r="HN12" s="944"/>
      <c r="HO12" s="944"/>
      <c r="HP12" s="944"/>
      <c r="HQ12" s="944"/>
      <c r="HR12" s="944"/>
      <c r="HS12" s="944"/>
      <c r="HT12" s="944"/>
      <c r="HU12" s="944"/>
      <c r="HV12" s="944"/>
      <c r="HW12" s="944"/>
      <c r="HX12" s="944"/>
      <c r="HY12" s="944"/>
      <c r="HZ12" s="944"/>
      <c r="IA12" s="944"/>
      <c r="IB12" s="944"/>
      <c r="IC12" s="944"/>
      <c r="ID12" s="944"/>
      <c r="IE12" s="944"/>
      <c r="IF12" s="944"/>
      <c r="IG12" s="944"/>
      <c r="IH12" s="944"/>
      <c r="II12" s="944"/>
      <c r="IJ12" s="944"/>
      <c r="IK12" s="944"/>
      <c r="IL12" s="944"/>
      <c r="IM12" s="944"/>
      <c r="IN12" s="944"/>
      <c r="IO12" s="944"/>
      <c r="IP12" s="944"/>
      <c r="IQ12" s="944"/>
      <c r="IR12" s="944"/>
      <c r="IS12" s="944"/>
      <c r="IT12" s="944"/>
      <c r="IU12" s="944"/>
      <c r="IV12" s="944"/>
    </row>
    <row r="13" spans="1:256" s="17" customFormat="1" ht="12.75" x14ac:dyDescent="0.2">
      <c r="A13" s="459" t="s">
        <v>84</v>
      </c>
      <c r="E13" s="196"/>
      <c r="F13" s="18"/>
      <c r="J13" s="196"/>
      <c r="K13" s="18"/>
      <c r="L13" s="17">
        <f t="shared" ref="L13:BW13" si="39">L8+L6++L10+L11+L12+L7+L9</f>
        <v>950.59999999999991</v>
      </c>
      <c r="M13" s="17">
        <f t="shared" si="39"/>
        <v>948.7</v>
      </c>
      <c r="N13" s="17">
        <f t="shared" si="39"/>
        <v>983.59999999999991</v>
      </c>
      <c r="O13" s="196">
        <f t="shared" si="39"/>
        <v>959.60000000000014</v>
      </c>
      <c r="P13" s="18">
        <f t="shared" si="39"/>
        <v>3842.5</v>
      </c>
      <c r="Q13" s="17">
        <f t="shared" si="39"/>
        <v>967.90000000000009</v>
      </c>
      <c r="R13" s="17">
        <f t="shared" si="39"/>
        <v>978.49999999999989</v>
      </c>
      <c r="S13" s="17">
        <f t="shared" si="39"/>
        <v>994.69999999999993</v>
      </c>
      <c r="T13" s="196">
        <f t="shared" si="39"/>
        <v>1012.7</v>
      </c>
      <c r="U13" s="18">
        <f t="shared" si="39"/>
        <v>3953.8</v>
      </c>
      <c r="V13" s="17">
        <f t="shared" si="39"/>
        <v>971.8</v>
      </c>
      <c r="W13" s="17">
        <f t="shared" si="39"/>
        <v>1028.8999999999999</v>
      </c>
      <c r="X13" s="17">
        <f t="shared" si="39"/>
        <v>995.3</v>
      </c>
      <c r="Y13" s="196">
        <f t="shared" si="39"/>
        <v>1031.8</v>
      </c>
      <c r="Z13" s="18">
        <f t="shared" si="39"/>
        <v>4027.8</v>
      </c>
      <c r="AA13" s="17">
        <f t="shared" si="39"/>
        <v>1014.4</v>
      </c>
      <c r="AB13" s="17">
        <f t="shared" si="39"/>
        <v>1100.8999999999999</v>
      </c>
      <c r="AC13" s="17">
        <f t="shared" si="39"/>
        <v>1078.0999999999999</v>
      </c>
      <c r="AD13" s="196">
        <f t="shared" si="39"/>
        <v>1114</v>
      </c>
      <c r="AE13" s="18">
        <f t="shared" si="39"/>
        <v>4307.3999999999996</v>
      </c>
      <c r="AF13" s="17">
        <f t="shared" si="39"/>
        <v>1111.8</v>
      </c>
      <c r="AG13" s="17">
        <f t="shared" si="39"/>
        <v>1122.8000000000002</v>
      </c>
      <c r="AH13" s="17">
        <f t="shared" si="39"/>
        <v>1100.5999999999999</v>
      </c>
      <c r="AI13" s="196">
        <f t="shared" si="39"/>
        <v>1113.4000000000001</v>
      </c>
      <c r="AJ13" s="18">
        <f t="shared" si="39"/>
        <v>4448.6000000000004</v>
      </c>
      <c r="AK13" s="17">
        <f t="shared" si="39"/>
        <v>1104.8</v>
      </c>
      <c r="AL13" s="17">
        <f t="shared" si="39"/>
        <v>1141.8</v>
      </c>
      <c r="AM13" s="17">
        <f t="shared" si="39"/>
        <v>1146.0999999999999</v>
      </c>
      <c r="AN13" s="196">
        <f t="shared" si="39"/>
        <v>1160.2</v>
      </c>
      <c r="AO13" s="18">
        <f t="shared" si="39"/>
        <v>4552.8999999999996</v>
      </c>
      <c r="AP13" s="17">
        <f t="shared" si="39"/>
        <v>1155.5</v>
      </c>
      <c r="AQ13" s="17">
        <f t="shared" si="39"/>
        <v>1201.8000000000002</v>
      </c>
      <c r="AR13" s="17">
        <f t="shared" si="39"/>
        <v>1193.5</v>
      </c>
      <c r="AS13" s="196">
        <f t="shared" si="39"/>
        <v>1207.9000000000001</v>
      </c>
      <c r="AT13" s="18">
        <f t="shared" si="39"/>
        <v>4758.7000000000007</v>
      </c>
      <c r="AU13" s="17">
        <f t="shared" si="39"/>
        <v>1209.2</v>
      </c>
      <c r="AV13" s="17">
        <f t="shared" si="39"/>
        <v>1230.8000000000002</v>
      </c>
      <c r="AW13" s="17">
        <f t="shared" si="39"/>
        <v>1182.5</v>
      </c>
      <c r="AX13" s="196">
        <f t="shared" si="39"/>
        <v>1180.8</v>
      </c>
      <c r="AY13" s="18">
        <f t="shared" si="39"/>
        <v>4803.3000000000011</v>
      </c>
      <c r="AZ13" s="17">
        <f t="shared" si="39"/>
        <v>1158.7</v>
      </c>
      <c r="BA13" s="17">
        <f t="shared" si="39"/>
        <v>1369.3999999999999</v>
      </c>
      <c r="BB13" s="17">
        <f t="shared" si="39"/>
        <v>1713.7000000000003</v>
      </c>
      <c r="BC13" s="196">
        <f t="shared" si="39"/>
        <v>1719.06</v>
      </c>
      <c r="BD13" s="18">
        <f t="shared" si="39"/>
        <v>5960.8600000000006</v>
      </c>
      <c r="BE13" s="17">
        <f t="shared" si="39"/>
        <v>1677.5</v>
      </c>
      <c r="BF13" s="17">
        <f t="shared" si="39"/>
        <v>1755.8000000000002</v>
      </c>
      <c r="BG13" s="17">
        <f t="shared" si="39"/>
        <v>1732.1999999999998</v>
      </c>
      <c r="BH13" s="196">
        <f t="shared" si="39"/>
        <v>1681.6</v>
      </c>
      <c r="BI13" s="18">
        <f t="shared" si="39"/>
        <v>6847.1</v>
      </c>
      <c r="BJ13" s="17">
        <f t="shared" si="39"/>
        <v>1653.6000000000001</v>
      </c>
      <c r="BK13" s="17">
        <f t="shared" si="39"/>
        <v>1686.9</v>
      </c>
      <c r="BL13" s="17">
        <f t="shared" si="39"/>
        <v>1623.5</v>
      </c>
      <c r="BM13" s="196">
        <f t="shared" si="39"/>
        <v>1660.9880000000001</v>
      </c>
      <c r="BN13" s="18">
        <f t="shared" si="39"/>
        <v>6624.9880000000003</v>
      </c>
      <c r="BO13" s="17">
        <f t="shared" si="39"/>
        <v>1606.3999999999999</v>
      </c>
      <c r="BP13" s="17">
        <f t="shared" si="39"/>
        <v>1716.5</v>
      </c>
      <c r="BQ13" s="17">
        <f t="shared" si="39"/>
        <v>1735.8</v>
      </c>
      <c r="BR13" s="196">
        <f t="shared" si="39"/>
        <v>1662</v>
      </c>
      <c r="BS13" s="18">
        <f t="shared" si="39"/>
        <v>6720.7000000000007</v>
      </c>
      <c r="BT13" s="17">
        <f t="shared" si="39"/>
        <v>1648</v>
      </c>
      <c r="BU13" s="17">
        <f t="shared" si="39"/>
        <v>1735.8000000000002</v>
      </c>
      <c r="BV13" s="17">
        <f t="shared" si="39"/>
        <v>1721.9</v>
      </c>
      <c r="BW13" s="196">
        <f t="shared" si="39"/>
        <v>1755.5</v>
      </c>
      <c r="BX13" s="18">
        <f t="shared" ref="BX13:CS13" si="40">BX8+BX6++BX10+BX11+BX12+BX7+BX9</f>
        <v>6861.1999999999989</v>
      </c>
      <c r="BY13" s="17">
        <f t="shared" si="40"/>
        <v>1757</v>
      </c>
      <c r="BZ13" s="17">
        <f t="shared" si="40"/>
        <v>1875.1999999999998</v>
      </c>
      <c r="CA13" s="17">
        <f t="shared" si="40"/>
        <v>1904.7000000000003</v>
      </c>
      <c r="CB13" s="196">
        <f t="shared" si="40"/>
        <v>1927.2999999999997</v>
      </c>
      <c r="CC13" s="18">
        <f t="shared" si="40"/>
        <v>7464.2</v>
      </c>
      <c r="CD13" s="17">
        <f t="shared" si="40"/>
        <v>1863.116</v>
      </c>
      <c r="CE13" s="17">
        <f t="shared" si="40"/>
        <v>1947.9</v>
      </c>
      <c r="CF13" s="17">
        <f t="shared" si="40"/>
        <v>1992.2999999999997</v>
      </c>
      <c r="CG13" s="196">
        <f t="shared" si="40"/>
        <v>1983.2</v>
      </c>
      <c r="CH13" s="18">
        <f t="shared" si="40"/>
        <v>7786.5159999999996</v>
      </c>
      <c r="CI13" s="17">
        <f t="shared" si="40"/>
        <v>1957.1999999999998</v>
      </c>
      <c r="CJ13" s="17">
        <f t="shared" si="40"/>
        <v>2024.7</v>
      </c>
      <c r="CK13" s="17">
        <f t="shared" si="40"/>
        <v>1990.9</v>
      </c>
      <c r="CL13" s="196">
        <f t="shared" si="40"/>
        <v>1928.1</v>
      </c>
      <c r="CM13" s="18">
        <f t="shared" si="40"/>
        <v>7900.9</v>
      </c>
      <c r="CN13" s="17">
        <f t="shared" si="40"/>
        <v>1871.5</v>
      </c>
      <c r="CO13" s="17">
        <f t="shared" si="40"/>
        <v>1942.3000000000002</v>
      </c>
      <c r="CP13" s="17">
        <f t="shared" si="40"/>
        <v>1909.1</v>
      </c>
      <c r="CQ13" s="196">
        <f t="shared" si="40"/>
        <v>1870.1</v>
      </c>
      <c r="CR13" s="18">
        <f t="shared" si="40"/>
        <v>7592.9999999999991</v>
      </c>
      <c r="CS13" s="17">
        <f t="shared" si="40"/>
        <v>1828</v>
      </c>
      <c r="CT13" s="17">
        <f>CT8+CT6+CT10+CT11+CT12+CT7+CT9</f>
        <v>1901</v>
      </c>
      <c r="CU13" s="17">
        <f t="shared" ref="CU13:DY13" si="41">CU8+CU6+CU10+CU11+CU12+CU7+CU9</f>
        <v>1895.3000000000002</v>
      </c>
      <c r="CV13" s="196">
        <f t="shared" si="41"/>
        <v>1725.2</v>
      </c>
      <c r="CW13" s="18">
        <f t="shared" si="41"/>
        <v>7349.5</v>
      </c>
      <c r="CX13" s="17">
        <f t="shared" si="41"/>
        <v>1455.6</v>
      </c>
      <c r="CY13" s="17">
        <f t="shared" si="41"/>
        <v>1412.3</v>
      </c>
      <c r="CZ13" s="17">
        <f t="shared" si="41"/>
        <v>1522.1999999999998</v>
      </c>
      <c r="DA13" s="17">
        <f t="shared" si="41"/>
        <v>1567.2</v>
      </c>
      <c r="DB13" s="18">
        <f t="shared" si="41"/>
        <v>5957.3</v>
      </c>
      <c r="DC13" s="17">
        <f t="shared" si="41"/>
        <v>1582.9</v>
      </c>
      <c r="DD13" s="17">
        <f t="shared" si="41"/>
        <v>1719.7999999999997</v>
      </c>
      <c r="DE13" s="17">
        <f t="shared" si="41"/>
        <v>1752.6</v>
      </c>
      <c r="DF13" s="17">
        <f t="shared" si="41"/>
        <v>1708.8000000000002</v>
      </c>
      <c r="DG13" s="18">
        <f t="shared" si="41"/>
        <v>6764.1</v>
      </c>
      <c r="DH13" s="17">
        <f t="shared" si="41"/>
        <v>1711.2</v>
      </c>
      <c r="DI13" s="17">
        <f t="shared" si="41"/>
        <v>1786.9</v>
      </c>
      <c r="DJ13" s="17">
        <f t="shared" si="41"/>
        <v>1809.9</v>
      </c>
      <c r="DK13" s="17">
        <f t="shared" si="41"/>
        <v>1806.6999999999998</v>
      </c>
      <c r="DL13" s="18">
        <f t="shared" si="41"/>
        <v>7114.7000000000007</v>
      </c>
      <c r="DM13" s="17">
        <f t="shared" si="41"/>
        <v>1730.8</v>
      </c>
      <c r="DN13" s="17">
        <f t="shared" si="41"/>
        <v>1799.2999999999997</v>
      </c>
      <c r="DO13" s="17">
        <f t="shared" si="41"/>
        <v>1785</v>
      </c>
      <c r="DP13" s="17">
        <f t="shared" si="41"/>
        <v>1792.1</v>
      </c>
      <c r="DQ13" s="18">
        <f t="shared" si="41"/>
        <v>7107.2000000000007</v>
      </c>
      <c r="DR13" s="17">
        <f t="shared" si="41"/>
        <v>1783.6000000000001</v>
      </c>
      <c r="DS13" s="17">
        <f t="shared" si="41"/>
        <v>1838.1999999999998</v>
      </c>
      <c r="DT13" s="17">
        <f t="shared" si="41"/>
        <v>1857.1</v>
      </c>
      <c r="DU13" s="17">
        <f t="shared" si="41"/>
        <v>1862</v>
      </c>
      <c r="DV13" s="18">
        <f t="shared" si="41"/>
        <v>7340.9</v>
      </c>
      <c r="DW13" s="17">
        <f t="shared" si="41"/>
        <v>1762.6</v>
      </c>
      <c r="DX13" s="17">
        <f t="shared" si="41"/>
        <v>1983.1</v>
      </c>
      <c r="DY13" s="17">
        <f t="shared" si="41"/>
        <v>2001</v>
      </c>
      <c r="DZ13" s="17">
        <f t="shared" ref="DZ13:EF13" si="42">DZ8+DZ6+DZ10+DZ11+DZ12+DZ7+DZ9</f>
        <v>1928.1999999999998</v>
      </c>
      <c r="EA13" s="18">
        <f t="shared" si="42"/>
        <v>7674.9</v>
      </c>
      <c r="EB13" s="17">
        <f t="shared" si="42"/>
        <v>1802.1</v>
      </c>
      <c r="EC13" s="17">
        <f t="shared" si="42"/>
        <v>1937.1000000000001</v>
      </c>
      <c r="ED13" s="17">
        <f t="shared" si="42"/>
        <v>1936.3</v>
      </c>
      <c r="EE13" s="17">
        <f t="shared" si="42"/>
        <v>1803.4</v>
      </c>
      <c r="EF13" s="18">
        <f t="shared" si="42"/>
        <v>7478.9</v>
      </c>
      <c r="EG13" s="17">
        <f t="shared" ref="EG13:EL13" si="43">EG8+EG6+EG10+EG11+EG12+EG7+EG9</f>
        <v>1757.1</v>
      </c>
      <c r="EH13" s="17">
        <f t="shared" si="43"/>
        <v>1800.5</v>
      </c>
      <c r="EI13" s="17">
        <f t="shared" si="43"/>
        <v>1862.1999999999998</v>
      </c>
      <c r="EJ13" s="17">
        <f t="shared" si="43"/>
        <v>1839.9</v>
      </c>
      <c r="EK13" s="18">
        <f t="shared" si="43"/>
        <v>7259.7000000000007</v>
      </c>
      <c r="EL13" s="17">
        <f t="shared" si="43"/>
        <v>1846.6</v>
      </c>
      <c r="EM13" s="17">
        <f t="shared" ref="EM13:EQ13" si="44">EM8+EM6+EM10+EM11+EM12+EM7+EM9</f>
        <v>1910.8</v>
      </c>
      <c r="EN13" s="17">
        <f t="shared" si="44"/>
        <v>1929</v>
      </c>
      <c r="EO13" s="17">
        <f t="shared" si="44"/>
        <v>1925.1</v>
      </c>
      <c r="EP13" s="18">
        <f t="shared" si="44"/>
        <v>7611.5</v>
      </c>
      <c r="EQ13" s="17">
        <f t="shared" si="44"/>
        <v>1904.4</v>
      </c>
      <c r="ER13" s="17">
        <f t="shared" ref="ER13" si="45">ER8+ER6+ER10+ER11+ER12+ER7+ER9</f>
        <v>1987.2640000000001</v>
      </c>
      <c r="ES13" s="17">
        <f t="shared" ref="ES13:EZ13" si="46">ES8+ES6+ES10+ES11+ES12+ES7+ES9</f>
        <v>2011.8040000000003</v>
      </c>
      <c r="ET13" s="17">
        <f t="shared" si="46"/>
        <v>1976.9795000000001</v>
      </c>
      <c r="EU13" s="1931">
        <f t="shared" ref="EU13" si="47">EU8+EU6+EU10+EU11+EU12+EU7+EU9</f>
        <v>7880.4475000000002</v>
      </c>
      <c r="EV13" s="17">
        <f t="shared" si="46"/>
        <v>0</v>
      </c>
      <c r="EW13" s="17">
        <f t="shared" si="46"/>
        <v>0</v>
      </c>
      <c r="EX13" s="17">
        <f t="shared" si="46"/>
        <v>0</v>
      </c>
      <c r="EY13" s="17">
        <f t="shared" si="46"/>
        <v>0</v>
      </c>
      <c r="EZ13" s="739">
        <f t="shared" si="46"/>
        <v>8037.9294874999996</v>
      </c>
      <c r="FA13" s="17">
        <f t="shared" ref="FA13:FE13" si="48">FA8+FA6+FA10+FA11+FA12+FA7+FA9</f>
        <v>0</v>
      </c>
      <c r="FB13" s="17">
        <f t="shared" si="48"/>
        <v>0</v>
      </c>
      <c r="FC13" s="17">
        <f t="shared" si="48"/>
        <v>0</v>
      </c>
      <c r="FD13" s="17">
        <f t="shared" si="48"/>
        <v>0</v>
      </c>
      <c r="FE13" s="739">
        <f t="shared" si="48"/>
        <v>8228.4091201124993</v>
      </c>
      <c r="FF13" s="739"/>
      <c r="FG13" s="622"/>
      <c r="FH13" s="1019"/>
      <c r="FI13" s="1019"/>
      <c r="FJ13" s="1019"/>
      <c r="FK13" s="1019"/>
      <c r="FL13" s="1794"/>
      <c r="FM13" s="17">
        <f t="shared" si="7"/>
        <v>1904.4</v>
      </c>
      <c r="FN13" s="17">
        <f t="shared" si="8"/>
        <v>1846.6</v>
      </c>
      <c r="FO13" s="17">
        <v>1897.615</v>
      </c>
      <c r="FP13" s="1861">
        <f>IFERROR(($FM13/FN13)-1,"")</f>
        <v>3.1300768980829785E-2</v>
      </c>
      <c r="FQ13" s="1861">
        <f>IFERROR(($FM13/FO13)-1,"")</f>
        <v>3.5755408763105123E-3</v>
      </c>
      <c r="FR13" s="564"/>
      <c r="FS13" s="564"/>
      <c r="FT13" s="564"/>
      <c r="FU13" s="532"/>
      <c r="FV13" s="532"/>
      <c r="FW13" s="532"/>
      <c r="FX13" s="532"/>
      <c r="FY13" s="532"/>
      <c r="FZ13" s="532"/>
      <c r="GA13" s="622"/>
      <c r="GB13"/>
      <c r="GC13"/>
      <c r="GD13"/>
      <c r="GE13"/>
      <c r="GF13"/>
      <c r="GG13"/>
      <c r="GH13" s="945"/>
      <c r="GI13" s="945"/>
      <c r="GJ13" s="945"/>
      <c r="GK13" s="945"/>
      <c r="GL13" s="945"/>
      <c r="GM13" s="945"/>
      <c r="GN13" s="945"/>
      <c r="GO13" s="945"/>
      <c r="GP13" s="945"/>
      <c r="GQ13" s="945"/>
      <c r="GR13" s="945"/>
      <c r="GS13" s="945"/>
      <c r="GT13" s="945"/>
      <c r="GU13" s="945"/>
      <c r="GV13" s="945"/>
      <c r="GW13" s="945"/>
      <c r="GX13" s="945"/>
      <c r="GY13" s="945"/>
      <c r="GZ13" s="945"/>
      <c r="HA13" s="945"/>
      <c r="HB13" s="945"/>
      <c r="HC13" s="945"/>
      <c r="HD13" s="945"/>
      <c r="HE13" s="945"/>
      <c r="HF13" s="945"/>
      <c r="HG13" s="945"/>
      <c r="HH13" s="945"/>
      <c r="HI13" s="945"/>
      <c r="HJ13" s="945"/>
      <c r="HK13" s="945"/>
      <c r="HL13" s="945"/>
      <c r="HM13" s="945"/>
      <c r="HN13" s="945"/>
      <c r="HO13" s="945"/>
      <c r="HP13" s="945"/>
      <c r="HQ13" s="945"/>
      <c r="HR13" s="945"/>
      <c r="HS13" s="945"/>
      <c r="HT13" s="945"/>
      <c r="HU13" s="945"/>
      <c r="HV13" s="945"/>
      <c r="HW13" s="945"/>
      <c r="HX13" s="945"/>
      <c r="HY13" s="945"/>
      <c r="HZ13" s="945"/>
      <c r="IA13" s="945"/>
      <c r="IB13" s="945"/>
      <c r="IC13" s="945"/>
      <c r="ID13" s="945"/>
      <c r="IE13" s="945"/>
      <c r="IF13" s="945"/>
      <c r="IG13" s="945"/>
      <c r="IH13" s="945"/>
      <c r="II13" s="945"/>
      <c r="IJ13" s="945"/>
      <c r="IK13" s="945"/>
      <c r="IL13" s="945"/>
      <c r="IM13" s="945"/>
      <c r="IN13" s="945"/>
      <c r="IO13" s="945"/>
      <c r="IP13" s="945"/>
      <c r="IQ13" s="945"/>
      <c r="IR13" s="945"/>
      <c r="IS13" s="945"/>
      <c r="IT13" s="945"/>
      <c r="IU13" s="945"/>
      <c r="IV13" s="945"/>
    </row>
    <row r="14" spans="1:256" s="458" customFormat="1" ht="12.75" x14ac:dyDescent="0.2">
      <c r="A14" s="460" t="s">
        <v>13</v>
      </c>
      <c r="F14" s="462"/>
      <c r="K14" s="462"/>
      <c r="M14" s="458">
        <f>M13/L13-1</f>
        <v>-1.9987376393855172E-3</v>
      </c>
      <c r="N14" s="458">
        <f>N13/M13-1</f>
        <v>3.6787182460208623E-2</v>
      </c>
      <c r="O14" s="458">
        <f>O13/N13-1</f>
        <v>-2.4400162667750913E-2</v>
      </c>
      <c r="P14" s="462"/>
      <c r="Q14" s="458">
        <f>Q13/O13-1</f>
        <v>8.6494372655272489E-3</v>
      </c>
      <c r="R14" s="458">
        <f>R13/Q13-1</f>
        <v>1.095154458105152E-2</v>
      </c>
      <c r="S14" s="458">
        <f>S13/R13-1</f>
        <v>1.6555952989269374E-2</v>
      </c>
      <c r="T14" s="458">
        <f>T13/S13-1</f>
        <v>1.8095908314064602E-2</v>
      </c>
      <c r="U14" s="462"/>
      <c r="V14" s="458">
        <f>V13/T13-1</f>
        <v>-4.0387084032783682E-2</v>
      </c>
      <c r="W14" s="458">
        <f>W13/V13-1</f>
        <v>5.8756945873636557E-2</v>
      </c>
      <c r="X14" s="458">
        <f>X13/W13-1</f>
        <v>-3.2656234813878804E-2</v>
      </c>
      <c r="Y14" s="458">
        <f>Y13/X13-1</f>
        <v>3.6672360092434353E-2</v>
      </c>
      <c r="Z14" s="462"/>
      <c r="AA14" s="458">
        <f>AA13/Y13-1</f>
        <v>-1.68637332816437E-2</v>
      </c>
      <c r="AB14" s="458">
        <f>AB13/AA13-1</f>
        <v>8.5272082018927442E-2</v>
      </c>
      <c r="AC14" s="458">
        <f>AC13/AB13-1</f>
        <v>-2.0710327913525228E-2</v>
      </c>
      <c r="AD14" s="458">
        <f>AD13/AC13-1</f>
        <v>3.3299322882849536E-2</v>
      </c>
      <c r="AE14" s="462"/>
      <c r="AF14" s="458">
        <f>AF13/AD13-1</f>
        <v>-1.9748653500898383E-3</v>
      </c>
      <c r="AG14" s="458">
        <f>AG13/AF13-1</f>
        <v>9.8938658032021731E-3</v>
      </c>
      <c r="AH14" s="458">
        <f>AH13/AG13-1</f>
        <v>-1.9771998574991345E-2</v>
      </c>
      <c r="AI14" s="458">
        <f>AI13/AH13-1</f>
        <v>1.1630019989097073E-2</v>
      </c>
      <c r="AJ14" s="462"/>
      <c r="AK14" s="458">
        <f>AK13/AI13-1</f>
        <v>-7.7240883779415848E-3</v>
      </c>
      <c r="AL14" s="458">
        <f>AL13/AK13-1</f>
        <v>3.3490224475018149E-2</v>
      </c>
      <c r="AM14" s="458">
        <f>AM13/AL13-1</f>
        <v>3.7659835347696458E-3</v>
      </c>
      <c r="AN14" s="458">
        <f>AN13/AM13-1</f>
        <v>1.2302591396911478E-2</v>
      </c>
      <c r="AO14" s="462"/>
      <c r="AP14" s="458">
        <f>AP13/AN13-1</f>
        <v>-4.0510256852267501E-3</v>
      </c>
      <c r="AQ14" s="458">
        <f>AQ13/AP13-1</f>
        <v>4.0069234097793283E-2</v>
      </c>
      <c r="AR14" s="458">
        <f>AR13/AQ13-1</f>
        <v>-6.9063072058580532E-3</v>
      </c>
      <c r="AS14" s="458">
        <f>AS13/AR13-1</f>
        <v>1.2065354000837969E-2</v>
      </c>
      <c r="AT14" s="462"/>
      <c r="AU14" s="458">
        <f>AU13/AS13-1</f>
        <v>1.0762480337775937E-3</v>
      </c>
      <c r="AV14" s="458">
        <f>AV13/AU13-1</f>
        <v>1.7863049950380461E-2</v>
      </c>
      <c r="AW14" s="458">
        <f>AW13/AV13-1</f>
        <v>-3.9242768930776828E-2</v>
      </c>
      <c r="AX14" s="458">
        <f>AX13/AW13-1</f>
        <v>-1.4376321353065658E-3</v>
      </c>
      <c r="AY14" s="462"/>
      <c r="AZ14" s="458">
        <f>AZ13/AX13-1</f>
        <v>-1.8716124661246503E-2</v>
      </c>
      <c r="BA14" s="458">
        <f>BA13/AZ13-1</f>
        <v>0.18184171916803304</v>
      </c>
      <c r="BB14" s="458">
        <f>BB13/BA13-1</f>
        <v>0.25142398130568155</v>
      </c>
      <c r="BC14" s="458">
        <f>BC13/BB13-1</f>
        <v>3.1277353095640059E-3</v>
      </c>
      <c r="BD14" s="462"/>
      <c r="BE14" s="458">
        <f>BE13/BC13-1</f>
        <v>-2.4176003164520066E-2</v>
      </c>
      <c r="BF14" s="458">
        <f>BF13/BE13-1</f>
        <v>4.6676602086438201E-2</v>
      </c>
      <c r="BG14" s="458">
        <f>BG13/BF13-1</f>
        <v>-1.3441166419865813E-2</v>
      </c>
      <c r="BH14" s="458">
        <f>BH13/BG13-1</f>
        <v>-2.9211407458722971E-2</v>
      </c>
      <c r="BI14" s="462"/>
      <c r="BJ14" s="458">
        <f>BJ13/BH13-1</f>
        <v>-1.6650808753567947E-2</v>
      </c>
      <c r="BK14" s="458">
        <f>BK13/BJ13-1</f>
        <v>2.0137880986937473E-2</v>
      </c>
      <c r="BL14" s="458">
        <f>BL13/BK13-1</f>
        <v>-3.7583733475606174E-2</v>
      </c>
      <c r="BM14" s="458">
        <f>BM13/BL13-1</f>
        <v>2.3090853095164787E-2</v>
      </c>
      <c r="BN14" s="462"/>
      <c r="BO14" s="458">
        <f>BO13/BM13-1</f>
        <v>-3.2864776867743917E-2</v>
      </c>
      <c r="BP14" s="458">
        <f>BP13/BO13-1</f>
        <v>6.8538346613545853E-2</v>
      </c>
      <c r="BQ14" s="458">
        <f>BQ13/BP13-1</f>
        <v>1.1243810078648275E-2</v>
      </c>
      <c r="BR14" s="458">
        <f>BR13/BQ13-1</f>
        <v>-4.2516418942274425E-2</v>
      </c>
      <c r="BS14" s="462"/>
      <c r="BT14" s="458">
        <f>BT13/BR13-1</f>
        <v>-8.4235860409145324E-3</v>
      </c>
      <c r="BU14" s="458">
        <f>BU13/BT13-1</f>
        <v>5.327669902912624E-2</v>
      </c>
      <c r="BV14" s="458">
        <f>BV13/BU13-1</f>
        <v>-8.0078350040327928E-3</v>
      </c>
      <c r="BW14" s="458">
        <f>BW13/BV13-1</f>
        <v>1.9513328300133415E-2</v>
      </c>
      <c r="BX14" s="462"/>
      <c r="BY14" s="458">
        <f>BY13/BW13-1</f>
        <v>8.5445741953860121E-4</v>
      </c>
      <c r="BZ14" s="458">
        <f>BZ13/BY13-1</f>
        <v>6.7273762094479217E-2</v>
      </c>
      <c r="CA14" s="458">
        <f>CA13/BZ13-1</f>
        <v>1.5731655290102564E-2</v>
      </c>
      <c r="CB14" s="458">
        <f>CB13/CA13-1</f>
        <v>1.1865385625032587E-2</v>
      </c>
      <c r="CC14" s="462"/>
      <c r="CD14" s="458">
        <f>CD13/CB13-1</f>
        <v>-3.3302547605458255E-2</v>
      </c>
      <c r="CE14" s="458">
        <f>CE13/CD13-1</f>
        <v>4.5506559978015337E-2</v>
      </c>
      <c r="CF14" s="458">
        <f>CF13/CE13-1</f>
        <v>2.2793777914677182E-2</v>
      </c>
      <c r="CG14" s="458">
        <f>CG13/CF13-1</f>
        <v>-4.5675852030314656E-3</v>
      </c>
      <c r="CH14" s="462"/>
      <c r="CI14" s="458">
        <f>CI13/CG13-1</f>
        <v>-1.3110125050423638E-2</v>
      </c>
      <c r="CJ14" s="458">
        <f>CJ13/CI13-1</f>
        <v>3.4488044144696639E-2</v>
      </c>
      <c r="CK14" s="458">
        <f>CK13/CJ13-1</f>
        <v>-1.6693831184866892E-2</v>
      </c>
      <c r="CL14" s="458">
        <f>CL13/CK13-1</f>
        <v>-3.1543523029785581E-2</v>
      </c>
      <c r="CM14" s="462"/>
      <c r="CN14" s="458">
        <f>CN13/CL13-1</f>
        <v>-2.9355323893988872E-2</v>
      </c>
      <c r="CO14" s="458">
        <f>CO13/CN13-1</f>
        <v>3.7830617152017298E-2</v>
      </c>
      <c r="CP14" s="458">
        <f>CP13/CO13-1</f>
        <v>-1.7093137002522907E-2</v>
      </c>
      <c r="CQ14" s="458">
        <f>CQ13/CP13-1</f>
        <v>-2.0428474150123055E-2</v>
      </c>
      <c r="CR14" s="462"/>
      <c r="CS14" s="458">
        <f>CS13/CQ13-1</f>
        <v>-2.251216512485954E-2</v>
      </c>
      <c r="CT14" s="458">
        <f>CT13/CS13-1</f>
        <v>3.9934354485776868E-2</v>
      </c>
      <c r="CU14" s="458">
        <f>CU13/CT13-1</f>
        <v>-2.9984218832193044E-3</v>
      </c>
      <c r="CV14" s="458">
        <f>CV13/CU13-1</f>
        <v>-8.9748324803461288E-2</v>
      </c>
      <c r="CW14" s="462"/>
      <c r="CX14" s="458">
        <f>CX13/CV13-1</f>
        <v>-0.15627173661024818</v>
      </c>
      <c r="CY14" s="458">
        <f>CY13/CX13-1</f>
        <v>-2.9747183292113233E-2</v>
      </c>
      <c r="CZ14" s="458">
        <f>CZ13/CY13-1</f>
        <v>7.781632797564253E-2</v>
      </c>
      <c r="DA14" s="458">
        <f>DA13/CZ13-1</f>
        <v>2.9562475364603991E-2</v>
      </c>
      <c r="DB14" s="462"/>
      <c r="DC14" s="458">
        <f>DC13/DA13-1</f>
        <v>1.0017866258295038E-2</v>
      </c>
      <c r="DD14" s="458">
        <f>DD13/DC13-1</f>
        <v>8.6486827973971669E-2</v>
      </c>
      <c r="DE14" s="458">
        <f>DE13/DD13-1</f>
        <v>1.9071985114548218E-2</v>
      </c>
      <c r="DF14" s="458">
        <f>DF13/DE13-1</f>
        <v>-2.4991441287230298E-2</v>
      </c>
      <c r="DG14" s="462"/>
      <c r="DH14" s="458">
        <f>DH13/DF13-1</f>
        <v>1.4044943820223921E-3</v>
      </c>
      <c r="DI14" s="458">
        <f>DI13/DH13-1</f>
        <v>4.423796166432914E-2</v>
      </c>
      <c r="DJ14" s="458">
        <f>DJ13/DI13-1</f>
        <v>1.2871453354972306E-2</v>
      </c>
      <c r="DK14" s="458">
        <f>DK13/DJ13-1</f>
        <v>-1.7680534836180817E-3</v>
      </c>
      <c r="DL14" s="462"/>
      <c r="DM14" s="458">
        <f>DM13/DK13-1</f>
        <v>-4.2010295013007015E-2</v>
      </c>
      <c r="DN14" s="458">
        <f>DN13/DM13-1</f>
        <v>3.9577074185347616E-2</v>
      </c>
      <c r="DO14" s="458">
        <f>DO13/DN13-1</f>
        <v>-7.9475351525591931E-3</v>
      </c>
      <c r="DP14" s="458">
        <f>DP13/DO13-1</f>
        <v>3.9775910364145961E-3</v>
      </c>
      <c r="DQ14" s="462"/>
      <c r="DR14" s="458">
        <f>DR13/DP13-1</f>
        <v>-4.7430388929188272E-3</v>
      </c>
      <c r="DS14" s="458">
        <f>DS13/DR13-1</f>
        <v>3.0612244897959107E-2</v>
      </c>
      <c r="DT14" s="458">
        <f>DT13/DS13-1</f>
        <v>1.0281797410510274E-2</v>
      </c>
      <c r="DU14" s="458">
        <f>DU13/DT13-1</f>
        <v>2.6385224274407815E-3</v>
      </c>
      <c r="DV14" s="462"/>
      <c r="DW14" s="458">
        <f>DW13/DU13-1</f>
        <v>-5.3383458646616644E-2</v>
      </c>
      <c r="DX14" s="458">
        <f>DX13/DW13-1</f>
        <v>0.12509928514694213</v>
      </c>
      <c r="DY14" s="458">
        <f>DY13/DX13-1</f>
        <v>9.0262719983864592E-3</v>
      </c>
      <c r="DZ14" s="458">
        <f>DZ13/DY13-1</f>
        <v>-3.6381809095452411E-2</v>
      </c>
      <c r="EA14" s="462"/>
      <c r="EB14" s="458">
        <f>EB13/DZ13-1</f>
        <v>-6.5397780313245502E-2</v>
      </c>
      <c r="EC14" s="458">
        <f>EC13/EB13-1</f>
        <v>7.4912601964375103E-2</v>
      </c>
      <c r="ED14" s="458">
        <f>ED13/EC13-1</f>
        <v>-4.1298848794601994E-4</v>
      </c>
      <c r="EE14" s="458">
        <f>EE13/ED13-1</f>
        <v>-6.8636058462015148E-2</v>
      </c>
      <c r="EF14" s="462"/>
      <c r="EG14" s="458">
        <f>EG13/EE13-1</f>
        <v>-2.5673727403792923E-2</v>
      </c>
      <c r="EH14" s="458">
        <f>EH13/EG13-1</f>
        <v>2.4699789425758345E-2</v>
      </c>
      <c r="EI14" s="458">
        <f>EI13/EH13-1</f>
        <v>3.4268258816995134E-2</v>
      </c>
      <c r="EJ14" s="458">
        <f>EJ13/EI13-1</f>
        <v>-1.1975083234883277E-2</v>
      </c>
      <c r="EK14" s="462"/>
      <c r="EL14" s="458">
        <f>EL13/EJ13-1</f>
        <v>3.6415022555573717E-3</v>
      </c>
      <c r="EM14" s="458">
        <f>EM13/EL13-1</f>
        <v>3.476659807213256E-2</v>
      </c>
      <c r="EN14" s="458">
        <f>EN13/EM13-1</f>
        <v>9.5248063638266878E-3</v>
      </c>
      <c r="EO14" s="458">
        <f>EO13/EN13-1</f>
        <v>-2.0217729393469108E-3</v>
      </c>
      <c r="EP14" s="462"/>
      <c r="EQ14" s="458">
        <f>EQ13/EO13-1</f>
        <v>-1.075268817204289E-2</v>
      </c>
      <c r="ER14" s="458">
        <f>ER13/EQ13-1</f>
        <v>4.3511867254778513E-2</v>
      </c>
      <c r="ES14" s="458">
        <f>ES13/ER13-1</f>
        <v>1.2348636114779099E-2</v>
      </c>
      <c r="ET14" s="458">
        <f>ET13/ES13-1</f>
        <v>-1.7310085873176617E-2</v>
      </c>
      <c r="EU14" s="1932"/>
      <c r="EZ14" s="740"/>
      <c r="FE14" s="740"/>
      <c r="FF14" s="740"/>
      <c r="FG14" s="623"/>
      <c r="FH14" s="1088">
        <f>AVERAGE(CI14,CN14,CS14,CX14,DC14,DH14,DM14,DR14,DW14,EB14,EG14,EL14,EQ14)</f>
        <v>-3.1395882786559172E-2</v>
      </c>
      <c r="FI14" s="1088">
        <f>AVERAGE(CJ14,CO14,CT14,CY14,DD14,DI14,DN14,DS14,DX14,EC14,EH14,EM14)</f>
        <v>4.5241517985099435E-2</v>
      </c>
      <c r="FJ14" s="1088">
        <f>AVERAGE(CK14,CP14,CU14,CZ14,DE14,DJ14,DO14,DT14,DY14,ED14,EI14,EN14)</f>
        <v>1.0642915610313941E-2</v>
      </c>
      <c r="FK14" s="1088">
        <f>AVERAGE(CL14,CQ14,CV14,DA14,DF14,DK14,DP14,DU14,DZ14,EE14,EJ14,EO14)</f>
        <v>-2.0942995971454725E-2</v>
      </c>
      <c r="FL14" s="1795"/>
      <c r="FM14" s="458">
        <f t="shared" si="7"/>
        <v>-1.075268817204289E-2</v>
      </c>
      <c r="FN14" s="458">
        <f t="shared" si="8"/>
        <v>3.6415022555573717E-3</v>
      </c>
      <c r="FO14" s="2040">
        <v>-1.427718040621262E-2</v>
      </c>
      <c r="FP14" s="1888">
        <f>IFERROR(($FM14-FN14)*10000,"")</f>
        <v>-143.94190427600262</v>
      </c>
      <c r="FQ14" s="1888">
        <f>IFERROR(($FM14-FO14)*10000,"")</f>
        <v>35.24492234169729</v>
      </c>
      <c r="FR14" s="571"/>
      <c r="FS14" s="566"/>
      <c r="FT14" s="566"/>
      <c r="FU14" s="566"/>
      <c r="FV14" s="566"/>
      <c r="FW14" s="566"/>
      <c r="FX14" s="566"/>
      <c r="FY14" s="566"/>
      <c r="FZ14" s="566"/>
      <c r="GA14" s="623"/>
      <c r="GB14"/>
      <c r="GC14"/>
      <c r="GD14"/>
      <c r="GE14"/>
      <c r="GF14"/>
      <c r="GG14"/>
      <c r="GH14" s="913"/>
      <c r="GI14" s="913"/>
      <c r="GJ14" s="913"/>
      <c r="GK14" s="913"/>
      <c r="GL14" s="913"/>
      <c r="GM14" s="913"/>
      <c r="GN14" s="913"/>
      <c r="GO14" s="913"/>
      <c r="GP14" s="913"/>
      <c r="GQ14" s="913"/>
      <c r="GR14" s="913"/>
      <c r="GS14" s="913"/>
      <c r="GT14" s="913"/>
      <c r="GU14" s="913"/>
      <c r="GV14" s="913"/>
      <c r="GW14" s="913"/>
      <c r="GX14" s="913"/>
      <c r="GY14" s="913"/>
      <c r="GZ14" s="913"/>
      <c r="HA14" s="913"/>
      <c r="HB14" s="913"/>
      <c r="HC14" s="913"/>
      <c r="HD14" s="913"/>
      <c r="HE14" s="913"/>
      <c r="HF14" s="913"/>
      <c r="HG14" s="913"/>
      <c r="HH14" s="913"/>
      <c r="HI14" s="913"/>
      <c r="HJ14" s="913"/>
      <c r="HK14" s="913"/>
      <c r="HL14" s="913"/>
      <c r="HM14" s="913"/>
      <c r="HN14" s="913"/>
      <c r="HO14" s="913"/>
      <c r="HP14" s="913"/>
      <c r="HQ14" s="913"/>
      <c r="HR14" s="913"/>
      <c r="HS14" s="913"/>
      <c r="HT14" s="913"/>
      <c r="HU14" s="913"/>
      <c r="HV14" s="913"/>
      <c r="HW14" s="913"/>
      <c r="HX14" s="913"/>
      <c r="HY14" s="913"/>
      <c r="HZ14" s="913"/>
      <c r="IA14" s="913"/>
      <c r="IB14" s="913"/>
      <c r="IC14" s="913"/>
      <c r="ID14" s="913"/>
      <c r="IE14" s="913"/>
      <c r="IF14" s="913"/>
      <c r="IG14" s="913"/>
      <c r="IH14" s="913"/>
      <c r="II14" s="913"/>
      <c r="IJ14" s="913"/>
      <c r="IK14" s="913"/>
      <c r="IL14" s="913"/>
      <c r="IM14" s="913"/>
      <c r="IN14" s="913"/>
      <c r="IO14" s="913"/>
      <c r="IP14" s="913"/>
      <c r="IQ14" s="913"/>
      <c r="IR14" s="913"/>
      <c r="IS14" s="913"/>
      <c r="IT14" s="913"/>
      <c r="IU14" s="913"/>
      <c r="IV14" s="913"/>
    </row>
    <row r="15" spans="1:256" s="24" customFormat="1" ht="12.75" x14ac:dyDescent="0.2">
      <c r="A15" s="461" t="s">
        <v>14</v>
      </c>
      <c r="E15" s="198"/>
      <c r="F15" s="30"/>
      <c r="J15" s="198"/>
      <c r="K15" s="30"/>
      <c r="L15" s="24">
        <f t="shared" ref="L15:AQ15" si="49">L13-L9</f>
        <v>745.09999999999991</v>
      </c>
      <c r="M15" s="24">
        <f t="shared" si="49"/>
        <v>738.90000000000009</v>
      </c>
      <c r="N15" s="24">
        <f t="shared" si="49"/>
        <v>760.69999999999993</v>
      </c>
      <c r="O15" s="198">
        <f t="shared" si="49"/>
        <v>735.00000000000011</v>
      </c>
      <c r="P15" s="30">
        <f t="shared" si="49"/>
        <v>2979.7</v>
      </c>
      <c r="Q15" s="24">
        <f t="shared" si="49"/>
        <v>746.80000000000007</v>
      </c>
      <c r="R15" s="24">
        <f t="shared" si="49"/>
        <v>758.59999999999991</v>
      </c>
      <c r="S15" s="24">
        <f t="shared" si="49"/>
        <v>762.09999999999991</v>
      </c>
      <c r="T15" s="198">
        <f t="shared" si="49"/>
        <v>770.1</v>
      </c>
      <c r="U15" s="30">
        <f t="shared" si="49"/>
        <v>3037.6000000000004</v>
      </c>
      <c r="V15" s="24">
        <f t="shared" si="49"/>
        <v>735.5</v>
      </c>
      <c r="W15" s="24">
        <f t="shared" si="49"/>
        <v>780.29999999999984</v>
      </c>
      <c r="X15" s="24">
        <f t="shared" si="49"/>
        <v>744.59999999999991</v>
      </c>
      <c r="Y15" s="198">
        <f t="shared" si="49"/>
        <v>772.69999999999993</v>
      </c>
      <c r="Z15" s="30">
        <f t="shared" si="49"/>
        <v>3033.1000000000004</v>
      </c>
      <c r="AA15" s="24">
        <f t="shared" si="49"/>
        <v>765.3</v>
      </c>
      <c r="AB15" s="24">
        <f t="shared" si="49"/>
        <v>821.69999999999982</v>
      </c>
      <c r="AC15" s="24">
        <f t="shared" si="49"/>
        <v>791.59999999999991</v>
      </c>
      <c r="AD15" s="198">
        <f t="shared" si="49"/>
        <v>801.5</v>
      </c>
      <c r="AE15" s="30">
        <f t="shared" si="49"/>
        <v>3180.0999999999995</v>
      </c>
      <c r="AF15" s="24">
        <f t="shared" si="49"/>
        <v>804.9</v>
      </c>
      <c r="AG15" s="24">
        <f t="shared" si="49"/>
        <v>805.50000000000023</v>
      </c>
      <c r="AH15" s="24">
        <f t="shared" si="49"/>
        <v>786.69999999999993</v>
      </c>
      <c r="AI15" s="198">
        <f t="shared" si="49"/>
        <v>788.90000000000009</v>
      </c>
      <c r="AJ15" s="30">
        <f t="shared" si="49"/>
        <v>3186.0000000000005</v>
      </c>
      <c r="AK15" s="24">
        <f t="shared" si="49"/>
        <v>785.59999999999991</v>
      </c>
      <c r="AL15" s="24">
        <f t="shared" si="49"/>
        <v>818.59999999999991</v>
      </c>
      <c r="AM15" s="24">
        <f t="shared" si="49"/>
        <v>811.99999999999989</v>
      </c>
      <c r="AN15" s="198">
        <f t="shared" si="49"/>
        <v>805.7</v>
      </c>
      <c r="AO15" s="30">
        <f t="shared" si="49"/>
        <v>3221.8999999999996</v>
      </c>
      <c r="AP15" s="24">
        <f t="shared" si="49"/>
        <v>813.3</v>
      </c>
      <c r="AQ15" s="24">
        <f t="shared" si="49"/>
        <v>828.80000000000018</v>
      </c>
      <c r="AR15" s="24">
        <f t="shared" ref="AR15:BW15" si="50">AR13-AR9</f>
        <v>813.7</v>
      </c>
      <c r="AS15" s="198">
        <f t="shared" si="50"/>
        <v>831.30000000000007</v>
      </c>
      <c r="AT15" s="30">
        <f t="shared" si="50"/>
        <v>3287.1000000000008</v>
      </c>
      <c r="AU15" s="24">
        <f t="shared" si="50"/>
        <v>842.5</v>
      </c>
      <c r="AV15" s="24">
        <f t="shared" si="50"/>
        <v>855.60000000000014</v>
      </c>
      <c r="AW15" s="24">
        <f t="shared" si="50"/>
        <v>832.9</v>
      </c>
      <c r="AX15" s="198">
        <f t="shared" si="50"/>
        <v>829.4</v>
      </c>
      <c r="AY15" s="30">
        <f t="shared" si="50"/>
        <v>3360.400000000001</v>
      </c>
      <c r="AZ15" s="24">
        <f t="shared" si="50"/>
        <v>812.6</v>
      </c>
      <c r="BA15" s="24">
        <f t="shared" si="50"/>
        <v>944.19999999999982</v>
      </c>
      <c r="BB15" s="24">
        <f t="shared" si="50"/>
        <v>1148.6000000000004</v>
      </c>
      <c r="BC15" s="198">
        <f t="shared" si="50"/>
        <v>1159.56</v>
      </c>
      <c r="BD15" s="30">
        <f t="shared" si="50"/>
        <v>4064.9600000000005</v>
      </c>
      <c r="BE15" s="24">
        <f t="shared" si="50"/>
        <v>1169.5</v>
      </c>
      <c r="BF15" s="24">
        <f t="shared" si="50"/>
        <v>1201.2000000000003</v>
      </c>
      <c r="BG15" s="24">
        <f t="shared" si="50"/>
        <v>1141.7999999999997</v>
      </c>
      <c r="BH15" s="198">
        <f t="shared" si="50"/>
        <v>1092.5</v>
      </c>
      <c r="BI15" s="30">
        <f t="shared" si="50"/>
        <v>4605</v>
      </c>
      <c r="BJ15" s="24">
        <f t="shared" si="50"/>
        <v>1110.8000000000002</v>
      </c>
      <c r="BK15" s="24">
        <f t="shared" si="50"/>
        <v>1148.8000000000002</v>
      </c>
      <c r="BL15" s="24">
        <f t="shared" si="50"/>
        <v>1066.2</v>
      </c>
      <c r="BM15" s="198">
        <f t="shared" si="50"/>
        <v>1085.6880000000001</v>
      </c>
      <c r="BN15" s="30">
        <f t="shared" si="50"/>
        <v>4411.4880000000003</v>
      </c>
      <c r="BO15" s="24">
        <f t="shared" si="50"/>
        <v>1057.5999999999999</v>
      </c>
      <c r="BP15" s="24">
        <f t="shared" si="50"/>
        <v>1116.9000000000001</v>
      </c>
      <c r="BQ15" s="24">
        <f t="shared" si="50"/>
        <v>1110.5</v>
      </c>
      <c r="BR15" s="198">
        <f t="shared" si="50"/>
        <v>1081.5999999999999</v>
      </c>
      <c r="BS15" s="30">
        <f t="shared" si="50"/>
        <v>4366.6000000000004</v>
      </c>
      <c r="BT15" s="24">
        <f t="shared" si="50"/>
        <v>1069.8</v>
      </c>
      <c r="BU15" s="24">
        <f t="shared" si="50"/>
        <v>1127.9000000000001</v>
      </c>
      <c r="BV15" s="24">
        <f t="shared" si="50"/>
        <v>1094.7</v>
      </c>
      <c r="BW15" s="198">
        <f t="shared" si="50"/>
        <v>1102.2</v>
      </c>
      <c r="BX15" s="30">
        <f t="shared" ref="BX15:DC15" si="51">BX13-BX9</f>
        <v>4394.5999999999985</v>
      </c>
      <c r="BY15" s="24">
        <f t="shared" si="51"/>
        <v>1108.9000000000001</v>
      </c>
      <c r="BZ15" s="24">
        <f t="shared" si="51"/>
        <v>1167.0999999999999</v>
      </c>
      <c r="CA15" s="24">
        <f t="shared" si="51"/>
        <v>1145.3000000000002</v>
      </c>
      <c r="CB15" s="198">
        <f t="shared" si="51"/>
        <v>1151.3999999999996</v>
      </c>
      <c r="CC15" s="30">
        <f t="shared" si="51"/>
        <v>4572.7</v>
      </c>
      <c r="CD15" s="24">
        <f t="shared" si="51"/>
        <v>1136.5999999999999</v>
      </c>
      <c r="CE15" s="24">
        <f t="shared" si="51"/>
        <v>1185.9000000000001</v>
      </c>
      <c r="CF15" s="24">
        <f t="shared" si="51"/>
        <v>1164.8999999999996</v>
      </c>
      <c r="CG15" s="198">
        <f t="shared" si="51"/>
        <v>1144.2</v>
      </c>
      <c r="CH15" s="30">
        <f t="shared" si="51"/>
        <v>4631.5999999999995</v>
      </c>
      <c r="CI15" s="24">
        <f t="shared" si="51"/>
        <v>1174.0999999999999</v>
      </c>
      <c r="CJ15" s="24">
        <f t="shared" si="51"/>
        <v>1203.5</v>
      </c>
      <c r="CK15" s="24">
        <f t="shared" si="51"/>
        <v>1149.7</v>
      </c>
      <c r="CL15" s="198">
        <f t="shared" si="51"/>
        <v>1117.0999999999999</v>
      </c>
      <c r="CM15" s="30">
        <f t="shared" si="51"/>
        <v>4644.3999999999996</v>
      </c>
      <c r="CN15" s="24">
        <f t="shared" si="51"/>
        <v>1100</v>
      </c>
      <c r="CO15" s="24">
        <f t="shared" si="51"/>
        <v>1158.9000000000001</v>
      </c>
      <c r="CP15" s="24">
        <f t="shared" si="51"/>
        <v>1119</v>
      </c>
      <c r="CQ15" s="198">
        <f t="shared" si="51"/>
        <v>1094.3999999999999</v>
      </c>
      <c r="CR15" s="30">
        <f t="shared" si="51"/>
        <v>4472.2999999999993</v>
      </c>
      <c r="CS15" s="24">
        <f t="shared" si="51"/>
        <v>1087.5999999999999</v>
      </c>
      <c r="CT15" s="24">
        <f t="shared" si="51"/>
        <v>1137.9000000000001</v>
      </c>
      <c r="CU15" s="24">
        <f t="shared" si="51"/>
        <v>1104.4000000000001</v>
      </c>
      <c r="CV15" s="198">
        <f t="shared" si="51"/>
        <v>990.6</v>
      </c>
      <c r="CW15" s="30">
        <f t="shared" si="51"/>
        <v>4320.5</v>
      </c>
      <c r="CX15" s="24">
        <f t="shared" si="51"/>
        <v>848.8</v>
      </c>
      <c r="CY15" s="24">
        <f t="shared" si="51"/>
        <v>799.5</v>
      </c>
      <c r="CZ15" s="24">
        <f t="shared" si="51"/>
        <v>882.0999999999998</v>
      </c>
      <c r="DA15" s="24">
        <f t="shared" si="51"/>
        <v>896.40000000000009</v>
      </c>
      <c r="DB15" s="30">
        <f t="shared" si="51"/>
        <v>3426.8</v>
      </c>
      <c r="DC15" s="24">
        <f t="shared" si="51"/>
        <v>906.30000000000007</v>
      </c>
      <c r="DD15" s="24">
        <f t="shared" ref="DD15:EC15" si="52">DD13-DD9</f>
        <v>986.49999999999977</v>
      </c>
      <c r="DE15" s="24">
        <f t="shared" si="52"/>
        <v>990.39999999999986</v>
      </c>
      <c r="DF15" s="24">
        <f t="shared" si="52"/>
        <v>953.80000000000018</v>
      </c>
      <c r="DG15" s="30">
        <f t="shared" si="52"/>
        <v>3837</v>
      </c>
      <c r="DH15" s="24">
        <f t="shared" si="52"/>
        <v>964.30000000000007</v>
      </c>
      <c r="DI15" s="24">
        <f t="shared" si="52"/>
        <v>984.90000000000009</v>
      </c>
      <c r="DJ15" s="24">
        <f t="shared" si="52"/>
        <v>983.2</v>
      </c>
      <c r="DK15" s="24">
        <f t="shared" si="52"/>
        <v>971.79999999999984</v>
      </c>
      <c r="DL15" s="30">
        <f t="shared" si="52"/>
        <v>3904.2000000000003</v>
      </c>
      <c r="DM15" s="24">
        <f t="shared" si="52"/>
        <v>945.8</v>
      </c>
      <c r="DN15" s="24">
        <f t="shared" si="52"/>
        <v>958.89999999999975</v>
      </c>
      <c r="DO15" s="24">
        <f t="shared" si="52"/>
        <v>917.9</v>
      </c>
      <c r="DP15" s="24">
        <f t="shared" si="52"/>
        <v>926.3</v>
      </c>
      <c r="DQ15" s="30">
        <f t="shared" si="52"/>
        <v>3748.9000000000005</v>
      </c>
      <c r="DR15" s="24">
        <f t="shared" si="52"/>
        <v>927.20000000000016</v>
      </c>
      <c r="DS15" s="24">
        <f t="shared" si="52"/>
        <v>957.19999999999982</v>
      </c>
      <c r="DT15" s="24">
        <f t="shared" si="52"/>
        <v>944.19999999999993</v>
      </c>
      <c r="DU15" s="24">
        <f t="shared" si="52"/>
        <v>940</v>
      </c>
      <c r="DV15" s="30">
        <f t="shared" si="52"/>
        <v>3768.5999999999995</v>
      </c>
      <c r="DW15" s="24">
        <f t="shared" si="52"/>
        <v>877.49999999999989</v>
      </c>
      <c r="DX15" s="24">
        <f t="shared" si="52"/>
        <v>1006.9999999999999</v>
      </c>
      <c r="DY15" s="24">
        <f t="shared" si="52"/>
        <v>996.3</v>
      </c>
      <c r="DZ15" s="24">
        <f t="shared" si="52"/>
        <v>948.89999999999986</v>
      </c>
      <c r="EA15" s="30">
        <f t="shared" si="52"/>
        <v>3829.7</v>
      </c>
      <c r="EB15" s="24">
        <f t="shared" si="52"/>
        <v>875.39999999999986</v>
      </c>
      <c r="EC15" s="24">
        <f t="shared" si="52"/>
        <v>937.20000000000016</v>
      </c>
      <c r="ED15" s="24">
        <f>ED13-ED9</f>
        <v>936.8</v>
      </c>
      <c r="EE15" s="24">
        <f>EE13-EE9</f>
        <v>868.50000000000011</v>
      </c>
      <c r="EF15" s="30">
        <f>EF13-EF9</f>
        <v>3617.8999999999996</v>
      </c>
      <c r="EG15" s="24">
        <f>EG13-EG9</f>
        <v>827.99999999999989</v>
      </c>
      <c r="EH15" s="24">
        <f>EH13-EH9</f>
        <v>848.7</v>
      </c>
      <c r="EI15" s="24">
        <f t="shared" ref="EI15:ER15" si="53">EI13-EI9</f>
        <v>868.69999999999982</v>
      </c>
      <c r="EJ15" s="24">
        <f t="shared" si="53"/>
        <v>843.90000000000009</v>
      </c>
      <c r="EK15" s="30">
        <f t="shared" si="53"/>
        <v>3389.3000000000006</v>
      </c>
      <c r="EL15" s="24">
        <f>EL13-EL9</f>
        <v>877.19999999999993</v>
      </c>
      <c r="EM15" s="24">
        <f>EM13-EM9</f>
        <v>901.69999999999993</v>
      </c>
      <c r="EN15" s="24">
        <f t="shared" ref="EN15:EP15" si="54">EN13-EN9</f>
        <v>893.8</v>
      </c>
      <c r="EO15" s="24">
        <f t="shared" si="54"/>
        <v>864.69999999999982</v>
      </c>
      <c r="EP15" s="30">
        <f t="shared" si="54"/>
        <v>3537.4</v>
      </c>
      <c r="EQ15" s="24">
        <f>EQ13-EQ9</f>
        <v>855.2</v>
      </c>
      <c r="ER15" s="24">
        <f t="shared" si="53"/>
        <v>897.43599999999992</v>
      </c>
      <c r="ES15" s="24">
        <f t="shared" ref="ES15:EU15" si="55">ES13-ES9</f>
        <v>883.43600000000015</v>
      </c>
      <c r="ET15" s="24">
        <f t="shared" si="55"/>
        <v>852.95550000000003</v>
      </c>
      <c r="EU15" s="269">
        <f t="shared" si="55"/>
        <v>3489.0274999999992</v>
      </c>
      <c r="EZ15" s="741">
        <f>EZ13-EZ9</f>
        <v>3448.8955874999992</v>
      </c>
      <c r="FE15" s="741">
        <f>FE13-FE9</f>
        <v>3432.868694612499</v>
      </c>
      <c r="FF15" s="741"/>
      <c r="FG15" s="622"/>
      <c r="FH15" s="1019"/>
      <c r="FI15" s="1019"/>
      <c r="FJ15" s="1019"/>
      <c r="FK15" s="1019"/>
      <c r="FL15" s="1794"/>
      <c r="FM15" s="24">
        <f t="shared" si="7"/>
        <v>855.2</v>
      </c>
      <c r="FN15" s="24">
        <f t="shared" si="8"/>
        <v>877.19999999999993</v>
      </c>
      <c r="FO15" s="24">
        <v>850.66300000000001</v>
      </c>
      <c r="FP15" s="34">
        <f>IFERROR(($FM15/FN15)-1,"")</f>
        <v>-2.5079799361604982E-2</v>
      </c>
      <c r="FQ15" s="34">
        <f>IFERROR(($FM15/FO15)-1,"")</f>
        <v>5.333486939011145E-3</v>
      </c>
      <c r="FR15" s="532"/>
      <c r="FS15" s="532"/>
      <c r="FT15" s="532"/>
      <c r="FU15" s="532"/>
      <c r="FV15" s="532"/>
      <c r="FW15" s="532"/>
      <c r="FX15" s="532"/>
      <c r="FY15" s="532"/>
      <c r="FZ15" s="532"/>
      <c r="GA15" s="622"/>
      <c r="GB15"/>
      <c r="GC15"/>
      <c r="GD15"/>
      <c r="GE15"/>
      <c r="GF15"/>
      <c r="GG15"/>
      <c r="GH15" s="945"/>
      <c r="GI15" s="945"/>
      <c r="GJ15" s="945"/>
      <c r="GK15" s="945"/>
      <c r="GL15" s="945"/>
      <c r="GM15" s="945"/>
      <c r="GN15" s="945"/>
      <c r="GO15" s="945"/>
      <c r="GP15" s="945"/>
      <c r="GQ15" s="945"/>
      <c r="GR15" s="945"/>
      <c r="GS15" s="945"/>
      <c r="GT15" s="945"/>
      <c r="GU15" s="945"/>
      <c r="GV15" s="945"/>
      <c r="GW15" s="945"/>
      <c r="GX15" s="945"/>
      <c r="GY15" s="945"/>
      <c r="GZ15" s="945"/>
      <c r="HA15" s="945"/>
      <c r="HB15" s="945"/>
      <c r="HC15" s="945"/>
      <c r="HD15" s="945"/>
      <c r="HE15" s="945"/>
      <c r="HF15" s="945"/>
      <c r="HG15" s="945"/>
      <c r="HH15" s="945"/>
      <c r="HI15" s="945"/>
      <c r="HJ15" s="945"/>
      <c r="HK15" s="945"/>
      <c r="HL15" s="945"/>
      <c r="HM15" s="945"/>
      <c r="HN15" s="945"/>
      <c r="HO15" s="945"/>
      <c r="HP15" s="945"/>
      <c r="HQ15" s="945"/>
      <c r="HR15" s="945"/>
      <c r="HS15" s="945"/>
      <c r="HT15" s="945"/>
      <c r="HU15" s="945"/>
      <c r="HV15" s="945"/>
      <c r="HW15" s="945"/>
      <c r="HX15" s="945"/>
      <c r="HY15" s="945"/>
      <c r="HZ15" s="945"/>
      <c r="IA15" s="945"/>
      <c r="IB15" s="945"/>
      <c r="IC15" s="945"/>
      <c r="ID15" s="945"/>
      <c r="IE15" s="945"/>
      <c r="IF15" s="945"/>
      <c r="IG15" s="945"/>
      <c r="IH15" s="945"/>
      <c r="II15" s="945"/>
      <c r="IJ15" s="945"/>
      <c r="IK15" s="945"/>
      <c r="IL15" s="945"/>
      <c r="IM15" s="945"/>
      <c r="IN15" s="945"/>
      <c r="IO15" s="945"/>
      <c r="IP15" s="945"/>
      <c r="IQ15" s="945"/>
      <c r="IR15" s="945"/>
      <c r="IS15" s="945"/>
      <c r="IT15" s="945"/>
      <c r="IU15" s="945"/>
      <c r="IV15" s="945"/>
    </row>
    <row r="16" spans="1:256" s="458" customFormat="1" ht="12.75" x14ac:dyDescent="0.2">
      <c r="A16" s="460" t="s">
        <v>13</v>
      </c>
      <c r="F16" s="462"/>
      <c r="K16" s="462"/>
      <c r="M16" s="458">
        <f>M15/L15-1</f>
        <v>-8.3210307341293754E-3</v>
      </c>
      <c r="N16" s="458">
        <f>N15/M15-1</f>
        <v>2.9503315739612734E-2</v>
      </c>
      <c r="O16" s="458">
        <f>O15/N15-1</f>
        <v>-3.3784672012619699E-2</v>
      </c>
      <c r="P16" s="462"/>
      <c r="Q16" s="458">
        <f>Q15/O15-1</f>
        <v>1.6054421768707527E-2</v>
      </c>
      <c r="R16" s="458">
        <f>R15/Q15-1</f>
        <v>1.5800749866095032E-2</v>
      </c>
      <c r="S16" s="458">
        <f>S15/R15-1</f>
        <v>4.6137621935142814E-3</v>
      </c>
      <c r="T16" s="458">
        <f>T15/S15-1</f>
        <v>1.0497310064296217E-2</v>
      </c>
      <c r="U16" s="462"/>
      <c r="V16" s="458">
        <f>V15/T15-1</f>
        <v>-4.4929229970133822E-2</v>
      </c>
      <c r="W16" s="458">
        <f>W15/V15-1</f>
        <v>6.0910944935417932E-2</v>
      </c>
      <c r="X16" s="458">
        <f>X15/W15-1</f>
        <v>-4.5751633986928053E-2</v>
      </c>
      <c r="Y16" s="458">
        <f>Y15/X15-1</f>
        <v>3.7738383024442657E-2</v>
      </c>
      <c r="Z16" s="462"/>
      <c r="AA16" s="458">
        <f>AA15/Y15-1</f>
        <v>-9.5768085932443903E-3</v>
      </c>
      <c r="AB16" s="458">
        <f>AB15/AA15-1</f>
        <v>7.3696589572716409E-2</v>
      </c>
      <c r="AC16" s="458">
        <f>AC15/AB15-1</f>
        <v>-3.6631373980771431E-2</v>
      </c>
      <c r="AD16" s="458">
        <f>AD15/AC15-1</f>
        <v>1.2506316321374555E-2</v>
      </c>
      <c r="AE16" s="462"/>
      <c r="AF16" s="458">
        <f>AF15/AD15-1</f>
        <v>4.2420461634435913E-3</v>
      </c>
      <c r="AG16" s="458">
        <f>AG15/AF15-1</f>
        <v>7.4543421543071808E-4</v>
      </c>
      <c r="AH16" s="458">
        <f>AH15/AG15-1</f>
        <v>-2.3339540657976721E-2</v>
      </c>
      <c r="AI16" s="458">
        <f>AI15/AH15-1</f>
        <v>2.7964916740819135E-3</v>
      </c>
      <c r="AJ16" s="462"/>
      <c r="AK16" s="458">
        <f>AK15/AI15-1</f>
        <v>-4.1830396754977128E-3</v>
      </c>
      <c r="AL16" s="458">
        <f>AL15/AK15-1</f>
        <v>4.2006109979633388E-2</v>
      </c>
      <c r="AM16" s="458">
        <f>AM15/AL15-1</f>
        <v>-8.0625458099193859E-3</v>
      </c>
      <c r="AN16" s="458">
        <f>AN15/AM15-1</f>
        <v>-7.7586206896549381E-3</v>
      </c>
      <c r="AO16" s="462"/>
      <c r="AP16" s="458">
        <f>AP15/AN15-1</f>
        <v>9.4327913615488423E-3</v>
      </c>
      <c r="AQ16" s="458">
        <f>AQ15/AP15-1</f>
        <v>1.9058158121234792E-2</v>
      </c>
      <c r="AR16" s="458">
        <f>AR15/AQ15-1</f>
        <v>-1.8219111969112078E-2</v>
      </c>
      <c r="AS16" s="458">
        <f>AS15/AR15-1</f>
        <v>2.1629593216172971E-2</v>
      </c>
      <c r="AT16" s="462"/>
      <c r="AU16" s="458">
        <f>AU15/AS15-1</f>
        <v>1.3472873812101493E-2</v>
      </c>
      <c r="AV16" s="458">
        <f>AV15/AU15-1</f>
        <v>1.5548961424332486E-2</v>
      </c>
      <c r="AW16" s="458">
        <f>AW15/AV15-1</f>
        <v>-2.6531089294062782E-2</v>
      </c>
      <c r="AX16" s="458">
        <f>AX15/AW15-1</f>
        <v>-4.2021851362709084E-3</v>
      </c>
      <c r="AY16" s="462"/>
      <c r="AZ16" s="458">
        <f>AZ15/AX15-1</f>
        <v>-2.0255606462502906E-2</v>
      </c>
      <c r="BA16" s="458">
        <f>BA15/AZ15-1</f>
        <v>0.16194929854787077</v>
      </c>
      <c r="BB16" s="458">
        <f>BB15/BA15-1</f>
        <v>0.21647955941537878</v>
      </c>
      <c r="BC16" s="458">
        <f>BC15/BB15-1</f>
        <v>9.5420511927559737E-3</v>
      </c>
      <c r="BD16" s="462"/>
      <c r="BE16" s="458">
        <f>BE15/BC15-1</f>
        <v>8.5722170478457205E-3</v>
      </c>
      <c r="BF16" s="458">
        <f>BF15/BE15-1</f>
        <v>2.7105600684053321E-2</v>
      </c>
      <c r="BG16" s="458">
        <f>BG15/BF15-1</f>
        <v>-4.9450549450549941E-2</v>
      </c>
      <c r="BH16" s="458">
        <f>BH15/BG15-1</f>
        <v>-4.3177439131196094E-2</v>
      </c>
      <c r="BI16" s="462"/>
      <c r="BJ16" s="458">
        <f>BJ15/BH15-1</f>
        <v>1.6750572082379955E-2</v>
      </c>
      <c r="BK16" s="458">
        <f>BK15/BJ15-1</f>
        <v>3.4209578682030894E-2</v>
      </c>
      <c r="BL16" s="458">
        <f>BL15/BK15-1</f>
        <v>-7.1901114206128214E-2</v>
      </c>
      <c r="BM16" s="458">
        <f>BM15/BL15-1</f>
        <v>1.8277996623522919E-2</v>
      </c>
      <c r="BN16" s="462"/>
      <c r="BO16" s="458">
        <f>BO15/BM15-1</f>
        <v>-2.5871152670012165E-2</v>
      </c>
      <c r="BP16" s="458">
        <f>BP15/BO15-1</f>
        <v>5.6070347957640099E-2</v>
      </c>
      <c r="BQ16" s="458">
        <f>BQ15/BP15-1</f>
        <v>-5.7301459396544852E-3</v>
      </c>
      <c r="BR16" s="458">
        <f>BR15/BQ15-1</f>
        <v>-2.602431337235489E-2</v>
      </c>
      <c r="BS16" s="462"/>
      <c r="BT16" s="458">
        <f>BT15/BR15-1</f>
        <v>-1.0909763313609377E-2</v>
      </c>
      <c r="BU16" s="458">
        <f>BU15/BT15-1</f>
        <v>5.4309216676014405E-2</v>
      </c>
      <c r="BV16" s="458">
        <f>BV15/BU15-1</f>
        <v>-2.9435233620001777E-2</v>
      </c>
      <c r="BW16" s="458">
        <f>BW15/BV15-1</f>
        <v>6.8511921074267956E-3</v>
      </c>
      <c r="BX16" s="462"/>
      <c r="BY16" s="458">
        <f>BY15/BW15-1</f>
        <v>6.0787515877336329E-3</v>
      </c>
      <c r="BZ16" s="458">
        <f>BZ15/BY15-1</f>
        <v>5.2484444043646716E-2</v>
      </c>
      <c r="CA16" s="458">
        <f>CA15/BZ15-1</f>
        <v>-1.8678776454459589E-2</v>
      </c>
      <c r="CB16" s="458">
        <f>CB15/CA15-1</f>
        <v>5.3261154282715495E-3</v>
      </c>
      <c r="CC16" s="462"/>
      <c r="CD16" s="458">
        <f>CD15/CB15-1</f>
        <v>-1.2853916970644197E-2</v>
      </c>
      <c r="CE16" s="458">
        <f>CE15/CD15-1</f>
        <v>4.3374978004575127E-2</v>
      </c>
      <c r="CF16" s="458">
        <f>CF15/CE15-1</f>
        <v>-1.7708069820389971E-2</v>
      </c>
      <c r="CG16" s="458">
        <f>CG15/CF15-1</f>
        <v>-1.7769765645119451E-2</v>
      </c>
      <c r="CH16" s="462"/>
      <c r="CI16" s="458">
        <f>CI15/CG15-1</f>
        <v>2.6131795140709624E-2</v>
      </c>
      <c r="CJ16" s="458">
        <f>CJ15/CI15-1</f>
        <v>2.5040456519887622E-2</v>
      </c>
      <c r="CK16" s="458">
        <f>CK15/CJ15-1</f>
        <v>-4.4702949729954256E-2</v>
      </c>
      <c r="CL16" s="458">
        <f>CL15/CK15-1</f>
        <v>-2.8355223101678817E-2</v>
      </c>
      <c r="CM16" s="462"/>
      <c r="CN16" s="458">
        <f>CN15/CL15-1</f>
        <v>-1.5307492614806129E-2</v>
      </c>
      <c r="CO16" s="458">
        <f>CO15/CN15-1</f>
        <v>5.3545454545454563E-2</v>
      </c>
      <c r="CP16" s="458">
        <f>CP15/CO15-1</f>
        <v>-3.4429200103546553E-2</v>
      </c>
      <c r="CQ16" s="458">
        <f>CQ15/CP15-1</f>
        <v>-2.1983914209115385E-2</v>
      </c>
      <c r="CR16" s="462"/>
      <c r="CS16" s="458">
        <f>CS15/CQ15-1</f>
        <v>-6.2134502923976154E-3</v>
      </c>
      <c r="CT16" s="458">
        <f>CT15/CS15-1</f>
        <v>4.6248620816476738E-2</v>
      </c>
      <c r="CU16" s="458">
        <f>CU15/CT15-1</f>
        <v>-2.9440196853853573E-2</v>
      </c>
      <c r="CV16" s="458">
        <f>CV15/CU15-1</f>
        <v>-0.1030423759507425</v>
      </c>
      <c r="CW16" s="462"/>
      <c r="CX16" s="458">
        <f>CX15/CV15-1</f>
        <v>-0.14314556834241876</v>
      </c>
      <c r="CY16" s="458">
        <f>CY15/CX15-1</f>
        <v>-5.8081998114985822E-2</v>
      </c>
      <c r="CZ16" s="458">
        <f>CZ15/CY15-1</f>
        <v>0.10331457160725432</v>
      </c>
      <c r="DA16" s="458">
        <f>DA15/CZ15-1</f>
        <v>1.6211313909987979E-2</v>
      </c>
      <c r="DB16" s="462"/>
      <c r="DC16" s="458">
        <f>DC15/DA15-1</f>
        <v>1.1044176706827225E-2</v>
      </c>
      <c r="DD16" s="458">
        <f>DD15/DC15-1</f>
        <v>8.8491669425134756E-2</v>
      </c>
      <c r="DE16" s="458">
        <f>DE15/DD15-1</f>
        <v>3.9533705017740228E-3</v>
      </c>
      <c r="DF16" s="458">
        <f>DF15/DE15-1</f>
        <v>-3.695476575121126E-2</v>
      </c>
      <c r="DG16" s="462"/>
      <c r="DH16" s="458">
        <f>DH15/DF15-1</f>
        <v>1.1008597190186542E-2</v>
      </c>
      <c r="DI16" s="458">
        <f>DI15/DH15-1</f>
        <v>2.136264647931152E-2</v>
      </c>
      <c r="DJ16" s="458">
        <f>DJ15/DI15-1</f>
        <v>-1.7260635597523555E-3</v>
      </c>
      <c r="DK16" s="458">
        <f>DK15/DJ15-1</f>
        <v>-1.1594792514239449E-2</v>
      </c>
      <c r="DL16" s="462"/>
      <c r="DM16" s="458">
        <f>DM15/DK15-1</f>
        <v>-2.6754476229676749E-2</v>
      </c>
      <c r="DN16" s="458">
        <f>DN15/DM15-1</f>
        <v>1.3850708395009237E-2</v>
      </c>
      <c r="DO16" s="458">
        <f>DO15/DN15-1</f>
        <v>-4.2757326102825899E-2</v>
      </c>
      <c r="DP16" s="458">
        <f>DP15/DO15-1</f>
        <v>9.1513236736027181E-3</v>
      </c>
      <c r="DQ16" s="462"/>
      <c r="DR16" s="458">
        <f>DR15/DP15-1</f>
        <v>9.7160747058211427E-4</v>
      </c>
      <c r="DS16" s="458">
        <f>DS15/DR15-1</f>
        <v>3.2355478861086695E-2</v>
      </c>
      <c r="DT16" s="458">
        <f>DT15/DS15-1</f>
        <v>-1.3581278729627999E-2</v>
      </c>
      <c r="DU16" s="458">
        <f>DU15/DT15-1</f>
        <v>-4.4482101249734285E-3</v>
      </c>
      <c r="DV16" s="462"/>
      <c r="DW16" s="458">
        <f>DW15/DU15-1</f>
        <v>-6.6489361702127825E-2</v>
      </c>
      <c r="DX16" s="458">
        <f>DX15/DW15-1</f>
        <v>0.14757834757834765</v>
      </c>
      <c r="DY16" s="458">
        <f>DY15/DX15-1</f>
        <v>-1.062562065541206E-2</v>
      </c>
      <c r="DZ16" s="458">
        <f>DZ15/DY15-1</f>
        <v>-4.757603131586885E-2</v>
      </c>
      <c r="EA16" s="462"/>
      <c r="EB16" s="458">
        <f>EB15/DZ15-1</f>
        <v>-7.7458109389819785E-2</v>
      </c>
      <c r="EC16" s="458">
        <f>EC15/EB15-1</f>
        <v>7.0596298834818771E-2</v>
      </c>
      <c r="ED16" s="458">
        <f>ED15/EC15-1</f>
        <v>-4.2680324370492073E-4</v>
      </c>
      <c r="EE16" s="458">
        <f>EE15/ED15-1</f>
        <v>-7.2907771135781174E-2</v>
      </c>
      <c r="EF16" s="462"/>
      <c r="EG16" s="458">
        <f>EG15/EE15-1</f>
        <v>-4.6632124352331883E-2</v>
      </c>
      <c r="EH16" s="458">
        <f>EH15/EG15-1</f>
        <v>2.5000000000000133E-2</v>
      </c>
      <c r="EI16" s="458">
        <f>EI15/EH15-1</f>
        <v>2.3565453045834461E-2</v>
      </c>
      <c r="EJ16" s="458">
        <f>EJ15/EI15-1</f>
        <v>-2.8548405663635035E-2</v>
      </c>
      <c r="EK16" s="462"/>
      <c r="EL16" s="458">
        <f>EL15/EJ15-1</f>
        <v>3.9459651617490099E-2</v>
      </c>
      <c r="EM16" s="458">
        <f>EM15/EL15-1</f>
        <v>2.7929776561787412E-2</v>
      </c>
      <c r="EN16" s="458">
        <f>EN15/EM15-1</f>
        <v>-8.7612287900631358E-3</v>
      </c>
      <c r="EO16" s="458">
        <f>EO15/EN15-1</f>
        <v>-3.2557619154173323E-2</v>
      </c>
      <c r="EP16" s="462"/>
      <c r="EQ16" s="458">
        <f>EQ15/EO15-1</f>
        <v>-1.0986469295709234E-2</v>
      </c>
      <c r="ER16" s="458">
        <f>ER15/EQ15-1</f>
        <v>4.9387277829747278E-2</v>
      </c>
      <c r="ES16" s="458">
        <f>ES15/ER15-1</f>
        <v>-1.5599998217142863E-2</v>
      </c>
      <c r="ET16" s="458">
        <f>ET15/ES15-1</f>
        <v>-3.4502216346175785E-2</v>
      </c>
      <c r="EU16" s="940"/>
      <c r="EZ16" s="740"/>
      <c r="FE16" s="740"/>
      <c r="FF16" s="740"/>
      <c r="FG16" s="622"/>
      <c r="FH16" s="1088">
        <f>AVERAGE(CI16,CN16,CS16,CX16,DC16,DH16,DM16,DR16,DW16,EB16,EG16,EL16,EQ16)</f>
        <v>-2.3413171084114798E-2</v>
      </c>
      <c r="FI16" s="1088">
        <f>AVERAGE(CJ16,CO16,CT16,CY16,DD16,DI16,DN16,DS16,DX16,EC16,EH16,EM16)</f>
        <v>4.1159788325194104E-2</v>
      </c>
      <c r="FJ16" s="1088">
        <f>AVERAGE(CK16,CP16,CU16,CZ16,DE16,DJ16,DO16,DT16,DY16,ED16,EI16,EN16)</f>
        <v>-4.6347727178231617E-3</v>
      </c>
      <c r="FK16" s="1088">
        <f>AVERAGE(CL16,CQ16,CV16,DA16,DF16,DK16,DP16,DU16,DZ16,EE16,EJ16,EO16)</f>
        <v>-3.0217205944819043E-2</v>
      </c>
      <c r="FL16" s="1795"/>
      <c r="FM16" s="458">
        <f t="shared" si="7"/>
        <v>-1.0986469295709234E-2</v>
      </c>
      <c r="FN16" s="458">
        <f t="shared" si="8"/>
        <v>3.9459651617490099E-2</v>
      </c>
      <c r="FO16" s="2040">
        <v>-1.62333757372497E-2</v>
      </c>
      <c r="FP16" s="1888">
        <f>IFERROR(($FM16-FN16)*10000,"")</f>
        <v>-504.46120913199331</v>
      </c>
      <c r="FQ16" s="1888">
        <f>IFERROR(($FM16-FO16)*10000,"")</f>
        <v>52.469064415404667</v>
      </c>
      <c r="FR16" s="566"/>
      <c r="FS16" s="566"/>
      <c r="FT16" s="566"/>
      <c r="FU16" s="566"/>
      <c r="FV16" s="566"/>
      <c r="FW16" s="566"/>
      <c r="FX16" s="566"/>
      <c r="FY16" s="566"/>
      <c r="FZ16" s="566"/>
      <c r="GA16" s="622"/>
      <c r="GB16"/>
      <c r="GC16"/>
      <c r="GD16"/>
      <c r="GE16"/>
      <c r="GF16"/>
      <c r="GG16"/>
      <c r="GH16" s="913"/>
      <c r="GI16" s="913"/>
      <c r="GJ16" s="913"/>
      <c r="GK16" s="913"/>
      <c r="GL16" s="913"/>
      <c r="GM16" s="913"/>
      <c r="GN16" s="913"/>
      <c r="GO16" s="913"/>
      <c r="GP16" s="913"/>
      <c r="GQ16" s="913"/>
      <c r="GR16" s="913"/>
      <c r="GS16" s="913"/>
      <c r="GT16" s="913"/>
      <c r="GU16" s="913"/>
      <c r="GV16" s="913"/>
      <c r="GW16" s="913"/>
      <c r="GX16" s="913"/>
      <c r="GY16" s="913"/>
      <c r="GZ16" s="913"/>
      <c r="HA16" s="913"/>
      <c r="HB16" s="913"/>
      <c r="HC16" s="913"/>
      <c r="HD16" s="913"/>
      <c r="HE16" s="913"/>
      <c r="HF16" s="913"/>
      <c r="HG16" s="913"/>
      <c r="HH16" s="913"/>
      <c r="HI16" s="913"/>
      <c r="HJ16" s="913"/>
      <c r="HK16" s="913"/>
      <c r="HL16" s="913"/>
      <c r="HM16" s="913"/>
      <c r="HN16" s="913"/>
      <c r="HO16" s="913"/>
      <c r="HP16" s="913"/>
      <c r="HQ16" s="913"/>
      <c r="HR16" s="913"/>
      <c r="HS16" s="913"/>
      <c r="HT16" s="913"/>
      <c r="HU16" s="913"/>
      <c r="HV16" s="913"/>
      <c r="HW16" s="913"/>
      <c r="HX16" s="913"/>
      <c r="HY16" s="913"/>
      <c r="HZ16" s="913"/>
      <c r="IA16" s="913"/>
      <c r="IB16" s="913"/>
      <c r="IC16" s="913"/>
      <c r="ID16" s="913"/>
      <c r="IE16" s="913"/>
      <c r="IF16" s="913"/>
      <c r="IG16" s="913"/>
      <c r="IH16" s="913"/>
      <c r="II16" s="913"/>
      <c r="IJ16" s="913"/>
      <c r="IK16" s="913"/>
      <c r="IL16" s="913"/>
      <c r="IM16" s="913"/>
      <c r="IN16" s="913"/>
      <c r="IO16" s="913"/>
      <c r="IP16" s="913"/>
      <c r="IQ16" s="913"/>
      <c r="IR16" s="913"/>
      <c r="IS16" s="913"/>
      <c r="IT16" s="913"/>
      <c r="IU16" s="913"/>
      <c r="IV16" s="913"/>
    </row>
    <row r="17" spans="1:256" s="532" customFormat="1" ht="12.75" x14ac:dyDescent="0.2">
      <c r="A17" s="661" t="s">
        <v>85</v>
      </c>
      <c r="E17" s="662"/>
      <c r="F17" s="663"/>
      <c r="J17" s="662"/>
      <c r="K17" s="663"/>
      <c r="O17" s="662"/>
      <c r="P17" s="663"/>
      <c r="T17" s="662"/>
      <c r="U17" s="663"/>
      <c r="Y17" s="662"/>
      <c r="Z17" s="663"/>
      <c r="AD17" s="662"/>
      <c r="AE17" s="663"/>
      <c r="AI17" s="662"/>
      <c r="AJ17" s="663"/>
      <c r="AN17" s="662"/>
      <c r="AO17" s="663"/>
      <c r="AS17" s="662"/>
      <c r="AT17" s="663"/>
      <c r="AX17" s="662"/>
      <c r="AY17" s="663"/>
      <c r="BC17" s="662"/>
      <c r="BD17" s="663"/>
      <c r="BH17" s="662"/>
      <c r="BI17" s="663"/>
      <c r="BM17" s="662"/>
      <c r="BN17" s="663"/>
      <c r="BR17" s="662"/>
      <c r="BS17" s="663"/>
      <c r="BW17" s="662"/>
      <c r="BX17" s="663"/>
      <c r="CB17" s="662"/>
      <c r="CC17" s="663"/>
      <c r="CG17" s="662"/>
      <c r="CH17" s="663"/>
      <c r="CL17" s="662"/>
      <c r="CM17" s="663"/>
      <c r="CQ17" s="662"/>
      <c r="CR17" s="663"/>
      <c r="CV17" s="662"/>
      <c r="CW17" s="664"/>
      <c r="DB17" s="663"/>
      <c r="DG17" s="663"/>
      <c r="DL17" s="663"/>
      <c r="DQ17" s="663"/>
      <c r="DV17" s="664"/>
      <c r="EA17" s="664"/>
      <c r="EF17" s="664"/>
      <c r="EK17" s="2098"/>
      <c r="EP17" s="2098"/>
      <c r="EU17" s="1933"/>
      <c r="EZ17" s="832"/>
      <c r="FE17" s="832"/>
      <c r="FF17" s="742"/>
      <c r="FG17" s="629"/>
      <c r="FH17" s="1024"/>
      <c r="FI17" s="1024"/>
      <c r="FJ17" s="1024"/>
      <c r="FK17" s="1024"/>
      <c r="FL17" s="1796"/>
      <c r="FR17" s="1429"/>
      <c r="GA17" s="629"/>
      <c r="GB17"/>
      <c r="GC17"/>
      <c r="GD17"/>
      <c r="GE17"/>
      <c r="GF17"/>
      <c r="GG17"/>
      <c r="GH17" s="945"/>
      <c r="GI17" s="945"/>
      <c r="GJ17" s="945"/>
      <c r="GK17" s="945"/>
      <c r="GL17" s="945"/>
      <c r="GM17" s="945"/>
      <c r="GN17" s="945"/>
      <c r="GO17" s="945"/>
      <c r="GP17" s="945"/>
      <c r="GQ17" s="945"/>
      <c r="GR17" s="945"/>
      <c r="GS17" s="945"/>
      <c r="GT17" s="945"/>
      <c r="GU17" s="945"/>
      <c r="GV17" s="945"/>
      <c r="GW17" s="945"/>
      <c r="GX17" s="945"/>
      <c r="GY17" s="945"/>
      <c r="GZ17" s="945"/>
      <c r="HA17" s="945"/>
      <c r="HB17" s="945"/>
      <c r="HC17" s="945"/>
      <c r="HD17" s="945"/>
      <c r="HE17" s="945"/>
      <c r="HF17" s="945"/>
      <c r="HG17" s="945"/>
      <c r="HH17" s="945"/>
      <c r="HI17" s="945"/>
      <c r="HJ17" s="945"/>
      <c r="HK17" s="945"/>
      <c r="HL17" s="945"/>
      <c r="HM17" s="945"/>
      <c r="HN17" s="945"/>
      <c r="HO17" s="945"/>
      <c r="HP17" s="945"/>
      <c r="HQ17" s="945"/>
      <c r="HR17" s="945"/>
      <c r="HS17" s="945"/>
      <c r="HT17" s="945"/>
      <c r="HU17" s="945"/>
      <c r="HV17" s="945"/>
      <c r="HW17" s="945"/>
      <c r="HX17" s="945"/>
      <c r="HY17" s="945"/>
      <c r="HZ17" s="945"/>
      <c r="IA17" s="945"/>
      <c r="IB17" s="945"/>
      <c r="IC17" s="945"/>
      <c r="ID17" s="945"/>
      <c r="IE17" s="945"/>
      <c r="IF17" s="945"/>
      <c r="IG17" s="945"/>
      <c r="IH17" s="945"/>
      <c r="II17" s="945"/>
      <c r="IJ17" s="945"/>
      <c r="IK17" s="945"/>
      <c r="IL17" s="945"/>
      <c r="IM17" s="945"/>
      <c r="IN17" s="945"/>
      <c r="IO17" s="945"/>
      <c r="IP17" s="945"/>
      <c r="IQ17" s="945"/>
      <c r="IR17" s="945"/>
      <c r="IS17" s="945"/>
      <c r="IT17" s="945"/>
      <c r="IU17" s="945"/>
      <c r="IV17" s="945"/>
    </row>
    <row r="18" spans="1:256" s="16" customFormat="1" ht="12.75" x14ac:dyDescent="0.2">
      <c r="A18" s="1770" t="s">
        <v>785</v>
      </c>
      <c r="E18" s="201"/>
      <c r="F18" s="253"/>
      <c r="J18" s="201"/>
      <c r="K18" s="253"/>
      <c r="O18" s="201"/>
      <c r="P18" s="253"/>
      <c r="Q18" s="68">
        <f t="shared" ref="Q18:AV18" si="56">Q5/L5-1</f>
        <v>6.6115702479338845E-2</v>
      </c>
      <c r="R18" s="1771">
        <f t="shared" si="56"/>
        <v>4.4275172577957767E-2</v>
      </c>
      <c r="S18" s="1771">
        <f t="shared" si="56"/>
        <v>3.0331530684222896E-2</v>
      </c>
      <c r="T18" s="1772">
        <f t="shared" si="56"/>
        <v>6.7453625632377889E-2</v>
      </c>
      <c r="U18" s="1773">
        <f t="shared" si="56"/>
        <v>5.1753223279913163E-2</v>
      </c>
      <c r="V18" s="1771">
        <f t="shared" si="56"/>
        <v>4.6276720695325402E-2</v>
      </c>
      <c r="W18" s="1771">
        <f t="shared" si="56"/>
        <v>6.496466833827208E-2</v>
      </c>
      <c r="X18" s="1771">
        <f t="shared" si="56"/>
        <v>1.3920584208124032E-2</v>
      </c>
      <c r="Y18" s="1772">
        <f t="shared" si="56"/>
        <v>5.5066576393590694E-2</v>
      </c>
      <c r="Z18" s="1773">
        <f t="shared" si="56"/>
        <v>4.5082201982012959E-2</v>
      </c>
      <c r="AA18" s="1771">
        <f t="shared" si="56"/>
        <v>3.120790300853149E-2</v>
      </c>
      <c r="AB18" s="1771">
        <f t="shared" si="56"/>
        <v>4.6232876712328785E-2</v>
      </c>
      <c r="AC18" s="1771">
        <f t="shared" si="56"/>
        <v>5.0191312176457448E-2</v>
      </c>
      <c r="AD18" s="1772">
        <f t="shared" si="56"/>
        <v>5.0695187165775479E-2</v>
      </c>
      <c r="AE18" s="1773">
        <f t="shared" si="56"/>
        <v>4.4672221004165902E-2</v>
      </c>
      <c r="AF18" s="1771">
        <f t="shared" si="56"/>
        <v>5.9220553015458366E-2</v>
      </c>
      <c r="AG18" s="1771">
        <f t="shared" si="56"/>
        <v>6.3420621931260523E-3</v>
      </c>
      <c r="AH18" s="1771">
        <f t="shared" si="56"/>
        <v>4.2863266180903636E-4</v>
      </c>
      <c r="AI18" s="1772">
        <f t="shared" si="56"/>
        <v>-3.5016286644951378E-2</v>
      </c>
      <c r="AJ18" s="1773">
        <f t="shared" si="56"/>
        <v>6.9783304475574681E-3</v>
      </c>
      <c r="AK18" s="1771">
        <f t="shared" si="56"/>
        <v>-4.213771839671121E-2</v>
      </c>
      <c r="AL18" s="1771">
        <f t="shared" si="56"/>
        <v>-1.5856881479975549E-2</v>
      </c>
      <c r="AM18" s="1771">
        <f t="shared" si="56"/>
        <v>2.5278491859468843E-2</v>
      </c>
      <c r="AN18" s="1772">
        <f t="shared" si="56"/>
        <v>2.0253164556962133E-2</v>
      </c>
      <c r="AO18" s="1773">
        <f t="shared" si="56"/>
        <v>-3.5952480200081016E-3</v>
      </c>
      <c r="AP18" s="1771">
        <f t="shared" si="56"/>
        <v>4.2060085836909789E-2</v>
      </c>
      <c r="AQ18" s="1771">
        <f t="shared" si="56"/>
        <v>3.573641809543493E-2</v>
      </c>
      <c r="AR18" s="1771">
        <f t="shared" si="56"/>
        <v>5.8503969912242493E-3</v>
      </c>
      <c r="AS18" s="1772">
        <f t="shared" si="56"/>
        <v>2.1918941273780135E-2</v>
      </c>
      <c r="AT18" s="1773">
        <f t="shared" si="56"/>
        <v>2.6303404277571385E-2</v>
      </c>
      <c r="AU18" s="1771">
        <f t="shared" si="56"/>
        <v>5.3130148270181365E-2</v>
      </c>
      <c r="AV18" s="1771">
        <f t="shared" si="56"/>
        <v>5.5245313123254869E-2</v>
      </c>
      <c r="AW18" s="1771">
        <f t="shared" ref="AW18:CB18" si="57">AW5/AR5-1</f>
        <v>5.1931865392604859E-2</v>
      </c>
      <c r="AX18" s="1772">
        <f t="shared" si="57"/>
        <v>3.8445973290165636E-2</v>
      </c>
      <c r="AY18" s="1773">
        <f t="shared" si="57"/>
        <v>4.9678997248548074E-2</v>
      </c>
      <c r="AZ18" s="1771">
        <f t="shared" si="57"/>
        <v>1.3687915526006122E-3</v>
      </c>
      <c r="BA18" s="1771">
        <f t="shared" si="57"/>
        <v>0.14212814212814195</v>
      </c>
      <c r="BB18" s="1771">
        <f t="shared" si="57"/>
        <v>0.40383096366508719</v>
      </c>
      <c r="BC18" s="1772">
        <f t="shared" si="57"/>
        <v>0.39996102883865947</v>
      </c>
      <c r="BD18" s="1773">
        <f t="shared" si="57"/>
        <v>0.23574583758069956</v>
      </c>
      <c r="BE18" s="1771">
        <f t="shared" si="57"/>
        <v>0.45967584456160893</v>
      </c>
      <c r="BF18" s="1771">
        <f t="shared" si="57"/>
        <v>0.26675492305146453</v>
      </c>
      <c r="BG18" s="1771">
        <f t="shared" si="57"/>
        <v>8.7213391475595703E-3</v>
      </c>
      <c r="BH18" s="1772">
        <f t="shared" si="57"/>
        <v>-4.3092169362247135E-2</v>
      </c>
      <c r="BI18" s="1773">
        <f t="shared" si="57"/>
        <v>0.14606247250329973</v>
      </c>
      <c r="BJ18" s="1771">
        <f t="shared" si="57"/>
        <v>-0.10153846153846147</v>
      </c>
      <c r="BK18" s="1771">
        <f t="shared" si="57"/>
        <v>-6.9888961463095978E-2</v>
      </c>
      <c r="BL18" s="1771">
        <f t="shared" si="57"/>
        <v>-7.5582206107934979E-2</v>
      </c>
      <c r="BM18" s="1772">
        <f t="shared" si="57"/>
        <v>-2.6036363636363413E-2</v>
      </c>
      <c r="BN18" s="1773">
        <f t="shared" si="57"/>
        <v>-6.9063613929256751E-2</v>
      </c>
      <c r="BO18" s="1771">
        <f t="shared" si="57"/>
        <v>-1.8612269207861964E-2</v>
      </c>
      <c r="BP18" s="1771">
        <f t="shared" si="57"/>
        <v>1.601123595505638E-2</v>
      </c>
      <c r="BQ18" s="1771">
        <f t="shared" si="57"/>
        <v>5.3100015085231433E-2</v>
      </c>
      <c r="BR18" s="1772">
        <f t="shared" si="57"/>
        <v>1.0155316606929476E-2</v>
      </c>
      <c r="BS18" s="1773">
        <f t="shared" si="57"/>
        <v>1.5058355730642958E-2</v>
      </c>
      <c r="BT18" s="1771">
        <f t="shared" si="57"/>
        <v>2.3516917008041371E-2</v>
      </c>
      <c r="BU18" s="1771">
        <f t="shared" si="57"/>
        <v>-2.1703068841581463E-2</v>
      </c>
      <c r="BV18" s="1771">
        <f t="shared" si="57"/>
        <v>-1.4611087236785503E-2</v>
      </c>
      <c r="BW18" s="1772">
        <f t="shared" si="57"/>
        <v>4.9379065641632192E-2</v>
      </c>
      <c r="BX18" s="1773">
        <f t="shared" si="57"/>
        <v>8.342401160682078E-3</v>
      </c>
      <c r="BY18" s="1771">
        <f t="shared" si="57"/>
        <v>4.1506077675659725E-2</v>
      </c>
      <c r="BZ18" s="1771">
        <f t="shared" si="57"/>
        <v>4.5640808252084053E-2</v>
      </c>
      <c r="CA18" s="1771">
        <f t="shared" si="57"/>
        <v>4.2448030236953205E-2</v>
      </c>
      <c r="CB18" s="1772">
        <f t="shared" si="57"/>
        <v>1.7469709777402143E-2</v>
      </c>
      <c r="CC18" s="1773">
        <f t="shared" ref="CC18:DH18" si="58">CC5/BX5-1</f>
        <v>3.6654676258992769E-2</v>
      </c>
      <c r="CD18" s="1771">
        <f t="shared" si="58"/>
        <v>1.9072018218047271E-2</v>
      </c>
      <c r="CE18" s="1771">
        <f t="shared" si="58"/>
        <v>8.9189189189189388E-3</v>
      </c>
      <c r="CF18" s="1771">
        <f t="shared" si="58"/>
        <v>-5.5780225909916048E-3</v>
      </c>
      <c r="CG18" s="1772">
        <f t="shared" si="58"/>
        <v>-2.3539185821103148E-3</v>
      </c>
      <c r="CH18" s="1773">
        <f t="shared" si="58"/>
        <v>4.9620042333182734E-3</v>
      </c>
      <c r="CI18" s="1771">
        <f t="shared" si="58"/>
        <v>3.1284916201117285E-2</v>
      </c>
      <c r="CJ18" s="1771">
        <f t="shared" si="58"/>
        <v>1.1117064023573375E-2</v>
      </c>
      <c r="CK18" s="1771">
        <f t="shared" si="58"/>
        <v>-1.4023278642538717E-4</v>
      </c>
      <c r="CL18" s="1772">
        <f t="shared" si="58"/>
        <v>-5.8848022206800965E-2</v>
      </c>
      <c r="CM18" s="1773">
        <f t="shared" si="58"/>
        <v>-4.0743042607555013E-3</v>
      </c>
      <c r="CN18" s="1771">
        <f t="shared" si="58"/>
        <v>-7.9360780065005465E-2</v>
      </c>
      <c r="CO18" s="1771">
        <f t="shared" si="58"/>
        <v>-4.0535170221221439E-2</v>
      </c>
      <c r="CP18" s="1771">
        <f t="shared" si="58"/>
        <v>-2.9873772791023767E-2</v>
      </c>
      <c r="CQ18" s="1772">
        <f t="shared" si="58"/>
        <v>-1.4747087450226459E-3</v>
      </c>
      <c r="CR18" s="1773">
        <f t="shared" si="58"/>
        <v>-3.865621966440147E-2</v>
      </c>
      <c r="CS18" s="1771">
        <f t="shared" si="58"/>
        <v>-2.8243601059134926E-2</v>
      </c>
      <c r="CT18" s="1771">
        <f t="shared" si="58"/>
        <v>-4.7908325279580333E-2</v>
      </c>
      <c r="CU18" s="1771">
        <f t="shared" si="58"/>
        <v>-5.5226254156426235E-2</v>
      </c>
      <c r="CV18" s="1772">
        <f t="shared" si="58"/>
        <v>-0.18608772707133381</v>
      </c>
      <c r="CW18" s="1774">
        <f t="shared" si="58"/>
        <v>-7.8654116628800286E-2</v>
      </c>
      <c r="CX18" s="1771">
        <f t="shared" si="58"/>
        <v>-0.29155313351498635</v>
      </c>
      <c r="CY18" s="1771">
        <f t="shared" si="58"/>
        <v>-0.32192575406032475</v>
      </c>
      <c r="CZ18" s="1771">
        <f t="shared" si="58"/>
        <v>-0.18775822494261674</v>
      </c>
      <c r="DA18" s="1775">
        <f t="shared" si="58"/>
        <v>-1.6693884957357907E-2</v>
      </c>
      <c r="DB18" s="1776">
        <f t="shared" si="58"/>
        <v>-0.21391106935963655</v>
      </c>
      <c r="DC18" s="1771">
        <f t="shared" si="58"/>
        <v>0.15811965811965822</v>
      </c>
      <c r="DD18" s="1771">
        <f t="shared" si="58"/>
        <v>0.2662532078699742</v>
      </c>
      <c r="DE18" s="1771">
        <f t="shared" si="58"/>
        <v>0.10719668425018836</v>
      </c>
      <c r="DF18" s="1775">
        <f t="shared" si="58"/>
        <v>3.0632958110352604E-2</v>
      </c>
      <c r="DG18" s="1775">
        <f t="shared" si="58"/>
        <v>0.13543793257979386</v>
      </c>
      <c r="DH18" s="1771">
        <f t="shared" si="58"/>
        <v>2.9889298892988858E-2</v>
      </c>
      <c r="DI18" s="1771">
        <f t="shared" ref="DI18:EN18" si="59">DI5/DD5-1</f>
        <v>-1.6551258233406307E-2</v>
      </c>
      <c r="DJ18" s="1771">
        <f t="shared" si="59"/>
        <v>-1.6334864726901488E-2</v>
      </c>
      <c r="DK18" s="1775">
        <f t="shared" si="59"/>
        <v>1.3428827215756556E-2</v>
      </c>
      <c r="DL18" s="1777">
        <f t="shared" si="59"/>
        <v>1.8857167916501716E-3</v>
      </c>
      <c r="DM18" s="1771">
        <f t="shared" si="59"/>
        <v>5.1236116087424177E-2</v>
      </c>
      <c r="DN18" s="1771">
        <f t="shared" si="59"/>
        <v>3.7437746865876642E-2</v>
      </c>
      <c r="DO18" s="1771">
        <f t="shared" si="59"/>
        <v>-1.4530358069537952E-2</v>
      </c>
      <c r="DP18" s="1775">
        <f t="shared" si="59"/>
        <v>1.4487632508833892E-2</v>
      </c>
      <c r="DQ18" s="1777">
        <f t="shared" si="59"/>
        <v>2.1973211940821358E-2</v>
      </c>
      <c r="DR18" s="1771">
        <f t="shared" si="59"/>
        <v>-4.7716428084527696E-3</v>
      </c>
      <c r="DS18" s="1771">
        <f t="shared" si="59"/>
        <v>1.9367654361860609E-2</v>
      </c>
      <c r="DT18" s="1771">
        <f t="shared" si="59"/>
        <v>6.0733719501491867E-2</v>
      </c>
      <c r="DU18" s="1775">
        <f t="shared" si="59"/>
        <v>7.5931731104144751E-2</v>
      </c>
      <c r="DV18" s="1774">
        <f t="shared" si="59"/>
        <v>3.7305122494432075E-2</v>
      </c>
      <c r="DW18" s="1771">
        <f t="shared" si="59"/>
        <v>-1.0616438356164437E-2</v>
      </c>
      <c r="DX18" s="1771">
        <f t="shared" si="59"/>
        <v>6.6092887301071768E-2</v>
      </c>
      <c r="DY18" s="1771">
        <f t="shared" si="59"/>
        <v>9.9122952176071477E-2</v>
      </c>
      <c r="DZ18" s="1775">
        <f t="shared" si="59"/>
        <v>4.6940757526707566E-2</v>
      </c>
      <c r="EA18" s="1774">
        <f t="shared" si="59"/>
        <v>5.0951732111152337E-2</v>
      </c>
      <c r="EB18" s="1771">
        <f t="shared" si="59"/>
        <v>3.4960193838698528E-2</v>
      </c>
      <c r="EC18" s="1771">
        <f t="shared" si="59"/>
        <v>7.6161462300077254E-3</v>
      </c>
      <c r="ED18" s="1771">
        <f t="shared" si="59"/>
        <v>-9.3345377898222948E-3</v>
      </c>
      <c r="EE18" s="1775">
        <f t="shared" si="59"/>
        <v>-4.0352504638218933E-2</v>
      </c>
      <c r="EF18" s="1774">
        <f t="shared" si="59"/>
        <v>-2.7894550740580337E-3</v>
      </c>
      <c r="EG18" s="1771">
        <f t="shared" si="59"/>
        <v>2.5418060200668835E-2</v>
      </c>
      <c r="EH18" s="1771">
        <f t="shared" si="59"/>
        <v>-3.4467120181405853E-2</v>
      </c>
      <c r="EI18" s="1771">
        <f t="shared" si="59"/>
        <v>-4.1793313069908855E-2</v>
      </c>
      <c r="EJ18" s="1775">
        <f t="shared" si="59"/>
        <v>-2.5616239729337575E-2</v>
      </c>
      <c r="EK18" s="1774">
        <f t="shared" si="59"/>
        <v>-2.0092979276652878E-2</v>
      </c>
      <c r="EL18" s="1771">
        <f t="shared" si="59"/>
        <v>7.1754729288977526E-3</v>
      </c>
      <c r="EM18" s="1771">
        <f t="shared" si="59"/>
        <v>-4.8536088930640764E-3</v>
      </c>
      <c r="EN18" s="1771">
        <f t="shared" si="59"/>
        <v>-5.2339413164156356E-3</v>
      </c>
      <c r="EO18" s="1775">
        <f t="shared" ref="EO18:EO26" si="60">EO5/EJ5-1</f>
        <v>1.0251322751322567E-2</v>
      </c>
      <c r="EP18" s="1774">
        <f t="shared" ref="EP18:EQ26" si="61">EP5/EK5-1</f>
        <v>1.6886458668383675E-3</v>
      </c>
      <c r="EQ18" s="1771">
        <f t="shared" si="61"/>
        <v>-1.8620466321243478E-2</v>
      </c>
      <c r="ER18" s="2102">
        <f t="shared" ref="ER18" si="62">ER5/EM5-1</f>
        <v>1.4224354940213901E-2</v>
      </c>
      <c r="ES18" s="2102">
        <f t="shared" ref="ES18:EZ26" si="63">ES5/EN5-1</f>
        <v>1.74808673469391E-2</v>
      </c>
      <c r="ET18" s="2102">
        <f t="shared" si="63"/>
        <v>5.6914893617021622E-3</v>
      </c>
      <c r="EU18" s="2079">
        <f t="shared" si="63"/>
        <v>4.8095448342295732E-3</v>
      </c>
      <c r="EV18" s="1778">
        <f t="shared" si="63"/>
        <v>-1</v>
      </c>
      <c r="EW18" s="1778">
        <f t="shared" si="63"/>
        <v>-1</v>
      </c>
      <c r="EX18" s="1778">
        <f t="shared" si="63"/>
        <v>-1</v>
      </c>
      <c r="EY18" s="1778">
        <f t="shared" si="63"/>
        <v>-1</v>
      </c>
      <c r="EZ18" s="1779">
        <f t="shared" si="63"/>
        <v>5.6238159769830265E-3</v>
      </c>
      <c r="FA18" s="1778" t="e">
        <f t="shared" ref="FA18" si="64">FA5/EV5-1</f>
        <v>#DIV/0!</v>
      </c>
      <c r="FB18" s="1778" t="e">
        <f t="shared" ref="FB18" si="65">FB5/EW5-1</f>
        <v>#DIV/0!</v>
      </c>
      <c r="FC18" s="1778" t="e">
        <f t="shared" ref="FC18" si="66">FC5/EX5-1</f>
        <v>#DIV/0!</v>
      </c>
      <c r="FD18" s="1778" t="e">
        <f t="shared" ref="FD18" si="67">FD5/EY5-1</f>
        <v>#DIV/0!</v>
      </c>
      <c r="FE18" s="1779">
        <f t="shared" ref="FE18" si="68">FE5/EZ5-1</f>
        <v>1.2133189989507409E-2</v>
      </c>
      <c r="FF18" s="743"/>
      <c r="FG18" s="628"/>
      <c r="FH18" s="1024"/>
      <c r="FI18" s="1024"/>
      <c r="FJ18" s="1024"/>
      <c r="FK18" s="1024"/>
      <c r="FL18" s="1796"/>
      <c r="FM18" s="1771">
        <f t="shared" ref="FM18:FM27" si="69">EQ18</f>
        <v>-1.8620466321243478E-2</v>
      </c>
      <c r="FN18" s="1771">
        <f t="shared" ref="FN18:FN27" si="70">EL18</f>
        <v>7.1754729288977526E-3</v>
      </c>
      <c r="FO18" s="1771">
        <v>-2.4052784974093244E-2</v>
      </c>
      <c r="FP18" s="1889">
        <f>IFERROR(($FM18-FN18)*10000,"")</f>
        <v>-257.95939250141231</v>
      </c>
      <c r="FQ18" s="1889">
        <f>IFERROR(($FM18-FO18)*10000,"")</f>
        <v>54.323186528497658</v>
      </c>
      <c r="FR18" s="571" t="s">
        <v>857</v>
      </c>
      <c r="FS18" s="567"/>
      <c r="FT18" s="567"/>
      <c r="FU18" s="567"/>
      <c r="FV18" s="567"/>
      <c r="FW18" s="567"/>
      <c r="FX18" s="567"/>
      <c r="FY18" s="567"/>
      <c r="FZ18" s="567"/>
      <c r="GA18" s="628"/>
      <c r="GB18"/>
      <c r="GC18"/>
      <c r="GD18"/>
      <c r="GE18"/>
      <c r="GF18"/>
      <c r="GG18"/>
      <c r="GH18" s="946"/>
      <c r="GI18" s="946"/>
      <c r="GJ18" s="946"/>
      <c r="GK18" s="946"/>
      <c r="GL18" s="946"/>
      <c r="GM18" s="946"/>
      <c r="GN18" s="946"/>
      <c r="GO18" s="946"/>
      <c r="GP18" s="946"/>
      <c r="GQ18" s="946"/>
      <c r="GR18" s="946"/>
      <c r="GS18" s="946"/>
      <c r="GT18" s="946"/>
      <c r="GU18" s="946"/>
      <c r="GV18" s="946"/>
      <c r="GW18" s="946"/>
      <c r="GX18" s="946"/>
      <c r="GY18" s="946"/>
      <c r="GZ18" s="946"/>
      <c r="HA18" s="946"/>
      <c r="HB18" s="946"/>
      <c r="HC18" s="946"/>
      <c r="HD18" s="946"/>
      <c r="HE18" s="946"/>
      <c r="HF18" s="946"/>
      <c r="HG18" s="946"/>
      <c r="HH18" s="946"/>
      <c r="HI18" s="946"/>
      <c r="HJ18" s="946"/>
      <c r="HK18" s="946"/>
      <c r="HL18" s="946"/>
      <c r="HM18" s="946"/>
      <c r="HN18" s="946"/>
      <c r="HO18" s="946"/>
      <c r="HP18" s="946"/>
      <c r="HQ18" s="946"/>
      <c r="HR18" s="946"/>
      <c r="HS18" s="946"/>
      <c r="HT18" s="946"/>
      <c r="HU18" s="946"/>
      <c r="HV18" s="946"/>
      <c r="HW18" s="946"/>
      <c r="HX18" s="946"/>
      <c r="HY18" s="946"/>
      <c r="HZ18" s="946"/>
      <c r="IA18" s="946"/>
      <c r="IB18" s="946"/>
      <c r="IC18" s="946"/>
      <c r="ID18" s="946"/>
      <c r="IE18" s="946"/>
      <c r="IF18" s="946"/>
      <c r="IG18" s="946"/>
      <c r="IH18" s="946"/>
      <c r="II18" s="946"/>
      <c r="IJ18" s="946"/>
      <c r="IK18" s="946"/>
      <c r="IL18" s="946"/>
      <c r="IM18" s="946"/>
      <c r="IN18" s="946"/>
      <c r="IO18" s="946"/>
      <c r="IP18" s="946"/>
      <c r="IQ18" s="946"/>
      <c r="IR18" s="946"/>
      <c r="IS18" s="946"/>
      <c r="IT18" s="946"/>
      <c r="IU18" s="946"/>
      <c r="IV18" s="946"/>
    </row>
    <row r="19" spans="1:256" s="16" customFormat="1" ht="12.75" x14ac:dyDescent="0.2">
      <c r="A19" s="252" t="str">
        <f t="shared" ref="A19:A26" si="71">A6&amp;" YoY % Change"</f>
        <v>Coal Carloads YoY % Change</v>
      </c>
      <c r="E19" s="201"/>
      <c r="F19" s="253"/>
      <c r="J19" s="201"/>
      <c r="K19" s="253"/>
      <c r="O19" s="201"/>
      <c r="P19" s="253"/>
      <c r="Q19" s="68">
        <f t="shared" ref="Q19:Z26" si="72">Q6/L6-1</f>
        <v>-7.1428571428571397E-2</v>
      </c>
      <c r="R19" s="68">
        <f t="shared" si="72"/>
        <v>3.4504391468004325E-3</v>
      </c>
      <c r="S19" s="68">
        <f t="shared" si="72"/>
        <v>-3.4287418008348225E-2</v>
      </c>
      <c r="T19" s="206">
        <f t="shared" si="72"/>
        <v>2.2194435761175413E-2</v>
      </c>
      <c r="U19" s="1090">
        <f t="shared" si="72"/>
        <v>-2.1213728312750924E-2</v>
      </c>
      <c r="V19" s="68">
        <f t="shared" si="72"/>
        <v>-9.6543132980379975E-2</v>
      </c>
      <c r="W19" s="68">
        <f t="shared" si="72"/>
        <v>-2.125664270084382E-2</v>
      </c>
      <c r="X19" s="68">
        <f t="shared" si="72"/>
        <v>-7.2861994442729117E-2</v>
      </c>
      <c r="Y19" s="206">
        <f t="shared" si="72"/>
        <v>-6.6666666666666652E-2</v>
      </c>
      <c r="Z19" s="1090">
        <f t="shared" si="72"/>
        <v>-6.4401269448099763E-2</v>
      </c>
      <c r="AA19" s="68">
        <f t="shared" ref="AA19:AJ26" si="73">AA6/V6-1</f>
        <v>5.4808686659772343E-2</v>
      </c>
      <c r="AB19" s="68">
        <f t="shared" si="73"/>
        <v>6.3238581922708148E-2</v>
      </c>
      <c r="AC19" s="68">
        <f t="shared" si="73"/>
        <v>8.2251082251082241E-2</v>
      </c>
      <c r="AD19" s="206">
        <f t="shared" si="73"/>
        <v>1.671035386631714E-2</v>
      </c>
      <c r="AE19" s="1090">
        <f t="shared" si="73"/>
        <v>5.4190452552328905E-2</v>
      </c>
      <c r="AF19" s="68">
        <f t="shared" si="73"/>
        <v>4.052287581699332E-2</v>
      </c>
      <c r="AG19" s="68">
        <f t="shared" si="73"/>
        <v>-5.7975367978371772E-2</v>
      </c>
      <c r="AH19" s="68">
        <f t="shared" si="73"/>
        <v>-1.5692307692307783E-2</v>
      </c>
      <c r="AI19" s="206">
        <f t="shared" si="73"/>
        <v>1.4824363519174932E-2</v>
      </c>
      <c r="AJ19" s="1090">
        <f t="shared" si="73"/>
        <v>-5.8075655313137853E-3</v>
      </c>
      <c r="AK19" s="68">
        <f t="shared" ref="AK19:AT26" si="74">AK6/AF6-1</f>
        <v>3.7688442211056827E-3</v>
      </c>
      <c r="AL19" s="68">
        <f t="shared" si="74"/>
        <v>6.6645408163265252E-2</v>
      </c>
      <c r="AM19" s="68">
        <f t="shared" si="74"/>
        <v>4.2200687714910812E-2</v>
      </c>
      <c r="AN19" s="206">
        <f t="shared" si="74"/>
        <v>2.2864401397269196E-2</v>
      </c>
      <c r="AO19" s="1090">
        <f t="shared" si="74"/>
        <v>3.3785917271866195E-2</v>
      </c>
      <c r="AP19" s="68">
        <f t="shared" si="74"/>
        <v>2.5344180225281399E-2</v>
      </c>
      <c r="AQ19" s="68">
        <f t="shared" si="74"/>
        <v>-2.1225710014947774E-2</v>
      </c>
      <c r="AR19" s="68">
        <f t="shared" si="74"/>
        <v>-3.2993401319735272E-3</v>
      </c>
      <c r="AS19" s="206">
        <f t="shared" si="74"/>
        <v>4.6569388388699062E-2</v>
      </c>
      <c r="AT19" s="1090">
        <f t="shared" si="74"/>
        <v>1.1377519853390528E-2</v>
      </c>
      <c r="AU19" s="68">
        <f t="shared" ref="AU19:BD26" si="75">AU6/AP6-1</f>
        <v>1.0375343301800566E-2</v>
      </c>
      <c r="AV19" s="68">
        <f t="shared" si="75"/>
        <v>-2.7489309712889209E-3</v>
      </c>
      <c r="AW19" s="68">
        <f t="shared" si="75"/>
        <v>-1.7454107733975377E-2</v>
      </c>
      <c r="AX19" s="206">
        <f t="shared" si="75"/>
        <v>-6.1999406704242199E-2</v>
      </c>
      <c r="AY19" s="1090">
        <f t="shared" si="75"/>
        <v>-1.8271045677614284E-2</v>
      </c>
      <c r="AZ19" s="68">
        <f t="shared" si="75"/>
        <v>-9.2419208698278577E-2</v>
      </c>
      <c r="BA19" s="68">
        <f t="shared" si="75"/>
        <v>4.1041347626339819E-2</v>
      </c>
      <c r="BB19" s="68">
        <f t="shared" si="75"/>
        <v>0.34058192955589583</v>
      </c>
      <c r="BC19" s="206">
        <f t="shared" si="75"/>
        <v>0.39500316255534473</v>
      </c>
      <c r="BD19" s="1090">
        <f t="shared" si="75"/>
        <v>0.16834576636160881</v>
      </c>
      <c r="BE19" s="68">
        <f t="shared" ref="BE19:BN26" si="76">BE6/AZ6-1</f>
        <v>0.40432612312811989</v>
      </c>
      <c r="BF19" s="68">
        <f t="shared" si="76"/>
        <v>0.28184760223595173</v>
      </c>
      <c r="BG19" s="68">
        <f t="shared" si="76"/>
        <v>-2.9700708247658247E-2</v>
      </c>
      <c r="BH19" s="206">
        <f t="shared" si="76"/>
        <v>-8.1840852414418519E-2</v>
      </c>
      <c r="BI19" s="1090">
        <f t="shared" si="76"/>
        <v>0.11071616640337045</v>
      </c>
      <c r="BJ19" s="68">
        <f t="shared" si="76"/>
        <v>4.0758293838862425E-2</v>
      </c>
      <c r="BK19" s="68">
        <f t="shared" si="76"/>
        <v>2.5246729400965062E-3</v>
      </c>
      <c r="BL19" s="68">
        <f t="shared" si="76"/>
        <v>-5.0388509536143156E-2</v>
      </c>
      <c r="BM19" s="206">
        <f t="shared" si="76"/>
        <v>2.7377777777777723E-2</v>
      </c>
      <c r="BN19" s="1090">
        <f t="shared" si="76"/>
        <v>4.7339101576389098E-3</v>
      </c>
      <c r="BO19" s="68">
        <f t="shared" ref="BO19:BX26" si="77">BO6/BJ6-1</f>
        <v>-9.2668488160291385E-2</v>
      </c>
      <c r="BP19" s="68">
        <f t="shared" si="77"/>
        <v>-9.9130036630036611E-2</v>
      </c>
      <c r="BQ19" s="68">
        <f t="shared" si="77"/>
        <v>2.2563848251921481E-2</v>
      </c>
      <c r="BR19" s="206">
        <f t="shared" si="77"/>
        <v>-2.6167541481609713E-2</v>
      </c>
      <c r="BS19" s="1090">
        <f t="shared" si="77"/>
        <v>-5.0600806423072298E-2</v>
      </c>
      <c r="BT19" s="68">
        <f t="shared" si="77"/>
        <v>-8.2810539523212601E-3</v>
      </c>
      <c r="BU19" s="68">
        <f t="shared" si="77"/>
        <v>6.7852604828462448E-2</v>
      </c>
      <c r="BV19" s="68">
        <f t="shared" si="77"/>
        <v>-1.3579049466537207E-2</v>
      </c>
      <c r="BW19" s="206">
        <f t="shared" si="77"/>
        <v>-3.1589338598223105E-2</v>
      </c>
      <c r="BX19" s="1090">
        <f t="shared" si="77"/>
        <v>3.1063618290256834E-3</v>
      </c>
      <c r="BY19" s="68">
        <f t="shared" ref="BY19:CH26" si="78">BY6/BT6-1</f>
        <v>2.8087044534413019E-2</v>
      </c>
      <c r="BZ19" s="68">
        <f t="shared" si="78"/>
        <v>1.6420752022846319E-2</v>
      </c>
      <c r="CA19" s="68">
        <f t="shared" si="78"/>
        <v>5.2605703048180796E-2</v>
      </c>
      <c r="CB19" s="206">
        <f t="shared" si="78"/>
        <v>9.3781855249745139E-2</v>
      </c>
      <c r="CC19" s="1090">
        <f t="shared" si="78"/>
        <v>4.719435154217777E-2</v>
      </c>
      <c r="CD19" s="68">
        <f t="shared" si="78"/>
        <v>3.5195668225449284E-2</v>
      </c>
      <c r="CE19" s="68">
        <f t="shared" si="78"/>
        <v>2.8564738937017164E-2</v>
      </c>
      <c r="CF19" s="68">
        <f t="shared" si="78"/>
        <v>5.5114432508173827E-2</v>
      </c>
      <c r="CG19" s="206">
        <f t="shared" si="78"/>
        <v>-1.2814538676607645E-2</v>
      </c>
      <c r="CH19" s="1090">
        <f t="shared" si="78"/>
        <v>2.6378045895434132E-2</v>
      </c>
      <c r="CI19" s="68">
        <f t="shared" ref="CI19:CR26" si="79">CI6/CD6-1</f>
        <v>3.5901093675701379E-2</v>
      </c>
      <c r="CJ19" s="68">
        <f t="shared" si="79"/>
        <v>2.1170043250626103E-2</v>
      </c>
      <c r="CK19" s="68">
        <f t="shared" si="79"/>
        <v>-3.3421868083222672E-2</v>
      </c>
      <c r="CL19" s="206">
        <f t="shared" si="79"/>
        <v>3.6110455510974804E-2</v>
      </c>
      <c r="CM19" s="1090">
        <f t="shared" si="79"/>
        <v>1.417540624639857E-2</v>
      </c>
      <c r="CN19" s="68">
        <f t="shared" si="79"/>
        <v>-3.5574936883176478E-2</v>
      </c>
      <c r="CO19" s="68">
        <f t="shared" si="79"/>
        <v>-3.120820329915297E-2</v>
      </c>
      <c r="CP19" s="68">
        <f t="shared" si="79"/>
        <v>-2.152507442179985E-2</v>
      </c>
      <c r="CQ19" s="206">
        <f t="shared" si="79"/>
        <v>-4.9430523917995406E-2</v>
      </c>
      <c r="CR19" s="1090">
        <f t="shared" si="79"/>
        <v>-3.4431818181818286E-2</v>
      </c>
      <c r="CS19" s="68">
        <f t="shared" ref="CS19:DB26" si="80">CS6/CN6-1</f>
        <v>1.6182770109471667E-2</v>
      </c>
      <c r="CT19" s="68">
        <f t="shared" si="80"/>
        <v>3.1523239760699484E-2</v>
      </c>
      <c r="CU19" s="68">
        <f t="shared" si="80"/>
        <v>5.5230517201029672E-2</v>
      </c>
      <c r="CV19" s="206">
        <f t="shared" si="80"/>
        <v>5.3199137311286782E-2</v>
      </c>
      <c r="CW19" s="1091">
        <f t="shared" si="80"/>
        <v>3.9013769565729106E-2</v>
      </c>
      <c r="CX19" s="68">
        <f t="shared" si="80"/>
        <v>-0.1081967213114754</v>
      </c>
      <c r="CY19" s="68">
        <f t="shared" si="80"/>
        <v>-0.25964755743921486</v>
      </c>
      <c r="CZ19" s="68">
        <f t="shared" si="80"/>
        <v>-0.22089155023286755</v>
      </c>
      <c r="DA19" s="1092">
        <f t="shared" si="80"/>
        <v>-0.19340159271899882</v>
      </c>
      <c r="DB19" s="1093">
        <f t="shared" si="80"/>
        <v>-0.19663589511241997</v>
      </c>
      <c r="DC19" s="68">
        <f t="shared" ref="DC19:DL26" si="81">DC6/CX6-1</f>
        <v>-4.3329831932773066E-2</v>
      </c>
      <c r="DD19" s="68">
        <f t="shared" si="81"/>
        <v>0.18830973184694177</v>
      </c>
      <c r="DE19" s="68">
        <f t="shared" si="81"/>
        <v>0.14631369200113853</v>
      </c>
      <c r="DF19" s="1092">
        <f t="shared" si="81"/>
        <v>0.11509167842031043</v>
      </c>
      <c r="DG19" s="1092">
        <f t="shared" si="81"/>
        <v>9.742685935847728E-2</v>
      </c>
      <c r="DH19" s="68">
        <f t="shared" si="81"/>
        <v>0.11474059840790551</v>
      </c>
      <c r="DI19" s="68">
        <f t="shared" si="81"/>
        <v>2.0791075050710095E-2</v>
      </c>
      <c r="DJ19" s="68">
        <f t="shared" si="81"/>
        <v>5.9597715420909303E-3</v>
      </c>
      <c r="DK19" s="1092">
        <f t="shared" si="81"/>
        <v>2.6562104730584402E-2</v>
      </c>
      <c r="DL19" s="67">
        <f t="shared" si="81"/>
        <v>4.0405987023832468E-2</v>
      </c>
      <c r="DM19" s="68">
        <f t="shared" ref="DM19:DV26" si="82">DM6/DH6-1</f>
        <v>-0.11598128539768537</v>
      </c>
      <c r="DN19" s="68">
        <f t="shared" si="82"/>
        <v>-0.11872826626924993</v>
      </c>
      <c r="DO19" s="68">
        <f t="shared" si="82"/>
        <v>-0.14045914588990382</v>
      </c>
      <c r="DP19" s="1092">
        <f t="shared" si="82"/>
        <v>-0.13233119763430257</v>
      </c>
      <c r="DQ19" s="67">
        <f t="shared" si="82"/>
        <v>-0.12688318103235374</v>
      </c>
      <c r="DR19" s="68">
        <f t="shared" si="82"/>
        <v>-4.4011142061281316E-2</v>
      </c>
      <c r="DS19" s="68">
        <f t="shared" si="82"/>
        <v>-3.7767756482525505E-2</v>
      </c>
      <c r="DT19" s="68">
        <f t="shared" si="82"/>
        <v>-2.3836875358989151E-2</v>
      </c>
      <c r="DU19" s="1092">
        <f t="shared" si="82"/>
        <v>-8.4919057086055183E-2</v>
      </c>
      <c r="DV19" s="1091">
        <f t="shared" si="82"/>
        <v>-4.766282441128622E-2</v>
      </c>
      <c r="DW19" s="68">
        <f t="shared" ref="DW19:EF26" si="83">DW6/DR6-1</f>
        <v>-0.12674825174825177</v>
      </c>
      <c r="DX19" s="68">
        <f t="shared" si="83"/>
        <v>2.6654950205038164E-2</v>
      </c>
      <c r="DY19" s="68">
        <f t="shared" si="83"/>
        <v>-2.2947925860547058E-2</v>
      </c>
      <c r="DZ19" s="1092">
        <f t="shared" si="83"/>
        <v>-6.2383612662942123E-2</v>
      </c>
      <c r="EA19" s="1091">
        <f t="shared" si="83"/>
        <v>-4.6261231157644578E-2</v>
      </c>
      <c r="EB19" s="68">
        <f t="shared" si="83"/>
        <v>-7.4407741074407729E-2</v>
      </c>
      <c r="EC19" s="68">
        <f t="shared" si="83"/>
        <v>-0.21340941512125533</v>
      </c>
      <c r="ED19" s="68">
        <f t="shared" si="83"/>
        <v>-0.16049382716049387</v>
      </c>
      <c r="EE19" s="1092">
        <f t="shared" si="83"/>
        <v>-0.17974180734856016</v>
      </c>
      <c r="EF19" s="1091">
        <f t="shared" si="83"/>
        <v>-0.15937402678293389</v>
      </c>
      <c r="EG19" s="68">
        <f t="shared" ref="EG19:EN26" si="84">EG6/EB6-1</f>
        <v>-0.22566690699351111</v>
      </c>
      <c r="EH19" s="68">
        <f t="shared" si="84"/>
        <v>-0.23830250272034814</v>
      </c>
      <c r="EI19" s="68">
        <f t="shared" si="84"/>
        <v>-0.14562410329985664</v>
      </c>
      <c r="EJ19" s="1092">
        <f t="shared" si="84"/>
        <v>-3.510895883777243E-2</v>
      </c>
      <c r="EK19" s="1091">
        <f t="shared" si="84"/>
        <v>-0.16449013614893004</v>
      </c>
      <c r="EL19" s="68">
        <f t="shared" si="84"/>
        <v>0.20856610800744879</v>
      </c>
      <c r="EM19" s="68">
        <f t="shared" si="84"/>
        <v>0.26714285714285735</v>
      </c>
      <c r="EN19" s="68">
        <f t="shared" si="84"/>
        <v>0.11922753988245183</v>
      </c>
      <c r="EO19" s="1092">
        <f t="shared" si="60"/>
        <v>6.1062317022166468E-2</v>
      </c>
      <c r="EP19" s="1091">
        <f t="shared" si="61"/>
        <v>0.15951668329453494</v>
      </c>
      <c r="EQ19" s="68">
        <f t="shared" si="61"/>
        <v>-4.0446841294298985E-2</v>
      </c>
      <c r="ER19" s="1279">
        <v>-0.05</v>
      </c>
      <c r="ES19" s="1279">
        <v>-0.08</v>
      </c>
      <c r="ET19" s="1279">
        <v>-0.06</v>
      </c>
      <c r="EU19" s="1916">
        <f t="shared" si="63"/>
        <v>-5.7700764818355621E-2</v>
      </c>
      <c r="EV19" s="2082"/>
      <c r="EW19" s="2082"/>
      <c r="EX19" s="2082"/>
      <c r="EY19" s="2082"/>
      <c r="EZ19" s="2039">
        <v>-5.5E-2</v>
      </c>
      <c r="FA19" s="2082"/>
      <c r="FB19" s="2082"/>
      <c r="FC19" s="2082"/>
      <c r="FD19" s="2082"/>
      <c r="FE19" s="2039">
        <v>-0.05</v>
      </c>
      <c r="FF19" s="743"/>
      <c r="FG19" s="624"/>
      <c r="FH19" s="1024"/>
      <c r="FI19" s="1024"/>
      <c r="FJ19" s="1024"/>
      <c r="FK19" s="1024"/>
      <c r="FL19" s="1796"/>
      <c r="FM19" s="68">
        <f t="shared" si="69"/>
        <v>-4.0446841294298985E-2</v>
      </c>
      <c r="FN19" s="68">
        <f t="shared" si="70"/>
        <v>0.20856610800744879</v>
      </c>
      <c r="FO19" s="1279">
        <v>-4.4999999999999998E-2</v>
      </c>
      <c r="FP19" s="11">
        <f t="shared" ref="FP19:FQ27" si="85">IFERROR(($FM19-FN19)*10000,"")</f>
        <v>-2490.1294930174777</v>
      </c>
      <c r="FQ19" s="11">
        <f t="shared" si="85"/>
        <v>45.531587057010128</v>
      </c>
      <c r="FR19" s="571" t="s">
        <v>855</v>
      </c>
      <c r="FS19" s="567"/>
      <c r="FT19" s="567"/>
      <c r="FU19" s="567"/>
      <c r="FV19" s="567"/>
      <c r="FW19" s="567"/>
      <c r="FX19" s="567"/>
      <c r="FY19" s="567"/>
      <c r="FZ19" s="567"/>
      <c r="GA19" s="624"/>
      <c r="GB19"/>
      <c r="GC19"/>
      <c r="GD19"/>
      <c r="GE19"/>
      <c r="GF19"/>
      <c r="GG19"/>
      <c r="GH19" s="946"/>
      <c r="GI19" s="946"/>
      <c r="GJ19" s="946"/>
      <c r="GK19" s="946"/>
      <c r="GL19" s="946"/>
      <c r="GM19" s="946"/>
      <c r="GN19" s="946"/>
      <c r="GO19" s="946"/>
      <c r="GP19" s="946"/>
      <c r="GQ19" s="946"/>
      <c r="GR19" s="946"/>
      <c r="GS19" s="946"/>
      <c r="GT19" s="946"/>
      <c r="GU19" s="946"/>
      <c r="GV19" s="946"/>
      <c r="GW19" s="946"/>
      <c r="GX19" s="946"/>
      <c r="GY19" s="946"/>
      <c r="GZ19" s="946"/>
      <c r="HA19" s="946"/>
      <c r="HB19" s="946"/>
      <c r="HC19" s="946"/>
      <c r="HD19" s="946"/>
      <c r="HE19" s="946"/>
      <c r="HF19" s="946"/>
      <c r="HG19" s="946"/>
      <c r="HH19" s="946"/>
      <c r="HI19" s="946"/>
      <c r="HJ19" s="946"/>
      <c r="HK19" s="946"/>
      <c r="HL19" s="946"/>
      <c r="HM19" s="946"/>
      <c r="HN19" s="946"/>
      <c r="HO19" s="946"/>
      <c r="HP19" s="946"/>
      <c r="HQ19" s="946"/>
      <c r="HR19" s="946"/>
      <c r="HS19" s="946"/>
      <c r="HT19" s="946"/>
      <c r="HU19" s="946"/>
      <c r="HV19" s="946"/>
      <c r="HW19" s="946"/>
      <c r="HX19" s="946"/>
      <c r="HY19" s="946"/>
      <c r="HZ19" s="946"/>
      <c r="IA19" s="946"/>
      <c r="IB19" s="946"/>
      <c r="IC19" s="946"/>
      <c r="ID19" s="946"/>
      <c r="IE19" s="946"/>
      <c r="IF19" s="946"/>
      <c r="IG19" s="946"/>
      <c r="IH19" s="946"/>
      <c r="II19" s="946"/>
      <c r="IJ19" s="946"/>
      <c r="IK19" s="946"/>
      <c r="IL19" s="946"/>
      <c r="IM19" s="946"/>
      <c r="IN19" s="946"/>
      <c r="IO19" s="946"/>
      <c r="IP19" s="946"/>
      <c r="IQ19" s="946"/>
      <c r="IR19" s="946"/>
      <c r="IS19" s="946"/>
      <c r="IT19" s="946"/>
      <c r="IU19" s="946"/>
      <c r="IV19" s="946"/>
    </row>
    <row r="20" spans="1:256" s="16" customFormat="1" ht="12.75" x14ac:dyDescent="0.2">
      <c r="A20" s="252" t="str">
        <f t="shared" si="71"/>
        <v>Automotive Carloads YoY % Change</v>
      </c>
      <c r="E20" s="201"/>
      <c r="F20" s="253"/>
      <c r="J20" s="201"/>
      <c r="K20" s="253"/>
      <c r="O20" s="201"/>
      <c r="P20" s="253"/>
      <c r="Q20" s="68">
        <f t="shared" si="72"/>
        <v>0.33996383363471971</v>
      </c>
      <c r="R20" s="68">
        <f t="shared" si="72"/>
        <v>0.15533980582524287</v>
      </c>
      <c r="S20" s="68">
        <f t="shared" si="72"/>
        <v>0.12746585735963567</v>
      </c>
      <c r="T20" s="206">
        <f t="shared" si="72"/>
        <v>0.19650655021834051</v>
      </c>
      <c r="U20" s="1090">
        <f t="shared" si="72"/>
        <v>0.19809160305343498</v>
      </c>
      <c r="V20" s="68">
        <f t="shared" si="72"/>
        <v>0.13900134952766541</v>
      </c>
      <c r="W20" s="68">
        <f t="shared" si="72"/>
        <v>0.1188475390156063</v>
      </c>
      <c r="X20" s="68">
        <f t="shared" si="72"/>
        <v>-1.2113055181695698E-2</v>
      </c>
      <c r="Y20" s="206">
        <f t="shared" si="72"/>
        <v>5.4744525547445244E-2</v>
      </c>
      <c r="Z20" s="1090">
        <f t="shared" si="72"/>
        <v>7.5820324944249951E-2</v>
      </c>
      <c r="AA20" s="68">
        <f t="shared" si="73"/>
        <v>-4.7393364928909998E-2</v>
      </c>
      <c r="AB20" s="68">
        <f t="shared" si="73"/>
        <v>-0.12231759656652363</v>
      </c>
      <c r="AC20" s="68">
        <f t="shared" si="73"/>
        <v>-4.3596730245231696E-2</v>
      </c>
      <c r="AD20" s="206">
        <f t="shared" si="73"/>
        <v>-2.1914648212226107E-2</v>
      </c>
      <c r="AE20" s="1090">
        <f t="shared" si="73"/>
        <v>-6.0704767545158633E-2</v>
      </c>
      <c r="AF20" s="68">
        <f t="shared" si="73"/>
        <v>7.835820895522394E-2</v>
      </c>
      <c r="AG20" s="68">
        <f t="shared" si="73"/>
        <v>7.2127139364303261E-2</v>
      </c>
      <c r="AH20" s="68">
        <f t="shared" si="73"/>
        <v>9.9715099715100841E-3</v>
      </c>
      <c r="AI20" s="206">
        <f t="shared" si="73"/>
        <v>-2.004716981132082E-2</v>
      </c>
      <c r="AJ20" s="1090">
        <f t="shared" si="73"/>
        <v>3.5308953341740112E-2</v>
      </c>
      <c r="AK20" s="68">
        <f t="shared" si="74"/>
        <v>-3.3448673587081923E-2</v>
      </c>
      <c r="AL20" s="68">
        <f t="shared" si="74"/>
        <v>9.2360319270239355E-2</v>
      </c>
      <c r="AM20" s="68">
        <f t="shared" si="74"/>
        <v>0.17771509167842026</v>
      </c>
      <c r="AN20" s="206">
        <f t="shared" si="74"/>
        <v>9.7472924187725685E-2</v>
      </c>
      <c r="AO20" s="1090">
        <f t="shared" si="74"/>
        <v>7.8867235079171927E-2</v>
      </c>
      <c r="AP20" s="68">
        <f t="shared" si="74"/>
        <v>9.9045346062052397E-2</v>
      </c>
      <c r="AQ20" s="68">
        <f t="shared" si="74"/>
        <v>1.2526096033403045E-2</v>
      </c>
      <c r="AR20" s="68">
        <f t="shared" si="74"/>
        <v>-2.5149700598802283E-2</v>
      </c>
      <c r="AS20" s="206">
        <f t="shared" si="74"/>
        <v>-9.8684210526316374E-3</v>
      </c>
      <c r="AT20" s="1090">
        <f t="shared" si="74"/>
        <v>1.8346034434095326E-2</v>
      </c>
      <c r="AU20" s="68">
        <f t="shared" si="75"/>
        <v>0.26167209554831716</v>
      </c>
      <c r="AV20" s="68">
        <f t="shared" si="75"/>
        <v>0.31134020618556701</v>
      </c>
      <c r="AW20" s="68">
        <f t="shared" si="75"/>
        <v>0.35380835380835385</v>
      </c>
      <c r="AX20" s="206">
        <f t="shared" si="75"/>
        <v>0.47397563676633436</v>
      </c>
      <c r="AY20" s="1090">
        <f t="shared" si="75"/>
        <v>0.34894678492239484</v>
      </c>
      <c r="AZ20" s="68">
        <f t="shared" si="75"/>
        <v>0.16609294320137691</v>
      </c>
      <c r="BA20" s="68">
        <f t="shared" si="75"/>
        <v>0.22798742138364769</v>
      </c>
      <c r="BB20" s="68">
        <f t="shared" si="75"/>
        <v>0.40381125226860237</v>
      </c>
      <c r="BC20" s="206">
        <f t="shared" si="75"/>
        <v>0.23936889556724283</v>
      </c>
      <c r="BD20" s="1090">
        <f t="shared" si="75"/>
        <v>0.25613314156564604</v>
      </c>
      <c r="BE20" s="68">
        <f t="shared" si="76"/>
        <v>0.34907749077490791</v>
      </c>
      <c r="BF20" s="68">
        <f t="shared" si="76"/>
        <v>0.21126760563380276</v>
      </c>
      <c r="BG20" s="68">
        <f t="shared" si="76"/>
        <v>2.0038784744667248E-2</v>
      </c>
      <c r="BH20" s="206">
        <f t="shared" si="76"/>
        <v>-1.5518913676042745E-2</v>
      </c>
      <c r="BI20" s="1090">
        <f t="shared" si="76"/>
        <v>0.13222978277937703</v>
      </c>
      <c r="BJ20" s="68">
        <f t="shared" si="76"/>
        <v>-0.16849015317286653</v>
      </c>
      <c r="BK20" s="68">
        <f t="shared" si="76"/>
        <v>-8.7209302325581439E-2</v>
      </c>
      <c r="BL20" s="68">
        <f t="shared" si="76"/>
        <v>-0.13054499366286454</v>
      </c>
      <c r="BM20" s="206">
        <f t="shared" si="76"/>
        <v>-1.5394088669950734E-2</v>
      </c>
      <c r="BN20" s="1090">
        <f t="shared" si="76"/>
        <v>-0.10170470962149669</v>
      </c>
      <c r="BO20" s="68">
        <f t="shared" si="77"/>
        <v>7.3684210526315796E-2</v>
      </c>
      <c r="BP20" s="68">
        <f t="shared" si="77"/>
        <v>4.8639258830341703E-2</v>
      </c>
      <c r="BQ20" s="68">
        <f t="shared" si="77"/>
        <v>0.12827988338192431</v>
      </c>
      <c r="BR20" s="206">
        <f t="shared" si="77"/>
        <v>2.1888680425265816E-2</v>
      </c>
      <c r="BS20" s="1090">
        <f t="shared" si="77"/>
        <v>6.5455130266967032E-2</v>
      </c>
      <c r="BT20" s="68">
        <f t="shared" si="77"/>
        <v>1.9607843137255054E-2</v>
      </c>
      <c r="BU20" s="68">
        <f t="shared" si="77"/>
        <v>-6.7366096079514048E-2</v>
      </c>
      <c r="BV20" s="68">
        <f t="shared" si="77"/>
        <v>-8.3979328165374678E-2</v>
      </c>
      <c r="BW20" s="206">
        <f t="shared" si="77"/>
        <v>2.8151774785801775E-2</v>
      </c>
      <c r="BX20" s="1090">
        <f t="shared" si="77"/>
        <v>-2.6264150943396181E-2</v>
      </c>
      <c r="BY20" s="68">
        <f t="shared" si="78"/>
        <v>3.0048076923077094E-3</v>
      </c>
      <c r="BZ20" s="68">
        <f t="shared" si="78"/>
        <v>7.6968620485493577E-3</v>
      </c>
      <c r="CA20" s="68">
        <f t="shared" si="78"/>
        <v>-1.6925246826516305E-2</v>
      </c>
      <c r="CB20" s="206">
        <f t="shared" si="78"/>
        <v>-5.8928571428571441E-2</v>
      </c>
      <c r="CC20" s="1090">
        <f t="shared" si="78"/>
        <v>-1.6276546271895787E-2</v>
      </c>
      <c r="CD20" s="68">
        <f t="shared" si="78"/>
        <v>-4.6135410425404588E-2</v>
      </c>
      <c r="CE20" s="68">
        <f t="shared" si="78"/>
        <v>-3.6427732079905906E-2</v>
      </c>
      <c r="CF20" s="68">
        <f t="shared" si="78"/>
        <v>-2.1520803443328962E-3</v>
      </c>
      <c r="CG20" s="206">
        <f t="shared" si="78"/>
        <v>-2.8462998102466774E-2</v>
      </c>
      <c r="CH20" s="1090">
        <f t="shared" si="78"/>
        <v>-2.9467381027418971E-2</v>
      </c>
      <c r="CI20" s="68">
        <f t="shared" si="79"/>
        <v>-3.1407035175879394E-2</v>
      </c>
      <c r="CJ20" s="68">
        <f t="shared" si="79"/>
        <v>-2.5609756097560887E-2</v>
      </c>
      <c r="CK20" s="68">
        <f t="shared" si="79"/>
        <v>-0.14234363767074043</v>
      </c>
      <c r="CL20" s="206">
        <f t="shared" si="79"/>
        <v>-0.16276041666666663</v>
      </c>
      <c r="CM20" s="1090">
        <f t="shared" si="79"/>
        <v>-8.7676570871894843E-2</v>
      </c>
      <c r="CN20" s="68">
        <f t="shared" si="79"/>
        <v>-0.14072632944228269</v>
      </c>
      <c r="CO20" s="68">
        <f t="shared" si="79"/>
        <v>-8.0725907384230355E-2</v>
      </c>
      <c r="CP20" s="68">
        <f t="shared" si="79"/>
        <v>3.5205364626990754E-2</v>
      </c>
      <c r="CQ20" s="206">
        <f t="shared" si="79"/>
        <v>1.1664074650077794E-2</v>
      </c>
      <c r="CR20" s="1090">
        <f t="shared" si="79"/>
        <v>-5.1432639259654689E-2</v>
      </c>
      <c r="CS20" s="68">
        <f t="shared" si="80"/>
        <v>-9.7358490566037736E-2</v>
      </c>
      <c r="CT20" s="68">
        <f t="shared" si="80"/>
        <v>-0.20830496936691634</v>
      </c>
      <c r="CU20" s="68">
        <f t="shared" si="80"/>
        <v>-0.29797570850202426</v>
      </c>
      <c r="CV20" s="206">
        <f t="shared" si="80"/>
        <v>-0.31129900076863948</v>
      </c>
      <c r="CW20" s="1091">
        <f t="shared" si="80"/>
        <v>-0.22664165103189504</v>
      </c>
      <c r="CX20" s="68">
        <f t="shared" si="80"/>
        <v>-0.48327759197324416</v>
      </c>
      <c r="CY20" s="68">
        <f t="shared" si="80"/>
        <v>-0.47635425623387795</v>
      </c>
      <c r="CZ20" s="68">
        <f t="shared" si="80"/>
        <v>-0.13956170703575554</v>
      </c>
      <c r="DA20" s="1092">
        <f t="shared" si="80"/>
        <v>2.7901785714285809E-2</v>
      </c>
      <c r="DB20" s="1093">
        <f t="shared" si="80"/>
        <v>-0.29791363415817562</v>
      </c>
      <c r="DC20" s="68">
        <f t="shared" si="81"/>
        <v>0.13915857605178017</v>
      </c>
      <c r="DD20" s="68">
        <f t="shared" si="81"/>
        <v>0.19047619047619047</v>
      </c>
      <c r="DE20" s="68">
        <f t="shared" si="81"/>
        <v>-8.0428954423591437E-3</v>
      </c>
      <c r="DF20" s="1092">
        <f t="shared" si="81"/>
        <v>-0.20195439739413679</v>
      </c>
      <c r="DG20" s="1092">
        <f t="shared" si="81"/>
        <v>3.4554250172771361E-3</v>
      </c>
      <c r="DH20" s="68">
        <f t="shared" si="81"/>
        <v>0.11647727272727249</v>
      </c>
      <c r="DI20" s="68">
        <f t="shared" si="81"/>
        <v>0.16689655172413786</v>
      </c>
      <c r="DJ20" s="68">
        <f t="shared" si="81"/>
        <v>8.3783783783783816E-2</v>
      </c>
      <c r="DK20" s="1092">
        <f t="shared" si="81"/>
        <v>0.2081632653061225</v>
      </c>
      <c r="DL20" s="67">
        <f t="shared" si="81"/>
        <v>0.14393939393939403</v>
      </c>
      <c r="DM20" s="68">
        <f t="shared" si="82"/>
        <v>0.22519083969465647</v>
      </c>
      <c r="DN20" s="68">
        <f t="shared" si="82"/>
        <v>0.16312056737588665</v>
      </c>
      <c r="DO20" s="68">
        <f t="shared" si="82"/>
        <v>6.9825436408977426E-2</v>
      </c>
      <c r="DP20" s="1092">
        <f t="shared" si="82"/>
        <v>5.9684684684684575E-2</v>
      </c>
      <c r="DQ20" s="67">
        <f t="shared" si="82"/>
        <v>0.12763395544852507</v>
      </c>
      <c r="DR20" s="68">
        <f t="shared" si="82"/>
        <v>2.4922118380062308E-2</v>
      </c>
      <c r="DS20" s="68">
        <f t="shared" si="82"/>
        <v>8.1300813008130079E-2</v>
      </c>
      <c r="DT20" s="68">
        <f t="shared" si="82"/>
        <v>8.7412587412587506E-2</v>
      </c>
      <c r="DU20" s="1092">
        <f t="shared" si="82"/>
        <v>0.10201912858661011</v>
      </c>
      <c r="DV20" s="1091">
        <f t="shared" si="82"/>
        <v>7.3411639081687019E-2</v>
      </c>
      <c r="DW20" s="68">
        <f t="shared" si="83"/>
        <v>-6.4842958459979783E-2</v>
      </c>
      <c r="DX20" s="68">
        <f t="shared" si="83"/>
        <v>2.913533834586457E-2</v>
      </c>
      <c r="DY20" s="68">
        <f t="shared" si="83"/>
        <v>0.12111468381564849</v>
      </c>
      <c r="DZ20" s="1092">
        <f t="shared" si="83"/>
        <v>0</v>
      </c>
      <c r="EA20" s="1091">
        <f t="shared" si="83"/>
        <v>1.9895548371051897E-2</v>
      </c>
      <c r="EB20" s="68">
        <f t="shared" si="83"/>
        <v>3.6836403033586151E-2</v>
      </c>
      <c r="EC20" s="68">
        <f t="shared" si="83"/>
        <v>1.5525114155251263E-2</v>
      </c>
      <c r="ED20" s="68">
        <f t="shared" si="83"/>
        <v>4.8757170172084141E-2</v>
      </c>
      <c r="EE20" s="1092">
        <f t="shared" si="83"/>
        <v>8.6788813886210292E-2</v>
      </c>
      <c r="EF20" s="1091">
        <f t="shared" si="83"/>
        <v>4.6817849305047732E-2</v>
      </c>
      <c r="EG20" s="68">
        <f t="shared" si="84"/>
        <v>0.18390804597701149</v>
      </c>
      <c r="EH20" s="68">
        <f t="shared" si="84"/>
        <v>1.3489208633093552E-2</v>
      </c>
      <c r="EI20" s="68">
        <f t="shared" si="84"/>
        <v>-2.6435733819507812E-2</v>
      </c>
      <c r="EJ20" s="1092">
        <f t="shared" si="84"/>
        <v>-4.4365572315882895E-2</v>
      </c>
      <c r="EK20" s="1091">
        <f t="shared" si="84"/>
        <v>2.6088982063824817E-2</v>
      </c>
      <c r="EL20" s="68">
        <f t="shared" si="84"/>
        <v>-2.4713150926743088E-2</v>
      </c>
      <c r="EM20" s="68">
        <f t="shared" si="84"/>
        <v>-1.1535048802129522E-2</v>
      </c>
      <c r="EN20" s="68">
        <f t="shared" si="84"/>
        <v>-9.5505617977528101E-2</v>
      </c>
      <c r="EO20" s="1092">
        <f t="shared" si="60"/>
        <v>-2.8783658310120752E-2</v>
      </c>
      <c r="EP20" s="1091">
        <f t="shared" si="61"/>
        <v>-3.9500567536889797E-2</v>
      </c>
      <c r="EQ20" s="68">
        <f t="shared" si="61"/>
        <v>-6.9683257918552011E-2</v>
      </c>
      <c r="ER20" s="2109">
        <v>-0.05</v>
      </c>
      <c r="ES20" s="2109">
        <v>-0.02</v>
      </c>
      <c r="ET20" s="2109">
        <v>-0.02</v>
      </c>
      <c r="EU20" s="1916">
        <f t="shared" si="63"/>
        <v>-4.0874497754668004E-2</v>
      </c>
      <c r="EV20" s="1767"/>
      <c r="EW20" s="1767"/>
      <c r="EX20" s="1767"/>
      <c r="EY20" s="1767"/>
      <c r="EZ20" s="2123">
        <v>-0.03</v>
      </c>
      <c r="FA20" s="1767"/>
      <c r="FB20" s="1767"/>
      <c r="FC20" s="1767"/>
      <c r="FD20" s="1767"/>
      <c r="FE20" s="2123">
        <v>0.01</v>
      </c>
      <c r="FF20" s="743"/>
      <c r="FG20" s="625"/>
      <c r="FH20" s="1024"/>
      <c r="FI20" s="1024"/>
      <c r="FJ20" s="1024"/>
      <c r="FK20" s="1024"/>
      <c r="FL20" s="1796"/>
      <c r="FM20" s="68">
        <f t="shared" si="69"/>
        <v>-6.9683257918552011E-2</v>
      </c>
      <c r="FN20" s="68">
        <f t="shared" si="70"/>
        <v>-2.4713150926743088E-2</v>
      </c>
      <c r="FO20" s="1094">
        <v>-7.0000000000000007E-2</v>
      </c>
      <c r="FP20" s="11">
        <f t="shared" si="85"/>
        <v>-449.70106991808922</v>
      </c>
      <c r="FQ20" s="11">
        <f t="shared" si="85"/>
        <v>3.1674208144799598</v>
      </c>
      <c r="FR20" s="571" t="s">
        <v>849</v>
      </c>
      <c r="FS20" s="567"/>
      <c r="FT20" s="567"/>
      <c r="FU20" s="567"/>
      <c r="FV20" s="567"/>
      <c r="FW20" s="567"/>
      <c r="FX20" s="567"/>
      <c r="FY20" s="567"/>
      <c r="FZ20" s="567"/>
      <c r="GA20" s="625"/>
      <c r="GB20"/>
      <c r="GC20"/>
      <c r="GD20"/>
      <c r="GE20"/>
      <c r="GF20"/>
      <c r="GG20"/>
      <c r="GH20" s="946"/>
      <c r="GI20" s="946"/>
      <c r="GJ20" s="946"/>
      <c r="GK20" s="946"/>
      <c r="GL20" s="946"/>
      <c r="GM20" s="946"/>
      <c r="GN20" s="946"/>
      <c r="GO20" s="946"/>
      <c r="GP20" s="946"/>
      <c r="GQ20" s="946"/>
      <c r="GR20" s="946"/>
      <c r="GS20" s="946"/>
      <c r="GT20" s="946"/>
      <c r="GU20" s="946"/>
      <c r="GV20" s="946"/>
      <c r="GW20" s="946"/>
      <c r="GX20" s="946"/>
      <c r="GY20" s="946"/>
      <c r="GZ20" s="946"/>
      <c r="HA20" s="946"/>
      <c r="HB20" s="946"/>
      <c r="HC20" s="946"/>
      <c r="HD20" s="946"/>
      <c r="HE20" s="946"/>
      <c r="HF20" s="946"/>
      <c r="HG20" s="946"/>
      <c r="HH20" s="946"/>
      <c r="HI20" s="946"/>
      <c r="HJ20" s="946"/>
      <c r="HK20" s="946"/>
      <c r="HL20" s="946"/>
      <c r="HM20" s="946"/>
      <c r="HN20" s="946"/>
      <c r="HO20" s="946"/>
      <c r="HP20" s="946"/>
      <c r="HQ20" s="946"/>
      <c r="HR20" s="946"/>
      <c r="HS20" s="946"/>
      <c r="HT20" s="946"/>
      <c r="HU20" s="946"/>
      <c r="HV20" s="946"/>
      <c r="HW20" s="946"/>
      <c r="HX20" s="946"/>
      <c r="HY20" s="946"/>
      <c r="HZ20" s="946"/>
      <c r="IA20" s="946"/>
      <c r="IB20" s="946"/>
      <c r="IC20" s="946"/>
      <c r="ID20" s="946"/>
      <c r="IE20" s="946"/>
      <c r="IF20" s="946"/>
      <c r="IG20" s="946"/>
      <c r="IH20" s="946"/>
      <c r="II20" s="946"/>
      <c r="IJ20" s="946"/>
      <c r="IK20" s="946"/>
      <c r="IL20" s="946"/>
      <c r="IM20" s="946"/>
      <c r="IN20" s="946"/>
      <c r="IO20" s="946"/>
      <c r="IP20" s="946"/>
      <c r="IQ20" s="946"/>
      <c r="IR20" s="946"/>
      <c r="IS20" s="946"/>
      <c r="IT20" s="946"/>
      <c r="IU20" s="946"/>
      <c r="IV20" s="946"/>
    </row>
    <row r="21" spans="1:256" s="16" customFormat="1" ht="12.75" x14ac:dyDescent="0.2">
      <c r="A21" s="252" t="str">
        <f t="shared" si="71"/>
        <v>Agriculture Carloads YoY % Change</v>
      </c>
      <c r="E21" s="201"/>
      <c r="F21" s="253"/>
      <c r="J21" s="201"/>
      <c r="K21" s="253"/>
      <c r="O21" s="201"/>
      <c r="P21" s="253"/>
      <c r="Q21" s="68">
        <f t="shared" si="72"/>
        <v>-3.2219570405727982E-2</v>
      </c>
      <c r="R21" s="68">
        <f t="shared" si="72"/>
        <v>-5.3398058252427272E-2</v>
      </c>
      <c r="S21" s="68">
        <f t="shared" si="72"/>
        <v>-5.5618615209988564E-2</v>
      </c>
      <c r="T21" s="206">
        <f t="shared" si="72"/>
        <v>0.11699507389162567</v>
      </c>
      <c r="U21" s="1090">
        <f t="shared" si="72"/>
        <v>-7.4515648286139768E-3</v>
      </c>
      <c r="V21" s="68">
        <f t="shared" si="72"/>
        <v>4.8088779284833683E-2</v>
      </c>
      <c r="W21" s="68">
        <f t="shared" si="72"/>
        <v>0.10128205128205137</v>
      </c>
      <c r="X21" s="68">
        <f t="shared" si="72"/>
        <v>-4.8076923076924016E-3</v>
      </c>
      <c r="Y21" s="206">
        <f t="shared" si="72"/>
        <v>2.094818081587646E-2</v>
      </c>
      <c r="Z21" s="1090">
        <f t="shared" si="72"/>
        <v>3.9939939939939828E-2</v>
      </c>
      <c r="AA21" s="68">
        <f t="shared" si="73"/>
        <v>7.6470588235294068E-2</v>
      </c>
      <c r="AB21" s="68">
        <f t="shared" si="73"/>
        <v>9.6623981373690215E-2</v>
      </c>
      <c r="AC21" s="68">
        <f t="shared" si="73"/>
        <v>0.11111111111111116</v>
      </c>
      <c r="AD21" s="206">
        <f t="shared" si="73"/>
        <v>0.13174946004319654</v>
      </c>
      <c r="AE21" s="1090">
        <f t="shared" si="73"/>
        <v>0.10453364135142951</v>
      </c>
      <c r="AF21" s="68">
        <f t="shared" si="73"/>
        <v>7.6502732240437243E-2</v>
      </c>
      <c r="AG21" s="68">
        <f t="shared" si="73"/>
        <v>2.5477707006369421E-2</v>
      </c>
      <c r="AH21" s="68">
        <f t="shared" si="73"/>
        <v>5.3260869565217472E-2</v>
      </c>
      <c r="AI21" s="206">
        <f t="shared" si="73"/>
        <v>-5.4389312977099258E-2</v>
      </c>
      <c r="AJ21" s="1090">
        <f t="shared" si="73"/>
        <v>2.2483660130719008E-2</v>
      </c>
      <c r="AK21" s="68">
        <f t="shared" si="74"/>
        <v>-5.4822335025380808E-2</v>
      </c>
      <c r="AL21" s="68">
        <f t="shared" si="74"/>
        <v>-6.0041407867494789E-2</v>
      </c>
      <c r="AM21" s="68">
        <f t="shared" si="74"/>
        <v>-5.4695562435500666E-2</v>
      </c>
      <c r="AN21" s="206">
        <f t="shared" si="74"/>
        <v>1.7154389505549927E-2</v>
      </c>
      <c r="AO21" s="1090">
        <f t="shared" si="74"/>
        <v>-3.7841984147276908E-2</v>
      </c>
      <c r="AP21" s="68">
        <f t="shared" si="74"/>
        <v>-2.2556390977443552E-2</v>
      </c>
      <c r="AQ21" s="68">
        <f t="shared" si="74"/>
        <v>-1.541850220264307E-2</v>
      </c>
      <c r="AR21" s="68">
        <f t="shared" si="74"/>
        <v>-5.1310043668122196E-2</v>
      </c>
      <c r="AS21" s="206">
        <f t="shared" si="74"/>
        <v>-1.7857142857142794E-2</v>
      </c>
      <c r="AT21" s="1090">
        <f t="shared" si="74"/>
        <v>-2.6574541589157619E-2</v>
      </c>
      <c r="AU21" s="68">
        <f t="shared" si="75"/>
        <v>0.24395604395604398</v>
      </c>
      <c r="AV21" s="68">
        <f t="shared" si="75"/>
        <v>0.20357941834451898</v>
      </c>
      <c r="AW21" s="68">
        <f t="shared" si="75"/>
        <v>0.2174913693901035</v>
      </c>
      <c r="AX21" s="206">
        <f t="shared" si="75"/>
        <v>0.1515151515151516</v>
      </c>
      <c r="AY21" s="1090">
        <f t="shared" si="75"/>
        <v>0.20283920283920276</v>
      </c>
      <c r="AZ21" s="68">
        <f t="shared" si="75"/>
        <v>-6.8021201413427601E-2</v>
      </c>
      <c r="BA21" s="68">
        <f t="shared" si="75"/>
        <v>8.9219330855018653E-2</v>
      </c>
      <c r="BB21" s="68">
        <f t="shared" si="75"/>
        <v>0.24291115311909262</v>
      </c>
      <c r="BC21" s="206">
        <f t="shared" si="75"/>
        <v>0.18070175438596481</v>
      </c>
      <c r="BD21" s="1090">
        <f t="shared" si="75"/>
        <v>0.10939627780299577</v>
      </c>
      <c r="BE21" s="68">
        <f t="shared" si="76"/>
        <v>0.27109004739336484</v>
      </c>
      <c r="BF21" s="68">
        <f t="shared" si="76"/>
        <v>9.6416382252559663E-2</v>
      </c>
      <c r="BG21" s="68">
        <f t="shared" si="76"/>
        <v>-1.7490494296578007E-2</v>
      </c>
      <c r="BH21" s="206">
        <f t="shared" si="76"/>
        <v>-8.1723625557206248E-3</v>
      </c>
      <c r="BI21" s="1090">
        <f t="shared" si="76"/>
        <v>7.4672667757774258E-2</v>
      </c>
      <c r="BJ21" s="68">
        <f t="shared" si="76"/>
        <v>-2.8337061894108784E-2</v>
      </c>
      <c r="BK21" s="68">
        <f t="shared" si="76"/>
        <v>-2.1011673151751009E-2</v>
      </c>
      <c r="BL21" s="68">
        <f t="shared" si="76"/>
        <v>-6.8111455108359031E-2</v>
      </c>
      <c r="BM21" s="206">
        <f t="shared" si="76"/>
        <v>-5.9925093632959836E-3</v>
      </c>
      <c r="BN21" s="1090">
        <f t="shared" si="76"/>
        <v>-3.064915286502945E-2</v>
      </c>
      <c r="BO21" s="68">
        <f t="shared" si="77"/>
        <v>-3.8372985418265615E-2</v>
      </c>
      <c r="BP21" s="68">
        <f t="shared" si="77"/>
        <v>1.1128775834658322E-2</v>
      </c>
      <c r="BQ21" s="68">
        <f t="shared" si="77"/>
        <v>5.980066445182719E-2</v>
      </c>
      <c r="BR21" s="206">
        <f t="shared" si="77"/>
        <v>1.8085908063300682E-2</v>
      </c>
      <c r="BS21" s="1090">
        <f t="shared" si="77"/>
        <v>1.1783189316575182E-2</v>
      </c>
      <c r="BT21" s="68">
        <f t="shared" si="77"/>
        <v>7.4221867517956897E-2</v>
      </c>
      <c r="BU21" s="68">
        <f t="shared" si="77"/>
        <v>7.6257861635220081E-2</v>
      </c>
      <c r="BV21" s="68">
        <f t="shared" si="77"/>
        <v>7.9153605015674033E-2</v>
      </c>
      <c r="BW21" s="206">
        <f t="shared" si="77"/>
        <v>8.5122131754256092E-2</v>
      </c>
      <c r="BX21" s="1090">
        <f t="shared" si="77"/>
        <v>7.8804347826086696E-2</v>
      </c>
      <c r="BY21" s="68">
        <f t="shared" si="78"/>
        <v>3.1203566121842607E-2</v>
      </c>
      <c r="BZ21" s="68">
        <f t="shared" si="78"/>
        <v>5.8436815193569913E-3</v>
      </c>
      <c r="CA21" s="68">
        <f t="shared" si="78"/>
        <v>1.4524328249818419E-2</v>
      </c>
      <c r="CB21" s="206">
        <f t="shared" si="78"/>
        <v>-2.046384720327421E-2</v>
      </c>
      <c r="CC21" s="1090">
        <f t="shared" si="78"/>
        <v>7.1968333933070117E-3</v>
      </c>
      <c r="CD21" s="68">
        <f t="shared" si="78"/>
        <v>3.4582132564841439E-2</v>
      </c>
      <c r="CE21" s="68">
        <f t="shared" si="78"/>
        <v>4.7930283224401071E-2</v>
      </c>
      <c r="CF21" s="68">
        <f t="shared" si="78"/>
        <v>-1.0021474588403523E-2</v>
      </c>
      <c r="CG21" s="206">
        <f t="shared" si="78"/>
        <v>1.3927576601671321E-2</v>
      </c>
      <c r="CH21" s="1090">
        <f t="shared" si="78"/>
        <v>2.1436227224008508E-2</v>
      </c>
      <c r="CI21" s="68">
        <f t="shared" si="79"/>
        <v>4.3871866295264628E-2</v>
      </c>
      <c r="CJ21" s="68">
        <f t="shared" si="79"/>
        <v>1.2474012474012364E-2</v>
      </c>
      <c r="CK21" s="68">
        <f t="shared" si="79"/>
        <v>6.9414316702819834E-2</v>
      </c>
      <c r="CL21" s="206">
        <f t="shared" si="79"/>
        <v>3.1593406593406481E-2</v>
      </c>
      <c r="CM21" s="1090">
        <f t="shared" si="79"/>
        <v>3.8999650227352189E-2</v>
      </c>
      <c r="CN21" s="68">
        <f t="shared" si="79"/>
        <v>-2.1347565043362327E-2</v>
      </c>
      <c r="CO21" s="68">
        <f t="shared" si="79"/>
        <v>1.9164955509924697E-2</v>
      </c>
      <c r="CP21" s="68">
        <f t="shared" si="79"/>
        <v>2.3664638269100813E-2</v>
      </c>
      <c r="CQ21" s="206">
        <f t="shared" si="79"/>
        <v>2.8628495339547255E-2</v>
      </c>
      <c r="CR21" s="1090">
        <f t="shared" si="79"/>
        <v>1.2455815519273106E-2</v>
      </c>
      <c r="CS21" s="68">
        <f t="shared" si="80"/>
        <v>3.6809815950920255E-2</v>
      </c>
      <c r="CT21" s="68">
        <f t="shared" si="80"/>
        <v>5.1712558764271277E-2</v>
      </c>
      <c r="CU21" s="68">
        <f t="shared" si="80"/>
        <v>4.7556142668427892E-2</v>
      </c>
      <c r="CV21" s="206">
        <f t="shared" si="80"/>
        <v>-6.0841423948220119E-2</v>
      </c>
      <c r="CW21" s="1091">
        <f t="shared" si="80"/>
        <v>1.8121363258520429E-2</v>
      </c>
      <c r="CX21" s="68">
        <f t="shared" si="80"/>
        <v>-0.14266929651545024</v>
      </c>
      <c r="CY21" s="68">
        <f t="shared" si="80"/>
        <v>-0.13793103448275856</v>
      </c>
      <c r="CZ21" s="68">
        <f t="shared" si="80"/>
        <v>-0.10718789407314</v>
      </c>
      <c r="DA21" s="1092">
        <f t="shared" si="80"/>
        <v>7.7188146106133892E-2</v>
      </c>
      <c r="DB21" s="1093">
        <f t="shared" si="80"/>
        <v>-8.0176355323318127E-2</v>
      </c>
      <c r="DC21" s="68">
        <f t="shared" si="81"/>
        <v>0.21395705521472386</v>
      </c>
      <c r="DD21" s="68">
        <f t="shared" si="81"/>
        <v>0.1325925925925926</v>
      </c>
      <c r="DE21" s="68">
        <f t="shared" si="81"/>
        <v>9.1101694915254328E-2</v>
      </c>
      <c r="DF21" s="1092">
        <f t="shared" si="81"/>
        <v>3.6468330134356908E-2</v>
      </c>
      <c r="DG21" s="1092">
        <f t="shared" si="81"/>
        <v>0.11432629149653839</v>
      </c>
      <c r="DH21" s="68">
        <f t="shared" si="81"/>
        <v>-1.7056222362602735E-2</v>
      </c>
      <c r="DI21" s="68">
        <f t="shared" si="81"/>
        <v>-1.8312622629169439E-2</v>
      </c>
      <c r="DJ21" s="68">
        <f t="shared" si="81"/>
        <v>-7.3139158576051799E-2</v>
      </c>
      <c r="DK21" s="1092">
        <f t="shared" si="81"/>
        <v>-7.0987654320987637E-2</v>
      </c>
      <c r="DL21" s="67">
        <f t="shared" si="81"/>
        <v>-4.5085231798629999E-2</v>
      </c>
      <c r="DM21" s="68">
        <f t="shared" si="82"/>
        <v>-2.120822622107954E-2</v>
      </c>
      <c r="DN21" s="68">
        <f t="shared" si="82"/>
        <v>0</v>
      </c>
      <c r="DO21" s="68">
        <f t="shared" si="82"/>
        <v>-4.1899441340781385E-3</v>
      </c>
      <c r="DP21" s="1092">
        <f t="shared" si="82"/>
        <v>2.6578073089700283E-3</v>
      </c>
      <c r="DQ21" s="67">
        <f t="shared" si="82"/>
        <v>-5.8391725058392074E-3</v>
      </c>
      <c r="DR21" s="68">
        <f t="shared" si="82"/>
        <v>-2.8890347997373667E-2</v>
      </c>
      <c r="DS21" s="68">
        <f t="shared" si="82"/>
        <v>-1.4656895403064585E-2</v>
      </c>
      <c r="DT21" s="68">
        <f t="shared" si="82"/>
        <v>-3.2258064516129004E-2</v>
      </c>
      <c r="DU21" s="1092">
        <f t="shared" si="82"/>
        <v>6.3618290258449228E-2</v>
      </c>
      <c r="DV21" s="1091">
        <f t="shared" si="82"/>
        <v>-2.6850142641383634E-3</v>
      </c>
      <c r="DW21" s="68">
        <f t="shared" si="83"/>
        <v>-5.4090601757945667E-3</v>
      </c>
      <c r="DX21" s="68">
        <f t="shared" si="83"/>
        <v>5.2062204192021566E-2</v>
      </c>
      <c r="DY21" s="68">
        <f t="shared" si="83"/>
        <v>5.8695652173913038E-2</v>
      </c>
      <c r="DZ21" s="1092">
        <f t="shared" si="83"/>
        <v>-3.4267912772585674E-2</v>
      </c>
      <c r="EA21" s="1091">
        <f t="shared" si="83"/>
        <v>1.5985192663637848E-2</v>
      </c>
      <c r="EB21" s="68">
        <f t="shared" si="83"/>
        <v>1.971447994561526E-2</v>
      </c>
      <c r="EC21" s="68">
        <f t="shared" si="83"/>
        <v>-1.2210796915167133E-2</v>
      </c>
      <c r="ED21" s="68">
        <f t="shared" si="83"/>
        <v>4.654346338124582E-2</v>
      </c>
      <c r="EE21" s="1092">
        <f t="shared" si="83"/>
        <v>-1.6774193548387051E-2</v>
      </c>
      <c r="EF21" s="1091">
        <f t="shared" si="83"/>
        <v>8.6121232196092468E-3</v>
      </c>
      <c r="EG21" s="68">
        <f t="shared" si="84"/>
        <v>9.3333333333334156E-3</v>
      </c>
      <c r="EH21" s="68">
        <f t="shared" si="84"/>
        <v>-3.7085230969420846E-2</v>
      </c>
      <c r="EI21" s="68">
        <f t="shared" si="84"/>
        <v>-3.4663178548070661E-2</v>
      </c>
      <c r="EJ21" s="1092">
        <f t="shared" si="84"/>
        <v>1.1811023622047223E-2</v>
      </c>
      <c r="EK21" s="1091">
        <f t="shared" si="84"/>
        <v>-1.2807881773398977E-2</v>
      </c>
      <c r="EL21" s="68">
        <f t="shared" si="84"/>
        <v>-1.2549537648612996E-2</v>
      </c>
      <c r="EM21" s="68">
        <f t="shared" si="84"/>
        <v>-1.5540540540540659E-2</v>
      </c>
      <c r="EN21" s="68">
        <f t="shared" si="84"/>
        <v>1.3550135501356753E-3</v>
      </c>
      <c r="EO21" s="1092">
        <f t="shared" si="60"/>
        <v>-5.3177691309986952E-2</v>
      </c>
      <c r="EP21" s="1091">
        <f t="shared" si="61"/>
        <v>-2.0292747837658109E-2</v>
      </c>
      <c r="EQ21" s="68">
        <f t="shared" si="61"/>
        <v>-8.0267558528427374E-3</v>
      </c>
      <c r="ER21" s="2109">
        <v>-0.02</v>
      </c>
      <c r="ES21" s="2109">
        <v>-0.01</v>
      </c>
      <c r="ET21" s="2109">
        <v>0.03</v>
      </c>
      <c r="EU21" s="1916">
        <f t="shared" si="63"/>
        <v>-2.0577249575551848E-3</v>
      </c>
      <c r="EV21" s="2082"/>
      <c r="EW21" s="2082"/>
      <c r="EX21" s="2082"/>
      <c r="EY21" s="2082"/>
      <c r="EZ21" s="2039">
        <v>1.4999999999999999E-2</v>
      </c>
      <c r="FA21" s="2082"/>
      <c r="FB21" s="2082"/>
      <c r="FC21" s="2082"/>
      <c r="FD21" s="2082"/>
      <c r="FE21" s="2039">
        <v>1.4999999999999999E-2</v>
      </c>
      <c r="FF21" s="744"/>
      <c r="FG21" s="626"/>
      <c r="FH21" s="1055"/>
      <c r="FI21" s="1055"/>
      <c r="FJ21" s="1055"/>
      <c r="FK21" s="1055"/>
      <c r="FL21" s="1797"/>
      <c r="FM21" s="68">
        <f t="shared" si="69"/>
        <v>-8.0267558528427374E-3</v>
      </c>
      <c r="FN21" s="68">
        <f t="shared" si="70"/>
        <v>-1.2549537648612996E-2</v>
      </c>
      <c r="FO21" s="1094">
        <v>-7.0000000000000007E-2</v>
      </c>
      <c r="FP21" s="11">
        <f t="shared" si="85"/>
        <v>45.227817957702584</v>
      </c>
      <c r="FQ21" s="11">
        <f t="shared" si="85"/>
        <v>619.73244147157266</v>
      </c>
      <c r="FR21" s="571" t="s">
        <v>777</v>
      </c>
      <c r="FS21" s="567"/>
      <c r="FT21" s="567"/>
      <c r="FU21" s="568"/>
      <c r="FV21" s="568"/>
      <c r="FW21" s="568"/>
      <c r="FX21" s="568"/>
      <c r="FY21" s="568"/>
      <c r="FZ21" s="568"/>
      <c r="GA21" s="626"/>
      <c r="GB21"/>
      <c r="GC21"/>
      <c r="GD21"/>
      <c r="GE21"/>
      <c r="GF21"/>
      <c r="GG21"/>
      <c r="GH21" s="946"/>
      <c r="GI21" s="946"/>
      <c r="GJ21" s="946"/>
      <c r="GK21" s="946"/>
      <c r="GL21" s="946"/>
      <c r="GM21" s="946"/>
      <c r="GN21" s="946"/>
      <c r="GO21" s="946"/>
      <c r="GP21" s="946"/>
      <c r="GQ21" s="946"/>
      <c r="GR21" s="946"/>
      <c r="GS21" s="946"/>
      <c r="GT21" s="946"/>
      <c r="GU21" s="946"/>
      <c r="GV21" s="946"/>
      <c r="GW21" s="946"/>
      <c r="GX21" s="946"/>
      <c r="GY21" s="946"/>
      <c r="GZ21" s="946"/>
      <c r="HA21" s="946"/>
      <c r="HB21" s="946"/>
      <c r="HC21" s="946"/>
      <c r="HD21" s="946"/>
      <c r="HE21" s="946"/>
      <c r="HF21" s="946"/>
      <c r="HG21" s="946"/>
      <c r="HH21" s="946"/>
      <c r="HI21" s="946"/>
      <c r="HJ21" s="946"/>
      <c r="HK21" s="946"/>
      <c r="HL21" s="946"/>
      <c r="HM21" s="946"/>
      <c r="HN21" s="946"/>
      <c r="HO21" s="946"/>
      <c r="HP21" s="946"/>
      <c r="HQ21" s="946"/>
      <c r="HR21" s="946"/>
      <c r="HS21" s="946"/>
      <c r="HT21" s="946"/>
      <c r="HU21" s="946"/>
      <c r="HV21" s="946"/>
      <c r="HW21" s="946"/>
      <c r="HX21" s="946"/>
      <c r="HY21" s="946"/>
      <c r="HZ21" s="946"/>
      <c r="IA21" s="946"/>
      <c r="IB21" s="946"/>
      <c r="IC21" s="946"/>
      <c r="ID21" s="946"/>
      <c r="IE21" s="946"/>
      <c r="IF21" s="946"/>
      <c r="IG21" s="946"/>
      <c r="IH21" s="946"/>
      <c r="II21" s="946"/>
      <c r="IJ21" s="946"/>
      <c r="IK21" s="946"/>
      <c r="IL21" s="946"/>
      <c r="IM21" s="946"/>
      <c r="IN21" s="946"/>
      <c r="IO21" s="946"/>
      <c r="IP21" s="946"/>
      <c r="IQ21" s="946"/>
      <c r="IR21" s="946"/>
      <c r="IS21" s="946"/>
      <c r="IT21" s="946"/>
      <c r="IU21" s="946"/>
      <c r="IV21" s="946"/>
    </row>
    <row r="22" spans="1:256" s="16" customFormat="1" ht="12.75" x14ac:dyDescent="0.2">
      <c r="A22" s="252" t="str">
        <f t="shared" si="71"/>
        <v>Intermodal Units YoY % Change</v>
      </c>
      <c r="E22" s="201"/>
      <c r="F22" s="253"/>
      <c r="J22" s="201"/>
      <c r="K22" s="253"/>
      <c r="O22" s="201"/>
      <c r="P22" s="253"/>
      <c r="Q22" s="68">
        <f t="shared" si="72"/>
        <v>7.5912408759124084E-2</v>
      </c>
      <c r="R22" s="68">
        <f t="shared" si="72"/>
        <v>4.8141086749285078E-2</v>
      </c>
      <c r="S22" s="68">
        <f t="shared" si="72"/>
        <v>4.3517272319425704E-2</v>
      </c>
      <c r="T22" s="206">
        <f t="shared" si="72"/>
        <v>8.0142475512021472E-2</v>
      </c>
      <c r="U22" s="1090">
        <f t="shared" si="72"/>
        <v>6.1891515994436652E-2</v>
      </c>
      <c r="V22" s="68">
        <f t="shared" si="72"/>
        <v>6.8747173224785296E-2</v>
      </c>
      <c r="W22" s="68">
        <f t="shared" si="72"/>
        <v>0.1305138699408821</v>
      </c>
      <c r="X22" s="68">
        <f t="shared" si="72"/>
        <v>7.7815993121238103E-2</v>
      </c>
      <c r="Y22" s="206">
        <f t="shared" si="72"/>
        <v>6.8013190436933435E-2</v>
      </c>
      <c r="Z22" s="1090">
        <f t="shared" si="72"/>
        <v>8.5679982536563948E-2</v>
      </c>
      <c r="AA22" s="68">
        <f t="shared" si="73"/>
        <v>5.4168429961912734E-2</v>
      </c>
      <c r="AB22" s="68">
        <f t="shared" si="73"/>
        <v>0.12308930008045049</v>
      </c>
      <c r="AC22" s="68">
        <f t="shared" si="73"/>
        <v>0.14280015955325087</v>
      </c>
      <c r="AD22" s="206">
        <f t="shared" si="73"/>
        <v>0.20609803164801233</v>
      </c>
      <c r="AE22" s="1090">
        <f t="shared" si="73"/>
        <v>0.13330652458027559</v>
      </c>
      <c r="AF22" s="68">
        <f t="shared" si="73"/>
        <v>0.23203532717784014</v>
      </c>
      <c r="AG22" s="68">
        <f t="shared" si="73"/>
        <v>0.13646131805157591</v>
      </c>
      <c r="AH22" s="68">
        <f t="shared" si="73"/>
        <v>9.5636998254799321E-2</v>
      </c>
      <c r="AI22" s="206">
        <f t="shared" si="73"/>
        <v>3.839999999999999E-2</v>
      </c>
      <c r="AJ22" s="1090">
        <f t="shared" si="73"/>
        <v>0.12002128980750459</v>
      </c>
      <c r="AK22" s="68">
        <f t="shared" si="74"/>
        <v>4.0078201368523914E-2</v>
      </c>
      <c r="AL22" s="68">
        <f t="shared" si="74"/>
        <v>1.8594390167034236E-2</v>
      </c>
      <c r="AM22" s="68">
        <f t="shared" si="74"/>
        <v>6.4351704364447482E-2</v>
      </c>
      <c r="AN22" s="206">
        <f t="shared" si="74"/>
        <v>9.244992295839749E-2</v>
      </c>
      <c r="AO22" s="1090">
        <f t="shared" si="74"/>
        <v>5.4173926817677964E-2</v>
      </c>
      <c r="AP22" s="68">
        <f t="shared" si="74"/>
        <v>7.2055137844611483E-2</v>
      </c>
      <c r="AQ22" s="68">
        <f t="shared" si="74"/>
        <v>0.15408415841584167</v>
      </c>
      <c r="AR22" s="68">
        <f t="shared" si="74"/>
        <v>0.13678539359473207</v>
      </c>
      <c r="AS22" s="206">
        <f t="shared" si="74"/>
        <v>6.2341325811001491E-2</v>
      </c>
      <c r="AT22" s="1090">
        <f t="shared" si="74"/>
        <v>0.10563486100676167</v>
      </c>
      <c r="AU22" s="68">
        <f t="shared" si="75"/>
        <v>7.1595558153126904E-2</v>
      </c>
      <c r="AV22" s="68">
        <f t="shared" si="75"/>
        <v>5.8981233243966535E-3</v>
      </c>
      <c r="AW22" s="68">
        <f t="shared" si="75"/>
        <v>-7.9515534491837792E-2</v>
      </c>
      <c r="AX22" s="206">
        <f t="shared" si="75"/>
        <v>-6.6914498141264045E-2</v>
      </c>
      <c r="AY22" s="1090">
        <f t="shared" si="75"/>
        <v>-1.9502582223430154E-2</v>
      </c>
      <c r="AZ22" s="68">
        <f t="shared" si="75"/>
        <v>-5.6176711208071883E-2</v>
      </c>
      <c r="BA22" s="68">
        <f t="shared" si="75"/>
        <v>0.13326226012793185</v>
      </c>
      <c r="BB22" s="68">
        <f t="shared" si="75"/>
        <v>0.61641876430205955</v>
      </c>
      <c r="BC22" s="206">
        <f t="shared" si="75"/>
        <v>0.59220261809903252</v>
      </c>
      <c r="BD22" s="1090">
        <f t="shared" si="75"/>
        <v>0.3139510707602744</v>
      </c>
      <c r="BE22" s="68">
        <f t="shared" si="76"/>
        <v>0.46778387749205419</v>
      </c>
      <c r="BF22" s="68">
        <f t="shared" si="76"/>
        <v>0.30432737535277532</v>
      </c>
      <c r="BG22" s="68">
        <f t="shared" si="76"/>
        <v>4.4770837019996401E-2</v>
      </c>
      <c r="BH22" s="206">
        <f t="shared" si="76"/>
        <v>5.2904378909740979E-2</v>
      </c>
      <c r="BI22" s="1090">
        <f t="shared" si="76"/>
        <v>0.18260456775146361</v>
      </c>
      <c r="BJ22" s="68">
        <f t="shared" si="76"/>
        <v>6.8503937007873938E-2</v>
      </c>
      <c r="BK22" s="68">
        <f t="shared" si="76"/>
        <v>-2.97511720158673E-2</v>
      </c>
      <c r="BL22" s="68">
        <f t="shared" si="76"/>
        <v>-5.6063685636856375E-2</v>
      </c>
      <c r="BM22" s="206">
        <f t="shared" si="76"/>
        <v>-2.3425564420302303E-2</v>
      </c>
      <c r="BN22" s="1090">
        <f t="shared" si="76"/>
        <v>-1.2755898488024608E-2</v>
      </c>
      <c r="BO22" s="68">
        <f t="shared" si="77"/>
        <v>1.1053795136330091E-2</v>
      </c>
      <c r="BP22" s="68">
        <f t="shared" si="77"/>
        <v>0.11429102397323909</v>
      </c>
      <c r="BQ22" s="68">
        <f t="shared" si="77"/>
        <v>0.12201686703750236</v>
      </c>
      <c r="BR22" s="206">
        <f t="shared" si="77"/>
        <v>8.8649400312881266E-3</v>
      </c>
      <c r="BS22" s="1090">
        <f t="shared" si="77"/>
        <v>6.3519313304720937E-2</v>
      </c>
      <c r="BT22" s="68">
        <f t="shared" si="77"/>
        <v>5.3571428571428825E-2</v>
      </c>
      <c r="BU22" s="68">
        <f t="shared" si="77"/>
        <v>1.3842561707805068E-2</v>
      </c>
      <c r="BV22" s="68">
        <f t="shared" si="77"/>
        <v>3.0385415000802052E-3</v>
      </c>
      <c r="BW22" s="206">
        <f t="shared" si="77"/>
        <v>0.12560303239145409</v>
      </c>
      <c r="BX22" s="1090">
        <f t="shared" si="77"/>
        <v>4.7788963935261775E-2</v>
      </c>
      <c r="BY22" s="68">
        <f t="shared" si="78"/>
        <v>0.12089242476651663</v>
      </c>
      <c r="BZ22" s="68">
        <f t="shared" si="78"/>
        <v>0.1648297417338378</v>
      </c>
      <c r="CA22" s="68">
        <f t="shared" si="78"/>
        <v>0.21077806122448961</v>
      </c>
      <c r="CB22" s="206">
        <f t="shared" si="78"/>
        <v>0.18766263584876786</v>
      </c>
      <c r="CC22" s="1090">
        <f t="shared" si="78"/>
        <v>0.17226141247060744</v>
      </c>
      <c r="CD22" s="68">
        <f t="shared" si="78"/>
        <v>0.12099367381576909</v>
      </c>
      <c r="CE22" s="68">
        <f t="shared" si="78"/>
        <v>7.6119192204490815E-2</v>
      </c>
      <c r="CF22" s="68">
        <f t="shared" si="78"/>
        <v>8.9544377139847198E-2</v>
      </c>
      <c r="CG22" s="206">
        <f t="shared" si="78"/>
        <v>8.1324913004253263E-2</v>
      </c>
      <c r="CH22" s="1090">
        <f t="shared" si="78"/>
        <v>9.1100121044440652E-2</v>
      </c>
      <c r="CI22" s="68">
        <f t="shared" si="79"/>
        <v>7.7884038341894835E-2</v>
      </c>
      <c r="CJ22" s="68">
        <f t="shared" si="79"/>
        <v>7.7690288713910816E-2</v>
      </c>
      <c r="CK22" s="68">
        <f t="shared" si="79"/>
        <v>1.6678752719361922E-2</v>
      </c>
      <c r="CL22" s="206">
        <f t="shared" si="79"/>
        <v>-3.3373063170440975E-2</v>
      </c>
      <c r="CM22" s="1090">
        <f t="shared" si="79"/>
        <v>3.2198638569140847E-2</v>
      </c>
      <c r="CN22" s="68">
        <f t="shared" si="79"/>
        <v>-1.4812922998339917E-2</v>
      </c>
      <c r="CO22" s="68">
        <f t="shared" si="79"/>
        <v>-4.6030199707744801E-2</v>
      </c>
      <c r="CP22" s="68">
        <f t="shared" si="79"/>
        <v>-6.0746552543984755E-2</v>
      </c>
      <c r="CQ22" s="206">
        <f t="shared" si="79"/>
        <v>-4.3526510480887737E-2</v>
      </c>
      <c r="CR22" s="1090">
        <f t="shared" si="79"/>
        <v>-4.1701212958697997E-2</v>
      </c>
      <c r="CS22" s="68">
        <f t="shared" si="80"/>
        <v>-4.0311082307193824E-2</v>
      </c>
      <c r="CT22" s="68">
        <f t="shared" si="80"/>
        <v>-2.5912688281848339E-2</v>
      </c>
      <c r="CU22" s="68">
        <f t="shared" si="80"/>
        <v>1.0125300594860942E-3</v>
      </c>
      <c r="CV22" s="206">
        <f t="shared" si="80"/>
        <v>-5.2984401186025543E-2</v>
      </c>
      <c r="CW22" s="1091">
        <f t="shared" si="80"/>
        <v>-2.9384432979780106E-2</v>
      </c>
      <c r="CX22" s="68">
        <f t="shared" si="80"/>
        <v>-0.18044300378173961</v>
      </c>
      <c r="CY22" s="68">
        <f t="shared" si="80"/>
        <v>-0.1969597693618137</v>
      </c>
      <c r="CZ22" s="68">
        <f t="shared" si="80"/>
        <v>-0.19066885826273861</v>
      </c>
      <c r="DA22" s="1092">
        <f t="shared" si="80"/>
        <v>-8.684998638714958E-2</v>
      </c>
      <c r="DB22" s="1093">
        <f t="shared" si="80"/>
        <v>-0.16457576758005943</v>
      </c>
      <c r="DC22" s="68">
        <f t="shared" si="81"/>
        <v>0.11502966381015178</v>
      </c>
      <c r="DD22" s="68">
        <f t="shared" si="81"/>
        <v>0.19663838120104438</v>
      </c>
      <c r="DE22" s="68">
        <f t="shared" si="81"/>
        <v>0.19075144508670516</v>
      </c>
      <c r="DF22" s="1092">
        <f t="shared" si="81"/>
        <v>0.12552176505664892</v>
      </c>
      <c r="DG22" s="1092">
        <f t="shared" si="81"/>
        <v>0.15672791938352115</v>
      </c>
      <c r="DH22" s="68">
        <f t="shared" si="81"/>
        <v>0.10390186225243858</v>
      </c>
      <c r="DI22" s="68">
        <f t="shared" si="81"/>
        <v>9.3686076639847293E-2</v>
      </c>
      <c r="DJ22" s="68">
        <f t="shared" si="81"/>
        <v>8.4623458409866181E-2</v>
      </c>
      <c r="DK22" s="1092">
        <f t="shared" si="81"/>
        <v>0.10582781456953638</v>
      </c>
      <c r="DL22" s="67">
        <f t="shared" si="81"/>
        <v>9.6819377540910745E-2</v>
      </c>
      <c r="DM22" s="68">
        <f t="shared" si="82"/>
        <v>5.1010844825277957E-2</v>
      </c>
      <c r="DN22" s="68">
        <f t="shared" si="82"/>
        <v>4.7880299251870317E-2</v>
      </c>
      <c r="DO22" s="68">
        <f t="shared" si="82"/>
        <v>4.8868997217853982E-2</v>
      </c>
      <c r="DP22" s="1092">
        <f t="shared" si="82"/>
        <v>3.7010420409629763E-2</v>
      </c>
      <c r="DQ22" s="67">
        <f t="shared" si="82"/>
        <v>4.603644292166309E-2</v>
      </c>
      <c r="DR22" s="68">
        <f t="shared" si="82"/>
        <v>9.0955414012738878E-2</v>
      </c>
      <c r="DS22" s="68">
        <f t="shared" si="82"/>
        <v>4.8310328415040571E-2</v>
      </c>
      <c r="DT22" s="68">
        <f t="shared" si="82"/>
        <v>5.2819743974166666E-2</v>
      </c>
      <c r="DU22" s="1092">
        <f t="shared" si="82"/>
        <v>6.4911064911064909E-2</v>
      </c>
      <c r="DV22" s="1091">
        <f t="shared" si="82"/>
        <v>6.3722716850787675E-2</v>
      </c>
      <c r="DW22" s="68">
        <f t="shared" si="83"/>
        <v>3.3512377393741355E-2</v>
      </c>
      <c r="DX22" s="68">
        <f t="shared" si="83"/>
        <v>0.10794551645856987</v>
      </c>
      <c r="DY22" s="68">
        <f t="shared" si="83"/>
        <v>0.1005586592178771</v>
      </c>
      <c r="DZ22" s="1092">
        <f t="shared" si="83"/>
        <v>6.214750542299341E-2</v>
      </c>
      <c r="EA22" s="1091">
        <f t="shared" si="83"/>
        <v>7.6393360020154955E-2</v>
      </c>
      <c r="EB22" s="68">
        <f t="shared" si="83"/>
        <v>4.7000338944751974E-2</v>
      </c>
      <c r="EC22" s="68">
        <f t="shared" si="83"/>
        <v>2.4382747669296156E-2</v>
      </c>
      <c r="ED22" s="904">
        <f t="shared" si="83"/>
        <v>-5.1756743306460296E-3</v>
      </c>
      <c r="EE22" s="1092">
        <f t="shared" si="83"/>
        <v>-4.53385070969059E-2</v>
      </c>
      <c r="EF22" s="1091">
        <f t="shared" si="83"/>
        <v>4.1090190367212287E-3</v>
      </c>
      <c r="EG22" s="68">
        <f t="shared" si="84"/>
        <v>2.5898348980253338E-3</v>
      </c>
      <c r="EH22" s="904">
        <f t="shared" si="84"/>
        <v>-4.8104810481048088E-2</v>
      </c>
      <c r="EI22" s="904">
        <f t="shared" si="84"/>
        <v>-6.0030015007503934E-3</v>
      </c>
      <c r="EJ22" s="1092">
        <f t="shared" si="84"/>
        <v>6.5354583377901454E-2</v>
      </c>
      <c r="EK22" s="1091">
        <f t="shared" si="84"/>
        <v>2.4346024346024731E-3</v>
      </c>
      <c r="EL22" s="68">
        <f t="shared" si="84"/>
        <v>4.3375309439242171E-2</v>
      </c>
      <c r="EM22" s="904">
        <f t="shared" si="84"/>
        <v>6.0201723051061196E-2</v>
      </c>
      <c r="EN22" s="904">
        <f t="shared" si="84"/>
        <v>4.1972823351786648E-2</v>
      </c>
      <c r="EO22" s="1092">
        <f t="shared" si="60"/>
        <v>6.4658634538152793E-2</v>
      </c>
      <c r="EP22" s="1091">
        <f t="shared" si="61"/>
        <v>5.2630219098801057E-2</v>
      </c>
      <c r="EQ22" s="68">
        <f t="shared" si="61"/>
        <v>8.2318960181555711E-2</v>
      </c>
      <c r="ER22" s="1279">
        <v>0.08</v>
      </c>
      <c r="ES22" s="1279">
        <v>0.09</v>
      </c>
      <c r="ET22" s="1279">
        <v>0.06</v>
      </c>
      <c r="EU22" s="1916">
        <f t="shared" si="63"/>
        <v>7.7887140718195802E-2</v>
      </c>
      <c r="EV22" s="2082"/>
      <c r="EW22" s="2082"/>
      <c r="EX22" s="2082"/>
      <c r="EY22" s="2082"/>
      <c r="EZ22" s="2039">
        <v>4.4999999999999998E-2</v>
      </c>
      <c r="FA22" s="2082"/>
      <c r="FB22" s="2082"/>
      <c r="FC22" s="2082"/>
      <c r="FD22" s="2082"/>
      <c r="FE22" s="2039">
        <v>4.4999999999999998E-2</v>
      </c>
      <c r="FF22" s="743"/>
      <c r="FG22" s="627"/>
      <c r="FH22" s="1024"/>
      <c r="FI22" s="1024"/>
      <c r="FJ22" s="1024"/>
      <c r="FK22" s="1024"/>
      <c r="FL22" s="1796"/>
      <c r="FM22" s="68">
        <f t="shared" si="69"/>
        <v>8.2318960181555711E-2</v>
      </c>
      <c r="FN22" s="68">
        <f t="shared" si="70"/>
        <v>4.3375309439242171E-2</v>
      </c>
      <c r="FO22" s="1279">
        <v>0.08</v>
      </c>
      <c r="FP22" s="11">
        <f t="shared" si="85"/>
        <v>389.43650742313542</v>
      </c>
      <c r="FQ22" s="11">
        <f t="shared" si="85"/>
        <v>23.189601815557097</v>
      </c>
      <c r="FR22" s="571" t="s">
        <v>856</v>
      </c>
      <c r="FS22" s="567"/>
      <c r="FT22" s="567"/>
      <c r="FU22" s="567"/>
      <c r="FV22" s="567"/>
      <c r="FW22" s="567"/>
      <c r="FX22" s="567"/>
      <c r="FY22" s="567"/>
      <c r="FZ22" s="567"/>
      <c r="GA22" s="627"/>
      <c r="GB22"/>
      <c r="GC22"/>
      <c r="GD22"/>
      <c r="GE22"/>
      <c r="GF22"/>
      <c r="GG22"/>
      <c r="GH22" s="946"/>
      <c r="GI22" s="946"/>
      <c r="GJ22" s="946"/>
      <c r="GK22" s="946"/>
      <c r="GL22" s="946"/>
      <c r="GM22" s="946"/>
      <c r="GN22" s="946"/>
      <c r="GO22" s="946"/>
      <c r="GP22" s="946"/>
      <c r="GQ22" s="946"/>
      <c r="GR22" s="946"/>
      <c r="GS22" s="946"/>
      <c r="GT22" s="946"/>
      <c r="GU22" s="946"/>
      <c r="GV22" s="946"/>
      <c r="GW22" s="946"/>
      <c r="GX22" s="946"/>
      <c r="GY22" s="946"/>
      <c r="GZ22" s="946"/>
      <c r="HA22" s="946"/>
      <c r="HB22" s="946"/>
      <c r="HC22" s="946"/>
      <c r="HD22" s="946"/>
      <c r="HE22" s="946"/>
      <c r="HF22" s="946"/>
      <c r="HG22" s="946"/>
      <c r="HH22" s="946"/>
      <c r="HI22" s="946"/>
      <c r="HJ22" s="946"/>
      <c r="HK22" s="946"/>
      <c r="HL22" s="946"/>
      <c r="HM22" s="946"/>
      <c r="HN22" s="946"/>
      <c r="HO22" s="946"/>
      <c r="HP22" s="946"/>
      <c r="HQ22" s="946"/>
      <c r="HR22" s="946"/>
      <c r="HS22" s="946"/>
      <c r="HT22" s="946"/>
      <c r="HU22" s="946"/>
      <c r="HV22" s="946"/>
      <c r="HW22" s="946"/>
      <c r="HX22" s="946"/>
      <c r="HY22" s="946"/>
      <c r="HZ22" s="946"/>
      <c r="IA22" s="946"/>
      <c r="IB22" s="946"/>
      <c r="IC22" s="946"/>
      <c r="ID22" s="946"/>
      <c r="IE22" s="946"/>
      <c r="IF22" s="946"/>
      <c r="IG22" s="946"/>
      <c r="IH22" s="946"/>
      <c r="II22" s="946"/>
      <c r="IJ22" s="946"/>
      <c r="IK22" s="946"/>
      <c r="IL22" s="946"/>
      <c r="IM22" s="946"/>
      <c r="IN22" s="946"/>
      <c r="IO22" s="946"/>
      <c r="IP22" s="946"/>
      <c r="IQ22" s="946"/>
      <c r="IR22" s="946"/>
      <c r="IS22" s="946"/>
      <c r="IT22" s="946"/>
      <c r="IU22" s="946"/>
      <c r="IV22" s="946"/>
    </row>
    <row r="23" spans="1:256" s="16" customFormat="1" ht="12.75" x14ac:dyDescent="0.2">
      <c r="A23" s="252" t="str">
        <f t="shared" si="71"/>
        <v>Chemicals Carloads YoY % Change</v>
      </c>
      <c r="E23" s="201"/>
      <c r="F23" s="253"/>
      <c r="J23" s="201"/>
      <c r="K23" s="253"/>
      <c r="O23" s="201"/>
      <c r="P23" s="253"/>
      <c r="Q23" s="68">
        <f t="shared" si="72"/>
        <v>4.1184041184041176E-2</v>
      </c>
      <c r="R23" s="68">
        <f t="shared" si="72"/>
        <v>3.3942558746736351E-2</v>
      </c>
      <c r="S23" s="68">
        <f t="shared" si="72"/>
        <v>2.2784810126582178E-2</v>
      </c>
      <c r="T23" s="206">
        <f t="shared" si="72"/>
        <v>2.5706940874036022E-2</v>
      </c>
      <c r="U23" s="1090">
        <f t="shared" si="72"/>
        <v>3.0858244937319368E-2</v>
      </c>
      <c r="V23" s="68">
        <f t="shared" si="72"/>
        <v>3.2138442521631561E-2</v>
      </c>
      <c r="W23" s="68">
        <f t="shared" si="72"/>
        <v>6.944444444444442E-2</v>
      </c>
      <c r="X23" s="68">
        <f t="shared" si="72"/>
        <v>1.4851485148514865E-2</v>
      </c>
      <c r="Y23" s="206">
        <f t="shared" si="72"/>
        <v>5.6390977443609103E-2</v>
      </c>
      <c r="Z23" s="1090">
        <f t="shared" si="72"/>
        <v>4.303086997193617E-2</v>
      </c>
      <c r="AA23" s="68">
        <f t="shared" si="73"/>
        <v>8.8622754491018085E-2</v>
      </c>
      <c r="AB23" s="68">
        <f t="shared" si="73"/>
        <v>0.11570247933884303</v>
      </c>
      <c r="AC23" s="68">
        <f t="shared" si="73"/>
        <v>0.12317073170731696</v>
      </c>
      <c r="AD23" s="206">
        <f t="shared" si="73"/>
        <v>0.1055753262158956</v>
      </c>
      <c r="AE23" s="1090">
        <f t="shared" si="73"/>
        <v>0.10822122571001502</v>
      </c>
      <c r="AF23" s="68">
        <f t="shared" si="73"/>
        <v>4.840484048404825E-2</v>
      </c>
      <c r="AG23" s="68">
        <f t="shared" si="73"/>
        <v>-2.6455026455026509E-2</v>
      </c>
      <c r="AH23" s="68">
        <f t="shared" si="73"/>
        <v>-4.9945711183496111E-2</v>
      </c>
      <c r="AI23" s="206">
        <f t="shared" si="73"/>
        <v>3.2188841201716833E-3</v>
      </c>
      <c r="AJ23" s="1090">
        <f t="shared" si="73"/>
        <v>-6.4742379282437534E-3</v>
      </c>
      <c r="AK23" s="68">
        <f t="shared" si="74"/>
        <v>2.0986358866736943E-3</v>
      </c>
      <c r="AL23" s="68">
        <f t="shared" si="74"/>
        <v>-6.521739130434745E-3</v>
      </c>
      <c r="AM23" s="68">
        <f t="shared" si="74"/>
        <v>9.2571428571428527E-2</v>
      </c>
      <c r="AN23" s="206">
        <f t="shared" si="74"/>
        <v>4.5989304812834142E-2</v>
      </c>
      <c r="AO23" s="1090">
        <f t="shared" si="74"/>
        <v>3.2582134129785389E-2</v>
      </c>
      <c r="AP23" s="68">
        <f t="shared" si="74"/>
        <v>5.3403141361256568E-2</v>
      </c>
      <c r="AQ23" s="68">
        <f t="shared" si="74"/>
        <v>0.11816192560175054</v>
      </c>
      <c r="AR23" s="68">
        <f t="shared" si="74"/>
        <v>5.439330543933063E-2</v>
      </c>
      <c r="AS23" s="206">
        <f t="shared" si="74"/>
        <v>3.2719836400818103E-2</v>
      </c>
      <c r="AT23" s="1090">
        <f t="shared" si="74"/>
        <v>6.3896923481462142E-2</v>
      </c>
      <c r="AU23" s="68">
        <f t="shared" si="75"/>
        <v>-0.22664015904572565</v>
      </c>
      <c r="AV23" s="68">
        <f t="shared" si="75"/>
        <v>-0.21232876712328774</v>
      </c>
      <c r="AW23" s="68">
        <f t="shared" si="75"/>
        <v>-0.20238095238095233</v>
      </c>
      <c r="AX23" s="206">
        <f t="shared" si="75"/>
        <v>-0.24158415841584169</v>
      </c>
      <c r="AY23" s="1090">
        <f t="shared" si="75"/>
        <v>-0.22071181413741969</v>
      </c>
      <c r="AZ23" s="68">
        <f t="shared" si="75"/>
        <v>6.4267352185090054E-3</v>
      </c>
      <c r="BA23" s="68">
        <f t="shared" si="75"/>
        <v>0.14409937888198754</v>
      </c>
      <c r="BB23" s="68">
        <f t="shared" si="75"/>
        <v>0.38557213930348255</v>
      </c>
      <c r="BC23" s="206">
        <f t="shared" si="75"/>
        <v>0.46344647519582249</v>
      </c>
      <c r="BD23" s="1090">
        <f t="shared" si="75"/>
        <v>0.24928639391056118</v>
      </c>
      <c r="BE23" s="68">
        <f t="shared" si="76"/>
        <v>0.45338441890166026</v>
      </c>
      <c r="BF23" s="68">
        <f t="shared" si="76"/>
        <v>0.25624321389793714</v>
      </c>
      <c r="BG23" s="68">
        <f t="shared" si="76"/>
        <v>2.4236983842010673E-2</v>
      </c>
      <c r="BH23" s="206">
        <f t="shared" si="76"/>
        <v>-2.4085637823371919E-2</v>
      </c>
      <c r="BI23" s="1090">
        <f t="shared" si="76"/>
        <v>0.1500380807311501</v>
      </c>
      <c r="BJ23" s="68">
        <f t="shared" si="76"/>
        <v>-5.7996485061511338E-2</v>
      </c>
      <c r="BK23" s="68">
        <f t="shared" si="76"/>
        <v>-4.2350907519446923E-2</v>
      </c>
      <c r="BL23" s="68">
        <f t="shared" si="76"/>
        <v>-3.6809815950920144E-2</v>
      </c>
      <c r="BM23" s="206">
        <f t="shared" si="76"/>
        <v>-4.9360146252285242E-2</v>
      </c>
      <c r="BN23" s="1090">
        <f t="shared" si="76"/>
        <v>-4.6578366445916175E-2</v>
      </c>
      <c r="BO23" s="68">
        <f t="shared" si="77"/>
        <v>-3.0783582089552231E-2</v>
      </c>
      <c r="BP23" s="68">
        <f t="shared" si="77"/>
        <v>-3.1588447653429608E-2</v>
      </c>
      <c r="BQ23" s="68">
        <f t="shared" si="77"/>
        <v>-2.7297543221110887E-3</v>
      </c>
      <c r="BR23" s="206">
        <f t="shared" si="77"/>
        <v>7.692307692307665E-3</v>
      </c>
      <c r="BS23" s="1090">
        <f t="shared" si="77"/>
        <v>-1.4586709886547866E-2</v>
      </c>
      <c r="BT23" s="68">
        <f t="shared" si="77"/>
        <v>1.7324350336862304E-2</v>
      </c>
      <c r="BU23" s="68">
        <f t="shared" si="77"/>
        <v>-2.2367194780987809E-2</v>
      </c>
      <c r="BV23" s="68">
        <f t="shared" si="77"/>
        <v>-1.0948905109488982E-2</v>
      </c>
      <c r="BW23" s="206">
        <f t="shared" si="77"/>
        <v>1.8129770992366456E-2</v>
      </c>
      <c r="BX23" s="1090">
        <f t="shared" si="77"/>
        <v>2.3496240601517115E-4</v>
      </c>
      <c r="BY23" s="68">
        <f t="shared" si="78"/>
        <v>3.6896877956480445E-2</v>
      </c>
      <c r="BZ23" s="68">
        <f t="shared" si="78"/>
        <v>6.4823641563393597E-2</v>
      </c>
      <c r="CA23" s="68">
        <f t="shared" si="78"/>
        <v>5.3505535055350606E-2</v>
      </c>
      <c r="CB23" s="206">
        <f t="shared" si="78"/>
        <v>2.3430178069353325E-2</v>
      </c>
      <c r="CC23" s="1090">
        <f t="shared" si="78"/>
        <v>4.4632370213765649E-2</v>
      </c>
      <c r="CD23" s="68">
        <f t="shared" si="78"/>
        <v>1.0948905109489093E-2</v>
      </c>
      <c r="CE23" s="68">
        <f t="shared" si="78"/>
        <v>3.760071620411809E-2</v>
      </c>
      <c r="CF23" s="68">
        <f t="shared" si="78"/>
        <v>-2.8896672504378218E-2</v>
      </c>
      <c r="CG23" s="206">
        <f t="shared" si="78"/>
        <v>-4.3040293040293109E-2</v>
      </c>
      <c r="CH23" s="1090">
        <f t="shared" si="78"/>
        <v>-5.8466381830446501E-3</v>
      </c>
      <c r="CI23" s="68">
        <f t="shared" si="79"/>
        <v>-3.1588447653429608E-2</v>
      </c>
      <c r="CJ23" s="68">
        <f t="shared" si="79"/>
        <v>-7.1613459879206309E-2</v>
      </c>
      <c r="CK23" s="68">
        <f t="shared" si="79"/>
        <v>-1.6230838593327412E-2</v>
      </c>
      <c r="CL23" s="206">
        <f t="shared" si="79"/>
        <v>-2.0095693779904278E-2</v>
      </c>
      <c r="CM23" s="1090">
        <f t="shared" si="79"/>
        <v>-3.551232752770872E-2</v>
      </c>
      <c r="CN23" s="68">
        <f t="shared" si="79"/>
        <v>-1.4911463187325169E-2</v>
      </c>
      <c r="CO23" s="68">
        <f t="shared" si="79"/>
        <v>1.9516728624535462E-2</v>
      </c>
      <c r="CP23" s="68">
        <f t="shared" si="79"/>
        <v>-1.0082493125572856E-2</v>
      </c>
      <c r="CQ23" s="206">
        <f t="shared" si="79"/>
        <v>8.7890625E-3</v>
      </c>
      <c r="CR23" s="1090">
        <f t="shared" si="79"/>
        <v>7.0356472795496394E-4</v>
      </c>
      <c r="CS23" s="68">
        <f t="shared" si="80"/>
        <v>-3.3112582781456901E-2</v>
      </c>
      <c r="CT23" s="68">
        <f t="shared" si="80"/>
        <v>-5.2871467639015512E-2</v>
      </c>
      <c r="CU23" s="68">
        <f t="shared" si="80"/>
        <v>-4.629629629629628E-2</v>
      </c>
      <c r="CV23" s="206">
        <f t="shared" si="80"/>
        <v>-0.181026137463698</v>
      </c>
      <c r="CW23" s="1091">
        <f t="shared" si="80"/>
        <v>-7.7337707991563032E-2</v>
      </c>
      <c r="CX23" s="68">
        <f t="shared" si="80"/>
        <v>-0.2142857142857143</v>
      </c>
      <c r="CY23" s="68">
        <f t="shared" si="80"/>
        <v>-0.22521655437921084</v>
      </c>
      <c r="CZ23" s="68">
        <f t="shared" si="80"/>
        <v>-6.8932038834951359E-2</v>
      </c>
      <c r="DA23" s="1092">
        <f t="shared" si="80"/>
        <v>4.3735224586288535E-2</v>
      </c>
      <c r="DB23" s="1093">
        <f t="shared" si="80"/>
        <v>-0.12369824739649471</v>
      </c>
      <c r="DC23" s="68">
        <f t="shared" si="81"/>
        <v>0.20298879202988784</v>
      </c>
      <c r="DD23" s="68">
        <f t="shared" si="81"/>
        <v>0.31677018633540377</v>
      </c>
      <c r="DE23" s="68">
        <f t="shared" si="81"/>
        <v>0.11470281543274252</v>
      </c>
      <c r="DF23" s="1092">
        <f t="shared" si="81"/>
        <v>9.3997734994337501E-2</v>
      </c>
      <c r="DG23" s="1092">
        <f t="shared" si="81"/>
        <v>0.1771014492753622</v>
      </c>
      <c r="DH23" s="68">
        <f t="shared" si="81"/>
        <v>-9.3167701863353658E-3</v>
      </c>
      <c r="DI23" s="68">
        <f t="shared" si="81"/>
        <v>-9.9999999999999978E-2</v>
      </c>
      <c r="DJ23" s="68">
        <f t="shared" si="81"/>
        <v>-0.10757717492984098</v>
      </c>
      <c r="DK23" s="1092">
        <f t="shared" si="81"/>
        <v>-9.7308488612836364E-2</v>
      </c>
      <c r="DL23" s="67">
        <f t="shared" si="81"/>
        <v>-7.9783304604777228E-2</v>
      </c>
      <c r="DM23" s="68">
        <f t="shared" si="82"/>
        <v>3.1347962382444194E-3</v>
      </c>
      <c r="DN23" s="68">
        <f t="shared" si="82"/>
        <v>3.2494758909853205E-2</v>
      </c>
      <c r="DO23" s="68">
        <f t="shared" si="82"/>
        <v>3.7735849056603765E-2</v>
      </c>
      <c r="DP23" s="1092">
        <f t="shared" si="82"/>
        <v>9.2889908256880593E-2</v>
      </c>
      <c r="DQ23" s="67">
        <f t="shared" si="82"/>
        <v>4.0406743377040533E-2</v>
      </c>
      <c r="DR23" s="68">
        <f t="shared" si="82"/>
        <v>0.10416666666666674</v>
      </c>
      <c r="DS23" s="68">
        <f t="shared" si="82"/>
        <v>0.15736040609137047</v>
      </c>
      <c r="DT23" s="68">
        <f t="shared" si="82"/>
        <v>0.14242424242424234</v>
      </c>
      <c r="DU23" s="1092">
        <f t="shared" si="82"/>
        <v>0.21825813221406087</v>
      </c>
      <c r="DV23" s="1091">
        <f t="shared" si="82"/>
        <v>0.15534979423868323</v>
      </c>
      <c r="DW23" s="68">
        <f t="shared" si="83"/>
        <v>9.5283018867924563E-2</v>
      </c>
      <c r="DX23" s="68">
        <f t="shared" si="83"/>
        <v>6.8421052631578938E-2</v>
      </c>
      <c r="DY23" s="68">
        <f t="shared" si="83"/>
        <v>0.16710875331564989</v>
      </c>
      <c r="DZ23" s="1092">
        <f t="shared" si="83"/>
        <v>0.14298018949181746</v>
      </c>
      <c r="EA23" s="1091">
        <f t="shared" si="83"/>
        <v>0.11887800534283155</v>
      </c>
      <c r="EB23" s="68">
        <f t="shared" si="83"/>
        <v>9.6468561584840629E-2</v>
      </c>
      <c r="EC23" s="68">
        <f t="shared" si="83"/>
        <v>0.1272577996715929</v>
      </c>
      <c r="ED23" s="68">
        <f t="shared" si="83"/>
        <v>1.7424242424242564E-2</v>
      </c>
      <c r="EE23" s="1092">
        <f t="shared" si="83"/>
        <v>-3.0143180105501099E-2</v>
      </c>
      <c r="EF23" s="1091">
        <f t="shared" si="83"/>
        <v>4.9741345005969162E-2</v>
      </c>
      <c r="EG23" s="68">
        <f t="shared" si="84"/>
        <v>-5.2631578947368474E-2</v>
      </c>
      <c r="EH23" s="68">
        <f t="shared" si="84"/>
        <v>-0.10560815731973794</v>
      </c>
      <c r="EI23" s="68">
        <f t="shared" si="84"/>
        <v>-0.12509307520476554</v>
      </c>
      <c r="EJ23" s="1092">
        <f t="shared" si="84"/>
        <v>-0.10800310800310797</v>
      </c>
      <c r="EK23" s="1091">
        <f t="shared" si="84"/>
        <v>-9.8369977255496677E-2</v>
      </c>
      <c r="EL23" s="68">
        <f t="shared" si="84"/>
        <v>-1.6583747927031545E-2</v>
      </c>
      <c r="EM23" s="68">
        <f t="shared" si="84"/>
        <v>-6.514657980456029E-2</v>
      </c>
      <c r="EN23" s="68">
        <f t="shared" si="84"/>
        <v>-1.9574468085106322E-2</v>
      </c>
      <c r="EO23" s="1092">
        <f t="shared" si="60"/>
        <v>3.3101045296167309E-2</v>
      </c>
      <c r="EP23" s="1091">
        <f t="shared" si="61"/>
        <v>-1.7868404456590437E-2</v>
      </c>
      <c r="EQ23" s="68">
        <f t="shared" si="61"/>
        <v>1.8549747048903997E-2</v>
      </c>
      <c r="ER23" s="1279">
        <v>0.06</v>
      </c>
      <c r="ES23" s="1279">
        <v>0.03</v>
      </c>
      <c r="ET23" s="1279">
        <v>-0.01</v>
      </c>
      <c r="EU23" s="1916">
        <f t="shared" si="63"/>
        <v>2.4310787671232958E-2</v>
      </c>
      <c r="EV23" s="1095"/>
      <c r="EW23" s="1095"/>
      <c r="EX23" s="1095"/>
      <c r="EY23" s="1095"/>
      <c r="EZ23" s="834">
        <v>0.01</v>
      </c>
      <c r="FA23" s="1095"/>
      <c r="FB23" s="1095"/>
      <c r="FC23" s="1095"/>
      <c r="FD23" s="1095"/>
      <c r="FE23" s="834">
        <v>0.01</v>
      </c>
      <c r="FF23" s="743"/>
      <c r="FG23" s="622"/>
      <c r="FH23" s="1024"/>
      <c r="FI23" s="1024"/>
      <c r="FJ23" s="1024"/>
      <c r="FK23" s="1024"/>
      <c r="FL23" s="1796"/>
      <c r="FM23" s="2127">
        <f t="shared" si="69"/>
        <v>1.8549747048903997E-2</v>
      </c>
      <c r="FN23" s="2127">
        <f t="shared" si="70"/>
        <v>-1.6583747927031545E-2</v>
      </c>
      <c r="FO23" s="2128">
        <v>8.5000000000000006E-2</v>
      </c>
      <c r="FP23" s="11">
        <f t="shared" si="85"/>
        <v>351.33494975935542</v>
      </c>
      <c r="FQ23" s="11">
        <f t="shared" si="85"/>
        <v>-664.50252951096013</v>
      </c>
      <c r="FR23" s="2100" t="s">
        <v>838</v>
      </c>
      <c r="FS23" s="567"/>
      <c r="FT23" s="567"/>
      <c r="FU23" s="567"/>
      <c r="FV23" s="567"/>
      <c r="FW23" s="567"/>
      <c r="FX23" s="567"/>
      <c r="FY23" s="567"/>
      <c r="FZ23" s="567"/>
      <c r="GA23" s="622"/>
      <c r="GB23"/>
      <c r="GC23"/>
      <c r="GD23"/>
      <c r="GE23"/>
      <c r="GF23"/>
      <c r="GG23"/>
      <c r="GH23" s="946"/>
      <c r="GI23" s="946"/>
      <c r="GJ23" s="946"/>
      <c r="GK23" s="946"/>
      <c r="GL23" s="946"/>
      <c r="GM23" s="946"/>
      <c r="GN23" s="946"/>
      <c r="GO23" s="946"/>
      <c r="GP23" s="946"/>
      <c r="GQ23" s="946"/>
      <c r="GR23" s="946"/>
      <c r="GS23" s="946"/>
      <c r="GT23" s="946"/>
      <c r="GU23" s="946"/>
      <c r="GV23" s="946"/>
      <c r="GW23" s="946"/>
      <c r="GX23" s="946"/>
      <c r="GY23" s="946"/>
      <c r="GZ23" s="946"/>
      <c r="HA23" s="946"/>
      <c r="HB23" s="946"/>
      <c r="HC23" s="946"/>
      <c r="HD23" s="946"/>
      <c r="HE23" s="946"/>
      <c r="HF23" s="946"/>
      <c r="HG23" s="946"/>
      <c r="HH23" s="946"/>
      <c r="HI23" s="946"/>
      <c r="HJ23" s="946"/>
      <c r="HK23" s="946"/>
      <c r="HL23" s="946"/>
      <c r="HM23" s="946"/>
      <c r="HN23" s="946"/>
      <c r="HO23" s="946"/>
      <c r="HP23" s="946"/>
      <c r="HQ23" s="946"/>
      <c r="HR23" s="946"/>
      <c r="HS23" s="946"/>
      <c r="HT23" s="946"/>
      <c r="HU23" s="946"/>
      <c r="HV23" s="946"/>
      <c r="HW23" s="946"/>
      <c r="HX23" s="946"/>
      <c r="HY23" s="946"/>
      <c r="HZ23" s="946"/>
      <c r="IA23" s="946"/>
      <c r="IB23" s="946"/>
      <c r="IC23" s="946"/>
      <c r="ID23" s="946"/>
      <c r="IE23" s="946"/>
      <c r="IF23" s="946"/>
      <c r="IG23" s="946"/>
      <c r="IH23" s="946"/>
      <c r="II23" s="946"/>
      <c r="IJ23" s="946"/>
      <c r="IK23" s="946"/>
      <c r="IL23" s="946"/>
      <c r="IM23" s="946"/>
      <c r="IN23" s="946"/>
      <c r="IO23" s="946"/>
      <c r="IP23" s="946"/>
      <c r="IQ23" s="946"/>
      <c r="IR23" s="946"/>
      <c r="IS23" s="946"/>
      <c r="IT23" s="946"/>
      <c r="IU23" s="946"/>
      <c r="IV23" s="946"/>
    </row>
    <row r="24" spans="1:256" s="16" customFormat="1" ht="12.75" x14ac:dyDescent="0.2">
      <c r="A24" s="252" t="str">
        <f t="shared" si="71"/>
        <v>Metals &amp; Const. Carloads YoY % Change</v>
      </c>
      <c r="E24" s="201"/>
      <c r="F24" s="253"/>
      <c r="J24" s="201"/>
      <c r="K24" s="253"/>
      <c r="O24" s="201"/>
      <c r="P24" s="253"/>
      <c r="Q24" s="68">
        <f t="shared" si="72"/>
        <v>-1.7687074829931926E-2</v>
      </c>
      <c r="R24" s="68">
        <f t="shared" si="72"/>
        <v>-1.2315270935961964E-3</v>
      </c>
      <c r="S24" s="68">
        <f t="shared" si="72"/>
        <v>2.241594022415927E-2</v>
      </c>
      <c r="T24" s="206">
        <f t="shared" si="72"/>
        <v>3.4805890227576963E-2</v>
      </c>
      <c r="U24" s="1090">
        <f t="shared" si="72"/>
        <v>9.6867936712947689E-3</v>
      </c>
      <c r="V24" s="68">
        <f t="shared" si="72"/>
        <v>5.5401662049861411E-2</v>
      </c>
      <c r="W24" s="68">
        <f t="shared" si="72"/>
        <v>7.3982737361282469E-2</v>
      </c>
      <c r="X24" s="68">
        <f t="shared" si="72"/>
        <v>8.6479902557856425E-2</v>
      </c>
      <c r="Y24" s="206">
        <f t="shared" si="72"/>
        <v>0.12677878395860276</v>
      </c>
      <c r="Z24" s="1090">
        <f t="shared" si="72"/>
        <v>8.6024944035817175E-2</v>
      </c>
      <c r="AA24" s="68">
        <f t="shared" si="73"/>
        <v>6.430446194225703E-2</v>
      </c>
      <c r="AB24" s="68">
        <f t="shared" si="73"/>
        <v>0.14580941446613083</v>
      </c>
      <c r="AC24" s="68">
        <f t="shared" si="73"/>
        <v>8.1838565022421594E-2</v>
      </c>
      <c r="AD24" s="206">
        <f t="shared" si="73"/>
        <v>7.8071182548794527E-2</v>
      </c>
      <c r="AE24" s="1090">
        <f t="shared" si="73"/>
        <v>9.3345111896348421E-2</v>
      </c>
      <c r="AF24" s="68">
        <f t="shared" si="73"/>
        <v>0.10974106041923548</v>
      </c>
      <c r="AG24" s="68">
        <f t="shared" si="73"/>
        <v>-2.1042084168336639E-2</v>
      </c>
      <c r="AH24" s="68">
        <f t="shared" si="73"/>
        <v>-1.0362694300518172E-2</v>
      </c>
      <c r="AI24" s="206">
        <f t="shared" si="73"/>
        <v>-5.1118210862619917E-2</v>
      </c>
      <c r="AJ24" s="1090">
        <f t="shared" si="73"/>
        <v>2.6932399676811158E-3</v>
      </c>
      <c r="AK24" s="68">
        <f t="shared" si="74"/>
        <v>-6.8888888888888888E-2</v>
      </c>
      <c r="AL24" s="68">
        <f t="shared" si="74"/>
        <v>0</v>
      </c>
      <c r="AM24" s="68">
        <f t="shared" si="74"/>
        <v>8.3769633507853047E-3</v>
      </c>
      <c r="AN24" s="206">
        <f t="shared" si="74"/>
        <v>-4.1526374859708115E-2</v>
      </c>
      <c r="AO24" s="1090">
        <f t="shared" si="74"/>
        <v>-2.444265377383803E-2</v>
      </c>
      <c r="AP24" s="68">
        <f t="shared" si="74"/>
        <v>4.0572792362768562E-2</v>
      </c>
      <c r="AQ24" s="68">
        <f t="shared" si="74"/>
        <v>9.2118730808596894E-3</v>
      </c>
      <c r="AR24" s="68">
        <f t="shared" si="74"/>
        <v>-1.0384215991692258E-3</v>
      </c>
      <c r="AS24" s="206">
        <f t="shared" si="74"/>
        <v>7.1428571428571397E-2</v>
      </c>
      <c r="AT24" s="1090">
        <f t="shared" si="74"/>
        <v>2.8359030837004306E-2</v>
      </c>
      <c r="AU24" s="68">
        <f t="shared" si="75"/>
        <v>1.3761467889908285E-2</v>
      </c>
      <c r="AV24" s="68">
        <f t="shared" si="75"/>
        <v>-1.926977687626763E-2</v>
      </c>
      <c r="AW24" s="68">
        <f t="shared" si="75"/>
        <v>2.8066528066527985E-2</v>
      </c>
      <c r="AX24" s="206">
        <f t="shared" si="75"/>
        <v>-3.1693989071038264E-2</v>
      </c>
      <c r="AY24" s="1090">
        <f t="shared" si="75"/>
        <v>-2.4096385542168308E-3</v>
      </c>
      <c r="AZ24" s="68">
        <f t="shared" si="75"/>
        <v>2.0361990950226172E-2</v>
      </c>
      <c r="BA24" s="68">
        <f t="shared" si="75"/>
        <v>0.30610134436401237</v>
      </c>
      <c r="BB24" s="68">
        <f t="shared" si="75"/>
        <v>0.89686552072800785</v>
      </c>
      <c r="BC24" s="206">
        <f t="shared" si="75"/>
        <v>1.0620767494356658</v>
      </c>
      <c r="BD24" s="1090">
        <f t="shared" si="75"/>
        <v>0.57487922705313999</v>
      </c>
      <c r="BE24" s="68">
        <f t="shared" si="76"/>
        <v>1.1130820399113079</v>
      </c>
      <c r="BF24" s="68">
        <f t="shared" si="76"/>
        <v>0.63024544734758514</v>
      </c>
      <c r="BG24" s="68">
        <f t="shared" si="76"/>
        <v>3.5714285714285809E-2</v>
      </c>
      <c r="BH24" s="206">
        <f t="shared" si="76"/>
        <v>-9.1954022988505635E-2</v>
      </c>
      <c r="BI24" s="1090">
        <f t="shared" si="76"/>
        <v>0.28953646898432184</v>
      </c>
      <c r="BJ24" s="68">
        <f t="shared" si="76"/>
        <v>-0.13064008394543547</v>
      </c>
      <c r="BK24" s="68">
        <f t="shared" si="76"/>
        <v>-0.10199125789218066</v>
      </c>
      <c r="BL24" s="68">
        <f t="shared" si="76"/>
        <v>-4.2202779207411334E-2</v>
      </c>
      <c r="BM24" s="206">
        <f t="shared" si="76"/>
        <v>6.027727546713546E-4</v>
      </c>
      <c r="BN24" s="1090">
        <f t="shared" si="76"/>
        <v>-7.1362495044271057E-2</v>
      </c>
      <c r="BO24" s="68">
        <f t="shared" si="77"/>
        <v>-2.5950512975256412E-2</v>
      </c>
      <c r="BP24" s="68">
        <f t="shared" si="77"/>
        <v>6.0573282855597599E-2</v>
      </c>
      <c r="BQ24" s="68">
        <f t="shared" si="77"/>
        <v>3.8688876947877482E-2</v>
      </c>
      <c r="BR24" s="206">
        <f t="shared" si="77"/>
        <v>-4.2168674698794817E-3</v>
      </c>
      <c r="BS24" s="1090">
        <f t="shared" si="77"/>
        <v>1.9069304112707908E-2</v>
      </c>
      <c r="BT24" s="68">
        <f t="shared" si="77"/>
        <v>-6.1957868649309411E-4</v>
      </c>
      <c r="BU24" s="68">
        <f t="shared" si="77"/>
        <v>-6.2723100458949466E-2</v>
      </c>
      <c r="BV24" s="68">
        <f t="shared" si="77"/>
        <v>-3.2074495602690156E-2</v>
      </c>
      <c r="BW24" s="206">
        <f t="shared" si="77"/>
        <v>7.6830006049606769E-2</v>
      </c>
      <c r="BX24" s="1090">
        <f t="shared" si="77"/>
        <v>-8.2390727552016374E-3</v>
      </c>
      <c r="BY24" s="68">
        <f t="shared" si="78"/>
        <v>9.8574085554866464E-2</v>
      </c>
      <c r="BZ24" s="68">
        <f t="shared" si="78"/>
        <v>0.10881392818280733</v>
      </c>
      <c r="CA24" s="68">
        <f t="shared" si="78"/>
        <v>9.9946552645644227E-2</v>
      </c>
      <c r="CB24" s="206">
        <f t="shared" si="78"/>
        <v>9.1573033707865292E-2</v>
      </c>
      <c r="CC24" s="1090">
        <f t="shared" si="78"/>
        <v>9.983103351168654E-2</v>
      </c>
      <c r="CD24" s="68">
        <f t="shared" si="78"/>
        <v>4.8532731376975224E-2</v>
      </c>
      <c r="CE24" s="68">
        <f t="shared" si="78"/>
        <v>-6.8694798822375169E-3</v>
      </c>
      <c r="CF24" s="68">
        <f t="shared" si="78"/>
        <v>4.8590864917394949E-3</v>
      </c>
      <c r="CG24" s="206">
        <f t="shared" si="78"/>
        <v>2.5218733916623659E-2</v>
      </c>
      <c r="CH24" s="1090">
        <f t="shared" si="78"/>
        <v>1.6771220074254467E-2</v>
      </c>
      <c r="CI24" s="68">
        <f t="shared" si="79"/>
        <v>0.12271259418729796</v>
      </c>
      <c r="CJ24" s="68">
        <f t="shared" si="79"/>
        <v>9.9802371541501955E-2</v>
      </c>
      <c r="CK24" s="68">
        <f t="shared" si="79"/>
        <v>5.9477756286266947E-2</v>
      </c>
      <c r="CL24" s="206">
        <f t="shared" si="79"/>
        <v>-7.1285140562248994E-2</v>
      </c>
      <c r="CM24" s="1090">
        <f t="shared" si="79"/>
        <v>5.1750188869302383E-2</v>
      </c>
      <c r="CN24" s="68">
        <f t="shared" si="79"/>
        <v>-0.11025886864813039</v>
      </c>
      <c r="CO24" s="68">
        <f t="shared" si="79"/>
        <v>-5.7502246181491357E-2</v>
      </c>
      <c r="CP24" s="68">
        <f t="shared" si="79"/>
        <v>-8.5805568233683127E-2</v>
      </c>
      <c r="CQ24" s="206">
        <f t="shared" si="79"/>
        <v>1.5675675675675738E-2</v>
      </c>
      <c r="CR24" s="1090">
        <f t="shared" si="79"/>
        <v>-6.1893930324434243E-2</v>
      </c>
      <c r="CS24" s="68">
        <f t="shared" si="80"/>
        <v>4.8491379310344751E-3</v>
      </c>
      <c r="CT24" s="68">
        <f t="shared" si="80"/>
        <v>2.8598665395613843E-3</v>
      </c>
      <c r="CU24" s="68">
        <f t="shared" si="80"/>
        <v>1.6974538192710886E-2</v>
      </c>
      <c r="CV24" s="206">
        <f t="shared" si="80"/>
        <v>-0.24534326769558268</v>
      </c>
      <c r="CW24" s="1091">
        <f t="shared" si="80"/>
        <v>-5.2577845839714366E-2</v>
      </c>
      <c r="CX24" s="68">
        <f t="shared" si="80"/>
        <v>-0.35174262734584449</v>
      </c>
      <c r="CY24" s="68">
        <f t="shared" si="80"/>
        <v>-0.44296577946768056</v>
      </c>
      <c r="CZ24" s="68">
        <f t="shared" si="80"/>
        <v>-0.31566028473244967</v>
      </c>
      <c r="DA24" s="1092">
        <f t="shared" si="80"/>
        <v>-0.10648801128349794</v>
      </c>
      <c r="DB24" s="1093">
        <f t="shared" si="80"/>
        <v>-0.32085129310344818</v>
      </c>
      <c r="DC24" s="68">
        <f t="shared" si="81"/>
        <v>0.14392059553349879</v>
      </c>
      <c r="DD24" s="68">
        <f t="shared" si="81"/>
        <v>0.4965870307167235</v>
      </c>
      <c r="DE24" s="68">
        <f t="shared" si="81"/>
        <v>0.2008608321377332</v>
      </c>
      <c r="DF24" s="1092">
        <f t="shared" si="81"/>
        <v>0.16258879242304669</v>
      </c>
      <c r="DG24" s="1092">
        <f t="shared" si="81"/>
        <v>0.2463308211027373</v>
      </c>
      <c r="DH24" s="68">
        <f t="shared" si="81"/>
        <v>7.3029645697758383E-2</v>
      </c>
      <c r="DI24" s="68">
        <f t="shared" si="81"/>
        <v>-1.1972633979475455E-2</v>
      </c>
      <c r="DJ24" s="68">
        <f t="shared" si="81"/>
        <v>6.5710872162485057E-2</v>
      </c>
      <c r="DK24" s="1092">
        <f t="shared" si="81"/>
        <v>0.11948404616429054</v>
      </c>
      <c r="DL24" s="67">
        <f t="shared" si="81"/>
        <v>5.8243157224697528E-2</v>
      </c>
      <c r="DM24" s="68">
        <f t="shared" si="82"/>
        <v>0.11522911051212925</v>
      </c>
      <c r="DN24" s="68">
        <f t="shared" si="82"/>
        <v>3.9815349105597031E-2</v>
      </c>
      <c r="DO24" s="68">
        <f t="shared" si="82"/>
        <v>-7.1748878923766912E-2</v>
      </c>
      <c r="DP24" s="1092">
        <f t="shared" si="82"/>
        <v>-3.941782898726498E-2</v>
      </c>
      <c r="DQ24" s="67">
        <f t="shared" si="82"/>
        <v>7.0676691729323338E-3</v>
      </c>
      <c r="DR24" s="68">
        <f t="shared" si="82"/>
        <v>-6.4652567975830744E-2</v>
      </c>
      <c r="DS24" s="68">
        <f t="shared" si="82"/>
        <v>-5.0499445061043202E-2</v>
      </c>
      <c r="DT24" s="68">
        <f t="shared" si="82"/>
        <v>8.9975845410628086E-2</v>
      </c>
      <c r="DU24" s="1092">
        <f t="shared" si="82"/>
        <v>1.325757575757569E-2</v>
      </c>
      <c r="DV24" s="1091">
        <f t="shared" si="82"/>
        <v>-4.1809765566670487E-3</v>
      </c>
      <c r="DW24" s="68">
        <f t="shared" si="83"/>
        <v>-3.1653746770025859E-2</v>
      </c>
      <c r="DX24" s="68">
        <f t="shared" si="83"/>
        <v>0.13150204558737588</v>
      </c>
      <c r="DY24" s="68">
        <f t="shared" si="83"/>
        <v>0.11966759002770089</v>
      </c>
      <c r="DZ24" s="1092">
        <f t="shared" si="83"/>
        <v>0.12149532710280364</v>
      </c>
      <c r="EA24" s="1091">
        <f t="shared" si="83"/>
        <v>8.8019193282351305E-2</v>
      </c>
      <c r="EB24" s="68">
        <f t="shared" si="83"/>
        <v>1.7344896597731863E-2</v>
      </c>
      <c r="EC24" s="68">
        <f t="shared" si="83"/>
        <v>-5.9400826446280974E-2</v>
      </c>
      <c r="ED24" s="68">
        <f t="shared" si="83"/>
        <v>-9.3023255813953432E-2</v>
      </c>
      <c r="EE24" s="1092">
        <f t="shared" si="83"/>
        <v>-0.14166666666666672</v>
      </c>
      <c r="EF24" s="1091">
        <f t="shared" si="83"/>
        <v>-7.3318632855567722E-2</v>
      </c>
      <c r="EG24" s="68">
        <f t="shared" si="84"/>
        <v>1.5737704918032724E-2</v>
      </c>
      <c r="EH24" s="68">
        <f t="shared" si="84"/>
        <v>8.2372322899506578E-3</v>
      </c>
      <c r="EI24" s="68">
        <f t="shared" si="84"/>
        <v>1.9639934533551617E-2</v>
      </c>
      <c r="EJ24" s="1092">
        <f t="shared" si="84"/>
        <v>3.818770226537227E-2</v>
      </c>
      <c r="EK24" s="1091">
        <f t="shared" si="84"/>
        <v>1.9928613920285443E-2</v>
      </c>
      <c r="EL24" s="68">
        <f t="shared" si="84"/>
        <v>8.7153001936733476E-2</v>
      </c>
      <c r="EM24" s="68">
        <f t="shared" si="84"/>
        <v>5.3376906318082895E-2</v>
      </c>
      <c r="EN24" s="68">
        <f t="shared" si="84"/>
        <v>3.905831995719633E-2</v>
      </c>
      <c r="EO24" s="1092">
        <f t="shared" si="60"/>
        <v>6.9201995012468709E-2</v>
      </c>
      <c r="EP24" s="1091">
        <f t="shared" si="61"/>
        <v>6.0804899387576716E-2</v>
      </c>
      <c r="EQ24" s="68">
        <f t="shared" si="61"/>
        <v>-2.2565320665083211E-2</v>
      </c>
      <c r="ER24" s="1094">
        <v>5.5E-2</v>
      </c>
      <c r="ES24" s="1094">
        <v>0.06</v>
      </c>
      <c r="ET24" s="1094">
        <v>0.02</v>
      </c>
      <c r="EU24" s="1916">
        <f t="shared" si="63"/>
        <v>3.0129209621993169E-2</v>
      </c>
      <c r="EV24" s="1095"/>
      <c r="EW24" s="1095"/>
      <c r="EX24" s="1095"/>
      <c r="EY24" s="1095"/>
      <c r="EZ24" s="834">
        <v>1.4999999999999999E-2</v>
      </c>
      <c r="FA24" s="1095"/>
      <c r="FB24" s="1095"/>
      <c r="FC24" s="1095"/>
      <c r="FD24" s="1095"/>
      <c r="FE24" s="834">
        <v>1.4999999999999999E-2</v>
      </c>
      <c r="FF24" s="743"/>
      <c r="FG24" s="618"/>
      <c r="FH24" s="1024"/>
      <c r="FI24" s="1024"/>
      <c r="FJ24" s="1024"/>
      <c r="FK24" s="1024"/>
      <c r="FL24" s="1796"/>
      <c r="FM24" s="2127">
        <f t="shared" si="69"/>
        <v>-2.2565320665083211E-2</v>
      </c>
      <c r="FN24" s="2127">
        <f t="shared" si="70"/>
        <v>8.7153001936733476E-2</v>
      </c>
      <c r="FO24" s="2128">
        <v>-0.04</v>
      </c>
      <c r="FP24" s="11">
        <f t="shared" si="85"/>
        <v>-1097.1832260181668</v>
      </c>
      <c r="FQ24" s="11">
        <f t="shared" si="85"/>
        <v>174.34679334916791</v>
      </c>
      <c r="FR24" s="1760"/>
      <c r="FS24" s="1429"/>
      <c r="FT24" s="1429"/>
      <c r="FU24" s="567"/>
      <c r="FV24" s="567"/>
      <c r="FW24" s="567"/>
      <c r="FX24" s="567"/>
      <c r="FY24" s="567"/>
      <c r="FZ24" s="567"/>
      <c r="GA24" s="618"/>
      <c r="GB24"/>
      <c r="GC24"/>
      <c r="GD24"/>
      <c r="GE24"/>
      <c r="GF24"/>
      <c r="GG24"/>
      <c r="GH24" s="946"/>
      <c r="GI24" s="946"/>
      <c r="GJ24" s="946"/>
      <c r="GK24" s="946"/>
      <c r="GL24" s="946"/>
      <c r="GM24" s="946"/>
      <c r="GN24" s="946"/>
      <c r="GO24" s="946"/>
      <c r="GP24" s="946"/>
      <c r="GQ24" s="946"/>
      <c r="GR24" s="946"/>
      <c r="GS24" s="946"/>
      <c r="GT24" s="946"/>
      <c r="GU24" s="946"/>
      <c r="GV24" s="946"/>
      <c r="GW24" s="946"/>
      <c r="GX24" s="946"/>
      <c r="GY24" s="946"/>
      <c r="GZ24" s="946"/>
      <c r="HA24" s="946"/>
      <c r="HB24" s="946"/>
      <c r="HC24" s="946"/>
      <c r="HD24" s="946"/>
      <c r="HE24" s="946"/>
      <c r="HF24" s="946"/>
      <c r="HG24" s="946"/>
      <c r="HH24" s="946"/>
      <c r="HI24" s="946"/>
      <c r="HJ24" s="946"/>
      <c r="HK24" s="946"/>
      <c r="HL24" s="946"/>
      <c r="HM24" s="946"/>
      <c r="HN24" s="946"/>
      <c r="HO24" s="946"/>
      <c r="HP24" s="946"/>
      <c r="HQ24" s="946"/>
      <c r="HR24" s="946"/>
      <c r="HS24" s="946"/>
      <c r="HT24" s="946"/>
      <c r="HU24" s="946"/>
      <c r="HV24" s="946"/>
      <c r="HW24" s="946"/>
      <c r="HX24" s="946"/>
      <c r="HY24" s="946"/>
      <c r="HZ24" s="946"/>
      <c r="IA24" s="946"/>
      <c r="IB24" s="946"/>
      <c r="IC24" s="946"/>
      <c r="ID24" s="946"/>
      <c r="IE24" s="946"/>
      <c r="IF24" s="946"/>
      <c r="IG24" s="946"/>
      <c r="IH24" s="946"/>
      <c r="II24" s="946"/>
      <c r="IJ24" s="946"/>
      <c r="IK24" s="946"/>
      <c r="IL24" s="946"/>
      <c r="IM24" s="946"/>
      <c r="IN24" s="946"/>
      <c r="IO24" s="946"/>
      <c r="IP24" s="946"/>
      <c r="IQ24" s="946"/>
      <c r="IR24" s="946"/>
      <c r="IS24" s="946"/>
      <c r="IT24" s="946"/>
      <c r="IU24" s="946"/>
      <c r="IV24" s="946"/>
    </row>
    <row r="25" spans="1:256" s="16" customFormat="1" ht="12.75" x14ac:dyDescent="0.2">
      <c r="A25" s="252" t="str">
        <f t="shared" si="71"/>
        <v>Paper/Clay/Forest Carloads YoY % Change</v>
      </c>
      <c r="E25" s="201"/>
      <c r="F25" s="253"/>
      <c r="J25" s="201"/>
      <c r="K25" s="253"/>
      <c r="O25" s="201"/>
      <c r="P25" s="253"/>
      <c r="Q25" s="68">
        <f t="shared" si="72"/>
        <v>7.7064220183486354E-2</v>
      </c>
      <c r="R25" s="68">
        <f t="shared" si="72"/>
        <v>8.6270871985157704E-2</v>
      </c>
      <c r="S25" s="68">
        <f t="shared" si="72"/>
        <v>5.1785714285714324E-2</v>
      </c>
      <c r="T25" s="206">
        <f t="shared" si="72"/>
        <v>3.549245785270605E-3</v>
      </c>
      <c r="U25" s="1090">
        <f t="shared" si="72"/>
        <v>5.4133635334088215E-2</v>
      </c>
      <c r="V25" s="68">
        <f t="shared" si="72"/>
        <v>-9.3696763202726352E-3</v>
      </c>
      <c r="W25" s="68">
        <f t="shared" si="72"/>
        <v>-6.8317677198974636E-3</v>
      </c>
      <c r="X25" s="68">
        <f t="shared" si="72"/>
        <v>-7.6400679117146764E-3</v>
      </c>
      <c r="Y25" s="206">
        <f t="shared" si="72"/>
        <v>3.2714412024756889E-2</v>
      </c>
      <c r="Z25" s="1090">
        <f t="shared" si="72"/>
        <v>1.9338203695746792E-3</v>
      </c>
      <c r="AA25" s="68">
        <f t="shared" si="73"/>
        <v>-7.7386070507308169E-3</v>
      </c>
      <c r="AB25" s="68">
        <f t="shared" si="73"/>
        <v>1.8916595012897774E-2</v>
      </c>
      <c r="AC25" s="68">
        <f t="shared" si="73"/>
        <v>-9.4097519247220429E-3</v>
      </c>
      <c r="AD25" s="206">
        <f t="shared" si="73"/>
        <v>-1.9691780821917804E-2</v>
      </c>
      <c r="AE25" s="1090">
        <f t="shared" si="73"/>
        <v>-4.5035384945314449E-3</v>
      </c>
      <c r="AF25" s="68">
        <f t="shared" si="73"/>
        <v>5.199306759098743E-3</v>
      </c>
      <c r="AG25" s="68">
        <f t="shared" si="73"/>
        <v>-5.0632911392404223E-3</v>
      </c>
      <c r="AH25" s="68">
        <f t="shared" si="73"/>
        <v>1.7271157167531026E-3</v>
      </c>
      <c r="AI25" s="206">
        <f t="shared" si="73"/>
        <v>-4.6288209606986874E-2</v>
      </c>
      <c r="AJ25" s="1090">
        <f t="shared" si="73"/>
        <v>-1.0986643688065567E-2</v>
      </c>
      <c r="AK25" s="68">
        <f t="shared" si="74"/>
        <v>-5.3448275862069017E-2</v>
      </c>
      <c r="AL25" s="68">
        <f t="shared" si="74"/>
        <v>-8.0576759966072942E-2</v>
      </c>
      <c r="AM25" s="68">
        <f t="shared" si="74"/>
        <v>-3.7931034482758696E-2</v>
      </c>
      <c r="AN25" s="206">
        <f t="shared" si="74"/>
        <v>-7.3260073260073E-3</v>
      </c>
      <c r="AO25" s="1090">
        <f t="shared" si="74"/>
        <v>-4.552385101285128E-2</v>
      </c>
      <c r="AP25" s="68">
        <f t="shared" si="74"/>
        <v>4.4626593806921688E-2</v>
      </c>
      <c r="AQ25" s="68">
        <f t="shared" si="74"/>
        <v>5.3505535055350606E-2</v>
      </c>
      <c r="AR25" s="68">
        <f t="shared" si="74"/>
        <v>4.0322580645161255E-2</v>
      </c>
      <c r="AS25" s="206">
        <f t="shared" si="74"/>
        <v>3.6900369003689981E-2</v>
      </c>
      <c r="AT25" s="1090">
        <f t="shared" si="74"/>
        <v>4.3815609310817072E-2</v>
      </c>
      <c r="AU25" s="68">
        <f t="shared" si="75"/>
        <v>9.5902353966870191E-3</v>
      </c>
      <c r="AV25" s="68">
        <f t="shared" si="75"/>
        <v>2.5394045534150589E-2</v>
      </c>
      <c r="AW25" s="68">
        <f t="shared" si="75"/>
        <v>-4.306632213608963E-2</v>
      </c>
      <c r="AX25" s="206">
        <f t="shared" si="75"/>
        <v>-0.10231316725978645</v>
      </c>
      <c r="AY25" s="1090">
        <f t="shared" si="75"/>
        <v>-2.7328377787494529E-2</v>
      </c>
      <c r="AZ25" s="68">
        <f t="shared" si="75"/>
        <v>-0.11398963730569955</v>
      </c>
      <c r="BA25" s="68">
        <f t="shared" si="75"/>
        <v>-3.9282664389410749E-2</v>
      </c>
      <c r="BB25" s="68">
        <f t="shared" si="75"/>
        <v>0.13141314131413151</v>
      </c>
      <c r="BC25" s="206">
        <f t="shared" si="75"/>
        <v>0.22993062438057477</v>
      </c>
      <c r="BD25" s="1090">
        <f t="shared" si="75"/>
        <v>4.4953922229714616E-2</v>
      </c>
      <c r="BE25" s="68">
        <f t="shared" si="76"/>
        <v>0.23001949317738801</v>
      </c>
      <c r="BF25" s="68">
        <f t="shared" si="76"/>
        <v>0.12177777777777776</v>
      </c>
      <c r="BG25" s="68">
        <f t="shared" si="76"/>
        <v>-3.1821797931583129E-2</v>
      </c>
      <c r="BH25" s="206">
        <f t="shared" si="76"/>
        <v>-6.2852538275584235E-2</v>
      </c>
      <c r="BI25" s="1090">
        <f t="shared" si="76"/>
        <v>5.4850505485050771E-2</v>
      </c>
      <c r="BJ25" s="68">
        <f t="shared" si="76"/>
        <v>-7.7654516640253579E-2</v>
      </c>
      <c r="BK25" s="68">
        <f t="shared" si="76"/>
        <v>-6.6561014263074481E-2</v>
      </c>
      <c r="BL25" s="68">
        <f t="shared" si="76"/>
        <v>-0.10188989317995079</v>
      </c>
      <c r="BM25" s="206">
        <f t="shared" si="76"/>
        <v>-7.9965606190885663E-2</v>
      </c>
      <c r="BN25" s="1090">
        <f t="shared" si="76"/>
        <v>-8.1362153344208821E-2</v>
      </c>
      <c r="BO25" s="68">
        <f t="shared" si="77"/>
        <v>-9.5360824742268147E-2</v>
      </c>
      <c r="BP25" s="68">
        <f t="shared" si="77"/>
        <v>-5.1782682512733436E-2</v>
      </c>
      <c r="BQ25" s="68">
        <f t="shared" si="77"/>
        <v>3.20219579139982E-2</v>
      </c>
      <c r="BR25" s="206">
        <f t="shared" si="77"/>
        <v>7.4766355140185592E-3</v>
      </c>
      <c r="BS25" s="1090">
        <f t="shared" si="77"/>
        <v>-2.8634850166481596E-2</v>
      </c>
      <c r="BT25" s="68">
        <f t="shared" si="77"/>
        <v>1.2345679012345734E-2</v>
      </c>
      <c r="BU25" s="68">
        <f t="shared" si="77"/>
        <v>1.3428827215756556E-2</v>
      </c>
      <c r="BV25" s="68">
        <f t="shared" si="77"/>
        <v>8.8652482269502286E-4</v>
      </c>
      <c r="BW25" s="206">
        <f t="shared" si="77"/>
        <v>2.5046382189239269E-2</v>
      </c>
      <c r="BX25" s="1090">
        <f t="shared" si="77"/>
        <v>1.2797074954296273E-2</v>
      </c>
      <c r="BY25" s="68">
        <f t="shared" si="78"/>
        <v>3.2833020637898613E-2</v>
      </c>
      <c r="BZ25" s="68">
        <f t="shared" si="78"/>
        <v>3.0035335689045928E-2</v>
      </c>
      <c r="CA25" s="68">
        <f t="shared" si="78"/>
        <v>4.5172719220549107E-2</v>
      </c>
      <c r="CB25" s="206">
        <f t="shared" si="78"/>
        <v>5.8823529411764719E-2</v>
      </c>
      <c r="CC25" s="1090">
        <f t="shared" si="78"/>
        <v>4.1741877256317617E-2</v>
      </c>
      <c r="CD25" s="68">
        <f t="shared" si="78"/>
        <v>5.903723887375123E-2</v>
      </c>
      <c r="CE25" s="68">
        <f t="shared" si="78"/>
        <v>2.9159519725557415E-2</v>
      </c>
      <c r="CF25" s="68">
        <f t="shared" si="78"/>
        <v>0</v>
      </c>
      <c r="CG25" s="206">
        <f t="shared" si="78"/>
        <v>5.12820512820511E-3</v>
      </c>
      <c r="CH25" s="1090">
        <f t="shared" si="78"/>
        <v>2.2742040285899989E-2</v>
      </c>
      <c r="CI25" s="68">
        <f t="shared" si="79"/>
        <v>1.543739279588352E-2</v>
      </c>
      <c r="CJ25" s="68">
        <f t="shared" si="79"/>
        <v>-1.0000000000000009E-2</v>
      </c>
      <c r="CK25" s="68">
        <f t="shared" si="79"/>
        <v>-3.3898305084746339E-3</v>
      </c>
      <c r="CL25" s="206">
        <f t="shared" si="79"/>
        <v>-4.84693877551019E-2</v>
      </c>
      <c r="CM25" s="1090">
        <f t="shared" si="79"/>
        <v>-1.1647606946209477E-2</v>
      </c>
      <c r="CN25" s="68">
        <f t="shared" si="79"/>
        <v>-7.6858108108108225E-2</v>
      </c>
      <c r="CO25" s="68">
        <f t="shared" si="79"/>
        <v>-8.2491582491582505E-2</v>
      </c>
      <c r="CP25" s="68">
        <f t="shared" si="79"/>
        <v>-7.7380952380952328E-2</v>
      </c>
      <c r="CQ25" s="206">
        <f t="shared" si="79"/>
        <v>-9.4727435210009037E-2</v>
      </c>
      <c r="CR25" s="1090">
        <f t="shared" si="79"/>
        <v>-8.270837797300179E-2</v>
      </c>
      <c r="CS25" s="68">
        <f t="shared" si="80"/>
        <v>-8.3257090576395187E-2</v>
      </c>
      <c r="CT25" s="68">
        <f t="shared" si="80"/>
        <v>-6.0550458715596278E-2</v>
      </c>
      <c r="CU25" s="68">
        <f t="shared" si="80"/>
        <v>-6.4516129032258118E-2</v>
      </c>
      <c r="CV25" s="206">
        <f t="shared" si="80"/>
        <v>-0.11154985192497524</v>
      </c>
      <c r="CW25" s="1091">
        <f t="shared" si="80"/>
        <v>-7.9420696099042232E-2</v>
      </c>
      <c r="CX25" s="68">
        <f t="shared" si="80"/>
        <v>-0.25548902195608791</v>
      </c>
      <c r="CY25" s="68">
        <f t="shared" si="80"/>
        <v>-0.27734375</v>
      </c>
      <c r="CZ25" s="68">
        <f t="shared" si="80"/>
        <v>-0.21871921182266008</v>
      </c>
      <c r="DA25" s="1092">
        <f t="shared" si="80"/>
        <v>-0.12777777777777777</v>
      </c>
      <c r="DB25" s="1093">
        <f t="shared" si="80"/>
        <v>-0.22253235219487455</v>
      </c>
      <c r="DC25" s="68">
        <f t="shared" si="81"/>
        <v>5.0938337801608835E-2</v>
      </c>
      <c r="DD25" s="68">
        <f t="shared" si="81"/>
        <v>0.15270270270270259</v>
      </c>
      <c r="DE25" s="68">
        <f t="shared" si="81"/>
        <v>7.0617906683480669E-2</v>
      </c>
      <c r="DF25" s="1092">
        <f t="shared" si="81"/>
        <v>7.6433121019108263E-3</v>
      </c>
      <c r="DG25" s="1092">
        <f t="shared" si="81"/>
        <v>6.9516971279373507E-2</v>
      </c>
      <c r="DH25" s="68">
        <f t="shared" si="81"/>
        <v>1.913265306122458E-2</v>
      </c>
      <c r="DI25" s="68">
        <f t="shared" si="81"/>
        <v>-7.5029308323563804E-2</v>
      </c>
      <c r="DJ25" s="68">
        <f t="shared" si="81"/>
        <v>-4.7114252061248529E-2</v>
      </c>
      <c r="DK25" s="1092">
        <f t="shared" si="81"/>
        <v>-5.6890012642225041E-2</v>
      </c>
      <c r="DL25" s="67">
        <f t="shared" si="81"/>
        <v>-4.0891058895331067E-2</v>
      </c>
      <c r="DM25" s="68">
        <f t="shared" si="82"/>
        <v>-4.0050062578222856E-2</v>
      </c>
      <c r="DN25" s="68">
        <f t="shared" si="82"/>
        <v>-2.5348542458808576E-2</v>
      </c>
      <c r="DO25" s="68">
        <f t="shared" si="82"/>
        <v>-5.1915945611866521E-2</v>
      </c>
      <c r="DP25" s="1092">
        <f t="shared" si="82"/>
        <v>1.2064343163538993E-2</v>
      </c>
      <c r="DQ25" s="67">
        <f t="shared" si="82"/>
        <v>-2.7044225262488064E-2</v>
      </c>
      <c r="DR25" s="68">
        <f t="shared" si="82"/>
        <v>-1.3037809647979959E-3</v>
      </c>
      <c r="DS25" s="68">
        <f t="shared" si="82"/>
        <v>-6.5019505851755532E-3</v>
      </c>
      <c r="DT25" s="68">
        <f t="shared" si="82"/>
        <v>3.5202086049543668E-2</v>
      </c>
      <c r="DU25" s="1092">
        <f t="shared" si="82"/>
        <v>1.9867549668874274E-2</v>
      </c>
      <c r="DV25" s="1091">
        <f t="shared" si="82"/>
        <v>1.1772400261608862E-2</v>
      </c>
      <c r="DW25" s="68">
        <f t="shared" si="83"/>
        <v>-5.4830287206266148E-2</v>
      </c>
      <c r="DX25" s="68">
        <f t="shared" si="83"/>
        <v>-5.2356020942408987E-3</v>
      </c>
      <c r="DY25" s="68">
        <f t="shared" si="83"/>
        <v>0</v>
      </c>
      <c r="DZ25" s="1092">
        <f t="shared" si="83"/>
        <v>-2.0779220779220675E-2</v>
      </c>
      <c r="EA25" s="1091">
        <f t="shared" si="83"/>
        <v>-2.0038784744666915E-2</v>
      </c>
      <c r="EB25" s="68">
        <f t="shared" si="83"/>
        <v>1.3812154696131174E-3</v>
      </c>
      <c r="EC25" s="68">
        <f t="shared" si="83"/>
        <v>1.5789473684210575E-2</v>
      </c>
      <c r="ED25" s="68">
        <f t="shared" si="83"/>
        <v>-2.0151133501259522E-2</v>
      </c>
      <c r="EE25" s="1092">
        <f t="shared" si="83"/>
        <v>-3.9787798408488007E-2</v>
      </c>
      <c r="EF25" s="1091">
        <f t="shared" si="83"/>
        <v>-1.0883905013192807E-2</v>
      </c>
      <c r="EG25" s="68">
        <f t="shared" si="84"/>
        <v>6.8965517241379448E-3</v>
      </c>
      <c r="EH25" s="68">
        <f t="shared" si="84"/>
        <v>-7.253886010362709E-2</v>
      </c>
      <c r="EI25" s="68">
        <f t="shared" si="84"/>
        <v>-7.8406169665809711E-2</v>
      </c>
      <c r="EJ25" s="1092">
        <f t="shared" si="84"/>
        <v>-6.4917127071823288E-2</v>
      </c>
      <c r="EK25" s="1091">
        <f t="shared" si="84"/>
        <v>-5.3017672557519102E-2</v>
      </c>
      <c r="EL25" s="68">
        <f t="shared" si="84"/>
        <v>-3.287671232876721E-2</v>
      </c>
      <c r="EM25" s="68">
        <f t="shared" si="84"/>
        <v>-1.8156424581005526E-2</v>
      </c>
      <c r="EN25" s="68">
        <f t="shared" si="84"/>
        <v>2.3709902370990354E-2</v>
      </c>
      <c r="EO25" s="1092">
        <f t="shared" si="60"/>
        <v>3.8404726735598249E-2</v>
      </c>
      <c r="EP25" s="1091">
        <f t="shared" si="61"/>
        <v>2.1126760563379143E-3</v>
      </c>
      <c r="EQ25" s="68">
        <f t="shared" si="61"/>
        <v>-1.4164305949008527E-2</v>
      </c>
      <c r="ER25" s="1094">
        <v>0</v>
      </c>
      <c r="ES25" s="1094">
        <v>-0.01</v>
      </c>
      <c r="ET25" s="1094">
        <v>-1.4999999999999999E-2</v>
      </c>
      <c r="EU25" s="1916">
        <f t="shared" si="63"/>
        <v>-9.7979620520027844E-3</v>
      </c>
      <c r="EV25" s="1095"/>
      <c r="EW25" s="1095"/>
      <c r="EX25" s="1095"/>
      <c r="EY25" s="1095"/>
      <c r="EZ25" s="834">
        <v>5.0000000000000001E-3</v>
      </c>
      <c r="FA25" s="1095"/>
      <c r="FB25" s="1095"/>
      <c r="FC25" s="1095"/>
      <c r="FD25" s="1095"/>
      <c r="FE25" s="834">
        <v>5.0000000000000001E-3</v>
      </c>
      <c r="FF25" s="743"/>
      <c r="FG25" s="628"/>
      <c r="FH25" s="1024"/>
      <c r="FI25" s="1024"/>
      <c r="FJ25" s="1024"/>
      <c r="FK25" s="1024"/>
      <c r="FL25" s="1796"/>
      <c r="FM25" s="68">
        <f t="shared" si="69"/>
        <v>-1.4164305949008527E-2</v>
      </c>
      <c r="FN25" s="68">
        <f t="shared" si="70"/>
        <v>-3.287671232876721E-2</v>
      </c>
      <c r="FO25" s="1094">
        <v>0</v>
      </c>
      <c r="FP25" s="11">
        <f t="shared" si="85"/>
        <v>187.12406379758684</v>
      </c>
      <c r="FQ25" s="11">
        <f t="shared" si="85"/>
        <v>-141.64305949008528</v>
      </c>
      <c r="FR25" s="1429"/>
      <c r="FS25" s="567"/>
      <c r="FT25" s="567"/>
      <c r="FU25" s="567"/>
      <c r="FV25" s="567"/>
      <c r="FW25" s="567"/>
      <c r="FX25" s="567"/>
      <c r="FY25" s="567"/>
      <c r="FZ25" s="567"/>
      <c r="GA25" s="628"/>
      <c r="GB25"/>
      <c r="GC25"/>
      <c r="GD25"/>
      <c r="GE25"/>
      <c r="GF25"/>
      <c r="GG25"/>
      <c r="GH25" s="946"/>
      <c r="GI25" s="946"/>
      <c r="GJ25" s="946"/>
      <c r="GK25" s="946"/>
      <c r="GL25" s="946"/>
      <c r="GM25" s="946"/>
      <c r="GN25" s="946"/>
      <c r="GO25" s="946"/>
      <c r="GP25" s="946"/>
      <c r="GQ25" s="946"/>
      <c r="GR25" s="946"/>
      <c r="GS25" s="946"/>
      <c r="GT25" s="946"/>
      <c r="GU25" s="946"/>
      <c r="GV25" s="946"/>
      <c r="GW25" s="946"/>
      <c r="GX25" s="946"/>
      <c r="GY25" s="946"/>
      <c r="GZ25" s="946"/>
      <c r="HA25" s="946"/>
      <c r="HB25" s="946"/>
      <c r="HC25" s="946"/>
      <c r="HD25" s="946"/>
      <c r="HE25" s="946"/>
      <c r="HF25" s="946"/>
      <c r="HG25" s="946"/>
      <c r="HH25" s="946"/>
      <c r="HI25" s="946"/>
      <c r="HJ25" s="946"/>
      <c r="HK25" s="946"/>
      <c r="HL25" s="946"/>
      <c r="HM25" s="946"/>
      <c r="HN25" s="946"/>
      <c r="HO25" s="946"/>
      <c r="HP25" s="946"/>
      <c r="HQ25" s="946"/>
      <c r="HR25" s="946"/>
      <c r="HS25" s="946"/>
      <c r="HT25" s="946"/>
      <c r="HU25" s="946"/>
      <c r="HV25" s="946"/>
      <c r="HW25" s="946"/>
      <c r="HX25" s="946"/>
      <c r="HY25" s="946"/>
      <c r="HZ25" s="946"/>
      <c r="IA25" s="946"/>
      <c r="IB25" s="946"/>
      <c r="IC25" s="946"/>
      <c r="ID25" s="946"/>
      <c r="IE25" s="946"/>
      <c r="IF25" s="946"/>
      <c r="IG25" s="946"/>
      <c r="IH25" s="946"/>
      <c r="II25" s="946"/>
      <c r="IJ25" s="946"/>
      <c r="IK25" s="946"/>
      <c r="IL25" s="946"/>
      <c r="IM25" s="946"/>
      <c r="IN25" s="946"/>
      <c r="IO25" s="946"/>
      <c r="IP25" s="946"/>
      <c r="IQ25" s="946"/>
      <c r="IR25" s="946"/>
      <c r="IS25" s="946"/>
      <c r="IT25" s="946"/>
      <c r="IU25" s="946"/>
      <c r="IV25" s="946"/>
    </row>
    <row r="26" spans="1:256" s="489" customFormat="1" ht="12.75" x14ac:dyDescent="0.2">
      <c r="A26" s="488" t="str">
        <f t="shared" si="71"/>
        <v>Total Carloads YoY % Change</v>
      </c>
      <c r="E26" s="490"/>
      <c r="F26" s="491"/>
      <c r="J26" s="490"/>
      <c r="K26" s="491"/>
      <c r="O26" s="490"/>
      <c r="P26" s="491"/>
      <c r="Q26" s="489">
        <f t="shared" si="72"/>
        <v>1.8199032190195918E-2</v>
      </c>
      <c r="R26" s="489">
        <f t="shared" si="72"/>
        <v>3.1411405080636445E-2</v>
      </c>
      <c r="S26" s="489">
        <f t="shared" si="72"/>
        <v>1.1285075233834929E-2</v>
      </c>
      <c r="T26" s="490">
        <f t="shared" si="72"/>
        <v>5.5335556481867387E-2</v>
      </c>
      <c r="U26" s="491">
        <f t="shared" si="72"/>
        <v>2.8965517241379413E-2</v>
      </c>
      <c r="V26" s="489">
        <f t="shared" si="72"/>
        <v>4.0293418741603748E-3</v>
      </c>
      <c r="W26" s="489">
        <f t="shared" si="72"/>
        <v>5.1507409299948792E-2</v>
      </c>
      <c r="X26" s="489">
        <f t="shared" si="72"/>
        <v>6.0319694380206457E-4</v>
      </c>
      <c r="Y26" s="490">
        <f t="shared" si="72"/>
        <v>1.8860472005529649E-2</v>
      </c>
      <c r="Z26" s="491">
        <f t="shared" si="72"/>
        <v>1.871617178410645E-2</v>
      </c>
      <c r="AA26" s="489">
        <f t="shared" si="73"/>
        <v>4.3836180284009041E-2</v>
      </c>
      <c r="AB26" s="489">
        <f t="shared" si="73"/>
        <v>6.9977646029740548E-2</v>
      </c>
      <c r="AC26" s="489">
        <f t="shared" si="73"/>
        <v>8.3190997689138957E-2</v>
      </c>
      <c r="AD26" s="490">
        <f t="shared" si="73"/>
        <v>7.9666602054661695E-2</v>
      </c>
      <c r="AE26" s="491">
        <f t="shared" si="73"/>
        <v>6.9417548041114108E-2</v>
      </c>
      <c r="AF26" s="489">
        <f t="shared" si="73"/>
        <v>9.6017350157728609E-2</v>
      </c>
      <c r="AG26" s="489">
        <f t="shared" si="73"/>
        <v>1.9892814969570738E-2</v>
      </c>
      <c r="AH26" s="489">
        <f t="shared" si="73"/>
        <v>2.0870049160560233E-2</v>
      </c>
      <c r="AI26" s="490">
        <f t="shared" si="73"/>
        <v>-5.3859964093350143E-4</v>
      </c>
      <c r="AJ26" s="491">
        <f t="shared" si="73"/>
        <v>3.2780795839717936E-2</v>
      </c>
      <c r="AK26" s="489">
        <f t="shared" si="74"/>
        <v>-6.2960964202194436E-3</v>
      </c>
      <c r="AL26" s="489">
        <f t="shared" si="74"/>
        <v>1.6921980762379496E-2</v>
      </c>
      <c r="AM26" s="489">
        <f t="shared" si="74"/>
        <v>4.1341086679992811E-2</v>
      </c>
      <c r="AN26" s="490">
        <f t="shared" si="74"/>
        <v>4.2033411172983648E-2</v>
      </c>
      <c r="AO26" s="491">
        <f t="shared" si="74"/>
        <v>2.3445578384210686E-2</v>
      </c>
      <c r="AP26" s="489">
        <f t="shared" si="74"/>
        <v>4.5890658942795204E-2</v>
      </c>
      <c r="AQ26" s="489">
        <f t="shared" si="74"/>
        <v>5.2548607461902375E-2</v>
      </c>
      <c r="AR26" s="489">
        <f t="shared" si="74"/>
        <v>4.1357647674723053E-2</v>
      </c>
      <c r="AS26" s="490">
        <f t="shared" si="74"/>
        <v>4.1113601103258013E-2</v>
      </c>
      <c r="AT26" s="491">
        <f t="shared" si="74"/>
        <v>4.5201959190845686E-2</v>
      </c>
      <c r="AU26" s="489">
        <f t="shared" si="75"/>
        <v>4.6473388143660754E-2</v>
      </c>
      <c r="AV26" s="489">
        <f t="shared" si="75"/>
        <v>2.4130470960226358E-2</v>
      </c>
      <c r="AW26" s="489">
        <f t="shared" si="75"/>
        <v>-9.2165898617511122E-3</v>
      </c>
      <c r="AX26" s="490">
        <f t="shared" si="75"/>
        <v>-2.2435632088749213E-2</v>
      </c>
      <c r="AY26" s="491">
        <f t="shared" si="75"/>
        <v>9.3723075629899011E-3</v>
      </c>
      <c r="AZ26" s="489">
        <f t="shared" si="75"/>
        <v>-4.1763149189546822E-2</v>
      </c>
      <c r="BA26" s="489">
        <f t="shared" si="75"/>
        <v>0.1126096847578808</v>
      </c>
      <c r="BB26" s="489">
        <f t="shared" si="75"/>
        <v>0.44921775898520111</v>
      </c>
      <c r="BC26" s="490">
        <f t="shared" si="75"/>
        <v>0.45584349593495932</v>
      </c>
      <c r="BD26" s="491">
        <f t="shared" si="75"/>
        <v>0.24099265088584909</v>
      </c>
      <c r="BE26" s="489">
        <f t="shared" si="76"/>
        <v>0.44774316043842233</v>
      </c>
      <c r="BF26" s="489">
        <f t="shared" si="76"/>
        <v>0.28216737257192959</v>
      </c>
      <c r="BG26" s="489">
        <f t="shared" si="76"/>
        <v>1.0795355079652014E-2</v>
      </c>
      <c r="BH26" s="490">
        <f t="shared" si="76"/>
        <v>-2.1790978790734439E-2</v>
      </c>
      <c r="BI26" s="491">
        <f t="shared" si="76"/>
        <v>0.14867653325191332</v>
      </c>
      <c r="BJ26" s="489">
        <f t="shared" si="76"/>
        <v>-1.4247391952309951E-2</v>
      </c>
      <c r="BK26" s="489">
        <f t="shared" si="76"/>
        <v>-3.9241371454607599E-2</v>
      </c>
      <c r="BL26" s="489">
        <f t="shared" si="76"/>
        <v>-6.275256898741477E-2</v>
      </c>
      <c r="BM26" s="490">
        <f t="shared" si="76"/>
        <v>-1.2257373929590809E-2</v>
      </c>
      <c r="BN26" s="491">
        <f t="shared" si="76"/>
        <v>-3.243884272173625E-2</v>
      </c>
      <c r="BO26" s="489">
        <f t="shared" si="77"/>
        <v>-2.8543783260764566E-2</v>
      </c>
      <c r="BP26" s="489">
        <f t="shared" si="77"/>
        <v>1.7546979666844376E-2</v>
      </c>
      <c r="BQ26" s="489">
        <f t="shared" si="77"/>
        <v>6.9171542962734867E-2</v>
      </c>
      <c r="BR26" s="490">
        <f t="shared" si="77"/>
        <v>6.0927592493142946E-4</v>
      </c>
      <c r="BS26" s="491">
        <f t="shared" si="77"/>
        <v>1.4447120507991906E-2</v>
      </c>
      <c r="BT26" s="489">
        <f t="shared" si="77"/>
        <v>2.5896414342629459E-2</v>
      </c>
      <c r="BU26" s="489">
        <f t="shared" si="77"/>
        <v>1.1243810078648497E-2</v>
      </c>
      <c r="BV26" s="489">
        <f t="shared" si="77"/>
        <v>-8.0078350040326818E-3</v>
      </c>
      <c r="BW26" s="490">
        <f t="shared" si="77"/>
        <v>5.6257521058965088E-2</v>
      </c>
      <c r="BX26" s="491">
        <f t="shared" si="77"/>
        <v>2.0905560432692649E-2</v>
      </c>
      <c r="BY26" s="489">
        <f t="shared" si="78"/>
        <v>6.614077669902918E-2</v>
      </c>
      <c r="BZ26" s="489">
        <f t="shared" si="78"/>
        <v>8.0308791335407026E-2</v>
      </c>
      <c r="CA26" s="489">
        <f t="shared" si="78"/>
        <v>0.10616179801382208</v>
      </c>
      <c r="CB26" s="490">
        <f t="shared" si="78"/>
        <v>9.7863856451153364E-2</v>
      </c>
      <c r="CC26" s="491">
        <f t="shared" si="78"/>
        <v>8.7885501078528661E-2</v>
      </c>
      <c r="CD26" s="489">
        <f t="shared" si="78"/>
        <v>6.0396129766647766E-2</v>
      </c>
      <c r="CE26" s="489">
        <f t="shared" si="78"/>
        <v>3.876919795221867E-2</v>
      </c>
      <c r="CF26" s="489">
        <f t="shared" si="78"/>
        <v>4.5991494723578219E-2</v>
      </c>
      <c r="CG26" s="490">
        <f t="shared" si="78"/>
        <v>2.9004306542832037E-2</v>
      </c>
      <c r="CH26" s="491">
        <f t="shared" si="78"/>
        <v>4.3181586774202252E-2</v>
      </c>
      <c r="CI26" s="489">
        <f t="shared" si="79"/>
        <v>5.049819764308805E-2</v>
      </c>
      <c r="CJ26" s="489">
        <f t="shared" si="79"/>
        <v>3.9427075311874393E-2</v>
      </c>
      <c r="CK26" s="489">
        <f t="shared" si="79"/>
        <v>-7.0270541585082391E-4</v>
      </c>
      <c r="CL26" s="490">
        <f t="shared" si="79"/>
        <v>-2.77833803953208E-2</v>
      </c>
      <c r="CM26" s="491">
        <f t="shared" si="79"/>
        <v>1.4690010269034381E-2</v>
      </c>
      <c r="CN26" s="489">
        <f t="shared" si="79"/>
        <v>-4.3787042714081292E-2</v>
      </c>
      <c r="CO26" s="489">
        <f t="shared" si="79"/>
        <v>-4.0697387267249363E-2</v>
      </c>
      <c r="CP26" s="489">
        <f t="shared" si="79"/>
        <v>-4.1086945602491376E-2</v>
      </c>
      <c r="CQ26" s="490">
        <f t="shared" si="79"/>
        <v>-3.0081427311861364E-2</v>
      </c>
      <c r="CR26" s="491">
        <f t="shared" si="79"/>
        <v>-3.8970243896265022E-2</v>
      </c>
      <c r="CS26" s="489">
        <f t="shared" si="80"/>
        <v>-2.3243387656959658E-2</v>
      </c>
      <c r="CT26" s="489">
        <f t="shared" si="80"/>
        <v>-2.1263450548319129E-2</v>
      </c>
      <c r="CU26" s="489">
        <f t="shared" si="80"/>
        <v>-7.2285370069664623E-3</v>
      </c>
      <c r="CV26" s="490">
        <f t="shared" si="80"/>
        <v>-7.7482487567509639E-2</v>
      </c>
      <c r="CW26" s="492">
        <f t="shared" si="80"/>
        <v>-3.2069010931120689E-2</v>
      </c>
      <c r="CX26" s="489">
        <f t="shared" si="80"/>
        <v>-0.20371991247264776</v>
      </c>
      <c r="CY26" s="489">
        <f t="shared" si="80"/>
        <v>-0.257075223566544</v>
      </c>
      <c r="CZ26" s="489">
        <f t="shared" si="80"/>
        <v>-0.19685537909565787</v>
      </c>
      <c r="DA26" s="493">
        <f t="shared" si="80"/>
        <v>-9.1583584511940597E-2</v>
      </c>
      <c r="DB26" s="494">
        <f t="shared" si="80"/>
        <v>-0.18942785223484593</v>
      </c>
      <c r="DC26" s="489">
        <f t="shared" si="81"/>
        <v>8.7455344874965757E-2</v>
      </c>
      <c r="DD26" s="489">
        <f t="shared" si="81"/>
        <v>0.21772994406287594</v>
      </c>
      <c r="DE26" s="489">
        <f t="shared" si="81"/>
        <v>0.15135987386677185</v>
      </c>
      <c r="DF26" s="493">
        <f t="shared" si="81"/>
        <v>9.0352220520673932E-2</v>
      </c>
      <c r="DG26" s="493">
        <f t="shared" si="81"/>
        <v>0.13543048025112059</v>
      </c>
      <c r="DH26" s="489">
        <f t="shared" si="81"/>
        <v>8.1053762082254011E-2</v>
      </c>
      <c r="DI26" s="489">
        <f t="shared" si="81"/>
        <v>3.901616467031066E-2</v>
      </c>
      <c r="DJ26" s="489">
        <f t="shared" si="81"/>
        <v>3.2694282779869965E-2</v>
      </c>
      <c r="DK26" s="493">
        <f t="shared" si="81"/>
        <v>5.7291666666666519E-2</v>
      </c>
      <c r="DL26" s="491">
        <f t="shared" si="81"/>
        <v>5.1832468473263393E-2</v>
      </c>
      <c r="DM26" s="489">
        <f t="shared" si="82"/>
        <v>1.1453950444132666E-2</v>
      </c>
      <c r="DN26" s="489">
        <f t="shared" si="82"/>
        <v>6.9393922435501132E-3</v>
      </c>
      <c r="DO26" s="489">
        <f t="shared" si="82"/>
        <v>-1.3757666169401661E-2</v>
      </c>
      <c r="DP26" s="493">
        <f t="shared" si="82"/>
        <v>-8.0810317152819611E-3</v>
      </c>
      <c r="DQ26" s="491">
        <f t="shared" si="82"/>
        <v>-1.0541554809057052E-3</v>
      </c>
      <c r="DR26" s="489">
        <f t="shared" si="82"/>
        <v>3.0506124335567542E-2</v>
      </c>
      <c r="DS26" s="489">
        <f t="shared" si="82"/>
        <v>2.1619518701717411E-2</v>
      </c>
      <c r="DT26" s="489">
        <f t="shared" si="82"/>
        <v>4.0392156862744999E-2</v>
      </c>
      <c r="DU26" s="493">
        <f t="shared" si="82"/>
        <v>3.9004519837062768E-2</v>
      </c>
      <c r="DV26" s="492">
        <f t="shared" si="82"/>
        <v>3.2882147681224438E-2</v>
      </c>
      <c r="DW26" s="489">
        <f t="shared" si="83"/>
        <v>-1.1773940345369049E-2</v>
      </c>
      <c r="DX26" s="489">
        <f t="shared" si="83"/>
        <v>7.8827113480578914E-2</v>
      </c>
      <c r="DY26" s="489">
        <f t="shared" si="83"/>
        <v>7.7486403532389225E-2</v>
      </c>
      <c r="DZ26" s="493">
        <f t="shared" si="83"/>
        <v>3.555316863587521E-2</v>
      </c>
      <c r="EA26" s="492">
        <f t="shared" si="83"/>
        <v>4.5498508357285861E-2</v>
      </c>
      <c r="EB26" s="489">
        <f t="shared" si="83"/>
        <v>2.2410076024055314E-2</v>
      </c>
      <c r="EC26" s="489">
        <f t="shared" si="83"/>
        <v>-2.3196006252836354E-2</v>
      </c>
      <c r="ED26" s="489">
        <f t="shared" si="83"/>
        <v>-3.2333833083458274E-2</v>
      </c>
      <c r="EE26" s="493">
        <f t="shared" si="83"/>
        <v>-6.4723576392490267E-2</v>
      </c>
      <c r="EF26" s="492">
        <f t="shared" si="83"/>
        <v>-2.5537792023348826E-2</v>
      </c>
      <c r="EG26" s="489">
        <f t="shared" si="84"/>
        <v>-2.4970867321458257E-2</v>
      </c>
      <c r="EH26" s="489">
        <f t="shared" si="84"/>
        <v>-7.0517784316762255E-2</v>
      </c>
      <c r="EI26" s="489">
        <f t="shared" si="84"/>
        <v>-3.8268863295976896E-2</v>
      </c>
      <c r="EJ26" s="493">
        <f t="shared" si="84"/>
        <v>2.02395475213486E-2</v>
      </c>
      <c r="EK26" s="492">
        <f t="shared" si="84"/>
        <v>-2.9309122999371384E-2</v>
      </c>
      <c r="EL26" s="489">
        <f t="shared" si="84"/>
        <v>5.0936201695976235E-2</v>
      </c>
      <c r="EM26" s="489">
        <f t="shared" si="84"/>
        <v>6.1260760899749966E-2</v>
      </c>
      <c r="EN26" s="489">
        <f t="shared" si="84"/>
        <v>3.5871549779830314E-2</v>
      </c>
      <c r="EO26" s="493">
        <f t="shared" si="60"/>
        <v>4.6306864503505629E-2</v>
      </c>
      <c r="EP26" s="492">
        <f t="shared" si="61"/>
        <v>4.8459302726007847E-2</v>
      </c>
      <c r="EQ26" s="489">
        <f t="shared" si="61"/>
        <v>3.1300768980829785E-2</v>
      </c>
      <c r="ER26" s="1915">
        <f>ER13/EM13-1</f>
        <v>4.001674691228807E-2</v>
      </c>
      <c r="ES26" s="1915">
        <f>ES13/EN13-1</f>
        <v>4.2925868325557337E-2</v>
      </c>
      <c r="ET26" s="1915">
        <f>ET13/EO13-1</f>
        <v>2.6948989662874734E-2</v>
      </c>
      <c r="EU26" s="492">
        <f t="shared" si="63"/>
        <v>3.5334362477829728E-2</v>
      </c>
      <c r="EZ26" s="745">
        <f>EZ13/EU13-1</f>
        <v>1.9983888922551651E-2</v>
      </c>
      <c r="FE26" s="745">
        <f>FE13/EZ13-1</f>
        <v>2.369759935176341E-2</v>
      </c>
      <c r="FF26" s="745"/>
      <c r="FG26" s="622"/>
      <c r="FH26" s="1020"/>
      <c r="FI26" s="1020"/>
      <c r="FJ26" s="1020"/>
      <c r="FK26" s="1020"/>
      <c r="FL26" s="1798"/>
      <c r="FM26" s="489">
        <f t="shared" si="69"/>
        <v>3.1300768980829785E-2</v>
      </c>
      <c r="FN26" s="489">
        <f t="shared" si="70"/>
        <v>5.0936201695976235E-2</v>
      </c>
      <c r="FO26" s="1915">
        <v>2.762644860825314E-2</v>
      </c>
      <c r="FP26" s="1890">
        <f t="shared" si="85"/>
        <v>-196.3543271514645</v>
      </c>
      <c r="FQ26" s="1890">
        <f t="shared" si="85"/>
        <v>36.743203725766449</v>
      </c>
      <c r="FR26" s="571" t="s">
        <v>847</v>
      </c>
      <c r="FS26" s="120"/>
      <c r="FT26" s="120"/>
      <c r="FU26" s="120"/>
      <c r="FV26" s="120"/>
      <c r="FW26" s="120"/>
      <c r="FX26" s="120"/>
      <c r="FY26" s="120"/>
      <c r="FZ26" s="120"/>
      <c r="GA26" s="622"/>
      <c r="GB26"/>
      <c r="GC26"/>
      <c r="GD26"/>
      <c r="GE26"/>
      <c r="GF26"/>
      <c r="GG26"/>
      <c r="GH26" s="1007"/>
      <c r="GI26" s="1007"/>
      <c r="GJ26" s="1007"/>
      <c r="GK26" s="1007"/>
      <c r="GL26" s="1007"/>
      <c r="GM26" s="1007"/>
      <c r="GN26" s="1007"/>
      <c r="GO26" s="1007"/>
      <c r="GP26" s="1007"/>
      <c r="GQ26" s="1007"/>
      <c r="GR26" s="1007"/>
      <c r="GS26" s="1007"/>
      <c r="GT26" s="1007"/>
      <c r="GU26" s="1007"/>
      <c r="GV26" s="1007"/>
      <c r="GW26" s="1007"/>
      <c r="GX26" s="1007"/>
      <c r="GY26" s="1007"/>
      <c r="GZ26" s="1007"/>
      <c r="HA26" s="1007"/>
      <c r="HB26" s="1007"/>
      <c r="HC26" s="1007"/>
      <c r="HD26" s="1007"/>
      <c r="HE26" s="1007"/>
      <c r="HF26" s="1007"/>
      <c r="HG26" s="1007"/>
      <c r="HH26" s="1007"/>
      <c r="HI26" s="1007"/>
      <c r="HJ26" s="1007"/>
      <c r="HK26" s="1007"/>
      <c r="HL26" s="1007"/>
      <c r="HM26" s="1007"/>
      <c r="HN26" s="1007"/>
      <c r="HO26" s="1007"/>
      <c r="HP26" s="1007"/>
      <c r="HQ26" s="1007"/>
      <c r="HR26" s="1007"/>
      <c r="HS26" s="1007"/>
      <c r="HT26" s="1007"/>
      <c r="HU26" s="1007"/>
      <c r="HV26" s="1007"/>
      <c r="HW26" s="1007"/>
      <c r="HX26" s="1007"/>
      <c r="HY26" s="1007"/>
      <c r="HZ26" s="1007"/>
      <c r="IA26" s="1007"/>
      <c r="IB26" s="1007"/>
      <c r="IC26" s="1007"/>
      <c r="ID26" s="1007"/>
      <c r="IE26" s="1007"/>
      <c r="IF26" s="1007"/>
      <c r="IG26" s="1007"/>
      <c r="IH26" s="1007"/>
      <c r="II26" s="1007"/>
      <c r="IJ26" s="1007"/>
      <c r="IK26" s="1007"/>
      <c r="IL26" s="1007"/>
      <c r="IM26" s="1007"/>
      <c r="IN26" s="1007"/>
      <c r="IO26" s="1007"/>
      <c r="IP26" s="1007"/>
      <c r="IQ26" s="1007"/>
      <c r="IR26" s="1007"/>
      <c r="IS26" s="1007"/>
      <c r="IT26" s="1007"/>
      <c r="IU26" s="1007"/>
      <c r="IV26" s="1007"/>
    </row>
    <row r="27" spans="1:256" s="496" customFormat="1" ht="12.75" x14ac:dyDescent="0.2">
      <c r="A27" s="495" t="str">
        <f>A15&amp;" YoY % Change"</f>
        <v>Total Carloads ex-Intermodal YoY % Change</v>
      </c>
      <c r="E27" s="497"/>
      <c r="F27" s="498"/>
      <c r="J27" s="497"/>
      <c r="K27" s="498"/>
      <c r="O27" s="497"/>
      <c r="P27" s="498"/>
      <c r="Q27" s="496">
        <f t="shared" ref="Q27:AV27" si="86">Q15/L15-1</f>
        <v>2.2815729432292819E-3</v>
      </c>
      <c r="R27" s="496">
        <f t="shared" si="86"/>
        <v>2.6661253214237179E-2</v>
      </c>
      <c r="S27" s="496">
        <f t="shared" si="86"/>
        <v>1.8404101485474111E-3</v>
      </c>
      <c r="T27" s="497">
        <f t="shared" si="86"/>
        <v>4.7755102040816233E-2</v>
      </c>
      <c r="U27" s="498">
        <f t="shared" si="86"/>
        <v>1.9431486391247699E-2</v>
      </c>
      <c r="V27" s="496">
        <f t="shared" si="86"/>
        <v>-1.5131226566684641E-2</v>
      </c>
      <c r="W27" s="496">
        <f t="shared" si="86"/>
        <v>2.86053255997889E-2</v>
      </c>
      <c r="X27" s="496">
        <f t="shared" si="86"/>
        <v>-2.2962865765647544E-2</v>
      </c>
      <c r="Y27" s="497">
        <f t="shared" si="86"/>
        <v>3.3761849110502951E-3</v>
      </c>
      <c r="Z27" s="498">
        <f t="shared" si="86"/>
        <v>-1.4814327100342028E-3</v>
      </c>
      <c r="AA27" s="496">
        <f t="shared" si="86"/>
        <v>4.0516655336505725E-2</v>
      </c>
      <c r="AB27" s="496">
        <f t="shared" si="86"/>
        <v>5.3056516724336866E-2</v>
      </c>
      <c r="AC27" s="496">
        <f t="shared" si="86"/>
        <v>6.3121138866505611E-2</v>
      </c>
      <c r="AD27" s="497">
        <f t="shared" si="86"/>
        <v>3.7271903714248822E-2</v>
      </c>
      <c r="AE27" s="498">
        <f t="shared" si="86"/>
        <v>4.8465266558965769E-2</v>
      </c>
      <c r="AF27" s="496">
        <f t="shared" si="86"/>
        <v>5.1744413955311597E-2</v>
      </c>
      <c r="AG27" s="496">
        <f t="shared" si="86"/>
        <v>-1.9715224534501141E-2</v>
      </c>
      <c r="AH27" s="496">
        <f t="shared" si="86"/>
        <v>-6.1899949469428339E-3</v>
      </c>
      <c r="AI27" s="497">
        <f t="shared" si="86"/>
        <v>-1.5720524017467152E-2</v>
      </c>
      <c r="AJ27" s="498">
        <f t="shared" si="86"/>
        <v>1.8552875695736493E-3</v>
      </c>
      <c r="AK27" s="496">
        <f t="shared" si="86"/>
        <v>-2.3978133929680845E-2</v>
      </c>
      <c r="AL27" s="496">
        <f t="shared" si="86"/>
        <v>1.6263190564866248E-2</v>
      </c>
      <c r="AM27" s="496">
        <f t="shared" si="86"/>
        <v>3.2159654251938452E-2</v>
      </c>
      <c r="AN27" s="497">
        <f t="shared" si="86"/>
        <v>2.129547471162363E-2</v>
      </c>
      <c r="AO27" s="498">
        <f t="shared" si="86"/>
        <v>1.126804770872547E-2</v>
      </c>
      <c r="AP27" s="496">
        <f t="shared" si="86"/>
        <v>3.525967413441955E-2</v>
      </c>
      <c r="AQ27" s="496">
        <f t="shared" si="86"/>
        <v>1.2460298069875808E-2</v>
      </c>
      <c r="AR27" s="496">
        <f t="shared" si="86"/>
        <v>2.0935960591135228E-3</v>
      </c>
      <c r="AS27" s="497">
        <f t="shared" si="86"/>
        <v>3.1773613007322954E-2</v>
      </c>
      <c r="AT27" s="498">
        <f t="shared" si="86"/>
        <v>2.0236506409262001E-2</v>
      </c>
      <c r="AU27" s="496">
        <f t="shared" si="86"/>
        <v>3.5903110783228831E-2</v>
      </c>
      <c r="AV27" s="496">
        <f t="shared" si="86"/>
        <v>3.2335907335907299E-2</v>
      </c>
      <c r="AW27" s="496">
        <f t="shared" ref="AW27:CB27" si="87">AW15/AR15-1</f>
        <v>2.3595919872188675E-2</v>
      </c>
      <c r="AX27" s="497">
        <f t="shared" si="87"/>
        <v>-2.2855768074101501E-3</v>
      </c>
      <c r="AY27" s="498">
        <f t="shared" si="87"/>
        <v>2.2299291168507152E-2</v>
      </c>
      <c r="AZ27" s="496">
        <f t="shared" si="87"/>
        <v>-3.548961424332342E-2</v>
      </c>
      <c r="BA27" s="496">
        <f t="shared" si="87"/>
        <v>0.10355306217858784</v>
      </c>
      <c r="BB27" s="496">
        <f t="shared" si="87"/>
        <v>0.3790370992916321</v>
      </c>
      <c r="BC27" s="497">
        <f t="shared" si="87"/>
        <v>0.3980708946226188</v>
      </c>
      <c r="BD27" s="498">
        <f t="shared" si="87"/>
        <v>0.2096655160099985</v>
      </c>
      <c r="BE27" s="496">
        <f t="shared" si="87"/>
        <v>0.43920748215604233</v>
      </c>
      <c r="BF27" s="496">
        <f t="shared" si="87"/>
        <v>0.27218809574242808</v>
      </c>
      <c r="BG27" s="496">
        <f t="shared" si="87"/>
        <v>-5.9202507400318849E-3</v>
      </c>
      <c r="BH27" s="497">
        <f t="shared" si="87"/>
        <v>-5.7832281210114189E-2</v>
      </c>
      <c r="BI27" s="498">
        <f t="shared" si="87"/>
        <v>0.13285247579311954</v>
      </c>
      <c r="BJ27" s="496">
        <f t="shared" si="87"/>
        <v>-5.0192389910217905E-2</v>
      </c>
      <c r="BK27" s="496">
        <f t="shared" si="87"/>
        <v>-4.36230436230437E-2</v>
      </c>
      <c r="BL27" s="496">
        <f t="shared" si="87"/>
        <v>-6.6211245401996632E-2</v>
      </c>
      <c r="BM27" s="497">
        <f t="shared" si="87"/>
        <v>-6.2352402745994295E-3</v>
      </c>
      <c r="BN27" s="498">
        <f t="shared" si="87"/>
        <v>-4.2022149837133482E-2</v>
      </c>
      <c r="BO27" s="496">
        <f t="shared" si="87"/>
        <v>-4.7893410154843608E-2</v>
      </c>
      <c r="BP27" s="496">
        <f t="shared" si="87"/>
        <v>-2.7768105849582225E-2</v>
      </c>
      <c r="BQ27" s="496">
        <f t="shared" si="87"/>
        <v>4.1549427874695066E-2</v>
      </c>
      <c r="BR27" s="497">
        <f t="shared" si="87"/>
        <v>-3.7653543191047412E-3</v>
      </c>
      <c r="BS27" s="498">
        <f t="shared" si="87"/>
        <v>-1.0175251525109008E-2</v>
      </c>
      <c r="BT27" s="496">
        <f t="shared" si="87"/>
        <v>1.1535552193645993E-2</v>
      </c>
      <c r="BU27" s="496">
        <f t="shared" si="87"/>
        <v>9.8486883337809417E-3</v>
      </c>
      <c r="BV27" s="496">
        <f t="shared" si="87"/>
        <v>-1.4227825303917085E-2</v>
      </c>
      <c r="BW27" s="497">
        <f t="shared" si="87"/>
        <v>1.9045857988165826E-2</v>
      </c>
      <c r="BX27" s="498">
        <f t="shared" si="87"/>
        <v>6.4123116383452139E-3</v>
      </c>
      <c r="BY27" s="496">
        <f t="shared" si="87"/>
        <v>3.6548887642550154E-2</v>
      </c>
      <c r="BZ27" s="496">
        <f t="shared" si="87"/>
        <v>3.4754854153736803E-2</v>
      </c>
      <c r="CA27" s="496">
        <f t="shared" si="87"/>
        <v>4.6222709418105579E-2</v>
      </c>
      <c r="CB27" s="497">
        <f t="shared" si="87"/>
        <v>4.4637996733804641E-2</v>
      </c>
      <c r="CC27" s="498">
        <f t="shared" ref="CC27:DH27" si="88">CC15/BX15-1</f>
        <v>4.0527010421881782E-2</v>
      </c>
      <c r="CD27" s="496">
        <f t="shared" si="88"/>
        <v>2.4979709622148016E-2</v>
      </c>
      <c r="CE27" s="496">
        <f t="shared" si="88"/>
        <v>1.6108302630451599E-2</v>
      </c>
      <c r="CF27" s="496">
        <f t="shared" si="88"/>
        <v>1.7113420064611473E-2</v>
      </c>
      <c r="CG27" s="497">
        <f t="shared" si="88"/>
        <v>-6.2532569046375164E-3</v>
      </c>
      <c r="CH27" s="498">
        <f t="shared" si="88"/>
        <v>1.2880792529577523E-2</v>
      </c>
      <c r="CI27" s="496">
        <f t="shared" si="88"/>
        <v>3.2993137427415054E-2</v>
      </c>
      <c r="CJ27" s="496">
        <f t="shared" si="88"/>
        <v>1.4841048992326522E-2</v>
      </c>
      <c r="CK27" s="496">
        <f t="shared" si="88"/>
        <v>-1.3048330328783275E-2</v>
      </c>
      <c r="CL27" s="497">
        <f t="shared" si="88"/>
        <v>-2.3684670512148398E-2</v>
      </c>
      <c r="CM27" s="498">
        <f t="shared" si="88"/>
        <v>2.7636238017101356E-3</v>
      </c>
      <c r="CN27" s="496">
        <f t="shared" si="88"/>
        <v>-6.3112171024614527E-2</v>
      </c>
      <c r="CO27" s="496">
        <f t="shared" si="88"/>
        <v>-3.7058579144162773E-2</v>
      </c>
      <c r="CP27" s="496">
        <f t="shared" si="88"/>
        <v>-2.6702618074280315E-2</v>
      </c>
      <c r="CQ27" s="497">
        <f t="shared" si="88"/>
        <v>-2.0320472652403554E-2</v>
      </c>
      <c r="CR27" s="498">
        <f t="shared" si="88"/>
        <v>-3.7055378520368665E-2</v>
      </c>
      <c r="CS27" s="496">
        <f t="shared" si="88"/>
        <v>-1.1272727272727323E-2</v>
      </c>
      <c r="CT27" s="496">
        <f t="shared" si="88"/>
        <v>-1.8120631633445461E-2</v>
      </c>
      <c r="CU27" s="496">
        <f t="shared" si="88"/>
        <v>-1.3047363717604954E-2</v>
      </c>
      <c r="CV27" s="497">
        <f t="shared" si="88"/>
        <v>-9.4846491228070096E-2</v>
      </c>
      <c r="CW27" s="499">
        <f t="shared" si="88"/>
        <v>-3.3942266842564073E-2</v>
      </c>
      <c r="CX27" s="496">
        <f t="shared" si="88"/>
        <v>-0.2195660169179845</v>
      </c>
      <c r="CY27" s="496">
        <f t="shared" si="88"/>
        <v>-0.29738992881624049</v>
      </c>
      <c r="CZ27" s="496">
        <f t="shared" si="88"/>
        <v>-0.20128576602680215</v>
      </c>
      <c r="DA27" s="500">
        <f t="shared" si="88"/>
        <v>-9.5093882495457249E-2</v>
      </c>
      <c r="DB27" s="501">
        <f t="shared" si="88"/>
        <v>-0.20685105890521926</v>
      </c>
      <c r="DC27" s="496">
        <f t="shared" si="88"/>
        <v>6.7742695570216949E-2</v>
      </c>
      <c r="DD27" s="496">
        <f t="shared" si="88"/>
        <v>0.2338961851156971</v>
      </c>
      <c r="DE27" s="496">
        <f t="shared" si="88"/>
        <v>0.12277519555605942</v>
      </c>
      <c r="DF27" s="500">
        <f t="shared" si="88"/>
        <v>6.4033913431503997E-2</v>
      </c>
      <c r="DG27" s="500">
        <f t="shared" si="88"/>
        <v>0.11970351348196573</v>
      </c>
      <c r="DH27" s="496">
        <f t="shared" si="88"/>
        <v>6.3996469160322089E-2</v>
      </c>
      <c r="DI27" s="496">
        <f t="shared" ref="DI27:EN27" si="89">DI15/DD15-1</f>
        <v>-1.6218955904709897E-3</v>
      </c>
      <c r="DJ27" s="496">
        <f t="shared" si="89"/>
        <v>-7.2697899838447544E-3</v>
      </c>
      <c r="DK27" s="500">
        <f t="shared" si="89"/>
        <v>1.887188089746239E-2</v>
      </c>
      <c r="DL27" s="498">
        <f t="shared" si="89"/>
        <v>1.7513682564503696E-2</v>
      </c>
      <c r="DM27" s="496">
        <f t="shared" si="89"/>
        <v>-1.9184900964430263E-2</v>
      </c>
      <c r="DN27" s="496">
        <f t="shared" si="89"/>
        <v>-2.6398619149152536E-2</v>
      </c>
      <c r="DO27" s="496">
        <f t="shared" si="89"/>
        <v>-6.6415785191212384E-2</v>
      </c>
      <c r="DP27" s="500">
        <f t="shared" si="89"/>
        <v>-4.6820333401934477E-2</v>
      </c>
      <c r="DQ27" s="498">
        <f t="shared" si="89"/>
        <v>-3.9777675324009998E-2</v>
      </c>
      <c r="DR27" s="496">
        <f t="shared" si="89"/>
        <v>-1.9665891308944583E-2</v>
      </c>
      <c r="DS27" s="496">
        <f t="shared" si="89"/>
        <v>-1.7728647408488118E-3</v>
      </c>
      <c r="DT27" s="496">
        <f t="shared" si="89"/>
        <v>2.8652358644732479E-2</v>
      </c>
      <c r="DU27" s="500">
        <f t="shared" si="89"/>
        <v>1.4790024829968829E-2</v>
      </c>
      <c r="DV27" s="499">
        <f t="shared" si="89"/>
        <v>5.254874763263695E-3</v>
      </c>
      <c r="DW27" s="496">
        <f t="shared" si="89"/>
        <v>-5.3602243313201292E-2</v>
      </c>
      <c r="DX27" s="496">
        <f t="shared" si="89"/>
        <v>5.2026744671960001E-2</v>
      </c>
      <c r="DY27" s="496">
        <f t="shared" si="89"/>
        <v>5.5178987502647825E-2</v>
      </c>
      <c r="DZ27" s="500">
        <f t="shared" si="89"/>
        <v>9.4680851063828619E-3</v>
      </c>
      <c r="EA27" s="499">
        <f t="shared" si="89"/>
        <v>1.6212917263705551E-2</v>
      </c>
      <c r="EB27" s="496">
        <f t="shared" si="89"/>
        <v>-2.3931623931624513E-3</v>
      </c>
      <c r="EC27" s="496">
        <f t="shared" si="89"/>
        <v>-6.9314796425024583E-2</v>
      </c>
      <c r="ED27" s="496">
        <f t="shared" si="89"/>
        <v>-5.9720967580046191E-2</v>
      </c>
      <c r="EE27" s="500">
        <f t="shared" si="89"/>
        <v>-8.4729687006006693E-2</v>
      </c>
      <c r="EF27" s="499">
        <f t="shared" si="89"/>
        <v>-5.5304593049063988E-2</v>
      </c>
      <c r="EG27" s="496">
        <f t="shared" si="89"/>
        <v>-5.4146675805346156E-2</v>
      </c>
      <c r="EH27" s="496">
        <f t="shared" si="89"/>
        <v>-9.4430217669654426E-2</v>
      </c>
      <c r="EI27" s="496">
        <f t="shared" si="89"/>
        <v>-7.2694278394534684E-2</v>
      </c>
      <c r="EJ27" s="500">
        <f t="shared" si="89"/>
        <v>-2.832469775474955E-2</v>
      </c>
      <c r="EK27" s="499">
        <f t="shared" si="89"/>
        <v>-6.3185826031675552E-2</v>
      </c>
      <c r="EL27" s="496">
        <f t="shared" si="89"/>
        <v>5.9420289855072417E-2</v>
      </c>
      <c r="EM27" s="496">
        <f t="shared" si="89"/>
        <v>6.24484505714622E-2</v>
      </c>
      <c r="EN27" s="496">
        <f t="shared" si="89"/>
        <v>2.8893749280534342E-2</v>
      </c>
      <c r="EO27" s="500">
        <f t="shared" ref="EO27" si="90">EO15/EJ15-1</f>
        <v>2.4647470079393052E-2</v>
      </c>
      <c r="EP27" s="499">
        <f t="shared" ref="EP27:EQ27" si="91">EP15/EK15-1</f>
        <v>4.3696338476971519E-2</v>
      </c>
      <c r="EQ27" s="496">
        <f t="shared" si="91"/>
        <v>-2.5079799361604982E-2</v>
      </c>
      <c r="ER27" s="496">
        <f>ER15/EM15-1</f>
        <v>-4.7288455140290786E-3</v>
      </c>
      <c r="ES27" s="496">
        <f t="shared" ref="ES27" si="92">ES15/EN15-1</f>
        <v>-1.1595435220407069E-2</v>
      </c>
      <c r="ET27" s="496">
        <f>ET15/EO15-1</f>
        <v>-1.3582167225627106E-2</v>
      </c>
      <c r="EU27" s="499">
        <f>EU15/EP15-1</f>
        <v>-1.3674591507887413E-2</v>
      </c>
      <c r="EZ27" s="746">
        <f>EZ15/EU15-1</f>
        <v>-1.150232048901878E-2</v>
      </c>
      <c r="FE27" s="746">
        <f>FE15/EZ15-1</f>
        <v>-4.6469637833013167E-3</v>
      </c>
      <c r="FF27" s="746"/>
      <c r="FG27" s="629"/>
      <c r="FH27" s="1020"/>
      <c r="FI27" s="1020"/>
      <c r="FJ27" s="1020"/>
      <c r="FK27" s="1020"/>
      <c r="FL27" s="1798"/>
      <c r="FM27" s="496">
        <f t="shared" si="69"/>
        <v>-2.5079799361604982E-2</v>
      </c>
      <c r="FN27" s="496">
        <f t="shared" si="70"/>
        <v>5.9420289855072417E-2</v>
      </c>
      <c r="FO27" s="496">
        <v>-3.0251937984495991E-2</v>
      </c>
      <c r="FP27" s="1891">
        <f t="shared" si="85"/>
        <v>-845.00089216677395</v>
      </c>
      <c r="FQ27" s="1891">
        <f t="shared" si="85"/>
        <v>51.721386228910092</v>
      </c>
      <c r="FR27" s="120"/>
      <c r="FS27" s="1429"/>
      <c r="FT27" s="1427"/>
      <c r="FU27" s="120"/>
      <c r="FV27" s="120"/>
      <c r="FW27" s="120"/>
      <c r="FX27" s="120"/>
      <c r="FY27" s="120"/>
      <c r="FZ27" s="120"/>
      <c r="GA27" s="629"/>
      <c r="GB27"/>
      <c r="GC27"/>
      <c r="GD27"/>
      <c r="GE27"/>
      <c r="GF27"/>
      <c r="GG27"/>
      <c r="GH27" s="1007"/>
      <c r="GI27" s="1007"/>
      <c r="GJ27" s="1007"/>
      <c r="GK27" s="1007"/>
      <c r="GL27" s="1007"/>
      <c r="GM27" s="1007"/>
      <c r="GN27" s="1007"/>
      <c r="GO27" s="1007"/>
      <c r="GP27" s="1007"/>
      <c r="GQ27" s="1007"/>
      <c r="GR27" s="1007"/>
      <c r="GS27" s="1007"/>
      <c r="GT27" s="1007"/>
      <c r="GU27" s="1007"/>
      <c r="GV27" s="1007"/>
      <c r="GW27" s="1007"/>
      <c r="GX27" s="1007"/>
      <c r="GY27" s="1007"/>
      <c r="GZ27" s="1007"/>
      <c r="HA27" s="1007"/>
      <c r="HB27" s="1007"/>
      <c r="HC27" s="1007"/>
      <c r="HD27" s="1007"/>
      <c r="HE27" s="1007"/>
      <c r="HF27" s="1007"/>
      <c r="HG27" s="1007"/>
      <c r="HH27" s="1007"/>
      <c r="HI27" s="1007"/>
      <c r="HJ27" s="1007"/>
      <c r="HK27" s="1007"/>
      <c r="HL27" s="1007"/>
      <c r="HM27" s="1007"/>
      <c r="HN27" s="1007"/>
      <c r="HO27" s="1007"/>
      <c r="HP27" s="1007"/>
      <c r="HQ27" s="1007"/>
      <c r="HR27" s="1007"/>
      <c r="HS27" s="1007"/>
      <c r="HT27" s="1007"/>
      <c r="HU27" s="1007"/>
      <c r="HV27" s="1007"/>
      <c r="HW27" s="1007"/>
      <c r="HX27" s="1007"/>
      <c r="HY27" s="1007"/>
      <c r="HZ27" s="1007"/>
      <c r="IA27" s="1007"/>
      <c r="IB27" s="1007"/>
      <c r="IC27" s="1007"/>
      <c r="ID27" s="1007"/>
      <c r="IE27" s="1007"/>
      <c r="IF27" s="1007"/>
      <c r="IG27" s="1007"/>
      <c r="IH27" s="1007"/>
      <c r="II27" s="1007"/>
      <c r="IJ27" s="1007"/>
      <c r="IK27" s="1007"/>
      <c r="IL27" s="1007"/>
      <c r="IM27" s="1007"/>
      <c r="IN27" s="1007"/>
      <c r="IO27" s="1007"/>
      <c r="IP27" s="1007"/>
      <c r="IQ27" s="1007"/>
      <c r="IR27" s="1007"/>
      <c r="IS27" s="1007"/>
      <c r="IT27" s="1007"/>
      <c r="IU27" s="1007"/>
      <c r="IV27" s="1007"/>
    </row>
    <row r="28" spans="1:256" s="532" customFormat="1" ht="12.75" x14ac:dyDescent="0.2">
      <c r="A28" s="661" t="s">
        <v>195</v>
      </c>
      <c r="E28" s="662"/>
      <c r="F28" s="663"/>
      <c r="J28" s="662"/>
      <c r="K28" s="663"/>
      <c r="O28" s="662"/>
      <c r="P28" s="663"/>
      <c r="T28" s="662"/>
      <c r="U28" s="663"/>
      <c r="Y28" s="662"/>
      <c r="Z28" s="663"/>
      <c r="AD28" s="662"/>
      <c r="AE28" s="663"/>
      <c r="AI28" s="662"/>
      <c r="AJ28" s="663"/>
      <c r="AN28" s="662"/>
      <c r="AO28" s="663"/>
      <c r="AS28" s="662"/>
      <c r="AT28" s="663"/>
      <c r="AX28" s="662"/>
      <c r="AY28" s="663"/>
      <c r="BC28" s="662"/>
      <c r="BD28" s="663"/>
      <c r="BH28" s="662"/>
      <c r="BI28" s="663"/>
      <c r="BM28" s="662"/>
      <c r="BN28" s="663"/>
      <c r="BR28" s="662"/>
      <c r="BS28" s="663"/>
      <c r="BW28" s="662"/>
      <c r="BX28" s="663"/>
      <c r="CB28" s="662"/>
      <c r="CC28" s="663"/>
      <c r="CG28" s="662"/>
      <c r="CH28" s="663"/>
      <c r="CL28" s="662"/>
      <c r="CM28" s="663"/>
      <c r="CQ28" s="662"/>
      <c r="CR28" s="663"/>
      <c r="CV28" s="662"/>
      <c r="CW28" s="663"/>
      <c r="DA28" s="661"/>
      <c r="DB28" s="665"/>
      <c r="DF28" s="661"/>
      <c r="DG28" s="661"/>
      <c r="DK28" s="661"/>
      <c r="DL28" s="663"/>
      <c r="DN28" s="544"/>
      <c r="DP28" s="661"/>
      <c r="DQ28" s="663"/>
      <c r="DS28" s="544"/>
      <c r="DU28" s="661"/>
      <c r="DV28" s="664"/>
      <c r="DX28" s="544"/>
      <c r="DZ28" s="661"/>
      <c r="EA28" s="664"/>
      <c r="EC28" s="544"/>
      <c r="EE28" s="661"/>
      <c r="EF28" s="664"/>
      <c r="EH28" s="544"/>
      <c r="EJ28" s="661"/>
      <c r="EK28" s="664"/>
      <c r="EM28" s="544"/>
      <c r="EO28" s="661"/>
      <c r="EP28" s="664"/>
      <c r="EU28" s="665"/>
      <c r="EZ28" s="742"/>
      <c r="FE28" s="742"/>
      <c r="FF28" s="742"/>
      <c r="FG28" s="629"/>
      <c r="FH28" s="1024"/>
      <c r="FI28" s="1024"/>
      <c r="FJ28" s="1024"/>
      <c r="FK28" s="1024"/>
      <c r="FL28" s="1796"/>
      <c r="FM28" s="544"/>
      <c r="FN28" s="544"/>
      <c r="FP28" s="544"/>
      <c r="FQ28" s="544"/>
      <c r="FS28" s="1429"/>
      <c r="GA28" s="629"/>
      <c r="GB28"/>
      <c r="GC28"/>
      <c r="GD28"/>
      <c r="GE28"/>
      <c r="GF28"/>
      <c r="GG28"/>
      <c r="GH28" s="945"/>
      <c r="GI28" s="945"/>
      <c r="GJ28" s="945"/>
      <c r="GK28" s="945"/>
      <c r="GL28" s="945"/>
      <c r="GM28" s="945"/>
      <c r="GN28" s="945"/>
      <c r="GO28" s="945"/>
      <c r="GP28" s="945"/>
      <c r="GQ28" s="945"/>
      <c r="GR28" s="945"/>
      <c r="GS28" s="945"/>
      <c r="GT28" s="945"/>
      <c r="GU28" s="945"/>
      <c r="GV28" s="945"/>
      <c r="GW28" s="945"/>
      <c r="GX28" s="945"/>
      <c r="GY28" s="945"/>
      <c r="GZ28" s="945"/>
      <c r="HA28" s="945"/>
      <c r="HB28" s="945"/>
      <c r="HC28" s="945"/>
      <c r="HD28" s="945"/>
      <c r="HE28" s="945"/>
      <c r="HF28" s="945"/>
      <c r="HG28" s="945"/>
      <c r="HH28" s="945"/>
      <c r="HI28" s="945"/>
      <c r="HJ28" s="945"/>
      <c r="HK28" s="945"/>
      <c r="HL28" s="945"/>
      <c r="HM28" s="945"/>
      <c r="HN28" s="945"/>
      <c r="HO28" s="945"/>
      <c r="HP28" s="945"/>
      <c r="HQ28" s="945"/>
      <c r="HR28" s="945"/>
      <c r="HS28" s="945"/>
      <c r="HT28" s="945"/>
      <c r="HU28" s="945"/>
      <c r="HV28" s="945"/>
      <c r="HW28" s="945"/>
      <c r="HX28" s="945"/>
      <c r="HY28" s="945"/>
      <c r="HZ28" s="945"/>
      <c r="IA28" s="945"/>
      <c r="IB28" s="945"/>
      <c r="IC28" s="945"/>
      <c r="ID28" s="945"/>
      <c r="IE28" s="945"/>
      <c r="IF28" s="945"/>
      <c r="IG28" s="945"/>
      <c r="IH28" s="945"/>
      <c r="II28" s="945"/>
      <c r="IJ28" s="945"/>
      <c r="IK28" s="945"/>
      <c r="IL28" s="945"/>
      <c r="IM28" s="945"/>
      <c r="IN28" s="945"/>
      <c r="IO28" s="945"/>
      <c r="IP28" s="945"/>
      <c r="IQ28" s="945"/>
      <c r="IR28" s="945"/>
      <c r="IS28" s="945"/>
      <c r="IT28" s="945"/>
      <c r="IU28" s="945"/>
      <c r="IV28" s="945"/>
    </row>
    <row r="29" spans="1:256" s="24" customFormat="1" ht="12.75" x14ac:dyDescent="0.2">
      <c r="A29" s="23" t="s">
        <v>573</v>
      </c>
      <c r="E29" s="198"/>
      <c r="F29" s="30"/>
      <c r="J29" s="198"/>
      <c r="K29" s="30"/>
      <c r="O29" s="198"/>
      <c r="P29" s="30"/>
      <c r="T29" s="198"/>
      <c r="U29" s="30"/>
      <c r="Y29" s="198"/>
      <c r="Z29" s="30"/>
      <c r="AD29" s="198"/>
      <c r="AE29" s="30"/>
      <c r="AI29" s="198"/>
      <c r="AJ29" s="30"/>
      <c r="AN29" s="198"/>
      <c r="AO29" s="30"/>
      <c r="AS29" s="198"/>
      <c r="AT29" s="30"/>
      <c r="AX29" s="198"/>
      <c r="AY29" s="30"/>
      <c r="BC29" s="198"/>
      <c r="BD29" s="30"/>
      <c r="BH29" s="198"/>
      <c r="BI29" s="30"/>
      <c r="BM29" s="198"/>
      <c r="BN29" s="30"/>
      <c r="BR29" s="198"/>
      <c r="BS29" s="30"/>
      <c r="BT29" s="24">
        <f t="shared" ref="BT29:CY29" si="93">BT35/BT13*1000</f>
        <v>27059.486357348014</v>
      </c>
      <c r="BU29" s="24">
        <f t="shared" si="93"/>
        <v>26767.101955725953</v>
      </c>
      <c r="BV29" s="24">
        <f t="shared" si="93"/>
        <v>26600.669908805499</v>
      </c>
      <c r="BW29" s="198">
        <f t="shared" si="93"/>
        <v>26339.204748650209</v>
      </c>
      <c r="BX29" s="30">
        <f t="shared" si="93"/>
        <v>26686.080648266532</v>
      </c>
      <c r="BY29" s="24">
        <f t="shared" si="93"/>
        <v>27017.835297483191</v>
      </c>
      <c r="BZ29" s="24">
        <f t="shared" si="93"/>
        <v>26522.101970242729</v>
      </c>
      <c r="CA29" s="24">
        <f t="shared" si="93"/>
        <v>26536.981996526229</v>
      </c>
      <c r="CB29" s="198">
        <f t="shared" si="93"/>
        <v>26237.095126709519</v>
      </c>
      <c r="CC29" s="30">
        <f t="shared" si="93"/>
        <v>26568.99939427774</v>
      </c>
      <c r="CD29" s="24">
        <f t="shared" si="93"/>
        <v>26706.364229607527</v>
      </c>
      <c r="CE29" s="24">
        <f t="shared" si="93"/>
        <v>26466.861561541053</v>
      </c>
      <c r="CF29" s="24">
        <f t="shared" si="93"/>
        <v>25715.145289987071</v>
      </c>
      <c r="CG29" s="198">
        <f t="shared" si="93"/>
        <v>25314.319225656156</v>
      </c>
      <c r="CH29" s="30">
        <f t="shared" si="93"/>
        <v>26038.281560494805</v>
      </c>
      <c r="CI29" s="24">
        <f t="shared" si="93"/>
        <v>26037.179206240147</v>
      </c>
      <c r="CJ29" s="24">
        <f t="shared" si="93"/>
        <v>25729.715755086319</v>
      </c>
      <c r="CK29" s="24">
        <f t="shared" si="93"/>
        <v>25890.288422939917</v>
      </c>
      <c r="CL29" s="198">
        <f t="shared" si="93"/>
        <v>25507.176103097023</v>
      </c>
      <c r="CM29" s="30">
        <f t="shared" si="93"/>
        <v>25792.034337529767</v>
      </c>
      <c r="CN29" s="24">
        <f t="shared" si="93"/>
        <v>25803.032418802042</v>
      </c>
      <c r="CO29" s="24">
        <f t="shared" si="93"/>
        <v>25925.45926413131</v>
      </c>
      <c r="CP29" s="24">
        <f t="shared" si="93"/>
        <v>25846.403907834749</v>
      </c>
      <c r="CQ29" s="198">
        <f t="shared" si="93"/>
        <v>25648.775746237054</v>
      </c>
      <c r="CR29" s="30">
        <f t="shared" si="93"/>
        <v>25807.2619417879</v>
      </c>
      <c r="CS29" s="24">
        <f t="shared" si="93"/>
        <v>26557.379453872087</v>
      </c>
      <c r="CT29" s="24">
        <f t="shared" si="93"/>
        <v>26849.434411876653</v>
      </c>
      <c r="CU29" s="24">
        <f t="shared" si="93"/>
        <v>26608.315307325542</v>
      </c>
      <c r="CV29" s="198">
        <f t="shared" si="93"/>
        <v>26272.238605054037</v>
      </c>
      <c r="CW29" s="30">
        <f t="shared" si="93"/>
        <v>26579.12381822832</v>
      </c>
      <c r="CX29" s="24">
        <f t="shared" si="93"/>
        <v>27154.037422542719</v>
      </c>
      <c r="CY29" s="24">
        <f t="shared" si="93"/>
        <v>26499.143174063538</v>
      </c>
      <c r="CZ29" s="24">
        <f t="shared" ref="CZ29:EE29" si="94">CZ35/CZ13*1000</f>
        <v>26771.174959459186</v>
      </c>
      <c r="DA29" s="24">
        <f t="shared" si="94"/>
        <v>26905.803170536339</v>
      </c>
      <c r="DB29" s="30">
        <f t="shared" si="94"/>
        <v>26835.649376250385</v>
      </c>
      <c r="DC29" s="24">
        <f t="shared" si="94"/>
        <v>27354.855012950909</v>
      </c>
      <c r="DD29" s="24">
        <f t="shared" si="94"/>
        <v>27212.466565879757</v>
      </c>
      <c r="DE29" s="24">
        <f t="shared" si="94"/>
        <v>26474.951500627642</v>
      </c>
      <c r="DF29" s="24">
        <f t="shared" si="94"/>
        <v>26685.393258426964</v>
      </c>
      <c r="DG29" s="30">
        <f t="shared" si="94"/>
        <v>26921.541668514656</v>
      </c>
      <c r="DH29" s="24">
        <f t="shared" si="94"/>
        <v>27641.421224871432</v>
      </c>
      <c r="DI29" s="24">
        <f t="shared" si="94"/>
        <v>27757.568974201127</v>
      </c>
      <c r="DJ29" s="24">
        <f t="shared" si="94"/>
        <v>26686.557268357366</v>
      </c>
      <c r="DK29" s="24">
        <f t="shared" si="94"/>
        <v>26457.076437704101</v>
      </c>
      <c r="DL29" s="30">
        <f t="shared" si="94"/>
        <v>27126.934375307461</v>
      </c>
      <c r="DM29" s="24">
        <f t="shared" si="94"/>
        <v>26346.198289808181</v>
      </c>
      <c r="DN29" s="24">
        <f t="shared" si="94"/>
        <v>26232.42372033569</v>
      </c>
      <c r="DO29" s="24">
        <f t="shared" si="94"/>
        <v>25826.330532212887</v>
      </c>
      <c r="DP29" s="24">
        <f t="shared" si="94"/>
        <v>26114.614139835947</v>
      </c>
      <c r="DQ29" s="30">
        <f t="shared" si="94"/>
        <v>26128.433138226021</v>
      </c>
      <c r="DR29" s="24">
        <f t="shared" si="94"/>
        <v>26743.664498766539</v>
      </c>
      <c r="DS29" s="24">
        <f t="shared" si="94"/>
        <v>26438.907627026441</v>
      </c>
      <c r="DT29" s="24">
        <f t="shared" si="94"/>
        <v>26062.139895536053</v>
      </c>
      <c r="DU29" s="24">
        <f t="shared" si="94"/>
        <v>26315.78947368421</v>
      </c>
      <c r="DV29" s="269">
        <f t="shared" si="94"/>
        <v>26386.410385647538</v>
      </c>
      <c r="DW29" s="24">
        <f t="shared" si="94"/>
        <v>26721.88811982299</v>
      </c>
      <c r="DX29" s="24">
        <f t="shared" si="94"/>
        <v>26877.111592960518</v>
      </c>
      <c r="DY29" s="24">
        <f t="shared" si="94"/>
        <v>26386.806596701648</v>
      </c>
      <c r="DZ29" s="24">
        <f t="shared" si="94"/>
        <v>26916.294990146253</v>
      </c>
      <c r="EA29" s="269">
        <f t="shared" si="94"/>
        <v>26723.475224432892</v>
      </c>
      <c r="EB29" s="24">
        <f t="shared" si="94"/>
        <v>27079.518339714778</v>
      </c>
      <c r="EC29" s="24">
        <f t="shared" si="94"/>
        <v>26586.133911517216</v>
      </c>
      <c r="ED29" s="24">
        <f t="shared" si="94"/>
        <v>26493.828435676292</v>
      </c>
      <c r="EE29" s="24">
        <f t="shared" si="94"/>
        <v>26671.842076078516</v>
      </c>
      <c r="EF29" s="269">
        <f t="shared" ref="EF29:ER29" si="95">EF35/EF13*1000</f>
        <v>26701.78769605156</v>
      </c>
      <c r="EG29" s="24">
        <f t="shared" si="95"/>
        <v>26236.412270217974</v>
      </c>
      <c r="EH29" s="24">
        <f t="shared" si="95"/>
        <v>26326.020549847264</v>
      </c>
      <c r="EI29" s="24">
        <f t="shared" si="95"/>
        <v>26151.863387391259</v>
      </c>
      <c r="EJ29" s="24">
        <f t="shared" si="95"/>
        <v>26251.42670797326</v>
      </c>
      <c r="EK29" s="269">
        <f t="shared" si="95"/>
        <v>26240.753750154963</v>
      </c>
      <c r="EL29" s="24">
        <f>EL35/EL13*1000</f>
        <v>26860.175457597743</v>
      </c>
      <c r="EM29" s="24">
        <f t="shared" ref="EM29:EP29" si="96">EM35/EM13*1000</f>
        <v>26533.389156374295</v>
      </c>
      <c r="EN29" s="24">
        <f t="shared" si="96"/>
        <v>26490.409538621047</v>
      </c>
      <c r="EO29" s="24">
        <f t="shared" si="96"/>
        <v>26024.622097553376</v>
      </c>
      <c r="EP29" s="269">
        <f t="shared" si="96"/>
        <v>26473.099914602906</v>
      </c>
      <c r="EQ29" s="24">
        <f>EQ35/EQ13*1000</f>
        <v>26254.988447805084</v>
      </c>
      <c r="ER29" s="24">
        <f t="shared" si="95"/>
        <v>26191.278486522493</v>
      </c>
      <c r="ES29" s="24">
        <f t="shared" ref="ES29:EU29" si="97">ES35/ES13*1000</f>
        <v>26019.575421975864</v>
      </c>
      <c r="ET29" s="24">
        <f t="shared" si="97"/>
        <v>25779.718982933078</v>
      </c>
      <c r="EU29" s="1934">
        <f t="shared" si="97"/>
        <v>26059.592010160959</v>
      </c>
      <c r="EZ29" s="741">
        <f>EZ35/EZ13*1000</f>
        <v>25949.279750190701</v>
      </c>
      <c r="FE29" s="741">
        <f>FE35/FE13*1000</f>
        <v>25889.942534401067</v>
      </c>
      <c r="FF29" s="741"/>
      <c r="FG29" s="630"/>
      <c r="FH29" s="1019"/>
      <c r="FI29" s="1019"/>
      <c r="FJ29" s="1019"/>
      <c r="FK29" s="1019"/>
      <c r="FL29" s="1794"/>
      <c r="FM29" s="24">
        <f t="shared" ref="FM29:FM46" si="98">EQ29</f>
        <v>26254.988447805084</v>
      </c>
      <c r="FN29" s="24">
        <f t="shared" ref="FN29:FN46" si="99">EL29</f>
        <v>26860.175457597743</v>
      </c>
      <c r="FO29" s="24">
        <v>26266.54789130234</v>
      </c>
      <c r="FP29" s="34">
        <f>IFERROR(($FM29/FN29)-1,"")</f>
        <v>-2.2531014763772617E-2</v>
      </c>
      <c r="FQ29" s="34">
        <f>IFERROR(($FM29/FO29)-1,"")</f>
        <v>-4.400823262002973E-4</v>
      </c>
      <c r="FR29" s="567"/>
      <c r="FS29" s="567"/>
      <c r="FT29" s="567"/>
      <c r="FU29" s="532"/>
      <c r="FV29" s="532"/>
      <c r="FW29" s="532"/>
      <c r="FX29" s="532"/>
      <c r="FY29" s="532"/>
      <c r="FZ29" s="532"/>
      <c r="GA29" s="630"/>
      <c r="GB29"/>
      <c r="GC29"/>
      <c r="GD29"/>
      <c r="GE29"/>
      <c r="GF29"/>
      <c r="GG29"/>
      <c r="GH29" s="945"/>
      <c r="GI29" s="945"/>
      <c r="GJ29" s="945"/>
      <c r="GK29" s="945"/>
      <c r="GL29" s="945"/>
      <c r="GM29" s="945"/>
      <c r="GN29" s="945"/>
      <c r="GO29" s="945"/>
      <c r="GP29" s="945"/>
      <c r="GQ29" s="945"/>
      <c r="GR29" s="945"/>
      <c r="GS29" s="945"/>
      <c r="GT29" s="945"/>
      <c r="GU29" s="945"/>
      <c r="GV29" s="945"/>
      <c r="GW29" s="945"/>
      <c r="GX29" s="945"/>
      <c r="GY29" s="945"/>
      <c r="GZ29" s="945"/>
      <c r="HA29" s="945"/>
      <c r="HB29" s="945"/>
      <c r="HC29" s="945"/>
      <c r="HD29" s="945"/>
      <c r="HE29" s="945"/>
      <c r="HF29" s="945"/>
      <c r="HG29" s="945"/>
      <c r="HH29" s="945"/>
      <c r="HI29" s="945"/>
      <c r="HJ29" s="945"/>
      <c r="HK29" s="945"/>
      <c r="HL29" s="945"/>
      <c r="HM29" s="945"/>
      <c r="HN29" s="945"/>
      <c r="HO29" s="945"/>
      <c r="HP29" s="945"/>
      <c r="HQ29" s="945"/>
      <c r="HR29" s="945"/>
      <c r="HS29" s="945"/>
      <c r="HT29" s="945"/>
      <c r="HU29" s="945"/>
      <c r="HV29" s="945"/>
      <c r="HW29" s="945"/>
      <c r="HX29" s="945"/>
      <c r="HY29" s="945"/>
      <c r="HZ29" s="945"/>
      <c r="IA29" s="945"/>
      <c r="IB29" s="945"/>
      <c r="IC29" s="945"/>
      <c r="ID29" s="945"/>
      <c r="IE29" s="945"/>
      <c r="IF29" s="945"/>
      <c r="IG29" s="945"/>
      <c r="IH29" s="945"/>
      <c r="II29" s="945"/>
      <c r="IJ29" s="945"/>
      <c r="IK29" s="945"/>
      <c r="IL29" s="945"/>
      <c r="IM29" s="945"/>
      <c r="IN29" s="945"/>
      <c r="IO29" s="945"/>
      <c r="IP29" s="945"/>
      <c r="IQ29" s="945"/>
      <c r="IR29" s="945"/>
      <c r="IS29" s="945"/>
      <c r="IT29" s="945"/>
      <c r="IU29" s="945"/>
      <c r="IV29" s="945"/>
    </row>
    <row r="30" spans="1:256" s="20" customFormat="1" ht="12.75" x14ac:dyDescent="0.2">
      <c r="A30" s="44" t="s">
        <v>93</v>
      </c>
      <c r="B30" s="22"/>
      <c r="C30" s="22"/>
      <c r="D30" s="22"/>
      <c r="E30" s="197"/>
      <c r="F30" s="21"/>
      <c r="G30" s="22"/>
      <c r="H30" s="22"/>
      <c r="I30" s="22"/>
      <c r="J30" s="197"/>
      <c r="K30" s="21"/>
      <c r="L30" s="22"/>
      <c r="M30" s="22"/>
      <c r="N30" s="22"/>
      <c r="O30" s="197"/>
      <c r="P30" s="21"/>
      <c r="Q30" s="22"/>
      <c r="R30" s="22"/>
      <c r="S30" s="22"/>
      <c r="T30" s="197"/>
      <c r="U30" s="21"/>
      <c r="V30" s="22"/>
      <c r="W30" s="22"/>
      <c r="X30" s="22"/>
      <c r="Y30" s="197"/>
      <c r="Z30" s="21"/>
      <c r="AA30" s="22"/>
      <c r="AB30" s="22"/>
      <c r="AC30" s="22"/>
      <c r="AD30" s="197"/>
      <c r="AE30" s="21"/>
      <c r="AF30" s="22"/>
      <c r="AG30" s="22"/>
      <c r="AH30" s="22"/>
      <c r="AI30" s="197"/>
      <c r="AJ30" s="21"/>
      <c r="AK30" s="22"/>
      <c r="AL30" s="22"/>
      <c r="AM30" s="22"/>
      <c r="AN30" s="197"/>
      <c r="AO30" s="21"/>
      <c r="AP30" s="22"/>
      <c r="AQ30" s="22"/>
      <c r="AR30" s="22"/>
      <c r="AS30" s="197"/>
      <c r="AT30" s="21"/>
      <c r="AU30" s="22"/>
      <c r="AV30" s="22"/>
      <c r="AW30" s="22"/>
      <c r="AX30" s="197"/>
      <c r="AY30" s="21"/>
      <c r="AZ30" s="22"/>
      <c r="BA30" s="22"/>
      <c r="BB30" s="22"/>
      <c r="BC30" s="197"/>
      <c r="BD30" s="21"/>
      <c r="BE30" s="22"/>
      <c r="BF30" s="22"/>
      <c r="BG30" s="22"/>
      <c r="BH30" s="197"/>
      <c r="BI30" s="21"/>
      <c r="BJ30" s="22"/>
      <c r="BK30" s="22"/>
      <c r="BL30" s="22"/>
      <c r="BM30" s="197"/>
      <c r="BN30" s="21"/>
      <c r="BO30" s="22"/>
      <c r="BP30" s="22"/>
      <c r="BQ30" s="22"/>
      <c r="BR30" s="197"/>
      <c r="BS30" s="21"/>
      <c r="BT30" s="22"/>
      <c r="BU30" s="22"/>
      <c r="BV30" s="22"/>
      <c r="BW30" s="197"/>
      <c r="BX30" s="21"/>
      <c r="BY30" s="22">
        <f t="shared" ref="BY30:DY30" si="100">BY29/BT29-1</f>
        <v>-1.5392405943992493E-3</v>
      </c>
      <c r="BZ30" s="22">
        <f t="shared" si="100"/>
        <v>-9.153026199416936E-3</v>
      </c>
      <c r="CA30" s="22">
        <f t="shared" si="100"/>
        <v>-2.3942221191274315E-3</v>
      </c>
      <c r="CB30" s="197">
        <f t="shared" si="100"/>
        <v>-3.8767162074596628E-3</v>
      </c>
      <c r="CC30" s="21">
        <f t="shared" si="100"/>
        <v>-4.3873529249938148E-3</v>
      </c>
      <c r="CD30" s="22">
        <f t="shared" si="100"/>
        <v>-1.1528350234064733E-2</v>
      </c>
      <c r="CE30" s="22">
        <f t="shared" si="100"/>
        <v>-2.0828065876398183E-3</v>
      </c>
      <c r="CF30" s="22">
        <f t="shared" si="100"/>
        <v>-3.0969486531917556E-2</v>
      </c>
      <c r="CG30" s="197">
        <f t="shared" si="100"/>
        <v>-3.5170658054823001E-2</v>
      </c>
      <c r="CH30" s="21">
        <f t="shared" si="100"/>
        <v>-1.9975077943553909E-2</v>
      </c>
      <c r="CI30" s="22">
        <f t="shared" si="100"/>
        <v>-2.5057136853750328E-2</v>
      </c>
      <c r="CJ30" s="22">
        <f t="shared" si="100"/>
        <v>-2.7851651573448266E-2</v>
      </c>
      <c r="CK30" s="22">
        <f t="shared" si="100"/>
        <v>6.8108941628668429E-3</v>
      </c>
      <c r="CL30" s="197">
        <f t="shared" si="100"/>
        <v>7.6184895877193792E-3</v>
      </c>
      <c r="CM30" s="21">
        <f t="shared" si="100"/>
        <v>-9.4571226750479465E-3</v>
      </c>
      <c r="CN30" s="22">
        <f t="shared" si="100"/>
        <v>-8.9927862608860654E-3</v>
      </c>
      <c r="CO30" s="22">
        <f t="shared" si="100"/>
        <v>7.6076825297339834E-3</v>
      </c>
      <c r="CP30" s="22">
        <f t="shared" si="100"/>
        <v>-1.6950183940895869E-3</v>
      </c>
      <c r="CQ30" s="197">
        <f t="shared" si="100"/>
        <v>5.5513649401133236E-3</v>
      </c>
      <c r="CR30" s="21">
        <f t="shared" si="100"/>
        <v>5.9039950315109557E-4</v>
      </c>
      <c r="CS30" s="22">
        <f t="shared" si="100"/>
        <v>2.9234821040660774E-2</v>
      </c>
      <c r="CT30" s="22">
        <f t="shared" si="100"/>
        <v>3.56396829206298E-2</v>
      </c>
      <c r="CU30" s="22">
        <f t="shared" si="100"/>
        <v>2.9478429657281424E-2</v>
      </c>
      <c r="CV30" s="197">
        <f t="shared" si="100"/>
        <v>2.4307704390469809E-2</v>
      </c>
      <c r="CW30" s="21">
        <f t="shared" si="100"/>
        <v>2.9908708571311005E-2</v>
      </c>
      <c r="CX30" s="22">
        <f t="shared" si="100"/>
        <v>2.2466748637868239E-2</v>
      </c>
      <c r="CY30" s="22">
        <f t="shared" si="100"/>
        <v>-1.3046503417523225E-2</v>
      </c>
      <c r="CZ30" s="22">
        <f t="shared" si="100"/>
        <v>6.1206299704665845E-3</v>
      </c>
      <c r="DA30" s="22">
        <f t="shared" si="100"/>
        <v>2.4115362798220907E-2</v>
      </c>
      <c r="DB30" s="21">
        <f t="shared" si="100"/>
        <v>9.6513925656998012E-3</v>
      </c>
      <c r="DC30" s="22">
        <f t="shared" si="100"/>
        <v>7.3954965621971791E-3</v>
      </c>
      <c r="DD30" s="22">
        <f t="shared" si="100"/>
        <v>2.6918734207013628E-2</v>
      </c>
      <c r="DE30" s="22">
        <f t="shared" si="100"/>
        <v>-1.1065015236728648E-2</v>
      </c>
      <c r="DF30" s="22">
        <f t="shared" si="100"/>
        <v>-8.1919097791787188E-3</v>
      </c>
      <c r="DG30" s="21">
        <f t="shared" si="100"/>
        <v>3.200678733725093E-3</v>
      </c>
      <c r="DH30" s="22">
        <f t="shared" si="100"/>
        <v>1.0475881220531003E-2</v>
      </c>
      <c r="DI30" s="22">
        <f t="shared" si="100"/>
        <v>2.0031348757074685E-2</v>
      </c>
      <c r="DJ30" s="22">
        <f t="shared" si="100"/>
        <v>7.992678200929193E-3</v>
      </c>
      <c r="DK30" s="22">
        <f t="shared" si="100"/>
        <v>-8.5558724397198915E-3</v>
      </c>
      <c r="DL30" s="21">
        <f>DL29/DG29-1</f>
        <v>7.6293070182165135E-3</v>
      </c>
      <c r="DM30" s="22">
        <f t="shared" si="100"/>
        <v>-4.6858044111632857E-2</v>
      </c>
      <c r="DN30" s="22">
        <f t="shared" si="100"/>
        <v>-5.4945202704277274E-2</v>
      </c>
      <c r="DO30" s="22">
        <f t="shared" si="100"/>
        <v>-3.2234459000991533E-2</v>
      </c>
      <c r="DP30" s="22">
        <f t="shared" si="100"/>
        <v>-1.2944071831765602E-2</v>
      </c>
      <c r="DQ30" s="21">
        <f t="shared" si="100"/>
        <v>-3.6808480577530167E-2</v>
      </c>
      <c r="DR30" s="22">
        <f t="shared" si="100"/>
        <v>1.5086283211954488E-2</v>
      </c>
      <c r="DS30" s="22">
        <f t="shared" si="100"/>
        <v>7.8713240107768367E-3</v>
      </c>
      <c r="DT30" s="22">
        <f t="shared" si="100"/>
        <v>9.1305794692375652E-3</v>
      </c>
      <c r="DU30" s="22">
        <f t="shared" si="100"/>
        <v>7.7035537561853662E-3</v>
      </c>
      <c r="DV30" s="270">
        <f t="shared" si="100"/>
        <v>9.8734296869908977E-3</v>
      </c>
      <c r="DW30" s="22">
        <f t="shared" si="100"/>
        <v>-8.1426309190169022E-4</v>
      </c>
      <c r="DX30" s="22">
        <f t="shared" si="100"/>
        <v>1.6574208439918081E-2</v>
      </c>
      <c r="DY30" s="22">
        <f t="shared" si="100"/>
        <v>1.2457407659806297E-2</v>
      </c>
      <c r="DZ30" s="22">
        <f t="shared" ref="DZ30:EI30" si="101">DZ29/DU29-1</f>
        <v>2.2819209625557724E-2</v>
      </c>
      <c r="EA30" s="270">
        <f t="shared" si="101"/>
        <v>1.2774183144240725E-2</v>
      </c>
      <c r="EB30" s="22">
        <f t="shared" si="101"/>
        <v>1.3383418802149993E-2</v>
      </c>
      <c r="EC30" s="22">
        <f t="shared" si="101"/>
        <v>-1.0826225892499264E-2</v>
      </c>
      <c r="ED30" s="22">
        <f t="shared" si="101"/>
        <v>4.055884465686832E-3</v>
      </c>
      <c r="EE30" s="22">
        <f t="shared" si="101"/>
        <v>-9.0819674162891939E-3</v>
      </c>
      <c r="EF30" s="270">
        <f t="shared" si="101"/>
        <v>-8.115534450213735E-4</v>
      </c>
      <c r="EG30" s="22">
        <f t="shared" si="101"/>
        <v>-3.1134455898364499E-2</v>
      </c>
      <c r="EH30" s="22">
        <f t="shared" si="101"/>
        <v>-9.7837979202108905E-3</v>
      </c>
      <c r="EI30" s="22">
        <f t="shared" si="101"/>
        <v>-1.2907347426789673E-2</v>
      </c>
      <c r="EJ30" s="22">
        <f t="shared" ref="EJ30:EN30" si="102">EJ29/EE29-1</f>
        <v>-1.5762517148461885E-2</v>
      </c>
      <c r="EK30" s="270">
        <f t="shared" si="102"/>
        <v>-1.7266032939239118E-2</v>
      </c>
      <c r="EL30" s="22">
        <f t="shared" si="102"/>
        <v>2.3774713590997587E-2</v>
      </c>
      <c r="EM30" s="22">
        <f t="shared" si="102"/>
        <v>7.8769446424455936E-3</v>
      </c>
      <c r="EN30" s="22">
        <f t="shared" si="102"/>
        <v>1.2945393076388312E-2</v>
      </c>
      <c r="EO30" s="22">
        <f t="shared" ref="EO30" si="103">EO29/EJ29-1</f>
        <v>-8.6397060602804165E-3</v>
      </c>
      <c r="EP30" s="270">
        <f t="shared" ref="EP30:EQ30" si="104">EP29/EK29-1</f>
        <v>8.8544013125602117E-3</v>
      </c>
      <c r="EQ30" s="22">
        <f t="shared" si="104"/>
        <v>-2.2531014763772617E-2</v>
      </c>
      <c r="ER30" s="22">
        <f t="shared" ref="ER30" si="105">ER29/EM29-1</f>
        <v>-1.2893591083882106E-2</v>
      </c>
      <c r="ES30" s="22">
        <f t="shared" ref="ES30:EU30" si="106">ES29/EN29-1</f>
        <v>-1.7773757553983471E-2</v>
      </c>
      <c r="ET30" s="22">
        <f t="shared" si="106"/>
        <v>-9.4104388414278928E-3</v>
      </c>
      <c r="EU30" s="1935">
        <f t="shared" si="106"/>
        <v>-1.5619927616178031E-2</v>
      </c>
      <c r="EV30" s="26"/>
      <c r="EW30" s="26"/>
      <c r="EX30" s="26"/>
      <c r="EY30" s="26"/>
      <c r="EZ30" s="844">
        <f>EZ29/EU29-1</f>
        <v>-4.233077015451614E-3</v>
      </c>
      <c r="FA30" s="26"/>
      <c r="FB30" s="26"/>
      <c r="FC30" s="26"/>
      <c r="FD30" s="26"/>
      <c r="FE30" s="844">
        <f>FE29/EZ29-1</f>
        <v>-2.2866613779212175E-3</v>
      </c>
      <c r="FF30" s="747"/>
      <c r="FG30" s="631"/>
      <c r="FH30" s="1025"/>
      <c r="FI30" s="1025"/>
      <c r="FJ30" s="1025"/>
      <c r="FK30" s="1025"/>
      <c r="FL30" s="1799"/>
      <c r="FM30" s="22">
        <f t="shared" si="98"/>
        <v>-2.2531014763772617E-2</v>
      </c>
      <c r="FN30" s="22">
        <f t="shared" si="99"/>
        <v>2.3774713590997587E-2</v>
      </c>
      <c r="FO30" s="2041">
        <v>-2.2100658546796215E-2</v>
      </c>
      <c r="FP30" s="1892">
        <f>IFERROR(($FM30-FN30)*10000,"")</f>
        <v>-463.05728354770201</v>
      </c>
      <c r="FQ30" s="1892">
        <f>IFERROR(($FM30-FO30)*10000,"")</f>
        <v>-4.3035621697640192</v>
      </c>
      <c r="FR30" s="537"/>
      <c r="FS30" s="537"/>
      <c r="FT30" s="537"/>
      <c r="FU30" s="537"/>
      <c r="FV30" s="537"/>
      <c r="FW30" s="537"/>
      <c r="FX30" s="537"/>
      <c r="FY30" s="537"/>
      <c r="FZ30" s="537"/>
      <c r="GA30" s="631"/>
      <c r="GB30"/>
      <c r="GC30"/>
      <c r="GD30"/>
      <c r="GE30"/>
      <c r="GF30"/>
      <c r="GG30"/>
      <c r="GH30" s="947"/>
      <c r="GI30" s="947"/>
      <c r="GJ30" s="947"/>
      <c r="GK30" s="947"/>
      <c r="GL30" s="947"/>
      <c r="GM30" s="947"/>
      <c r="GN30" s="947"/>
      <c r="GO30" s="947"/>
      <c r="GP30" s="947"/>
      <c r="GQ30" s="947"/>
      <c r="GR30" s="947"/>
      <c r="GS30" s="947"/>
      <c r="GT30" s="947"/>
      <c r="GU30" s="947"/>
      <c r="GV30" s="947"/>
      <c r="GW30" s="947"/>
      <c r="GX30" s="947"/>
      <c r="GY30" s="947"/>
      <c r="GZ30" s="947"/>
      <c r="HA30" s="947"/>
      <c r="HB30" s="947"/>
      <c r="HC30" s="947"/>
      <c r="HD30" s="947"/>
      <c r="HE30" s="947"/>
      <c r="HF30" s="947"/>
      <c r="HG30" s="947"/>
      <c r="HH30" s="947"/>
      <c r="HI30" s="947"/>
      <c r="HJ30" s="947"/>
      <c r="HK30" s="947"/>
      <c r="HL30" s="947"/>
      <c r="HM30" s="947"/>
      <c r="HN30" s="947"/>
      <c r="HO30" s="947"/>
      <c r="HP30" s="947"/>
      <c r="HQ30" s="947"/>
      <c r="HR30" s="947"/>
      <c r="HS30" s="947"/>
      <c r="HT30" s="947"/>
      <c r="HU30" s="947"/>
      <c r="HV30" s="947"/>
      <c r="HW30" s="947"/>
      <c r="HX30" s="947"/>
      <c r="HY30" s="947"/>
      <c r="HZ30" s="947"/>
      <c r="IA30" s="947"/>
      <c r="IB30" s="947"/>
      <c r="IC30" s="947"/>
      <c r="ID30" s="947"/>
      <c r="IE30" s="947"/>
      <c r="IF30" s="947"/>
      <c r="IG30" s="947"/>
      <c r="IH30" s="947"/>
      <c r="II30" s="947"/>
      <c r="IJ30" s="947"/>
      <c r="IK30" s="947"/>
      <c r="IL30" s="947"/>
      <c r="IM30" s="947"/>
      <c r="IN30" s="947"/>
      <c r="IO30" s="947"/>
      <c r="IP30" s="947"/>
      <c r="IQ30" s="947"/>
      <c r="IR30" s="947"/>
      <c r="IS30" s="947"/>
      <c r="IT30" s="947"/>
      <c r="IU30" s="947"/>
      <c r="IV30" s="947"/>
    </row>
    <row r="31" spans="1:256" s="458" customFormat="1" ht="12.75" x14ac:dyDescent="0.2">
      <c r="A31" s="460" t="s">
        <v>13</v>
      </c>
      <c r="F31" s="462"/>
      <c r="K31" s="462"/>
      <c r="P31" s="462"/>
      <c r="U31" s="462"/>
      <c r="Z31" s="462"/>
      <c r="AE31" s="462"/>
      <c r="AJ31" s="462"/>
      <c r="AO31" s="462"/>
      <c r="AT31" s="462"/>
      <c r="AY31" s="462"/>
      <c r="BD31" s="462"/>
      <c r="BI31" s="462"/>
      <c r="BN31" s="462"/>
      <c r="BS31" s="462"/>
      <c r="BU31" s="458">
        <f>BU29/BT29-1</f>
        <v>-1.0805245811425501E-2</v>
      </c>
      <c r="BV31" s="458">
        <f>BV29/BU29-1</f>
        <v>-6.2177835761129119E-3</v>
      </c>
      <c r="BW31" s="458">
        <f>BW29/BV29-1</f>
        <v>-9.8292697534184681E-3</v>
      </c>
      <c r="BX31" s="462"/>
      <c r="BY31" s="458">
        <f>BY29/BW29-1</f>
        <v>2.5765035630688882E-2</v>
      </c>
      <c r="BZ31" s="458">
        <f>BZ29/BY29-1</f>
        <v>-1.834837327943295E-2</v>
      </c>
      <c r="CA31" s="458">
        <f>CA29/BZ29-1</f>
        <v>5.6104249580957166E-4</v>
      </c>
      <c r="CB31" s="458">
        <f>CB29/CA29-1</f>
        <v>-1.1300714974143089E-2</v>
      </c>
      <c r="CC31" s="462"/>
      <c r="CD31" s="458">
        <f>CD29/CB29-1</f>
        <v>1.7885711075548594E-2</v>
      </c>
      <c r="CE31" s="458">
        <f>CE29/CD29-1</f>
        <v>-8.9679997624294572E-3</v>
      </c>
      <c r="CF31" s="458">
        <f>CF29/CE29-1</f>
        <v>-2.8402168870913624E-2</v>
      </c>
      <c r="CG31" s="458">
        <f>CG29/CF29-1</f>
        <v>-1.5587159232850589E-2</v>
      </c>
      <c r="CH31" s="462"/>
      <c r="CI31" s="458">
        <f>CI29/CG29-1</f>
        <v>2.8555379038254669E-2</v>
      </c>
      <c r="CJ31" s="458">
        <f>CJ29/CI29-1</f>
        <v>-1.1808631369719991E-2</v>
      </c>
      <c r="CK31" s="458">
        <f>CK29/CJ29-1</f>
        <v>6.2407478334405297E-3</v>
      </c>
      <c r="CL31" s="458">
        <f>CL29/CK29-1</f>
        <v>-1.4797530007562232E-2</v>
      </c>
      <c r="CM31" s="462"/>
      <c r="CN31" s="458">
        <f>CN29/CL29-1</f>
        <v>1.1598944332732231E-2</v>
      </c>
      <c r="CO31" s="458">
        <f>CO29/CN29-1</f>
        <v>4.7446688955852245E-3</v>
      </c>
      <c r="CP31" s="458">
        <f>CP29/CO29-1</f>
        <v>-3.0493329160010685E-3</v>
      </c>
      <c r="CQ31" s="458">
        <f>CQ29/CP29-1</f>
        <v>-7.6462537033165079E-3</v>
      </c>
      <c r="CR31" s="462"/>
      <c r="CS31" s="458">
        <f>CS29/CQ29-1</f>
        <v>3.5424837295336964E-2</v>
      </c>
      <c r="CT31" s="458">
        <f>CT29/CS29-1</f>
        <v>1.0997130138982403E-2</v>
      </c>
      <c r="CU31" s="458">
        <f>CU29/CT29-1</f>
        <v>-8.9804165276737846E-3</v>
      </c>
      <c r="CV31" s="458">
        <f>CV29/CU29-1</f>
        <v>-1.2630514122740411E-2</v>
      </c>
      <c r="CW31" s="462"/>
      <c r="CX31" s="458">
        <f>CX29/CV29-1</f>
        <v>3.3563901072329871E-2</v>
      </c>
      <c r="CY31" s="458">
        <f>CY29/CX29-1</f>
        <v>-2.4117748616472756E-2</v>
      </c>
      <c r="CZ31" s="458">
        <f>CZ29/CY29-1</f>
        <v>1.0265682313151281E-2</v>
      </c>
      <c r="DA31" s="458">
        <f>DA29/CZ29-1</f>
        <v>5.0288495473593819E-3</v>
      </c>
      <c r="DB31" s="462"/>
      <c r="DC31" s="458">
        <f>DC29/DA29-1</f>
        <v>1.6689776535134593E-2</v>
      </c>
      <c r="DD31" s="458">
        <f>DD29/DC29-1</f>
        <v>-5.2052349392361918E-3</v>
      </c>
      <c r="DE31" s="458">
        <f>DE29/DD29-1</f>
        <v>-2.7102102761123681E-2</v>
      </c>
      <c r="DF31" s="458">
        <f>DF29/DE29-1</f>
        <v>7.9487117396355167E-3</v>
      </c>
      <c r="DG31" s="462"/>
      <c r="DH31" s="458">
        <f>DH29/DF29-1</f>
        <v>3.5825890110971592E-2</v>
      </c>
      <c r="DI31" s="458">
        <f>DI29/DH29-1</f>
        <v>4.2019456374835507E-3</v>
      </c>
      <c r="DJ31" s="458">
        <f>DJ29/DI29-1</f>
        <v>-3.8584492281697913E-2</v>
      </c>
      <c r="DK31" s="458">
        <f>DK29/DJ29-1</f>
        <v>-8.5991170890132862E-3</v>
      </c>
      <c r="DL31" s="462"/>
      <c r="DM31" s="458">
        <f>DM29/DK29-1</f>
        <v>-4.1908692427523597E-3</v>
      </c>
      <c r="DN31" s="458">
        <f>DN29/DM29-1</f>
        <v>-4.3184435272585198E-3</v>
      </c>
      <c r="DO31" s="458">
        <f>DO29/DN29-1</f>
        <v>-1.5480582063333914E-2</v>
      </c>
      <c r="DP31" s="458">
        <f>DP29/DO29-1</f>
        <v>1.1162391314688991E-2</v>
      </c>
      <c r="DQ31" s="462"/>
      <c r="DR31" s="458">
        <f>DR29/DP29-1</f>
        <v>2.4088058723066519E-2</v>
      </c>
      <c r="DS31" s="458">
        <f>DS29/DR29-1</f>
        <v>-1.1395479170558387E-2</v>
      </c>
      <c r="DT31" s="458">
        <f>DT29/DS29-1</f>
        <v>-1.4250502963490397E-2</v>
      </c>
      <c r="DU31" s="458">
        <f>DU29/DT29-1</f>
        <v>9.7324923879946734E-3</v>
      </c>
      <c r="DV31" s="462"/>
      <c r="DW31" s="458">
        <f>DW29/DU29-1</f>
        <v>1.5431748553273561E-2</v>
      </c>
      <c r="DX31" s="458">
        <f>DX29/DW29-1</f>
        <v>5.8088512473928322E-3</v>
      </c>
      <c r="DY31" s="458">
        <f>DY29/DX29-1</f>
        <v>-1.8242473509961776E-2</v>
      </c>
      <c r="DZ31" s="458">
        <f>DZ29/DY29-1</f>
        <v>2.0066406728838082E-2</v>
      </c>
      <c r="EA31" s="462"/>
      <c r="EB31" s="458">
        <f>EB29/DZ29-1</f>
        <v>6.0641091067057395E-3</v>
      </c>
      <c r="EC31" s="458">
        <f>EC29/EB29-1</f>
        <v>-1.8219837665057859E-2</v>
      </c>
      <c r="ED31" s="458">
        <f>ED29/EC29-1</f>
        <v>-3.4719405291544492E-3</v>
      </c>
      <c r="EE31" s="458">
        <f>EE29/ED29-1</f>
        <v>6.7190606610296744E-3</v>
      </c>
      <c r="EF31" s="462"/>
      <c r="EG31" s="458">
        <f>EG29/EE29-1</f>
        <v>-1.6325449311619611E-2</v>
      </c>
      <c r="EH31" s="458">
        <f>EH29/EG29-1</f>
        <v>3.4154166623996396E-3</v>
      </c>
      <c r="EI31" s="458">
        <f>EI29/EH29-1</f>
        <v>-6.615400232110491E-3</v>
      </c>
      <c r="EJ31" s="458">
        <f>EJ29/EI29-1</f>
        <v>3.8071214699755274E-3</v>
      </c>
      <c r="EK31" s="462"/>
      <c r="EL31" s="458">
        <f>EL29/EJ29-1</f>
        <v>2.318916820774497E-2</v>
      </c>
      <c r="EM31" s="458">
        <f>EM29/EL29-1</f>
        <v>-1.2166201287081013E-2</v>
      </c>
      <c r="EN31" s="458">
        <f>EN29/EM29-1</f>
        <v>-1.6198314320099438E-3</v>
      </c>
      <c r="EO31" s="458">
        <f>EO29/EN29-1</f>
        <v>-1.7583248019951814E-2</v>
      </c>
      <c r="EP31" s="462"/>
      <c r="EQ31" s="458">
        <f>EQ29/EO29-1</f>
        <v>8.8518614944024243E-3</v>
      </c>
      <c r="ER31" s="458">
        <f>ER29/EQ29-1</f>
        <v>-2.4265850053313276E-3</v>
      </c>
      <c r="ES31" s="458">
        <f>ES29/ER29-1</f>
        <v>-6.5557343691712289E-3</v>
      </c>
      <c r="ET31" s="458">
        <f>ET29/ES29-1</f>
        <v>-9.2183071842212305E-3</v>
      </c>
      <c r="EU31" s="940"/>
      <c r="EZ31" s="740"/>
      <c r="FE31" s="740"/>
      <c r="FF31" s="740"/>
      <c r="FG31" s="620"/>
      <c r="FH31" s="1088">
        <f>AVERAGE(CI31,CN31,CS31,CX31,DC31,DH31,DM31,DR31,DW31,EB31,EG31,EL31,EQ31)</f>
        <v>1.6828258147352396E-2</v>
      </c>
      <c r="FI31" s="1088">
        <f>AVERAGE(CJ31,CO31,CT31,CY31,DD31,DI31,DN31,DS31,DX31,EC31,EH31,EM31)</f>
        <v>-4.8386303327950892E-3</v>
      </c>
      <c r="FJ31" s="1088">
        <f>AVERAGE(CK31,CP31,CU31,CZ31,DE31,DJ31,DO31,DT31,DY31,ED31,EI31,EN31)</f>
        <v>-1.0074220422497135E-2</v>
      </c>
      <c r="FK31" s="1088">
        <f>AVERAGE(CL31,CQ31,CV31,DA31,DF31,DK31,DP31,DU31,DZ31,EE31,EJ31,EO31)</f>
        <v>2.6736424224479971E-4</v>
      </c>
      <c r="FL31" s="1795"/>
      <c r="FM31" s="458">
        <f t="shared" si="98"/>
        <v>8.8518614944024243E-3</v>
      </c>
      <c r="FN31" s="458">
        <f t="shared" si="99"/>
        <v>2.318916820774497E-2</v>
      </c>
      <c r="FO31" s="2040">
        <v>9.2960348412400862E-3</v>
      </c>
      <c r="FP31" s="1888">
        <f>IFERROR(($FM31-FN31)*10000,"")</f>
        <v>-143.37306713342545</v>
      </c>
      <c r="FQ31" s="1888">
        <f>IFERROR(($FM31-FO31)*10000,"")</f>
        <v>-4.4417334683766185</v>
      </c>
      <c r="FR31" s="566"/>
      <c r="FS31" s="566"/>
      <c r="FT31" s="566"/>
      <c r="FU31" s="566"/>
      <c r="FV31" s="566"/>
      <c r="FW31" s="566"/>
      <c r="FX31" s="566"/>
      <c r="FY31" s="566"/>
      <c r="FZ31" s="566"/>
      <c r="GA31" s="620"/>
      <c r="GB31"/>
      <c r="GC31"/>
      <c r="GD31"/>
      <c r="GE31"/>
      <c r="GF31"/>
      <c r="GG31"/>
      <c r="GH31" s="913"/>
      <c r="GI31" s="913"/>
      <c r="GJ31" s="913"/>
      <c r="GK31" s="913"/>
      <c r="GL31" s="913"/>
      <c r="GM31" s="913"/>
      <c r="GN31" s="913"/>
      <c r="GO31" s="913"/>
      <c r="GP31" s="913"/>
      <c r="GQ31" s="913"/>
      <c r="GR31" s="913"/>
      <c r="GS31" s="913"/>
      <c r="GT31" s="913"/>
      <c r="GU31" s="913"/>
      <c r="GV31" s="913"/>
      <c r="GW31" s="913"/>
      <c r="GX31" s="913"/>
      <c r="GY31" s="913"/>
      <c r="GZ31" s="913"/>
      <c r="HA31" s="913"/>
      <c r="HB31" s="913"/>
      <c r="HC31" s="913"/>
      <c r="HD31" s="913"/>
      <c r="HE31" s="913"/>
      <c r="HF31" s="913"/>
      <c r="HG31" s="913"/>
      <c r="HH31" s="913"/>
      <c r="HI31" s="913"/>
      <c r="HJ31" s="913"/>
      <c r="HK31" s="913"/>
      <c r="HL31" s="913"/>
      <c r="HM31" s="913"/>
      <c r="HN31" s="913"/>
      <c r="HO31" s="913"/>
      <c r="HP31" s="913"/>
      <c r="HQ31" s="913"/>
      <c r="HR31" s="913"/>
      <c r="HS31" s="913"/>
      <c r="HT31" s="913"/>
      <c r="HU31" s="913"/>
      <c r="HV31" s="913"/>
      <c r="HW31" s="913"/>
      <c r="HX31" s="913"/>
      <c r="HY31" s="913"/>
      <c r="HZ31" s="913"/>
      <c r="IA31" s="913"/>
      <c r="IB31" s="913"/>
      <c r="IC31" s="913"/>
      <c r="ID31" s="913"/>
      <c r="IE31" s="913"/>
      <c r="IF31" s="913"/>
      <c r="IG31" s="913"/>
      <c r="IH31" s="913"/>
      <c r="II31" s="913"/>
      <c r="IJ31" s="913"/>
      <c r="IK31" s="913"/>
      <c r="IL31" s="913"/>
      <c r="IM31" s="913"/>
      <c r="IN31" s="913"/>
      <c r="IO31" s="913"/>
      <c r="IP31" s="913"/>
      <c r="IQ31" s="913"/>
      <c r="IR31" s="913"/>
      <c r="IS31" s="913"/>
      <c r="IT31" s="913"/>
      <c r="IU31" s="913"/>
      <c r="IV31" s="913"/>
    </row>
    <row r="32" spans="1:256" s="24" customFormat="1" ht="12.75" x14ac:dyDescent="0.2">
      <c r="A32" s="23" t="s">
        <v>77</v>
      </c>
      <c r="E32" s="198"/>
      <c r="F32" s="30"/>
      <c r="J32" s="198"/>
      <c r="K32" s="30"/>
      <c r="O32" s="198"/>
      <c r="P32" s="30"/>
      <c r="T32" s="198"/>
      <c r="U32" s="30"/>
      <c r="Y32" s="198"/>
      <c r="Z32" s="30"/>
      <c r="AD32" s="198"/>
      <c r="AE32" s="30"/>
      <c r="AI32" s="198"/>
      <c r="AJ32" s="30"/>
      <c r="AN32" s="198"/>
      <c r="AO32" s="30"/>
      <c r="AS32" s="198"/>
      <c r="AT32" s="30"/>
      <c r="AX32" s="198"/>
      <c r="AY32" s="30"/>
      <c r="BC32" s="198"/>
      <c r="BD32" s="30"/>
      <c r="BH32" s="198"/>
      <c r="BI32" s="30"/>
      <c r="BM32" s="198"/>
      <c r="BN32" s="30"/>
      <c r="BR32" s="198"/>
      <c r="BS32" s="30"/>
      <c r="BW32" s="198"/>
      <c r="BX32" s="30"/>
      <c r="BY32" s="24">
        <f t="shared" ref="BY32:DD32" si="107">BY43/BY13*1000</f>
        <v>51223.676721684693</v>
      </c>
      <c r="BZ32" s="24">
        <f t="shared" si="107"/>
        <v>50501.279863481235</v>
      </c>
      <c r="CA32" s="24">
        <f t="shared" si="107"/>
        <v>49666.61416496036</v>
      </c>
      <c r="CB32" s="198">
        <f t="shared" si="107"/>
        <v>49343.641363565614</v>
      </c>
      <c r="CC32" s="30">
        <f t="shared" si="107"/>
        <v>50159.427668068914</v>
      </c>
      <c r="CD32" s="24">
        <f t="shared" si="107"/>
        <v>50721.479499934518</v>
      </c>
      <c r="CE32" s="24">
        <f t="shared" si="107"/>
        <v>50156.578879819295</v>
      </c>
      <c r="CF32" s="24">
        <f t="shared" si="107"/>
        <v>48235.707473774033</v>
      </c>
      <c r="CG32" s="198">
        <f t="shared" si="107"/>
        <v>48204.921339249697</v>
      </c>
      <c r="CH32" s="30">
        <f t="shared" si="107"/>
        <v>49303.180010161159</v>
      </c>
      <c r="CI32" s="24">
        <f t="shared" si="107"/>
        <v>49407.316574698554</v>
      </c>
      <c r="CJ32" s="24">
        <f t="shared" si="107"/>
        <v>48649.182594952334</v>
      </c>
      <c r="CK32" s="24">
        <f t="shared" si="107"/>
        <v>48219.398262092516</v>
      </c>
      <c r="CL32" s="198">
        <f t="shared" si="107"/>
        <v>48130.283698978266</v>
      </c>
      <c r="CM32" s="30">
        <f t="shared" si="107"/>
        <v>48602.057993393159</v>
      </c>
      <c r="CN32" s="24">
        <f t="shared" si="107"/>
        <v>48356.932941490784</v>
      </c>
      <c r="CO32" s="24">
        <f t="shared" si="107"/>
        <v>48653.658034289241</v>
      </c>
      <c r="CP32" s="24">
        <f t="shared" si="107"/>
        <v>47928.343198365721</v>
      </c>
      <c r="CQ32" s="198">
        <f t="shared" si="107"/>
        <v>48072.295599165816</v>
      </c>
      <c r="CR32" s="30">
        <f t="shared" si="107"/>
        <v>48254.971684446202</v>
      </c>
      <c r="CS32" s="24">
        <f t="shared" si="107"/>
        <v>49288.840262582053</v>
      </c>
      <c r="CT32" s="24">
        <f t="shared" si="107"/>
        <v>49342.451341399261</v>
      </c>
      <c r="CU32" s="24">
        <f t="shared" si="107"/>
        <v>48435.603862185402</v>
      </c>
      <c r="CV32" s="198">
        <f t="shared" si="107"/>
        <v>48400.185485740782</v>
      </c>
      <c r="CW32" s="30">
        <f t="shared" si="107"/>
        <v>48874.073066194978</v>
      </c>
      <c r="CX32" s="24">
        <f t="shared" si="107"/>
        <v>50975.54273151965</v>
      </c>
      <c r="CY32" s="24">
        <f t="shared" si="107"/>
        <v>49918.572541244779</v>
      </c>
      <c r="CZ32" s="24">
        <f t="shared" si="107"/>
        <v>50321.902509525695</v>
      </c>
      <c r="DA32" s="24">
        <f t="shared" si="107"/>
        <v>50280.755487493618</v>
      </c>
      <c r="DB32" s="30">
        <f t="shared" si="107"/>
        <v>50375.169959545434</v>
      </c>
      <c r="DC32" s="24">
        <f t="shared" si="107"/>
        <v>50982.374123444308</v>
      </c>
      <c r="DD32" s="24">
        <f t="shared" si="107"/>
        <v>50703.570182579373</v>
      </c>
      <c r="DE32" s="24">
        <f t="shared" ref="DE32:EK32" si="108">DE43/DE13*1000</f>
        <v>49583.475978546165</v>
      </c>
      <c r="DF32" s="24">
        <f t="shared" si="108"/>
        <v>50093.632958801492</v>
      </c>
      <c r="DG32" s="30">
        <f t="shared" si="108"/>
        <v>50324.50732543871</v>
      </c>
      <c r="DH32" s="24">
        <f t="shared" si="108"/>
        <v>51367.461430575037</v>
      </c>
      <c r="DI32" s="24">
        <f t="shared" si="108"/>
        <v>50758.296491129891</v>
      </c>
      <c r="DJ32" s="24">
        <f t="shared" si="108"/>
        <v>50002.762583568147</v>
      </c>
      <c r="DK32" s="24">
        <f t="shared" si="108"/>
        <v>50146.676260585598</v>
      </c>
      <c r="DL32" s="30">
        <f t="shared" si="108"/>
        <v>50557.296864238822</v>
      </c>
      <c r="DM32" s="24">
        <f t="shared" si="108"/>
        <v>50034.666050381325</v>
      </c>
      <c r="DN32" s="24">
        <f t="shared" si="108"/>
        <v>49963.874840215642</v>
      </c>
      <c r="DO32" s="24">
        <f t="shared" si="108"/>
        <v>49187.675070028017</v>
      </c>
      <c r="DP32" s="24">
        <f t="shared" si="108"/>
        <v>49662.4072317393</v>
      </c>
      <c r="DQ32" s="30">
        <f t="shared" si="108"/>
        <v>49710.153084196303</v>
      </c>
      <c r="DR32" s="24">
        <f t="shared" si="108"/>
        <v>50627.94348508634</v>
      </c>
      <c r="DS32" s="24">
        <f t="shared" si="108"/>
        <v>50375.367207050382</v>
      </c>
      <c r="DT32" s="24">
        <f t="shared" si="108"/>
        <v>49431.909967153086</v>
      </c>
      <c r="DU32" s="24">
        <f t="shared" si="108"/>
        <v>50214.822771213745</v>
      </c>
      <c r="DV32" s="269">
        <f t="shared" si="108"/>
        <v>50157.337656145704</v>
      </c>
      <c r="DW32" s="24">
        <f t="shared" si="108"/>
        <v>50607.057755588336</v>
      </c>
      <c r="DX32" s="24">
        <f t="shared" si="108"/>
        <v>50577.378851293433</v>
      </c>
      <c r="DY32" s="24">
        <f t="shared" si="108"/>
        <v>49975.012493753129</v>
      </c>
      <c r="DZ32" s="24">
        <f t="shared" si="108"/>
        <v>51343.221657504415</v>
      </c>
      <c r="EA32" s="269">
        <f t="shared" si="108"/>
        <v>50619.55204628074</v>
      </c>
      <c r="EB32" s="24">
        <f t="shared" si="108"/>
        <v>51550.968314743914</v>
      </c>
      <c r="EC32" s="24">
        <f t="shared" si="108"/>
        <v>51158.948944298172</v>
      </c>
      <c r="ED32" s="24">
        <f t="shared" si="108"/>
        <v>50870.216392088005</v>
      </c>
      <c r="EE32" s="24">
        <f t="shared" si="108"/>
        <v>52068.315404236433</v>
      </c>
      <c r="EF32" s="269">
        <f t="shared" si="108"/>
        <v>51397.932851087731</v>
      </c>
      <c r="EG32" s="24">
        <f t="shared" si="108"/>
        <v>51334.585396391791</v>
      </c>
      <c r="EH32" s="24">
        <f t="shared" si="108"/>
        <v>51430.158289364066</v>
      </c>
      <c r="EI32" s="24">
        <f t="shared" si="108"/>
        <v>50370.529481258731</v>
      </c>
      <c r="EJ32" s="24">
        <f t="shared" si="108"/>
        <v>50709.277678134677</v>
      </c>
      <c r="EK32" s="269">
        <f t="shared" si="108"/>
        <v>50952.518699119792</v>
      </c>
      <c r="EL32" s="24">
        <f>EL43/EL13*1000</f>
        <v>51229.286255821513</v>
      </c>
      <c r="EM32" s="24">
        <f t="shared" ref="EM32:EP32" si="109">EM43/EM13*1000</f>
        <v>50502.407368641405</v>
      </c>
      <c r="EN32" s="24">
        <f t="shared" si="109"/>
        <v>50077.760497667186</v>
      </c>
      <c r="EO32" s="24">
        <f t="shared" si="109"/>
        <v>49919.484702093396</v>
      </c>
      <c r="EP32" s="269">
        <f t="shared" si="109"/>
        <v>50423.700978782108</v>
      </c>
      <c r="EQ32" s="24">
        <f>EQ43/EQ13*1000</f>
        <v>49989.49800462088</v>
      </c>
      <c r="ER32" s="24">
        <f t="shared" ref="ER32:EU32" si="110">EM32*(1+ER33)</f>
        <v>49851.249979278509</v>
      </c>
      <c r="ES32" s="24">
        <f t="shared" si="110"/>
        <v>49187.690523735197</v>
      </c>
      <c r="ET32" s="24">
        <f t="shared" si="110"/>
        <v>49449.720444308754</v>
      </c>
      <c r="EU32" s="1934">
        <f t="shared" si="110"/>
        <v>49636.086419353727</v>
      </c>
      <c r="EZ32" s="741">
        <f>EU32*(1+EZ33)</f>
        <v>49425.973042794991</v>
      </c>
      <c r="FE32" s="741">
        <f>EZ32*(1+FE33)</f>
        <v>49312.952579171855</v>
      </c>
      <c r="FF32" s="741"/>
      <c r="FG32" s="620"/>
      <c r="FH32" s="1019"/>
      <c r="FI32" s="1019"/>
      <c r="FJ32" s="1019"/>
      <c r="FK32" s="1019"/>
      <c r="FL32" s="1794"/>
      <c r="FM32" s="24">
        <f t="shared" si="98"/>
        <v>49989.49800462088</v>
      </c>
      <c r="FN32" s="24">
        <f t="shared" si="99"/>
        <v>51229.286255821513</v>
      </c>
      <c r="FO32" s="24">
        <v>50097.085292685522</v>
      </c>
      <c r="FP32" s="34">
        <f>IFERROR(($FM32/FN32)-1,"")</f>
        <v>-2.4200771508108732E-2</v>
      </c>
      <c r="FQ32" s="34">
        <f>IFERROR(($FM32/FO32)-1,"")</f>
        <v>-2.1475758007891699E-3</v>
      </c>
      <c r="FR32" s="532"/>
      <c r="FS32" s="532"/>
      <c r="FT32" s="532"/>
      <c r="FU32" s="532"/>
      <c r="FV32" s="532"/>
      <c r="FW32" s="532"/>
      <c r="FX32" s="532"/>
      <c r="FY32" s="532"/>
      <c r="FZ32" s="532"/>
      <c r="GA32" s="620"/>
      <c r="GB32"/>
      <c r="GC32"/>
      <c r="GD32"/>
      <c r="GE32"/>
      <c r="GF32"/>
      <c r="GG32"/>
      <c r="GH32" s="945"/>
      <c r="GI32" s="945"/>
      <c r="GJ32" s="945"/>
      <c r="GK32" s="945"/>
      <c r="GL32" s="945"/>
      <c r="GM32" s="945"/>
      <c r="GN32" s="945"/>
      <c r="GO32" s="945"/>
      <c r="GP32" s="945"/>
      <c r="GQ32" s="945"/>
      <c r="GR32" s="945"/>
      <c r="GS32" s="945"/>
      <c r="GT32" s="945"/>
      <c r="GU32" s="945"/>
      <c r="GV32" s="945"/>
      <c r="GW32" s="945"/>
      <c r="GX32" s="945"/>
      <c r="GY32" s="945"/>
      <c r="GZ32" s="945"/>
      <c r="HA32" s="945"/>
      <c r="HB32" s="945"/>
      <c r="HC32" s="945"/>
      <c r="HD32" s="945"/>
      <c r="HE32" s="945"/>
      <c r="HF32" s="945"/>
      <c r="HG32" s="945"/>
      <c r="HH32" s="945"/>
      <c r="HI32" s="945"/>
      <c r="HJ32" s="945"/>
      <c r="HK32" s="945"/>
      <c r="HL32" s="945"/>
      <c r="HM32" s="945"/>
      <c r="HN32" s="945"/>
      <c r="HO32" s="945"/>
      <c r="HP32" s="945"/>
      <c r="HQ32" s="945"/>
      <c r="HR32" s="945"/>
      <c r="HS32" s="945"/>
      <c r="HT32" s="945"/>
      <c r="HU32" s="945"/>
      <c r="HV32" s="945"/>
      <c r="HW32" s="945"/>
      <c r="HX32" s="945"/>
      <c r="HY32" s="945"/>
      <c r="HZ32" s="945"/>
      <c r="IA32" s="945"/>
      <c r="IB32" s="945"/>
      <c r="IC32" s="945"/>
      <c r="ID32" s="945"/>
      <c r="IE32" s="945"/>
      <c r="IF32" s="945"/>
      <c r="IG32" s="945"/>
      <c r="IH32" s="945"/>
      <c r="II32" s="945"/>
      <c r="IJ32" s="945"/>
      <c r="IK32" s="945"/>
      <c r="IL32" s="945"/>
      <c r="IM32" s="945"/>
      <c r="IN32" s="945"/>
      <c r="IO32" s="945"/>
      <c r="IP32" s="945"/>
      <c r="IQ32" s="945"/>
      <c r="IR32" s="945"/>
      <c r="IS32" s="945"/>
      <c r="IT32" s="945"/>
      <c r="IU32" s="945"/>
      <c r="IV32" s="945"/>
    </row>
    <row r="33" spans="1:256" s="20" customFormat="1" ht="12.75" x14ac:dyDescent="0.2">
      <c r="A33" s="44" t="s">
        <v>93</v>
      </c>
      <c r="B33" s="22"/>
      <c r="C33" s="22"/>
      <c r="D33" s="22"/>
      <c r="E33" s="197"/>
      <c r="F33" s="21"/>
      <c r="G33" s="22"/>
      <c r="H33" s="22"/>
      <c r="I33" s="22"/>
      <c r="J33" s="197"/>
      <c r="K33" s="21"/>
      <c r="L33" s="22"/>
      <c r="M33" s="22"/>
      <c r="N33" s="22"/>
      <c r="O33" s="197"/>
      <c r="P33" s="21"/>
      <c r="Q33" s="22"/>
      <c r="R33" s="22"/>
      <c r="S33" s="22"/>
      <c r="T33" s="197"/>
      <c r="U33" s="21"/>
      <c r="V33" s="22"/>
      <c r="W33" s="22"/>
      <c r="X33" s="22"/>
      <c r="Y33" s="197"/>
      <c r="Z33" s="21"/>
      <c r="AA33" s="22"/>
      <c r="AB33" s="22"/>
      <c r="AC33" s="22"/>
      <c r="AD33" s="197"/>
      <c r="AE33" s="21"/>
      <c r="AF33" s="22"/>
      <c r="AG33" s="22"/>
      <c r="AH33" s="22"/>
      <c r="AI33" s="197"/>
      <c r="AJ33" s="21"/>
      <c r="AK33" s="22"/>
      <c r="AL33" s="22"/>
      <c r="AM33" s="22"/>
      <c r="AN33" s="197"/>
      <c r="AO33" s="21"/>
      <c r="AP33" s="22"/>
      <c r="AQ33" s="22"/>
      <c r="AR33" s="22"/>
      <c r="AS33" s="197"/>
      <c r="AT33" s="21"/>
      <c r="AU33" s="22"/>
      <c r="AV33" s="22"/>
      <c r="AW33" s="22"/>
      <c r="AX33" s="197"/>
      <c r="AY33" s="21"/>
      <c r="AZ33" s="22"/>
      <c r="BA33" s="22"/>
      <c r="BB33" s="22"/>
      <c r="BC33" s="197"/>
      <c r="BD33" s="21"/>
      <c r="BE33" s="22"/>
      <c r="BF33" s="22"/>
      <c r="BG33" s="22"/>
      <c r="BH33" s="197"/>
      <c r="BI33" s="21"/>
      <c r="BJ33" s="22"/>
      <c r="BK33" s="22"/>
      <c r="BL33" s="22"/>
      <c r="BM33" s="197"/>
      <c r="BN33" s="21"/>
      <c r="BO33" s="22"/>
      <c r="BP33" s="22"/>
      <c r="BQ33" s="22"/>
      <c r="BR33" s="197"/>
      <c r="BS33" s="21"/>
      <c r="BT33" s="22"/>
      <c r="BU33" s="22"/>
      <c r="BV33" s="22"/>
      <c r="BW33" s="197"/>
      <c r="BX33" s="21"/>
      <c r="BY33" s="22"/>
      <c r="BZ33" s="22"/>
      <c r="CA33" s="22"/>
      <c r="CB33" s="197"/>
      <c r="CC33" s="21"/>
      <c r="CD33" s="22">
        <f t="shared" ref="CD33:DY33" si="111">CD32/BY32-1</f>
        <v>-9.8040057623894894E-3</v>
      </c>
      <c r="CE33" s="22">
        <f t="shared" si="111"/>
        <v>-6.8255890661338414E-3</v>
      </c>
      <c r="CF33" s="22">
        <f t="shared" si="111"/>
        <v>-2.8810232290725102E-2</v>
      </c>
      <c r="CG33" s="197">
        <f t="shared" si="111"/>
        <v>-2.3077340724122708E-2</v>
      </c>
      <c r="CH33" s="21">
        <f t="shared" si="111"/>
        <v>-1.7070522885029527E-2</v>
      </c>
      <c r="CI33" s="22">
        <f t="shared" si="111"/>
        <v>-2.5909396535597096E-2</v>
      </c>
      <c r="CJ33" s="22">
        <f t="shared" si="111"/>
        <v>-3.0053809859696523E-2</v>
      </c>
      <c r="CK33" s="22">
        <f t="shared" si="111"/>
        <v>-3.3811490565127666E-4</v>
      </c>
      <c r="CL33" s="197">
        <f t="shared" si="111"/>
        <v>-1.5483406714048575E-3</v>
      </c>
      <c r="CM33" s="21">
        <f t="shared" si="111"/>
        <v>-1.4220624645783553E-2</v>
      </c>
      <c r="CN33" s="22">
        <f t="shared" si="111"/>
        <v>-2.1259677837789481E-2</v>
      </c>
      <c r="CO33" s="22">
        <f t="shared" si="111"/>
        <v>9.1994132237926962E-5</v>
      </c>
      <c r="CP33" s="22">
        <f t="shared" si="111"/>
        <v>-6.036057566392472E-3</v>
      </c>
      <c r="CQ33" s="197">
        <f t="shared" si="111"/>
        <v>-1.2048152505214071E-3</v>
      </c>
      <c r="CR33" s="21">
        <f t="shared" si="111"/>
        <v>-7.1413911936432095E-3</v>
      </c>
      <c r="CS33" s="22">
        <f t="shared" si="111"/>
        <v>1.9271431507428716E-2</v>
      </c>
      <c r="CT33" s="22">
        <f t="shared" si="111"/>
        <v>1.4157071326981852E-2</v>
      </c>
      <c r="CU33" s="22">
        <f t="shared" si="111"/>
        <v>1.0583730418558979E-2</v>
      </c>
      <c r="CV33" s="197">
        <f t="shared" si="111"/>
        <v>6.8207661499870564E-3</v>
      </c>
      <c r="CW33" s="21">
        <f t="shared" si="111"/>
        <v>1.2829794736950006E-2</v>
      </c>
      <c r="CX33" s="22">
        <f t="shared" si="111"/>
        <v>3.4220778171120125E-2</v>
      </c>
      <c r="CY33" s="22">
        <f t="shared" si="111"/>
        <v>1.1675974423308366E-2</v>
      </c>
      <c r="CZ33" s="22">
        <f t="shared" si="111"/>
        <v>3.8944464338824147E-2</v>
      </c>
      <c r="DA33" s="22">
        <f t="shared" si="111"/>
        <v>3.8854603197892024E-2</v>
      </c>
      <c r="DB33" s="21">
        <f t="shared" si="111"/>
        <v>3.0713562410019879E-2</v>
      </c>
      <c r="DC33" s="22">
        <f t="shared" si="111"/>
        <v>1.3401312783734021E-4</v>
      </c>
      <c r="DD33" s="22">
        <f t="shared" si="111"/>
        <v>1.5725562678820415E-2</v>
      </c>
      <c r="DE33" s="22">
        <f t="shared" si="111"/>
        <v>-1.4674058295783832E-2</v>
      </c>
      <c r="DF33" s="22">
        <f t="shared" si="111"/>
        <v>-3.7215536417043449E-3</v>
      </c>
      <c r="DG33" s="21">
        <f>DG32/DB32-1</f>
        <v>-1.0057064650582648E-3</v>
      </c>
      <c r="DH33" s="22">
        <f t="shared" si="111"/>
        <v>7.5533419883175856E-3</v>
      </c>
      <c r="DI33" s="22">
        <f t="shared" si="111"/>
        <v>1.0793383651970245E-3</v>
      </c>
      <c r="DJ33" s="22">
        <f t="shared" si="111"/>
        <v>8.4561761100290234E-3</v>
      </c>
      <c r="DK33" s="22">
        <f t="shared" si="111"/>
        <v>1.0588831085125427E-3</v>
      </c>
      <c r="DL33" s="28">
        <f>DL32/DG32-1</f>
        <v>4.6257688583954959E-3</v>
      </c>
      <c r="DM33" s="22">
        <f t="shared" si="111"/>
        <v>-2.5946296411689218E-2</v>
      </c>
      <c r="DN33" s="22">
        <f t="shared" si="111"/>
        <v>-1.5651069989180533E-2</v>
      </c>
      <c r="DO33" s="22">
        <f t="shared" si="111"/>
        <v>-1.6300849621616376E-2</v>
      </c>
      <c r="DP33" s="22">
        <f t="shared" si="111"/>
        <v>-9.6570513732516794E-3</v>
      </c>
      <c r="DQ33" s="28">
        <f>DQ32/DL32-1</f>
        <v>-1.6756113016036966E-2</v>
      </c>
      <c r="DR33" s="22">
        <f t="shared" si="111"/>
        <v>1.18573277596703E-2</v>
      </c>
      <c r="DS33" s="22">
        <f t="shared" si="111"/>
        <v>8.2357977268714411E-3</v>
      </c>
      <c r="DT33" s="22">
        <f t="shared" si="111"/>
        <v>4.9653677832375287E-3</v>
      </c>
      <c r="DU33" s="22">
        <f t="shared" si="111"/>
        <v>1.1123414475192828E-2</v>
      </c>
      <c r="DV33" s="672">
        <f>DV32/DQ32-1</f>
        <v>8.9958397672198487E-3</v>
      </c>
      <c r="DW33" s="22">
        <f t="shared" si="111"/>
        <v>-4.125336338055563E-4</v>
      </c>
      <c r="DX33" s="22">
        <f t="shared" si="111"/>
        <v>4.0101274778356899E-3</v>
      </c>
      <c r="DY33" s="22">
        <f t="shared" si="111"/>
        <v>1.0986881287025518E-2</v>
      </c>
      <c r="DZ33" s="22">
        <f t="shared" ref="DZ33:EI33" si="112">DZ32/DU32-1</f>
        <v>2.2471430227521072E-2</v>
      </c>
      <c r="EA33" s="672">
        <f t="shared" si="112"/>
        <v>9.2152895614945329E-3</v>
      </c>
      <c r="EB33" s="22">
        <f t="shared" si="112"/>
        <v>1.8651757304569694E-2</v>
      </c>
      <c r="EC33" s="22">
        <f t="shared" si="112"/>
        <v>1.1498620652419689E-2</v>
      </c>
      <c r="ED33" s="22">
        <f t="shared" si="112"/>
        <v>1.7913030005680897E-2</v>
      </c>
      <c r="EE33" s="22">
        <f t="shared" si="112"/>
        <v>1.4122482448976514E-2</v>
      </c>
      <c r="EF33" s="672">
        <f t="shared" si="112"/>
        <v>1.5377078092183138E-2</v>
      </c>
      <c r="EG33" s="22">
        <f t="shared" si="112"/>
        <v>-4.1974559436206427E-3</v>
      </c>
      <c r="EH33" s="22">
        <f t="shared" si="112"/>
        <v>5.3013079952284325E-3</v>
      </c>
      <c r="EI33" s="22">
        <f t="shared" si="112"/>
        <v>-9.8227793445555545E-3</v>
      </c>
      <c r="EJ33" s="22">
        <f>EJ32/EE32-1</f>
        <v>-2.6101050428667838E-2</v>
      </c>
      <c r="EK33" s="672">
        <f>EK32/EF32-1</f>
        <v>-8.6659934993574828E-3</v>
      </c>
      <c r="EL33" s="22">
        <f>EL32/EG32-1</f>
        <v>-2.0512319278939151E-3</v>
      </c>
      <c r="EM33" s="22">
        <f t="shared" ref="EM33:EN33" si="113">EM32/EH32-1</f>
        <v>-1.8039044630249967E-2</v>
      </c>
      <c r="EN33" s="22">
        <f t="shared" si="113"/>
        <v>-5.8123070495114115E-3</v>
      </c>
      <c r="EO33" s="22">
        <f>EO32/EJ32-1</f>
        <v>-1.5574920649714441E-2</v>
      </c>
      <c r="EP33" s="672">
        <f>EP32/EK32-1</f>
        <v>-1.0378637481307074E-2</v>
      </c>
      <c r="EQ33" s="22">
        <f>EQ32/EL32-1</f>
        <v>-2.4200771508108732E-2</v>
      </c>
      <c r="ER33" s="22">
        <f t="shared" ref="ER33:ET33" si="114">ER30</f>
        <v>-1.2893591083882106E-2</v>
      </c>
      <c r="ES33" s="22">
        <f t="shared" si="114"/>
        <v>-1.7773757553983471E-2</v>
      </c>
      <c r="ET33" s="22">
        <f t="shared" si="114"/>
        <v>-9.4104388414278928E-3</v>
      </c>
      <c r="EU33" s="1936">
        <f t="shared" ref="EU33" si="115">EU30</f>
        <v>-1.5619927616178031E-2</v>
      </c>
      <c r="EV33" s="405"/>
      <c r="EW33" s="405"/>
      <c r="EX33" s="405"/>
      <c r="EY33" s="405"/>
      <c r="EZ33" s="835">
        <f>EZ30</f>
        <v>-4.233077015451614E-3</v>
      </c>
      <c r="FA33" s="405"/>
      <c r="FB33" s="405"/>
      <c r="FC33" s="405"/>
      <c r="FD33" s="405"/>
      <c r="FE33" s="835">
        <f>FE30</f>
        <v>-2.2866613779212175E-3</v>
      </c>
      <c r="FF33" s="747"/>
      <c r="FG33" s="632"/>
      <c r="FH33" s="1025"/>
      <c r="FI33" s="1025"/>
      <c r="FJ33" s="1025"/>
      <c r="FK33" s="1025"/>
      <c r="FL33" s="1799"/>
      <c r="FM33" s="22">
        <f t="shared" si="98"/>
        <v>-2.4200771508108732E-2</v>
      </c>
      <c r="FN33" s="22">
        <f t="shared" si="99"/>
        <v>-2.0512319278939151E-3</v>
      </c>
      <c r="FO33" s="2041">
        <v>-2.2100658546796215E-2</v>
      </c>
      <c r="FP33" s="1892">
        <f>IFERROR(($FM33-FN33)*10000,"")</f>
        <v>-221.49539580214815</v>
      </c>
      <c r="FQ33" s="1892">
        <f>IFERROR(($FM33-FO33)*10000,"")</f>
        <v>-21.001129613125169</v>
      </c>
      <c r="FR33" s="537"/>
      <c r="FS33" s="537"/>
      <c r="FT33" s="537"/>
      <c r="FU33" s="537"/>
      <c r="FV33" s="537"/>
      <c r="FW33" s="537"/>
      <c r="FX33" s="537"/>
      <c r="FY33" s="537"/>
      <c r="FZ33" s="537"/>
      <c r="GA33" s="632"/>
      <c r="GB33"/>
      <c r="GC33"/>
      <c r="GD33"/>
      <c r="GE33"/>
      <c r="GF33"/>
      <c r="GG33"/>
      <c r="GH33" s="947"/>
      <c r="GI33" s="947"/>
      <c r="GJ33" s="947"/>
      <c r="GK33" s="947"/>
      <c r="GL33" s="947"/>
      <c r="GM33" s="947"/>
      <c r="GN33" s="947"/>
      <c r="GO33" s="947"/>
      <c r="GP33" s="947"/>
      <c r="GQ33" s="947"/>
      <c r="GR33" s="947"/>
      <c r="GS33" s="947"/>
      <c r="GT33" s="947"/>
      <c r="GU33" s="947"/>
      <c r="GV33" s="947"/>
      <c r="GW33" s="947"/>
      <c r="GX33" s="947"/>
      <c r="GY33" s="947"/>
      <c r="GZ33" s="947"/>
      <c r="HA33" s="947"/>
      <c r="HB33" s="947"/>
      <c r="HC33" s="947"/>
      <c r="HD33" s="947"/>
      <c r="HE33" s="947"/>
      <c r="HF33" s="947"/>
      <c r="HG33" s="947"/>
      <c r="HH33" s="947"/>
      <c r="HI33" s="947"/>
      <c r="HJ33" s="947"/>
      <c r="HK33" s="947"/>
      <c r="HL33" s="947"/>
      <c r="HM33" s="947"/>
      <c r="HN33" s="947"/>
      <c r="HO33" s="947"/>
      <c r="HP33" s="947"/>
      <c r="HQ33" s="947"/>
      <c r="HR33" s="947"/>
      <c r="HS33" s="947"/>
      <c r="HT33" s="947"/>
      <c r="HU33" s="947"/>
      <c r="HV33" s="947"/>
      <c r="HW33" s="947"/>
      <c r="HX33" s="947"/>
      <c r="HY33" s="947"/>
      <c r="HZ33" s="947"/>
      <c r="IA33" s="947"/>
      <c r="IB33" s="947"/>
      <c r="IC33" s="947"/>
      <c r="ID33" s="947"/>
      <c r="IE33" s="947"/>
      <c r="IF33" s="947"/>
      <c r="IG33" s="947"/>
      <c r="IH33" s="947"/>
      <c r="II33" s="947"/>
      <c r="IJ33" s="947"/>
      <c r="IK33" s="947"/>
      <c r="IL33" s="947"/>
      <c r="IM33" s="947"/>
      <c r="IN33" s="947"/>
      <c r="IO33" s="947"/>
      <c r="IP33" s="947"/>
      <c r="IQ33" s="947"/>
      <c r="IR33" s="947"/>
      <c r="IS33" s="947"/>
      <c r="IT33" s="947"/>
      <c r="IU33" s="947"/>
      <c r="IV33" s="947"/>
    </row>
    <row r="34" spans="1:256" s="458" customFormat="1" ht="12.75" x14ac:dyDescent="0.2">
      <c r="A34" s="460" t="s">
        <v>13</v>
      </c>
      <c r="F34" s="462"/>
      <c r="K34" s="462"/>
      <c r="P34" s="462"/>
      <c r="U34" s="462"/>
      <c r="Z34" s="462"/>
      <c r="AE34" s="462"/>
      <c r="AJ34" s="462"/>
      <c r="AO34" s="462"/>
      <c r="AT34" s="462"/>
      <c r="AY34" s="462"/>
      <c r="BD34" s="462"/>
      <c r="BI34" s="462"/>
      <c r="BN34" s="462"/>
      <c r="BS34" s="462"/>
      <c r="BX34" s="462"/>
      <c r="BZ34" s="458">
        <f>BZ32/BY32-1</f>
        <v>-1.4102791998483077E-2</v>
      </c>
      <c r="CA34" s="458">
        <f>CA32/BZ32-1</f>
        <v>-1.652761476099629E-2</v>
      </c>
      <c r="CB34" s="458">
        <f>CB32/CA32-1</f>
        <v>-6.5028149557777581E-3</v>
      </c>
      <c r="CC34" s="462"/>
      <c r="CD34" s="458">
        <f>CD32/CB32-1</f>
        <v>2.7923316931901088E-2</v>
      </c>
      <c r="CE34" s="458">
        <f>CE32/CD32-1</f>
        <v>-1.1137305648112106E-2</v>
      </c>
      <c r="CF34" s="458">
        <f>CF32/CE32-1</f>
        <v>-3.8297496538746811E-2</v>
      </c>
      <c r="CG34" s="458">
        <f>CG32/CF32-1</f>
        <v>-6.3824366090359241E-4</v>
      </c>
      <c r="CH34" s="462"/>
      <c r="CI34" s="458">
        <f>CI32/CG32-1</f>
        <v>2.4943412457554048E-2</v>
      </c>
      <c r="CJ34" s="458">
        <f>CJ32/CI32-1</f>
        <v>-1.5344569029568822E-2</v>
      </c>
      <c r="CK34" s="458">
        <f>CK32/CJ32-1</f>
        <v>-8.8343587689468928E-3</v>
      </c>
      <c r="CL34" s="458">
        <f>CL32/CK32-1</f>
        <v>-1.8481060802516547E-3</v>
      </c>
      <c r="CM34" s="462"/>
      <c r="CN34" s="458">
        <f>CN32/CL32-1</f>
        <v>4.7090776345730667E-3</v>
      </c>
      <c r="CO34" s="458">
        <f>CO32/CN32-1</f>
        <v>6.1361437698597143E-3</v>
      </c>
      <c r="CP34" s="458">
        <f>CP32/CO32-1</f>
        <v>-1.4907714347240808E-2</v>
      </c>
      <c r="CQ34" s="458">
        <f>CQ32/CP32-1</f>
        <v>3.0034921133055281E-3</v>
      </c>
      <c r="CR34" s="462"/>
      <c r="CS34" s="458">
        <f>CS32/CQ32-1</f>
        <v>2.5306564794824293E-2</v>
      </c>
      <c r="CT34" s="458">
        <f>CT32/CS32-1</f>
        <v>1.0876920319407013E-3</v>
      </c>
      <c r="CU34" s="458">
        <f>CU32/CT32-1</f>
        <v>-1.8378646673619881E-2</v>
      </c>
      <c r="CV34" s="458">
        <f>CV32/CU32-1</f>
        <v>-7.3124671977653488E-4</v>
      </c>
      <c r="CW34" s="462"/>
      <c r="CX34" s="458">
        <f>CX32/CV32-1</f>
        <v>5.3209656531948646E-2</v>
      </c>
      <c r="CY34" s="458">
        <f>CY32/CX32-1</f>
        <v>-2.073484917741375E-2</v>
      </c>
      <c r="CZ34" s="458">
        <f>CZ32/CY32-1</f>
        <v>8.0797576482714017E-3</v>
      </c>
      <c r="DA34" s="458">
        <f>DA32/CZ32-1</f>
        <v>-8.1767620022488163E-4</v>
      </c>
      <c r="DB34" s="462"/>
      <c r="DC34" s="458">
        <f>DC32/DA32-1</f>
        <v>1.3954019368806136E-2</v>
      </c>
      <c r="DD34" s="458">
        <f>DD32/DC32-1</f>
        <v>-5.4686339280681784E-3</v>
      </c>
      <c r="DE34" s="458">
        <f>DE32/DD32-1</f>
        <v>-2.2091032248810927E-2</v>
      </c>
      <c r="DF34" s="458">
        <f>DF32/DE32-1</f>
        <v>1.0288850674286421E-2</v>
      </c>
      <c r="DG34" s="462"/>
      <c r="DH34" s="458">
        <f>DH32/DF32-1</f>
        <v>2.542894967951681E-2</v>
      </c>
      <c r="DI34" s="458">
        <f>DI32/DH32-1</f>
        <v>-1.1858965237525942E-2</v>
      </c>
      <c r="DJ34" s="458">
        <f>DJ32/DI32-1</f>
        <v>-1.4884934282492601E-2</v>
      </c>
      <c r="DK34" s="458">
        <f>DK32/DJ32-1</f>
        <v>2.8781145197114277E-3</v>
      </c>
      <c r="DL34" s="462"/>
      <c r="DM34" s="458">
        <f>DM32/DK32-1</f>
        <v>-2.2336517304201164E-3</v>
      </c>
      <c r="DN34" s="458">
        <f>DN32/DM32-1</f>
        <v>-1.4148432627570928E-3</v>
      </c>
      <c r="DO34" s="458">
        <f>DO32/DN32-1</f>
        <v>-1.5535219649595033E-2</v>
      </c>
      <c r="DP34" s="458">
        <f>DP32/DO32-1</f>
        <v>9.6514454288683105E-3</v>
      </c>
      <c r="DQ34" s="462"/>
      <c r="DR34" s="458">
        <f>DR32/DP32-1</f>
        <v>1.9441994602508172E-2</v>
      </c>
      <c r="DS34" s="458">
        <f>DS32/DR32-1</f>
        <v>-4.9888709801211295E-3</v>
      </c>
      <c r="DT34" s="458">
        <f>DT32/DS32-1</f>
        <v>-1.8728543179041157E-2</v>
      </c>
      <c r="DU34" s="458">
        <f>DU32/DT32-1</f>
        <v>1.5838206627680318E-2</v>
      </c>
      <c r="DV34" s="462"/>
      <c r="DW34" s="458">
        <f>DW32/DU32-1</f>
        <v>7.8111394749249552E-3</v>
      </c>
      <c r="DX34" s="458">
        <f>DX32/DW32-1</f>
        <v>-5.8645781065236324E-4</v>
      </c>
      <c r="DY34" s="458">
        <f>DY32/DX32-1</f>
        <v>-1.1909797842853176E-2</v>
      </c>
      <c r="DZ34" s="458">
        <f>DZ32/DY32-1</f>
        <v>2.7377865366663201E-2</v>
      </c>
      <c r="EA34" s="462"/>
      <c r="EB34" s="458">
        <f>EB32/DZ32-1</f>
        <v>4.0462333786788207E-3</v>
      </c>
      <c r="EC34" s="458">
        <f>EC32/EB32-1</f>
        <v>-7.6045006187327457E-3</v>
      </c>
      <c r="ED34" s="458">
        <f>ED32/EC32-1</f>
        <v>-5.6438327637368113E-3</v>
      </c>
      <c r="EE34" s="458">
        <f>EE32/ED32-1</f>
        <v>2.3552072256071144E-2</v>
      </c>
      <c r="EF34" s="462"/>
      <c r="EG34" s="458">
        <f>EG32/EE32-1</f>
        <v>-1.409167940518663E-2</v>
      </c>
      <c r="EH34" s="458">
        <f>EH32/EG32-1</f>
        <v>1.8617641933655893E-3</v>
      </c>
      <c r="EI34" s="458">
        <f>EI32/EH32-1</f>
        <v>-2.060325776451033E-2</v>
      </c>
      <c r="EJ34" s="458">
        <f>EJ32/EI32-1</f>
        <v>6.7251267827546091E-3</v>
      </c>
      <c r="EK34" s="462"/>
      <c r="EL34" s="458">
        <f>EL32/EJ32-1</f>
        <v>1.0254702916248748E-2</v>
      </c>
      <c r="EM34" s="458">
        <f>EM32/EL32-1</f>
        <v>-1.4188737347429092E-2</v>
      </c>
      <c r="EN34" s="458">
        <f>EN32/EM32-1</f>
        <v>-8.4084480938604322E-3</v>
      </c>
      <c r="EO34" s="458">
        <f>EO32/EN32-1</f>
        <v>-3.1606005140977222E-3</v>
      </c>
      <c r="EP34" s="462"/>
      <c r="EQ34" s="458">
        <f>EQ32/EO32-1</f>
        <v>1.4025245441795509E-3</v>
      </c>
      <c r="ER34" s="458">
        <f>ER32/EQ32-1</f>
        <v>-2.7655413809034579E-3</v>
      </c>
      <c r="ES34" s="458">
        <f>ES32/ER32-1</f>
        <v>-1.3310788712803223E-2</v>
      </c>
      <c r="ET34" s="458">
        <f>ET32/ES32-1</f>
        <v>5.3271442058682172E-3</v>
      </c>
      <c r="EU34" s="940"/>
      <c r="EZ34" s="740"/>
      <c r="FE34" s="740"/>
      <c r="FF34" s="740"/>
      <c r="FG34" s="618"/>
      <c r="FH34" s="1054"/>
      <c r="FI34" s="1054"/>
      <c r="FJ34" s="1054"/>
      <c r="FK34" s="1054"/>
      <c r="FL34" s="1795"/>
      <c r="FM34" s="458">
        <f t="shared" si="98"/>
        <v>1.4025245441795509E-3</v>
      </c>
      <c r="FN34" s="458">
        <f t="shared" si="99"/>
        <v>1.0254702916248748E-2</v>
      </c>
      <c r="FO34" s="2040">
        <v>3.5577408631519702E-3</v>
      </c>
      <c r="FP34" s="1888">
        <f>IFERROR(($FM34-FN34)*10000,"")</f>
        <v>-88.521783720691971</v>
      </c>
      <c r="FQ34" s="1888">
        <f>IFERROR(($FM34-FO34)*10000,"")</f>
        <v>-21.552163189724194</v>
      </c>
      <c r="FR34" s="566"/>
      <c r="FS34" s="566"/>
      <c r="FT34" s="566"/>
      <c r="FU34" s="566"/>
      <c r="FV34" s="566"/>
      <c r="FW34" s="566"/>
      <c r="FX34" s="566"/>
      <c r="FY34" s="566"/>
      <c r="FZ34" s="566"/>
      <c r="GA34" s="618"/>
      <c r="GB34"/>
      <c r="GC34"/>
      <c r="GD34"/>
      <c r="GE34"/>
      <c r="GF34"/>
      <c r="GG34"/>
      <c r="GH34" s="913"/>
      <c r="GI34" s="913"/>
      <c r="GJ34" s="913"/>
      <c r="GK34" s="913"/>
      <c r="GL34" s="913"/>
      <c r="GM34" s="913"/>
      <c r="GN34" s="913"/>
      <c r="GO34" s="913"/>
      <c r="GP34" s="913"/>
      <c r="GQ34" s="913"/>
      <c r="GR34" s="913"/>
      <c r="GS34" s="913"/>
      <c r="GT34" s="913"/>
      <c r="GU34" s="913"/>
      <c r="GV34" s="913"/>
      <c r="GW34" s="913"/>
      <c r="GX34" s="913"/>
      <c r="GY34" s="913"/>
      <c r="GZ34" s="913"/>
      <c r="HA34" s="913"/>
      <c r="HB34" s="913"/>
      <c r="HC34" s="913"/>
      <c r="HD34" s="913"/>
      <c r="HE34" s="913"/>
      <c r="HF34" s="913"/>
      <c r="HG34" s="913"/>
      <c r="HH34" s="913"/>
      <c r="HI34" s="913"/>
      <c r="HJ34" s="913"/>
      <c r="HK34" s="913"/>
      <c r="HL34" s="913"/>
      <c r="HM34" s="913"/>
      <c r="HN34" s="913"/>
      <c r="HO34" s="913"/>
      <c r="HP34" s="913"/>
      <c r="HQ34" s="913"/>
      <c r="HR34" s="913"/>
      <c r="HS34" s="913"/>
      <c r="HT34" s="913"/>
      <c r="HU34" s="913"/>
      <c r="HV34" s="913"/>
      <c r="HW34" s="913"/>
      <c r="HX34" s="913"/>
      <c r="HY34" s="913"/>
      <c r="HZ34" s="913"/>
      <c r="IA34" s="913"/>
      <c r="IB34" s="913"/>
      <c r="IC34" s="913"/>
      <c r="ID34" s="913"/>
      <c r="IE34" s="913"/>
      <c r="IF34" s="913"/>
      <c r="IG34" s="913"/>
      <c r="IH34" s="913"/>
      <c r="II34" s="913"/>
      <c r="IJ34" s="913"/>
      <c r="IK34" s="913"/>
      <c r="IL34" s="913"/>
      <c r="IM34" s="913"/>
      <c r="IN34" s="913"/>
      <c r="IO34" s="913"/>
      <c r="IP34" s="913"/>
      <c r="IQ34" s="913"/>
      <c r="IR34" s="913"/>
      <c r="IS34" s="913"/>
      <c r="IT34" s="913"/>
      <c r="IU34" s="913"/>
      <c r="IV34" s="913"/>
    </row>
    <row r="35" spans="1:256" s="24" customFormat="1" ht="12.75" x14ac:dyDescent="0.2">
      <c r="A35" s="23" t="s">
        <v>1</v>
      </c>
      <c r="E35" s="198"/>
      <c r="F35" s="30"/>
      <c r="J35" s="198"/>
      <c r="K35" s="30"/>
      <c r="O35" s="198"/>
      <c r="P35" s="30"/>
      <c r="T35" s="198"/>
      <c r="U35" s="30"/>
      <c r="Y35" s="198"/>
      <c r="Z35" s="30"/>
      <c r="AD35" s="198"/>
      <c r="AE35" s="30"/>
      <c r="AI35" s="198"/>
      <c r="AJ35" s="30"/>
      <c r="AN35" s="198"/>
      <c r="AO35" s="30"/>
      <c r="AS35" s="198"/>
      <c r="AT35" s="30"/>
      <c r="AX35" s="198"/>
      <c r="AY35" s="30"/>
      <c r="BC35" s="198"/>
      <c r="BD35" s="30"/>
      <c r="BH35" s="198"/>
      <c r="BI35" s="30"/>
      <c r="BM35" s="198"/>
      <c r="BN35" s="30"/>
      <c r="BR35" s="198"/>
      <c r="BS35" s="30"/>
      <c r="BT35" s="24">
        <v>44594.033516909527</v>
      </c>
      <c r="BU35" s="24">
        <v>46462.335574749115</v>
      </c>
      <c r="BV35" s="24">
        <v>45803.693515972191</v>
      </c>
      <c r="BW35" s="198">
        <v>46238.473936255439</v>
      </c>
      <c r="BX35" s="30">
        <f>SUM(BT35:BW35)</f>
        <v>183098.53654388629</v>
      </c>
      <c r="BY35" s="24">
        <v>47470.336617677967</v>
      </c>
      <c r="BZ35" s="24">
        <v>49734.24561459916</v>
      </c>
      <c r="CA35" s="24">
        <v>50544.989608783515</v>
      </c>
      <c r="CB35" s="198">
        <v>50566.753437707252</v>
      </c>
      <c r="CC35" s="30">
        <f>SUM(BY35:CB35)</f>
        <v>198316.32527876791</v>
      </c>
      <c r="CD35" s="24">
        <v>49757.054498009456</v>
      </c>
      <c r="CE35" s="24">
        <v>51554.799635725816</v>
      </c>
      <c r="CF35" s="24">
        <v>51232.283961241235</v>
      </c>
      <c r="CG35" s="198">
        <v>50203.35788832129</v>
      </c>
      <c r="CH35" s="30">
        <f>SUM(CD35:CG35)</f>
        <v>202747.49598329776</v>
      </c>
      <c r="CI35" s="24">
        <v>50959.967142453213</v>
      </c>
      <c r="CJ35" s="24">
        <v>52094.955489323278</v>
      </c>
      <c r="CK35" s="24">
        <v>51544.975221231085</v>
      </c>
      <c r="CL35" s="198">
        <v>49180.38624438137</v>
      </c>
      <c r="CM35" s="30">
        <f>SUM(CI35:CL35)</f>
        <v>203780.28409738894</v>
      </c>
      <c r="CN35" s="24">
        <v>48290.375171788022</v>
      </c>
      <c r="CO35" s="24">
        <v>50355.019528722245</v>
      </c>
      <c r="CP35" s="24">
        <v>49343.369700447314</v>
      </c>
      <c r="CQ35" s="198">
        <v>47965.775523037912</v>
      </c>
      <c r="CR35" s="30">
        <f>SUM(CN35:CQ35)</f>
        <v>195954.5399239955</v>
      </c>
      <c r="CS35" s="24">
        <v>48546.889641678179</v>
      </c>
      <c r="CT35" s="24">
        <v>51040.774816977522</v>
      </c>
      <c r="CU35" s="24">
        <v>50430.740001974104</v>
      </c>
      <c r="CV35" s="198">
        <v>45324.866041439229</v>
      </c>
      <c r="CW35" s="30">
        <f>SUM(CS35:CV35)</f>
        <v>195343.27050206903</v>
      </c>
      <c r="CX35" s="24">
        <v>39525.416872253176</v>
      </c>
      <c r="CY35" s="24">
        <v>37424.739904729933</v>
      </c>
      <c r="CZ35" s="24">
        <v>40751.082523288766</v>
      </c>
      <c r="DA35" s="24">
        <v>42166.774728864548</v>
      </c>
      <c r="DB35" s="30">
        <f>SUM(CX35:DA35)</f>
        <v>159868.01402913642</v>
      </c>
      <c r="DC35" s="24">
        <v>43300</v>
      </c>
      <c r="DD35" s="24">
        <v>46800</v>
      </c>
      <c r="DE35" s="24">
        <v>46400</v>
      </c>
      <c r="DF35" s="24">
        <v>45600</v>
      </c>
      <c r="DG35" s="30">
        <f>SUM(DC35:DF35)</f>
        <v>182100</v>
      </c>
      <c r="DH35" s="24">
        <v>47300</v>
      </c>
      <c r="DI35" s="24">
        <v>49600</v>
      </c>
      <c r="DJ35" s="24">
        <v>48300</v>
      </c>
      <c r="DK35" s="24">
        <v>47800</v>
      </c>
      <c r="DL35" s="30">
        <f>SUM(DH35:DK35)</f>
        <v>193000</v>
      </c>
      <c r="DM35" s="24">
        <v>45600</v>
      </c>
      <c r="DN35" s="24">
        <v>47200</v>
      </c>
      <c r="DO35" s="24">
        <v>46100</v>
      </c>
      <c r="DP35" s="24">
        <v>46800</v>
      </c>
      <c r="DQ35" s="30">
        <f>SUM(DM35:DP35)</f>
        <v>185700</v>
      </c>
      <c r="DR35" s="24">
        <f>DR37+DR39+DR41</f>
        <v>47700</v>
      </c>
      <c r="DS35" s="24">
        <f>DS37+DS39+DS41</f>
        <v>48600</v>
      </c>
      <c r="DT35" s="24">
        <f>DT37+DT39+DT41</f>
        <v>48400</v>
      </c>
      <c r="DU35" s="24">
        <f>DU37+DU39+DU41</f>
        <v>49000</v>
      </c>
      <c r="DV35" s="269">
        <f>SUM(DR35:DU35)</f>
        <v>193700</v>
      </c>
      <c r="DW35" s="24">
        <f>DW37+DW39+DW41</f>
        <v>47100</v>
      </c>
      <c r="DX35" s="24">
        <f>DX37+DX39+DX41</f>
        <v>53300</v>
      </c>
      <c r="DY35" s="24">
        <f>DY37+DY39+DY41</f>
        <v>52800</v>
      </c>
      <c r="DZ35" s="24">
        <f>DZ37+DZ39+DZ41</f>
        <v>51900</v>
      </c>
      <c r="EA35" s="269">
        <f>SUM(DW35:DZ35)</f>
        <v>205100</v>
      </c>
      <c r="EB35" s="24">
        <f>EB37+EB39+EB41</f>
        <v>48800</v>
      </c>
      <c r="EC35" s="24">
        <f>EC37+EC39+EC41</f>
        <v>51500</v>
      </c>
      <c r="ED35" s="24">
        <f>ED37+ED39+ED41</f>
        <v>51300</v>
      </c>
      <c r="EE35" s="24">
        <f>EE37+EE39+EE41</f>
        <v>48100</v>
      </c>
      <c r="EF35" s="269">
        <f>SUM(EB35:EE35)</f>
        <v>199700</v>
      </c>
      <c r="EG35" s="24">
        <v>46100</v>
      </c>
      <c r="EH35" s="24">
        <v>47400</v>
      </c>
      <c r="EI35" s="24">
        <v>48700</v>
      </c>
      <c r="EJ35" s="24">
        <v>48300</v>
      </c>
      <c r="EK35" s="269">
        <f>SUM(EG35:EJ35)</f>
        <v>190500</v>
      </c>
      <c r="EL35" s="24">
        <v>49599.999999999993</v>
      </c>
      <c r="EM35" s="24">
        <v>50700</v>
      </c>
      <c r="EN35" s="24">
        <v>51100</v>
      </c>
      <c r="EO35" s="24">
        <v>50100</v>
      </c>
      <c r="EP35" s="269">
        <f>SUM(EL35:EO35)</f>
        <v>201500</v>
      </c>
      <c r="EQ35" s="945">
        <v>50000</v>
      </c>
      <c r="ER35" s="24">
        <f>ER37+ER39+ER41</f>
        <v>52048.984850240638</v>
      </c>
      <c r="ES35" s="24">
        <f>ES37+ES39+ES41</f>
        <v>52346.285912232743</v>
      </c>
      <c r="ET35" s="24">
        <f>ET37+ET39+ET41</f>
        <v>50965.975945019549</v>
      </c>
      <c r="EU35" s="269">
        <f>SUM(EQ35:ET35)</f>
        <v>205361.24670749292</v>
      </c>
      <c r="EZ35" s="741">
        <f>EZ37+EZ39+EZ41</f>
        <v>208578.48088344446</v>
      </c>
      <c r="FE35" s="741">
        <f>FE37+FE39+FE41</f>
        <v>213033.03926925425</v>
      </c>
      <c r="FF35" s="741"/>
      <c r="FG35" s="633"/>
      <c r="FH35" s="1019"/>
      <c r="FI35" s="1019"/>
      <c r="FJ35" s="1019"/>
      <c r="FK35" s="1019"/>
      <c r="FL35" s="1794"/>
      <c r="FM35" s="24">
        <f t="shared" si="98"/>
        <v>50000</v>
      </c>
      <c r="FN35" s="24">
        <f t="shared" si="99"/>
        <v>49599.999999999993</v>
      </c>
      <c r="FO35" s="24">
        <v>49843.795276753692</v>
      </c>
      <c r="FP35" s="34">
        <f>IFERROR(($FM35/FN35)-1,"")</f>
        <v>8.0645161290324729E-3</v>
      </c>
      <c r="FQ35" s="34">
        <f>IFERROR(($FM35/FO35)-1,"")</f>
        <v>3.1338850177637934E-3</v>
      </c>
      <c r="FR35" s="532"/>
      <c r="FS35" s="532"/>
      <c r="FT35" s="532"/>
      <c r="FU35" s="532"/>
      <c r="FV35" s="532"/>
      <c r="FW35" s="532"/>
      <c r="FX35" s="532"/>
      <c r="FY35" s="532"/>
      <c r="FZ35" s="532"/>
      <c r="GA35" s="633"/>
      <c r="GB35"/>
      <c r="GC35"/>
      <c r="GD35"/>
      <c r="GE35"/>
      <c r="GF35"/>
      <c r="GG35"/>
      <c r="GH35" s="945"/>
      <c r="GI35" s="945"/>
      <c r="GJ35" s="945"/>
      <c r="GK35" s="945"/>
      <c r="GL35" s="945"/>
      <c r="GM35" s="945"/>
      <c r="GN35" s="945"/>
      <c r="GO35" s="945"/>
      <c r="GP35" s="945"/>
      <c r="GQ35" s="945"/>
      <c r="GR35" s="945"/>
      <c r="GS35" s="945"/>
      <c r="GT35" s="945"/>
      <c r="GU35" s="945"/>
      <c r="GV35" s="945"/>
      <c r="GW35" s="945"/>
      <c r="GX35" s="945"/>
      <c r="GY35" s="945"/>
      <c r="GZ35" s="945"/>
      <c r="HA35" s="945"/>
      <c r="HB35" s="945"/>
      <c r="HC35" s="945"/>
      <c r="HD35" s="945"/>
      <c r="HE35" s="945"/>
      <c r="HF35" s="945"/>
      <c r="HG35" s="945"/>
      <c r="HH35" s="945"/>
      <c r="HI35" s="945"/>
      <c r="HJ35" s="945"/>
      <c r="HK35" s="945"/>
      <c r="HL35" s="945"/>
      <c r="HM35" s="945"/>
      <c r="HN35" s="945"/>
      <c r="HO35" s="945"/>
      <c r="HP35" s="945"/>
      <c r="HQ35" s="945"/>
      <c r="HR35" s="945"/>
      <c r="HS35" s="945"/>
      <c r="HT35" s="945"/>
      <c r="HU35" s="945"/>
      <c r="HV35" s="945"/>
      <c r="HW35" s="945"/>
      <c r="HX35" s="945"/>
      <c r="HY35" s="945"/>
      <c r="HZ35" s="945"/>
      <c r="IA35" s="945"/>
      <c r="IB35" s="945"/>
      <c r="IC35" s="945"/>
      <c r="ID35" s="945"/>
      <c r="IE35" s="945"/>
      <c r="IF35" s="945"/>
      <c r="IG35" s="945"/>
      <c r="IH35" s="945"/>
      <c r="II35" s="945"/>
      <c r="IJ35" s="945"/>
      <c r="IK35" s="945"/>
      <c r="IL35" s="945"/>
      <c r="IM35" s="945"/>
      <c r="IN35" s="945"/>
      <c r="IO35" s="945"/>
      <c r="IP35" s="945"/>
      <c r="IQ35" s="945"/>
      <c r="IR35" s="945"/>
      <c r="IS35" s="945"/>
      <c r="IT35" s="945"/>
      <c r="IU35" s="945"/>
      <c r="IV35" s="945"/>
    </row>
    <row r="36" spans="1:256" s="25" customFormat="1" ht="12.75" x14ac:dyDescent="0.2">
      <c r="A36" s="19" t="s">
        <v>194</v>
      </c>
      <c r="B36" s="22"/>
      <c r="C36" s="22"/>
      <c r="D36" s="22"/>
      <c r="E36" s="197"/>
      <c r="F36" s="21"/>
      <c r="G36" s="22"/>
      <c r="H36" s="22"/>
      <c r="I36" s="22"/>
      <c r="J36" s="197"/>
      <c r="K36" s="21"/>
      <c r="L36" s="22"/>
      <c r="M36" s="22"/>
      <c r="N36" s="22"/>
      <c r="O36" s="197"/>
      <c r="P36" s="21"/>
      <c r="Q36" s="22"/>
      <c r="R36" s="22"/>
      <c r="S36" s="22"/>
      <c r="T36" s="197"/>
      <c r="U36" s="21"/>
      <c r="V36" s="22"/>
      <c r="W36" s="22"/>
      <c r="X36" s="22"/>
      <c r="Y36" s="197"/>
      <c r="Z36" s="21"/>
      <c r="AA36" s="22"/>
      <c r="AB36" s="22"/>
      <c r="AC36" s="22"/>
      <c r="AD36" s="197"/>
      <c r="AE36" s="21"/>
      <c r="AF36" s="22"/>
      <c r="AG36" s="22"/>
      <c r="AH36" s="22"/>
      <c r="AI36" s="197"/>
      <c r="AJ36" s="21"/>
      <c r="AK36" s="22"/>
      <c r="AL36" s="22"/>
      <c r="AM36" s="22"/>
      <c r="AN36" s="197"/>
      <c r="AO36" s="21"/>
      <c r="AP36" s="22"/>
      <c r="AQ36" s="22"/>
      <c r="AR36" s="22"/>
      <c r="AS36" s="197"/>
      <c r="AT36" s="21"/>
      <c r="AU36" s="22"/>
      <c r="AV36" s="22"/>
      <c r="AW36" s="22"/>
      <c r="AX36" s="197"/>
      <c r="AY36" s="21"/>
      <c r="AZ36" s="22"/>
      <c r="BA36" s="22"/>
      <c r="BB36" s="22"/>
      <c r="BC36" s="197"/>
      <c r="BD36" s="21"/>
      <c r="BE36" s="22"/>
      <c r="BF36" s="22"/>
      <c r="BG36" s="22"/>
      <c r="BH36" s="197"/>
      <c r="BI36" s="21"/>
      <c r="BJ36" s="22"/>
      <c r="BK36" s="22"/>
      <c r="BL36" s="22"/>
      <c r="BM36" s="197"/>
      <c r="BN36" s="21"/>
      <c r="BO36" s="22"/>
      <c r="BP36" s="22"/>
      <c r="BQ36" s="22"/>
      <c r="BR36" s="197"/>
      <c r="BS36" s="21"/>
      <c r="BT36" s="22"/>
      <c r="BU36" s="22"/>
      <c r="BV36" s="22"/>
      <c r="BW36" s="197"/>
      <c r="BX36" s="21"/>
      <c r="BY36" s="22">
        <f t="shared" ref="BY36:DY36" si="116">BY35/BT35-1</f>
        <v>6.4499729536189543E-2</v>
      </c>
      <c r="BZ36" s="22">
        <f t="shared" si="116"/>
        <v>7.0420696664853732E-2</v>
      </c>
      <c r="CA36" s="22">
        <f t="shared" si="116"/>
        <v>0.10351340096968364</v>
      </c>
      <c r="CB36" s="197">
        <f t="shared" si="116"/>
        <v>9.3607749845265209E-2</v>
      </c>
      <c r="CC36" s="21">
        <f t="shared" si="116"/>
        <v>8.3112563443313636E-2</v>
      </c>
      <c r="CD36" s="22">
        <f t="shared" si="116"/>
        <v>4.8171511795850996E-2</v>
      </c>
      <c r="CE36" s="22">
        <f t="shared" si="116"/>
        <v>3.6605642623686263E-2</v>
      </c>
      <c r="CF36" s="22">
        <f t="shared" si="116"/>
        <v>1.3597675215236027E-2</v>
      </c>
      <c r="CG36" s="197">
        <f t="shared" si="116"/>
        <v>-7.1864520595261716E-3</v>
      </c>
      <c r="CH36" s="21">
        <f t="shared" si="116"/>
        <v>2.2343953269107208E-2</v>
      </c>
      <c r="CI36" s="22">
        <f t="shared" si="116"/>
        <v>2.4175720540127177E-2</v>
      </c>
      <c r="CJ36" s="22">
        <f t="shared" si="116"/>
        <v>1.0477314574279806E-2</v>
      </c>
      <c r="CK36" s="22">
        <f t="shared" si="116"/>
        <v>6.10340269480103E-3</v>
      </c>
      <c r="CL36" s="197">
        <f t="shared" si="116"/>
        <v>-2.0376558201854689E-2</v>
      </c>
      <c r="CM36" s="21">
        <f t="shared" si="116"/>
        <v>5.0939623647745513E-3</v>
      </c>
      <c r="CN36" s="22">
        <f t="shared" si="116"/>
        <v>-5.2386061458843391E-2</v>
      </c>
      <c r="CO36" s="22">
        <f t="shared" si="116"/>
        <v>-3.3399317539634543E-2</v>
      </c>
      <c r="CP36" s="22">
        <f t="shared" si="116"/>
        <v>-4.2712320868027898E-2</v>
      </c>
      <c r="CQ36" s="197">
        <f t="shared" si="116"/>
        <v>-2.4697055352675745E-2</v>
      </c>
      <c r="CR36" s="21">
        <f t="shared" si="116"/>
        <v>-3.8402852405748034E-2</v>
      </c>
      <c r="CS36" s="22">
        <f t="shared" si="116"/>
        <v>5.3119171051712044E-3</v>
      </c>
      <c r="CT36" s="22">
        <f t="shared" si="116"/>
        <v>1.3618409736970261E-2</v>
      </c>
      <c r="CU36" s="22">
        <f t="shared" si="116"/>
        <v>2.2036806730630243E-2</v>
      </c>
      <c r="CV36" s="197">
        <f t="shared" si="116"/>
        <v>-5.5058204580268999E-2</v>
      </c>
      <c r="CW36" s="21">
        <f t="shared" si="116"/>
        <v>-3.1194450619187464E-3</v>
      </c>
      <c r="CX36" s="22">
        <f t="shared" si="116"/>
        <v>-0.18583008790083111</v>
      </c>
      <c r="CY36" s="22">
        <f t="shared" si="116"/>
        <v>-0.26676779420124586</v>
      </c>
      <c r="CZ36" s="22">
        <f t="shared" si="116"/>
        <v>-0.19193962805833165</v>
      </c>
      <c r="DA36" s="22">
        <f>DA35/CV35-1</f>
        <v>-6.9676793080586941E-2</v>
      </c>
      <c r="DB36" s="21">
        <f>DB35/CW35-1</f>
        <v>-0.18160470223394187</v>
      </c>
      <c r="DC36" s="22">
        <f t="shared" si="116"/>
        <v>9.5497617139531865E-2</v>
      </c>
      <c r="DD36" s="22">
        <f t="shared" si="116"/>
        <v>0.25050969276302637</v>
      </c>
      <c r="DE36" s="22">
        <f t="shared" si="116"/>
        <v>0.13862005931947796</v>
      </c>
      <c r="DF36" s="22">
        <f>DF35/DA35-1</f>
        <v>8.1420153502641313E-2</v>
      </c>
      <c r="DG36" s="21">
        <f t="shared" si="116"/>
        <v>0.13906462844288381</v>
      </c>
      <c r="DH36" s="22">
        <f>DH35/DC35-1</f>
        <v>9.2378752886836057E-2</v>
      </c>
      <c r="DI36" s="22">
        <f t="shared" si="116"/>
        <v>5.9829059829059839E-2</v>
      </c>
      <c r="DJ36" s="22">
        <f t="shared" si="116"/>
        <v>4.094827586206895E-2</v>
      </c>
      <c r="DK36" s="22">
        <f t="shared" si="116"/>
        <v>4.8245614035087758E-2</v>
      </c>
      <c r="DL36" s="28">
        <f t="shared" si="116"/>
        <v>5.9857221306974129E-2</v>
      </c>
      <c r="DM36" s="22">
        <f t="shared" si="116"/>
        <v>-3.5940803382663811E-2</v>
      </c>
      <c r="DN36" s="22">
        <f t="shared" si="116"/>
        <v>-4.8387096774193505E-2</v>
      </c>
      <c r="DO36" s="22">
        <f t="shared" si="116"/>
        <v>-4.554865424430643E-2</v>
      </c>
      <c r="DP36" s="22">
        <f t="shared" si="116"/>
        <v>-2.0920502092050208E-2</v>
      </c>
      <c r="DQ36" s="28">
        <f t="shared" si="116"/>
        <v>-3.7823834196891171E-2</v>
      </c>
      <c r="DR36" s="22">
        <f t="shared" si="116"/>
        <v>4.6052631578947345E-2</v>
      </c>
      <c r="DS36" s="22">
        <f t="shared" si="116"/>
        <v>2.9661016949152463E-2</v>
      </c>
      <c r="DT36" s="27">
        <f t="shared" si="116"/>
        <v>4.9891540130151846E-2</v>
      </c>
      <c r="DU36" s="22">
        <f t="shared" si="116"/>
        <v>4.7008547008547064E-2</v>
      </c>
      <c r="DV36" s="28">
        <f t="shared" si="116"/>
        <v>4.3080236941303252E-2</v>
      </c>
      <c r="DW36" s="22">
        <f t="shared" si="116"/>
        <v>-1.2578616352201255E-2</v>
      </c>
      <c r="DX36" s="22">
        <f t="shared" si="116"/>
        <v>9.6707818930041212E-2</v>
      </c>
      <c r="DY36" s="27">
        <f t="shared" si="116"/>
        <v>9.0909090909090828E-2</v>
      </c>
      <c r="DZ36" s="22">
        <f>DZ35/DU35-1</f>
        <v>5.9183673469387799E-2</v>
      </c>
      <c r="EA36" s="28">
        <f>EA35/DV35-1</f>
        <v>5.8853897780072328E-2</v>
      </c>
      <c r="EB36" s="22">
        <f>EB35/DW35-1</f>
        <v>3.6093418259023347E-2</v>
      </c>
      <c r="EC36" s="22">
        <f t="shared" ref="EC36:EI36" si="117">EC35/DX35-1</f>
        <v>-3.3771106941838602E-2</v>
      </c>
      <c r="ED36" s="27">
        <f t="shared" si="117"/>
        <v>-2.8409090909090939E-2</v>
      </c>
      <c r="EE36" s="22">
        <f t="shared" si="117"/>
        <v>-7.3217726396917149E-2</v>
      </c>
      <c r="EF36" s="28">
        <f t="shared" si="117"/>
        <v>-2.6328620185275486E-2</v>
      </c>
      <c r="EG36" s="22">
        <f>EG35/EB35-1</f>
        <v>-5.5327868852458995E-2</v>
      </c>
      <c r="EH36" s="22">
        <f t="shared" si="117"/>
        <v>-7.9611650485436947E-2</v>
      </c>
      <c r="EI36" s="27">
        <f t="shared" si="117"/>
        <v>-5.0682261208576995E-2</v>
      </c>
      <c r="EJ36" s="22">
        <f t="shared" ref="EJ36:EK36" si="118">EJ35/EE35-1</f>
        <v>4.1580041580040472E-3</v>
      </c>
      <c r="EK36" s="28">
        <f t="shared" si="118"/>
        <v>-4.6069103655483223E-2</v>
      </c>
      <c r="EL36" s="22">
        <f>EL35/EG35-1</f>
        <v>7.5921908893709089E-2</v>
      </c>
      <c r="EM36" s="22">
        <f t="shared" ref="EM36:EN36" si="119">EM35/EH35-1</f>
        <v>6.9620253164556889E-2</v>
      </c>
      <c r="EN36" s="27">
        <f t="shared" si="119"/>
        <v>4.9281314168377888E-2</v>
      </c>
      <c r="EO36" s="22">
        <f t="shared" ref="EO36" si="120">EO35/EJ35-1</f>
        <v>3.7267080745341685E-2</v>
      </c>
      <c r="EP36" s="28">
        <f t="shared" ref="EP36" si="121">EP35/EK35-1</f>
        <v>5.7742782152230943E-2</v>
      </c>
      <c r="EQ36" s="22">
        <f>EQ35/EL35-1</f>
        <v>8.0645161290324729E-3</v>
      </c>
      <c r="ER36" s="27">
        <f t="shared" ref="ER36" si="122">ER35/EM35-1</f>
        <v>2.6607196257211863E-2</v>
      </c>
      <c r="ES36" s="27">
        <f t="shared" ref="ES36:EU36" si="123">ES35/EN35-1</f>
        <v>2.4389156795161293E-2</v>
      </c>
      <c r="ET36" s="27">
        <f t="shared" si="123"/>
        <v>1.7284949002386307E-2</v>
      </c>
      <c r="EU36" s="672">
        <f t="shared" si="123"/>
        <v>1.9162514677384168E-2</v>
      </c>
      <c r="EV36" s="405"/>
      <c r="EW36" s="405"/>
      <c r="EX36" s="405"/>
      <c r="EY36" s="405"/>
      <c r="EZ36" s="835">
        <f>EZ35/EU35-1</f>
        <v>1.5666218566222634E-2</v>
      </c>
      <c r="FA36" s="405"/>
      <c r="FB36" s="405"/>
      <c r="FC36" s="405"/>
      <c r="FD36" s="405"/>
      <c r="FE36" s="835">
        <f>FE35/EZ35-1</f>
        <v>2.1356749588655077E-2</v>
      </c>
      <c r="FF36" s="748"/>
      <c r="FG36" s="625"/>
      <c r="FH36" s="1021"/>
      <c r="FI36" s="1021"/>
      <c r="FJ36" s="1021"/>
      <c r="FK36" s="1021"/>
      <c r="FL36" s="1800"/>
      <c r="FM36" s="22">
        <f t="shared" si="98"/>
        <v>8.0645161290324729E-3</v>
      </c>
      <c r="FN36" s="22">
        <f t="shared" si="99"/>
        <v>7.5921908893709089E-2</v>
      </c>
      <c r="FO36" s="27">
        <v>4.9152273539052604E-3</v>
      </c>
      <c r="FP36" s="1892">
        <f>IFERROR(($FM36-FN36)*10000,"")</f>
        <v>-678.57392764676615</v>
      </c>
      <c r="FQ36" s="1892">
        <f>IFERROR(($FM36-FO36)*10000,"")</f>
        <v>31.492887751272125</v>
      </c>
      <c r="FR36" s="537"/>
      <c r="FS36" s="537"/>
      <c r="FT36" s="537"/>
      <c r="FU36" s="537"/>
      <c r="FV36" s="537"/>
      <c r="FW36" s="537"/>
      <c r="FX36" s="537"/>
      <c r="FY36" s="537"/>
      <c r="FZ36" s="537"/>
      <c r="GA36" s="625"/>
      <c r="GB36"/>
      <c r="GC36"/>
      <c r="GD36"/>
      <c r="GE36"/>
      <c r="GF36"/>
      <c r="GG36"/>
      <c r="GH36" s="948"/>
      <c r="GI36" s="948"/>
      <c r="GJ36" s="948"/>
      <c r="GK36" s="948"/>
      <c r="GL36" s="948"/>
      <c r="GM36" s="948"/>
      <c r="GN36" s="948"/>
      <c r="GO36" s="948"/>
      <c r="GP36" s="948"/>
      <c r="GQ36" s="948"/>
      <c r="GR36" s="948"/>
      <c r="GS36" s="948"/>
      <c r="GT36" s="948"/>
      <c r="GU36" s="948"/>
      <c r="GV36" s="948"/>
      <c r="GW36" s="948"/>
      <c r="GX36" s="948"/>
      <c r="GY36" s="948"/>
      <c r="GZ36" s="948"/>
      <c r="HA36" s="948"/>
      <c r="HB36" s="948"/>
      <c r="HC36" s="948"/>
      <c r="HD36" s="948"/>
      <c r="HE36" s="948"/>
      <c r="HF36" s="948"/>
      <c r="HG36" s="948"/>
      <c r="HH36" s="948"/>
      <c r="HI36" s="948"/>
      <c r="HJ36" s="948"/>
      <c r="HK36" s="948"/>
      <c r="HL36" s="948"/>
      <c r="HM36" s="948"/>
      <c r="HN36" s="948"/>
      <c r="HO36" s="948"/>
      <c r="HP36" s="948"/>
      <c r="HQ36" s="948"/>
      <c r="HR36" s="948"/>
      <c r="HS36" s="948"/>
      <c r="HT36" s="948"/>
      <c r="HU36" s="948"/>
      <c r="HV36" s="948"/>
      <c r="HW36" s="948"/>
      <c r="HX36" s="948"/>
      <c r="HY36" s="948"/>
      <c r="HZ36" s="948"/>
      <c r="IA36" s="948"/>
      <c r="IB36" s="948"/>
      <c r="IC36" s="948"/>
      <c r="ID36" s="948"/>
      <c r="IE36" s="948"/>
      <c r="IF36" s="948"/>
      <c r="IG36" s="948"/>
      <c r="IH36" s="948"/>
      <c r="II36" s="948"/>
      <c r="IJ36" s="948"/>
      <c r="IK36" s="948"/>
      <c r="IL36" s="948"/>
      <c r="IM36" s="948"/>
      <c r="IN36" s="948"/>
      <c r="IO36" s="948"/>
      <c r="IP36" s="948"/>
      <c r="IQ36" s="948"/>
      <c r="IR36" s="948"/>
      <c r="IS36" s="948"/>
      <c r="IT36" s="948"/>
      <c r="IU36" s="948"/>
      <c r="IV36" s="948"/>
    </row>
    <row r="37" spans="1:256" s="930" customFormat="1" ht="12.75" x14ac:dyDescent="0.2">
      <c r="A37" s="937" t="s">
        <v>52</v>
      </c>
      <c r="B37" s="921"/>
      <c r="C37" s="921"/>
      <c r="D37" s="921"/>
      <c r="E37" s="922"/>
      <c r="F37" s="923"/>
      <c r="G37" s="921"/>
      <c r="H37" s="921"/>
      <c r="I37" s="921"/>
      <c r="J37" s="922"/>
      <c r="K37" s="923"/>
      <c r="L37" s="921"/>
      <c r="M37" s="921"/>
      <c r="N37" s="921"/>
      <c r="O37" s="922"/>
      <c r="P37" s="923"/>
      <c r="Q37" s="921"/>
      <c r="R37" s="921"/>
      <c r="S37" s="921"/>
      <c r="T37" s="922"/>
      <c r="U37" s="923"/>
      <c r="V37" s="921"/>
      <c r="W37" s="921"/>
      <c r="X37" s="921"/>
      <c r="Y37" s="922"/>
      <c r="Z37" s="923"/>
      <c r="AA37" s="921"/>
      <c r="AB37" s="921"/>
      <c r="AC37" s="921"/>
      <c r="AD37" s="922"/>
      <c r="AE37" s="923"/>
      <c r="AF37" s="921"/>
      <c r="AG37" s="921"/>
      <c r="AH37" s="921"/>
      <c r="AI37" s="922"/>
      <c r="AJ37" s="923"/>
      <c r="AK37" s="921"/>
      <c r="AL37" s="921"/>
      <c r="AM37" s="921"/>
      <c r="AN37" s="922"/>
      <c r="AO37" s="923"/>
      <c r="AP37" s="921"/>
      <c r="AQ37" s="921"/>
      <c r="AR37" s="921"/>
      <c r="AS37" s="922"/>
      <c r="AT37" s="923"/>
      <c r="AU37" s="921"/>
      <c r="AV37" s="921"/>
      <c r="AW37" s="921"/>
      <c r="AX37" s="922"/>
      <c r="AY37" s="923"/>
      <c r="AZ37" s="921"/>
      <c r="BA37" s="921"/>
      <c r="BB37" s="921"/>
      <c r="BC37" s="922"/>
      <c r="BD37" s="923"/>
      <c r="BE37" s="921"/>
      <c r="BF37" s="921"/>
      <c r="BG37" s="921"/>
      <c r="BH37" s="922"/>
      <c r="BI37" s="923"/>
      <c r="BJ37" s="921"/>
      <c r="BK37" s="921"/>
      <c r="BL37" s="921"/>
      <c r="BM37" s="922"/>
      <c r="BN37" s="923"/>
      <c r="BO37" s="921"/>
      <c r="BP37" s="921"/>
      <c r="BQ37" s="921"/>
      <c r="BR37" s="922"/>
      <c r="BS37" s="923"/>
      <c r="BT37" s="921"/>
      <c r="BU37" s="921"/>
      <c r="BV37" s="921"/>
      <c r="BW37" s="922"/>
      <c r="BX37" s="923"/>
      <c r="BY37" s="921"/>
      <c r="BZ37" s="921"/>
      <c r="CA37" s="921"/>
      <c r="CB37" s="922"/>
      <c r="CC37" s="924"/>
      <c r="CD37" s="921">
        <v>14300</v>
      </c>
      <c r="CE37" s="921">
        <v>15000</v>
      </c>
      <c r="CF37" s="921">
        <v>15600</v>
      </c>
      <c r="CG37" s="922">
        <v>14400</v>
      </c>
      <c r="CH37" s="924">
        <f>SUM(CD37:CG37)</f>
        <v>59300</v>
      </c>
      <c r="CI37" s="921">
        <v>14700</v>
      </c>
      <c r="CJ37" s="921">
        <v>15200</v>
      </c>
      <c r="CK37" s="921">
        <v>15200</v>
      </c>
      <c r="CL37" s="922">
        <v>14800</v>
      </c>
      <c r="CM37" s="924">
        <f>SUM(CI37:CL37)</f>
        <v>59900</v>
      </c>
      <c r="CN37" s="921">
        <v>14300</v>
      </c>
      <c r="CO37" s="921">
        <v>15200</v>
      </c>
      <c r="CP37" s="921">
        <v>14600</v>
      </c>
      <c r="CQ37" s="922">
        <v>14100</v>
      </c>
      <c r="CR37" s="924">
        <f>SUM(CN37:CQ37)</f>
        <v>58200</v>
      </c>
      <c r="CS37" s="921">
        <v>15000</v>
      </c>
      <c r="CT37" s="921">
        <v>16000</v>
      </c>
      <c r="CU37" s="921">
        <v>15800</v>
      </c>
      <c r="CV37" s="922">
        <v>15300</v>
      </c>
      <c r="CW37" s="924">
        <f>SUM(CS37:CV37)</f>
        <v>62100</v>
      </c>
      <c r="CX37" s="921">
        <v>13400</v>
      </c>
      <c r="CY37" s="921">
        <v>11400</v>
      </c>
      <c r="CZ37" s="921">
        <v>12000</v>
      </c>
      <c r="DA37" s="921">
        <v>12100</v>
      </c>
      <c r="DB37" s="924">
        <f>SUM(CX37:DA37)</f>
        <v>48900</v>
      </c>
      <c r="DC37" s="921">
        <v>12400</v>
      </c>
      <c r="DD37" s="921">
        <v>13400</v>
      </c>
      <c r="DE37" s="921">
        <v>13500</v>
      </c>
      <c r="DF37" s="921">
        <v>13000</v>
      </c>
      <c r="DG37" s="924">
        <f>SUM(DC37:DF37)</f>
        <v>52300</v>
      </c>
      <c r="DH37" s="921">
        <v>14200</v>
      </c>
      <c r="DI37" s="921">
        <v>14300</v>
      </c>
      <c r="DJ37" s="921">
        <v>14200</v>
      </c>
      <c r="DK37" s="921">
        <v>13900</v>
      </c>
      <c r="DL37" s="924">
        <f>SUM(DH37:DK37)</f>
        <v>56600</v>
      </c>
      <c r="DM37" s="921">
        <v>11800</v>
      </c>
      <c r="DN37" s="921">
        <v>12200</v>
      </c>
      <c r="DO37" s="921">
        <v>12000</v>
      </c>
      <c r="DP37" s="921">
        <v>12200</v>
      </c>
      <c r="DQ37" s="924">
        <f>SUM(DM37:DP37)</f>
        <v>48200</v>
      </c>
      <c r="DR37" s="921">
        <v>12000</v>
      </c>
      <c r="DS37" s="921">
        <v>11900</v>
      </c>
      <c r="DT37" s="921">
        <v>12100</v>
      </c>
      <c r="DU37" s="921">
        <v>11700</v>
      </c>
      <c r="DV37" s="924">
        <f>SUM(DR37:DU37)</f>
        <v>47700</v>
      </c>
      <c r="DW37" s="921">
        <v>10700</v>
      </c>
      <c r="DX37" s="921">
        <v>13300</v>
      </c>
      <c r="DY37" s="921">
        <v>12300</v>
      </c>
      <c r="DZ37" s="921">
        <v>10600</v>
      </c>
      <c r="EA37" s="924">
        <f>SUM(DW37:DZ37)</f>
        <v>46900</v>
      </c>
      <c r="EB37" s="921">
        <v>9800</v>
      </c>
      <c r="EC37" s="921">
        <v>9700</v>
      </c>
      <c r="ED37" s="921">
        <v>10500</v>
      </c>
      <c r="EE37" s="921">
        <v>9500</v>
      </c>
      <c r="EF37" s="924">
        <f>SUM(EB37:EE37)</f>
        <v>39500</v>
      </c>
      <c r="EG37" s="921">
        <v>7700</v>
      </c>
      <c r="EH37" s="921">
        <v>7700</v>
      </c>
      <c r="EI37" s="921">
        <v>8900</v>
      </c>
      <c r="EJ37" s="921">
        <v>9300</v>
      </c>
      <c r="EK37" s="924">
        <f>SUM(EG37:EJ37)</f>
        <v>33600</v>
      </c>
      <c r="EL37" s="921">
        <v>10300</v>
      </c>
      <c r="EM37" s="921">
        <v>10200</v>
      </c>
      <c r="EN37" s="921">
        <v>10100</v>
      </c>
      <c r="EO37" s="921">
        <v>9400</v>
      </c>
      <c r="EP37" s="924">
        <f>SUM(EL37:EO37)</f>
        <v>40000</v>
      </c>
      <c r="EQ37" s="921">
        <v>9400</v>
      </c>
      <c r="ER37" s="925">
        <f>EM37*(1+ER38)</f>
        <v>9775.9717020766493</v>
      </c>
      <c r="ES37" s="925">
        <f>EN37*(1+ES38)</f>
        <v>9350.0679139819476</v>
      </c>
      <c r="ET37" s="925">
        <f>EO37*(1+ET38)</f>
        <v>8906.8336840189713</v>
      </c>
      <c r="EU37" s="1937">
        <f>SUM(EQ37:ET37)</f>
        <v>37432.873300077568</v>
      </c>
      <c r="EV37" s="926"/>
      <c r="EW37" s="926"/>
      <c r="EX37" s="926"/>
      <c r="EY37" s="926"/>
      <c r="EZ37" s="927">
        <f>EU37*(1+EZ38)</f>
        <v>35672.856270189841</v>
      </c>
      <c r="FA37" s="926"/>
      <c r="FB37" s="926"/>
      <c r="FC37" s="926"/>
      <c r="FD37" s="926"/>
      <c r="FE37" s="927">
        <f>EZ37*(1+FE38)</f>
        <v>34189.885630355238</v>
      </c>
      <c r="FF37" s="928"/>
      <c r="FG37" s="929"/>
      <c r="FH37" s="1022" t="s">
        <v>728</v>
      </c>
      <c r="FI37" s="1022" t="s">
        <v>729</v>
      </c>
      <c r="FJ37" s="1022" t="s">
        <v>730</v>
      </c>
      <c r="FK37" s="1022"/>
      <c r="FL37" s="1801"/>
      <c r="FM37" s="921">
        <f t="shared" si="98"/>
        <v>9400</v>
      </c>
      <c r="FN37" s="921">
        <f t="shared" si="99"/>
        <v>10300</v>
      </c>
      <c r="FO37" s="925">
        <v>9937.1512416730911</v>
      </c>
      <c r="FP37" s="15">
        <f>IFERROR(($FM37/FN37)-1,"")</f>
        <v>-8.737864077669899E-2</v>
      </c>
      <c r="FQ37" s="15">
        <f>IFERROR(($FM37/FO37)-1,"")</f>
        <v>-5.4054852201550263E-2</v>
      </c>
      <c r="FR37" s="564"/>
      <c r="FS37" s="564"/>
      <c r="FT37" s="564"/>
      <c r="FU37" s="564"/>
      <c r="FV37" s="564"/>
      <c r="FW37" s="564"/>
      <c r="FX37" s="564"/>
      <c r="FY37" s="564"/>
      <c r="FZ37" s="564"/>
      <c r="GA37" s="929"/>
      <c r="GB37"/>
      <c r="GC37"/>
      <c r="GD37"/>
      <c r="GE37"/>
      <c r="GF37"/>
      <c r="GG37"/>
      <c r="GH37" s="949"/>
      <c r="GI37" s="949"/>
      <c r="GJ37" s="949"/>
      <c r="GK37" s="949"/>
      <c r="GL37" s="949"/>
      <c r="GM37" s="949"/>
      <c r="GN37" s="949"/>
      <c r="GO37" s="949"/>
      <c r="GP37" s="949"/>
      <c r="GQ37" s="949"/>
      <c r="GR37" s="949"/>
      <c r="GS37" s="949"/>
      <c r="GT37" s="949"/>
      <c r="GU37" s="949"/>
      <c r="GV37" s="949"/>
      <c r="GW37" s="949"/>
      <c r="GX37" s="949"/>
      <c r="GY37" s="949"/>
      <c r="GZ37" s="949"/>
      <c r="HA37" s="949"/>
      <c r="HB37" s="949"/>
      <c r="HC37" s="949"/>
      <c r="HD37" s="949"/>
      <c r="HE37" s="949"/>
      <c r="HF37" s="949"/>
      <c r="HG37" s="949"/>
      <c r="HH37" s="949"/>
      <c r="HI37" s="949"/>
      <c r="HJ37" s="949"/>
      <c r="HK37" s="949"/>
      <c r="HL37" s="949"/>
      <c r="HM37" s="949"/>
      <c r="HN37" s="949"/>
      <c r="HO37" s="949"/>
      <c r="HP37" s="949"/>
      <c r="HQ37" s="949"/>
      <c r="HR37" s="949"/>
      <c r="HS37" s="949"/>
      <c r="HT37" s="949"/>
      <c r="HU37" s="949"/>
      <c r="HV37" s="949"/>
      <c r="HW37" s="949"/>
      <c r="HX37" s="949"/>
      <c r="HY37" s="949"/>
      <c r="HZ37" s="949"/>
      <c r="IA37" s="949"/>
      <c r="IB37" s="949"/>
      <c r="IC37" s="949"/>
      <c r="ID37" s="949"/>
      <c r="IE37" s="949"/>
      <c r="IF37" s="949"/>
      <c r="IG37" s="949"/>
      <c r="IH37" s="949"/>
      <c r="II37" s="949"/>
      <c r="IJ37" s="949"/>
      <c r="IK37" s="949"/>
      <c r="IL37" s="949"/>
      <c r="IM37" s="949"/>
      <c r="IN37" s="949"/>
      <c r="IO37" s="949"/>
      <c r="IP37" s="949"/>
      <c r="IQ37" s="949"/>
      <c r="IR37" s="949"/>
      <c r="IS37" s="949"/>
      <c r="IT37" s="949"/>
      <c r="IU37" s="949"/>
      <c r="IV37" s="949"/>
    </row>
    <row r="38" spans="1:256" s="246" customFormat="1" ht="12.75" x14ac:dyDescent="0.2">
      <c r="A38" s="1104" t="s">
        <v>93</v>
      </c>
      <c r="B38" s="931"/>
      <c r="C38" s="931"/>
      <c r="D38" s="931"/>
      <c r="E38" s="932"/>
      <c r="F38" s="933"/>
      <c r="G38" s="931"/>
      <c r="H38" s="931"/>
      <c r="I38" s="931"/>
      <c r="J38" s="932"/>
      <c r="K38" s="933"/>
      <c r="L38" s="931"/>
      <c r="M38" s="931"/>
      <c r="N38" s="931"/>
      <c r="O38" s="932"/>
      <c r="P38" s="933"/>
      <c r="Q38" s="931"/>
      <c r="R38" s="931"/>
      <c r="S38" s="931"/>
      <c r="T38" s="932"/>
      <c r="U38" s="933"/>
      <c r="V38" s="931"/>
      <c r="W38" s="931"/>
      <c r="X38" s="931"/>
      <c r="Y38" s="932"/>
      <c r="Z38" s="933"/>
      <c r="AA38" s="931"/>
      <c r="AB38" s="931"/>
      <c r="AC38" s="931"/>
      <c r="AD38" s="932"/>
      <c r="AE38" s="933"/>
      <c r="AF38" s="931"/>
      <c r="AG38" s="931"/>
      <c r="AH38" s="931"/>
      <c r="AI38" s="932"/>
      <c r="AJ38" s="933"/>
      <c r="AK38" s="931"/>
      <c r="AL38" s="931"/>
      <c r="AM38" s="931"/>
      <c r="AN38" s="932"/>
      <c r="AO38" s="933"/>
      <c r="AP38" s="931"/>
      <c r="AQ38" s="931"/>
      <c r="AR38" s="931"/>
      <c r="AS38" s="932"/>
      <c r="AT38" s="933"/>
      <c r="AU38" s="931"/>
      <c r="AV38" s="931"/>
      <c r="AW38" s="931"/>
      <c r="AX38" s="932"/>
      <c r="AY38" s="933"/>
      <c r="AZ38" s="931"/>
      <c r="BA38" s="931"/>
      <c r="BB38" s="931"/>
      <c r="BC38" s="932"/>
      <c r="BD38" s="933"/>
      <c r="BE38" s="931"/>
      <c r="BF38" s="931"/>
      <c r="BG38" s="931"/>
      <c r="BH38" s="932"/>
      <c r="BI38" s="933"/>
      <c r="BJ38" s="931"/>
      <c r="BK38" s="931"/>
      <c r="BL38" s="931"/>
      <c r="BM38" s="932"/>
      <c r="BN38" s="933"/>
      <c r="BO38" s="931"/>
      <c r="BP38" s="931"/>
      <c r="BQ38" s="931"/>
      <c r="BR38" s="932"/>
      <c r="BS38" s="933"/>
      <c r="BT38" s="931"/>
      <c r="BU38" s="931"/>
      <c r="BV38" s="931"/>
      <c r="BW38" s="932"/>
      <c r="BX38" s="933"/>
      <c r="BY38" s="931"/>
      <c r="BZ38" s="931"/>
      <c r="CA38" s="931"/>
      <c r="CB38" s="932"/>
      <c r="CC38" s="933"/>
      <c r="CD38" s="931"/>
      <c r="CE38" s="931"/>
      <c r="CF38" s="931"/>
      <c r="CG38" s="932"/>
      <c r="CH38" s="933"/>
      <c r="CI38" s="931">
        <f t="shared" ref="CI38:DY38" si="124">CI37/CD37-1</f>
        <v>2.7972027972027913E-2</v>
      </c>
      <c r="CJ38" s="931">
        <f t="shared" si="124"/>
        <v>1.3333333333333419E-2</v>
      </c>
      <c r="CK38" s="931">
        <f t="shared" si="124"/>
        <v>-2.5641025641025661E-2</v>
      </c>
      <c r="CL38" s="932">
        <f t="shared" si="124"/>
        <v>2.7777777777777679E-2</v>
      </c>
      <c r="CM38" s="933">
        <f t="shared" si="124"/>
        <v>1.0118043844856706E-2</v>
      </c>
      <c r="CN38" s="931">
        <f t="shared" si="124"/>
        <v>-2.7210884353741527E-2</v>
      </c>
      <c r="CO38" s="931">
        <f t="shared" si="124"/>
        <v>0</v>
      </c>
      <c r="CP38" s="931">
        <f t="shared" si="124"/>
        <v>-3.9473684210526327E-2</v>
      </c>
      <c r="CQ38" s="932">
        <f t="shared" si="124"/>
        <v>-4.7297297297297258E-2</v>
      </c>
      <c r="CR38" s="933">
        <f t="shared" si="124"/>
        <v>-2.8380634390651083E-2</v>
      </c>
      <c r="CS38" s="931">
        <f t="shared" si="124"/>
        <v>4.8951048951048959E-2</v>
      </c>
      <c r="CT38" s="931">
        <f t="shared" si="124"/>
        <v>5.2631578947368363E-2</v>
      </c>
      <c r="CU38" s="931">
        <f t="shared" si="124"/>
        <v>8.2191780821917915E-2</v>
      </c>
      <c r="CV38" s="932">
        <f t="shared" si="124"/>
        <v>8.5106382978723305E-2</v>
      </c>
      <c r="CW38" s="933">
        <f t="shared" si="124"/>
        <v>6.7010309278350499E-2</v>
      </c>
      <c r="CX38" s="931">
        <f t="shared" si="124"/>
        <v>-0.10666666666666669</v>
      </c>
      <c r="CY38" s="931">
        <f t="shared" si="124"/>
        <v>-0.28749999999999998</v>
      </c>
      <c r="CZ38" s="931">
        <f t="shared" si="124"/>
        <v>-0.240506329113924</v>
      </c>
      <c r="DA38" s="931">
        <f t="shared" si="124"/>
        <v>-0.20915032679738566</v>
      </c>
      <c r="DB38" s="933">
        <f t="shared" si="124"/>
        <v>-0.2125603864734299</v>
      </c>
      <c r="DC38" s="931">
        <f t="shared" si="124"/>
        <v>-7.4626865671641784E-2</v>
      </c>
      <c r="DD38" s="931">
        <f t="shared" si="124"/>
        <v>0.17543859649122817</v>
      </c>
      <c r="DE38" s="931">
        <f t="shared" si="124"/>
        <v>0.125</v>
      </c>
      <c r="DF38" s="931">
        <f t="shared" si="124"/>
        <v>7.4380165289256173E-2</v>
      </c>
      <c r="DG38" s="933">
        <f t="shared" si="124"/>
        <v>6.9529652351738136E-2</v>
      </c>
      <c r="DH38" s="931">
        <f t="shared" si="124"/>
        <v>0.14516129032258074</v>
      </c>
      <c r="DI38" s="931">
        <f t="shared" si="124"/>
        <v>6.7164179104477695E-2</v>
      </c>
      <c r="DJ38" s="931">
        <f t="shared" si="124"/>
        <v>5.1851851851851816E-2</v>
      </c>
      <c r="DK38" s="931">
        <f t="shared" si="124"/>
        <v>6.9230769230769207E-2</v>
      </c>
      <c r="DL38" s="934">
        <f t="shared" si="124"/>
        <v>8.2217973231357488E-2</v>
      </c>
      <c r="DM38" s="931">
        <f t="shared" si="124"/>
        <v>-0.16901408450704225</v>
      </c>
      <c r="DN38" s="931">
        <f t="shared" si="124"/>
        <v>-0.14685314685314688</v>
      </c>
      <c r="DO38" s="931">
        <f t="shared" si="124"/>
        <v>-0.15492957746478875</v>
      </c>
      <c r="DP38" s="931">
        <f t="shared" si="124"/>
        <v>-0.12230215827338131</v>
      </c>
      <c r="DQ38" s="934">
        <f>DQ37/DL37-1</f>
        <v>-0.14840989399293292</v>
      </c>
      <c r="DR38" s="931">
        <f t="shared" si="124"/>
        <v>1.6949152542372836E-2</v>
      </c>
      <c r="DS38" s="931">
        <f t="shared" si="124"/>
        <v>-2.4590163934426257E-2</v>
      </c>
      <c r="DT38" s="931">
        <f t="shared" si="124"/>
        <v>8.3333333333333037E-3</v>
      </c>
      <c r="DU38" s="931">
        <f t="shared" si="124"/>
        <v>-4.0983606557377095E-2</v>
      </c>
      <c r="DV38" s="935">
        <f>DV37/DQ37-1</f>
        <v>-1.0373443983402453E-2</v>
      </c>
      <c r="DW38" s="931">
        <f t="shared" si="124"/>
        <v>-0.10833333333333328</v>
      </c>
      <c r="DX38" s="931">
        <f t="shared" si="124"/>
        <v>0.11764705882352944</v>
      </c>
      <c r="DY38" s="931">
        <f t="shared" si="124"/>
        <v>1.6528925619834656E-2</v>
      </c>
      <c r="DZ38" s="931">
        <f t="shared" ref="DZ38:EI38" si="125">DZ37/DU37-1</f>
        <v>-9.4017094017094016E-2</v>
      </c>
      <c r="EA38" s="935">
        <f t="shared" si="125"/>
        <v>-1.6771488469601636E-2</v>
      </c>
      <c r="EB38" s="931">
        <f t="shared" si="125"/>
        <v>-8.411214953271029E-2</v>
      </c>
      <c r="EC38" s="931">
        <f t="shared" si="125"/>
        <v>-0.27067669172932329</v>
      </c>
      <c r="ED38" s="931">
        <f t="shared" si="125"/>
        <v>-0.14634146341463417</v>
      </c>
      <c r="EE38" s="931">
        <f t="shared" si="125"/>
        <v>-0.10377358490566035</v>
      </c>
      <c r="EF38" s="935">
        <f t="shared" si="125"/>
        <v>-0.15778251599147119</v>
      </c>
      <c r="EG38" s="931">
        <f t="shared" si="125"/>
        <v>-0.2142857142857143</v>
      </c>
      <c r="EH38" s="931">
        <f t="shared" si="125"/>
        <v>-0.20618556701030932</v>
      </c>
      <c r="EI38" s="931">
        <f t="shared" si="125"/>
        <v>-0.15238095238095239</v>
      </c>
      <c r="EJ38" s="931">
        <f>EJ37/EE37-1</f>
        <v>-2.1052631578947323E-2</v>
      </c>
      <c r="EK38" s="935">
        <f>EK37/EF37-1</f>
        <v>-0.14936708860759496</v>
      </c>
      <c r="EL38" s="931">
        <f>EL37/EG37-1</f>
        <v>0.33766233766233755</v>
      </c>
      <c r="EM38" s="931">
        <f t="shared" ref="EM38:EN38" si="126">EM37/EH37-1</f>
        <v>0.32467532467532467</v>
      </c>
      <c r="EN38" s="931">
        <f t="shared" si="126"/>
        <v>0.13483146067415741</v>
      </c>
      <c r="EO38" s="931">
        <f>EO37/EJ37-1</f>
        <v>1.0752688172043001E-2</v>
      </c>
      <c r="EP38" s="935">
        <f>EP37/EK37-1</f>
        <v>0.19047619047619047</v>
      </c>
      <c r="EQ38" s="931">
        <f>EQ37/EL37-1</f>
        <v>-8.737864077669899E-2</v>
      </c>
      <c r="ER38" s="938">
        <f>ER19*$FI$38+$FJ$38</f>
        <v>-4.157140175719129E-2</v>
      </c>
      <c r="ES38" s="938">
        <f>ES19*$FI$38+$FJ$38</f>
        <v>-7.4250701585945683E-2</v>
      </c>
      <c r="ET38" s="938">
        <f>ET19*$FI$38+$FJ$38</f>
        <v>-5.2464501700109412E-2</v>
      </c>
      <c r="EU38" s="935">
        <f>EU37/EP37-1</f>
        <v>-6.4178167498060823E-2</v>
      </c>
      <c r="EV38" s="2087">
        <f>EV19* 1.0931 + 0.0103</f>
        <v>1.03E-2</v>
      </c>
      <c r="EW38" s="2087">
        <f>EW19* 1.0931 + 0.0103</f>
        <v>1.03E-2</v>
      </c>
      <c r="EX38" s="2087">
        <f>EX19* 1.0931 + 0.0103</f>
        <v>1.03E-2</v>
      </c>
      <c r="EY38" s="2087">
        <f>EY19* 1.0931 + 0.0103</f>
        <v>1.03E-2</v>
      </c>
      <c r="EZ38" s="2086">
        <f>EZ19*$FI$38+$FJ$38</f>
        <v>-4.7017951728650351E-2</v>
      </c>
      <c r="FA38" s="2087">
        <f>FA19* 1.0931 + 0.0103</f>
        <v>1.03E-2</v>
      </c>
      <c r="FB38" s="2087">
        <f>FB19* 1.0931 + 0.0103</f>
        <v>1.03E-2</v>
      </c>
      <c r="FC38" s="2087">
        <f>FC19* 1.0931 + 0.0103</f>
        <v>1.03E-2</v>
      </c>
      <c r="FD38" s="2087">
        <f>FD19* 1.0931 + 0.0103</f>
        <v>1.03E-2</v>
      </c>
      <c r="FE38" s="2086">
        <f>FE19*$FI$38+$FJ$38</f>
        <v>-4.157140175719129E-2</v>
      </c>
      <c r="FF38" s="936"/>
      <c r="FG38" s="632"/>
      <c r="FH38" s="1632">
        <f>RSQ(CI38:EQ38,CI19:EQ19)</f>
        <v>0.93334750647831299</v>
      </c>
      <c r="FI38" s="1633">
        <f>SLOPE(CI38:EQ38,CI19:EQ19)</f>
        <v>1.089309994291813</v>
      </c>
      <c r="FJ38" s="1633">
        <f>INTERCEPT(CI38:EQ38,CI19:EQ19)</f>
        <v>1.2894097957399361E-2</v>
      </c>
      <c r="FK38" s="1056"/>
      <c r="FL38" s="1802"/>
      <c r="FM38" s="931">
        <f t="shared" si="98"/>
        <v>-8.737864077669899E-2</v>
      </c>
      <c r="FN38" s="931">
        <f t="shared" si="99"/>
        <v>0.33766233766233755</v>
      </c>
      <c r="FO38" s="938">
        <v>-3.5228034789020223E-2</v>
      </c>
      <c r="FP38" s="1893">
        <f>IFERROR(($FM38-FN38)*10000,"")</f>
        <v>-4250.4097843903655</v>
      </c>
      <c r="FQ38" s="1893">
        <f>IFERROR(($FM38-FO38)*10000,"")</f>
        <v>-521.50605987678773</v>
      </c>
      <c r="FR38" s="599"/>
      <c r="FS38" s="599"/>
      <c r="FT38" s="599"/>
      <c r="FU38" s="599"/>
      <c r="FV38" s="599"/>
      <c r="FW38" s="599"/>
      <c r="FX38" s="599"/>
      <c r="FY38" s="599"/>
      <c r="FZ38" s="599"/>
      <c r="GA38" s="632"/>
      <c r="GB38"/>
      <c r="GC38"/>
      <c r="GD38"/>
      <c r="GE38"/>
      <c r="GF38"/>
      <c r="GG38"/>
      <c r="GH38" s="950"/>
      <c r="GI38" s="950"/>
      <c r="GJ38" s="950"/>
      <c r="GK38" s="950"/>
      <c r="GL38" s="950"/>
      <c r="GM38" s="950"/>
      <c r="GN38" s="950"/>
      <c r="GO38" s="950"/>
      <c r="GP38" s="950"/>
      <c r="GQ38" s="950"/>
      <c r="GR38" s="950"/>
      <c r="GS38" s="950"/>
      <c r="GT38" s="950"/>
      <c r="GU38" s="950"/>
      <c r="GV38" s="950"/>
      <c r="GW38" s="950"/>
      <c r="GX38" s="950"/>
      <c r="GY38" s="950"/>
      <c r="GZ38" s="950"/>
      <c r="HA38" s="950"/>
      <c r="HB38" s="950"/>
      <c r="HC38" s="950"/>
      <c r="HD38" s="950"/>
      <c r="HE38" s="950"/>
      <c r="HF38" s="950"/>
      <c r="HG38" s="950"/>
      <c r="HH38" s="950"/>
      <c r="HI38" s="950"/>
      <c r="HJ38" s="950"/>
      <c r="HK38" s="950"/>
      <c r="HL38" s="950"/>
      <c r="HM38" s="950"/>
      <c r="HN38" s="950"/>
      <c r="HO38" s="950"/>
      <c r="HP38" s="950"/>
      <c r="HQ38" s="950"/>
      <c r="HR38" s="950"/>
      <c r="HS38" s="950"/>
      <c r="HT38" s="950"/>
      <c r="HU38" s="950"/>
      <c r="HV38" s="950"/>
      <c r="HW38" s="950"/>
      <c r="HX38" s="950"/>
      <c r="HY38" s="950"/>
      <c r="HZ38" s="950"/>
      <c r="IA38" s="950"/>
      <c r="IB38" s="950"/>
      <c r="IC38" s="950"/>
      <c r="ID38" s="950"/>
      <c r="IE38" s="950"/>
      <c r="IF38" s="950"/>
      <c r="IG38" s="950"/>
      <c r="IH38" s="950"/>
      <c r="II38" s="950"/>
      <c r="IJ38" s="950"/>
      <c r="IK38" s="950"/>
      <c r="IL38" s="950"/>
      <c r="IM38" s="950"/>
      <c r="IN38" s="950"/>
      <c r="IO38" s="950"/>
      <c r="IP38" s="950"/>
      <c r="IQ38" s="950"/>
      <c r="IR38" s="950"/>
      <c r="IS38" s="950"/>
      <c r="IT38" s="950"/>
      <c r="IU38" s="950"/>
      <c r="IV38" s="950"/>
    </row>
    <row r="39" spans="1:256" s="930" customFormat="1" ht="12.75" x14ac:dyDescent="0.2">
      <c r="A39" s="937" t="s">
        <v>395</v>
      </c>
      <c r="B39" s="921"/>
      <c r="C39" s="921"/>
      <c r="D39" s="921"/>
      <c r="E39" s="922"/>
      <c r="F39" s="923"/>
      <c r="G39" s="921"/>
      <c r="H39" s="921"/>
      <c r="I39" s="921"/>
      <c r="J39" s="922"/>
      <c r="K39" s="923"/>
      <c r="L39" s="921"/>
      <c r="M39" s="921"/>
      <c r="N39" s="921"/>
      <c r="O39" s="922"/>
      <c r="P39" s="923"/>
      <c r="Q39" s="921"/>
      <c r="R39" s="921"/>
      <c r="S39" s="921"/>
      <c r="T39" s="922"/>
      <c r="U39" s="923"/>
      <c r="V39" s="921"/>
      <c r="W39" s="921"/>
      <c r="X39" s="921"/>
      <c r="Y39" s="922"/>
      <c r="Z39" s="923"/>
      <c r="AA39" s="921"/>
      <c r="AB39" s="921"/>
      <c r="AC39" s="921"/>
      <c r="AD39" s="922"/>
      <c r="AE39" s="923"/>
      <c r="AF39" s="921"/>
      <c r="AG39" s="921"/>
      <c r="AH39" s="921"/>
      <c r="AI39" s="922"/>
      <c r="AJ39" s="923"/>
      <c r="AK39" s="921"/>
      <c r="AL39" s="921"/>
      <c r="AM39" s="921"/>
      <c r="AN39" s="922"/>
      <c r="AO39" s="923"/>
      <c r="AP39" s="921"/>
      <c r="AQ39" s="921"/>
      <c r="AR39" s="921"/>
      <c r="AS39" s="922"/>
      <c r="AT39" s="923"/>
      <c r="AU39" s="921"/>
      <c r="AV39" s="921"/>
      <c r="AW39" s="921"/>
      <c r="AX39" s="922"/>
      <c r="AY39" s="923"/>
      <c r="AZ39" s="921"/>
      <c r="BA39" s="921"/>
      <c r="BB39" s="921"/>
      <c r="BC39" s="922"/>
      <c r="BD39" s="923"/>
      <c r="BE39" s="921"/>
      <c r="BF39" s="921"/>
      <c r="BG39" s="921"/>
      <c r="BH39" s="922"/>
      <c r="BI39" s="923"/>
      <c r="BJ39" s="921"/>
      <c r="BK39" s="921"/>
      <c r="BL39" s="921"/>
      <c r="BM39" s="922"/>
      <c r="BN39" s="923"/>
      <c r="BO39" s="921"/>
      <c r="BP39" s="921"/>
      <c r="BQ39" s="921"/>
      <c r="BR39" s="922"/>
      <c r="BS39" s="923"/>
      <c r="BT39" s="921"/>
      <c r="BU39" s="921"/>
      <c r="BV39" s="921"/>
      <c r="BW39" s="922"/>
      <c r="BX39" s="923"/>
      <c r="BY39" s="921"/>
      <c r="BZ39" s="921"/>
      <c r="CA39" s="921"/>
      <c r="CB39" s="922"/>
      <c r="CC39" s="924"/>
      <c r="CD39" s="921">
        <v>27700</v>
      </c>
      <c r="CE39" s="921">
        <v>28700</v>
      </c>
      <c r="CF39" s="921">
        <v>27400</v>
      </c>
      <c r="CG39" s="922">
        <v>27400</v>
      </c>
      <c r="CH39" s="924">
        <f>SUM(CD39:CG39)</f>
        <v>111200</v>
      </c>
      <c r="CI39" s="921">
        <v>28600</v>
      </c>
      <c r="CJ39" s="921">
        <v>29000</v>
      </c>
      <c r="CK39" s="921">
        <v>28400</v>
      </c>
      <c r="CL39" s="922">
        <v>26800</v>
      </c>
      <c r="CM39" s="924">
        <f>SUM(CI39:CL39)</f>
        <v>112800</v>
      </c>
      <c r="CN39" s="921">
        <v>26900</v>
      </c>
      <c r="CO39" s="921">
        <v>28100</v>
      </c>
      <c r="CP39" s="921">
        <v>27700</v>
      </c>
      <c r="CQ39" s="922">
        <v>26900</v>
      </c>
      <c r="CR39" s="924">
        <f>SUM(CN39:CQ39)</f>
        <v>109600</v>
      </c>
      <c r="CS39" s="921">
        <v>26700</v>
      </c>
      <c r="CT39" s="921">
        <v>27900</v>
      </c>
      <c r="CU39" s="921">
        <v>27300</v>
      </c>
      <c r="CV39" s="922">
        <v>23000</v>
      </c>
      <c r="CW39" s="924">
        <f>SUM(CS39:CV39)</f>
        <v>104900</v>
      </c>
      <c r="CX39" s="921">
        <v>20200</v>
      </c>
      <c r="CY39" s="921">
        <v>19700</v>
      </c>
      <c r="CZ39" s="921">
        <v>22000</v>
      </c>
      <c r="DA39" s="921">
        <v>21800</v>
      </c>
      <c r="DB39" s="924">
        <f>SUM(CX39:DA39)</f>
        <v>83700</v>
      </c>
      <c r="DC39" s="921">
        <v>23400</v>
      </c>
      <c r="DD39" s="921">
        <v>25100</v>
      </c>
      <c r="DE39" s="921">
        <v>24800</v>
      </c>
      <c r="DF39" s="921">
        <v>24400</v>
      </c>
      <c r="DG39" s="924">
        <f>SUM(DC39:DF39)</f>
        <v>97700</v>
      </c>
      <c r="DH39" s="921">
        <v>24900</v>
      </c>
      <c r="DI39" s="921">
        <v>25500</v>
      </c>
      <c r="DJ39" s="921">
        <v>25400</v>
      </c>
      <c r="DK39" s="921">
        <v>24900</v>
      </c>
      <c r="DL39" s="924">
        <f>SUM(DH39:DK39)</f>
        <v>100700</v>
      </c>
      <c r="DM39" s="921">
        <v>25200</v>
      </c>
      <c r="DN39" s="921">
        <v>25800</v>
      </c>
      <c r="DO39" s="921">
        <v>24700</v>
      </c>
      <c r="DP39" s="921">
        <v>25100</v>
      </c>
      <c r="DQ39" s="924">
        <f>SUM(DM39:DP39)</f>
        <v>100800</v>
      </c>
      <c r="DR39" s="921">
        <v>26400</v>
      </c>
      <c r="DS39" s="921">
        <v>27200</v>
      </c>
      <c r="DT39" s="921">
        <v>26600</v>
      </c>
      <c r="DU39" s="921">
        <v>27400</v>
      </c>
      <c r="DV39" s="924">
        <f>SUM(DR39:DU39)</f>
        <v>107600</v>
      </c>
      <c r="DW39" s="921">
        <v>27000</v>
      </c>
      <c r="DX39" s="921">
        <v>29800</v>
      </c>
      <c r="DY39" s="921">
        <v>30200</v>
      </c>
      <c r="DZ39" s="921">
        <v>31100</v>
      </c>
      <c r="EA39" s="924">
        <f>SUM(DW39:DZ39)</f>
        <v>118100</v>
      </c>
      <c r="EB39" s="921">
        <v>29300</v>
      </c>
      <c r="EC39" s="921">
        <v>31400</v>
      </c>
      <c r="ED39" s="921">
        <v>30800</v>
      </c>
      <c r="EE39" s="921">
        <v>28800</v>
      </c>
      <c r="EF39" s="924">
        <f>SUM(EB39:EE39)</f>
        <v>120300</v>
      </c>
      <c r="EG39" s="921">
        <v>28800</v>
      </c>
      <c r="EH39" s="921">
        <v>29200</v>
      </c>
      <c r="EI39" s="921">
        <v>29100</v>
      </c>
      <c r="EJ39" s="921">
        <v>28300</v>
      </c>
      <c r="EK39" s="924">
        <f>SUM(EG39:EJ39)</f>
        <v>115400</v>
      </c>
      <c r="EL39" s="921">
        <v>29100</v>
      </c>
      <c r="EM39" s="921">
        <v>29800</v>
      </c>
      <c r="EN39" s="921">
        <v>30000</v>
      </c>
      <c r="EO39" s="921">
        <v>29400</v>
      </c>
      <c r="EP39" s="924">
        <f>SUM(EL39:EO39)</f>
        <v>118300</v>
      </c>
      <c r="EQ39" s="921">
        <v>29500</v>
      </c>
      <c r="ER39" s="925">
        <f>EM39*(1+ER40)</f>
        <v>30748.738050171181</v>
      </c>
      <c r="ES39" s="925">
        <f>EN39*(1+ES40)</f>
        <v>31051.222100355411</v>
      </c>
      <c r="ET39" s="925">
        <f>EO39*(1+ET40)</f>
        <v>30089.190893010298</v>
      </c>
      <c r="EU39" s="1937">
        <f>SUM(EQ39:ET39)</f>
        <v>121389.15104353688</v>
      </c>
      <c r="EV39" s="926"/>
      <c r="EW39" s="926"/>
      <c r="EX39" s="926"/>
      <c r="EY39" s="926"/>
      <c r="EZ39" s="927">
        <f>EU39*(1+EZ40)</f>
        <v>124226.65732195666</v>
      </c>
      <c r="FA39" s="926"/>
      <c r="FB39" s="926"/>
      <c r="FC39" s="926"/>
      <c r="FD39" s="926"/>
      <c r="FE39" s="927">
        <f>EZ39*(1+FE40)</f>
        <v>127926.06185726974</v>
      </c>
      <c r="FF39" s="928"/>
      <c r="FG39" s="929"/>
      <c r="FH39" s="1022"/>
      <c r="FI39" s="1022"/>
      <c r="FJ39" s="1022"/>
      <c r="FK39" s="1022"/>
      <c r="FL39" s="1801"/>
      <c r="FM39" s="921">
        <f t="shared" si="98"/>
        <v>29500</v>
      </c>
      <c r="FN39" s="921">
        <f t="shared" si="99"/>
        <v>29100</v>
      </c>
      <c r="FO39" s="925">
        <v>28920.708090072669</v>
      </c>
      <c r="FP39" s="15">
        <f>IFERROR(($FM39/FN39)-1,"")</f>
        <v>1.3745704467353903E-2</v>
      </c>
      <c r="FQ39" s="15">
        <f>IFERROR(($FM39/FO39)-1,"")</f>
        <v>2.0030350160277655E-2</v>
      </c>
      <c r="FR39" s="564"/>
      <c r="FS39" s="564"/>
      <c r="FT39" s="564"/>
      <c r="FU39" s="564"/>
      <c r="FV39" s="564"/>
      <c r="FW39" s="564"/>
      <c r="FX39" s="564"/>
      <c r="FY39" s="564"/>
      <c r="FZ39" s="564"/>
      <c r="GA39" s="929"/>
      <c r="GB39"/>
      <c r="GC39"/>
      <c r="GD39"/>
      <c r="GE39"/>
      <c r="GF39"/>
      <c r="GG39"/>
      <c r="GH39" s="949"/>
      <c r="GI39" s="949"/>
      <c r="GJ39" s="949"/>
      <c r="GK39" s="949"/>
      <c r="GL39" s="949"/>
      <c r="GM39" s="949"/>
      <c r="GN39" s="949"/>
      <c r="GO39" s="949"/>
      <c r="GP39" s="949"/>
      <c r="GQ39" s="949"/>
      <c r="GR39" s="949"/>
      <c r="GS39" s="949"/>
      <c r="GT39" s="949"/>
      <c r="GU39" s="949"/>
      <c r="GV39" s="949"/>
      <c r="GW39" s="949"/>
      <c r="GX39" s="949"/>
      <c r="GY39" s="949"/>
      <c r="GZ39" s="949"/>
      <c r="HA39" s="949"/>
      <c r="HB39" s="949"/>
      <c r="HC39" s="949"/>
      <c r="HD39" s="949"/>
      <c r="HE39" s="949"/>
      <c r="HF39" s="949"/>
      <c r="HG39" s="949"/>
      <c r="HH39" s="949"/>
      <c r="HI39" s="949"/>
      <c r="HJ39" s="949"/>
      <c r="HK39" s="949"/>
      <c r="HL39" s="949"/>
      <c r="HM39" s="949"/>
      <c r="HN39" s="949"/>
      <c r="HO39" s="949"/>
      <c r="HP39" s="949"/>
      <c r="HQ39" s="949"/>
      <c r="HR39" s="949"/>
      <c r="HS39" s="949"/>
      <c r="HT39" s="949"/>
      <c r="HU39" s="949"/>
      <c r="HV39" s="949"/>
      <c r="HW39" s="949"/>
      <c r="HX39" s="949"/>
      <c r="HY39" s="949"/>
      <c r="HZ39" s="949"/>
      <c r="IA39" s="949"/>
      <c r="IB39" s="949"/>
      <c r="IC39" s="949"/>
      <c r="ID39" s="949"/>
      <c r="IE39" s="949"/>
      <c r="IF39" s="949"/>
      <c r="IG39" s="949"/>
      <c r="IH39" s="949"/>
      <c r="II39" s="949"/>
      <c r="IJ39" s="949"/>
      <c r="IK39" s="949"/>
      <c r="IL39" s="949"/>
      <c r="IM39" s="949"/>
      <c r="IN39" s="949"/>
      <c r="IO39" s="949"/>
      <c r="IP39" s="949"/>
      <c r="IQ39" s="949"/>
      <c r="IR39" s="949"/>
      <c r="IS39" s="949"/>
      <c r="IT39" s="949"/>
      <c r="IU39" s="949"/>
      <c r="IV39" s="949"/>
    </row>
    <row r="40" spans="1:256" s="246" customFormat="1" ht="12.75" x14ac:dyDescent="0.2">
      <c r="A40" s="1104" t="s">
        <v>93</v>
      </c>
      <c r="B40" s="931"/>
      <c r="C40" s="931"/>
      <c r="D40" s="931"/>
      <c r="E40" s="932"/>
      <c r="F40" s="933"/>
      <c r="G40" s="931"/>
      <c r="H40" s="931"/>
      <c r="I40" s="931"/>
      <c r="J40" s="932"/>
      <c r="K40" s="933"/>
      <c r="L40" s="931"/>
      <c r="M40" s="931"/>
      <c r="N40" s="931"/>
      <c r="O40" s="932"/>
      <c r="P40" s="933"/>
      <c r="Q40" s="931"/>
      <c r="R40" s="931"/>
      <c r="S40" s="931"/>
      <c r="T40" s="932"/>
      <c r="U40" s="933"/>
      <c r="V40" s="931"/>
      <c r="W40" s="931"/>
      <c r="X40" s="931"/>
      <c r="Y40" s="932"/>
      <c r="Z40" s="933"/>
      <c r="AA40" s="931"/>
      <c r="AB40" s="931"/>
      <c r="AC40" s="931"/>
      <c r="AD40" s="932"/>
      <c r="AE40" s="933"/>
      <c r="AF40" s="931"/>
      <c r="AG40" s="931"/>
      <c r="AH40" s="931"/>
      <c r="AI40" s="932"/>
      <c r="AJ40" s="933"/>
      <c r="AK40" s="931"/>
      <c r="AL40" s="931"/>
      <c r="AM40" s="931"/>
      <c r="AN40" s="932"/>
      <c r="AO40" s="933"/>
      <c r="AP40" s="931"/>
      <c r="AQ40" s="931"/>
      <c r="AR40" s="931"/>
      <c r="AS40" s="932"/>
      <c r="AT40" s="933"/>
      <c r="AU40" s="931"/>
      <c r="AV40" s="931"/>
      <c r="AW40" s="931"/>
      <c r="AX40" s="932"/>
      <c r="AY40" s="933"/>
      <c r="AZ40" s="931"/>
      <c r="BA40" s="931"/>
      <c r="BB40" s="931"/>
      <c r="BC40" s="932"/>
      <c r="BD40" s="933"/>
      <c r="BE40" s="931"/>
      <c r="BF40" s="931"/>
      <c r="BG40" s="931"/>
      <c r="BH40" s="932"/>
      <c r="BI40" s="933"/>
      <c r="BJ40" s="931"/>
      <c r="BK40" s="931"/>
      <c r="BL40" s="931"/>
      <c r="BM40" s="932"/>
      <c r="BN40" s="933"/>
      <c r="BO40" s="931"/>
      <c r="BP40" s="931"/>
      <c r="BQ40" s="931"/>
      <c r="BR40" s="932"/>
      <c r="BS40" s="933"/>
      <c r="BT40" s="931"/>
      <c r="BU40" s="931"/>
      <c r="BV40" s="931"/>
      <c r="BW40" s="932"/>
      <c r="BX40" s="933"/>
      <c r="BY40" s="931"/>
      <c r="BZ40" s="931"/>
      <c r="CA40" s="931"/>
      <c r="CB40" s="932"/>
      <c r="CC40" s="933"/>
      <c r="CD40" s="931"/>
      <c r="CE40" s="931"/>
      <c r="CF40" s="931"/>
      <c r="CG40" s="932"/>
      <c r="CH40" s="933"/>
      <c r="CI40" s="931">
        <f t="shared" ref="CI40:DY40" si="127">CI39/CD39-1</f>
        <v>3.2490974729241895E-2</v>
      </c>
      <c r="CJ40" s="931">
        <f t="shared" si="127"/>
        <v>1.0452961672473782E-2</v>
      </c>
      <c r="CK40" s="931">
        <f t="shared" si="127"/>
        <v>3.649635036496357E-2</v>
      </c>
      <c r="CL40" s="932">
        <f t="shared" si="127"/>
        <v>-2.1897810218978075E-2</v>
      </c>
      <c r="CM40" s="933">
        <f t="shared" si="127"/>
        <v>1.4388489208633004E-2</v>
      </c>
      <c r="CN40" s="931">
        <f t="shared" si="127"/>
        <v>-5.9440559440559482E-2</v>
      </c>
      <c r="CO40" s="931">
        <f t="shared" si="127"/>
        <v>-3.1034482758620641E-2</v>
      </c>
      <c r="CP40" s="931">
        <f t="shared" si="127"/>
        <v>-2.4647887323943629E-2</v>
      </c>
      <c r="CQ40" s="932">
        <f t="shared" si="127"/>
        <v>3.7313432835821558E-3</v>
      </c>
      <c r="CR40" s="933">
        <f t="shared" si="127"/>
        <v>-2.8368794326241176E-2</v>
      </c>
      <c r="CS40" s="931">
        <f t="shared" si="127"/>
        <v>-7.4349442379182396E-3</v>
      </c>
      <c r="CT40" s="931">
        <f t="shared" si="127"/>
        <v>-7.1174377224199059E-3</v>
      </c>
      <c r="CU40" s="931">
        <f t="shared" si="127"/>
        <v>-1.4440433212996373E-2</v>
      </c>
      <c r="CV40" s="932">
        <f t="shared" si="127"/>
        <v>-0.14498141263940523</v>
      </c>
      <c r="CW40" s="933">
        <f t="shared" si="127"/>
        <v>-4.2883211678832134E-2</v>
      </c>
      <c r="CX40" s="931">
        <f t="shared" si="127"/>
        <v>-0.24344569288389517</v>
      </c>
      <c r="CY40" s="931">
        <f t="shared" si="127"/>
        <v>-0.29390681003584229</v>
      </c>
      <c r="CZ40" s="931">
        <f t="shared" si="127"/>
        <v>-0.19413919413919412</v>
      </c>
      <c r="DA40" s="931">
        <f t="shared" si="127"/>
        <v>-5.2173913043478293E-2</v>
      </c>
      <c r="DB40" s="933">
        <f t="shared" si="127"/>
        <v>-0.20209723546234504</v>
      </c>
      <c r="DC40" s="931">
        <f t="shared" si="127"/>
        <v>0.15841584158415833</v>
      </c>
      <c r="DD40" s="931">
        <f t="shared" si="127"/>
        <v>0.27411167512690349</v>
      </c>
      <c r="DE40" s="931">
        <f t="shared" si="127"/>
        <v>0.1272727272727272</v>
      </c>
      <c r="DF40" s="931">
        <f t="shared" si="127"/>
        <v>0.11926605504587151</v>
      </c>
      <c r="DG40" s="933">
        <f t="shared" si="127"/>
        <v>0.16726403823178027</v>
      </c>
      <c r="DH40" s="931">
        <f t="shared" si="127"/>
        <v>6.4102564102564097E-2</v>
      </c>
      <c r="DI40" s="931">
        <f t="shared" si="127"/>
        <v>1.5936254980079667E-2</v>
      </c>
      <c r="DJ40" s="931">
        <f t="shared" si="127"/>
        <v>2.4193548387096753E-2</v>
      </c>
      <c r="DK40" s="931">
        <f t="shared" si="127"/>
        <v>2.0491803278688492E-2</v>
      </c>
      <c r="DL40" s="934">
        <f t="shared" si="127"/>
        <v>3.0706243602866001E-2</v>
      </c>
      <c r="DM40" s="931">
        <f t="shared" si="127"/>
        <v>1.2048192771084265E-2</v>
      </c>
      <c r="DN40" s="931">
        <f t="shared" si="127"/>
        <v>1.1764705882352899E-2</v>
      </c>
      <c r="DO40" s="931">
        <f t="shared" si="127"/>
        <v>-2.7559055118110187E-2</v>
      </c>
      <c r="DP40" s="931">
        <f t="shared" si="127"/>
        <v>8.0321285140563248E-3</v>
      </c>
      <c r="DQ40" s="934">
        <f>DQ39/DL39-1</f>
        <v>9.930486593843213E-4</v>
      </c>
      <c r="DR40" s="931">
        <f t="shared" si="127"/>
        <v>4.7619047619047672E-2</v>
      </c>
      <c r="DS40" s="931">
        <f t="shared" si="127"/>
        <v>5.4263565891472965E-2</v>
      </c>
      <c r="DT40" s="931">
        <f t="shared" si="127"/>
        <v>7.6923076923076872E-2</v>
      </c>
      <c r="DU40" s="931">
        <f t="shared" si="127"/>
        <v>9.1633466135458086E-2</v>
      </c>
      <c r="DV40" s="935">
        <f>DV39/DQ39-1</f>
        <v>6.7460317460317443E-2</v>
      </c>
      <c r="DW40" s="931">
        <f t="shared" si="127"/>
        <v>2.2727272727272707E-2</v>
      </c>
      <c r="DX40" s="931">
        <f t="shared" si="127"/>
        <v>9.5588235294117752E-2</v>
      </c>
      <c r="DY40" s="931">
        <f t="shared" si="127"/>
        <v>0.13533834586466176</v>
      </c>
      <c r="DZ40" s="931">
        <f t="shared" ref="DZ40:EI40" si="128">DZ39/DU39-1</f>
        <v>0.13503649635036497</v>
      </c>
      <c r="EA40" s="935">
        <f t="shared" si="128"/>
        <v>9.7583643122676644E-2</v>
      </c>
      <c r="EB40" s="931">
        <f t="shared" si="128"/>
        <v>8.5185185185185253E-2</v>
      </c>
      <c r="EC40" s="931">
        <f t="shared" si="128"/>
        <v>5.3691275167785157E-2</v>
      </c>
      <c r="ED40" s="931">
        <f t="shared" si="128"/>
        <v>1.9867549668874274E-2</v>
      </c>
      <c r="EE40" s="931">
        <f t="shared" si="128"/>
        <v>-7.395498392282962E-2</v>
      </c>
      <c r="EF40" s="935">
        <f t="shared" si="128"/>
        <v>1.8628281117696766E-2</v>
      </c>
      <c r="EG40" s="931">
        <f t="shared" si="128"/>
        <v>-1.7064846416382284E-2</v>
      </c>
      <c r="EH40" s="931">
        <f t="shared" si="128"/>
        <v>-7.0063694267515908E-2</v>
      </c>
      <c r="EI40" s="931">
        <f t="shared" si="128"/>
        <v>-5.5194805194805241E-2</v>
      </c>
      <c r="EJ40" s="931">
        <f>EJ39/EE39-1</f>
        <v>-1.736111111111116E-2</v>
      </c>
      <c r="EK40" s="935">
        <f>EK39/EF39-1</f>
        <v>-4.0731504571903554E-2</v>
      </c>
      <c r="EL40" s="931">
        <f>EL39/EG39-1</f>
        <v>1.0416666666666741E-2</v>
      </c>
      <c r="EM40" s="931">
        <f t="shared" ref="EM40:EN40" si="129">EM39/EH39-1</f>
        <v>2.0547945205479534E-2</v>
      </c>
      <c r="EN40" s="931">
        <f t="shared" si="129"/>
        <v>3.0927835051546282E-2</v>
      </c>
      <c r="EO40" s="931">
        <f>EO39/EJ39-1</f>
        <v>3.8869257950530089E-2</v>
      </c>
      <c r="EP40" s="935">
        <f>EP39/EK39-1</f>
        <v>2.512998266897748E-2</v>
      </c>
      <c r="EQ40" s="931">
        <f>EQ39/EL39-1</f>
        <v>1.3745704467353903E-2</v>
      </c>
      <c r="ER40" s="938">
        <f>ER18*$FI$40+$FJ$40</f>
        <v>3.1836847321180542E-2</v>
      </c>
      <c r="ES40" s="938">
        <f>ES18*$FI$40+$FJ$40</f>
        <v>3.504073667851363E-2</v>
      </c>
      <c r="ET40" s="938">
        <f>ET18*$FI$40+$FJ$40</f>
        <v>2.3441867109193732E-2</v>
      </c>
      <c r="EU40" s="935">
        <f>EU39/EP39-1</f>
        <v>2.6112857510878218E-2</v>
      </c>
      <c r="EV40" s="2087">
        <f>EV84*0.6908 + 0.0036</f>
        <v>3.5999999999999999E-3</v>
      </c>
      <c r="EW40" s="2087">
        <f>EW84*0.6908 + 0.0036</f>
        <v>3.5999999999999999E-3</v>
      </c>
      <c r="EX40" s="2087">
        <f>EX84*0.6908 + 0.0036</f>
        <v>3.5999999999999999E-3</v>
      </c>
      <c r="EY40" s="2087">
        <f>EY84*0.6908 + 0.0036</f>
        <v>3.5999999999999999E-3</v>
      </c>
      <c r="EZ40" s="2086">
        <f>EZ18*$FI$40+$FJ$40</f>
        <v>2.3375287280838531E-2</v>
      </c>
      <c r="FA40" s="2087">
        <f>FA84*0.6908 + 0.0036</f>
        <v>3.5999999999999999E-3</v>
      </c>
      <c r="FB40" s="2087">
        <f>FB84*0.6908 + 0.0036</f>
        <v>3.5999999999999999E-3</v>
      </c>
      <c r="FC40" s="2087">
        <f>FC84*0.6908 + 0.0036</f>
        <v>3.5999999999999999E-3</v>
      </c>
      <c r="FD40" s="2087">
        <f>FD84*0.6908 + 0.0036</f>
        <v>3.5999999999999999E-3</v>
      </c>
      <c r="FE40" s="2086">
        <f>FE18*$FI$40+$FJ$40</f>
        <v>2.9779474189065264E-2</v>
      </c>
      <c r="FF40" s="936"/>
      <c r="FG40" s="632"/>
      <c r="FH40" s="1632">
        <f>RSQ(CI40:EQ40,CI18:EQ18)</f>
        <v>0.9133429866659053</v>
      </c>
      <c r="FI40" s="1633">
        <f>SLOPE(CI40:EQ40,CI18:EQ18)</f>
        <v>0.98384067283654841</v>
      </c>
      <c r="FJ40" s="1633">
        <f>INTERCEPT(CI40:EQ40,CI18:EQ18)</f>
        <v>1.7842348386134618E-2</v>
      </c>
      <c r="FK40" s="1056"/>
      <c r="FL40" s="1802"/>
      <c r="FM40" s="931">
        <f t="shared" si="98"/>
        <v>1.3745704467353903E-2</v>
      </c>
      <c r="FN40" s="931">
        <f t="shared" si="99"/>
        <v>1.0416666666666741E-2</v>
      </c>
      <c r="FO40" s="938">
        <v>-6.1612340181213011E-3</v>
      </c>
      <c r="FP40" s="1893">
        <f>IFERROR(($FM40-FN40)*10000,"")</f>
        <v>33.29037800687162</v>
      </c>
      <c r="FQ40" s="1893">
        <f>IFERROR(($FM40-FO40)*10000,"")</f>
        <v>199.06938485475203</v>
      </c>
      <c r="FR40" s="599"/>
      <c r="FS40" s="599"/>
      <c r="FT40" s="599"/>
      <c r="FU40" s="599"/>
      <c r="FV40" s="599"/>
      <c r="FW40" s="599"/>
      <c r="FX40" s="599"/>
      <c r="FY40" s="599"/>
      <c r="FZ40" s="599"/>
      <c r="GA40" s="632"/>
      <c r="GB40"/>
      <c r="GC40"/>
      <c r="GD40"/>
      <c r="GE40"/>
      <c r="GF40"/>
      <c r="GG40"/>
      <c r="GH40" s="950"/>
      <c r="GI40" s="950"/>
      <c r="GJ40" s="950"/>
      <c r="GK40" s="950"/>
      <c r="GL40" s="950"/>
      <c r="GM40" s="950"/>
      <c r="GN40" s="950"/>
      <c r="GO40" s="950"/>
      <c r="GP40" s="950"/>
      <c r="GQ40" s="950"/>
      <c r="GR40" s="950"/>
      <c r="GS40" s="950"/>
      <c r="GT40" s="950"/>
      <c r="GU40" s="950"/>
      <c r="GV40" s="950"/>
      <c r="GW40" s="950"/>
      <c r="GX40" s="950"/>
      <c r="GY40" s="950"/>
      <c r="GZ40" s="950"/>
      <c r="HA40" s="950"/>
      <c r="HB40" s="950"/>
      <c r="HC40" s="950"/>
      <c r="HD40" s="950"/>
      <c r="HE40" s="950"/>
      <c r="HF40" s="950"/>
      <c r="HG40" s="950"/>
      <c r="HH40" s="950"/>
      <c r="HI40" s="950"/>
      <c r="HJ40" s="950"/>
      <c r="HK40" s="950"/>
      <c r="HL40" s="950"/>
      <c r="HM40" s="950"/>
      <c r="HN40" s="950"/>
      <c r="HO40" s="950"/>
      <c r="HP40" s="950"/>
      <c r="HQ40" s="950"/>
      <c r="HR40" s="950"/>
      <c r="HS40" s="950"/>
      <c r="HT40" s="950"/>
      <c r="HU40" s="950"/>
      <c r="HV40" s="950"/>
      <c r="HW40" s="950"/>
      <c r="HX40" s="950"/>
      <c r="HY40" s="950"/>
      <c r="HZ40" s="950"/>
      <c r="IA40" s="950"/>
      <c r="IB40" s="950"/>
      <c r="IC40" s="950"/>
      <c r="ID40" s="950"/>
      <c r="IE40" s="950"/>
      <c r="IF40" s="950"/>
      <c r="IG40" s="950"/>
      <c r="IH40" s="950"/>
      <c r="II40" s="950"/>
      <c r="IJ40" s="950"/>
      <c r="IK40" s="950"/>
      <c r="IL40" s="950"/>
      <c r="IM40" s="950"/>
      <c r="IN40" s="950"/>
      <c r="IO40" s="950"/>
      <c r="IP40" s="950"/>
      <c r="IQ40" s="950"/>
      <c r="IR40" s="950"/>
      <c r="IS40" s="950"/>
      <c r="IT40" s="950"/>
      <c r="IU40" s="950"/>
      <c r="IV40" s="950"/>
    </row>
    <row r="41" spans="1:256" s="930" customFormat="1" ht="12.75" x14ac:dyDescent="0.2">
      <c r="A41" s="937" t="s">
        <v>442</v>
      </c>
      <c r="B41" s="921"/>
      <c r="C41" s="921"/>
      <c r="D41" s="921"/>
      <c r="E41" s="922"/>
      <c r="F41" s="923"/>
      <c r="G41" s="921"/>
      <c r="H41" s="921"/>
      <c r="I41" s="921"/>
      <c r="J41" s="922"/>
      <c r="K41" s="923"/>
      <c r="L41" s="921"/>
      <c r="M41" s="921"/>
      <c r="N41" s="921"/>
      <c r="O41" s="922"/>
      <c r="P41" s="923"/>
      <c r="Q41" s="921"/>
      <c r="R41" s="921"/>
      <c r="S41" s="921"/>
      <c r="T41" s="922"/>
      <c r="U41" s="923"/>
      <c r="V41" s="921"/>
      <c r="W41" s="921"/>
      <c r="X41" s="921"/>
      <c r="Y41" s="922"/>
      <c r="Z41" s="923"/>
      <c r="AA41" s="921"/>
      <c r="AB41" s="921"/>
      <c r="AC41" s="921"/>
      <c r="AD41" s="922"/>
      <c r="AE41" s="923"/>
      <c r="AF41" s="921"/>
      <c r="AG41" s="921"/>
      <c r="AH41" s="921"/>
      <c r="AI41" s="922"/>
      <c r="AJ41" s="923"/>
      <c r="AK41" s="921"/>
      <c r="AL41" s="921"/>
      <c r="AM41" s="921"/>
      <c r="AN41" s="922"/>
      <c r="AO41" s="923"/>
      <c r="AP41" s="921"/>
      <c r="AQ41" s="921"/>
      <c r="AR41" s="921"/>
      <c r="AS41" s="922"/>
      <c r="AT41" s="923"/>
      <c r="AU41" s="921"/>
      <c r="AV41" s="921"/>
      <c r="AW41" s="921"/>
      <c r="AX41" s="922"/>
      <c r="AY41" s="923"/>
      <c r="AZ41" s="921"/>
      <c r="BA41" s="921"/>
      <c r="BB41" s="921"/>
      <c r="BC41" s="922"/>
      <c r="BD41" s="923"/>
      <c r="BE41" s="921"/>
      <c r="BF41" s="921"/>
      <c r="BG41" s="921"/>
      <c r="BH41" s="922"/>
      <c r="BI41" s="923"/>
      <c r="BJ41" s="921"/>
      <c r="BK41" s="921"/>
      <c r="BL41" s="921"/>
      <c r="BM41" s="922"/>
      <c r="BN41" s="923"/>
      <c r="BO41" s="921"/>
      <c r="BP41" s="921"/>
      <c r="BQ41" s="921"/>
      <c r="BR41" s="922"/>
      <c r="BS41" s="923"/>
      <c r="BT41" s="921"/>
      <c r="BU41" s="921"/>
      <c r="BV41" s="921"/>
      <c r="BW41" s="922"/>
      <c r="BX41" s="923"/>
      <c r="BY41" s="921"/>
      <c r="BZ41" s="921"/>
      <c r="CA41" s="921"/>
      <c r="CB41" s="922"/>
      <c r="CC41" s="924"/>
      <c r="CD41" s="921">
        <v>7800</v>
      </c>
      <c r="CE41" s="921">
        <v>7800</v>
      </c>
      <c r="CF41" s="921">
        <v>8200</v>
      </c>
      <c r="CG41" s="922">
        <v>8500</v>
      </c>
      <c r="CH41" s="924">
        <f>SUM(CD41:CG41)</f>
        <v>32300</v>
      </c>
      <c r="CI41" s="921">
        <v>7700</v>
      </c>
      <c r="CJ41" s="921">
        <v>7900</v>
      </c>
      <c r="CK41" s="921">
        <v>7900</v>
      </c>
      <c r="CL41" s="922">
        <v>7600</v>
      </c>
      <c r="CM41" s="924">
        <f>SUM(CI41:CL41)</f>
        <v>31100</v>
      </c>
      <c r="CN41" s="921">
        <v>7100</v>
      </c>
      <c r="CO41" s="921">
        <v>7000</v>
      </c>
      <c r="CP41" s="921">
        <v>7100</v>
      </c>
      <c r="CQ41" s="922">
        <v>7000</v>
      </c>
      <c r="CR41" s="924">
        <f>SUM(CN41:CQ41)</f>
        <v>28200</v>
      </c>
      <c r="CS41" s="921">
        <v>6800</v>
      </c>
      <c r="CT41" s="921">
        <v>7100</v>
      </c>
      <c r="CU41" s="921">
        <v>7400</v>
      </c>
      <c r="CV41" s="922">
        <v>7000</v>
      </c>
      <c r="CW41" s="924">
        <f>SUM(CS41:CV41)</f>
        <v>28300</v>
      </c>
      <c r="CX41" s="921">
        <v>5900</v>
      </c>
      <c r="CY41" s="921">
        <v>6400</v>
      </c>
      <c r="CZ41" s="921">
        <v>6600</v>
      </c>
      <c r="DA41" s="921">
        <v>7000</v>
      </c>
      <c r="DB41" s="924">
        <f>SUM(CX41:DA41)</f>
        <v>25900</v>
      </c>
      <c r="DC41" s="921">
        <v>7500</v>
      </c>
      <c r="DD41" s="921">
        <v>8200</v>
      </c>
      <c r="DE41" s="921">
        <v>8100</v>
      </c>
      <c r="DF41" s="921">
        <v>8200</v>
      </c>
      <c r="DG41" s="924">
        <f>SUM(DC41:DF41)</f>
        <v>32000</v>
      </c>
      <c r="DH41" s="921">
        <v>8100</v>
      </c>
      <c r="DI41" s="921">
        <v>8700</v>
      </c>
      <c r="DJ41" s="921">
        <v>8600</v>
      </c>
      <c r="DK41" s="921">
        <v>9000</v>
      </c>
      <c r="DL41" s="924">
        <f>SUM(DH41:DK41)</f>
        <v>34400</v>
      </c>
      <c r="DM41" s="921">
        <v>8500</v>
      </c>
      <c r="DN41" s="921">
        <v>9200</v>
      </c>
      <c r="DO41" s="921">
        <v>9400</v>
      </c>
      <c r="DP41" s="921">
        <v>9500</v>
      </c>
      <c r="DQ41" s="924">
        <f>SUM(DM41:DP41)</f>
        <v>36600</v>
      </c>
      <c r="DR41" s="921">
        <v>9300</v>
      </c>
      <c r="DS41" s="921">
        <v>9500</v>
      </c>
      <c r="DT41" s="921">
        <v>9700</v>
      </c>
      <c r="DU41" s="921">
        <v>9900</v>
      </c>
      <c r="DV41" s="924">
        <f>SUM(DR41:DU41)</f>
        <v>38400</v>
      </c>
      <c r="DW41" s="921">
        <v>9400</v>
      </c>
      <c r="DX41" s="921">
        <v>10200</v>
      </c>
      <c r="DY41" s="921">
        <v>10300</v>
      </c>
      <c r="DZ41" s="921">
        <v>10200</v>
      </c>
      <c r="EA41" s="924">
        <f>SUM(DW41:DZ41)</f>
        <v>40100</v>
      </c>
      <c r="EB41" s="921">
        <v>9700</v>
      </c>
      <c r="EC41" s="921">
        <v>10400</v>
      </c>
      <c r="ED41" s="921">
        <v>10000</v>
      </c>
      <c r="EE41" s="921">
        <v>9800</v>
      </c>
      <c r="EF41" s="924">
        <f>SUM(EB41:EE41)</f>
        <v>39900</v>
      </c>
      <c r="EG41" s="921">
        <v>9600</v>
      </c>
      <c r="EH41" s="921">
        <v>10500</v>
      </c>
      <c r="EI41" s="921">
        <v>10700</v>
      </c>
      <c r="EJ41" s="921">
        <v>10700</v>
      </c>
      <c r="EK41" s="924">
        <f>SUM(EG41:EJ41)</f>
        <v>41500</v>
      </c>
      <c r="EL41" s="921">
        <v>10200</v>
      </c>
      <c r="EM41" s="921">
        <v>10700</v>
      </c>
      <c r="EN41" s="921">
        <v>11000</v>
      </c>
      <c r="EO41" s="921">
        <v>11300</v>
      </c>
      <c r="EP41" s="924">
        <f>SUM(EL41:EO41)</f>
        <v>43200</v>
      </c>
      <c r="EQ41" s="921">
        <v>11100</v>
      </c>
      <c r="ER41" s="925">
        <f>EM41*(1+ER42)</f>
        <v>11524.27509799281</v>
      </c>
      <c r="ES41" s="925">
        <f>EN41*(1+ES42)</f>
        <v>11944.995897895387</v>
      </c>
      <c r="ET41" s="925">
        <f>EO41*(1+ET42)</f>
        <v>11969.951367990281</v>
      </c>
      <c r="EU41" s="1937">
        <f>SUM(EQ41:ET41)</f>
        <v>46539.222363878478</v>
      </c>
      <c r="EV41" s="926"/>
      <c r="EW41" s="926"/>
      <c r="EX41" s="926"/>
      <c r="EY41" s="926"/>
      <c r="EZ41" s="927">
        <f>EU41*(1+EZ42)</f>
        <v>48678.967291297937</v>
      </c>
      <c r="FA41" s="926"/>
      <c r="FB41" s="926"/>
      <c r="FC41" s="926"/>
      <c r="FD41" s="926"/>
      <c r="FE41" s="927">
        <f>EZ41*(1+FE42)</f>
        <v>50917.091781629279</v>
      </c>
      <c r="FF41" s="928"/>
      <c r="FG41" s="929"/>
      <c r="FH41" s="1022"/>
      <c r="FI41" s="1022"/>
      <c r="FJ41" s="1022"/>
      <c r="FK41" s="1022"/>
      <c r="FL41" s="1801"/>
      <c r="FM41" s="921">
        <f t="shared" si="98"/>
        <v>11100</v>
      </c>
      <c r="FN41" s="921">
        <f t="shared" si="99"/>
        <v>10200</v>
      </c>
      <c r="FO41" s="925">
        <v>10985.935945007936</v>
      </c>
      <c r="FP41" s="15">
        <f>IFERROR(($FM41/FN41)-1,"")</f>
        <v>8.8235294117646967E-2</v>
      </c>
      <c r="FQ41" s="15">
        <f>IFERROR(($FM41/FO41)-1,"")</f>
        <v>1.03827343945051E-2</v>
      </c>
      <c r="FR41" s="564"/>
      <c r="FS41" s="564"/>
      <c r="FT41" s="564"/>
      <c r="FU41" s="564"/>
      <c r="FV41" s="564"/>
      <c r="FW41" s="564"/>
      <c r="FX41" s="564"/>
      <c r="FY41" s="564"/>
      <c r="FZ41" s="564"/>
      <c r="GA41" s="929"/>
      <c r="GB41"/>
      <c r="GC41"/>
      <c r="GD41"/>
      <c r="GE41"/>
      <c r="GF41"/>
      <c r="GG41"/>
      <c r="GH41" s="949"/>
      <c r="GI41" s="949"/>
      <c r="GJ41" s="949"/>
      <c r="GK41" s="949"/>
      <c r="GL41" s="949"/>
      <c r="GM41" s="949"/>
      <c r="GN41" s="949"/>
      <c r="GO41" s="949"/>
      <c r="GP41" s="949"/>
      <c r="GQ41" s="949"/>
      <c r="GR41" s="949"/>
      <c r="GS41" s="949"/>
      <c r="GT41" s="949"/>
      <c r="GU41" s="949"/>
      <c r="GV41" s="949"/>
      <c r="GW41" s="949"/>
      <c r="GX41" s="949"/>
      <c r="GY41" s="949"/>
      <c r="GZ41" s="949"/>
      <c r="HA41" s="949"/>
      <c r="HB41" s="949"/>
      <c r="HC41" s="949"/>
      <c r="HD41" s="949"/>
      <c r="HE41" s="949"/>
      <c r="HF41" s="949"/>
      <c r="HG41" s="949"/>
      <c r="HH41" s="949"/>
      <c r="HI41" s="949"/>
      <c r="HJ41" s="949"/>
      <c r="HK41" s="949"/>
      <c r="HL41" s="949"/>
      <c r="HM41" s="949"/>
      <c r="HN41" s="949"/>
      <c r="HO41" s="949"/>
      <c r="HP41" s="949"/>
      <c r="HQ41" s="949"/>
      <c r="HR41" s="949"/>
      <c r="HS41" s="949"/>
      <c r="HT41" s="949"/>
      <c r="HU41" s="949"/>
      <c r="HV41" s="949"/>
      <c r="HW41" s="949"/>
      <c r="HX41" s="949"/>
      <c r="HY41" s="949"/>
      <c r="HZ41" s="949"/>
      <c r="IA41" s="949"/>
      <c r="IB41" s="949"/>
      <c r="IC41" s="949"/>
      <c r="ID41" s="949"/>
      <c r="IE41" s="949"/>
      <c r="IF41" s="949"/>
      <c r="IG41" s="949"/>
      <c r="IH41" s="949"/>
      <c r="II41" s="949"/>
      <c r="IJ41" s="949"/>
      <c r="IK41" s="949"/>
      <c r="IL41" s="949"/>
      <c r="IM41" s="949"/>
      <c r="IN41" s="949"/>
      <c r="IO41" s="949"/>
      <c r="IP41" s="949"/>
      <c r="IQ41" s="949"/>
      <c r="IR41" s="949"/>
      <c r="IS41" s="949"/>
      <c r="IT41" s="949"/>
      <c r="IU41" s="949"/>
      <c r="IV41" s="949"/>
    </row>
    <row r="42" spans="1:256" s="246" customFormat="1" ht="12.75" x14ac:dyDescent="0.2">
      <c r="A42" s="1104" t="s">
        <v>93</v>
      </c>
      <c r="B42" s="931"/>
      <c r="C42" s="931"/>
      <c r="D42" s="931"/>
      <c r="E42" s="932"/>
      <c r="F42" s="933"/>
      <c r="G42" s="931"/>
      <c r="H42" s="931"/>
      <c r="I42" s="931"/>
      <c r="J42" s="932"/>
      <c r="K42" s="933"/>
      <c r="L42" s="931"/>
      <c r="M42" s="931"/>
      <c r="N42" s="931"/>
      <c r="O42" s="932"/>
      <c r="P42" s="933"/>
      <c r="Q42" s="931"/>
      <c r="R42" s="931"/>
      <c r="S42" s="931"/>
      <c r="T42" s="932"/>
      <c r="U42" s="933"/>
      <c r="V42" s="931"/>
      <c r="W42" s="931"/>
      <c r="X42" s="931"/>
      <c r="Y42" s="932"/>
      <c r="Z42" s="933"/>
      <c r="AA42" s="931"/>
      <c r="AB42" s="931"/>
      <c r="AC42" s="931"/>
      <c r="AD42" s="932"/>
      <c r="AE42" s="933"/>
      <c r="AF42" s="931"/>
      <c r="AG42" s="931"/>
      <c r="AH42" s="931"/>
      <c r="AI42" s="932"/>
      <c r="AJ42" s="933"/>
      <c r="AK42" s="931"/>
      <c r="AL42" s="931"/>
      <c r="AM42" s="931"/>
      <c r="AN42" s="932"/>
      <c r="AO42" s="933"/>
      <c r="AP42" s="931"/>
      <c r="AQ42" s="931"/>
      <c r="AR42" s="931"/>
      <c r="AS42" s="932"/>
      <c r="AT42" s="933"/>
      <c r="AU42" s="931"/>
      <c r="AV42" s="931"/>
      <c r="AW42" s="931"/>
      <c r="AX42" s="932"/>
      <c r="AY42" s="933"/>
      <c r="AZ42" s="931"/>
      <c r="BA42" s="931"/>
      <c r="BB42" s="931"/>
      <c r="BC42" s="932"/>
      <c r="BD42" s="933"/>
      <c r="BE42" s="931"/>
      <c r="BF42" s="931"/>
      <c r="BG42" s="931"/>
      <c r="BH42" s="932"/>
      <c r="BI42" s="933"/>
      <c r="BJ42" s="931"/>
      <c r="BK42" s="931"/>
      <c r="BL42" s="931"/>
      <c r="BM42" s="932"/>
      <c r="BN42" s="933"/>
      <c r="BO42" s="931"/>
      <c r="BP42" s="931"/>
      <c r="BQ42" s="931"/>
      <c r="BR42" s="932"/>
      <c r="BS42" s="933"/>
      <c r="BT42" s="931"/>
      <c r="BU42" s="931"/>
      <c r="BV42" s="931"/>
      <c r="BW42" s="932"/>
      <c r="BX42" s="933"/>
      <c r="BY42" s="931"/>
      <c r="BZ42" s="931"/>
      <c r="CA42" s="931"/>
      <c r="CB42" s="932"/>
      <c r="CC42" s="933"/>
      <c r="CD42" s="931"/>
      <c r="CE42" s="931"/>
      <c r="CF42" s="931"/>
      <c r="CG42" s="932"/>
      <c r="CH42" s="933"/>
      <c r="CI42" s="931">
        <f t="shared" ref="CI42:DY42" si="130">CI41/CD41-1</f>
        <v>-1.2820512820512775E-2</v>
      </c>
      <c r="CJ42" s="931">
        <f t="shared" si="130"/>
        <v>1.2820512820512775E-2</v>
      </c>
      <c r="CK42" s="931">
        <f t="shared" si="130"/>
        <v>-3.6585365853658569E-2</v>
      </c>
      <c r="CL42" s="932">
        <f t="shared" si="130"/>
        <v>-0.10588235294117643</v>
      </c>
      <c r="CM42" s="933">
        <f t="shared" si="130"/>
        <v>-3.7151702786377694E-2</v>
      </c>
      <c r="CN42" s="931">
        <f t="shared" si="130"/>
        <v>-7.7922077922077948E-2</v>
      </c>
      <c r="CO42" s="931">
        <f t="shared" si="130"/>
        <v>-0.11392405063291144</v>
      </c>
      <c r="CP42" s="931">
        <f t="shared" si="130"/>
        <v>-0.10126582278481011</v>
      </c>
      <c r="CQ42" s="932">
        <f t="shared" si="130"/>
        <v>-7.8947368421052655E-2</v>
      </c>
      <c r="CR42" s="933">
        <f t="shared" si="130"/>
        <v>-9.3247588424437255E-2</v>
      </c>
      <c r="CS42" s="931">
        <f t="shared" si="130"/>
        <v>-4.2253521126760618E-2</v>
      </c>
      <c r="CT42" s="931">
        <f t="shared" si="130"/>
        <v>1.4285714285714235E-2</v>
      </c>
      <c r="CU42" s="931">
        <f t="shared" si="130"/>
        <v>4.2253521126760507E-2</v>
      </c>
      <c r="CV42" s="932">
        <f t="shared" si="130"/>
        <v>0</v>
      </c>
      <c r="CW42" s="933">
        <f t="shared" si="130"/>
        <v>3.5460992907800915E-3</v>
      </c>
      <c r="CX42" s="931">
        <f t="shared" si="130"/>
        <v>-0.13235294117647056</v>
      </c>
      <c r="CY42" s="931">
        <f t="shared" si="130"/>
        <v>-9.8591549295774628E-2</v>
      </c>
      <c r="CZ42" s="931">
        <f t="shared" si="130"/>
        <v>-0.10810810810810811</v>
      </c>
      <c r="DA42" s="931">
        <f t="shared" si="130"/>
        <v>0</v>
      </c>
      <c r="DB42" s="933">
        <f t="shared" si="130"/>
        <v>-8.4805653710247397E-2</v>
      </c>
      <c r="DC42" s="931">
        <f t="shared" si="130"/>
        <v>0.27118644067796605</v>
      </c>
      <c r="DD42" s="931">
        <f t="shared" si="130"/>
        <v>0.28125</v>
      </c>
      <c r="DE42" s="931">
        <f t="shared" si="130"/>
        <v>0.22727272727272729</v>
      </c>
      <c r="DF42" s="931">
        <f t="shared" si="130"/>
        <v>0.17142857142857149</v>
      </c>
      <c r="DG42" s="933">
        <f t="shared" si="130"/>
        <v>0.23552123552123549</v>
      </c>
      <c r="DH42" s="931">
        <f t="shared" si="130"/>
        <v>8.0000000000000071E-2</v>
      </c>
      <c r="DI42" s="931">
        <f t="shared" si="130"/>
        <v>6.0975609756097615E-2</v>
      </c>
      <c r="DJ42" s="931">
        <f t="shared" si="130"/>
        <v>6.1728395061728447E-2</v>
      </c>
      <c r="DK42" s="931">
        <f t="shared" si="130"/>
        <v>9.7560975609756184E-2</v>
      </c>
      <c r="DL42" s="934">
        <f t="shared" si="130"/>
        <v>7.4999999999999956E-2</v>
      </c>
      <c r="DM42" s="931">
        <f t="shared" si="130"/>
        <v>4.9382716049382713E-2</v>
      </c>
      <c r="DN42" s="931">
        <f t="shared" si="130"/>
        <v>5.7471264367816133E-2</v>
      </c>
      <c r="DO42" s="931">
        <f t="shared" si="130"/>
        <v>9.3023255813953432E-2</v>
      </c>
      <c r="DP42" s="931">
        <f t="shared" si="130"/>
        <v>5.555555555555558E-2</v>
      </c>
      <c r="DQ42" s="934">
        <f>DQ41/DL41-1</f>
        <v>6.3953488372092915E-2</v>
      </c>
      <c r="DR42" s="931">
        <f t="shared" si="130"/>
        <v>9.4117647058823639E-2</v>
      </c>
      <c r="DS42" s="931">
        <f t="shared" si="130"/>
        <v>3.2608695652173836E-2</v>
      </c>
      <c r="DT42" s="931">
        <f t="shared" si="130"/>
        <v>3.1914893617021267E-2</v>
      </c>
      <c r="DU42" s="931">
        <f t="shared" si="130"/>
        <v>4.2105263157894646E-2</v>
      </c>
      <c r="DV42" s="935">
        <f>DV41/DQ41-1</f>
        <v>4.9180327868852514E-2</v>
      </c>
      <c r="DW42" s="931">
        <f t="shared" si="130"/>
        <v>1.0752688172043001E-2</v>
      </c>
      <c r="DX42" s="931">
        <f t="shared" si="130"/>
        <v>7.3684210526315796E-2</v>
      </c>
      <c r="DY42" s="931">
        <f t="shared" si="130"/>
        <v>6.1855670103092786E-2</v>
      </c>
      <c r="DZ42" s="931">
        <f t="shared" ref="DZ42:EI42" si="131">DZ41/DU41-1</f>
        <v>3.0303030303030276E-2</v>
      </c>
      <c r="EA42" s="935">
        <f t="shared" si="131"/>
        <v>4.4270833333333259E-2</v>
      </c>
      <c r="EB42" s="931">
        <f t="shared" si="131"/>
        <v>3.1914893617021267E-2</v>
      </c>
      <c r="EC42" s="931">
        <f t="shared" si="131"/>
        <v>1.9607843137254832E-2</v>
      </c>
      <c r="ED42" s="931">
        <f t="shared" si="131"/>
        <v>-2.9126213592232997E-2</v>
      </c>
      <c r="EE42" s="931">
        <f t="shared" si="131"/>
        <v>-3.9215686274509776E-2</v>
      </c>
      <c r="EF42" s="935">
        <f t="shared" si="131"/>
        <v>-4.9875311720698479E-3</v>
      </c>
      <c r="EG42" s="931">
        <f t="shared" si="131"/>
        <v>-1.0309278350515427E-2</v>
      </c>
      <c r="EH42" s="931">
        <f t="shared" si="131"/>
        <v>9.6153846153845812E-3</v>
      </c>
      <c r="EI42" s="931">
        <f t="shared" si="131"/>
        <v>7.0000000000000062E-2</v>
      </c>
      <c r="EJ42" s="931">
        <f>EJ41/EE41-1</f>
        <v>9.1836734693877542E-2</v>
      </c>
      <c r="EK42" s="935">
        <f>EK41/EF41-1</f>
        <v>4.0100250626566414E-2</v>
      </c>
      <c r="EL42" s="931">
        <f>EL41/EG41-1</f>
        <v>6.25E-2</v>
      </c>
      <c r="EM42" s="931">
        <f t="shared" ref="EM42:EN42" si="132">EM41/EH41-1</f>
        <v>1.904761904761898E-2</v>
      </c>
      <c r="EN42" s="931">
        <f t="shared" si="132"/>
        <v>2.8037383177569986E-2</v>
      </c>
      <c r="EO42" s="931">
        <f>EO41/EJ41-1</f>
        <v>5.6074766355140193E-2</v>
      </c>
      <c r="EP42" s="935">
        <f>EP41/EK41-1</f>
        <v>4.0963855421686679E-2</v>
      </c>
      <c r="EQ42" s="931">
        <f>EQ41/EL41-1</f>
        <v>8.8235294117646967E-2</v>
      </c>
      <c r="ER42" s="938">
        <f>ER22*$FI$42+$FJ$42</f>
        <v>7.7035055887178489E-2</v>
      </c>
      <c r="ES42" s="938">
        <f>ES22*$FI$42+$FJ$42</f>
        <v>8.5908717990489838E-2</v>
      </c>
      <c r="ET42" s="938">
        <f>ET22*$FI$42+$FJ$42</f>
        <v>5.9287731680555782E-2</v>
      </c>
      <c r="EU42" s="935">
        <f>EU41/EP41-1</f>
        <v>7.7296813978668499E-2</v>
      </c>
      <c r="EV42" s="2087">
        <f>EV22*0.8427 + 0.0221</f>
        <v>2.2100000000000002E-2</v>
      </c>
      <c r="EW42" s="2087">
        <f>EW22*0.8427 + 0.0221</f>
        <v>2.2100000000000002E-2</v>
      </c>
      <c r="EX42" s="2087">
        <f>EX22*0.8427 + 0.0221</f>
        <v>2.2100000000000002E-2</v>
      </c>
      <c r="EY42" s="2087">
        <f>EY22*0.8427 + 0.0221</f>
        <v>2.2100000000000002E-2</v>
      </c>
      <c r="EZ42" s="2086">
        <f>EZ22*$FI$42+$FJ$42</f>
        <v>4.597723852558875E-2</v>
      </c>
      <c r="FA42" s="2087">
        <f>FA22*0.8427 + 0.0221</f>
        <v>2.2100000000000002E-2</v>
      </c>
      <c r="FB42" s="2087">
        <f>FB22*0.8427 + 0.0221</f>
        <v>2.2100000000000002E-2</v>
      </c>
      <c r="FC42" s="2087">
        <f>FC22*0.8427 + 0.0221</f>
        <v>2.2100000000000002E-2</v>
      </c>
      <c r="FD42" s="2087">
        <f>FD22*0.8427 + 0.0221</f>
        <v>2.2100000000000002E-2</v>
      </c>
      <c r="FE42" s="2086">
        <f>FE22*$FI$42+$FJ$42</f>
        <v>4.597723852558875E-2</v>
      </c>
      <c r="FF42" s="936"/>
      <c r="FG42" s="632"/>
      <c r="FH42" s="1632">
        <f>RSQ(CI42:EQ42,CI22:EQ22)</f>
        <v>0.69210384006025139</v>
      </c>
      <c r="FI42" s="1633">
        <f>SLOPE(CI42:EQ42,CI22:EQ22)</f>
        <v>0.88736621033113539</v>
      </c>
      <c r="FJ42" s="1633">
        <f>INTERCEPT(CI42:EQ42,CI22:EQ22)</f>
        <v>6.045759060687661E-3</v>
      </c>
      <c r="FK42" s="1056"/>
      <c r="FL42" s="1802"/>
      <c r="FM42" s="931">
        <f t="shared" si="98"/>
        <v>8.8235294117646967E-2</v>
      </c>
      <c r="FN42" s="931">
        <f t="shared" si="99"/>
        <v>6.25E-2</v>
      </c>
      <c r="FO42" s="938">
        <v>7.7052543628228984E-2</v>
      </c>
      <c r="FP42" s="1893">
        <f>IFERROR(($FM42-FN42)*10000,"")</f>
        <v>257.3529411764697</v>
      </c>
      <c r="FQ42" s="1893">
        <f>IFERROR(($FM42-FO42)*10000,"")</f>
        <v>111.82750489417984</v>
      </c>
      <c r="FR42" s="599"/>
      <c r="FS42" s="599"/>
      <c r="FT42" s="599"/>
      <c r="FU42" s="599"/>
      <c r="FV42" s="599"/>
      <c r="FW42" s="599"/>
      <c r="FX42" s="599"/>
      <c r="FY42" s="599"/>
      <c r="FZ42" s="599"/>
      <c r="GA42" s="632"/>
      <c r="GB42"/>
      <c r="GC42"/>
      <c r="GD42"/>
      <c r="GE42"/>
      <c r="GF42"/>
      <c r="GG42"/>
      <c r="GH42" s="950"/>
      <c r="GI42" s="950"/>
      <c r="GJ42" s="950"/>
      <c r="GK42" s="950"/>
      <c r="GL42" s="950"/>
      <c r="GM42" s="950"/>
      <c r="GN42" s="950"/>
      <c r="GO42" s="950"/>
      <c r="GP42" s="950"/>
      <c r="GQ42" s="950"/>
      <c r="GR42" s="950"/>
      <c r="GS42" s="950"/>
      <c r="GT42" s="950"/>
      <c r="GU42" s="950"/>
      <c r="GV42" s="950"/>
      <c r="GW42" s="950"/>
      <c r="GX42" s="950"/>
      <c r="GY42" s="950"/>
      <c r="GZ42" s="950"/>
      <c r="HA42" s="950"/>
      <c r="HB42" s="950"/>
      <c r="HC42" s="950"/>
      <c r="HD42" s="950"/>
      <c r="HE42" s="950"/>
      <c r="HF42" s="950"/>
      <c r="HG42" s="950"/>
      <c r="HH42" s="950"/>
      <c r="HI42" s="950"/>
      <c r="HJ42" s="950"/>
      <c r="HK42" s="950"/>
      <c r="HL42" s="950"/>
      <c r="HM42" s="950"/>
      <c r="HN42" s="950"/>
      <c r="HO42" s="950"/>
      <c r="HP42" s="950"/>
      <c r="HQ42" s="950"/>
      <c r="HR42" s="950"/>
      <c r="HS42" s="950"/>
      <c r="HT42" s="950"/>
      <c r="HU42" s="950"/>
      <c r="HV42" s="950"/>
      <c r="HW42" s="950"/>
      <c r="HX42" s="950"/>
      <c r="HY42" s="950"/>
      <c r="HZ42" s="950"/>
      <c r="IA42" s="950"/>
      <c r="IB42" s="950"/>
      <c r="IC42" s="950"/>
      <c r="ID42" s="950"/>
      <c r="IE42" s="950"/>
      <c r="IF42" s="950"/>
      <c r="IG42" s="950"/>
      <c r="IH42" s="950"/>
      <c r="II42" s="950"/>
      <c r="IJ42" s="950"/>
      <c r="IK42" s="950"/>
      <c r="IL42" s="950"/>
      <c r="IM42" s="950"/>
      <c r="IN42" s="950"/>
      <c r="IO42" s="950"/>
      <c r="IP42" s="950"/>
      <c r="IQ42" s="950"/>
      <c r="IR42" s="950"/>
      <c r="IS42" s="950"/>
      <c r="IT42" s="950"/>
      <c r="IU42" s="950"/>
      <c r="IV42" s="950"/>
    </row>
    <row r="43" spans="1:256" s="24" customFormat="1" ht="12.75" x14ac:dyDescent="0.2">
      <c r="A43" s="23" t="s">
        <v>625</v>
      </c>
      <c r="E43" s="198"/>
      <c r="F43" s="30"/>
      <c r="J43" s="198"/>
      <c r="K43" s="30"/>
      <c r="O43" s="198"/>
      <c r="P43" s="30"/>
      <c r="T43" s="198"/>
      <c r="U43" s="30"/>
      <c r="Y43" s="198"/>
      <c r="Z43" s="30"/>
      <c r="AD43" s="198"/>
      <c r="AE43" s="30"/>
      <c r="AI43" s="198"/>
      <c r="AJ43" s="30"/>
      <c r="AN43" s="198"/>
      <c r="AO43" s="30"/>
      <c r="AS43" s="198"/>
      <c r="AT43" s="30"/>
      <c r="AX43" s="198"/>
      <c r="AY43" s="30"/>
      <c r="BC43" s="198"/>
      <c r="BD43" s="30"/>
      <c r="BH43" s="198"/>
      <c r="BI43" s="30"/>
      <c r="BM43" s="198"/>
      <c r="BN43" s="30"/>
      <c r="BR43" s="198"/>
      <c r="BS43" s="30"/>
      <c r="BW43" s="198"/>
      <c r="BX43" s="30"/>
      <c r="BY43" s="24">
        <v>90000</v>
      </c>
      <c r="BZ43" s="24">
        <v>94700</v>
      </c>
      <c r="CA43" s="24">
        <v>94600</v>
      </c>
      <c r="CB43" s="198">
        <v>95100</v>
      </c>
      <c r="CC43" s="30">
        <f>SUM(BY43:CB43)</f>
        <v>374400</v>
      </c>
      <c r="CD43" s="24">
        <v>94500</v>
      </c>
      <c r="CE43" s="24">
        <v>97700</v>
      </c>
      <c r="CF43" s="24">
        <v>96100</v>
      </c>
      <c r="CG43" s="198">
        <v>95600</v>
      </c>
      <c r="CH43" s="30">
        <f>SUM(CD43:CG43)</f>
        <v>383900</v>
      </c>
      <c r="CI43" s="24">
        <v>96700</v>
      </c>
      <c r="CJ43" s="24">
        <v>98500</v>
      </c>
      <c r="CK43" s="24">
        <v>96000</v>
      </c>
      <c r="CL43" s="198">
        <v>92800</v>
      </c>
      <c r="CM43" s="30">
        <f>SUM(CI43:CL43)</f>
        <v>384000</v>
      </c>
      <c r="CN43" s="24">
        <v>90500</v>
      </c>
      <c r="CO43" s="24">
        <v>94500</v>
      </c>
      <c r="CP43" s="24">
        <v>91500</v>
      </c>
      <c r="CQ43" s="198">
        <v>89900</v>
      </c>
      <c r="CR43" s="30">
        <f>SUM(CN43:CQ43)</f>
        <v>366400</v>
      </c>
      <c r="CS43" s="24">
        <v>90100</v>
      </c>
      <c r="CT43" s="24">
        <v>93800</v>
      </c>
      <c r="CU43" s="24">
        <v>91800</v>
      </c>
      <c r="CV43" s="198">
        <v>83500</v>
      </c>
      <c r="CW43" s="30">
        <f>SUM(CS43:CV43)</f>
        <v>359200</v>
      </c>
      <c r="CX43" s="24">
        <v>74200</v>
      </c>
      <c r="CY43" s="24">
        <v>70500</v>
      </c>
      <c r="CZ43" s="24">
        <v>76600</v>
      </c>
      <c r="DA43" s="24">
        <v>78800</v>
      </c>
      <c r="DB43" s="30">
        <f>SUM(CX43:DA43)</f>
        <v>300100</v>
      </c>
      <c r="DC43" s="24">
        <v>80700</v>
      </c>
      <c r="DD43" s="24">
        <v>87200</v>
      </c>
      <c r="DE43" s="24">
        <v>86900</v>
      </c>
      <c r="DF43" s="24">
        <v>85600</v>
      </c>
      <c r="DG43" s="30">
        <f>SUM(DC43:DF43)</f>
        <v>340400</v>
      </c>
      <c r="DH43" s="24">
        <v>87900</v>
      </c>
      <c r="DI43" s="24">
        <v>90700</v>
      </c>
      <c r="DJ43" s="24">
        <v>90500</v>
      </c>
      <c r="DK43" s="24">
        <v>90600</v>
      </c>
      <c r="DL43" s="30">
        <f>SUM(DH43:DK43)</f>
        <v>359700</v>
      </c>
      <c r="DM43" s="24">
        <v>86600</v>
      </c>
      <c r="DN43" s="24">
        <v>89900</v>
      </c>
      <c r="DO43" s="24">
        <v>87800</v>
      </c>
      <c r="DP43" s="24">
        <v>89000</v>
      </c>
      <c r="DQ43" s="30">
        <f>SUM(DM43:DP43)</f>
        <v>353300</v>
      </c>
      <c r="DR43" s="24">
        <v>90300</v>
      </c>
      <c r="DS43" s="24">
        <v>92600</v>
      </c>
      <c r="DT43" s="24">
        <v>91800</v>
      </c>
      <c r="DU43" s="24">
        <v>93500</v>
      </c>
      <c r="DV43" s="30">
        <f>SUM(DR43:DU43)</f>
        <v>368200</v>
      </c>
      <c r="DW43" s="24">
        <v>89200</v>
      </c>
      <c r="DX43" s="24">
        <v>100300</v>
      </c>
      <c r="DY43" s="24">
        <v>100000</v>
      </c>
      <c r="DZ43" s="24">
        <v>99000</v>
      </c>
      <c r="EA43" s="30">
        <f>SUM(DW43:DZ43)</f>
        <v>388500</v>
      </c>
      <c r="EB43" s="24">
        <v>92900</v>
      </c>
      <c r="EC43" s="24">
        <v>99100</v>
      </c>
      <c r="ED43" s="24">
        <v>98500</v>
      </c>
      <c r="EE43" s="24">
        <v>93900</v>
      </c>
      <c r="EF43" s="30">
        <f>SUM(EB43:EE43)</f>
        <v>384400</v>
      </c>
      <c r="EG43" s="945">
        <v>90200</v>
      </c>
      <c r="EH43" s="24">
        <v>92600</v>
      </c>
      <c r="EI43" s="24">
        <v>93800</v>
      </c>
      <c r="EJ43" s="24">
        <v>93300</v>
      </c>
      <c r="EK43" s="30">
        <f>SUM(EG43:EJ43)</f>
        <v>369900</v>
      </c>
      <c r="EL43" s="945">
        <v>94600</v>
      </c>
      <c r="EM43" s="24">
        <v>96500</v>
      </c>
      <c r="EN43" s="24">
        <v>96600</v>
      </c>
      <c r="EO43" s="24">
        <v>96100</v>
      </c>
      <c r="EP43" s="30">
        <f>SUM(EL43:EO43)</f>
        <v>383800</v>
      </c>
      <c r="EQ43" s="945">
        <v>95200</v>
      </c>
      <c r="ER43" s="24">
        <f>ER32*ER13/1000</f>
        <v>99067.594438820932</v>
      </c>
      <c r="ES43" s="24">
        <f>ES32*ES13/1000</f>
        <v>98955.99254641257</v>
      </c>
      <c r="ET43" s="24">
        <f>ET32*ET13/1000</f>
        <v>97761.083599129299</v>
      </c>
      <c r="EU43" s="269">
        <f>SUM(EQ43:ET43)</f>
        <v>390984.67058436276</v>
      </c>
      <c r="EZ43" s="741">
        <f>EZ32*EZ13/1000</f>
        <v>397282.48616906197</v>
      </c>
      <c r="FE43" s="741">
        <f>FE32*FE13/1000</f>
        <v>405767.14874213288</v>
      </c>
      <c r="FF43" s="741"/>
      <c r="FG43" s="634"/>
      <c r="FH43" s="1019"/>
      <c r="FI43" s="1019"/>
      <c r="FJ43" s="1019"/>
      <c r="FK43" s="1019"/>
      <c r="FL43" s="1794"/>
      <c r="FM43" s="24">
        <f t="shared" si="98"/>
        <v>95200</v>
      </c>
      <c r="FN43" s="24">
        <f t="shared" si="99"/>
        <v>94600</v>
      </c>
      <c r="FO43" s="24">
        <v>95064.980507679429</v>
      </c>
      <c r="FP43" s="34">
        <f>IFERROR(($FM43/FN43)-1,"")</f>
        <v>6.3424947145878097E-3</v>
      </c>
      <c r="FQ43" s="34">
        <f>IFERROR(($FM43/FO43)-1,"")</f>
        <v>1.4202863304606517E-3</v>
      </c>
      <c r="FR43" s="532"/>
      <c r="FS43" s="532"/>
      <c r="FT43" s="532"/>
      <c r="FU43" s="532"/>
      <c r="FV43" s="532"/>
      <c r="FW43" s="532"/>
      <c r="FX43" s="532"/>
      <c r="FY43" s="532"/>
      <c r="FZ43" s="532"/>
      <c r="GA43" s="634"/>
      <c r="GB43"/>
      <c r="GC43"/>
      <c r="GD43"/>
      <c r="GE43"/>
      <c r="GF43"/>
      <c r="GG43"/>
      <c r="GH43" s="945"/>
      <c r="GI43" s="945"/>
      <c r="GJ43" s="945"/>
      <c r="GK43" s="945"/>
      <c r="GL43" s="945"/>
      <c r="GM43" s="945"/>
      <c r="GN43" s="945"/>
      <c r="GO43" s="945"/>
      <c r="GP43" s="945"/>
      <c r="GQ43" s="945"/>
      <c r="GR43" s="945"/>
      <c r="GS43" s="945"/>
      <c r="GT43" s="945"/>
      <c r="GU43" s="945"/>
      <c r="GV43" s="945"/>
      <c r="GW43" s="945"/>
      <c r="GX43" s="945"/>
      <c r="GY43" s="945"/>
      <c r="GZ43" s="945"/>
      <c r="HA43" s="945"/>
      <c r="HB43" s="945"/>
      <c r="HC43" s="945"/>
      <c r="HD43" s="945"/>
      <c r="HE43" s="945"/>
      <c r="HF43" s="945"/>
      <c r="HG43" s="945"/>
      <c r="HH43" s="945"/>
      <c r="HI43" s="945"/>
      <c r="HJ43" s="945"/>
      <c r="HK43" s="945"/>
      <c r="HL43" s="945"/>
      <c r="HM43" s="945"/>
      <c r="HN43" s="945"/>
      <c r="HO43" s="945"/>
      <c r="HP43" s="945"/>
      <c r="HQ43" s="945"/>
      <c r="HR43" s="945"/>
      <c r="HS43" s="945"/>
      <c r="HT43" s="945"/>
      <c r="HU43" s="945"/>
      <c r="HV43" s="945"/>
      <c r="HW43" s="945"/>
      <c r="HX43" s="945"/>
      <c r="HY43" s="945"/>
      <c r="HZ43" s="945"/>
      <c r="IA43" s="945"/>
      <c r="IB43" s="945"/>
      <c r="IC43" s="945"/>
      <c r="ID43" s="945"/>
      <c r="IE43" s="945"/>
      <c r="IF43" s="945"/>
      <c r="IG43" s="945"/>
      <c r="IH43" s="945"/>
      <c r="II43" s="945"/>
      <c r="IJ43" s="945"/>
      <c r="IK43" s="945"/>
      <c r="IL43" s="945"/>
      <c r="IM43" s="945"/>
      <c r="IN43" s="945"/>
      <c r="IO43" s="945"/>
      <c r="IP43" s="945"/>
      <c r="IQ43" s="945"/>
      <c r="IR43" s="945"/>
      <c r="IS43" s="945"/>
      <c r="IT43" s="945"/>
      <c r="IU43" s="945"/>
      <c r="IV43" s="945"/>
    </row>
    <row r="44" spans="1:256" s="20" customFormat="1" ht="12.75" x14ac:dyDescent="0.2">
      <c r="A44" s="44" t="s">
        <v>93</v>
      </c>
      <c r="B44" s="22"/>
      <c r="C44" s="22"/>
      <c r="D44" s="22"/>
      <c r="E44" s="197"/>
      <c r="F44" s="21"/>
      <c r="G44" s="22"/>
      <c r="H44" s="22"/>
      <c r="I44" s="22"/>
      <c r="J44" s="197"/>
      <c r="K44" s="21"/>
      <c r="L44" s="22"/>
      <c r="M44" s="22"/>
      <c r="N44" s="22"/>
      <c r="O44" s="197"/>
      <c r="P44" s="21"/>
      <c r="Q44" s="22"/>
      <c r="R44" s="22"/>
      <c r="S44" s="22"/>
      <c r="T44" s="197"/>
      <c r="U44" s="21"/>
      <c r="V44" s="22"/>
      <c r="W44" s="22"/>
      <c r="X44" s="22"/>
      <c r="Y44" s="197"/>
      <c r="Z44" s="21"/>
      <c r="AA44" s="22"/>
      <c r="AB44" s="22"/>
      <c r="AC44" s="22"/>
      <c r="AD44" s="197"/>
      <c r="AE44" s="21"/>
      <c r="AF44" s="22"/>
      <c r="AG44" s="22"/>
      <c r="AH44" s="22"/>
      <c r="AI44" s="197"/>
      <c r="AJ44" s="21"/>
      <c r="AK44" s="22"/>
      <c r="AL44" s="22"/>
      <c r="AM44" s="22"/>
      <c r="AN44" s="197"/>
      <c r="AO44" s="21"/>
      <c r="AP44" s="22"/>
      <c r="AQ44" s="22"/>
      <c r="AR44" s="22"/>
      <c r="AS44" s="197"/>
      <c r="AT44" s="21"/>
      <c r="AU44" s="22"/>
      <c r="AV44" s="22"/>
      <c r="AW44" s="22"/>
      <c r="AX44" s="197"/>
      <c r="AY44" s="21"/>
      <c r="AZ44" s="22"/>
      <c r="BA44" s="22"/>
      <c r="BB44" s="22"/>
      <c r="BC44" s="197"/>
      <c r="BD44" s="21"/>
      <c r="BE44" s="22"/>
      <c r="BF44" s="22"/>
      <c r="BG44" s="22"/>
      <c r="BH44" s="197"/>
      <c r="BI44" s="21"/>
      <c r="BJ44" s="22"/>
      <c r="BK44" s="22"/>
      <c r="BL44" s="22"/>
      <c r="BM44" s="197"/>
      <c r="BN44" s="21"/>
      <c r="BO44" s="22"/>
      <c r="BP44" s="22"/>
      <c r="BQ44" s="22"/>
      <c r="BR44" s="197"/>
      <c r="BS44" s="21"/>
      <c r="BT44" s="22"/>
      <c r="BU44" s="22"/>
      <c r="BV44" s="22"/>
      <c r="BW44" s="197"/>
      <c r="BX44" s="21"/>
      <c r="BY44" s="22"/>
      <c r="BZ44" s="22"/>
      <c r="CA44" s="22"/>
      <c r="CB44" s="197"/>
      <c r="CC44" s="21"/>
      <c r="CD44" s="22">
        <f t="shared" ref="CD44:DY44" si="133">CD43/BY43-1</f>
        <v>5.0000000000000044E-2</v>
      </c>
      <c r="CE44" s="22">
        <f t="shared" si="133"/>
        <v>3.1678986272439369E-2</v>
      </c>
      <c r="CF44" s="22">
        <f t="shared" si="133"/>
        <v>1.5856236786469413E-2</v>
      </c>
      <c r="CG44" s="197">
        <f t="shared" si="133"/>
        <v>5.2576235541534899E-3</v>
      </c>
      <c r="CH44" s="21">
        <f t="shared" si="133"/>
        <v>2.5373931623931645E-2</v>
      </c>
      <c r="CI44" s="22">
        <f t="shared" si="133"/>
        <v>2.3280423280423346E-2</v>
      </c>
      <c r="CJ44" s="22">
        <f t="shared" si="133"/>
        <v>8.1883316274309337E-3</v>
      </c>
      <c r="CK44" s="22">
        <f t="shared" si="133"/>
        <v>-1.0405827263267886E-3</v>
      </c>
      <c r="CL44" s="197">
        <f t="shared" si="133"/>
        <v>-2.9288702928870314E-2</v>
      </c>
      <c r="CM44" s="21">
        <f t="shared" si="133"/>
        <v>2.6048450117222011E-4</v>
      </c>
      <c r="CN44" s="22">
        <f t="shared" si="133"/>
        <v>-6.4115822130299871E-2</v>
      </c>
      <c r="CO44" s="22">
        <f t="shared" si="133"/>
        <v>-4.0609137055837574E-2</v>
      </c>
      <c r="CP44" s="22">
        <f t="shared" si="133"/>
        <v>-4.6875E-2</v>
      </c>
      <c r="CQ44" s="197">
        <f t="shared" si="133"/>
        <v>-3.125E-2</v>
      </c>
      <c r="CR44" s="21">
        <f t="shared" si="133"/>
        <v>-4.5833333333333282E-2</v>
      </c>
      <c r="CS44" s="22">
        <f t="shared" si="133"/>
        <v>-4.4198895027623974E-3</v>
      </c>
      <c r="CT44" s="22">
        <f t="shared" si="133"/>
        <v>-7.4074074074074181E-3</v>
      </c>
      <c r="CU44" s="22">
        <f t="shared" si="133"/>
        <v>3.2786885245901232E-3</v>
      </c>
      <c r="CV44" s="197">
        <f t="shared" si="133"/>
        <v>-7.1190211345939947E-2</v>
      </c>
      <c r="CW44" s="21">
        <f t="shared" si="133"/>
        <v>-1.9650655021834051E-2</v>
      </c>
      <c r="CX44" s="22">
        <f t="shared" si="133"/>
        <v>-0.17647058823529416</v>
      </c>
      <c r="CY44" s="22">
        <f t="shared" si="133"/>
        <v>-0.24840085287846481</v>
      </c>
      <c r="CZ44" s="22">
        <f t="shared" si="133"/>
        <v>-0.16557734204793029</v>
      </c>
      <c r="DA44" s="22">
        <f t="shared" si="133"/>
        <v>-5.6287425149700643E-2</v>
      </c>
      <c r="DB44" s="21">
        <f t="shared" si="133"/>
        <v>-0.16453229398663693</v>
      </c>
      <c r="DC44" s="22">
        <f t="shared" si="133"/>
        <v>8.7601078167115931E-2</v>
      </c>
      <c r="DD44" s="22">
        <f t="shared" si="133"/>
        <v>0.23687943262411348</v>
      </c>
      <c r="DE44" s="22">
        <f t="shared" si="133"/>
        <v>0.13446475195822449</v>
      </c>
      <c r="DF44" s="22">
        <f t="shared" si="133"/>
        <v>8.6294416243654748E-2</v>
      </c>
      <c r="DG44" s="21">
        <f t="shared" si="133"/>
        <v>0.13428857047650777</v>
      </c>
      <c r="DH44" s="22">
        <f t="shared" si="133"/>
        <v>8.9219330855018653E-2</v>
      </c>
      <c r="DI44" s="22">
        <f t="shared" si="133"/>
        <v>4.0137614678898981E-2</v>
      </c>
      <c r="DJ44" s="22">
        <f t="shared" si="133"/>
        <v>4.1426927502876909E-2</v>
      </c>
      <c r="DK44" s="22">
        <f t="shared" si="133"/>
        <v>5.8411214953270951E-2</v>
      </c>
      <c r="DL44" s="28">
        <f>DL43/DG43-1</f>
        <v>5.6698002350176191E-2</v>
      </c>
      <c r="DM44" s="22">
        <f t="shared" si="133"/>
        <v>-1.4789533560864654E-2</v>
      </c>
      <c r="DN44" s="22">
        <f t="shared" si="133"/>
        <v>-8.8202866593164453E-3</v>
      </c>
      <c r="DO44" s="22">
        <f t="shared" si="133"/>
        <v>-2.9834254143646377E-2</v>
      </c>
      <c r="DP44" s="22">
        <f t="shared" si="133"/>
        <v>-1.7660044150110354E-2</v>
      </c>
      <c r="DQ44" s="28">
        <f t="shared" si="133"/>
        <v>-1.7792604948568269E-2</v>
      </c>
      <c r="DR44" s="22">
        <f t="shared" si="133"/>
        <v>4.2725173210161671E-2</v>
      </c>
      <c r="DS44" s="22">
        <f t="shared" si="133"/>
        <v>3.0033370411568505E-2</v>
      </c>
      <c r="DT44" s="27">
        <f t="shared" si="133"/>
        <v>4.5558086560364419E-2</v>
      </c>
      <c r="DU44" s="22">
        <f t="shared" si="133"/>
        <v>5.0561797752809001E-2</v>
      </c>
      <c r="DV44" s="28">
        <f t="shared" si="133"/>
        <v>4.2173789980186838E-2</v>
      </c>
      <c r="DW44" s="22">
        <f t="shared" si="133"/>
        <v>-1.2181616832779629E-2</v>
      </c>
      <c r="DX44" s="22">
        <f t="shared" si="133"/>
        <v>8.3153347732181526E-2</v>
      </c>
      <c r="DY44" s="27">
        <f t="shared" si="133"/>
        <v>8.9324618736383421E-2</v>
      </c>
      <c r="DZ44" s="22">
        <f t="shared" ref="DZ44:EF44" si="134">DZ43/DU43-1</f>
        <v>5.8823529411764719E-2</v>
      </c>
      <c r="EA44" s="28">
        <f t="shared" si="134"/>
        <v>5.5133079847908828E-2</v>
      </c>
      <c r="EB44" s="22">
        <f t="shared" si="134"/>
        <v>4.1479820627802644E-2</v>
      </c>
      <c r="EC44" s="22">
        <f t="shared" si="134"/>
        <v>-1.1964107676969093E-2</v>
      </c>
      <c r="ED44" s="27">
        <f t="shared" si="134"/>
        <v>-1.5000000000000013E-2</v>
      </c>
      <c r="EE44" s="22">
        <f t="shared" si="134"/>
        <v>-5.1515151515151514E-2</v>
      </c>
      <c r="EF44" s="28">
        <f t="shared" si="134"/>
        <v>-1.0553410553410525E-2</v>
      </c>
      <c r="EG44" s="22">
        <f t="shared" ref="EG44:EN44" si="135">EG43/EB43-1</f>
        <v>-2.9063509149623301E-2</v>
      </c>
      <c r="EH44" s="22">
        <f t="shared" si="135"/>
        <v>-6.5590312815338003E-2</v>
      </c>
      <c r="EI44" s="27">
        <f t="shared" si="135"/>
        <v>-4.7715736040609191E-2</v>
      </c>
      <c r="EJ44" s="22">
        <f t="shared" si="135"/>
        <v>-6.389776357827448E-3</v>
      </c>
      <c r="EK44" s="28">
        <f t="shared" si="135"/>
        <v>-3.772112382934445E-2</v>
      </c>
      <c r="EL44" s="22">
        <f t="shared" si="135"/>
        <v>4.8780487804878092E-2</v>
      </c>
      <c r="EM44" s="22">
        <f t="shared" si="135"/>
        <v>4.2116630669546407E-2</v>
      </c>
      <c r="EN44" s="27">
        <f t="shared" si="135"/>
        <v>2.9850746268656803E-2</v>
      </c>
      <c r="EO44" s="22">
        <f t="shared" ref="EO44" si="136">EO43/EJ43-1</f>
        <v>3.0010718113612E-2</v>
      </c>
      <c r="EP44" s="28">
        <f t="shared" ref="EP44:EQ44" si="137">EP43/EK43-1</f>
        <v>3.7577723709110611E-2</v>
      </c>
      <c r="EQ44" s="22">
        <f t="shared" si="137"/>
        <v>6.3424947145878097E-3</v>
      </c>
      <c r="ER44" s="27">
        <f t="shared" ref="ER44" si="138">ER43/EM43-1</f>
        <v>2.660719625721164E-2</v>
      </c>
      <c r="ES44" s="27">
        <f t="shared" ref="ES44:EU44" si="139">ES43/EN43-1</f>
        <v>2.4389156795161071E-2</v>
      </c>
      <c r="ET44" s="27">
        <f t="shared" si="139"/>
        <v>1.7284949002386085E-2</v>
      </c>
      <c r="EU44" s="672">
        <f t="shared" si="139"/>
        <v>1.8719829558006218E-2</v>
      </c>
      <c r="EV44" s="405"/>
      <c r="EW44" s="405"/>
      <c r="EX44" s="405"/>
      <c r="EY44" s="405"/>
      <c r="EZ44" s="835">
        <f>EZ43/EU43-1</f>
        <v>1.610757673769303E-2</v>
      </c>
      <c r="FA44" s="405"/>
      <c r="FB44" s="405"/>
      <c r="FC44" s="405"/>
      <c r="FD44" s="405"/>
      <c r="FE44" s="835">
        <f>FE43/EZ43-1</f>
        <v>2.1356749588654855E-2</v>
      </c>
      <c r="FF44" s="747"/>
      <c r="FG44" s="635"/>
      <c r="FH44" s="1025"/>
      <c r="FI44" s="1025"/>
      <c r="FJ44" s="1025"/>
      <c r="FK44" s="1025"/>
      <c r="FL44" s="1799"/>
      <c r="FM44" s="22">
        <f t="shared" si="98"/>
        <v>6.3424947145878097E-3</v>
      </c>
      <c r="FN44" s="22">
        <f t="shared" si="99"/>
        <v>4.8780487804878092E-2</v>
      </c>
      <c r="FO44" s="27">
        <v>4.9152273539052604E-3</v>
      </c>
      <c r="FP44" s="1892">
        <f>IFERROR(($FM44-FN44)*10000,"")</f>
        <v>-424.3799309029028</v>
      </c>
      <c r="FQ44" s="1892">
        <f>IFERROR(($FM44-FO44)*10000,"")</f>
        <v>14.272673606825492</v>
      </c>
      <c r="FR44" s="537"/>
      <c r="FS44" s="537"/>
      <c r="FT44" s="537"/>
      <c r="FU44" s="537"/>
      <c r="FV44" s="537"/>
      <c r="FW44" s="537"/>
      <c r="FX44" s="537"/>
      <c r="FY44" s="537"/>
      <c r="FZ44" s="537"/>
      <c r="GA44" s="635"/>
      <c r="GB44"/>
      <c r="GC44"/>
      <c r="GD44"/>
      <c r="GE44"/>
      <c r="GF44"/>
      <c r="GG44"/>
      <c r="GH44" s="947"/>
      <c r="GI44" s="947"/>
      <c r="GJ44" s="947"/>
      <c r="GK44" s="947"/>
      <c r="GL44" s="947"/>
      <c r="GM44" s="947"/>
      <c r="GN44" s="947"/>
      <c r="GO44" s="947"/>
      <c r="GP44" s="947"/>
      <c r="GQ44" s="947"/>
      <c r="GR44" s="947"/>
      <c r="GS44" s="947"/>
      <c r="GT44" s="947"/>
      <c r="GU44" s="947"/>
      <c r="GV44" s="947"/>
      <c r="GW44" s="947"/>
      <c r="GX44" s="947"/>
      <c r="GY44" s="947"/>
      <c r="GZ44" s="947"/>
      <c r="HA44" s="947"/>
      <c r="HB44" s="947"/>
      <c r="HC44" s="947"/>
      <c r="HD44" s="947"/>
      <c r="HE44" s="947"/>
      <c r="HF44" s="947"/>
      <c r="HG44" s="947"/>
      <c r="HH44" s="947"/>
      <c r="HI44" s="947"/>
      <c r="HJ44" s="947"/>
      <c r="HK44" s="947"/>
      <c r="HL44" s="947"/>
      <c r="HM44" s="947"/>
      <c r="HN44" s="947"/>
      <c r="HO44" s="947"/>
      <c r="HP44" s="947"/>
      <c r="HQ44" s="947"/>
      <c r="HR44" s="947"/>
      <c r="HS44" s="947"/>
      <c r="HT44" s="947"/>
      <c r="HU44" s="947"/>
      <c r="HV44" s="947"/>
      <c r="HW44" s="947"/>
      <c r="HX44" s="947"/>
      <c r="HY44" s="947"/>
      <c r="HZ44" s="947"/>
      <c r="IA44" s="947"/>
      <c r="IB44" s="947"/>
      <c r="IC44" s="947"/>
      <c r="ID44" s="947"/>
      <c r="IE44" s="947"/>
      <c r="IF44" s="947"/>
      <c r="IG44" s="947"/>
      <c r="IH44" s="947"/>
      <c r="II44" s="947"/>
      <c r="IJ44" s="947"/>
      <c r="IK44" s="947"/>
      <c r="IL44" s="947"/>
      <c r="IM44" s="947"/>
      <c r="IN44" s="947"/>
      <c r="IO44" s="947"/>
      <c r="IP44" s="947"/>
      <c r="IQ44" s="947"/>
      <c r="IR44" s="947"/>
      <c r="IS44" s="947"/>
      <c r="IT44" s="947"/>
      <c r="IU44" s="947"/>
      <c r="IV44" s="947"/>
    </row>
    <row r="45" spans="1:256" s="399" customFormat="1" ht="12.75" x14ac:dyDescent="0.2">
      <c r="A45" s="398" t="s">
        <v>53</v>
      </c>
      <c r="F45" s="400"/>
      <c r="K45" s="400"/>
      <c r="P45" s="400"/>
      <c r="U45" s="400"/>
      <c r="Z45" s="400"/>
      <c r="AE45" s="400"/>
      <c r="AJ45" s="400"/>
      <c r="AO45" s="400"/>
      <c r="AT45" s="400"/>
      <c r="AY45" s="400"/>
      <c r="BD45" s="400"/>
      <c r="BI45" s="400"/>
      <c r="BN45" s="400"/>
      <c r="BS45" s="400"/>
      <c r="BX45" s="400"/>
      <c r="CC45" s="400"/>
      <c r="CH45" s="400"/>
      <c r="CM45" s="400"/>
      <c r="CN45" s="399">
        <f t="shared" ref="CN45:DV45" si="140">CN35/CN43</f>
        <v>0.53359530576561354</v>
      </c>
      <c r="CO45" s="399">
        <f t="shared" si="140"/>
        <v>0.53285734951028829</v>
      </c>
      <c r="CP45" s="399">
        <f t="shared" si="140"/>
        <v>0.53927180000488872</v>
      </c>
      <c r="CQ45" s="399">
        <f t="shared" si="140"/>
        <v>0.5335458901339033</v>
      </c>
      <c r="CR45" s="400">
        <f t="shared" si="140"/>
        <v>0.53481042555675629</v>
      </c>
      <c r="CS45" s="399">
        <f t="shared" si="140"/>
        <v>0.53881120578999087</v>
      </c>
      <c r="CT45" s="399">
        <f t="shared" si="140"/>
        <v>0.54414472086329979</v>
      </c>
      <c r="CU45" s="399">
        <f t="shared" si="140"/>
        <v>0.54935446625244122</v>
      </c>
      <c r="CV45" s="399">
        <f t="shared" si="140"/>
        <v>0.54281276696334402</v>
      </c>
      <c r="CW45" s="400">
        <f t="shared" si="140"/>
        <v>0.54382870407034811</v>
      </c>
      <c r="CX45" s="399">
        <f t="shared" si="140"/>
        <v>0.532687558925245</v>
      </c>
      <c r="CY45" s="399">
        <f t="shared" si="140"/>
        <v>0.53084737453517639</v>
      </c>
      <c r="CZ45" s="399">
        <f t="shared" si="140"/>
        <v>0.53199846636147219</v>
      </c>
      <c r="DA45" s="399">
        <f t="shared" si="140"/>
        <v>0.53511135442721502</v>
      </c>
      <c r="DB45" s="400">
        <f t="shared" si="140"/>
        <v>0.53271580816106767</v>
      </c>
      <c r="DC45" s="399">
        <f t="shared" si="140"/>
        <v>0.53655514250309788</v>
      </c>
      <c r="DD45" s="399">
        <f t="shared" si="140"/>
        <v>0.53669724770642202</v>
      </c>
      <c r="DE45" s="399">
        <f t="shared" si="140"/>
        <v>0.53394706559263516</v>
      </c>
      <c r="DF45" s="399">
        <f t="shared" si="140"/>
        <v>0.53271028037383172</v>
      </c>
      <c r="DG45" s="400">
        <f t="shared" si="140"/>
        <v>0.53495887191539371</v>
      </c>
      <c r="DH45" s="399">
        <f t="shared" si="140"/>
        <v>0.53811149032992034</v>
      </c>
      <c r="DI45" s="399">
        <f t="shared" si="140"/>
        <v>0.5468577728776185</v>
      </c>
      <c r="DJ45" s="399">
        <f t="shared" si="140"/>
        <v>0.53370165745856357</v>
      </c>
      <c r="DK45" s="399">
        <f t="shared" si="140"/>
        <v>0.52759381898454749</v>
      </c>
      <c r="DL45" s="400">
        <f t="shared" si="140"/>
        <v>0.53655824298026134</v>
      </c>
      <c r="DM45" s="399">
        <f t="shared" si="140"/>
        <v>0.52655889145496537</v>
      </c>
      <c r="DN45" s="399">
        <f t="shared" si="140"/>
        <v>0.52502780867630705</v>
      </c>
      <c r="DO45" s="399">
        <f>DO35/DO43</f>
        <v>0.52505694760820043</v>
      </c>
      <c r="DP45" s="399">
        <f>DP35/DP43</f>
        <v>0.52584269662921346</v>
      </c>
      <c r="DQ45" s="400">
        <f t="shared" si="140"/>
        <v>0.52561562411548257</v>
      </c>
      <c r="DR45" s="399">
        <f>DR35/DR43</f>
        <v>0.52823920265780733</v>
      </c>
      <c r="DS45" s="399">
        <f>DS35/DS43</f>
        <v>0.52483801295896326</v>
      </c>
      <c r="DT45" s="399">
        <f t="shared" si="140"/>
        <v>0.52723311546840956</v>
      </c>
      <c r="DU45" s="399">
        <f>DU35/DU43</f>
        <v>0.52406417112299464</v>
      </c>
      <c r="DV45" s="400">
        <f t="shared" si="140"/>
        <v>0.52607278652906031</v>
      </c>
      <c r="DW45" s="399">
        <f t="shared" ref="DW45:EF45" si="141">DW35/DW43</f>
        <v>0.52802690582959644</v>
      </c>
      <c r="DX45" s="399">
        <f t="shared" si="141"/>
        <v>0.53140578265204386</v>
      </c>
      <c r="DY45" s="399">
        <f t="shared" si="141"/>
        <v>0.52800000000000002</v>
      </c>
      <c r="DZ45" s="399">
        <f t="shared" si="141"/>
        <v>0.52424242424242429</v>
      </c>
      <c r="EA45" s="400">
        <f t="shared" si="141"/>
        <v>0.52792792792792798</v>
      </c>
      <c r="EB45" s="399">
        <f t="shared" si="141"/>
        <v>0.52529601722282027</v>
      </c>
      <c r="EC45" s="399">
        <f t="shared" si="141"/>
        <v>0.51967709384460137</v>
      </c>
      <c r="ED45" s="399">
        <f t="shared" si="141"/>
        <v>0.52081218274111674</v>
      </c>
      <c r="EE45" s="399">
        <f t="shared" si="141"/>
        <v>0.51224707135250269</v>
      </c>
      <c r="EF45" s="400">
        <f t="shared" si="141"/>
        <v>0.51951092611862648</v>
      </c>
      <c r="EG45" s="399">
        <f t="shared" ref="EG45:ER45" si="142">EG35/EG43</f>
        <v>0.51108647450110867</v>
      </c>
      <c r="EH45" s="399">
        <f t="shared" si="142"/>
        <v>0.51187904967602593</v>
      </c>
      <c r="EI45" s="399">
        <f t="shared" si="142"/>
        <v>0.51918976545842221</v>
      </c>
      <c r="EJ45" s="399">
        <f t="shared" si="142"/>
        <v>0.51768488745980712</v>
      </c>
      <c r="EK45" s="400">
        <f t="shared" si="142"/>
        <v>0.51500405515004055</v>
      </c>
      <c r="EL45" s="399">
        <f>EL35/EL43</f>
        <v>0.5243128964059196</v>
      </c>
      <c r="EM45" s="399">
        <f t="shared" ref="EM45:EP45" si="143">EM35/EM43</f>
        <v>0.52538860103626939</v>
      </c>
      <c r="EN45" s="399">
        <f t="shared" si="143"/>
        <v>0.52898550724637683</v>
      </c>
      <c r="EO45" s="399">
        <f t="shared" si="143"/>
        <v>0.52133194588969822</v>
      </c>
      <c r="EP45" s="400">
        <f t="shared" si="143"/>
        <v>0.52501302761855129</v>
      </c>
      <c r="EQ45" s="399">
        <f>EQ35/EQ43</f>
        <v>0.52521008403361347</v>
      </c>
      <c r="ER45" s="399">
        <f t="shared" si="142"/>
        <v>0.5253886010362695</v>
      </c>
      <c r="ES45" s="399">
        <f t="shared" ref="ES45:EU45" si="144">ES35/ES43</f>
        <v>0.52898550724637683</v>
      </c>
      <c r="ET45" s="399">
        <f t="shared" si="144"/>
        <v>0.52133194588969833</v>
      </c>
      <c r="EU45" s="1938">
        <f t="shared" si="144"/>
        <v>0.52524117224483902</v>
      </c>
      <c r="EZ45" s="749">
        <f>EZ35/EZ43</f>
        <v>0.52501302761855129</v>
      </c>
      <c r="FE45" s="749">
        <f>FE35/FE43</f>
        <v>0.5250130276185514</v>
      </c>
      <c r="FF45" s="749"/>
      <c r="FG45" s="636"/>
      <c r="FH45" s="1023"/>
      <c r="FI45" s="1023"/>
      <c r="FJ45" s="1023"/>
      <c r="FK45" s="1023"/>
      <c r="FL45" s="1803"/>
      <c r="FM45" s="399">
        <f t="shared" si="98"/>
        <v>0.52521008403361347</v>
      </c>
      <c r="FN45" s="399">
        <f t="shared" si="99"/>
        <v>0.5243128964059196</v>
      </c>
      <c r="FO45" s="399">
        <v>0.5243128964059196</v>
      </c>
      <c r="FP45" s="1894">
        <f>IFERROR(($FM45-FN45)*10000,"")</f>
        <v>8.9718762769386284</v>
      </c>
      <c r="FQ45" s="1894">
        <f>IFERROR(($FM45-FO45)*10000,"")</f>
        <v>8.9718762769386284</v>
      </c>
      <c r="FR45" s="569"/>
      <c r="FS45" s="569"/>
      <c r="FT45" s="569"/>
      <c r="FU45" s="569"/>
      <c r="FV45" s="569"/>
      <c r="FW45" s="569"/>
      <c r="FX45" s="569"/>
      <c r="FY45" s="569"/>
      <c r="FZ45" s="569"/>
      <c r="GA45" s="636"/>
      <c r="GB45"/>
      <c r="GC45"/>
      <c r="GD45"/>
      <c r="GE45"/>
      <c r="GF45"/>
      <c r="GG45"/>
      <c r="GH45" s="951"/>
      <c r="GI45" s="951"/>
      <c r="GJ45" s="951"/>
      <c r="GK45" s="951"/>
      <c r="GL45" s="951"/>
      <c r="GM45" s="951"/>
      <c r="GN45" s="951"/>
      <c r="GO45" s="951"/>
      <c r="GP45" s="951"/>
      <c r="GQ45" s="951"/>
      <c r="GR45" s="951"/>
      <c r="GS45" s="951"/>
      <c r="GT45" s="951"/>
      <c r="GU45" s="951"/>
      <c r="GV45" s="951"/>
      <c r="GW45" s="951"/>
      <c r="GX45" s="951"/>
      <c r="GY45" s="951"/>
      <c r="GZ45" s="951"/>
      <c r="HA45" s="951"/>
      <c r="HB45" s="951"/>
      <c r="HC45" s="951"/>
      <c r="HD45" s="951"/>
      <c r="HE45" s="951"/>
      <c r="HF45" s="951"/>
      <c r="HG45" s="951"/>
      <c r="HH45" s="951"/>
      <c r="HI45" s="951"/>
      <c r="HJ45" s="951"/>
      <c r="HK45" s="951"/>
      <c r="HL45" s="951"/>
      <c r="HM45" s="951"/>
      <c r="HN45" s="951"/>
      <c r="HO45" s="951"/>
      <c r="HP45" s="951"/>
      <c r="HQ45" s="951"/>
      <c r="HR45" s="951"/>
      <c r="HS45" s="951"/>
      <c r="HT45" s="951"/>
      <c r="HU45" s="951"/>
      <c r="HV45" s="951"/>
      <c r="HW45" s="951"/>
      <c r="HX45" s="951"/>
      <c r="HY45" s="951"/>
      <c r="HZ45" s="951"/>
      <c r="IA45" s="951"/>
      <c r="IB45" s="951"/>
      <c r="IC45" s="951"/>
      <c r="ID45" s="951"/>
      <c r="IE45" s="951"/>
      <c r="IF45" s="951"/>
      <c r="IG45" s="951"/>
      <c r="IH45" s="951"/>
      <c r="II45" s="951"/>
      <c r="IJ45" s="951"/>
      <c r="IK45" s="951"/>
      <c r="IL45" s="951"/>
      <c r="IM45" s="951"/>
      <c r="IN45" s="951"/>
      <c r="IO45" s="951"/>
      <c r="IP45" s="951"/>
      <c r="IQ45" s="951"/>
      <c r="IR45" s="951"/>
      <c r="IS45" s="951"/>
      <c r="IT45" s="951"/>
      <c r="IU45" s="951"/>
      <c r="IV45" s="951"/>
    </row>
    <row r="46" spans="1:256" s="404" customFormat="1" ht="12.75" x14ac:dyDescent="0.2">
      <c r="A46" s="44" t="s">
        <v>93</v>
      </c>
      <c r="B46" s="401"/>
      <c r="C46" s="401"/>
      <c r="D46" s="401"/>
      <c r="E46" s="401"/>
      <c r="F46" s="402"/>
      <c r="G46" s="401"/>
      <c r="H46" s="401"/>
      <c r="I46" s="401"/>
      <c r="J46" s="401"/>
      <c r="K46" s="402"/>
      <c r="L46" s="401"/>
      <c r="M46" s="401"/>
      <c r="N46" s="401"/>
      <c r="O46" s="401"/>
      <c r="P46" s="402"/>
      <c r="Q46" s="401"/>
      <c r="R46" s="401"/>
      <c r="S46" s="401"/>
      <c r="T46" s="401"/>
      <c r="U46" s="402"/>
      <c r="V46" s="401"/>
      <c r="W46" s="401"/>
      <c r="X46" s="401"/>
      <c r="Y46" s="401"/>
      <c r="Z46" s="402"/>
      <c r="AA46" s="401"/>
      <c r="AB46" s="401"/>
      <c r="AC46" s="401"/>
      <c r="AD46" s="401"/>
      <c r="AE46" s="402"/>
      <c r="AF46" s="401"/>
      <c r="AG46" s="401"/>
      <c r="AH46" s="401"/>
      <c r="AI46" s="401"/>
      <c r="AJ46" s="402"/>
      <c r="AK46" s="401"/>
      <c r="AL46" s="401"/>
      <c r="AM46" s="401"/>
      <c r="AN46" s="401"/>
      <c r="AO46" s="402"/>
      <c r="AP46" s="401"/>
      <c r="AQ46" s="401"/>
      <c r="AR46" s="401"/>
      <c r="AS46" s="401"/>
      <c r="AT46" s="402"/>
      <c r="AU46" s="401"/>
      <c r="AV46" s="401"/>
      <c r="AW46" s="401"/>
      <c r="AX46" s="401"/>
      <c r="AY46" s="402"/>
      <c r="AZ46" s="401"/>
      <c r="BA46" s="401"/>
      <c r="BB46" s="401"/>
      <c r="BC46" s="401"/>
      <c r="BD46" s="402"/>
      <c r="BE46" s="401"/>
      <c r="BF46" s="401"/>
      <c r="BG46" s="401"/>
      <c r="BH46" s="401"/>
      <c r="BI46" s="402"/>
      <c r="BJ46" s="401"/>
      <c r="BK46" s="401"/>
      <c r="BL46" s="401"/>
      <c r="BM46" s="401"/>
      <c r="BN46" s="402"/>
      <c r="BO46" s="401"/>
      <c r="BP46" s="401"/>
      <c r="BQ46" s="401"/>
      <c r="BR46" s="401"/>
      <c r="BS46" s="402"/>
      <c r="BT46" s="401"/>
      <c r="BU46" s="401"/>
      <c r="BV46" s="401"/>
      <c r="BW46" s="401"/>
      <c r="BX46" s="402"/>
      <c r="BY46" s="401"/>
      <c r="BZ46" s="401"/>
      <c r="CA46" s="401"/>
      <c r="CB46" s="401"/>
      <c r="CC46" s="402"/>
      <c r="CD46" s="401"/>
      <c r="CE46" s="401"/>
      <c r="CF46" s="401"/>
      <c r="CG46" s="401"/>
      <c r="CH46" s="402"/>
      <c r="CI46" s="401"/>
      <c r="CJ46" s="401"/>
      <c r="CK46" s="401"/>
      <c r="CL46" s="401"/>
      <c r="CM46" s="402"/>
      <c r="CN46" s="401"/>
      <c r="CO46" s="401"/>
      <c r="CP46" s="401"/>
      <c r="CQ46" s="401"/>
      <c r="CR46" s="402"/>
      <c r="CS46" s="401">
        <f t="shared" ref="CS46:DY46" si="145">(CS45-CN45)*100</f>
        <v>0.5215900024377329</v>
      </c>
      <c r="CT46" s="401">
        <f t="shared" si="145"/>
        <v>1.1287371353011499</v>
      </c>
      <c r="CU46" s="401">
        <f t="shared" si="145"/>
        <v>1.0082666247552496</v>
      </c>
      <c r="CV46" s="401">
        <f t="shared" si="145"/>
        <v>0.92668768294407178</v>
      </c>
      <c r="CW46" s="402">
        <f t="shared" si="145"/>
        <v>0.90182785135918264</v>
      </c>
      <c r="CX46" s="401">
        <f t="shared" si="145"/>
        <v>-0.61236468647458686</v>
      </c>
      <c r="CY46" s="401">
        <f t="shared" si="145"/>
        <v>-1.3297346328123405</v>
      </c>
      <c r="CZ46" s="401">
        <f t="shared" si="145"/>
        <v>-1.7355999890969032</v>
      </c>
      <c r="DA46" s="401">
        <f t="shared" si="145"/>
        <v>-0.77014125361289931</v>
      </c>
      <c r="DB46" s="402">
        <f t="shared" si="145"/>
        <v>-1.111289590928044</v>
      </c>
      <c r="DC46" s="401">
        <f t="shared" si="145"/>
        <v>0.38675835778528844</v>
      </c>
      <c r="DD46" s="401">
        <f t="shared" si="145"/>
        <v>0.58498731712456342</v>
      </c>
      <c r="DE46" s="401">
        <f t="shared" si="145"/>
        <v>0.1948599231162973</v>
      </c>
      <c r="DF46" s="401">
        <f t="shared" si="145"/>
        <v>-0.24010740533833008</v>
      </c>
      <c r="DG46" s="402">
        <f t="shared" si="145"/>
        <v>0.22430637543260357</v>
      </c>
      <c r="DH46" s="401">
        <f t="shared" si="145"/>
        <v>0.15563478268224573</v>
      </c>
      <c r="DI46" s="401">
        <f t="shared" si="145"/>
        <v>1.0160525171196477</v>
      </c>
      <c r="DJ46" s="401">
        <f t="shared" si="145"/>
        <v>-2.4540813407158968E-2</v>
      </c>
      <c r="DK46" s="401">
        <f t="shared" si="145"/>
        <v>-0.51164613892842326</v>
      </c>
      <c r="DL46" s="402">
        <f t="shared" si="145"/>
        <v>0.15993710648676274</v>
      </c>
      <c r="DM46" s="401">
        <f t="shared" si="145"/>
        <v>-1.1552598874954967</v>
      </c>
      <c r="DN46" s="401">
        <f t="shared" si="145"/>
        <v>-2.1829964201311447</v>
      </c>
      <c r="DO46" s="401">
        <f t="shared" si="145"/>
        <v>-0.86447098503631414</v>
      </c>
      <c r="DP46" s="401">
        <f t="shared" si="145"/>
        <v>-0.17511223553340338</v>
      </c>
      <c r="DQ46" s="402">
        <f t="shared" si="145"/>
        <v>-1.0942618864778764</v>
      </c>
      <c r="DR46" s="401">
        <f t="shared" si="145"/>
        <v>0.16803112028419553</v>
      </c>
      <c r="DS46" s="401">
        <f t="shared" si="145"/>
        <v>-1.8979571734378808E-2</v>
      </c>
      <c r="DT46" s="401">
        <f t="shared" si="145"/>
        <v>0.21761678602091328</v>
      </c>
      <c r="DU46" s="401">
        <f t="shared" si="145"/>
        <v>-0.17785255062188199</v>
      </c>
      <c r="DV46" s="402">
        <f t="shared" si="145"/>
        <v>4.5716241357773857E-2</v>
      </c>
      <c r="DW46" s="401">
        <f t="shared" si="145"/>
        <v>-2.1229682821088947E-2</v>
      </c>
      <c r="DX46" s="401">
        <f t="shared" si="145"/>
        <v>0.6567769693080594</v>
      </c>
      <c r="DY46" s="401">
        <f t="shared" si="145"/>
        <v>7.6688453159046155E-2</v>
      </c>
      <c r="DZ46" s="401">
        <f t="shared" ref="DZ46:EF46" si="146">(DZ45-DU45)*100</f>
        <v>1.7825311942964994E-2</v>
      </c>
      <c r="EA46" s="402">
        <f t="shared" si="146"/>
        <v>0.18551413988676657</v>
      </c>
      <c r="EB46" s="401">
        <f t="shared" si="146"/>
        <v>-0.27308886067761717</v>
      </c>
      <c r="EC46" s="401">
        <f t="shared" si="146"/>
        <v>-1.1728688807442489</v>
      </c>
      <c r="ED46" s="401">
        <f t="shared" si="146"/>
        <v>-0.71878172588832889</v>
      </c>
      <c r="EE46" s="401">
        <f t="shared" si="146"/>
        <v>-1.1995352889921596</v>
      </c>
      <c r="EF46" s="402">
        <f t="shared" si="146"/>
        <v>-0.84170018093014942</v>
      </c>
      <c r="EG46" s="401">
        <f t="shared" ref="EG46:EN46" si="147">(EG45-EB45)*100</f>
        <v>-1.4209542721711599</v>
      </c>
      <c r="EH46" s="401">
        <f t="shared" si="147"/>
        <v>-0.77980441685754354</v>
      </c>
      <c r="EI46" s="401">
        <f t="shared" si="147"/>
        <v>-0.16224172826945216</v>
      </c>
      <c r="EJ46" s="401">
        <f t="shared" si="147"/>
        <v>0.54378161073044273</v>
      </c>
      <c r="EK46" s="402">
        <f t="shared" si="147"/>
        <v>-0.45068709685859298</v>
      </c>
      <c r="EL46" s="401">
        <f t="shared" si="147"/>
        <v>1.3226421904810937</v>
      </c>
      <c r="EM46" s="401">
        <f t="shared" si="147"/>
        <v>1.3509551360243455</v>
      </c>
      <c r="EN46" s="401">
        <f t="shared" si="147"/>
        <v>0.97957417879546149</v>
      </c>
      <c r="EO46" s="401">
        <f t="shared" ref="EO46" si="148">(EO45-EJ45)*100</f>
        <v>0.36470584298911035</v>
      </c>
      <c r="EP46" s="402">
        <f t="shared" ref="EP46:EQ46" si="149">(EP45-EK45)*100</f>
        <v>1.0008972468510735</v>
      </c>
      <c r="EQ46" s="401">
        <f t="shared" si="149"/>
        <v>8.9718762769386284E-2</v>
      </c>
      <c r="ER46" s="401">
        <f t="shared" ref="ER46" si="150">(ER45-EM45)*100</f>
        <v>1.1102230246251565E-14</v>
      </c>
      <c r="ES46" s="401">
        <f t="shared" ref="ES46:EU46" si="151">(ES45-EN45)*100</f>
        <v>0</v>
      </c>
      <c r="ET46" s="401">
        <f t="shared" si="151"/>
        <v>1.1102230246251565E-14</v>
      </c>
      <c r="EU46" s="1939">
        <f t="shared" si="151"/>
        <v>2.2814462628772958E-2</v>
      </c>
      <c r="EV46" s="403"/>
      <c r="EW46" s="403"/>
      <c r="EX46" s="403"/>
      <c r="EY46" s="403"/>
      <c r="EZ46" s="836">
        <f>(EZ45-EU45)*100</f>
        <v>-2.2814462628772958E-2</v>
      </c>
      <c r="FA46" s="403"/>
      <c r="FB46" s="403"/>
      <c r="FC46" s="403"/>
      <c r="FD46" s="403"/>
      <c r="FE46" s="836">
        <f>(FE45-EZ45)*100</f>
        <v>1.1102230246251565E-14</v>
      </c>
      <c r="FF46" s="750"/>
      <c r="FG46" s="637"/>
      <c r="FH46" s="1057"/>
      <c r="FI46" s="1057"/>
      <c r="FJ46" s="1057"/>
      <c r="FK46" s="1057"/>
      <c r="FL46" s="1804"/>
      <c r="FM46" s="401">
        <f t="shared" si="98"/>
        <v>8.9718762769386284E-2</v>
      </c>
      <c r="FN46" s="401">
        <f t="shared" si="99"/>
        <v>1.3226421904810937</v>
      </c>
      <c r="FO46" s="401">
        <v>0</v>
      </c>
      <c r="FP46" s="401"/>
      <c r="FQ46" s="401"/>
      <c r="FR46" s="570"/>
      <c r="FS46" s="570"/>
      <c r="FT46" s="570"/>
      <c r="FU46" s="570"/>
      <c r="FV46" s="570"/>
      <c r="FW46" s="570"/>
      <c r="FX46" s="570"/>
      <c r="FY46" s="570"/>
      <c r="FZ46" s="570"/>
      <c r="GA46" s="637"/>
      <c r="GB46"/>
      <c r="GC46"/>
      <c r="GD46"/>
      <c r="GE46"/>
      <c r="GF46"/>
      <c r="GG46"/>
      <c r="GH46" s="952"/>
      <c r="GI46" s="952"/>
      <c r="GJ46" s="952"/>
      <c r="GK46" s="952"/>
      <c r="GL46" s="952"/>
      <c r="GM46" s="952"/>
      <c r="GN46" s="952"/>
      <c r="GO46" s="952"/>
      <c r="GP46" s="952"/>
      <c r="GQ46" s="952"/>
      <c r="GR46" s="952"/>
      <c r="GS46" s="952"/>
      <c r="GT46" s="952"/>
      <c r="GU46" s="952"/>
      <c r="GV46" s="952"/>
      <c r="GW46" s="952"/>
      <c r="GX46" s="952"/>
      <c r="GY46" s="952"/>
      <c r="GZ46" s="952"/>
      <c r="HA46" s="952"/>
      <c r="HB46" s="952"/>
      <c r="HC46" s="952"/>
      <c r="HD46" s="952"/>
      <c r="HE46" s="952"/>
      <c r="HF46" s="952"/>
      <c r="HG46" s="952"/>
      <c r="HH46" s="952"/>
      <c r="HI46" s="952"/>
      <c r="HJ46" s="952"/>
      <c r="HK46" s="952"/>
      <c r="HL46" s="952"/>
      <c r="HM46" s="952"/>
      <c r="HN46" s="952"/>
      <c r="HO46" s="952"/>
      <c r="HP46" s="952"/>
      <c r="HQ46" s="952"/>
      <c r="HR46" s="952"/>
      <c r="HS46" s="952"/>
      <c r="HT46" s="952"/>
      <c r="HU46" s="952"/>
      <c r="HV46" s="952"/>
      <c r="HW46" s="952"/>
      <c r="HX46" s="952"/>
      <c r="HY46" s="952"/>
      <c r="HZ46" s="952"/>
      <c r="IA46" s="952"/>
      <c r="IB46" s="952"/>
      <c r="IC46" s="952"/>
      <c r="ID46" s="952"/>
      <c r="IE46" s="952"/>
      <c r="IF46" s="952"/>
      <c r="IG46" s="952"/>
      <c r="IH46" s="952"/>
      <c r="II46" s="952"/>
      <c r="IJ46" s="952"/>
      <c r="IK46" s="952"/>
      <c r="IL46" s="952"/>
      <c r="IM46" s="952"/>
      <c r="IN46" s="952"/>
      <c r="IO46" s="952"/>
      <c r="IP46" s="952"/>
      <c r="IQ46" s="952"/>
      <c r="IR46" s="952"/>
      <c r="IS46" s="952"/>
      <c r="IT46" s="952"/>
      <c r="IU46" s="952"/>
      <c r="IV46" s="952"/>
    </row>
    <row r="47" spans="1:256" s="6" customFormat="1" ht="12.75" x14ac:dyDescent="0.2">
      <c r="A47" s="5" t="s">
        <v>20</v>
      </c>
      <c r="B47" s="7"/>
      <c r="C47" s="7"/>
      <c r="D47" s="7"/>
      <c r="E47" s="193"/>
      <c r="F47" s="8"/>
      <c r="G47" s="7"/>
      <c r="H47" s="7"/>
      <c r="I47" s="7"/>
      <c r="J47" s="193"/>
      <c r="K47" s="8"/>
      <c r="L47" s="7"/>
      <c r="M47" s="7"/>
      <c r="N47" s="7"/>
      <c r="O47" s="193"/>
      <c r="P47" s="8"/>
      <c r="Q47" s="7"/>
      <c r="R47" s="7"/>
      <c r="S47" s="7"/>
      <c r="T47" s="193"/>
      <c r="U47" s="8"/>
      <c r="V47" s="7"/>
      <c r="W47" s="7"/>
      <c r="X47" s="7"/>
      <c r="Y47" s="193"/>
      <c r="Z47" s="8"/>
      <c r="AA47" s="7"/>
      <c r="AB47" s="7"/>
      <c r="AC47" s="7"/>
      <c r="AD47" s="193"/>
      <c r="AE47" s="8"/>
      <c r="AF47" s="7"/>
      <c r="AG47" s="7"/>
      <c r="AH47" s="7"/>
      <c r="AI47" s="193"/>
      <c r="AJ47" s="8"/>
      <c r="AK47" s="7"/>
      <c r="AL47" s="7"/>
      <c r="AM47" s="7"/>
      <c r="AN47" s="193"/>
      <c r="AO47" s="8"/>
      <c r="AP47" s="7"/>
      <c r="AQ47" s="7"/>
      <c r="AR47" s="7"/>
      <c r="AS47" s="193"/>
      <c r="AT47" s="8"/>
      <c r="AU47" s="7"/>
      <c r="AV47" s="7"/>
      <c r="AW47" s="7"/>
      <c r="AX47" s="193"/>
      <c r="AY47" s="8"/>
      <c r="AZ47" s="7"/>
      <c r="BA47" s="7"/>
      <c r="BB47" s="7"/>
      <c r="BC47" s="193"/>
      <c r="BD47" s="8"/>
      <c r="BE47" s="7"/>
      <c r="BF47" s="7"/>
      <c r="BG47" s="7"/>
      <c r="BH47" s="193"/>
      <c r="BI47" s="8"/>
      <c r="BJ47" s="7"/>
      <c r="BK47" s="7"/>
      <c r="BL47" s="7"/>
      <c r="BM47" s="193"/>
      <c r="BN47" s="8"/>
      <c r="BO47" s="7"/>
      <c r="BP47" s="7"/>
      <c r="BQ47" s="7"/>
      <c r="BR47" s="193"/>
      <c r="BS47" s="8"/>
      <c r="BT47" s="7"/>
      <c r="BU47" s="7"/>
      <c r="BV47" s="7"/>
      <c r="BW47" s="193"/>
      <c r="BX47" s="8"/>
      <c r="BY47" s="7"/>
      <c r="BZ47" s="7"/>
      <c r="CA47" s="7"/>
      <c r="CB47" s="193"/>
      <c r="CC47" s="8"/>
      <c r="CD47" s="7"/>
      <c r="CE47" s="7"/>
      <c r="CF47" s="7"/>
      <c r="CG47" s="193"/>
      <c r="CH47" s="8"/>
      <c r="CI47" s="7"/>
      <c r="CJ47" s="7"/>
      <c r="CK47" s="7"/>
      <c r="CL47" s="193"/>
      <c r="CM47" s="8"/>
      <c r="CN47" s="7"/>
      <c r="CO47" s="7"/>
      <c r="CP47" s="7"/>
      <c r="CQ47" s="193"/>
      <c r="CR47" s="8"/>
      <c r="CS47" s="7"/>
      <c r="CT47" s="7"/>
      <c r="CU47" s="7"/>
      <c r="CV47" s="193"/>
      <c r="CW47" s="8"/>
      <c r="CX47" s="7"/>
      <c r="CY47" s="7"/>
      <c r="CZ47" s="7"/>
      <c r="DA47" s="7"/>
      <c r="DB47" s="8"/>
      <c r="DC47" s="7"/>
      <c r="DD47" s="7"/>
      <c r="DE47" s="7"/>
      <c r="DF47" s="7"/>
      <c r="DG47" s="9"/>
      <c r="DH47" s="7"/>
      <c r="DI47" s="7"/>
      <c r="DJ47" s="7"/>
      <c r="DK47" s="7"/>
      <c r="DL47" s="9"/>
      <c r="DM47" s="7"/>
      <c r="DN47" s="7"/>
      <c r="DO47" s="7"/>
      <c r="DP47" s="7"/>
      <c r="DQ47" s="9"/>
      <c r="DR47" s="7"/>
      <c r="DS47" s="7"/>
      <c r="DU47" s="7"/>
      <c r="DV47" s="9"/>
      <c r="DW47" s="7"/>
      <c r="DX47" s="7"/>
      <c r="DZ47" s="7"/>
      <c r="EA47" s="9"/>
      <c r="EB47" s="7"/>
      <c r="EC47" s="7"/>
      <c r="EE47" s="7"/>
      <c r="EF47" s="9"/>
      <c r="EG47" s="7"/>
      <c r="EH47" s="7"/>
      <c r="EJ47" s="7"/>
      <c r="EK47" s="9"/>
      <c r="EL47" s="7"/>
      <c r="EM47" s="7"/>
      <c r="EO47" s="7"/>
      <c r="EP47" s="9"/>
      <c r="EQ47" s="7"/>
      <c r="EU47" s="1940"/>
      <c r="EZ47" s="751"/>
      <c r="FE47" s="751"/>
      <c r="FF47" s="751"/>
      <c r="FG47" s="630"/>
      <c r="FH47" s="1024"/>
      <c r="FI47" s="1024"/>
      <c r="FJ47" s="1024"/>
      <c r="FK47" s="1024"/>
      <c r="FL47" s="1796"/>
      <c r="FM47" s="7"/>
      <c r="FN47" s="7"/>
      <c r="FP47" s="7"/>
      <c r="FQ47" s="7"/>
      <c r="FR47" s="563"/>
      <c r="FS47" s="563"/>
      <c r="FT47" s="563"/>
      <c r="FU47" s="563"/>
      <c r="FV47" s="563"/>
      <c r="FW47" s="563"/>
      <c r="FX47" s="563"/>
      <c r="FY47" s="563"/>
      <c r="FZ47" s="563"/>
      <c r="GA47" s="630"/>
      <c r="GB47"/>
      <c r="GC47"/>
      <c r="GD47"/>
      <c r="GE47"/>
      <c r="GF47"/>
      <c r="GG47"/>
      <c r="GH47" s="943"/>
      <c r="GI47" s="943"/>
      <c r="GJ47" s="943"/>
      <c r="GK47" s="943"/>
      <c r="GL47" s="943"/>
      <c r="GM47" s="943"/>
      <c r="GN47" s="943"/>
      <c r="GO47" s="943"/>
      <c r="GP47" s="943"/>
      <c r="GQ47" s="943"/>
      <c r="GR47" s="943"/>
      <c r="GS47" s="943"/>
      <c r="GT47" s="943"/>
      <c r="GU47" s="943"/>
      <c r="GV47" s="943"/>
      <c r="GW47" s="943"/>
      <c r="GX47" s="943"/>
      <c r="GY47" s="943"/>
      <c r="GZ47" s="943"/>
      <c r="HA47" s="943"/>
      <c r="HB47" s="943"/>
      <c r="HC47" s="943"/>
      <c r="HD47" s="943"/>
      <c r="HE47" s="943"/>
      <c r="HF47" s="943"/>
      <c r="HG47" s="943"/>
      <c r="HH47" s="943"/>
      <c r="HI47" s="943"/>
      <c r="HJ47" s="943"/>
      <c r="HK47" s="943"/>
      <c r="HL47" s="943"/>
      <c r="HM47" s="943"/>
      <c r="HN47" s="943"/>
      <c r="HO47" s="943"/>
      <c r="HP47" s="943"/>
      <c r="HQ47" s="943"/>
      <c r="HR47" s="943"/>
      <c r="HS47" s="943"/>
      <c r="HT47" s="943"/>
      <c r="HU47" s="943"/>
      <c r="HV47" s="943"/>
      <c r="HW47" s="943"/>
      <c r="HX47" s="943"/>
      <c r="HY47" s="943"/>
      <c r="HZ47" s="943"/>
      <c r="IA47" s="943"/>
      <c r="IB47" s="943"/>
      <c r="IC47" s="943"/>
      <c r="ID47" s="943"/>
      <c r="IE47" s="943"/>
      <c r="IF47" s="943"/>
      <c r="IG47" s="943"/>
      <c r="IH47" s="943"/>
      <c r="II47" s="943"/>
      <c r="IJ47" s="943"/>
      <c r="IK47" s="943"/>
      <c r="IL47" s="943"/>
      <c r="IM47" s="943"/>
      <c r="IN47" s="943"/>
      <c r="IO47" s="943"/>
      <c r="IP47" s="943"/>
      <c r="IQ47" s="943"/>
      <c r="IR47" s="943"/>
      <c r="IS47" s="943"/>
      <c r="IT47" s="943"/>
      <c r="IU47" s="943"/>
      <c r="IV47" s="943"/>
    </row>
    <row r="48" spans="1:256" s="527" customFormat="1" ht="12.75" x14ac:dyDescent="0.2">
      <c r="A48" s="522" t="s">
        <v>304</v>
      </c>
      <c r="B48" s="523"/>
      <c r="C48" s="523"/>
      <c r="D48" s="523"/>
      <c r="E48" s="524"/>
      <c r="F48" s="525"/>
      <c r="G48" s="523"/>
      <c r="H48" s="523"/>
      <c r="I48" s="523"/>
      <c r="J48" s="524"/>
      <c r="K48" s="525"/>
      <c r="L48" s="523"/>
      <c r="M48" s="523"/>
      <c r="N48" s="523"/>
      <c r="O48" s="524"/>
      <c r="P48" s="525"/>
      <c r="Q48" s="523"/>
      <c r="R48" s="523"/>
      <c r="S48" s="523"/>
      <c r="T48" s="524"/>
      <c r="U48" s="525"/>
      <c r="V48" s="523"/>
      <c r="W48" s="523"/>
      <c r="X48" s="523"/>
      <c r="Y48" s="524"/>
      <c r="Z48" s="525"/>
      <c r="AA48" s="523"/>
      <c r="AB48" s="523"/>
      <c r="AC48" s="523"/>
      <c r="AD48" s="524"/>
      <c r="AE48" s="525"/>
      <c r="AF48" s="523"/>
      <c r="AG48" s="523"/>
      <c r="AH48" s="523"/>
      <c r="AI48" s="524"/>
      <c r="AJ48" s="525"/>
      <c r="AK48" s="523"/>
      <c r="AL48" s="523"/>
      <c r="AM48" s="523"/>
      <c r="AN48" s="524"/>
      <c r="AO48" s="525"/>
      <c r="AP48" s="523"/>
      <c r="AQ48" s="523"/>
      <c r="AR48" s="523"/>
      <c r="AS48" s="524"/>
      <c r="AT48" s="525"/>
      <c r="AU48" s="523"/>
      <c r="AV48" s="523"/>
      <c r="AW48" s="523"/>
      <c r="AX48" s="524"/>
      <c r="AY48" s="525"/>
      <c r="AZ48" s="523"/>
      <c r="BA48" s="523"/>
      <c r="BB48" s="523"/>
      <c r="BC48" s="524"/>
      <c r="BD48" s="525"/>
      <c r="BE48" s="523"/>
      <c r="BF48" s="523"/>
      <c r="BG48" s="523"/>
      <c r="BH48" s="524"/>
      <c r="BI48" s="525"/>
      <c r="BJ48" s="523"/>
      <c r="BK48" s="523"/>
      <c r="BL48" s="523"/>
      <c r="BM48" s="524"/>
      <c r="BN48" s="525"/>
      <c r="BO48" s="523"/>
      <c r="BP48" s="523"/>
      <c r="BQ48" s="523"/>
      <c r="BR48" s="524"/>
      <c r="BS48" s="525"/>
      <c r="BT48" s="523"/>
      <c r="BU48" s="523"/>
      <c r="BV48" s="523"/>
      <c r="BW48" s="524"/>
      <c r="BX48" s="525"/>
      <c r="BY48" s="523"/>
      <c r="BZ48" s="523"/>
      <c r="CA48" s="523"/>
      <c r="CB48" s="524"/>
      <c r="CC48" s="525"/>
      <c r="CD48" s="523"/>
      <c r="CE48" s="523"/>
      <c r="CF48" s="523"/>
      <c r="CG48" s="524"/>
      <c r="CH48" s="525"/>
      <c r="CI48" s="523"/>
      <c r="CJ48" s="523"/>
      <c r="CK48" s="523"/>
      <c r="CL48" s="524"/>
      <c r="CM48" s="525"/>
      <c r="CN48" s="523"/>
      <c r="CO48" s="523"/>
      <c r="CP48" s="523"/>
      <c r="CQ48" s="524"/>
      <c r="CR48" s="525"/>
      <c r="CS48" s="523"/>
      <c r="CT48" s="523"/>
      <c r="CU48" s="523"/>
      <c r="CV48" s="524"/>
      <c r="CW48" s="525"/>
      <c r="CX48" s="523"/>
      <c r="CY48" s="523"/>
      <c r="CZ48" s="523"/>
      <c r="DA48" s="523"/>
      <c r="DB48" s="525"/>
      <c r="DC48" s="523"/>
      <c r="DD48" s="523"/>
      <c r="DE48" s="523"/>
      <c r="DF48" s="523"/>
      <c r="DG48" s="526"/>
      <c r="DH48" s="523"/>
      <c r="DI48" s="523"/>
      <c r="DJ48" s="523"/>
      <c r="DK48" s="523"/>
      <c r="DL48" s="526"/>
      <c r="DM48" s="523"/>
      <c r="DN48" s="523"/>
      <c r="DO48" s="523"/>
      <c r="DP48" s="523"/>
      <c r="DQ48" s="526"/>
      <c r="DR48" s="523"/>
      <c r="DS48" s="523"/>
      <c r="DU48" s="523"/>
      <c r="DV48" s="526"/>
      <c r="DW48" s="523"/>
      <c r="DX48" s="523"/>
      <c r="DZ48" s="523"/>
      <c r="EA48" s="526"/>
      <c r="EB48" s="523"/>
      <c r="EC48" s="523"/>
      <c r="EE48" s="523"/>
      <c r="EF48" s="526"/>
      <c r="EG48" s="523"/>
      <c r="EH48" s="523"/>
      <c r="EJ48" s="523"/>
      <c r="EK48" s="526"/>
      <c r="EL48" s="523"/>
      <c r="EM48" s="523"/>
      <c r="EO48" s="523"/>
      <c r="EP48" s="526"/>
      <c r="EQ48" s="523"/>
      <c r="EU48" s="1941"/>
      <c r="EZ48" s="735"/>
      <c r="FE48" s="735"/>
      <c r="FF48" s="735"/>
      <c r="FG48" s="633"/>
      <c r="FH48" s="1024"/>
      <c r="FI48" s="1024"/>
      <c r="FJ48" s="1024"/>
      <c r="FK48" s="1024"/>
      <c r="FL48" s="1796"/>
      <c r="FM48" s="523"/>
      <c r="FN48" s="523"/>
      <c r="FP48" s="523"/>
      <c r="FQ48" s="523"/>
      <c r="FR48" s="563"/>
      <c r="FS48" s="563"/>
      <c r="FT48" s="563"/>
      <c r="FU48" s="563"/>
      <c r="FV48" s="563"/>
      <c r="FW48" s="563"/>
      <c r="FX48" s="563"/>
      <c r="FY48" s="563"/>
      <c r="FZ48" s="563"/>
      <c r="GA48" s="633"/>
      <c r="GB48"/>
      <c r="GC48"/>
      <c r="GD48"/>
      <c r="GE48"/>
      <c r="GF48"/>
      <c r="GG48"/>
      <c r="GH48" s="943"/>
      <c r="GI48" s="943"/>
      <c r="GJ48" s="943"/>
      <c r="GK48" s="943"/>
      <c r="GL48" s="943"/>
      <c r="GM48" s="943"/>
      <c r="GN48" s="943"/>
      <c r="GO48" s="943"/>
      <c r="GP48" s="943"/>
      <c r="GQ48" s="943"/>
      <c r="GR48" s="943"/>
      <c r="GS48" s="943"/>
      <c r="GT48" s="943"/>
      <c r="GU48" s="943"/>
      <c r="GV48" s="943"/>
      <c r="GW48" s="943"/>
      <c r="GX48" s="943"/>
      <c r="GY48" s="943"/>
      <c r="GZ48" s="943"/>
      <c r="HA48" s="943"/>
      <c r="HB48" s="943"/>
      <c r="HC48" s="943"/>
      <c r="HD48" s="943"/>
      <c r="HE48" s="943"/>
      <c r="HF48" s="943"/>
      <c r="HG48" s="943"/>
      <c r="HH48" s="943"/>
      <c r="HI48" s="943"/>
      <c r="HJ48" s="943"/>
      <c r="HK48" s="943"/>
      <c r="HL48" s="943"/>
      <c r="HM48" s="943"/>
      <c r="HN48" s="943"/>
      <c r="HO48" s="943"/>
      <c r="HP48" s="943"/>
      <c r="HQ48" s="943"/>
      <c r="HR48" s="943"/>
      <c r="HS48" s="943"/>
      <c r="HT48" s="943"/>
      <c r="HU48" s="943"/>
      <c r="HV48" s="943"/>
      <c r="HW48" s="943"/>
      <c r="HX48" s="943"/>
      <c r="HY48" s="943"/>
      <c r="HZ48" s="943"/>
      <c r="IA48" s="943"/>
      <c r="IB48" s="943"/>
      <c r="IC48" s="943"/>
      <c r="ID48" s="943"/>
      <c r="IE48" s="943"/>
      <c r="IF48" s="943"/>
      <c r="IG48" s="943"/>
      <c r="IH48" s="943"/>
      <c r="II48" s="943"/>
      <c r="IJ48" s="943"/>
      <c r="IK48" s="943"/>
      <c r="IL48" s="943"/>
      <c r="IM48" s="943"/>
      <c r="IN48" s="943"/>
      <c r="IO48" s="943"/>
      <c r="IP48" s="943"/>
      <c r="IQ48" s="943"/>
      <c r="IR48" s="943"/>
      <c r="IS48" s="943"/>
      <c r="IT48" s="943"/>
      <c r="IU48" s="943"/>
      <c r="IV48" s="943"/>
    </row>
    <row r="49" spans="1:256" s="122" customFormat="1" ht="12.75" x14ac:dyDescent="0.2">
      <c r="A49" s="121" t="s">
        <v>122</v>
      </c>
      <c r="E49" s="533"/>
      <c r="F49" s="534"/>
      <c r="G49" s="122">
        <v>76.2</v>
      </c>
      <c r="H49" s="122">
        <v>71.5</v>
      </c>
      <c r="I49" s="122">
        <v>71.400000000000006</v>
      </c>
      <c r="J49" s="533">
        <v>80.5</v>
      </c>
      <c r="K49" s="534">
        <f>G49+H49+I49+J49</f>
        <v>299.60000000000002</v>
      </c>
      <c r="L49" s="122">
        <v>71.7</v>
      </c>
      <c r="M49" s="122">
        <v>69.2</v>
      </c>
      <c r="N49" s="122">
        <v>78.900000000000006</v>
      </c>
      <c r="O49" s="533">
        <v>73.8</v>
      </c>
      <c r="P49" s="534">
        <f>L49+M49+N49+O49</f>
        <v>293.60000000000002</v>
      </c>
      <c r="Q49" s="122">
        <v>73.8</v>
      </c>
      <c r="R49" s="122">
        <v>73</v>
      </c>
      <c r="S49" s="122">
        <v>75.3</v>
      </c>
      <c r="T49" s="533">
        <v>79.3</v>
      </c>
      <c r="U49" s="534">
        <f>Q49+R49+S49+T49</f>
        <v>301.40000000000003</v>
      </c>
      <c r="V49" s="122">
        <v>76.2</v>
      </c>
      <c r="W49" s="122">
        <v>79.5</v>
      </c>
      <c r="X49" s="122">
        <v>79.8</v>
      </c>
      <c r="Y49" s="533">
        <v>84.2</v>
      </c>
      <c r="Z49" s="534">
        <f>V49+W49+X49+Y49</f>
        <v>319.7</v>
      </c>
      <c r="AA49" s="122">
        <v>93.3</v>
      </c>
      <c r="AB49" s="122">
        <v>94.4</v>
      </c>
      <c r="AC49" s="122">
        <v>91.7</v>
      </c>
      <c r="AD49" s="533">
        <v>100.1</v>
      </c>
      <c r="AE49" s="534">
        <f>AA49+AB49+AC49+AD49</f>
        <v>379.5</v>
      </c>
      <c r="AF49" s="122">
        <v>97.2</v>
      </c>
      <c r="AG49" s="122">
        <v>97.5</v>
      </c>
      <c r="AH49" s="122">
        <v>98.7</v>
      </c>
      <c r="AI49" s="533">
        <v>100.3</v>
      </c>
      <c r="AJ49" s="534">
        <f>AF49+AG49+AH49+AI49</f>
        <v>393.7</v>
      </c>
      <c r="AK49" s="122">
        <v>101.6</v>
      </c>
      <c r="AL49" s="122">
        <v>97.1</v>
      </c>
      <c r="AM49" s="122">
        <v>94.4</v>
      </c>
      <c r="AN49" s="533">
        <v>100.2</v>
      </c>
      <c r="AO49" s="534">
        <f>AK49+AL49+AM49+AN49</f>
        <v>393.3</v>
      </c>
      <c r="AP49" s="122">
        <v>99.2</v>
      </c>
      <c r="AQ49" s="122">
        <v>95.3</v>
      </c>
      <c r="AR49" s="122">
        <v>93.6</v>
      </c>
      <c r="AS49" s="533">
        <v>103</v>
      </c>
      <c r="AT49" s="534">
        <f>AP49+AQ49+AR49+AS49</f>
        <v>391.1</v>
      </c>
      <c r="AU49" s="122">
        <v>117.5</v>
      </c>
      <c r="AV49" s="122">
        <v>115.3</v>
      </c>
      <c r="AW49" s="122">
        <v>111.8</v>
      </c>
      <c r="AX49" s="533">
        <v>120.7</v>
      </c>
      <c r="AY49" s="534">
        <f>AU49+AV49+AW49+AX49</f>
        <v>465.3</v>
      </c>
      <c r="AZ49" s="122">
        <v>115.8</v>
      </c>
      <c r="BA49" s="122">
        <v>124.4</v>
      </c>
      <c r="BB49" s="122">
        <v>145.1</v>
      </c>
      <c r="BC49" s="533">
        <v>149.1</v>
      </c>
      <c r="BD49" s="534">
        <f>AZ49+BA49+BB49+BC49</f>
        <v>534.4</v>
      </c>
      <c r="BE49" s="122">
        <v>159</v>
      </c>
      <c r="BF49" s="122">
        <v>152</v>
      </c>
      <c r="BG49" s="122">
        <v>149</v>
      </c>
      <c r="BH49" s="533">
        <v>149</v>
      </c>
      <c r="BI49" s="534">
        <f>BE49+BF49+BG49+BH49</f>
        <v>609</v>
      </c>
      <c r="BJ49" s="122">
        <v>150</v>
      </c>
      <c r="BK49" s="122">
        <v>148</v>
      </c>
      <c r="BL49" s="122">
        <v>147</v>
      </c>
      <c r="BM49" s="533">
        <v>158</v>
      </c>
      <c r="BN49" s="534">
        <f>BJ49+BK49+BL49+BM49</f>
        <v>603</v>
      </c>
      <c r="BO49" s="122">
        <v>154</v>
      </c>
      <c r="BP49" s="122">
        <v>156</v>
      </c>
      <c r="BQ49" s="122">
        <v>156</v>
      </c>
      <c r="BR49" s="533">
        <v>168</v>
      </c>
      <c r="BS49" s="534">
        <f>BO49+BP49+BQ49+BR49</f>
        <v>634</v>
      </c>
      <c r="BT49" s="122">
        <v>168</v>
      </c>
      <c r="BU49" s="122">
        <v>175</v>
      </c>
      <c r="BV49" s="122">
        <v>167</v>
      </c>
      <c r="BW49" s="533">
        <v>178</v>
      </c>
      <c r="BX49" s="534">
        <f>BT49+BU49+BV49+BW49</f>
        <v>688</v>
      </c>
      <c r="BY49" s="122">
        <v>174</v>
      </c>
      <c r="BZ49" s="122">
        <v>178</v>
      </c>
      <c r="CA49" s="122">
        <v>177</v>
      </c>
      <c r="CB49" s="533">
        <v>187</v>
      </c>
      <c r="CC49" s="534">
        <f>BY49+BZ49+CA49+CB49</f>
        <v>716</v>
      </c>
      <c r="CD49" s="122">
        <v>190</v>
      </c>
      <c r="CE49" s="122">
        <v>197</v>
      </c>
      <c r="CF49" s="122">
        <v>198</v>
      </c>
      <c r="CG49" s="533">
        <v>247</v>
      </c>
      <c r="CH49" s="534">
        <f>CD49+CE49+CF49+CG49</f>
        <v>832</v>
      </c>
      <c r="CI49" s="122">
        <f>264</f>
        <v>264</v>
      </c>
      <c r="CJ49" s="122">
        <f>239</f>
        <v>239</v>
      </c>
      <c r="CK49" s="122">
        <v>239</v>
      </c>
      <c r="CL49" s="533">
        <v>252</v>
      </c>
      <c r="CM49" s="534">
        <f>CI49+CJ49+CK49+CL49</f>
        <v>994</v>
      </c>
      <c r="CN49" s="122">
        <f>241</f>
        <v>241</v>
      </c>
      <c r="CO49" s="122">
        <v>254</v>
      </c>
      <c r="CP49" s="122">
        <v>264</v>
      </c>
      <c r="CQ49" s="533">
        <v>288</v>
      </c>
      <c r="CR49" s="534">
        <f>CN49+CO49+CP49+CQ49</f>
        <v>1047</v>
      </c>
      <c r="CS49" s="122">
        <v>299</v>
      </c>
      <c r="CT49" s="122">
        <v>326</v>
      </c>
      <c r="CU49" s="122">
        <v>338</v>
      </c>
      <c r="CV49" s="533">
        <v>319</v>
      </c>
      <c r="CW49" s="534">
        <f>CS49+CT49+CU49+CV49</f>
        <v>1282</v>
      </c>
      <c r="CX49" s="122">
        <v>278</v>
      </c>
      <c r="CY49" s="122">
        <v>287</v>
      </c>
      <c r="CZ49" s="122">
        <v>296</v>
      </c>
      <c r="DA49" s="122">
        <v>320</v>
      </c>
      <c r="DB49" s="534">
        <f>CX49+CY49+CZ49+DA49</f>
        <v>1181</v>
      </c>
      <c r="DC49" s="122">
        <v>325</v>
      </c>
      <c r="DD49" s="122">
        <v>322</v>
      </c>
      <c r="DE49" s="122">
        <v>331</v>
      </c>
      <c r="DF49" s="122">
        <v>347.87317585301838</v>
      </c>
      <c r="DG49" s="534">
        <f>SUM(DC49:DF49)</f>
        <v>1325.8731758530184</v>
      </c>
      <c r="DH49" s="122">
        <v>351</v>
      </c>
      <c r="DI49" s="122">
        <v>369</v>
      </c>
      <c r="DJ49" s="122">
        <v>357</v>
      </c>
      <c r="DK49" s="122">
        <v>362</v>
      </c>
      <c r="DL49" s="534">
        <f>SUM(DH49:DK49)</f>
        <v>1439</v>
      </c>
      <c r="DM49" s="122">
        <v>370</v>
      </c>
      <c r="DN49" s="122">
        <v>370</v>
      </c>
      <c r="DO49" s="122">
        <v>344</v>
      </c>
      <c r="DP49" s="122">
        <v>362</v>
      </c>
      <c r="DQ49" s="534">
        <f>SUM(DM49:DP49)</f>
        <v>1446</v>
      </c>
      <c r="DR49" s="122">
        <v>361</v>
      </c>
      <c r="DS49" s="122">
        <v>366</v>
      </c>
      <c r="DT49" s="122">
        <v>346</v>
      </c>
      <c r="DU49" s="122">
        <v>394</v>
      </c>
      <c r="DV49" s="534">
        <f>SUM(DR49:DU49)</f>
        <v>1467</v>
      </c>
      <c r="DW49" s="122">
        <v>361</v>
      </c>
      <c r="DX49" s="122">
        <v>386</v>
      </c>
      <c r="DY49" s="122">
        <v>364</v>
      </c>
      <c r="DZ49" s="122">
        <v>387</v>
      </c>
      <c r="EA49" s="534">
        <f>SUM(DW49:DZ49)</f>
        <v>1498</v>
      </c>
      <c r="EB49" s="122">
        <v>374</v>
      </c>
      <c r="EC49" s="122">
        <v>379</v>
      </c>
      <c r="ED49" s="122">
        <v>380</v>
      </c>
      <c r="EE49" s="122">
        <v>383</v>
      </c>
      <c r="EF49" s="534">
        <f>SUM(EB49:EE49)</f>
        <v>1516</v>
      </c>
      <c r="EG49" s="122">
        <v>386</v>
      </c>
      <c r="EH49" s="122">
        <v>383</v>
      </c>
      <c r="EI49" s="122">
        <v>380</v>
      </c>
      <c r="EJ49" s="122">
        <v>399</v>
      </c>
      <c r="EK49" s="534">
        <f>SUM(EG49:EJ49)</f>
        <v>1548</v>
      </c>
      <c r="EL49" s="122">
        <v>384</v>
      </c>
      <c r="EM49" s="122">
        <v>384</v>
      </c>
      <c r="EN49" s="122">
        <v>388</v>
      </c>
      <c r="EO49" s="122">
        <v>391</v>
      </c>
      <c r="EP49" s="534">
        <f>SUM(EL49:EO49)</f>
        <v>1547</v>
      </c>
      <c r="EQ49" s="122">
        <v>393</v>
      </c>
      <c r="ER49" s="122">
        <f>ER52*ER55/1000</f>
        <v>387.6096</v>
      </c>
      <c r="ES49" s="122">
        <f>ES52*ES55/1000</f>
        <v>395.64360000000005</v>
      </c>
      <c r="ET49" s="122">
        <f>ET52*ET55/1000</f>
        <v>414.81190000000004</v>
      </c>
      <c r="EU49" s="1942">
        <f>SUM(EQ49:ET49)</f>
        <v>1591.0651000000003</v>
      </c>
      <c r="EZ49" s="752">
        <f>EZ52*EZ55/1000</f>
        <v>1655.3043534124997</v>
      </c>
      <c r="FE49" s="752">
        <f>FE52*FE55/1000</f>
        <v>1722.1372666815289</v>
      </c>
      <c r="FF49" s="752"/>
      <c r="FG49" s="638"/>
      <c r="FH49" s="1024"/>
      <c r="FI49" s="1024"/>
      <c r="FJ49" s="1024"/>
      <c r="FK49" s="1024"/>
      <c r="FL49" s="1796"/>
      <c r="FM49" s="122">
        <f t="shared" ref="FM49:FM66" si="152">EQ49</f>
        <v>393</v>
      </c>
      <c r="FN49" s="122">
        <f t="shared" ref="FN49:FN66" si="153">EL49</f>
        <v>384</v>
      </c>
      <c r="FO49" s="122">
        <v>371.40479999999997</v>
      </c>
      <c r="FP49" s="571">
        <f>IFERROR(($FM49/FN49)-1,"")</f>
        <v>2.34375E-2</v>
      </c>
      <c r="FQ49" s="571">
        <f>IFERROR(($FM49/FO49)-1,"")</f>
        <v>5.8144644334160667E-2</v>
      </c>
      <c r="GA49" s="638"/>
      <c r="GB49"/>
      <c r="GC49"/>
      <c r="GD49"/>
      <c r="GE49"/>
      <c r="GF49"/>
      <c r="GG49"/>
      <c r="GH49" s="953"/>
      <c r="GI49" s="953"/>
      <c r="GJ49" s="953"/>
      <c r="GK49" s="953"/>
      <c r="GL49" s="953"/>
      <c r="GM49" s="953"/>
      <c r="GN49" s="953"/>
      <c r="GO49" s="953"/>
      <c r="GP49" s="953"/>
      <c r="GQ49" s="953"/>
      <c r="GR49" s="953"/>
      <c r="GS49" s="953"/>
      <c r="GT49" s="953"/>
      <c r="GU49" s="953"/>
      <c r="GV49" s="953"/>
      <c r="GW49" s="953"/>
      <c r="GX49" s="953"/>
      <c r="GY49" s="953"/>
      <c r="GZ49" s="953"/>
      <c r="HA49" s="953"/>
      <c r="HB49" s="953"/>
      <c r="HC49" s="953"/>
      <c r="HD49" s="953"/>
      <c r="HE49" s="953"/>
      <c r="HF49" s="953"/>
      <c r="HG49" s="953"/>
      <c r="HH49" s="953"/>
      <c r="HI49" s="953"/>
      <c r="HJ49" s="953"/>
      <c r="HK49" s="953"/>
      <c r="HL49" s="953"/>
      <c r="HM49" s="953"/>
      <c r="HN49" s="953"/>
      <c r="HO49" s="953"/>
      <c r="HP49" s="953"/>
      <c r="HQ49" s="953"/>
      <c r="HR49" s="953"/>
      <c r="HS49" s="953"/>
      <c r="HT49" s="953"/>
      <c r="HU49" s="953"/>
      <c r="HV49" s="953"/>
      <c r="HW49" s="953"/>
      <c r="HX49" s="953"/>
      <c r="HY49" s="953"/>
      <c r="HZ49" s="953"/>
      <c r="IA49" s="953"/>
      <c r="IB49" s="953"/>
      <c r="IC49" s="953"/>
      <c r="ID49" s="953"/>
      <c r="IE49" s="953"/>
      <c r="IF49" s="953"/>
      <c r="IG49" s="953"/>
      <c r="IH49" s="953"/>
      <c r="II49" s="953"/>
      <c r="IJ49" s="953"/>
      <c r="IK49" s="953"/>
      <c r="IL49" s="953"/>
      <c r="IM49" s="953"/>
      <c r="IN49" s="953"/>
      <c r="IO49" s="953"/>
      <c r="IP49" s="953"/>
      <c r="IQ49" s="953"/>
      <c r="IR49" s="953"/>
      <c r="IS49" s="953"/>
      <c r="IT49" s="953"/>
      <c r="IU49" s="953"/>
      <c r="IV49" s="953"/>
    </row>
    <row r="50" spans="1:256" s="243" customFormat="1" ht="12.75" x14ac:dyDescent="0.2">
      <c r="A50" s="242" t="s">
        <v>74</v>
      </c>
      <c r="B50" s="22"/>
      <c r="C50" s="22"/>
      <c r="D50" s="22"/>
      <c r="E50" s="197"/>
      <c r="F50" s="21"/>
      <c r="G50" s="22"/>
      <c r="H50" s="22"/>
      <c r="I50" s="22"/>
      <c r="J50" s="197"/>
      <c r="K50" s="21"/>
      <c r="L50" s="22">
        <f t="shared" ref="L50:BW50" si="154">L49/G49-1</f>
        <v>-5.9055118110236227E-2</v>
      </c>
      <c r="M50" s="22">
        <f t="shared" si="154"/>
        <v>-3.2167832167832144E-2</v>
      </c>
      <c r="N50" s="22">
        <f t="shared" si="154"/>
        <v>0.10504201680672276</v>
      </c>
      <c r="O50" s="197">
        <f t="shared" si="154"/>
        <v>-8.3229813664596364E-2</v>
      </c>
      <c r="P50" s="21">
        <f t="shared" si="154"/>
        <v>-2.0026702269692942E-2</v>
      </c>
      <c r="Q50" s="22">
        <f t="shared" si="154"/>
        <v>2.9288702928870203E-2</v>
      </c>
      <c r="R50" s="22">
        <f t="shared" si="154"/>
        <v>5.4913294797687806E-2</v>
      </c>
      <c r="S50" s="22">
        <f t="shared" si="154"/>
        <v>-4.562737642585557E-2</v>
      </c>
      <c r="T50" s="197">
        <f t="shared" si="154"/>
        <v>7.4525745257452591E-2</v>
      </c>
      <c r="U50" s="21">
        <f t="shared" si="154"/>
        <v>2.6566757493188042E-2</v>
      </c>
      <c r="V50" s="22">
        <f t="shared" si="154"/>
        <v>3.2520325203252209E-2</v>
      </c>
      <c r="W50" s="22">
        <f t="shared" si="154"/>
        <v>8.9041095890410871E-2</v>
      </c>
      <c r="X50" s="22">
        <f t="shared" si="154"/>
        <v>5.9760956175298752E-2</v>
      </c>
      <c r="Y50" s="197">
        <f t="shared" si="154"/>
        <v>6.1790668348045363E-2</v>
      </c>
      <c r="Z50" s="21">
        <f t="shared" si="154"/>
        <v>6.0716655607166325E-2</v>
      </c>
      <c r="AA50" s="22">
        <f t="shared" si="154"/>
        <v>0.22440944881889746</v>
      </c>
      <c r="AB50" s="22">
        <f t="shared" si="154"/>
        <v>0.18742138364779892</v>
      </c>
      <c r="AC50" s="22">
        <f t="shared" si="154"/>
        <v>0.14912280701754388</v>
      </c>
      <c r="AD50" s="197">
        <f t="shared" si="154"/>
        <v>0.18883610451306398</v>
      </c>
      <c r="AE50" s="21">
        <f t="shared" si="154"/>
        <v>0.18705035971223016</v>
      </c>
      <c r="AF50" s="22">
        <f t="shared" si="154"/>
        <v>4.1800643086816747E-2</v>
      </c>
      <c r="AG50" s="22">
        <f t="shared" si="154"/>
        <v>3.2838983050847315E-2</v>
      </c>
      <c r="AH50" s="22">
        <f t="shared" si="154"/>
        <v>7.6335877862595325E-2</v>
      </c>
      <c r="AI50" s="197">
        <f t="shared" si="154"/>
        <v>1.9980019980019303E-3</v>
      </c>
      <c r="AJ50" s="21">
        <f t="shared" si="154"/>
        <v>3.7417654808959089E-2</v>
      </c>
      <c r="AK50" s="22">
        <f t="shared" si="154"/>
        <v>4.5267489711934061E-2</v>
      </c>
      <c r="AL50" s="22">
        <f t="shared" si="154"/>
        <v>-4.1025641025641546E-3</v>
      </c>
      <c r="AM50" s="22">
        <f t="shared" si="154"/>
        <v>-4.3566362715298901E-2</v>
      </c>
      <c r="AN50" s="197">
        <f t="shared" si="154"/>
        <v>-9.9700897308074854E-4</v>
      </c>
      <c r="AO50" s="21">
        <f t="shared" si="154"/>
        <v>-1.0160020320040264E-3</v>
      </c>
      <c r="AP50" s="22">
        <f t="shared" si="154"/>
        <v>-2.3622047244094446E-2</v>
      </c>
      <c r="AQ50" s="22">
        <f t="shared" si="154"/>
        <v>-1.8537590113285263E-2</v>
      </c>
      <c r="AR50" s="22">
        <f t="shared" si="154"/>
        <v>-8.4745762711865291E-3</v>
      </c>
      <c r="AS50" s="197">
        <f t="shared" si="154"/>
        <v>2.7944111776447178E-2</v>
      </c>
      <c r="AT50" s="21">
        <f t="shared" si="154"/>
        <v>-5.5936943808797546E-3</v>
      </c>
      <c r="AU50" s="22">
        <f t="shared" si="154"/>
        <v>0.18447580645161277</v>
      </c>
      <c r="AV50" s="22">
        <f t="shared" si="154"/>
        <v>0.20986358866736632</v>
      </c>
      <c r="AW50" s="22">
        <f t="shared" si="154"/>
        <v>0.19444444444444442</v>
      </c>
      <c r="AX50" s="197">
        <f t="shared" si="154"/>
        <v>0.17184466019417477</v>
      </c>
      <c r="AY50" s="21">
        <f t="shared" si="154"/>
        <v>0.18972129890053702</v>
      </c>
      <c r="AZ50" s="22">
        <f t="shared" si="154"/>
        <v>-1.4468085106382977E-2</v>
      </c>
      <c r="BA50" s="22">
        <f t="shared" si="154"/>
        <v>7.8924544666088448E-2</v>
      </c>
      <c r="BB50" s="22">
        <f t="shared" si="154"/>
        <v>0.29785330948121636</v>
      </c>
      <c r="BC50" s="197">
        <f t="shared" si="154"/>
        <v>0.23529411764705865</v>
      </c>
      <c r="BD50" s="21">
        <f t="shared" si="154"/>
        <v>0.14850633999570162</v>
      </c>
      <c r="BE50" s="22">
        <f t="shared" si="154"/>
        <v>0.37305699481865284</v>
      </c>
      <c r="BF50" s="22">
        <f t="shared" si="154"/>
        <v>0.22186495176848875</v>
      </c>
      <c r="BG50" s="22">
        <f t="shared" si="154"/>
        <v>2.6878015161957203E-2</v>
      </c>
      <c r="BH50" s="197">
        <f t="shared" si="154"/>
        <v>-6.7069081153581234E-4</v>
      </c>
      <c r="BI50" s="21">
        <f t="shared" si="154"/>
        <v>0.1395958083832336</v>
      </c>
      <c r="BJ50" s="22">
        <f t="shared" si="154"/>
        <v>-5.6603773584905648E-2</v>
      </c>
      <c r="BK50" s="22">
        <f t="shared" si="154"/>
        <v>-2.6315789473684181E-2</v>
      </c>
      <c r="BL50" s="22">
        <f t="shared" si="154"/>
        <v>-1.3422818791946289E-2</v>
      </c>
      <c r="BM50" s="197">
        <f t="shared" si="154"/>
        <v>6.0402684563758413E-2</v>
      </c>
      <c r="BN50" s="21">
        <f t="shared" si="154"/>
        <v>-9.8522167487684609E-3</v>
      </c>
      <c r="BO50" s="22">
        <f t="shared" si="154"/>
        <v>2.6666666666666616E-2</v>
      </c>
      <c r="BP50" s="22">
        <f t="shared" si="154"/>
        <v>5.4054054054053946E-2</v>
      </c>
      <c r="BQ50" s="22">
        <f t="shared" si="154"/>
        <v>6.1224489795918435E-2</v>
      </c>
      <c r="BR50" s="197">
        <f t="shared" si="154"/>
        <v>6.3291139240506222E-2</v>
      </c>
      <c r="BS50" s="21">
        <f t="shared" si="154"/>
        <v>5.1409618573797777E-2</v>
      </c>
      <c r="BT50" s="22">
        <f t="shared" si="154"/>
        <v>9.0909090909090828E-2</v>
      </c>
      <c r="BU50" s="22">
        <f t="shared" si="154"/>
        <v>0.12179487179487181</v>
      </c>
      <c r="BV50" s="22">
        <f t="shared" si="154"/>
        <v>7.0512820512820484E-2</v>
      </c>
      <c r="BW50" s="197">
        <f t="shared" si="154"/>
        <v>5.9523809523809534E-2</v>
      </c>
      <c r="BX50" s="21">
        <f t="shared" ref="BX50:DY50" si="155">BX49/BS49-1</f>
        <v>8.5173501577286981E-2</v>
      </c>
      <c r="BY50" s="22">
        <f t="shared" si="155"/>
        <v>3.5714285714285809E-2</v>
      </c>
      <c r="BZ50" s="22">
        <f t="shared" si="155"/>
        <v>1.7142857142857126E-2</v>
      </c>
      <c r="CA50" s="22">
        <f t="shared" si="155"/>
        <v>5.9880239520958112E-2</v>
      </c>
      <c r="CB50" s="197">
        <f t="shared" si="155"/>
        <v>5.0561797752809001E-2</v>
      </c>
      <c r="CC50" s="21">
        <f t="shared" si="155"/>
        <v>4.0697674418604723E-2</v>
      </c>
      <c r="CD50" s="22">
        <f t="shared" si="155"/>
        <v>9.1954022988505857E-2</v>
      </c>
      <c r="CE50" s="22">
        <f t="shared" si="155"/>
        <v>0.10674157303370779</v>
      </c>
      <c r="CF50" s="22">
        <f t="shared" si="155"/>
        <v>0.11864406779661008</v>
      </c>
      <c r="CG50" s="197">
        <f t="shared" si="155"/>
        <v>0.32085561497326198</v>
      </c>
      <c r="CH50" s="21">
        <f t="shared" si="155"/>
        <v>0.16201117318435765</v>
      </c>
      <c r="CI50" s="22">
        <f t="shared" si="155"/>
        <v>0.38947368421052642</v>
      </c>
      <c r="CJ50" s="22">
        <f t="shared" si="155"/>
        <v>0.21319796954314718</v>
      </c>
      <c r="CK50" s="22">
        <f t="shared" si="155"/>
        <v>0.20707070707070696</v>
      </c>
      <c r="CL50" s="197">
        <f t="shared" si="155"/>
        <v>2.0242914979757165E-2</v>
      </c>
      <c r="CM50" s="21">
        <f t="shared" si="155"/>
        <v>0.19471153846153855</v>
      </c>
      <c r="CN50" s="22">
        <f t="shared" si="155"/>
        <v>-8.7121212121212155E-2</v>
      </c>
      <c r="CO50" s="22">
        <f t="shared" si="155"/>
        <v>6.2761506276150625E-2</v>
      </c>
      <c r="CP50" s="22">
        <f t="shared" si="155"/>
        <v>0.10460251046025104</v>
      </c>
      <c r="CQ50" s="197">
        <f t="shared" si="155"/>
        <v>0.14285714285714279</v>
      </c>
      <c r="CR50" s="21">
        <f t="shared" si="155"/>
        <v>5.3319919517102576E-2</v>
      </c>
      <c r="CS50" s="22">
        <f t="shared" si="155"/>
        <v>0.24066390041493779</v>
      </c>
      <c r="CT50" s="22">
        <f t="shared" si="155"/>
        <v>0.2834645669291338</v>
      </c>
      <c r="CU50" s="22">
        <f t="shared" si="155"/>
        <v>0.28030303030303028</v>
      </c>
      <c r="CV50" s="197">
        <f t="shared" si="155"/>
        <v>0.10763888888888884</v>
      </c>
      <c r="CW50" s="21">
        <f t="shared" si="155"/>
        <v>0.22445081184336191</v>
      </c>
      <c r="CX50" s="22">
        <f t="shared" si="155"/>
        <v>-7.0234113712374535E-2</v>
      </c>
      <c r="CY50" s="22">
        <f t="shared" si="155"/>
        <v>-0.11963190184049077</v>
      </c>
      <c r="CZ50" s="22">
        <f t="shared" si="155"/>
        <v>-0.12426035502958577</v>
      </c>
      <c r="DA50" s="22">
        <f>DA49/CV49-1</f>
        <v>3.1347962382444194E-3</v>
      </c>
      <c r="DB50" s="21">
        <f>DB49/CW49-1</f>
        <v>-7.8783151326053069E-2</v>
      </c>
      <c r="DC50" s="22">
        <f t="shared" si="155"/>
        <v>0.16906474820143891</v>
      </c>
      <c r="DD50" s="22">
        <f t="shared" si="155"/>
        <v>0.12195121951219523</v>
      </c>
      <c r="DE50" s="22">
        <f t="shared" si="155"/>
        <v>0.1182432432432432</v>
      </c>
      <c r="DF50" s="22">
        <f>DF49/DA49-1</f>
        <v>8.7103674540682352E-2</v>
      </c>
      <c r="DG50" s="21">
        <f t="shared" si="155"/>
        <v>0.12266992028198009</v>
      </c>
      <c r="DH50" s="22">
        <f>DH49/DC49-1</f>
        <v>8.0000000000000071E-2</v>
      </c>
      <c r="DI50" s="22">
        <f t="shared" si="155"/>
        <v>0.14596273291925477</v>
      </c>
      <c r="DJ50" s="22">
        <f t="shared" si="155"/>
        <v>7.8549848942598199E-2</v>
      </c>
      <c r="DK50" s="22">
        <f t="shared" si="155"/>
        <v>4.0609121736222775E-2</v>
      </c>
      <c r="DL50" s="21">
        <f t="shared" si="155"/>
        <v>8.5322507617819454E-2</v>
      </c>
      <c r="DM50" s="22">
        <f t="shared" si="155"/>
        <v>5.4131054131054235E-2</v>
      </c>
      <c r="DN50" s="22">
        <f t="shared" si="155"/>
        <v>2.7100271002709064E-3</v>
      </c>
      <c r="DO50" s="22">
        <f t="shared" si="155"/>
        <v>-3.6414565826330514E-2</v>
      </c>
      <c r="DP50" s="22">
        <f t="shared" si="155"/>
        <v>0</v>
      </c>
      <c r="DQ50" s="21">
        <f t="shared" si="155"/>
        <v>4.8644892286309194E-3</v>
      </c>
      <c r="DR50" s="22">
        <f t="shared" si="155"/>
        <v>-2.4324324324324298E-2</v>
      </c>
      <c r="DS50" s="22">
        <f t="shared" si="155"/>
        <v>-1.0810810810810811E-2</v>
      </c>
      <c r="DT50" s="22">
        <f t="shared" si="155"/>
        <v>5.8139534883721034E-3</v>
      </c>
      <c r="DU50" s="22">
        <f t="shared" si="155"/>
        <v>8.8397790055248615E-2</v>
      </c>
      <c r="DV50" s="21">
        <f t="shared" si="155"/>
        <v>1.4522821576763434E-2</v>
      </c>
      <c r="DW50" s="22">
        <f>DW49/DR49-1</f>
        <v>0</v>
      </c>
      <c r="DX50" s="22">
        <f t="shared" si="155"/>
        <v>5.464480874316946E-2</v>
      </c>
      <c r="DY50" s="22">
        <f t="shared" si="155"/>
        <v>5.2023121387283267E-2</v>
      </c>
      <c r="DZ50" s="22">
        <f t="shared" ref="DZ50:EI50" si="156">DZ49/DU49-1</f>
        <v>-1.7766497461928932E-2</v>
      </c>
      <c r="EA50" s="21">
        <f t="shared" si="156"/>
        <v>2.1131561008861599E-2</v>
      </c>
      <c r="EB50" s="22">
        <f t="shared" si="156"/>
        <v>3.6011080332410073E-2</v>
      </c>
      <c r="EC50" s="22">
        <f t="shared" si="156"/>
        <v>-1.8134715025906689E-2</v>
      </c>
      <c r="ED50" s="22">
        <f t="shared" si="156"/>
        <v>4.3956043956044022E-2</v>
      </c>
      <c r="EE50" s="22">
        <f t="shared" si="156"/>
        <v>-1.033591731266148E-2</v>
      </c>
      <c r="EF50" s="21">
        <f t="shared" si="156"/>
        <v>1.2016021361815676E-2</v>
      </c>
      <c r="EG50" s="22">
        <f t="shared" si="156"/>
        <v>3.2085561497326109E-2</v>
      </c>
      <c r="EH50" s="22">
        <f t="shared" si="156"/>
        <v>1.055408970976246E-2</v>
      </c>
      <c r="EI50" s="22">
        <f t="shared" si="156"/>
        <v>0</v>
      </c>
      <c r="EJ50" s="22">
        <f t="shared" ref="EJ50:EN50" si="157">EJ49/EE49-1</f>
        <v>4.1775456919060039E-2</v>
      </c>
      <c r="EK50" s="21">
        <f t="shared" si="157"/>
        <v>2.1108179419525142E-2</v>
      </c>
      <c r="EL50" s="22">
        <f t="shared" si="157"/>
        <v>-5.1813471502590858E-3</v>
      </c>
      <c r="EM50" s="22">
        <f t="shared" si="157"/>
        <v>2.6109660574411553E-3</v>
      </c>
      <c r="EN50" s="22">
        <f t="shared" si="157"/>
        <v>2.1052631578947434E-2</v>
      </c>
      <c r="EO50" s="22">
        <f t="shared" ref="EO50" si="158">EO49/EJ49-1</f>
        <v>-2.0050125313283207E-2</v>
      </c>
      <c r="EP50" s="21">
        <f t="shared" ref="EP50:EQ50" si="159">EP49/EK49-1</f>
        <v>-6.4599483204130781E-4</v>
      </c>
      <c r="EQ50" s="22">
        <f t="shared" si="159"/>
        <v>2.34375E-2</v>
      </c>
      <c r="ER50" s="22">
        <f t="shared" ref="ER50" si="160">ER49/EM49-1</f>
        <v>9.400000000000075E-3</v>
      </c>
      <c r="ES50" s="22">
        <f t="shared" ref="ES50:EU50" si="161">ES49/EN49-1</f>
        <v>1.9700000000000051E-2</v>
      </c>
      <c r="ET50" s="22">
        <f t="shared" si="161"/>
        <v>6.0900000000000176E-2</v>
      </c>
      <c r="EU50" s="270">
        <f t="shared" si="161"/>
        <v>2.8484227537168838E-2</v>
      </c>
      <c r="EZ50" s="844">
        <f>EZ49/EU49-1</f>
        <v>4.0374999999999606E-2</v>
      </c>
      <c r="FE50" s="844">
        <f>FE49/EZ49-1</f>
        <v>4.0374999999999606E-2</v>
      </c>
      <c r="FF50" s="1134"/>
      <c r="FG50" s="1135"/>
      <c r="FH50" s="1020"/>
      <c r="FI50" s="1020"/>
      <c r="FJ50" s="1020"/>
      <c r="FK50" s="1020"/>
      <c r="FL50" s="1798"/>
      <c r="FM50" s="22">
        <f t="shared" si="152"/>
        <v>2.34375E-2</v>
      </c>
      <c r="FN50" s="22">
        <f t="shared" si="153"/>
        <v>-5.1813471502590858E-3</v>
      </c>
      <c r="FO50" s="2041">
        <v>-3.2800000000000051E-2</v>
      </c>
      <c r="FP50" s="1892">
        <f>IFERROR(($FM50-FN50)*10000,"")</f>
        <v>286.18847150259086</v>
      </c>
      <c r="FQ50" s="1892">
        <f>IFERROR(($FM50-FO50)*10000,"")</f>
        <v>562.37500000000057</v>
      </c>
      <c r="FR50" s="120"/>
      <c r="FS50" s="120"/>
      <c r="FT50" s="120"/>
      <c r="FU50" s="120"/>
      <c r="FV50" s="120"/>
      <c r="FW50" s="120"/>
      <c r="FX50" s="120"/>
      <c r="FY50" s="120"/>
      <c r="FZ50" s="120"/>
      <c r="GA50" s="1135"/>
      <c r="GB50"/>
      <c r="GC50"/>
      <c r="GD50"/>
      <c r="GE50"/>
      <c r="GF50"/>
      <c r="GG50"/>
      <c r="GH50" s="1007"/>
      <c r="GI50" s="1007"/>
      <c r="GJ50" s="1007"/>
      <c r="GK50" s="1007"/>
      <c r="GL50" s="1007"/>
      <c r="GM50" s="1007"/>
      <c r="GN50" s="1007"/>
      <c r="GO50" s="1007"/>
      <c r="GP50" s="1007"/>
      <c r="GQ50" s="1007"/>
      <c r="GR50" s="1007"/>
      <c r="GS50" s="1007"/>
      <c r="GT50" s="1007"/>
      <c r="GU50" s="1007"/>
      <c r="GV50" s="1007"/>
      <c r="GW50" s="1007"/>
      <c r="GX50" s="1007"/>
      <c r="GY50" s="1007"/>
      <c r="GZ50" s="1007"/>
      <c r="HA50" s="1007"/>
      <c r="HB50" s="1007"/>
      <c r="HC50" s="1007"/>
      <c r="HD50" s="1007"/>
      <c r="HE50" s="1007"/>
      <c r="HF50" s="1007"/>
      <c r="HG50" s="1007"/>
      <c r="HH50" s="1007"/>
      <c r="HI50" s="1007"/>
      <c r="HJ50" s="1007"/>
      <c r="HK50" s="1007"/>
      <c r="HL50" s="1007"/>
      <c r="HM50" s="1007"/>
      <c r="HN50" s="1007"/>
      <c r="HO50" s="1007"/>
      <c r="HP50" s="1007"/>
      <c r="HQ50" s="1007"/>
      <c r="HR50" s="1007"/>
      <c r="HS50" s="1007"/>
      <c r="HT50" s="1007"/>
      <c r="HU50" s="1007"/>
      <c r="HV50" s="1007"/>
      <c r="HW50" s="1007"/>
      <c r="HX50" s="1007"/>
      <c r="HY50" s="1007"/>
      <c r="HZ50" s="1007"/>
      <c r="IA50" s="1007"/>
      <c r="IB50" s="1007"/>
      <c r="IC50" s="1007"/>
      <c r="ID50" s="1007"/>
      <c r="IE50" s="1007"/>
      <c r="IF50" s="1007"/>
      <c r="IG50" s="1007"/>
      <c r="IH50" s="1007"/>
      <c r="II50" s="1007"/>
      <c r="IJ50" s="1007"/>
      <c r="IK50" s="1007"/>
      <c r="IL50" s="1007"/>
      <c r="IM50" s="1007"/>
      <c r="IN50" s="1007"/>
      <c r="IO50" s="1007"/>
      <c r="IP50" s="1007"/>
      <c r="IQ50" s="1007"/>
      <c r="IR50" s="1007"/>
      <c r="IS50" s="1007"/>
      <c r="IT50" s="1007"/>
      <c r="IU50" s="1007"/>
      <c r="IV50" s="1007"/>
    </row>
    <row r="51" spans="1:256" s="34" customFormat="1" ht="12.75" x14ac:dyDescent="0.2">
      <c r="A51" s="13" t="s">
        <v>216</v>
      </c>
      <c r="B51" s="15"/>
      <c r="C51" s="15"/>
      <c r="D51" s="15"/>
      <c r="E51" s="195"/>
      <c r="F51" s="14"/>
      <c r="G51" s="15"/>
      <c r="H51" s="15"/>
      <c r="I51" s="15"/>
      <c r="J51" s="195"/>
      <c r="K51" s="14"/>
      <c r="L51" s="15">
        <f t="shared" ref="L51:AQ51" si="162">L49/L135</f>
        <v>8.0426247896803138E-2</v>
      </c>
      <c r="M51" s="15">
        <f t="shared" si="162"/>
        <v>7.6211453744493382E-2</v>
      </c>
      <c r="N51" s="15">
        <f t="shared" si="162"/>
        <v>8.3766854230810067E-2</v>
      </c>
      <c r="O51" s="195">
        <f t="shared" si="162"/>
        <v>8.0858989810452503E-2</v>
      </c>
      <c r="P51" s="14">
        <f t="shared" si="162"/>
        <v>8.0348102131851895E-2</v>
      </c>
      <c r="Q51" s="15">
        <f t="shared" si="162"/>
        <v>8.0330902362033302E-2</v>
      </c>
      <c r="R51" s="15">
        <f t="shared" si="162"/>
        <v>7.7700904736562007E-2</v>
      </c>
      <c r="S51" s="15">
        <f t="shared" si="162"/>
        <v>7.9204796465762062E-2</v>
      </c>
      <c r="T51" s="195">
        <f t="shared" si="162"/>
        <v>8.1913025513893192E-2</v>
      </c>
      <c r="U51" s="14">
        <f t="shared" si="162"/>
        <v>7.9798782102197527E-2</v>
      </c>
      <c r="V51" s="15">
        <f t="shared" si="162"/>
        <v>8.2023681377825605E-2</v>
      </c>
      <c r="W51" s="15">
        <f t="shared" si="162"/>
        <v>8.2537375415282388E-2</v>
      </c>
      <c r="X51" s="15">
        <f t="shared" si="162"/>
        <v>8.7279886251777322E-2</v>
      </c>
      <c r="Y51" s="195">
        <f t="shared" si="162"/>
        <v>8.9631679795614233E-2</v>
      </c>
      <c r="Z51" s="14">
        <f t="shared" si="162"/>
        <v>8.5346645665928089E-2</v>
      </c>
      <c r="AA51" s="15">
        <f t="shared" si="162"/>
        <v>9.9013053167780946E-2</v>
      </c>
      <c r="AB51" s="15">
        <f t="shared" si="162"/>
        <v>9.4608137903387457E-2</v>
      </c>
      <c r="AC51" s="15">
        <f t="shared" si="162"/>
        <v>9.397417503586801E-2</v>
      </c>
      <c r="AD51" s="195">
        <f t="shared" si="162"/>
        <v>9.9880263420474957E-2</v>
      </c>
      <c r="AE51" s="14">
        <f t="shared" si="162"/>
        <v>9.6858171052295744E-2</v>
      </c>
      <c r="AF51" s="15">
        <f t="shared" si="162"/>
        <v>9.7277822257806248E-2</v>
      </c>
      <c r="AG51" s="15">
        <f t="shared" si="162"/>
        <v>9.5926800472255006E-2</v>
      </c>
      <c r="AH51" s="15">
        <f t="shared" si="162"/>
        <v>9.909638554216868E-2</v>
      </c>
      <c r="AI51" s="195">
        <f t="shared" si="162"/>
        <v>0.10027994401119777</v>
      </c>
      <c r="AJ51" s="14">
        <f t="shared" si="162"/>
        <v>9.8135500274191129E-2</v>
      </c>
      <c r="AK51" s="15">
        <f t="shared" si="162"/>
        <v>9.9931149798367272E-2</v>
      </c>
      <c r="AL51" s="15">
        <f t="shared" si="162"/>
        <v>9.3545279383429672E-2</v>
      </c>
      <c r="AM51" s="15">
        <f t="shared" si="162"/>
        <v>9.2539947064013348E-2</v>
      </c>
      <c r="AN51" s="195">
        <f t="shared" si="162"/>
        <v>9.7508758271701065E-2</v>
      </c>
      <c r="AO51" s="14">
        <f t="shared" si="162"/>
        <v>9.5870709828393144E-2</v>
      </c>
      <c r="AP51" s="15">
        <f t="shared" si="162"/>
        <v>9.4837476099426388E-2</v>
      </c>
      <c r="AQ51" s="15">
        <f t="shared" si="162"/>
        <v>8.9332583427071621E-2</v>
      </c>
      <c r="AR51" s="15">
        <f t="shared" ref="AR51:BW51" si="163">AR49/AR135</f>
        <v>8.9304455681709763E-2</v>
      </c>
      <c r="AS51" s="195">
        <f t="shared" si="163"/>
        <v>9.6986817325800376E-2</v>
      </c>
      <c r="AT51" s="14">
        <f t="shared" si="163"/>
        <v>9.2614080371308805E-2</v>
      </c>
      <c r="AU51" s="15">
        <f t="shared" si="163"/>
        <v>0.11019412923192348</v>
      </c>
      <c r="AV51" s="15">
        <f t="shared" si="163"/>
        <v>0.1067296121447746</v>
      </c>
      <c r="AW51" s="15">
        <f t="shared" si="163"/>
        <v>0.10667429989027241</v>
      </c>
      <c r="AX51" s="195">
        <f t="shared" si="163"/>
        <v>0.11738504629269432</v>
      </c>
      <c r="AY51" s="14">
        <f t="shared" si="163"/>
        <v>0.11018520491890624</v>
      </c>
      <c r="AZ51" s="15">
        <f t="shared" si="163"/>
        <v>0.1124053581828771</v>
      </c>
      <c r="BA51" s="15">
        <f t="shared" si="163"/>
        <v>0.10421378905922761</v>
      </c>
      <c r="BB51" s="15">
        <f t="shared" si="163"/>
        <v>9.6727529681552446E-2</v>
      </c>
      <c r="BC51" s="195">
        <f t="shared" si="163"/>
        <v>0.1013458401305057</v>
      </c>
      <c r="BD51" s="14">
        <f t="shared" si="163"/>
        <v>0.10286438032102772</v>
      </c>
      <c r="BE51" s="15">
        <f t="shared" si="163"/>
        <v>0.10543766578249338</v>
      </c>
      <c r="BF51" s="15">
        <f t="shared" si="163"/>
        <v>9.5477386934673364E-2</v>
      </c>
      <c r="BG51" s="15">
        <f t="shared" si="163"/>
        <v>9.7068403908794787E-2</v>
      </c>
      <c r="BH51" s="195">
        <f t="shared" si="163"/>
        <v>9.7769028871391078E-2</v>
      </c>
      <c r="BI51" s="14">
        <f t="shared" si="163"/>
        <v>9.8879688261081344E-2</v>
      </c>
      <c r="BJ51" s="15">
        <f t="shared" si="163"/>
        <v>9.7402597402597407E-2</v>
      </c>
      <c r="BK51" s="15">
        <f t="shared" si="163"/>
        <v>9.2964824120603015E-2</v>
      </c>
      <c r="BL51" s="15">
        <f t="shared" si="163"/>
        <v>9.7480106100795758E-2</v>
      </c>
      <c r="BM51" s="195">
        <f t="shared" si="163"/>
        <v>0.10326797385620914</v>
      </c>
      <c r="BN51" s="14">
        <f t="shared" si="163"/>
        <v>9.773095623987034E-2</v>
      </c>
      <c r="BO51" s="15">
        <f t="shared" si="163"/>
        <v>0.10280373831775701</v>
      </c>
      <c r="BP51" s="15">
        <f t="shared" si="163"/>
        <v>9.7928436911487754E-2</v>
      </c>
      <c r="BQ51" s="15">
        <f t="shared" si="163"/>
        <v>9.7622027534418024E-2</v>
      </c>
      <c r="BR51" s="195">
        <f t="shared" si="163"/>
        <v>0.10626185958254269</v>
      </c>
      <c r="BS51" s="14">
        <f t="shared" si="163"/>
        <v>0.10111642743221691</v>
      </c>
      <c r="BT51" s="15">
        <f t="shared" si="163"/>
        <v>0.10762331838565023</v>
      </c>
      <c r="BU51" s="15">
        <f t="shared" si="163"/>
        <v>0.10716472749540723</v>
      </c>
      <c r="BV51" s="15">
        <f t="shared" si="163"/>
        <v>0.10450563204005006</v>
      </c>
      <c r="BW51" s="195">
        <f t="shared" si="163"/>
        <v>0.10620525059665871</v>
      </c>
      <c r="BX51" s="14">
        <f t="shared" ref="BX51:DC51" si="164">BX49/BX135</f>
        <v>0.10636982065553494</v>
      </c>
      <c r="BY51" s="15">
        <f t="shared" si="164"/>
        <v>0.10277613703484938</v>
      </c>
      <c r="BZ51" s="15">
        <f t="shared" si="164"/>
        <v>9.8179812465526747E-2</v>
      </c>
      <c r="CA51" s="15">
        <f t="shared" si="164"/>
        <v>9.5315024232633286E-2</v>
      </c>
      <c r="CB51" s="195">
        <f t="shared" si="164"/>
        <v>9.594663930220626E-2</v>
      </c>
      <c r="CC51" s="14">
        <f t="shared" si="164"/>
        <v>9.7921225382932173E-2</v>
      </c>
      <c r="CD51" s="15">
        <f t="shared" si="164"/>
        <v>9.6889342172361045E-2</v>
      </c>
      <c r="CE51" s="15">
        <f t="shared" si="164"/>
        <v>9.3854216293473083E-2</v>
      </c>
      <c r="CF51" s="15">
        <f t="shared" si="164"/>
        <v>9.1879350348027841E-2</v>
      </c>
      <c r="CG51" s="195">
        <f t="shared" si="164"/>
        <v>0.10943730615861763</v>
      </c>
      <c r="CH51" s="14">
        <f t="shared" si="164"/>
        <v>9.8205854579792251E-2</v>
      </c>
      <c r="CI51" s="15">
        <f t="shared" si="164"/>
        <v>0.11463308727746417</v>
      </c>
      <c r="CJ51" s="15">
        <f t="shared" si="164"/>
        <v>9.9916387959866224E-2</v>
      </c>
      <c r="CK51" s="15">
        <f t="shared" si="164"/>
        <v>9.9874634350188049E-2</v>
      </c>
      <c r="CL51" s="195">
        <f t="shared" si="164"/>
        <v>0.10866752910737387</v>
      </c>
      <c r="CM51" s="14">
        <f t="shared" si="164"/>
        <v>0.10566599340916338</v>
      </c>
      <c r="CN51" s="15">
        <f t="shared" si="164"/>
        <v>0.10725411659991099</v>
      </c>
      <c r="CO51" s="15">
        <f t="shared" si="164"/>
        <v>0.10681244743481917</v>
      </c>
      <c r="CP51" s="15">
        <f t="shared" si="164"/>
        <v>0.11219719507012324</v>
      </c>
      <c r="CQ51" s="195">
        <f t="shared" si="164"/>
        <v>0.11735941320293398</v>
      </c>
      <c r="CR51" s="14">
        <f t="shared" si="164"/>
        <v>0.11100508905852417</v>
      </c>
      <c r="CS51" s="15">
        <f t="shared" si="164"/>
        <v>0.1196</v>
      </c>
      <c r="CT51" s="15">
        <f t="shared" si="164"/>
        <v>0.11790235081374321</v>
      </c>
      <c r="CU51" s="15">
        <f t="shared" si="164"/>
        <v>0.11679336558396683</v>
      </c>
      <c r="CV51" s="195">
        <f t="shared" si="164"/>
        <v>0.12749800159872102</v>
      </c>
      <c r="CW51" s="14">
        <f t="shared" si="164"/>
        <v>0.12025138354750961</v>
      </c>
      <c r="CX51" s="15">
        <f t="shared" si="164"/>
        <v>0.14307771487390633</v>
      </c>
      <c r="CY51" s="15">
        <f t="shared" si="164"/>
        <v>0.15455035002692516</v>
      </c>
      <c r="CZ51" s="15">
        <f t="shared" si="164"/>
        <v>0.14348036839554049</v>
      </c>
      <c r="DA51" s="15">
        <f t="shared" si="164"/>
        <v>0.15194681861348527</v>
      </c>
      <c r="DB51" s="14">
        <f t="shared" si="164"/>
        <v>0.14819927217969633</v>
      </c>
      <c r="DC51" s="15">
        <f t="shared" si="164"/>
        <v>0.14521894548704201</v>
      </c>
      <c r="DD51" s="15">
        <f t="shared" ref="DD51:EI51" si="165">DD49/DD135</f>
        <v>0.13251028806584361</v>
      </c>
      <c r="DE51" s="15">
        <f t="shared" si="165"/>
        <v>0.13477198697068404</v>
      </c>
      <c r="DF51" s="15">
        <f t="shared" si="165"/>
        <v>0.14543964093286663</v>
      </c>
      <c r="DG51" s="14">
        <f t="shared" si="165"/>
        <v>0.13933279178388849</v>
      </c>
      <c r="DH51" s="15">
        <f t="shared" si="165"/>
        <v>0.13396946564885495</v>
      </c>
      <c r="DI51" s="15">
        <f t="shared" si="165"/>
        <v>0.12875087229588275</v>
      </c>
      <c r="DJ51" s="15">
        <f t="shared" si="165"/>
        <v>0.12357217030114226</v>
      </c>
      <c r="DK51" s="15">
        <f t="shared" si="165"/>
        <v>0.12942438326778691</v>
      </c>
      <c r="DL51" s="14">
        <f t="shared" si="165"/>
        <v>0.12880415324024347</v>
      </c>
      <c r="DM51" s="15">
        <f t="shared" si="165"/>
        <v>0.13266403728935103</v>
      </c>
      <c r="DN51" s="15">
        <f t="shared" si="165"/>
        <v>0.12874043145441894</v>
      </c>
      <c r="DO51" s="15">
        <f t="shared" si="165"/>
        <v>0.12773858150761233</v>
      </c>
      <c r="DP51" s="15">
        <f t="shared" si="165"/>
        <v>0.13487332339791355</v>
      </c>
      <c r="DQ51" s="14">
        <f t="shared" si="165"/>
        <v>0.13097826086956521</v>
      </c>
      <c r="DR51" s="15">
        <f t="shared" si="165"/>
        <v>0.13184806428049672</v>
      </c>
      <c r="DS51" s="15">
        <f t="shared" si="165"/>
        <v>0.13062098501070663</v>
      </c>
      <c r="DT51" s="15">
        <f t="shared" si="165"/>
        <v>0.12252124645892351</v>
      </c>
      <c r="DU51" s="15">
        <f t="shared" si="165"/>
        <v>0.13675807011454355</v>
      </c>
      <c r="DV51" s="14">
        <f t="shared" si="165"/>
        <v>0.13045798132503336</v>
      </c>
      <c r="DW51" s="15">
        <f t="shared" si="165"/>
        <v>0.13425065079955373</v>
      </c>
      <c r="DX51" s="15">
        <f t="shared" si="165"/>
        <v>0.12689020381328073</v>
      </c>
      <c r="DY51" s="15">
        <f t="shared" si="165"/>
        <v>0.12041018855441614</v>
      </c>
      <c r="DZ51" s="15">
        <f t="shared" si="165"/>
        <v>0.13484320557491289</v>
      </c>
      <c r="EA51" s="14">
        <f t="shared" si="165"/>
        <v>0.12887130075705436</v>
      </c>
      <c r="EB51" s="15">
        <f t="shared" si="165"/>
        <v>0.14569536423841059</v>
      </c>
      <c r="EC51" s="15">
        <f t="shared" si="165"/>
        <v>0.13969775156653153</v>
      </c>
      <c r="ED51" s="15">
        <f t="shared" si="165"/>
        <v>0.14006634721710284</v>
      </c>
      <c r="EE51" s="15">
        <f t="shared" si="165"/>
        <v>0.15210484511517078</v>
      </c>
      <c r="EF51" s="14">
        <f t="shared" si="165"/>
        <v>0.1442298544382076</v>
      </c>
      <c r="EG51" s="15">
        <f t="shared" si="165"/>
        <v>0.15950413223140497</v>
      </c>
      <c r="EH51" s="15">
        <f t="shared" si="165"/>
        <v>0.15607171964140179</v>
      </c>
      <c r="EI51" s="15">
        <f t="shared" si="165"/>
        <v>0.15055467511885895</v>
      </c>
      <c r="EJ51" s="15">
        <f t="shared" ref="EJ51:EU51" si="166">EJ49/EJ135</f>
        <v>0.16024096385542169</v>
      </c>
      <c r="EK51" s="14">
        <f t="shared" si="166"/>
        <v>0.15655339805825244</v>
      </c>
      <c r="EL51" s="15">
        <f t="shared" si="166"/>
        <v>0.14912621359223302</v>
      </c>
      <c r="EM51" s="15">
        <f t="shared" si="166"/>
        <v>0.14562002275312855</v>
      </c>
      <c r="EN51" s="15">
        <f t="shared" si="166"/>
        <v>0.1453183520599251</v>
      </c>
      <c r="EO51" s="15">
        <f t="shared" ref="EO51:EQ51" si="167">EO49/EO135</f>
        <v>0.1464968152866242</v>
      </c>
      <c r="EP51" s="14">
        <f t="shared" si="167"/>
        <v>0.14662117334849778</v>
      </c>
      <c r="EQ51" s="15">
        <f t="shared" si="167"/>
        <v>0.14464482885535518</v>
      </c>
      <c r="ER51" s="15">
        <f t="shared" si="166"/>
        <v>0.13721640397332238</v>
      </c>
      <c r="ES51" s="15">
        <f t="shared" si="166"/>
        <v>0.13867575507633395</v>
      </c>
      <c r="ET51" s="15">
        <f t="shared" si="166"/>
        <v>0.14803369203669975</v>
      </c>
      <c r="EU51" s="1943">
        <f t="shared" si="166"/>
        <v>0.14209792333057189</v>
      </c>
      <c r="EZ51" s="837">
        <f>EZ49/EZ135</f>
        <v>0.14259484936649389</v>
      </c>
      <c r="FE51" s="837">
        <f>FE49/FE135</f>
        <v>0.14294223476245557</v>
      </c>
      <c r="FF51" s="753"/>
      <c r="FG51" s="627"/>
      <c r="FH51" s="1024"/>
      <c r="FI51" s="1024"/>
      <c r="FJ51" s="1024"/>
      <c r="FK51" s="1024"/>
      <c r="FL51" s="1796"/>
      <c r="FM51" s="15">
        <f t="shared" si="152"/>
        <v>0.14464482885535518</v>
      </c>
      <c r="FN51" s="15">
        <f t="shared" si="153"/>
        <v>0.14912621359223302</v>
      </c>
      <c r="FO51" s="2042">
        <v>0.13906073889746148</v>
      </c>
      <c r="FP51" s="1892">
        <f>IFERROR(($FM51-FN51)*10000,"")</f>
        <v>-44.813847368778411</v>
      </c>
      <c r="FQ51" s="1892">
        <f>IFERROR(($FM51-FO51)*10000,"")</f>
        <v>55.840899578936956</v>
      </c>
      <c r="FR51" s="571"/>
      <c r="FS51" s="571"/>
      <c r="FT51" s="571"/>
      <c r="FU51" s="571"/>
      <c r="FV51" s="571"/>
      <c r="FW51" s="571"/>
      <c r="FX51" s="571"/>
      <c r="FY51" s="571"/>
      <c r="FZ51" s="571"/>
      <c r="GA51" s="627"/>
      <c r="GB51"/>
      <c r="GC51"/>
      <c r="GD51"/>
      <c r="GE51"/>
      <c r="GF51"/>
      <c r="GG51"/>
      <c r="GH51" s="954"/>
      <c r="GI51" s="954"/>
      <c r="GJ51" s="954"/>
      <c r="GK51" s="954"/>
      <c r="GL51" s="954"/>
      <c r="GM51" s="954"/>
      <c r="GN51" s="954"/>
      <c r="GO51" s="954"/>
      <c r="GP51" s="954"/>
      <c r="GQ51" s="954"/>
      <c r="GR51" s="954"/>
      <c r="GS51" s="954"/>
      <c r="GT51" s="954"/>
      <c r="GU51" s="954"/>
      <c r="GV51" s="954"/>
      <c r="GW51" s="954"/>
      <c r="GX51" s="954"/>
      <c r="GY51" s="954"/>
      <c r="GZ51" s="954"/>
      <c r="HA51" s="954"/>
      <c r="HB51" s="954"/>
      <c r="HC51" s="954"/>
      <c r="HD51" s="954"/>
      <c r="HE51" s="954"/>
      <c r="HF51" s="954"/>
      <c r="HG51" s="954"/>
      <c r="HH51" s="954"/>
      <c r="HI51" s="954"/>
      <c r="HJ51" s="954"/>
      <c r="HK51" s="954"/>
      <c r="HL51" s="954"/>
      <c r="HM51" s="954"/>
      <c r="HN51" s="954"/>
      <c r="HO51" s="954"/>
      <c r="HP51" s="954"/>
      <c r="HQ51" s="954"/>
      <c r="HR51" s="954"/>
      <c r="HS51" s="954"/>
      <c r="HT51" s="954"/>
      <c r="HU51" s="954"/>
      <c r="HV51" s="954"/>
      <c r="HW51" s="954"/>
      <c r="HX51" s="954"/>
      <c r="HY51" s="954"/>
      <c r="HZ51" s="954"/>
      <c r="IA51" s="954"/>
      <c r="IB51" s="954"/>
      <c r="IC51" s="954"/>
      <c r="ID51" s="954"/>
      <c r="IE51" s="954"/>
      <c r="IF51" s="954"/>
      <c r="IG51" s="954"/>
      <c r="IH51" s="954"/>
      <c r="II51" s="954"/>
      <c r="IJ51" s="954"/>
      <c r="IK51" s="954"/>
      <c r="IL51" s="954"/>
      <c r="IM51" s="954"/>
      <c r="IN51" s="954"/>
      <c r="IO51" s="954"/>
      <c r="IP51" s="954"/>
      <c r="IQ51" s="954"/>
      <c r="IR51" s="954"/>
      <c r="IS51" s="954"/>
      <c r="IT51" s="954"/>
      <c r="IU51" s="954"/>
      <c r="IV51" s="954"/>
    </row>
    <row r="52" spans="1:256" s="38" customFormat="1" ht="12.75" customHeight="1" x14ac:dyDescent="0.2">
      <c r="A52" s="35" t="s">
        <v>72</v>
      </c>
      <c r="B52" s="36"/>
      <c r="C52" s="36"/>
      <c r="D52" s="36"/>
      <c r="E52" s="200"/>
      <c r="F52" s="37"/>
      <c r="G52" s="36"/>
      <c r="H52" s="36"/>
      <c r="I52" s="36"/>
      <c r="J52" s="200"/>
      <c r="K52" s="37"/>
      <c r="L52" s="36">
        <f t="shared" ref="L52:AQ52" si="168">L8</f>
        <v>83.8</v>
      </c>
      <c r="M52" s="36">
        <f t="shared" si="168"/>
        <v>82.4</v>
      </c>
      <c r="N52" s="36">
        <f t="shared" si="168"/>
        <v>88.1</v>
      </c>
      <c r="O52" s="200">
        <f t="shared" si="168"/>
        <v>81.2</v>
      </c>
      <c r="P52" s="37">
        <f t="shared" si="168"/>
        <v>335.5</v>
      </c>
      <c r="Q52" s="36">
        <f t="shared" si="168"/>
        <v>81.099999999999994</v>
      </c>
      <c r="R52" s="36">
        <f t="shared" si="168"/>
        <v>78</v>
      </c>
      <c r="S52" s="36">
        <f t="shared" si="168"/>
        <v>83.2</v>
      </c>
      <c r="T52" s="200">
        <f t="shared" si="168"/>
        <v>90.7</v>
      </c>
      <c r="U52" s="37">
        <f t="shared" si="168"/>
        <v>333</v>
      </c>
      <c r="V52" s="36">
        <f t="shared" si="168"/>
        <v>85</v>
      </c>
      <c r="W52" s="36">
        <f t="shared" si="168"/>
        <v>85.9</v>
      </c>
      <c r="X52" s="36">
        <f t="shared" si="168"/>
        <v>82.8</v>
      </c>
      <c r="Y52" s="200">
        <f t="shared" si="168"/>
        <v>92.6</v>
      </c>
      <c r="Z52" s="37">
        <f t="shared" si="168"/>
        <v>346.29999999999995</v>
      </c>
      <c r="AA52" s="36">
        <f t="shared" si="168"/>
        <v>91.5</v>
      </c>
      <c r="AB52" s="36">
        <f t="shared" si="168"/>
        <v>94.2</v>
      </c>
      <c r="AC52" s="36">
        <f t="shared" si="168"/>
        <v>92</v>
      </c>
      <c r="AD52" s="200">
        <f t="shared" si="168"/>
        <v>104.8</v>
      </c>
      <c r="AE52" s="37">
        <f t="shared" si="168"/>
        <v>382.5</v>
      </c>
      <c r="AF52" s="36">
        <f t="shared" si="168"/>
        <v>98.5</v>
      </c>
      <c r="AG52" s="36">
        <f t="shared" si="168"/>
        <v>96.6</v>
      </c>
      <c r="AH52" s="36">
        <f t="shared" si="168"/>
        <v>96.9</v>
      </c>
      <c r="AI52" s="200">
        <f t="shared" si="168"/>
        <v>99.1</v>
      </c>
      <c r="AJ52" s="37">
        <f t="shared" si="168"/>
        <v>391.1</v>
      </c>
      <c r="AK52" s="36">
        <f t="shared" si="168"/>
        <v>93.1</v>
      </c>
      <c r="AL52" s="36">
        <f t="shared" si="168"/>
        <v>90.8</v>
      </c>
      <c r="AM52" s="36">
        <f t="shared" si="168"/>
        <v>91.6</v>
      </c>
      <c r="AN52" s="200">
        <f t="shared" si="168"/>
        <v>100.8</v>
      </c>
      <c r="AO52" s="37">
        <f t="shared" si="168"/>
        <v>376.3</v>
      </c>
      <c r="AP52" s="36">
        <f t="shared" si="168"/>
        <v>91</v>
      </c>
      <c r="AQ52" s="36">
        <f t="shared" si="168"/>
        <v>89.4</v>
      </c>
      <c r="AR52" s="36">
        <f t="shared" ref="AR52:BW52" si="169">AR8</f>
        <v>86.9</v>
      </c>
      <c r="AS52" s="200">
        <f t="shared" si="169"/>
        <v>99</v>
      </c>
      <c r="AT52" s="37">
        <f t="shared" si="169"/>
        <v>366.3</v>
      </c>
      <c r="AU52" s="36">
        <f t="shared" si="169"/>
        <v>113.2</v>
      </c>
      <c r="AV52" s="36">
        <f t="shared" si="169"/>
        <v>107.6</v>
      </c>
      <c r="AW52" s="36">
        <f t="shared" si="169"/>
        <v>105.8</v>
      </c>
      <c r="AX52" s="200">
        <f t="shared" si="169"/>
        <v>114</v>
      </c>
      <c r="AY52" s="37">
        <f t="shared" si="169"/>
        <v>440.6</v>
      </c>
      <c r="AZ52" s="36">
        <f t="shared" si="169"/>
        <v>105.5</v>
      </c>
      <c r="BA52" s="36">
        <f t="shared" si="169"/>
        <v>117.2</v>
      </c>
      <c r="BB52" s="36">
        <f t="shared" si="169"/>
        <v>131.5</v>
      </c>
      <c r="BC52" s="200">
        <f t="shared" si="169"/>
        <v>134.6</v>
      </c>
      <c r="BD52" s="37">
        <f t="shared" si="169"/>
        <v>488.79999999999995</v>
      </c>
      <c r="BE52" s="36">
        <f t="shared" si="169"/>
        <v>134.1</v>
      </c>
      <c r="BF52" s="36">
        <f t="shared" si="169"/>
        <v>128.5</v>
      </c>
      <c r="BG52" s="36">
        <f t="shared" si="169"/>
        <v>129.19999999999999</v>
      </c>
      <c r="BH52" s="200">
        <f t="shared" si="169"/>
        <v>133.5</v>
      </c>
      <c r="BI52" s="37">
        <f t="shared" si="169"/>
        <v>525.29999999999995</v>
      </c>
      <c r="BJ52" s="36">
        <f t="shared" si="169"/>
        <v>130.30000000000001</v>
      </c>
      <c r="BK52" s="36">
        <f t="shared" si="169"/>
        <v>125.8</v>
      </c>
      <c r="BL52" s="36">
        <f t="shared" si="169"/>
        <v>120.4</v>
      </c>
      <c r="BM52" s="200">
        <f t="shared" si="169"/>
        <v>132.69999999999999</v>
      </c>
      <c r="BN52" s="37">
        <f t="shared" si="169"/>
        <v>509.2</v>
      </c>
      <c r="BO52" s="36">
        <f t="shared" si="169"/>
        <v>125.3</v>
      </c>
      <c r="BP52" s="36">
        <f t="shared" si="169"/>
        <v>127.2</v>
      </c>
      <c r="BQ52" s="36">
        <f t="shared" si="169"/>
        <v>127.6</v>
      </c>
      <c r="BR52" s="200">
        <f t="shared" si="169"/>
        <v>135.1</v>
      </c>
      <c r="BS52" s="37">
        <f t="shared" si="169"/>
        <v>515.20000000000005</v>
      </c>
      <c r="BT52" s="36">
        <f t="shared" si="169"/>
        <v>134.6</v>
      </c>
      <c r="BU52" s="36">
        <f t="shared" si="169"/>
        <v>136.9</v>
      </c>
      <c r="BV52" s="36">
        <f t="shared" si="169"/>
        <v>137.69999999999999</v>
      </c>
      <c r="BW52" s="200">
        <f t="shared" si="169"/>
        <v>146.6</v>
      </c>
      <c r="BX52" s="37">
        <f t="shared" ref="BX52:DC52" si="170">BX8</f>
        <v>555.79999999999995</v>
      </c>
      <c r="BY52" s="36">
        <f t="shared" si="170"/>
        <v>138.80000000000001</v>
      </c>
      <c r="BZ52" s="36">
        <f t="shared" si="170"/>
        <v>137.69999999999999</v>
      </c>
      <c r="CA52" s="36">
        <f t="shared" si="170"/>
        <v>139.69999999999999</v>
      </c>
      <c r="CB52" s="200">
        <f t="shared" si="170"/>
        <v>143.6</v>
      </c>
      <c r="CC52" s="37">
        <f t="shared" si="170"/>
        <v>559.79999999999995</v>
      </c>
      <c r="CD52" s="36">
        <f t="shared" si="170"/>
        <v>143.6</v>
      </c>
      <c r="CE52" s="36">
        <f t="shared" si="170"/>
        <v>144.30000000000001</v>
      </c>
      <c r="CF52" s="36">
        <f t="shared" si="170"/>
        <v>138.30000000000001</v>
      </c>
      <c r="CG52" s="200">
        <f t="shared" si="170"/>
        <v>145.6</v>
      </c>
      <c r="CH52" s="37">
        <f t="shared" si="170"/>
        <v>571.79999999999995</v>
      </c>
      <c r="CI52" s="36">
        <f t="shared" si="170"/>
        <v>149.9</v>
      </c>
      <c r="CJ52" s="36">
        <f t="shared" si="170"/>
        <v>146.1</v>
      </c>
      <c r="CK52" s="36">
        <f t="shared" si="170"/>
        <v>147.9</v>
      </c>
      <c r="CL52" s="200">
        <f t="shared" si="170"/>
        <v>150.19999999999999</v>
      </c>
      <c r="CM52" s="37">
        <f t="shared" si="170"/>
        <v>594.09999999999991</v>
      </c>
      <c r="CN52" s="36">
        <f t="shared" si="170"/>
        <v>146.69999999999999</v>
      </c>
      <c r="CO52" s="36">
        <f t="shared" si="170"/>
        <v>148.9</v>
      </c>
      <c r="CP52" s="36">
        <f t="shared" si="170"/>
        <v>151.4</v>
      </c>
      <c r="CQ52" s="200">
        <f t="shared" si="170"/>
        <v>154.5</v>
      </c>
      <c r="CR52" s="37">
        <f t="shared" si="170"/>
        <v>601.5</v>
      </c>
      <c r="CS52" s="36">
        <f t="shared" si="170"/>
        <v>152.1</v>
      </c>
      <c r="CT52" s="36">
        <f t="shared" si="170"/>
        <v>156.6</v>
      </c>
      <c r="CU52" s="36">
        <f t="shared" si="170"/>
        <v>158.6</v>
      </c>
      <c r="CV52" s="200">
        <f t="shared" si="170"/>
        <v>145.1</v>
      </c>
      <c r="CW52" s="37">
        <f t="shared" si="170"/>
        <v>612.4</v>
      </c>
      <c r="CX52" s="36">
        <f t="shared" si="170"/>
        <v>130.4</v>
      </c>
      <c r="CY52" s="36">
        <f t="shared" si="170"/>
        <v>135</v>
      </c>
      <c r="CZ52" s="36">
        <f t="shared" si="170"/>
        <v>141.6</v>
      </c>
      <c r="DA52" s="36">
        <f t="shared" si="170"/>
        <v>156.30000000000001</v>
      </c>
      <c r="DB52" s="37">
        <f t="shared" si="170"/>
        <v>563.29999999999995</v>
      </c>
      <c r="DC52" s="36">
        <f t="shared" si="170"/>
        <v>158.30000000000001</v>
      </c>
      <c r="DD52" s="36">
        <f t="shared" ref="DD52:EI52" si="171">DD8</f>
        <v>152.9</v>
      </c>
      <c r="DE52" s="36">
        <f t="shared" si="171"/>
        <v>154.5</v>
      </c>
      <c r="DF52" s="36">
        <f t="shared" si="171"/>
        <v>162</v>
      </c>
      <c r="DG52" s="37">
        <f t="shared" si="171"/>
        <v>627.70000000000005</v>
      </c>
      <c r="DH52" s="36">
        <f t="shared" si="171"/>
        <v>155.6</v>
      </c>
      <c r="DI52" s="36">
        <f t="shared" si="171"/>
        <v>150.1</v>
      </c>
      <c r="DJ52" s="36">
        <f t="shared" si="171"/>
        <v>143.19999999999999</v>
      </c>
      <c r="DK52" s="36">
        <f t="shared" si="171"/>
        <v>150.5</v>
      </c>
      <c r="DL52" s="37">
        <f t="shared" si="171"/>
        <v>599.4</v>
      </c>
      <c r="DM52" s="36">
        <f t="shared" si="171"/>
        <v>152.30000000000001</v>
      </c>
      <c r="DN52" s="36">
        <f t="shared" si="171"/>
        <v>150.1</v>
      </c>
      <c r="DO52" s="36">
        <f t="shared" si="171"/>
        <v>142.6</v>
      </c>
      <c r="DP52" s="36">
        <f t="shared" si="171"/>
        <v>150.9</v>
      </c>
      <c r="DQ52" s="37">
        <f t="shared" si="171"/>
        <v>595.9</v>
      </c>
      <c r="DR52" s="36">
        <f t="shared" si="171"/>
        <v>147.9</v>
      </c>
      <c r="DS52" s="36">
        <f t="shared" si="171"/>
        <v>147.9</v>
      </c>
      <c r="DT52" s="36">
        <f t="shared" si="171"/>
        <v>138</v>
      </c>
      <c r="DU52" s="36">
        <f t="shared" si="171"/>
        <v>160.5</v>
      </c>
      <c r="DV52" s="37">
        <f t="shared" si="171"/>
        <v>594.29999999999995</v>
      </c>
      <c r="DW52" s="36">
        <f t="shared" si="171"/>
        <v>147.1</v>
      </c>
      <c r="DX52" s="36">
        <f t="shared" si="171"/>
        <v>155.6</v>
      </c>
      <c r="DY52" s="36">
        <f t="shared" si="171"/>
        <v>146.1</v>
      </c>
      <c r="DZ52" s="36">
        <f t="shared" si="171"/>
        <v>155</v>
      </c>
      <c r="EA52" s="37">
        <f t="shared" si="171"/>
        <v>603.79999999999995</v>
      </c>
      <c r="EB52" s="36">
        <f t="shared" si="171"/>
        <v>150</v>
      </c>
      <c r="EC52" s="36">
        <f t="shared" si="171"/>
        <v>153.69999999999999</v>
      </c>
      <c r="ED52" s="36">
        <f t="shared" si="171"/>
        <v>152.9</v>
      </c>
      <c r="EE52" s="36">
        <f t="shared" si="171"/>
        <v>152.4</v>
      </c>
      <c r="EF52" s="37">
        <f t="shared" si="171"/>
        <v>609</v>
      </c>
      <c r="EG52" s="36">
        <f t="shared" si="171"/>
        <v>151.4</v>
      </c>
      <c r="EH52" s="36">
        <f t="shared" si="171"/>
        <v>148</v>
      </c>
      <c r="EI52" s="36">
        <f t="shared" si="171"/>
        <v>147.6</v>
      </c>
      <c r="EJ52" s="36">
        <f t="shared" ref="EJ52:ER52" si="172">EJ8</f>
        <v>154.19999999999999</v>
      </c>
      <c r="EK52" s="37">
        <f t="shared" si="172"/>
        <v>601.20000000000005</v>
      </c>
      <c r="EL52" s="36">
        <f t="shared" si="172"/>
        <v>149.5</v>
      </c>
      <c r="EM52" s="36">
        <f t="shared" si="172"/>
        <v>145.69999999999999</v>
      </c>
      <c r="EN52" s="36">
        <f t="shared" si="172"/>
        <v>147.80000000000001</v>
      </c>
      <c r="EO52" s="36">
        <f t="shared" ref="EO52:EQ52" si="173">EO8</f>
        <v>146</v>
      </c>
      <c r="EP52" s="37">
        <f t="shared" si="173"/>
        <v>589</v>
      </c>
      <c r="EQ52" s="36">
        <f t="shared" si="173"/>
        <v>148.30000000000001</v>
      </c>
      <c r="ER52" s="36">
        <f t="shared" si="172"/>
        <v>142.78599999999997</v>
      </c>
      <c r="ES52" s="36">
        <f t="shared" ref="ES52:EU52" si="174">ES8</f>
        <v>146.322</v>
      </c>
      <c r="ET52" s="36">
        <f t="shared" si="174"/>
        <v>150.38</v>
      </c>
      <c r="EU52" s="1944">
        <f t="shared" si="174"/>
        <v>587.78800000000001</v>
      </c>
      <c r="EZ52" s="838">
        <f>EZ8</f>
        <v>596.6048199999999</v>
      </c>
      <c r="FE52" s="838">
        <f>FE8</f>
        <v>605.5538922999998</v>
      </c>
      <c r="FF52" s="754"/>
      <c r="FG52" s="622"/>
      <c r="FH52" s="1058"/>
      <c r="FI52" s="1058"/>
      <c r="FJ52" s="1058"/>
      <c r="FK52" s="1058"/>
      <c r="FL52" s="1805"/>
      <c r="FM52" s="36">
        <f t="shared" si="152"/>
        <v>148.30000000000001</v>
      </c>
      <c r="FN52" s="36">
        <f t="shared" si="153"/>
        <v>149.5</v>
      </c>
      <c r="FO52" s="36">
        <v>139.035</v>
      </c>
      <c r="FP52" s="1862">
        <f>IFERROR(($FM52/FN52)-1,"")</f>
        <v>-8.0267558528427374E-3</v>
      </c>
      <c r="FQ52" s="1862">
        <f>IFERROR(($FM52/FO52)-1,"")</f>
        <v>6.6637896932427276E-2</v>
      </c>
      <c r="FR52" s="572"/>
      <c r="FS52" s="572"/>
      <c r="FT52" s="572"/>
      <c r="FU52" s="572"/>
      <c r="FV52" s="572"/>
      <c r="FW52" s="572"/>
      <c r="FX52" s="572"/>
      <c r="FY52" s="572"/>
      <c r="FZ52" s="572"/>
      <c r="GA52" s="622"/>
      <c r="GB52"/>
      <c r="GC52"/>
      <c r="GD52"/>
      <c r="GE52"/>
      <c r="GF52"/>
      <c r="GG52"/>
      <c r="GH52" s="955"/>
      <c r="GI52" s="955"/>
      <c r="GJ52" s="955"/>
      <c r="GK52" s="955"/>
      <c r="GL52" s="955"/>
      <c r="GM52" s="955"/>
      <c r="GN52" s="955"/>
      <c r="GO52" s="955"/>
      <c r="GP52" s="955"/>
      <c r="GQ52" s="955"/>
      <c r="GR52" s="955"/>
      <c r="GS52" s="955"/>
      <c r="GT52" s="955"/>
      <c r="GU52" s="955"/>
      <c r="GV52" s="955"/>
      <c r="GW52" s="955"/>
      <c r="GX52" s="955"/>
      <c r="GY52" s="955"/>
      <c r="GZ52" s="955"/>
      <c r="HA52" s="955"/>
      <c r="HB52" s="955"/>
      <c r="HC52" s="955"/>
      <c r="HD52" s="955"/>
      <c r="HE52" s="955"/>
      <c r="HF52" s="955"/>
      <c r="HG52" s="955"/>
      <c r="HH52" s="955"/>
      <c r="HI52" s="955"/>
      <c r="HJ52" s="955"/>
      <c r="HK52" s="955"/>
      <c r="HL52" s="955"/>
      <c r="HM52" s="955"/>
      <c r="HN52" s="955"/>
      <c r="HO52" s="955"/>
      <c r="HP52" s="955"/>
      <c r="HQ52" s="955"/>
      <c r="HR52" s="955"/>
      <c r="HS52" s="955"/>
      <c r="HT52" s="955"/>
      <c r="HU52" s="955"/>
      <c r="HV52" s="955"/>
      <c r="HW52" s="955"/>
      <c r="HX52" s="955"/>
      <c r="HY52" s="955"/>
      <c r="HZ52" s="955"/>
      <c r="IA52" s="955"/>
      <c r="IB52" s="955"/>
      <c r="IC52" s="955"/>
      <c r="ID52" s="955"/>
      <c r="IE52" s="955"/>
      <c r="IF52" s="955"/>
      <c r="IG52" s="955"/>
      <c r="IH52" s="955"/>
      <c r="II52" s="955"/>
      <c r="IJ52" s="955"/>
      <c r="IK52" s="955"/>
      <c r="IL52" s="955"/>
      <c r="IM52" s="955"/>
      <c r="IN52" s="955"/>
      <c r="IO52" s="955"/>
      <c r="IP52" s="955"/>
      <c r="IQ52" s="955"/>
      <c r="IR52" s="955"/>
      <c r="IS52" s="955"/>
      <c r="IT52" s="955"/>
      <c r="IU52" s="955"/>
      <c r="IV52" s="955"/>
    </row>
    <row r="53" spans="1:256" s="68" customFormat="1" ht="12.75" x14ac:dyDescent="0.2">
      <c r="A53" s="242" t="s">
        <v>74</v>
      </c>
      <c r="B53" s="22"/>
      <c r="C53" s="22"/>
      <c r="D53" s="22"/>
      <c r="E53" s="197"/>
      <c r="F53" s="21"/>
      <c r="G53" s="22"/>
      <c r="H53" s="22"/>
      <c r="I53" s="22"/>
      <c r="J53" s="197"/>
      <c r="K53" s="21"/>
      <c r="L53" s="22"/>
      <c r="M53" s="22"/>
      <c r="N53" s="22"/>
      <c r="O53" s="197"/>
      <c r="P53" s="21"/>
      <c r="Q53" s="22">
        <f t="shared" ref="Q53:CB53" si="175">Q52/L52-1</f>
        <v>-3.2219570405727982E-2</v>
      </c>
      <c r="R53" s="22">
        <f t="shared" si="175"/>
        <v>-5.3398058252427272E-2</v>
      </c>
      <c r="S53" s="22">
        <f t="shared" si="175"/>
        <v>-5.5618615209988564E-2</v>
      </c>
      <c r="T53" s="197">
        <f t="shared" si="175"/>
        <v>0.11699507389162567</v>
      </c>
      <c r="U53" s="21">
        <f t="shared" si="175"/>
        <v>-7.4515648286139768E-3</v>
      </c>
      <c r="V53" s="22">
        <f t="shared" si="175"/>
        <v>4.8088779284833683E-2</v>
      </c>
      <c r="W53" s="22">
        <f t="shared" si="175"/>
        <v>0.10128205128205137</v>
      </c>
      <c r="X53" s="22">
        <f t="shared" si="175"/>
        <v>-4.8076923076924016E-3</v>
      </c>
      <c r="Y53" s="197">
        <f t="shared" si="175"/>
        <v>2.094818081587646E-2</v>
      </c>
      <c r="Z53" s="21">
        <f t="shared" si="175"/>
        <v>3.9939939939939828E-2</v>
      </c>
      <c r="AA53" s="22">
        <f t="shared" si="175"/>
        <v>7.6470588235294068E-2</v>
      </c>
      <c r="AB53" s="22">
        <f t="shared" si="175"/>
        <v>9.6623981373690215E-2</v>
      </c>
      <c r="AC53" s="22">
        <f t="shared" si="175"/>
        <v>0.11111111111111116</v>
      </c>
      <c r="AD53" s="197">
        <f t="shared" si="175"/>
        <v>0.13174946004319654</v>
      </c>
      <c r="AE53" s="21">
        <f t="shared" si="175"/>
        <v>0.10453364135142951</v>
      </c>
      <c r="AF53" s="22">
        <f t="shared" si="175"/>
        <v>7.6502732240437243E-2</v>
      </c>
      <c r="AG53" s="22">
        <f t="shared" si="175"/>
        <v>2.5477707006369421E-2</v>
      </c>
      <c r="AH53" s="22">
        <f t="shared" si="175"/>
        <v>5.3260869565217472E-2</v>
      </c>
      <c r="AI53" s="197">
        <f t="shared" si="175"/>
        <v>-5.4389312977099258E-2</v>
      </c>
      <c r="AJ53" s="21">
        <f t="shared" si="175"/>
        <v>2.2483660130719008E-2</v>
      </c>
      <c r="AK53" s="22">
        <f t="shared" si="175"/>
        <v>-5.4822335025380808E-2</v>
      </c>
      <c r="AL53" s="22">
        <f t="shared" si="175"/>
        <v>-6.0041407867494789E-2</v>
      </c>
      <c r="AM53" s="22">
        <f t="shared" si="175"/>
        <v>-5.4695562435500666E-2</v>
      </c>
      <c r="AN53" s="197">
        <f t="shared" si="175"/>
        <v>1.7154389505549927E-2</v>
      </c>
      <c r="AO53" s="21">
        <f t="shared" si="175"/>
        <v>-3.7841984147276908E-2</v>
      </c>
      <c r="AP53" s="22">
        <f t="shared" si="175"/>
        <v>-2.2556390977443552E-2</v>
      </c>
      <c r="AQ53" s="22">
        <f t="shared" si="175"/>
        <v>-1.541850220264307E-2</v>
      </c>
      <c r="AR53" s="22">
        <f t="shared" si="175"/>
        <v>-5.1310043668122196E-2</v>
      </c>
      <c r="AS53" s="197">
        <f t="shared" si="175"/>
        <v>-1.7857142857142794E-2</v>
      </c>
      <c r="AT53" s="21">
        <f t="shared" si="175"/>
        <v>-2.6574541589157619E-2</v>
      </c>
      <c r="AU53" s="22">
        <f t="shared" si="175"/>
        <v>0.24395604395604398</v>
      </c>
      <c r="AV53" s="22">
        <f t="shared" si="175"/>
        <v>0.20357941834451898</v>
      </c>
      <c r="AW53" s="22">
        <f t="shared" si="175"/>
        <v>0.2174913693901035</v>
      </c>
      <c r="AX53" s="197">
        <f t="shared" si="175"/>
        <v>0.1515151515151516</v>
      </c>
      <c r="AY53" s="21">
        <f t="shared" si="175"/>
        <v>0.20283920283920276</v>
      </c>
      <c r="AZ53" s="22">
        <f t="shared" si="175"/>
        <v>-6.8021201413427601E-2</v>
      </c>
      <c r="BA53" s="22">
        <f t="shared" si="175"/>
        <v>8.9219330855018653E-2</v>
      </c>
      <c r="BB53" s="22">
        <f t="shared" si="175"/>
        <v>0.24291115311909262</v>
      </c>
      <c r="BC53" s="197">
        <f t="shared" si="175"/>
        <v>0.18070175438596481</v>
      </c>
      <c r="BD53" s="21">
        <f t="shared" si="175"/>
        <v>0.10939627780299577</v>
      </c>
      <c r="BE53" s="22">
        <f t="shared" si="175"/>
        <v>0.27109004739336484</v>
      </c>
      <c r="BF53" s="22">
        <f t="shared" si="175"/>
        <v>9.6416382252559663E-2</v>
      </c>
      <c r="BG53" s="22">
        <f t="shared" si="175"/>
        <v>-1.7490494296578007E-2</v>
      </c>
      <c r="BH53" s="197">
        <f t="shared" si="175"/>
        <v>-8.1723625557206248E-3</v>
      </c>
      <c r="BI53" s="21">
        <f t="shared" si="175"/>
        <v>7.4672667757774258E-2</v>
      </c>
      <c r="BJ53" s="22">
        <f t="shared" si="175"/>
        <v>-2.8337061894108784E-2</v>
      </c>
      <c r="BK53" s="22">
        <f t="shared" si="175"/>
        <v>-2.1011673151751009E-2</v>
      </c>
      <c r="BL53" s="22">
        <f t="shared" si="175"/>
        <v>-6.8111455108359031E-2</v>
      </c>
      <c r="BM53" s="197">
        <f t="shared" si="175"/>
        <v>-5.9925093632959836E-3</v>
      </c>
      <c r="BN53" s="21">
        <f t="shared" si="175"/>
        <v>-3.064915286502945E-2</v>
      </c>
      <c r="BO53" s="22">
        <f t="shared" si="175"/>
        <v>-3.8372985418265615E-2</v>
      </c>
      <c r="BP53" s="22">
        <f t="shared" si="175"/>
        <v>1.1128775834658322E-2</v>
      </c>
      <c r="BQ53" s="22">
        <f t="shared" si="175"/>
        <v>5.980066445182719E-2</v>
      </c>
      <c r="BR53" s="197">
        <f t="shared" si="175"/>
        <v>1.8085908063300682E-2</v>
      </c>
      <c r="BS53" s="21">
        <f t="shared" si="175"/>
        <v>1.1783189316575182E-2</v>
      </c>
      <c r="BT53" s="22">
        <f t="shared" si="175"/>
        <v>7.4221867517956897E-2</v>
      </c>
      <c r="BU53" s="22">
        <f t="shared" si="175"/>
        <v>7.6257861635220081E-2</v>
      </c>
      <c r="BV53" s="22">
        <f t="shared" si="175"/>
        <v>7.9153605015674033E-2</v>
      </c>
      <c r="BW53" s="197">
        <f t="shared" si="175"/>
        <v>8.5122131754256092E-2</v>
      </c>
      <c r="BX53" s="21">
        <f t="shared" si="175"/>
        <v>7.8804347826086696E-2</v>
      </c>
      <c r="BY53" s="22">
        <f t="shared" si="175"/>
        <v>3.1203566121842607E-2</v>
      </c>
      <c r="BZ53" s="22">
        <f t="shared" si="175"/>
        <v>5.8436815193569913E-3</v>
      </c>
      <c r="CA53" s="22">
        <f t="shared" si="175"/>
        <v>1.4524328249818419E-2</v>
      </c>
      <c r="CB53" s="197">
        <f t="shared" si="175"/>
        <v>-2.046384720327421E-2</v>
      </c>
      <c r="CC53" s="21">
        <f t="shared" ref="CC53:DY53" si="176">CC52/BX52-1</f>
        <v>7.1968333933070117E-3</v>
      </c>
      <c r="CD53" s="22">
        <f t="shared" si="176"/>
        <v>3.4582132564841439E-2</v>
      </c>
      <c r="CE53" s="22">
        <f t="shared" si="176"/>
        <v>4.7930283224401071E-2</v>
      </c>
      <c r="CF53" s="22">
        <f t="shared" si="176"/>
        <v>-1.0021474588403523E-2</v>
      </c>
      <c r="CG53" s="197">
        <f t="shared" si="176"/>
        <v>1.3927576601671321E-2</v>
      </c>
      <c r="CH53" s="21">
        <f t="shared" si="176"/>
        <v>2.1436227224008508E-2</v>
      </c>
      <c r="CI53" s="22">
        <f t="shared" si="176"/>
        <v>4.3871866295264628E-2</v>
      </c>
      <c r="CJ53" s="22">
        <f t="shared" si="176"/>
        <v>1.2474012474012364E-2</v>
      </c>
      <c r="CK53" s="22">
        <f t="shared" si="176"/>
        <v>6.9414316702819834E-2</v>
      </c>
      <c r="CL53" s="197">
        <f t="shared" si="176"/>
        <v>3.1593406593406481E-2</v>
      </c>
      <c r="CM53" s="21">
        <f t="shared" si="176"/>
        <v>3.8999650227352189E-2</v>
      </c>
      <c r="CN53" s="22">
        <f t="shared" si="176"/>
        <v>-2.1347565043362327E-2</v>
      </c>
      <c r="CO53" s="22">
        <f t="shared" si="176"/>
        <v>1.9164955509924697E-2</v>
      </c>
      <c r="CP53" s="22">
        <f t="shared" si="176"/>
        <v>2.3664638269100813E-2</v>
      </c>
      <c r="CQ53" s="197">
        <f t="shared" si="176"/>
        <v>2.8628495339547255E-2</v>
      </c>
      <c r="CR53" s="21">
        <f t="shared" si="176"/>
        <v>1.2455815519273106E-2</v>
      </c>
      <c r="CS53" s="22">
        <f t="shared" si="176"/>
        <v>3.6809815950920255E-2</v>
      </c>
      <c r="CT53" s="22">
        <f t="shared" si="176"/>
        <v>5.1712558764271277E-2</v>
      </c>
      <c r="CU53" s="22">
        <f t="shared" si="176"/>
        <v>4.7556142668427892E-2</v>
      </c>
      <c r="CV53" s="197">
        <f t="shared" si="176"/>
        <v>-6.0841423948220119E-2</v>
      </c>
      <c r="CW53" s="21">
        <f t="shared" si="176"/>
        <v>1.8121363258520429E-2</v>
      </c>
      <c r="CX53" s="22">
        <f t="shared" si="176"/>
        <v>-0.14266929651545024</v>
      </c>
      <c r="CY53" s="22">
        <f t="shared" si="176"/>
        <v>-0.13793103448275856</v>
      </c>
      <c r="CZ53" s="22">
        <f t="shared" si="176"/>
        <v>-0.10718789407314</v>
      </c>
      <c r="DA53" s="22">
        <f>DA52/CV52-1</f>
        <v>7.7188146106133892E-2</v>
      </c>
      <c r="DB53" s="21">
        <f>DB52/CW52-1</f>
        <v>-8.0176355323318127E-2</v>
      </c>
      <c r="DC53" s="22">
        <f t="shared" si="176"/>
        <v>0.21395705521472386</v>
      </c>
      <c r="DD53" s="22">
        <f t="shared" si="176"/>
        <v>0.1325925925925926</v>
      </c>
      <c r="DE53" s="22">
        <f t="shared" si="176"/>
        <v>9.1101694915254328E-2</v>
      </c>
      <c r="DF53" s="22">
        <f>DF52/DA52-1</f>
        <v>3.6468330134356908E-2</v>
      </c>
      <c r="DG53" s="21">
        <f t="shared" si="176"/>
        <v>0.11432629149653839</v>
      </c>
      <c r="DH53" s="22">
        <f>DH52/DC52-1</f>
        <v>-1.7056222362602735E-2</v>
      </c>
      <c r="DI53" s="22">
        <f t="shared" si="176"/>
        <v>-1.8312622629169439E-2</v>
      </c>
      <c r="DJ53" s="22">
        <f t="shared" si="176"/>
        <v>-7.3139158576051799E-2</v>
      </c>
      <c r="DK53" s="22">
        <f t="shared" si="176"/>
        <v>-7.0987654320987637E-2</v>
      </c>
      <c r="DL53" s="21">
        <f t="shared" si="176"/>
        <v>-4.5085231798629999E-2</v>
      </c>
      <c r="DM53" s="22">
        <f t="shared" si="176"/>
        <v>-2.120822622107954E-2</v>
      </c>
      <c r="DN53" s="22">
        <f t="shared" si="176"/>
        <v>0</v>
      </c>
      <c r="DO53" s="22">
        <f t="shared" si="176"/>
        <v>-4.1899441340781385E-3</v>
      </c>
      <c r="DP53" s="22">
        <f t="shared" si="176"/>
        <v>2.6578073089700283E-3</v>
      </c>
      <c r="DQ53" s="21">
        <f t="shared" si="176"/>
        <v>-5.8391725058392074E-3</v>
      </c>
      <c r="DR53" s="22">
        <f t="shared" si="176"/>
        <v>-2.8890347997373667E-2</v>
      </c>
      <c r="DS53" s="22">
        <f t="shared" si="176"/>
        <v>-1.4656895403064585E-2</v>
      </c>
      <c r="DT53" s="22">
        <f t="shared" si="176"/>
        <v>-3.2258064516129004E-2</v>
      </c>
      <c r="DU53" s="22">
        <f t="shared" si="176"/>
        <v>6.3618290258449228E-2</v>
      </c>
      <c r="DV53" s="21">
        <f t="shared" si="176"/>
        <v>-2.6850142641383634E-3</v>
      </c>
      <c r="DW53" s="22">
        <f>DW52/DR52-1</f>
        <v>-5.4090601757945667E-3</v>
      </c>
      <c r="DX53" s="22">
        <f t="shared" si="176"/>
        <v>5.2062204192021566E-2</v>
      </c>
      <c r="DY53" s="22">
        <f t="shared" si="176"/>
        <v>5.8695652173913038E-2</v>
      </c>
      <c r="DZ53" s="22">
        <f t="shared" ref="DZ53:EI53" si="177">DZ52/DU52-1</f>
        <v>-3.4267912772585674E-2</v>
      </c>
      <c r="EA53" s="21">
        <f t="shared" si="177"/>
        <v>1.5985192663637848E-2</v>
      </c>
      <c r="EB53" s="22">
        <f t="shared" si="177"/>
        <v>1.971447994561526E-2</v>
      </c>
      <c r="EC53" s="22">
        <f t="shared" si="177"/>
        <v>-1.2210796915167133E-2</v>
      </c>
      <c r="ED53" s="22">
        <f t="shared" si="177"/>
        <v>4.654346338124582E-2</v>
      </c>
      <c r="EE53" s="22">
        <f t="shared" si="177"/>
        <v>-1.6774193548387051E-2</v>
      </c>
      <c r="EF53" s="21">
        <f t="shared" si="177"/>
        <v>8.6121232196092468E-3</v>
      </c>
      <c r="EG53" s="22">
        <f t="shared" si="177"/>
        <v>9.3333333333334156E-3</v>
      </c>
      <c r="EH53" s="22">
        <f t="shared" si="177"/>
        <v>-3.7085230969420846E-2</v>
      </c>
      <c r="EI53" s="22">
        <f t="shared" si="177"/>
        <v>-3.4663178548070661E-2</v>
      </c>
      <c r="EJ53" s="22">
        <f t="shared" ref="EJ53:EN53" si="178">EJ52/EE52-1</f>
        <v>1.1811023622047223E-2</v>
      </c>
      <c r="EK53" s="21">
        <f t="shared" si="178"/>
        <v>-1.2807881773398977E-2</v>
      </c>
      <c r="EL53" s="22">
        <f t="shared" si="178"/>
        <v>-1.2549537648612996E-2</v>
      </c>
      <c r="EM53" s="22">
        <f t="shared" si="178"/>
        <v>-1.5540540540540659E-2</v>
      </c>
      <c r="EN53" s="22">
        <f t="shared" si="178"/>
        <v>1.3550135501356753E-3</v>
      </c>
      <c r="EO53" s="22">
        <f t="shared" ref="EO53" si="179">EO52/EJ52-1</f>
        <v>-5.3177691309986952E-2</v>
      </c>
      <c r="EP53" s="21">
        <f t="shared" ref="EP53:EQ53" si="180">EP52/EK52-1</f>
        <v>-2.0292747837658109E-2</v>
      </c>
      <c r="EQ53" s="22">
        <f t="shared" si="180"/>
        <v>-8.0267558528427374E-3</v>
      </c>
      <c r="ER53" s="22">
        <f t="shared" ref="ER53" si="181">ER52/EM52-1</f>
        <v>-2.0000000000000129E-2</v>
      </c>
      <c r="ES53" s="22">
        <f t="shared" ref="ES53:EU53" si="182">ES52/EN52-1</f>
        <v>-1.0000000000000009E-2</v>
      </c>
      <c r="ET53" s="22">
        <f t="shared" si="182"/>
        <v>3.0000000000000027E-2</v>
      </c>
      <c r="EU53" s="270">
        <f t="shared" si="182"/>
        <v>-2.0577249575551848E-3</v>
      </c>
      <c r="EV53" s="1127"/>
      <c r="EW53" s="1127"/>
      <c r="EX53" s="1127"/>
      <c r="EY53" s="1127"/>
      <c r="EZ53" s="844">
        <f>EZ52/EU52-1</f>
        <v>1.4999999999999902E-2</v>
      </c>
      <c r="FA53" s="1127"/>
      <c r="FB53" s="1127"/>
      <c r="FC53" s="1127"/>
      <c r="FD53" s="1127"/>
      <c r="FE53" s="844">
        <f>FE52/EZ52-1</f>
        <v>1.4999999999999902E-2</v>
      </c>
      <c r="FF53" s="846"/>
      <c r="FG53" s="618"/>
      <c r="FH53" s="1020"/>
      <c r="FI53" s="1020"/>
      <c r="FJ53" s="1020"/>
      <c r="FK53" s="1020"/>
      <c r="FL53" s="1798"/>
      <c r="FM53" s="22">
        <f t="shared" si="152"/>
        <v>-8.0267558528427374E-3</v>
      </c>
      <c r="FN53" s="22">
        <f t="shared" si="153"/>
        <v>-1.2549537648612996E-2</v>
      </c>
      <c r="FO53" s="2041">
        <v>-7.0000000000000062E-2</v>
      </c>
      <c r="FP53" s="1892">
        <f>IFERROR(($FM53-FN53)*10000,"")</f>
        <v>45.227817957702584</v>
      </c>
      <c r="FQ53" s="1892">
        <f>IFERROR(($FM53-FO53)*10000,"")</f>
        <v>619.73244147157322</v>
      </c>
      <c r="FR53" s="587"/>
      <c r="FS53" s="587"/>
      <c r="FT53" s="587"/>
      <c r="FU53" s="587"/>
      <c r="FV53" s="587"/>
      <c r="FW53" s="587"/>
      <c r="FX53" s="587"/>
      <c r="FY53" s="587"/>
      <c r="FZ53" s="587"/>
      <c r="GA53" s="618"/>
      <c r="GB53"/>
      <c r="GC53"/>
      <c r="GD53"/>
      <c r="GE53"/>
      <c r="GF53"/>
      <c r="GG53"/>
      <c r="GH53" s="904"/>
      <c r="GI53" s="904"/>
      <c r="GJ53" s="904"/>
      <c r="GK53" s="904"/>
      <c r="GL53" s="904"/>
      <c r="GM53" s="904"/>
      <c r="GN53" s="904"/>
      <c r="GO53" s="904"/>
      <c r="GP53" s="904"/>
      <c r="GQ53" s="904"/>
      <c r="GR53" s="904"/>
      <c r="GS53" s="904"/>
      <c r="GT53" s="904"/>
      <c r="GU53" s="904"/>
      <c r="GV53" s="904"/>
      <c r="GW53" s="904"/>
      <c r="GX53" s="904"/>
      <c r="GY53" s="904"/>
      <c r="GZ53" s="904"/>
      <c r="HA53" s="904"/>
      <c r="HB53" s="904"/>
      <c r="HC53" s="904"/>
      <c r="HD53" s="904"/>
      <c r="HE53" s="904"/>
      <c r="HF53" s="904"/>
      <c r="HG53" s="904"/>
      <c r="HH53" s="904"/>
      <c r="HI53" s="904"/>
      <c r="HJ53" s="904"/>
      <c r="HK53" s="904"/>
      <c r="HL53" s="904"/>
      <c r="HM53" s="904"/>
      <c r="HN53" s="904"/>
      <c r="HO53" s="904"/>
      <c r="HP53" s="904"/>
      <c r="HQ53" s="904"/>
      <c r="HR53" s="904"/>
      <c r="HS53" s="904"/>
      <c r="HT53" s="904"/>
      <c r="HU53" s="904"/>
      <c r="HV53" s="904"/>
      <c r="HW53" s="904"/>
      <c r="HX53" s="904"/>
      <c r="HY53" s="904"/>
      <c r="HZ53" s="904"/>
      <c r="IA53" s="904"/>
      <c r="IB53" s="904"/>
      <c r="IC53" s="904"/>
      <c r="ID53" s="904"/>
      <c r="IE53" s="904"/>
      <c r="IF53" s="904"/>
      <c r="IG53" s="904"/>
      <c r="IH53" s="904"/>
      <c r="II53" s="904"/>
      <c r="IJ53" s="904"/>
      <c r="IK53" s="904"/>
      <c r="IL53" s="904"/>
      <c r="IM53" s="904"/>
      <c r="IN53" s="904"/>
      <c r="IO53" s="904"/>
      <c r="IP53" s="904"/>
      <c r="IQ53" s="904"/>
      <c r="IR53" s="904"/>
      <c r="IS53" s="904"/>
      <c r="IT53" s="904"/>
      <c r="IU53" s="904"/>
      <c r="IV53" s="904"/>
    </row>
    <row r="54" spans="1:256" s="16" customFormat="1" ht="12.75" x14ac:dyDescent="0.2">
      <c r="A54" s="13" t="s">
        <v>217</v>
      </c>
      <c r="E54" s="201"/>
      <c r="F54" s="40"/>
      <c r="J54" s="201"/>
      <c r="K54" s="40"/>
      <c r="L54" s="16">
        <f t="shared" ref="L54:BW54" si="183">L52/L$13</f>
        <v>8.8154849568693461E-2</v>
      </c>
      <c r="M54" s="16">
        <f t="shared" si="183"/>
        <v>8.6855697269948351E-2</v>
      </c>
      <c r="N54" s="16">
        <f t="shared" si="183"/>
        <v>8.95689304595364E-2</v>
      </c>
      <c r="O54" s="201">
        <f t="shared" si="183"/>
        <v>8.4618591079616501E-2</v>
      </c>
      <c r="P54" s="40">
        <f t="shared" si="183"/>
        <v>8.731294729993494E-2</v>
      </c>
      <c r="Q54" s="16">
        <f t="shared" si="183"/>
        <v>8.3789647690877142E-2</v>
      </c>
      <c r="R54" s="16">
        <f t="shared" si="183"/>
        <v>7.9713847726111398E-2</v>
      </c>
      <c r="S54" s="16">
        <f t="shared" si="183"/>
        <v>8.3643309540565008E-2</v>
      </c>
      <c r="T54" s="201">
        <f t="shared" si="183"/>
        <v>8.9562555544583783E-2</v>
      </c>
      <c r="U54" s="40">
        <f t="shared" si="183"/>
        <v>8.4222773028478928E-2</v>
      </c>
      <c r="V54" s="16">
        <f t="shared" si="183"/>
        <v>8.7466556904712903E-2</v>
      </c>
      <c r="W54" s="16">
        <f t="shared" si="183"/>
        <v>8.348721936048209E-2</v>
      </c>
      <c r="X54" s="16">
        <f t="shared" si="183"/>
        <v>8.3190997689138957E-2</v>
      </c>
      <c r="Y54" s="201">
        <f t="shared" si="183"/>
        <v>8.9746074820701682E-2</v>
      </c>
      <c r="Z54" s="40">
        <f t="shared" si="183"/>
        <v>8.5977456676101086E-2</v>
      </c>
      <c r="AA54" s="16">
        <f t="shared" si="183"/>
        <v>9.020110410094638E-2</v>
      </c>
      <c r="AB54" s="16">
        <f t="shared" si="183"/>
        <v>8.5566354800617694E-2</v>
      </c>
      <c r="AC54" s="16">
        <f t="shared" si="183"/>
        <v>8.5335312123179671E-2</v>
      </c>
      <c r="AD54" s="201">
        <f t="shared" si="183"/>
        <v>9.4075403949730699E-2</v>
      </c>
      <c r="AE54" s="40">
        <f t="shared" si="183"/>
        <v>8.8800668616799E-2</v>
      </c>
      <c r="AF54" s="16">
        <f t="shared" si="183"/>
        <v>8.8595071055945315E-2</v>
      </c>
      <c r="AG54" s="16">
        <f t="shared" si="183"/>
        <v>8.6034912718204473E-2</v>
      </c>
      <c r="AH54" s="16">
        <f t="shared" si="183"/>
        <v>8.8042885698709814E-2</v>
      </c>
      <c r="AI54" s="201">
        <f t="shared" si="183"/>
        <v>8.9006646308604262E-2</v>
      </c>
      <c r="AJ54" s="40">
        <f t="shared" si="183"/>
        <v>8.7915299195252442E-2</v>
      </c>
      <c r="AK54" s="16">
        <f t="shared" si="183"/>
        <v>8.4268645908761763E-2</v>
      </c>
      <c r="AL54" s="16">
        <f t="shared" si="183"/>
        <v>7.9523559292345419E-2</v>
      </c>
      <c r="AM54" s="16">
        <f t="shared" si="183"/>
        <v>7.9923217869295876E-2</v>
      </c>
      <c r="AN54" s="201">
        <f t="shared" si="183"/>
        <v>8.6881572142734009E-2</v>
      </c>
      <c r="AO54" s="40">
        <f t="shared" si="183"/>
        <v>8.26506182872455E-2</v>
      </c>
      <c r="AP54" s="16">
        <f t="shared" si="183"/>
        <v>7.8753786239723067E-2</v>
      </c>
      <c r="AQ54" s="16">
        <f t="shared" si="183"/>
        <v>7.4388417373939086E-2</v>
      </c>
      <c r="AR54" s="16">
        <f t="shared" si="183"/>
        <v>7.2811059907834111E-2</v>
      </c>
      <c r="AS54" s="201">
        <f t="shared" si="183"/>
        <v>8.1960427187681095E-2</v>
      </c>
      <c r="AT54" s="40">
        <f t="shared" si="183"/>
        <v>7.6974804043121015E-2</v>
      </c>
      <c r="AU54" s="16">
        <f t="shared" si="183"/>
        <v>9.3615613628845518E-2</v>
      </c>
      <c r="AV54" s="16">
        <f t="shared" si="183"/>
        <v>8.7422814429639242E-2</v>
      </c>
      <c r="AW54" s="16">
        <f t="shared" si="183"/>
        <v>8.9471458773784346E-2</v>
      </c>
      <c r="AX54" s="201">
        <f t="shared" si="183"/>
        <v>9.6544715447154469E-2</v>
      </c>
      <c r="AY54" s="40">
        <f t="shared" si="183"/>
        <v>9.1728603251930954E-2</v>
      </c>
      <c r="AZ54" s="16">
        <f t="shared" si="183"/>
        <v>9.1050315008198837E-2</v>
      </c>
      <c r="BA54" s="16">
        <f t="shared" si="183"/>
        <v>8.5584927705564487E-2</v>
      </c>
      <c r="BB54" s="16">
        <f t="shared" si="183"/>
        <v>7.6734550971581938E-2</v>
      </c>
      <c r="BC54" s="201">
        <f t="shared" si="183"/>
        <v>7.8298605051597969E-2</v>
      </c>
      <c r="BD54" s="40">
        <f t="shared" si="183"/>
        <v>8.2001590374543257E-2</v>
      </c>
      <c r="BE54" s="16">
        <f t="shared" si="183"/>
        <v>7.9940387481371084E-2</v>
      </c>
      <c r="BF54" s="16">
        <f t="shared" si="183"/>
        <v>7.3186012074268128E-2</v>
      </c>
      <c r="BG54" s="16">
        <f t="shared" si="183"/>
        <v>7.4587230111996305E-2</v>
      </c>
      <c r="BH54" s="201">
        <f t="shared" si="183"/>
        <v>7.9388677450047573E-2</v>
      </c>
      <c r="BI54" s="40">
        <f t="shared" si="183"/>
        <v>7.6718610798732295E-2</v>
      </c>
      <c r="BJ54" s="16">
        <f t="shared" si="183"/>
        <v>7.879777455249154E-2</v>
      </c>
      <c r="BK54" s="16">
        <f t="shared" si="183"/>
        <v>7.4574663584089151E-2</v>
      </c>
      <c r="BL54" s="16">
        <f t="shared" si="183"/>
        <v>7.4160763781952577E-2</v>
      </c>
      <c r="BM54" s="201">
        <f t="shared" si="183"/>
        <v>7.9892208733597106E-2</v>
      </c>
      <c r="BN54" s="40">
        <f t="shared" si="183"/>
        <v>7.6860516577539451E-2</v>
      </c>
      <c r="BO54" s="16">
        <f t="shared" si="183"/>
        <v>7.8000498007968128E-2</v>
      </c>
      <c r="BP54" s="16">
        <f t="shared" si="183"/>
        <v>7.410428196912322E-2</v>
      </c>
      <c r="BQ54" s="16">
        <f t="shared" si="183"/>
        <v>7.3510773130544993E-2</v>
      </c>
      <c r="BR54" s="201">
        <f t="shared" si="183"/>
        <v>8.128760529482551E-2</v>
      </c>
      <c r="BS54" s="40">
        <f t="shared" si="183"/>
        <v>7.6658681387355487E-2</v>
      </c>
      <c r="BT54" s="16">
        <f t="shared" si="183"/>
        <v>8.1674757281553392E-2</v>
      </c>
      <c r="BU54" s="16">
        <f t="shared" si="183"/>
        <v>7.8868533241156807E-2</v>
      </c>
      <c r="BV54" s="16">
        <f t="shared" si="183"/>
        <v>7.9969800801440255E-2</v>
      </c>
      <c r="BW54" s="201">
        <f t="shared" si="183"/>
        <v>8.3508971802905146E-2</v>
      </c>
      <c r="BX54" s="40">
        <f t="shared" ref="BX54:DV54" si="184">BX52/BX$13</f>
        <v>8.1006237975864287E-2</v>
      </c>
      <c r="BY54" s="16">
        <f t="shared" si="184"/>
        <v>7.8998292544109283E-2</v>
      </c>
      <c r="BZ54" s="16">
        <f t="shared" si="184"/>
        <v>7.343216723549488E-2</v>
      </c>
      <c r="CA54" s="16">
        <f t="shared" si="184"/>
        <v>7.3344883708720512E-2</v>
      </c>
      <c r="CB54" s="201">
        <f t="shared" si="184"/>
        <v>7.4508379598401911E-2</v>
      </c>
      <c r="CC54" s="40">
        <f t="shared" si="184"/>
        <v>7.4997990407545345E-2</v>
      </c>
      <c r="CD54" s="16">
        <f t="shared" si="184"/>
        <v>7.7075179430588323E-2</v>
      </c>
      <c r="CE54" s="16">
        <f t="shared" si="184"/>
        <v>7.407977822270137E-2</v>
      </c>
      <c r="CF54" s="16">
        <f t="shared" si="184"/>
        <v>6.9417256437283553E-2</v>
      </c>
      <c r="CG54" s="201">
        <f t="shared" si="184"/>
        <v>7.3416700282371919E-2</v>
      </c>
      <c r="CH54" s="40">
        <f t="shared" si="184"/>
        <v>7.3434640088070199E-2</v>
      </c>
      <c r="CI54" s="16">
        <f t="shared" si="184"/>
        <v>7.6589004700592697E-2</v>
      </c>
      <c r="CJ54" s="16">
        <f t="shared" si="184"/>
        <v>7.2158838346421686E-2</v>
      </c>
      <c r="CK54" s="16">
        <f t="shared" si="184"/>
        <v>7.4288010447536287E-2</v>
      </c>
      <c r="CL54" s="201">
        <f t="shared" si="184"/>
        <v>7.7900523831751459E-2</v>
      </c>
      <c r="CM54" s="40">
        <f t="shared" si="184"/>
        <v>7.519396524446581E-2</v>
      </c>
      <c r="CN54" s="16">
        <f t="shared" si="184"/>
        <v>7.8386321132781184E-2</v>
      </c>
      <c r="CO54" s="16">
        <f t="shared" si="184"/>
        <v>7.6661689749266335E-2</v>
      </c>
      <c r="CP54" s="16">
        <f t="shared" si="184"/>
        <v>7.9304384264836839E-2</v>
      </c>
      <c r="CQ54" s="201">
        <f t="shared" si="184"/>
        <v>8.2615902892893431E-2</v>
      </c>
      <c r="CR54" s="40">
        <f t="shared" si="184"/>
        <v>7.9217700513630987E-2</v>
      </c>
      <c r="CS54" s="16">
        <f t="shared" si="184"/>
        <v>8.3205689277899342E-2</v>
      </c>
      <c r="CT54" s="16">
        <f t="shared" si="184"/>
        <v>8.2377695949500257E-2</v>
      </c>
      <c r="CU54" s="16">
        <f t="shared" si="184"/>
        <v>8.3680683796760399E-2</v>
      </c>
      <c r="CV54" s="201">
        <f t="shared" si="184"/>
        <v>8.4106190586598656E-2</v>
      </c>
      <c r="CW54" s="40">
        <f t="shared" si="184"/>
        <v>8.3325396285461595E-2</v>
      </c>
      <c r="CX54" s="16">
        <f t="shared" si="184"/>
        <v>8.958505083814236E-2</v>
      </c>
      <c r="CY54" s="16">
        <f t="shared" si="184"/>
        <v>9.5588755930043193E-2</v>
      </c>
      <c r="CZ54" s="16">
        <f t="shared" si="184"/>
        <v>9.3023255813953501E-2</v>
      </c>
      <c r="DA54" s="16">
        <f t="shared" si="184"/>
        <v>9.9732006125574271E-2</v>
      </c>
      <c r="DB54" s="40">
        <f t="shared" si="184"/>
        <v>9.4556258707803861E-2</v>
      </c>
      <c r="DC54" s="16">
        <f>DC52/DC$13</f>
        <v>0.10000631751847874</v>
      </c>
      <c r="DD54" s="16">
        <f>DD52/DD$13</f>
        <v>8.890568670775674E-2</v>
      </c>
      <c r="DE54" s="16">
        <f>DE52/DE$13</f>
        <v>8.8154741526874358E-2</v>
      </c>
      <c r="DF54" s="16">
        <f>DF52/DF$13</f>
        <v>9.480337078651685E-2</v>
      </c>
      <c r="DG54" s="40">
        <f t="shared" si="184"/>
        <v>9.2798746322496711E-2</v>
      </c>
      <c r="DH54" s="16">
        <f t="shared" si="184"/>
        <v>9.093034128097241E-2</v>
      </c>
      <c r="DI54" s="16">
        <f t="shared" si="184"/>
        <v>8.4000223851362688E-2</v>
      </c>
      <c r="DJ54" s="16">
        <f t="shared" si="184"/>
        <v>7.9120393391900093E-2</v>
      </c>
      <c r="DK54" s="16">
        <f>DK52/DK$13</f>
        <v>8.3301046106160417E-2</v>
      </c>
      <c r="DL54" s="40">
        <f t="shared" si="184"/>
        <v>8.4248106033985956E-2</v>
      </c>
      <c r="DM54" s="16">
        <f>DM52/DM$13</f>
        <v>8.7993991217933915E-2</v>
      </c>
      <c r="DN54" s="16">
        <f>DN52/DN$13</f>
        <v>8.3421330517423453E-2</v>
      </c>
      <c r="DO54" s="16">
        <f>DO52/DO$13</f>
        <v>7.9887955182072826E-2</v>
      </c>
      <c r="DP54" s="16">
        <f>DP52/DP$13</f>
        <v>8.4202890463701816E-2</v>
      </c>
      <c r="DQ54" s="40">
        <f t="shared" si="184"/>
        <v>8.3844552003601969E-2</v>
      </c>
      <c r="DR54" s="16">
        <f>DR52/DR$13</f>
        <v>8.2922179860955361E-2</v>
      </c>
      <c r="DS54" s="16">
        <f>DS52/DS$13</f>
        <v>8.0459144815580474E-2</v>
      </c>
      <c r="DT54" s="16">
        <f t="shared" si="184"/>
        <v>7.4309407140164777E-2</v>
      </c>
      <c r="DU54" s="16">
        <f>DU52/DU$13</f>
        <v>8.6197636949516654E-2</v>
      </c>
      <c r="DV54" s="40">
        <f t="shared" si="184"/>
        <v>8.0957375798607803E-2</v>
      </c>
      <c r="DW54" s="16">
        <f t="shared" ref="DW54:EF54" si="185">DW52/DW$13</f>
        <v>8.3456257800975833E-2</v>
      </c>
      <c r="DX54" s="16">
        <f t="shared" si="185"/>
        <v>7.8463012455246839E-2</v>
      </c>
      <c r="DY54" s="16">
        <f t="shared" si="185"/>
        <v>7.3013493253373307E-2</v>
      </c>
      <c r="DZ54" s="16">
        <f t="shared" si="185"/>
        <v>8.0385852090032156E-2</v>
      </c>
      <c r="EA54" s="40">
        <f t="shared" si="185"/>
        <v>7.8672034814785852E-2</v>
      </c>
      <c r="EB54" s="16">
        <f t="shared" si="185"/>
        <v>8.3236224404861003E-2</v>
      </c>
      <c r="EC54" s="16">
        <f t="shared" si="185"/>
        <v>7.9345413246605739E-2</v>
      </c>
      <c r="ED54" s="16">
        <f t="shared" si="185"/>
        <v>7.8965036409647277E-2</v>
      </c>
      <c r="EE54" s="16">
        <f t="shared" si="185"/>
        <v>8.4507042253521125E-2</v>
      </c>
      <c r="EF54" s="40">
        <f t="shared" si="185"/>
        <v>8.1429087165224831E-2</v>
      </c>
      <c r="EG54" s="16">
        <f t="shared" ref="EG54:ER54" si="186">EG52/EG$13</f>
        <v>8.6164703204143198E-2</v>
      </c>
      <c r="EH54" s="16">
        <f t="shared" si="186"/>
        <v>8.2199389058594835E-2</v>
      </c>
      <c r="EI54" s="16">
        <f t="shared" si="186"/>
        <v>7.926108903447536E-2</v>
      </c>
      <c r="EJ54" s="16">
        <f t="shared" si="186"/>
        <v>8.3808902657753134E-2</v>
      </c>
      <c r="EK54" s="40">
        <f t="shared" si="186"/>
        <v>8.2813339394189847E-2</v>
      </c>
      <c r="EL54" s="16">
        <f>EL52/EL$13</f>
        <v>8.0959601429654499E-2</v>
      </c>
      <c r="EM54" s="16">
        <f t="shared" ref="EM54:EP54" si="187">EM52/EM$13</f>
        <v>7.62507850115135E-2</v>
      </c>
      <c r="EN54" s="16">
        <f t="shared" si="187"/>
        <v>7.6620010368066357E-2</v>
      </c>
      <c r="EO54" s="16">
        <f t="shared" si="187"/>
        <v>7.5840216092670512E-2</v>
      </c>
      <c r="EP54" s="40">
        <f t="shared" si="187"/>
        <v>7.7382907442685417E-2</v>
      </c>
      <c r="EQ54" s="16">
        <f>EQ52/EQ$13</f>
        <v>7.7872295736189881E-2</v>
      </c>
      <c r="ER54" s="16">
        <f t="shared" si="186"/>
        <v>7.1850544265885136E-2</v>
      </c>
      <c r="ES54" s="16">
        <f t="shared" ref="ES54:EU54" si="188">ES52/ES$13</f>
        <v>7.2731737286534856E-2</v>
      </c>
      <c r="ET54" s="16">
        <f t="shared" si="188"/>
        <v>7.6065533304720656E-2</v>
      </c>
      <c r="EU54" s="1945">
        <f t="shared" si="188"/>
        <v>7.4588149974985557E-2</v>
      </c>
      <c r="EZ54" s="743">
        <f>EZ52/EZ$13</f>
        <v>7.4223694164995607E-2</v>
      </c>
      <c r="FE54" s="743">
        <f>FE52/FE$13</f>
        <v>7.3593070478211786E-2</v>
      </c>
      <c r="FF54" s="743"/>
      <c r="FG54" s="628"/>
      <c r="FH54" s="1024"/>
      <c r="FI54" s="1024"/>
      <c r="FJ54" s="1024"/>
      <c r="FK54" s="1024"/>
      <c r="FL54" s="1796"/>
      <c r="FM54" s="16">
        <f t="shared" si="152"/>
        <v>7.7872295736189881E-2</v>
      </c>
      <c r="FN54" s="16">
        <f t="shared" si="153"/>
        <v>8.0959601429654499E-2</v>
      </c>
      <c r="FO54" s="2043">
        <v>7.326828677049875E-2</v>
      </c>
      <c r="FP54" s="11">
        <f>IFERROR(($FM54-FN54)*10000,"")</f>
        <v>-30.873056934646176</v>
      </c>
      <c r="FQ54" s="11">
        <f>IFERROR(($FM54-FO54)*10000,"")</f>
        <v>46.040089656911306</v>
      </c>
      <c r="FR54" s="567"/>
      <c r="FS54" s="567"/>
      <c r="FT54" s="567"/>
      <c r="FU54" s="567"/>
      <c r="FV54" s="567"/>
      <c r="FW54" s="567"/>
      <c r="FX54" s="567"/>
      <c r="FY54" s="567"/>
      <c r="FZ54" s="567"/>
      <c r="GA54" s="628"/>
      <c r="GB54"/>
      <c r="GC54"/>
      <c r="GD54"/>
      <c r="GE54"/>
      <c r="GF54"/>
      <c r="GG54"/>
      <c r="GH54" s="946"/>
      <c r="GI54" s="946"/>
      <c r="GJ54" s="946"/>
      <c r="GK54" s="946"/>
      <c r="GL54" s="946"/>
      <c r="GM54" s="946"/>
      <c r="GN54" s="946"/>
      <c r="GO54" s="946"/>
      <c r="GP54" s="946"/>
      <c r="GQ54" s="946"/>
      <c r="GR54" s="946"/>
      <c r="GS54" s="946"/>
      <c r="GT54" s="946"/>
      <c r="GU54" s="946"/>
      <c r="GV54" s="946"/>
      <c r="GW54" s="946"/>
      <c r="GX54" s="946"/>
      <c r="GY54" s="946"/>
      <c r="GZ54" s="946"/>
      <c r="HA54" s="946"/>
      <c r="HB54" s="946"/>
      <c r="HC54" s="946"/>
      <c r="HD54" s="946"/>
      <c r="HE54" s="946"/>
      <c r="HF54" s="946"/>
      <c r="HG54" s="946"/>
      <c r="HH54" s="946"/>
      <c r="HI54" s="946"/>
      <c r="HJ54" s="946"/>
      <c r="HK54" s="946"/>
      <c r="HL54" s="946"/>
      <c r="HM54" s="946"/>
      <c r="HN54" s="946"/>
      <c r="HO54" s="946"/>
      <c r="HP54" s="946"/>
      <c r="HQ54" s="946"/>
      <c r="HR54" s="946"/>
      <c r="HS54" s="946"/>
      <c r="HT54" s="946"/>
      <c r="HU54" s="946"/>
      <c r="HV54" s="946"/>
      <c r="HW54" s="946"/>
      <c r="HX54" s="946"/>
      <c r="HY54" s="946"/>
      <c r="HZ54" s="946"/>
      <c r="IA54" s="946"/>
      <c r="IB54" s="946"/>
      <c r="IC54" s="946"/>
      <c r="ID54" s="946"/>
      <c r="IE54" s="946"/>
      <c r="IF54" s="946"/>
      <c r="IG54" s="946"/>
      <c r="IH54" s="946"/>
      <c r="II54" s="946"/>
      <c r="IJ54" s="946"/>
      <c r="IK54" s="946"/>
      <c r="IL54" s="946"/>
      <c r="IM54" s="946"/>
      <c r="IN54" s="946"/>
      <c r="IO54" s="946"/>
      <c r="IP54" s="946"/>
      <c r="IQ54" s="946"/>
      <c r="IR54" s="946"/>
      <c r="IS54" s="946"/>
      <c r="IT54" s="946"/>
      <c r="IU54" s="946"/>
      <c r="IV54" s="946"/>
    </row>
    <row r="55" spans="1:256" s="42" customFormat="1" ht="12.75" x14ac:dyDescent="0.2">
      <c r="A55" s="41" t="s">
        <v>106</v>
      </c>
      <c r="E55" s="202"/>
      <c r="F55" s="43"/>
      <c r="J55" s="202"/>
      <c r="K55" s="43"/>
      <c r="L55" s="42">
        <f>L49*1000/L52</f>
        <v>855.60859188544157</v>
      </c>
      <c r="M55" s="42">
        <f>M49*1000/M52</f>
        <v>839.80582524271836</v>
      </c>
      <c r="N55" s="42">
        <f>N49*1000/N52</f>
        <v>895.57321225879684</v>
      </c>
      <c r="O55" s="202">
        <f>O49*1000/O52</f>
        <v>908.86699507389164</v>
      </c>
      <c r="P55" s="43">
        <f>(L55*L52+M55*M52+N55*N52+O55*O52)/P52</f>
        <v>875.11177347242926</v>
      </c>
      <c r="Q55" s="42">
        <f>Q49*1000/Q52</f>
        <v>909.98766954377322</v>
      </c>
      <c r="R55" s="42">
        <f>R49*1000/R52</f>
        <v>935.89743589743591</v>
      </c>
      <c r="S55" s="42">
        <f>S49*1000/S52</f>
        <v>905.04807692307691</v>
      </c>
      <c r="T55" s="202">
        <f>T49*1000/T52</f>
        <v>874.31091510474084</v>
      </c>
      <c r="U55" s="43">
        <f>(Q55*Q52+R55*R52+S55*S52+T55*T52)/U52</f>
        <v>905.10510510510505</v>
      </c>
      <c r="V55" s="42">
        <f>V49*1000/V52</f>
        <v>896.47058823529414</v>
      </c>
      <c r="W55" s="42">
        <f>W49*1000/W52</f>
        <v>925.49476135040743</v>
      </c>
      <c r="X55" s="42">
        <f>X49*1000/X52</f>
        <v>963.768115942029</v>
      </c>
      <c r="Y55" s="202">
        <f>Y49*1000/Y52</f>
        <v>909.28725701943847</v>
      </c>
      <c r="Z55" s="43">
        <f>(V55*V52+W55*W52+X55*X52+Y55*Y52)/Z52</f>
        <v>923.18798729425362</v>
      </c>
      <c r="AA55" s="42">
        <f>AA49*1000/AA52</f>
        <v>1019.672131147541</v>
      </c>
      <c r="AB55" s="42">
        <f>AB49*1000/AB52</f>
        <v>1002.1231422505308</v>
      </c>
      <c r="AC55" s="42">
        <f>AC49*1000/AC52</f>
        <v>996.73913043478262</v>
      </c>
      <c r="AD55" s="202">
        <f>AD49*1000/AD52</f>
        <v>955.15267175572524</v>
      </c>
      <c r="AE55" s="43">
        <f>(AA55*AA52+AB55*AB52+AC55*AC52+AD55*AD52)/AE52</f>
        <v>992.15686274509801</v>
      </c>
      <c r="AF55" s="42">
        <f>AF49*1000/AF52</f>
        <v>986.80203045685278</v>
      </c>
      <c r="AG55" s="42">
        <f>AG49*1000/AG52</f>
        <v>1009.3167701863355</v>
      </c>
      <c r="AH55" s="42">
        <f>AH49*1000/AH52</f>
        <v>1018.5758513931888</v>
      </c>
      <c r="AI55" s="202">
        <f>AI49*1000/AI52</f>
        <v>1012.1089808274471</v>
      </c>
      <c r="AJ55" s="43">
        <f>(AF55*AF52+AG55*AG52+AH55*AH52+AI55*AI52)/AJ52</f>
        <v>1006.647916133981</v>
      </c>
      <c r="AK55" s="42">
        <f>AK49*1000/AK52</f>
        <v>1091.2996777658432</v>
      </c>
      <c r="AL55" s="42">
        <f>AL49*1000/AL52</f>
        <v>1069.3832599118944</v>
      </c>
      <c r="AM55" s="42">
        <f>AM49*1000/AM52</f>
        <v>1030.5676855895197</v>
      </c>
      <c r="AN55" s="202">
        <f>AN49*1000/AN52</f>
        <v>994.04761904761904</v>
      </c>
      <c r="AO55" s="43">
        <f>(AK55*AK52+AL55*AL52+AM55*AM52+AN55*AN52)/AO52</f>
        <v>1045.1767207015678</v>
      </c>
      <c r="AP55" s="42">
        <f>AP49*1000/AP52</f>
        <v>1090.1098901098901</v>
      </c>
      <c r="AQ55" s="42">
        <f>AQ49*1000/AQ52</f>
        <v>1065.9955257270692</v>
      </c>
      <c r="AR55" s="42">
        <f>AR49*1000/AR52</f>
        <v>1077.1001150747986</v>
      </c>
      <c r="AS55" s="202">
        <f>AS49*1000/AS52</f>
        <v>1040.4040404040404</v>
      </c>
      <c r="AT55" s="43">
        <f>(AP55*AP52+AQ55*AQ52+AR55*AR52+AS55*AS52)/AT52</f>
        <v>1067.7040677040677</v>
      </c>
      <c r="AU55" s="42">
        <f>AU49*1000/AU52</f>
        <v>1037.9858657243817</v>
      </c>
      <c r="AV55" s="42">
        <f>AV49*1000/AV52</f>
        <v>1071.5613382899628</v>
      </c>
      <c r="AW55" s="42">
        <f>AW49*1000/AW52</f>
        <v>1056.7107750472589</v>
      </c>
      <c r="AX55" s="202">
        <f>AX49*1000/AX52</f>
        <v>1058.7719298245613</v>
      </c>
      <c r="AY55" s="43">
        <f>(AU55*AU52+AV55*AV52+AW55*AW52+AX55*AX52)/AY52</f>
        <v>1056.0599182932365</v>
      </c>
      <c r="AZ55" s="42">
        <f>AZ49*1000/AZ52</f>
        <v>1097.6303317535544</v>
      </c>
      <c r="BA55" s="42">
        <f>BA49*1000/BA52</f>
        <v>1061.4334470989761</v>
      </c>
      <c r="BB55" s="42">
        <f>BB49*1000/BB52</f>
        <v>1103.4220532319391</v>
      </c>
      <c r="BC55" s="202">
        <f>BC49*1000/BC52</f>
        <v>1107.7265973254086</v>
      </c>
      <c r="BD55" s="43">
        <f>(AZ55*AZ52+BA55*BA52+BB55*BB52+BC55*BC52)/BD52</f>
        <v>1093.28968903437</v>
      </c>
      <c r="BE55" s="42">
        <f>BE49*1000/BE52</f>
        <v>1185.6823266219239</v>
      </c>
      <c r="BF55" s="42">
        <f>BF49*1000/BF52</f>
        <v>1182.8793774319065</v>
      </c>
      <c r="BG55" s="42">
        <f>BG49*1000/BG52</f>
        <v>1153.2507739938083</v>
      </c>
      <c r="BH55" s="202">
        <f>BH49*1000/BH52</f>
        <v>1116.1048689138577</v>
      </c>
      <c r="BI55" s="43">
        <f>(BE55*BE52+BF55*BF52+BG55*BG52+BH55*BH52)/BI52</f>
        <v>1159.3375214163336</v>
      </c>
      <c r="BJ55" s="42">
        <f>BJ49*1000/BJ52</f>
        <v>1151.189562547966</v>
      </c>
      <c r="BK55" s="42">
        <f>BK49*1000/BK52</f>
        <v>1176.4705882352941</v>
      </c>
      <c r="BL55" s="42">
        <f>BL49*1000/BL52</f>
        <v>1220.9302325581396</v>
      </c>
      <c r="BM55" s="202">
        <f>BM49*1000/BM52</f>
        <v>1190.6556141672947</v>
      </c>
      <c r="BN55" s="43">
        <f>(BJ55*BJ52+BK55*BK52+BL55*BL52+BM55*BM52)/BN52</f>
        <v>1184.2105263157896</v>
      </c>
      <c r="BO55" s="42">
        <f>BO49*1000/BO52</f>
        <v>1229.0502793296089</v>
      </c>
      <c r="BP55" s="42">
        <f>BP49*1000/BP52</f>
        <v>1226.4150943396226</v>
      </c>
      <c r="BQ55" s="42">
        <f>BQ49*1000/BQ52</f>
        <v>1222.5705329153604</v>
      </c>
      <c r="BR55" s="202">
        <f>BR49*1000/BR52</f>
        <v>1243.5233160621763</v>
      </c>
      <c r="BS55" s="43">
        <f>(BO55*BO52+BP55*BP52+BQ55*BQ52+BR55*BR52)/BS52</f>
        <v>1230.5900621118012</v>
      </c>
      <c r="BT55" s="42">
        <f>BT49*1000/BT52</f>
        <v>1248.1426448737</v>
      </c>
      <c r="BU55" s="42">
        <f>BU49*1000/BU52</f>
        <v>1278.3053323593863</v>
      </c>
      <c r="BV55" s="42">
        <f>BV49*1000/BV52</f>
        <v>1212.7814088598404</v>
      </c>
      <c r="BW55" s="202">
        <f>BW49*1000/BW52</f>
        <v>1214.1882673942703</v>
      </c>
      <c r="BX55" s="43">
        <f>(BT55*BT52+BU55*BU52+BV55*BV52+BW55*BW52)/BX52</f>
        <v>1237.8553436487946</v>
      </c>
      <c r="BY55" s="42">
        <f>BY49*1000/BY52</f>
        <v>1253.6023054755042</v>
      </c>
      <c r="BZ55" s="42">
        <f>BZ49*1000/BZ52</f>
        <v>1292.6652142338419</v>
      </c>
      <c r="CA55" s="42">
        <f>CA49*1000/CA52</f>
        <v>1267.0007158196136</v>
      </c>
      <c r="CB55" s="202">
        <f>CB49*1000/CB52</f>
        <v>1302.2284122562673</v>
      </c>
      <c r="CC55" s="43">
        <f>(BY55*BY52+BZ55*BZ52+CA55*CA52+CB55*CB52)/CC52</f>
        <v>1279.0282243658451</v>
      </c>
      <c r="CD55" s="42">
        <f>CD49*1000/CD52</f>
        <v>1323.1197771587745</v>
      </c>
      <c r="CE55" s="42">
        <f>CE49*1000/CE52</f>
        <v>1365.2113652113651</v>
      </c>
      <c r="CF55" s="42">
        <f>CF49*1000/CF52</f>
        <v>1431.6702819956615</v>
      </c>
      <c r="CG55" s="202">
        <f>CG49*1000/CG52</f>
        <v>1696.4285714285716</v>
      </c>
      <c r="CH55" s="43">
        <f>(CD55*CD52+CE55*CE52+CF55*CF52+CG55*CG52)/CH52</f>
        <v>1455.0542147604058</v>
      </c>
      <c r="CI55" s="42">
        <f>CI49*1000/CI52</f>
        <v>1761.174116077385</v>
      </c>
      <c r="CJ55" s="42">
        <f>CJ49*1000/CJ52</f>
        <v>1635.8658453114306</v>
      </c>
      <c r="CK55" s="42">
        <f>CK49*1000/CK52</f>
        <v>1615.9567275185937</v>
      </c>
      <c r="CL55" s="202">
        <f>CL49*1000/CL52</f>
        <v>1677.7629826897471</v>
      </c>
      <c r="CM55" s="43">
        <f>(CI55*CI52+CJ55*CJ52+CK55*CK52+CL55*CL52)/CM52</f>
        <v>1673.1190035347588</v>
      </c>
      <c r="CN55" s="42">
        <f>CN49*1000/CN52</f>
        <v>1642.8084526244036</v>
      </c>
      <c r="CO55" s="42">
        <f>CO49*1000/CO52</f>
        <v>1705.8428475486903</v>
      </c>
      <c r="CP55" s="42">
        <f>CP49*1000/CP52</f>
        <v>1743.7252311756934</v>
      </c>
      <c r="CQ55" s="202">
        <f>CQ49*1000/CQ52</f>
        <v>1864.0776699029127</v>
      </c>
      <c r="CR55" s="43">
        <f>(CN55*CN52+CO55*CO52+CP55*CP52+CQ55*CQ52)/CR52</f>
        <v>1740.6483790523691</v>
      </c>
      <c r="CS55" s="42">
        <f>CS49*1000/CS52</f>
        <v>1965.8119658119658</v>
      </c>
      <c r="CT55" s="42">
        <f>CT49*1000/CT52</f>
        <v>2081.7369093231164</v>
      </c>
      <c r="CU55" s="42">
        <f>CU49*1000/CU52</f>
        <v>2131.1475409836066</v>
      </c>
      <c r="CV55" s="202">
        <f>CV49*1000/CV52</f>
        <v>2198.4838042729152</v>
      </c>
      <c r="CW55" s="43">
        <f>(CS55*CS52+CT55*CT52+CU55*CU52+CV55*CV52)/CW52</f>
        <v>2093.4030045721752</v>
      </c>
      <c r="CX55" s="42">
        <f>CX49*1000/CX52</f>
        <v>2131.9018404907974</v>
      </c>
      <c r="CY55" s="42">
        <f>CY49*1000/CY52</f>
        <v>2125.9259259259261</v>
      </c>
      <c r="CZ55" s="42">
        <f>CZ49*1000/CZ52</f>
        <v>2090.3954802259886</v>
      </c>
      <c r="DA55" s="42">
        <f>DA49*1000/DA52</f>
        <v>2047.3448496481124</v>
      </c>
      <c r="DB55" s="43">
        <f>(CX55*CX52+CY55*CY52+CZ55*CZ52+DA55*DA52)/DB52</f>
        <v>2096.5737617610512</v>
      </c>
      <c r="DC55" s="42">
        <f>DC49*1000/DC52</f>
        <v>2053.0638029058746</v>
      </c>
      <c r="DD55" s="42">
        <f>DD49*1000/DD52</f>
        <v>2105.9516023544802</v>
      </c>
      <c r="DE55" s="42">
        <f>DE49*1000/DE52</f>
        <v>2142.3948220064726</v>
      </c>
      <c r="DF55" s="42">
        <f>DF49*1000/DF52</f>
        <v>2147.3652830433234</v>
      </c>
      <c r="DG55" s="43">
        <f>(DC55*DC52+DD55*DD52+DE55*DE52+DF55*DF52)/DG52</f>
        <v>2112.2720660395385</v>
      </c>
      <c r="DH55" s="42">
        <f>DH49*1000/DH52</f>
        <v>2255.7840616966582</v>
      </c>
      <c r="DI55" s="42">
        <f>DI49*1000/DI52</f>
        <v>2458.36109260493</v>
      </c>
      <c r="DJ55" s="42">
        <f>DJ49*1000/DJ52</f>
        <v>2493.0167597765367</v>
      </c>
      <c r="DK55" s="42">
        <f>DK49*1000/DK52</f>
        <v>2405.3156146179404</v>
      </c>
      <c r="DL55" s="43">
        <f>(DH55*DH52+DI55*DI52+DJ55*DJ52+DK55*DK52)/DL52</f>
        <v>2400.7340674007341</v>
      </c>
      <c r="DM55" s="42">
        <f>DM49*1000/DM52</f>
        <v>2429.4156270518711</v>
      </c>
      <c r="DN55" s="42">
        <f>DN49*1000/DN52</f>
        <v>2465.0233177881414</v>
      </c>
      <c r="DO55" s="42">
        <f>DO49*1000/DO52</f>
        <v>2412.34221598878</v>
      </c>
      <c r="DP55" s="42">
        <f>DP49*1000/DP52</f>
        <v>2398.9396951623589</v>
      </c>
      <c r="DQ55" s="43">
        <f>(DM55*DM52+DN55*DN52+DO55*DO52+DP55*DP52)/DQ52</f>
        <v>2426.5816412149688</v>
      </c>
      <c r="DR55" s="42">
        <f>DR49*1000/DR52</f>
        <v>2440.8384043272481</v>
      </c>
      <c r="DS55" s="42">
        <f>DS49*1000/DS52</f>
        <v>2474.6450304259633</v>
      </c>
      <c r="DT55" s="42">
        <f>DT49*1000/DT52</f>
        <v>2507.246376811594</v>
      </c>
      <c r="DU55" s="42">
        <f>DU49*1000/DU52</f>
        <v>2454.8286604361369</v>
      </c>
      <c r="DV55" s="43">
        <f>(DR55*DR52+DS55*DS52+DT55*DT52+DU55*DU52)/DV52</f>
        <v>2468.4502776375571</v>
      </c>
      <c r="DW55" s="42">
        <f>DW49*1000/DW52</f>
        <v>2454.1128484024475</v>
      </c>
      <c r="DX55" s="42">
        <f>DX49*1000/DX52</f>
        <v>2480.719794344473</v>
      </c>
      <c r="DY55" s="42">
        <f>DY49*1000/DY52</f>
        <v>2491.4442162902124</v>
      </c>
      <c r="DZ55" s="42">
        <f>DZ49*1000/DZ52</f>
        <v>2496.7741935483873</v>
      </c>
      <c r="EA55" s="43">
        <f>(DW55*DW52+DX55*DX52+DY55*DY52+DZ55*DZ52)/EA52</f>
        <v>2480.953958264326</v>
      </c>
      <c r="EB55" s="42">
        <f>EB49*1000/EB52</f>
        <v>2493.3333333333335</v>
      </c>
      <c r="EC55" s="42">
        <f>EC49*1000/EC52</f>
        <v>2465.8425504229021</v>
      </c>
      <c r="ED55" s="42">
        <f>ED49*1000/ED52</f>
        <v>2485.2844996729887</v>
      </c>
      <c r="EE55" s="42">
        <f>EE49*1000/EE52</f>
        <v>2513.1233595800522</v>
      </c>
      <c r="EF55" s="43">
        <f>(EB55*EB52+EC55*EC52+ED55*ED52+EE55*EE52)/EF52</f>
        <v>2489.3267651888341</v>
      </c>
      <c r="EG55" s="42">
        <f>EG49*1000/EG52</f>
        <v>2549.5376486129458</v>
      </c>
      <c r="EH55" s="42">
        <f>EH49*1000/EH52</f>
        <v>2587.8378378378379</v>
      </c>
      <c r="EI55" s="42">
        <f>EI49*1000/EI52</f>
        <v>2574.5257452574529</v>
      </c>
      <c r="EJ55" s="42">
        <f>EJ49*1000/EJ52</f>
        <v>2587.5486381322958</v>
      </c>
      <c r="EK55" s="43">
        <f>(EG55*EG52+EH55*EH52+EI55*EI52+EJ55*EJ52)/EK52</f>
        <v>2574.8502994011974</v>
      </c>
      <c r="EL55" s="42">
        <f>EL49*1000/EL52</f>
        <v>2568.5618729096991</v>
      </c>
      <c r="EM55" s="42">
        <f>EM49*1000/EM52</f>
        <v>2635.5525051475638</v>
      </c>
      <c r="EN55" s="42">
        <f>EN49*1000/EN52</f>
        <v>2625.1691474966169</v>
      </c>
      <c r="EO55" s="42">
        <f>EO49*1000/EO52</f>
        <v>2678.0821917808221</v>
      </c>
      <c r="EP55" s="43">
        <f>(EL55*EL52+EM55*EM52+EN55*EN52+EO55*EO52)/EP52</f>
        <v>2626.4855687606114</v>
      </c>
      <c r="EQ55" s="42">
        <f>EQ49*1000/EQ52</f>
        <v>2650.033715441672</v>
      </c>
      <c r="ER55" s="42">
        <f>EM55*(1+ER56)</f>
        <v>2714.6190803019908</v>
      </c>
      <c r="ES55" s="42">
        <f>EN55*(1+ES56)</f>
        <v>2703.9242219215157</v>
      </c>
      <c r="ET55" s="42">
        <f>EO55*(1+ET56)</f>
        <v>2758.4246575342468</v>
      </c>
      <c r="EU55" s="1946">
        <f>(EQ55*EQ52+ER55*ER52+ES55*ES52+ET55*ET52)/EU52</f>
        <v>2706.8689731671966</v>
      </c>
      <c r="EZ55" s="755">
        <f>EU55*(1+EZ56)</f>
        <v>2774.5406974963762</v>
      </c>
      <c r="FE55" s="755">
        <f>EZ55*(1+FE56)</f>
        <v>2843.9042149337852</v>
      </c>
      <c r="FF55" s="755"/>
      <c r="FG55" s="622"/>
      <c r="FH55" s="1025"/>
      <c r="FI55" s="1025"/>
      <c r="FJ55" s="1025"/>
      <c r="FK55" s="1025"/>
      <c r="FL55" s="1799"/>
      <c r="FM55" s="42">
        <f t="shared" si="152"/>
        <v>2650.033715441672</v>
      </c>
      <c r="FN55" s="42">
        <f t="shared" si="153"/>
        <v>2568.5618729096991</v>
      </c>
      <c r="FO55" s="42">
        <v>2671.304347826087</v>
      </c>
      <c r="FP55" s="1863">
        <f>IFERROR(($FM55/FN55)-1,"")</f>
        <v>3.1718855360755027E-2</v>
      </c>
      <c r="FQ55" s="1863">
        <f>IFERROR(($FM55/FO55)-1,"")</f>
        <v>-7.9626390761969867E-3</v>
      </c>
      <c r="FR55" s="122"/>
      <c r="FS55" s="122"/>
      <c r="FT55" s="122"/>
      <c r="FU55" s="122"/>
      <c r="FV55" s="122"/>
      <c r="FW55" s="122"/>
      <c r="FX55" s="122"/>
      <c r="FY55" s="122"/>
      <c r="FZ55" s="122"/>
      <c r="GA55" s="622"/>
      <c r="GB55"/>
      <c r="GC55"/>
      <c r="GD55"/>
      <c r="GE55"/>
      <c r="GF55"/>
      <c r="GG55"/>
      <c r="GH55" s="953"/>
      <c r="GI55" s="953"/>
      <c r="GJ55" s="953"/>
      <c r="GK55" s="953"/>
      <c r="GL55" s="953"/>
      <c r="GM55" s="953"/>
      <c r="GN55" s="953"/>
      <c r="GO55" s="953"/>
      <c r="GP55" s="953"/>
      <c r="GQ55" s="953"/>
      <c r="GR55" s="953"/>
      <c r="GS55" s="953"/>
      <c r="GT55" s="953"/>
      <c r="GU55" s="953"/>
      <c r="GV55" s="953"/>
      <c r="GW55" s="953"/>
      <c r="GX55" s="953"/>
      <c r="GY55" s="953"/>
      <c r="GZ55" s="953"/>
      <c r="HA55" s="953"/>
      <c r="HB55" s="953"/>
      <c r="HC55" s="953"/>
      <c r="HD55" s="953"/>
      <c r="HE55" s="953"/>
      <c r="HF55" s="953"/>
      <c r="HG55" s="953"/>
      <c r="HH55" s="953"/>
      <c r="HI55" s="953"/>
      <c r="HJ55" s="953"/>
      <c r="HK55" s="953"/>
      <c r="HL55" s="953"/>
      <c r="HM55" s="953"/>
      <c r="HN55" s="953"/>
      <c r="HO55" s="953"/>
      <c r="HP55" s="953"/>
      <c r="HQ55" s="953"/>
      <c r="HR55" s="953"/>
      <c r="HS55" s="953"/>
      <c r="HT55" s="953"/>
      <c r="HU55" s="953"/>
      <c r="HV55" s="953"/>
      <c r="HW55" s="953"/>
      <c r="HX55" s="953"/>
      <c r="HY55" s="953"/>
      <c r="HZ55" s="953"/>
      <c r="IA55" s="953"/>
      <c r="IB55" s="953"/>
      <c r="IC55" s="953"/>
      <c r="ID55" s="953"/>
      <c r="IE55" s="953"/>
      <c r="IF55" s="953"/>
      <c r="IG55" s="953"/>
      <c r="IH55" s="953"/>
      <c r="II55" s="953"/>
      <c r="IJ55" s="953"/>
      <c r="IK55" s="953"/>
      <c r="IL55" s="953"/>
      <c r="IM55" s="953"/>
      <c r="IN55" s="953"/>
      <c r="IO55" s="953"/>
      <c r="IP55" s="953"/>
      <c r="IQ55" s="953"/>
      <c r="IR55" s="953"/>
      <c r="IS55" s="953"/>
      <c r="IT55" s="953"/>
      <c r="IU55" s="953"/>
      <c r="IV55" s="953"/>
    </row>
    <row r="56" spans="1:256" s="68" customFormat="1" ht="12.75" x14ac:dyDescent="0.2">
      <c r="A56" s="242" t="s">
        <v>218</v>
      </c>
      <c r="B56" s="22"/>
      <c r="C56" s="22"/>
      <c r="D56" s="22"/>
      <c r="E56" s="197"/>
      <c r="F56" s="21"/>
      <c r="G56" s="22"/>
      <c r="H56" s="22"/>
      <c r="I56" s="22"/>
      <c r="J56" s="197"/>
      <c r="K56" s="21"/>
      <c r="L56" s="22"/>
      <c r="M56" s="22"/>
      <c r="N56" s="22"/>
      <c r="O56" s="197"/>
      <c r="P56" s="21"/>
      <c r="Q56" s="22">
        <f t="shared" ref="Q56:CB56" si="189">Q55/L55-1</f>
        <v>6.3556021028845056E-2</v>
      </c>
      <c r="R56" s="22">
        <f t="shared" si="189"/>
        <v>0.11442122424781398</v>
      </c>
      <c r="S56" s="22">
        <f t="shared" si="189"/>
        <v>1.0579665106756231E-2</v>
      </c>
      <c r="T56" s="197">
        <f t="shared" si="189"/>
        <v>-3.8021052757385432E-2</v>
      </c>
      <c r="U56" s="21">
        <f t="shared" si="189"/>
        <v>3.4273715132025595E-2</v>
      </c>
      <c r="V56" s="22">
        <f t="shared" si="189"/>
        <v>-1.4854136776661919E-2</v>
      </c>
      <c r="W56" s="22">
        <f t="shared" si="189"/>
        <v>-1.1115186502304364E-2</v>
      </c>
      <c r="X56" s="22">
        <f t="shared" si="189"/>
        <v>6.4880574321073192E-2</v>
      </c>
      <c r="Y56" s="197">
        <f t="shared" si="189"/>
        <v>4.000446672967306E-2</v>
      </c>
      <c r="Z56" s="21">
        <f t="shared" si="189"/>
        <v>1.9978764993319409E-2</v>
      </c>
      <c r="AA56" s="22">
        <f t="shared" si="189"/>
        <v>0.13742954261864804</v>
      </c>
      <c r="AB56" s="22">
        <f t="shared" si="189"/>
        <v>8.2797206532334577E-2</v>
      </c>
      <c r="AC56" s="22">
        <f t="shared" si="189"/>
        <v>3.4210526315789469E-2</v>
      </c>
      <c r="AD56" s="197">
        <f t="shared" si="189"/>
        <v>5.0441061812115828E-2</v>
      </c>
      <c r="AE56" s="21">
        <f t="shared" si="189"/>
        <v>7.4707292989137919E-2</v>
      </c>
      <c r="AF56" s="22">
        <f t="shared" si="189"/>
        <v>-3.2235950838134797E-2</v>
      </c>
      <c r="AG56" s="22">
        <f t="shared" si="189"/>
        <v>7.1783871986526027E-3</v>
      </c>
      <c r="AH56" s="22">
        <f t="shared" si="189"/>
        <v>2.1908160612577721E-2</v>
      </c>
      <c r="AI56" s="197">
        <f t="shared" si="189"/>
        <v>5.963058132583865E-2</v>
      </c>
      <c r="AJ56" s="21">
        <f t="shared" si="189"/>
        <v>1.4605607170613322E-2</v>
      </c>
      <c r="AK56" s="22">
        <f t="shared" si="189"/>
        <v>0.10589524958781427</v>
      </c>
      <c r="AL56" s="22">
        <f t="shared" si="189"/>
        <v>5.9512029820399936E-2</v>
      </c>
      <c r="AM56" s="22">
        <f t="shared" si="189"/>
        <v>1.1773138131960126E-2</v>
      </c>
      <c r="AN56" s="197">
        <f t="shared" si="189"/>
        <v>-1.7845273702701503E-2</v>
      </c>
      <c r="AO56" s="21">
        <f t="shared" si="189"/>
        <v>3.8274359833333049E-2</v>
      </c>
      <c r="AP56" s="22">
        <f t="shared" si="189"/>
        <v>-1.0902483343427916E-3</v>
      </c>
      <c r="AQ56" s="22">
        <f t="shared" si="189"/>
        <v>-3.1679326877664948E-3</v>
      </c>
      <c r="AR56" s="22">
        <f t="shared" si="189"/>
        <v>4.5152230305630869E-2</v>
      </c>
      <c r="AS56" s="197">
        <f t="shared" si="189"/>
        <v>4.6634004717837074E-2</v>
      </c>
      <c r="AT56" s="21">
        <f t="shared" si="189"/>
        <v>2.1553624909841584E-2</v>
      </c>
      <c r="AU56" s="22">
        <f t="shared" si="189"/>
        <v>-4.7815385272996558E-2</v>
      </c>
      <c r="AV56" s="22">
        <f t="shared" si="189"/>
        <v>5.2212344503954622E-3</v>
      </c>
      <c r="AW56" s="22">
        <f t="shared" si="189"/>
        <v>-1.8929846670867501E-2</v>
      </c>
      <c r="AX56" s="197">
        <f t="shared" si="189"/>
        <v>1.7654573326520095E-2</v>
      </c>
      <c r="AY56" s="21">
        <f t="shared" si="189"/>
        <v>-1.0905783505976707E-2</v>
      </c>
      <c r="AZ56" s="22">
        <f t="shared" si="189"/>
        <v>5.7461732378743413E-2</v>
      </c>
      <c r="BA56" s="22">
        <f t="shared" si="189"/>
        <v>-9.4515272519528626E-3</v>
      </c>
      <c r="BB56" s="22">
        <f t="shared" si="189"/>
        <v>4.4204411734697358E-2</v>
      </c>
      <c r="BC56" s="197">
        <f t="shared" si="189"/>
        <v>4.6237217026483757E-2</v>
      </c>
      <c r="BD56" s="21">
        <f t="shared" si="189"/>
        <v>3.5253464406927559E-2</v>
      </c>
      <c r="BE56" s="22">
        <f t="shared" si="189"/>
        <v>8.0220081680595801E-2</v>
      </c>
      <c r="BF56" s="22">
        <f t="shared" si="189"/>
        <v>0.11441690542620142</v>
      </c>
      <c r="BG56" s="22">
        <f t="shared" si="189"/>
        <v>4.5158351345181202E-2</v>
      </c>
      <c r="BH56" s="197">
        <f t="shared" si="189"/>
        <v>7.5634832716648948E-3</v>
      </c>
      <c r="BI56" s="21">
        <f t="shared" si="189"/>
        <v>6.0412014349370935E-2</v>
      </c>
      <c r="BJ56" s="22">
        <f t="shared" si="189"/>
        <v>-2.9091067058602205E-2</v>
      </c>
      <c r="BK56" s="22">
        <f t="shared" si="189"/>
        <v>-5.4179566563465897E-3</v>
      </c>
      <c r="BL56" s="22">
        <f t="shared" si="189"/>
        <v>5.8685812392695214E-2</v>
      </c>
      <c r="BM56" s="197">
        <f t="shared" si="189"/>
        <v>6.6795466384790947E-2</v>
      </c>
      <c r="BN56" s="21">
        <f t="shared" si="189"/>
        <v>2.1454498314752435E-2</v>
      </c>
      <c r="BO56" s="22">
        <f t="shared" si="189"/>
        <v>6.7635009310987204E-2</v>
      </c>
      <c r="BP56" s="22">
        <f t="shared" si="189"/>
        <v>4.2452830188679069E-2</v>
      </c>
      <c r="BQ56" s="22">
        <f t="shared" si="189"/>
        <v>1.3434841021047195E-3</v>
      </c>
      <c r="BR56" s="197">
        <f t="shared" si="189"/>
        <v>4.4402177477536497E-2</v>
      </c>
      <c r="BS56" s="21">
        <f t="shared" si="189"/>
        <v>3.9164941338854176E-2</v>
      </c>
      <c r="BT56" s="22">
        <f t="shared" si="189"/>
        <v>1.553424287451044E-2</v>
      </c>
      <c r="BU56" s="22">
        <f t="shared" si="189"/>
        <v>4.2310501769961206E-2</v>
      </c>
      <c r="BV56" s="22">
        <f t="shared" si="189"/>
        <v>-8.0070014710535986E-3</v>
      </c>
      <c r="BW56" s="197">
        <f t="shared" si="189"/>
        <v>-2.359026830377442E-2</v>
      </c>
      <c r="BX56" s="21">
        <f t="shared" si="189"/>
        <v>5.9039007064021209E-3</v>
      </c>
      <c r="BY56" s="22">
        <f t="shared" si="189"/>
        <v>4.3742280773979569E-3</v>
      </c>
      <c r="BZ56" s="22">
        <f t="shared" si="189"/>
        <v>1.1233530449217044E-2</v>
      </c>
      <c r="CA56" s="22">
        <f t="shared" si="189"/>
        <v>4.4706578253657314E-2</v>
      </c>
      <c r="CB56" s="197">
        <f t="shared" si="189"/>
        <v>7.2509467622296375E-2</v>
      </c>
      <c r="CC56" s="21">
        <f t="shared" ref="CC56:DU56" si="190">CC55/BX55-1</f>
        <v>3.3261463811826486E-2</v>
      </c>
      <c r="CD56" s="22">
        <f t="shared" si="190"/>
        <v>5.5454167066884663E-2</v>
      </c>
      <c r="CE56" s="22">
        <f t="shared" si="190"/>
        <v>5.6121376346095264E-2</v>
      </c>
      <c r="CF56" s="22">
        <f t="shared" si="190"/>
        <v>0.12996801352990905</v>
      </c>
      <c r="CG56" s="197">
        <f t="shared" si="190"/>
        <v>0.30271199388846459</v>
      </c>
      <c r="CH56" s="21">
        <f t="shared" si="190"/>
        <v>0.13762478969675285</v>
      </c>
      <c r="CI56" s="22">
        <f t="shared" si="190"/>
        <v>0.33107685825638145</v>
      </c>
      <c r="CJ56" s="22">
        <f t="shared" si="190"/>
        <v>0.19825097197177377</v>
      </c>
      <c r="CK56" s="22">
        <f t="shared" si="190"/>
        <v>0.12872128997889654</v>
      </c>
      <c r="CL56" s="197">
        <f t="shared" si="190"/>
        <v>-1.1002873361833365E-2</v>
      </c>
      <c r="CM56" s="21">
        <f t="shared" si="190"/>
        <v>0.14986712286198922</v>
      </c>
      <c r="CN56" s="22">
        <f t="shared" si="190"/>
        <v>-6.7208382392431432E-2</v>
      </c>
      <c r="CO56" s="22">
        <f t="shared" si="190"/>
        <v>4.2776736514073876E-2</v>
      </c>
      <c r="CP56" s="22">
        <f t="shared" si="190"/>
        <v>7.9066785317510657E-2</v>
      </c>
      <c r="CQ56" s="197">
        <f t="shared" si="190"/>
        <v>0.11104946833102169</v>
      </c>
      <c r="CR56" s="21">
        <f t="shared" si="190"/>
        <v>4.0361370216310144E-2</v>
      </c>
      <c r="CS56" s="22">
        <f t="shared" si="190"/>
        <v>0.19661666134695177</v>
      </c>
      <c r="CT56" s="22">
        <f t="shared" si="190"/>
        <v>0.22035679448114975</v>
      </c>
      <c r="CU56" s="22">
        <f t="shared" si="190"/>
        <v>0.22218082463984112</v>
      </c>
      <c r="CV56" s="197">
        <f t="shared" si="190"/>
        <v>0.17939495750057421</v>
      </c>
      <c r="CW56" s="21">
        <f t="shared" si="190"/>
        <v>0.20265702698200894</v>
      </c>
      <c r="CX56" s="22">
        <f t="shared" si="190"/>
        <v>8.448919711923164E-2</v>
      </c>
      <c r="CY56" s="22">
        <f t="shared" si="190"/>
        <v>2.1226993865030686E-2</v>
      </c>
      <c r="CZ56" s="22">
        <f t="shared" si="190"/>
        <v>-1.9122120817036126E-2</v>
      </c>
      <c r="DA56" s="22">
        <f t="shared" si="190"/>
        <v>-6.8746903812096805E-2</v>
      </c>
      <c r="DB56" s="21">
        <f t="shared" si="190"/>
        <v>1.5146425136254305E-3</v>
      </c>
      <c r="DC56" s="22">
        <f t="shared" si="190"/>
        <v>-3.6980144248467406E-2</v>
      </c>
      <c r="DD56" s="22">
        <f t="shared" si="190"/>
        <v>-9.3955877426661338E-3</v>
      </c>
      <c r="DE56" s="22">
        <f t="shared" si="190"/>
        <v>2.4875360797691037E-2</v>
      </c>
      <c r="DF56" s="22">
        <f t="shared" si="190"/>
        <v>4.8853730436473342E-2</v>
      </c>
      <c r="DG56" s="21">
        <f t="shared" si="190"/>
        <v>7.4875993226688475E-3</v>
      </c>
      <c r="DH56" s="22">
        <f t="shared" si="190"/>
        <v>9.8740359897172558E-2</v>
      </c>
      <c r="DI56" s="22">
        <f t="shared" si="190"/>
        <v>0.1673397858984278</v>
      </c>
      <c r="DJ56" s="22">
        <f t="shared" si="190"/>
        <v>0.16365888031865516</v>
      </c>
      <c r="DK56" s="22">
        <f t="shared" si="190"/>
        <v>0.12012410446025301</v>
      </c>
      <c r="DL56" s="21">
        <f>DL55/DG55-1</f>
        <v>0.13656479484769002</v>
      </c>
      <c r="DM56" s="22">
        <f t="shared" si="190"/>
        <v>7.6971713872567182E-2</v>
      </c>
      <c r="DN56" s="22">
        <f t="shared" si="190"/>
        <v>2.7100271002711285E-3</v>
      </c>
      <c r="DO56" s="22">
        <f t="shared" si="190"/>
        <v>-3.2360209160803177E-2</v>
      </c>
      <c r="DP56" s="22">
        <f t="shared" si="190"/>
        <v>-2.6507620941021992E-3</v>
      </c>
      <c r="DQ56" s="21">
        <f>DQ55/DL55-1</f>
        <v>1.0766529356672772E-2</v>
      </c>
      <c r="DR56" s="22">
        <f t="shared" si="190"/>
        <v>4.7018621055132659E-3</v>
      </c>
      <c r="DS56" s="22">
        <f t="shared" si="190"/>
        <v>3.9032947755055503E-3</v>
      </c>
      <c r="DT56" s="666">
        <f t="shared" si="190"/>
        <v>3.9341085271317633E-2</v>
      </c>
      <c r="DU56" s="22">
        <f t="shared" si="190"/>
        <v>2.3297361491196433E-2</v>
      </c>
      <c r="DV56" s="21">
        <f t="shared" ref="DV56:ED56" si="191">DV55/DQ55-1</f>
        <v>1.7254163516058352E-2</v>
      </c>
      <c r="DW56" s="22">
        <f t="shared" si="191"/>
        <v>5.4384772263766923E-3</v>
      </c>
      <c r="DX56" s="22">
        <f t="shared" si="191"/>
        <v>2.4548021408403731E-3</v>
      </c>
      <c r="DY56" s="666">
        <f t="shared" si="191"/>
        <v>-6.302595814886347E-3</v>
      </c>
      <c r="DZ56" s="22">
        <f t="shared" si="191"/>
        <v>1.7086949402325358E-2</v>
      </c>
      <c r="EA56" s="21">
        <f t="shared" si="191"/>
        <v>5.0653969982881186E-3</v>
      </c>
      <c r="EB56" s="22">
        <f>EB55/DW55-1</f>
        <v>1.5981532779316687E-2</v>
      </c>
      <c r="EC56" s="22">
        <f t="shared" si="191"/>
        <v>-5.9971480678664424E-3</v>
      </c>
      <c r="ED56" s="666">
        <f t="shared" si="191"/>
        <v>-2.4723477960889584E-3</v>
      </c>
      <c r="EE56" s="22">
        <f t="shared" ref="EE56:EN56" si="192">EE55/DZ55-1</f>
        <v>6.5481155940776414E-3</v>
      </c>
      <c r="EF56" s="21">
        <f t="shared" si="192"/>
        <v>3.3748336588905747E-3</v>
      </c>
      <c r="EG56" s="22">
        <f t="shared" si="192"/>
        <v>2.2541837678988985E-2</v>
      </c>
      <c r="EH56" s="22">
        <f t="shared" si="192"/>
        <v>4.9474078299935664E-2</v>
      </c>
      <c r="EI56" s="666">
        <f t="shared" si="192"/>
        <v>3.5907859078591065E-2</v>
      </c>
      <c r="EJ56" s="22">
        <f t="shared" si="192"/>
        <v>2.9614653920005063E-2</v>
      </c>
      <c r="EK56" s="21">
        <f t="shared" si="192"/>
        <v>3.4356089930956069E-2</v>
      </c>
      <c r="EL56" s="22">
        <f t="shared" si="192"/>
        <v>7.4618330531825983E-3</v>
      </c>
      <c r="EM56" s="22">
        <f t="shared" si="192"/>
        <v>1.8438043764593903E-2</v>
      </c>
      <c r="EN56" s="666">
        <f t="shared" si="192"/>
        <v>1.9670963606580605E-2</v>
      </c>
      <c r="EO56" s="22">
        <f t="shared" ref="EO56" si="193">EO55/EJ55-1</f>
        <v>3.4988155319806369E-2</v>
      </c>
      <c r="EP56" s="21">
        <f t="shared" ref="EP56:EQ56" si="194">EP55/EK55-1</f>
        <v>2.0053697634935252E-2</v>
      </c>
      <c r="EQ56" s="22">
        <f t="shared" si="194"/>
        <v>3.1718855360755027E-2</v>
      </c>
      <c r="ER56" s="361">
        <v>0.03</v>
      </c>
      <c r="ES56" s="361">
        <v>0.03</v>
      </c>
      <c r="ET56" s="361">
        <v>0.03</v>
      </c>
      <c r="EU56" s="270">
        <f>EU55/EP55-1</f>
        <v>3.0604929020994653E-2</v>
      </c>
      <c r="EV56" s="363"/>
      <c r="EW56" s="363"/>
      <c r="EX56" s="363"/>
      <c r="EY56" s="363"/>
      <c r="EZ56" s="847">
        <v>2.5000000000000001E-2</v>
      </c>
      <c r="FA56" s="363"/>
      <c r="FB56" s="363"/>
      <c r="FC56" s="363"/>
      <c r="FD56" s="363"/>
      <c r="FE56" s="847">
        <v>2.5000000000000001E-2</v>
      </c>
      <c r="FF56" s="846"/>
      <c r="FG56" s="633"/>
      <c r="FH56" s="1020"/>
      <c r="FI56" s="1020"/>
      <c r="FJ56" s="1020"/>
      <c r="FK56" s="1020"/>
      <c r="FL56" s="1798"/>
      <c r="FM56" s="22">
        <f t="shared" si="152"/>
        <v>3.1718855360755027E-2</v>
      </c>
      <c r="FN56" s="22">
        <f t="shared" si="153"/>
        <v>7.4618330531825983E-3</v>
      </c>
      <c r="FO56" s="361">
        <v>0.04</v>
      </c>
      <c r="FP56" s="1892">
        <f>IFERROR(($FM56-FN56)*10000,"")</f>
        <v>242.5702230757243</v>
      </c>
      <c r="FQ56" s="1892">
        <f>IFERROR(($FM56-FO56)*10000,"")</f>
        <v>-82.811446392449739</v>
      </c>
      <c r="FR56" s="587"/>
      <c r="FS56" s="587"/>
      <c r="FT56" s="587"/>
      <c r="FU56" s="587"/>
      <c r="FV56" s="587"/>
      <c r="FW56" s="587"/>
      <c r="FX56" s="587"/>
      <c r="FY56" s="587"/>
      <c r="FZ56" s="587"/>
      <c r="GA56" s="633"/>
      <c r="GB56"/>
      <c r="GC56"/>
      <c r="GD56"/>
      <c r="GE56"/>
      <c r="GF56"/>
      <c r="GG56"/>
      <c r="GH56" s="904"/>
      <c r="GI56" s="904"/>
      <c r="GJ56" s="904"/>
      <c r="GK56" s="904"/>
      <c r="GL56" s="904"/>
      <c r="GM56" s="904"/>
      <c r="GN56" s="904"/>
      <c r="GO56" s="904"/>
      <c r="GP56" s="904"/>
      <c r="GQ56" s="904"/>
      <c r="GR56" s="904"/>
      <c r="GS56" s="904"/>
      <c r="GT56" s="904"/>
      <c r="GU56" s="904"/>
      <c r="GV56" s="904"/>
      <c r="GW56" s="904"/>
      <c r="GX56" s="904"/>
      <c r="GY56" s="904"/>
      <c r="GZ56" s="904"/>
      <c r="HA56" s="904"/>
      <c r="HB56" s="904"/>
      <c r="HC56" s="904"/>
      <c r="HD56" s="904"/>
      <c r="HE56" s="904"/>
      <c r="HF56" s="904"/>
      <c r="HG56" s="904"/>
      <c r="HH56" s="904"/>
      <c r="HI56" s="904"/>
      <c r="HJ56" s="904"/>
      <c r="HK56" s="904"/>
      <c r="HL56" s="904"/>
      <c r="HM56" s="904"/>
      <c r="HN56" s="904"/>
      <c r="HO56" s="904"/>
      <c r="HP56" s="904"/>
      <c r="HQ56" s="904"/>
      <c r="HR56" s="904"/>
      <c r="HS56" s="904"/>
      <c r="HT56" s="904"/>
      <c r="HU56" s="904"/>
      <c r="HV56" s="904"/>
      <c r="HW56" s="904"/>
      <c r="HX56" s="904"/>
      <c r="HY56" s="904"/>
      <c r="HZ56" s="904"/>
      <c r="IA56" s="904"/>
      <c r="IB56" s="904"/>
      <c r="IC56" s="904"/>
      <c r="ID56" s="904"/>
      <c r="IE56" s="904"/>
      <c r="IF56" s="904"/>
      <c r="IG56" s="904"/>
      <c r="IH56" s="904"/>
      <c r="II56" s="904"/>
      <c r="IJ56" s="904"/>
      <c r="IK56" s="904"/>
      <c r="IL56" s="904"/>
      <c r="IM56" s="904"/>
      <c r="IN56" s="904"/>
      <c r="IO56" s="904"/>
      <c r="IP56" s="904"/>
      <c r="IQ56" s="904"/>
      <c r="IR56" s="904"/>
      <c r="IS56" s="904"/>
      <c r="IT56" s="904"/>
      <c r="IU56" s="904"/>
      <c r="IV56" s="904"/>
    </row>
    <row r="57" spans="1:256" s="458" customFormat="1" ht="12.75" x14ac:dyDescent="0.2">
      <c r="A57" s="460" t="s">
        <v>13</v>
      </c>
      <c r="F57" s="462"/>
      <c r="K57" s="462"/>
      <c r="P57" s="462"/>
      <c r="U57" s="462"/>
      <c r="Z57" s="462"/>
      <c r="AE57" s="462"/>
      <c r="AJ57" s="462"/>
      <c r="AO57" s="462"/>
      <c r="AT57" s="462"/>
      <c r="AY57" s="462"/>
      <c r="BD57" s="462"/>
      <c r="BI57" s="462"/>
      <c r="BN57" s="462"/>
      <c r="BS57" s="462"/>
      <c r="BX57" s="462"/>
      <c r="BZ57" s="458">
        <f>BZ55/BY55-1</f>
        <v>3.1160527216421041E-2</v>
      </c>
      <c r="CA57" s="458">
        <f>CA55/BZ55-1</f>
        <v>-1.9853940627186706E-2</v>
      </c>
      <c r="CB57" s="458">
        <f>CB55/CA55-1</f>
        <v>2.7804006735596243E-2</v>
      </c>
      <c r="CC57" s="462"/>
      <c r="CD57" s="458">
        <f>CD55/CB55-1</f>
        <v>1.6042780748663166E-2</v>
      </c>
      <c r="CE57" s="458">
        <f>CE55/CD55-1</f>
        <v>3.1812379180800043E-2</v>
      </c>
      <c r="CF57" s="458">
        <f>CF55/CE55-1</f>
        <v>4.8680313157228206E-2</v>
      </c>
      <c r="CG57" s="458">
        <f>CG55/CF55-1</f>
        <v>0.18492965367965386</v>
      </c>
      <c r="CH57" s="462"/>
      <c r="CI57" s="458">
        <f>CI55/CG55-1</f>
        <v>3.8165794740353087E-2</v>
      </c>
      <c r="CJ57" s="458">
        <f>CJ55/CI55-1</f>
        <v>-7.1150415862941463E-2</v>
      </c>
      <c r="CK57" s="458">
        <f>CK55/CJ55-1</f>
        <v>-1.2170385395537497E-2</v>
      </c>
      <c r="CL57" s="458">
        <f>CL55/CK55-1</f>
        <v>3.8247469204240936E-2</v>
      </c>
      <c r="CM57" s="462"/>
      <c r="CN57" s="458">
        <f>CN55/CL55-1</f>
        <v>-2.0834009586565894E-2</v>
      </c>
      <c r="CO57" s="458">
        <f>CO55/CN55-1</f>
        <v>3.8369899316982758E-2</v>
      </c>
      <c r="CP57" s="458">
        <f>CP55/CO55-1</f>
        <v>2.2207428827010878E-2</v>
      </c>
      <c r="CQ57" s="458">
        <f>CQ55/CP55-1</f>
        <v>6.9020300088261433E-2</v>
      </c>
      <c r="CR57" s="462"/>
      <c r="CS57" s="458">
        <f>CS55/CQ55-1</f>
        <v>5.4576210826210891E-2</v>
      </c>
      <c r="CT57" s="458">
        <f>CT55/CS55-1</f>
        <v>5.897051474262871E-2</v>
      </c>
      <c r="CU57" s="458">
        <f>CU55/CT55-1</f>
        <v>2.3735291159609817E-2</v>
      </c>
      <c r="CV57" s="458">
        <f>CV55/CU55-1</f>
        <v>3.1596246620367863E-2</v>
      </c>
      <c r="CW57" s="462"/>
      <c r="CX57" s="458">
        <f>CX55/CV55-1</f>
        <v>-3.0285401080831664E-2</v>
      </c>
      <c r="CY57" s="458">
        <f>CY55/CX55-1</f>
        <v>-2.8030908606446747E-3</v>
      </c>
      <c r="CZ57" s="458">
        <f>CZ55/CY55-1</f>
        <v>-1.6712927419831214E-2</v>
      </c>
      <c r="DA57" s="458">
        <f>DA55/CZ55-1</f>
        <v>-2.0594490844011104E-2</v>
      </c>
      <c r="DB57" s="462"/>
      <c r="DC57" s="458">
        <f>DC55/DA55-1</f>
        <v>2.7933512318383258E-3</v>
      </c>
      <c r="DD57" s="458">
        <f>DD55/DC55-1</f>
        <v>2.5760426623736121E-2</v>
      </c>
      <c r="DE57" s="458">
        <f>DE55/DD55-1</f>
        <v>1.7304870449657228E-2</v>
      </c>
      <c r="DF57" s="458">
        <f>DF55/DE55-1</f>
        <v>2.3200490338171065E-3</v>
      </c>
      <c r="DG57" s="462"/>
      <c r="DH57" s="458">
        <f>DH55/DF55-1</f>
        <v>5.0489210899265169E-2</v>
      </c>
      <c r="DI57" s="458">
        <f>DI55/DH55-1</f>
        <v>8.980337894395185E-2</v>
      </c>
      <c r="DJ57" s="458">
        <f>DJ55/DI55-1</f>
        <v>1.4097061361675323E-2</v>
      </c>
      <c r="DK57" s="458">
        <f>DK55/DJ55-1</f>
        <v>-3.5178722651851513E-2</v>
      </c>
      <c r="DL57" s="462"/>
      <c r="DM57" s="458">
        <f>DM55/DK55-1</f>
        <v>1.001948030747668E-2</v>
      </c>
      <c r="DN57" s="458">
        <f>DN55/DM55-1</f>
        <v>1.4656895403064807E-2</v>
      </c>
      <c r="DO57" s="458">
        <f>DO55/DN55-1</f>
        <v>-2.1371441567795024E-2</v>
      </c>
      <c r="DP57" s="458">
        <f>DP55/DO55-1</f>
        <v>-5.5558124123478159E-3</v>
      </c>
      <c r="DQ57" s="462"/>
      <c r="DR57" s="458">
        <f>DR55/DP55-1</f>
        <v>1.7465511638071307E-2</v>
      </c>
      <c r="DS57" s="458">
        <f>DS55/DR55-1</f>
        <v>1.3850415512465242E-2</v>
      </c>
      <c r="DT57" s="458">
        <f>DT55/DS55-1</f>
        <v>1.3174150629603254E-2</v>
      </c>
      <c r="DU57" s="458">
        <f>DU55/DT55-1</f>
        <v>-2.0906488034141857E-2</v>
      </c>
      <c r="DV57" s="462"/>
      <c r="DW57" s="458">
        <f>DW55/DU55-1</f>
        <v>-2.9159348072882452E-4</v>
      </c>
      <c r="DX57" s="458">
        <f>DX55/DW55-1</f>
        <v>1.0841777695490107E-2</v>
      </c>
      <c r="DY57" s="458">
        <f>DY55/DX55-1</f>
        <v>4.3231089501478692E-3</v>
      </c>
      <c r="DZ57" s="458">
        <f>DZ55/DY55-1</f>
        <v>2.1393123006026027E-3</v>
      </c>
      <c r="EA57" s="462"/>
      <c r="EB57" s="458">
        <f>EB55/DZ55-1</f>
        <v>-1.3781223083548788E-3</v>
      </c>
      <c r="EC57" s="458">
        <f>EC55/EB55-1</f>
        <v>-1.1025715071028563E-2</v>
      </c>
      <c r="ED57" s="458">
        <f>ED55/EC55-1</f>
        <v>7.8845055402065878E-3</v>
      </c>
      <c r="EE57" s="458">
        <f>EE55/ED55-1</f>
        <v>1.1201478104710505E-2</v>
      </c>
      <c r="EF57" s="462"/>
      <c r="EG57" s="458">
        <f>EG55/EE55-1</f>
        <v>1.4489654435020816E-2</v>
      </c>
      <c r="EH57" s="458">
        <f>EH55/EG55-1</f>
        <v>1.5022405825514618E-2</v>
      </c>
      <c r="EI57" s="458">
        <f>EI55/EH55-1</f>
        <v>-5.144098438373379E-3</v>
      </c>
      <c r="EJ57" s="458">
        <f>EJ55/EI55-1</f>
        <v>5.0583657587548458E-3</v>
      </c>
      <c r="EK57" s="462"/>
      <c r="EL57" s="458">
        <f>EL55/EJ55-1</f>
        <v>-7.33774234918394E-3</v>
      </c>
      <c r="EM57" s="458">
        <f>EM55/EL55-1</f>
        <v>2.6080988332189525E-2</v>
      </c>
      <c r="EN57" s="458">
        <f>EN55/EM55-1</f>
        <v>-3.9397271087056041E-3</v>
      </c>
      <c r="EO57" s="458">
        <f>EO55/EN55-1</f>
        <v>2.0156051405168851E-2</v>
      </c>
      <c r="EP57" s="462"/>
      <c r="EQ57" s="458">
        <f>EQ55/EO55-1</f>
        <v>-1.0473344106178839E-2</v>
      </c>
      <c r="ER57" s="458">
        <f>ER55/EQ55-1</f>
        <v>2.4371525722099996E-2</v>
      </c>
      <c r="ES57" s="458">
        <f>ES55/ER55-1</f>
        <v>-3.9397271087056041E-3</v>
      </c>
      <c r="ET57" s="458">
        <f>ET55/ES55-1</f>
        <v>2.0156051405168851E-2</v>
      </c>
      <c r="EU57" s="940"/>
      <c r="EZ57" s="740"/>
      <c r="FE57" s="740"/>
      <c r="FF57" s="740"/>
      <c r="FG57" s="639"/>
      <c r="FH57" s="1088">
        <f>AVERAGE(CI57,CN57,CS57,CX57,DC57,DH57,DM57,DR57,DW57,EB57,EG57,EL57,EQ57)</f>
        <v>9.0306923974147867E-3</v>
      </c>
      <c r="FI57" s="1088">
        <f>AVERAGE(CJ57,CO57,CT57,CY57,DD57,DI57,DN57,DS57,DX57,EC57,EH57,EM57)</f>
        <v>1.7364790050117419E-2</v>
      </c>
      <c r="FJ57" s="1088">
        <f>AVERAGE(CK57,CP57,CU57,CZ57,DE57,DJ57,DO57,DT57,DY57,ED57,EI57,EN57)</f>
        <v>3.6156530823056865E-3</v>
      </c>
      <c r="FK57" s="1088">
        <f>AVERAGE(CL57,CQ57,CV57,DA57,DF57,DK57,DP57,DU57,DZ57,EE57,EJ57,EO57)</f>
        <v>8.1253132144643216E-3</v>
      </c>
      <c r="FL57" s="1795"/>
      <c r="FM57" s="458">
        <f t="shared" si="152"/>
        <v>-1.0473344106178839E-2</v>
      </c>
      <c r="FN57" s="458">
        <f t="shared" si="153"/>
        <v>-7.33774234918394E-3</v>
      </c>
      <c r="FO57" s="2040">
        <v>-2.5308573334816842E-3</v>
      </c>
      <c r="FP57" s="1888">
        <f>IFERROR(($FM57-FN57)*10000,"")</f>
        <v>-31.356017569948989</v>
      </c>
      <c r="FQ57" s="1888">
        <f>IFERROR(($FM57-FO57)*10000,"")</f>
        <v>-79.424867726971542</v>
      </c>
      <c r="FR57" s="566"/>
      <c r="FS57" s="566"/>
      <c r="FT57" s="566"/>
      <c r="FU57" s="566"/>
      <c r="FV57" s="566"/>
      <c r="FW57" s="566"/>
      <c r="FX57" s="566"/>
      <c r="FY57" s="566"/>
      <c r="FZ57" s="566"/>
      <c r="GA57" s="639"/>
      <c r="GB57"/>
      <c r="GC57"/>
      <c r="GD57"/>
      <c r="GE57"/>
      <c r="GF57"/>
      <c r="GG57"/>
      <c r="GH57" s="913"/>
      <c r="GI57" s="913"/>
      <c r="GJ57" s="913"/>
      <c r="GK57" s="913"/>
      <c r="GL57" s="913"/>
      <c r="GM57" s="913"/>
      <c r="GN57" s="913"/>
      <c r="GO57" s="913"/>
      <c r="GP57" s="913"/>
      <c r="GQ57" s="913"/>
      <c r="GR57" s="913"/>
      <c r="GS57" s="913"/>
      <c r="GT57" s="913"/>
      <c r="GU57" s="913"/>
      <c r="GV57" s="913"/>
      <c r="GW57" s="913"/>
      <c r="GX57" s="913"/>
      <c r="GY57" s="913"/>
      <c r="GZ57" s="913"/>
      <c r="HA57" s="913"/>
      <c r="HB57" s="913"/>
      <c r="HC57" s="913"/>
      <c r="HD57" s="913"/>
      <c r="HE57" s="913"/>
      <c r="HF57" s="913"/>
      <c r="HG57" s="913"/>
      <c r="HH57" s="913"/>
      <c r="HI57" s="913"/>
      <c r="HJ57" s="913"/>
      <c r="HK57" s="913"/>
      <c r="HL57" s="913"/>
      <c r="HM57" s="913"/>
      <c r="HN57" s="913"/>
      <c r="HO57" s="913"/>
      <c r="HP57" s="913"/>
      <c r="HQ57" s="913"/>
      <c r="HR57" s="913"/>
      <c r="HS57" s="913"/>
      <c r="HT57" s="913"/>
      <c r="HU57" s="913"/>
      <c r="HV57" s="913"/>
      <c r="HW57" s="913"/>
      <c r="HX57" s="913"/>
      <c r="HY57" s="913"/>
      <c r="HZ57" s="913"/>
      <c r="IA57" s="913"/>
      <c r="IB57" s="913"/>
      <c r="IC57" s="913"/>
      <c r="ID57" s="913"/>
      <c r="IE57" s="913"/>
      <c r="IF57" s="913"/>
      <c r="IG57" s="913"/>
      <c r="IH57" s="913"/>
      <c r="II57" s="913"/>
      <c r="IJ57" s="913"/>
      <c r="IK57" s="913"/>
      <c r="IL57" s="913"/>
      <c r="IM57" s="913"/>
      <c r="IN57" s="913"/>
      <c r="IO57" s="913"/>
      <c r="IP57" s="913"/>
      <c r="IQ57" s="913"/>
      <c r="IR57" s="913"/>
      <c r="IS57" s="913"/>
      <c r="IT57" s="913"/>
      <c r="IU57" s="913"/>
      <c r="IV57" s="913"/>
    </row>
    <row r="58" spans="1:256" s="125" customFormat="1" ht="12.75" x14ac:dyDescent="0.2">
      <c r="A58" s="121" t="s">
        <v>498</v>
      </c>
      <c r="B58" s="122"/>
      <c r="C58" s="122"/>
      <c r="D58" s="122"/>
      <c r="E58" s="533"/>
      <c r="F58" s="534"/>
      <c r="G58" s="122">
        <v>360.7</v>
      </c>
      <c r="H58" s="122">
        <v>353.5</v>
      </c>
      <c r="I58" s="122">
        <v>351.9</v>
      </c>
      <c r="J58" s="533">
        <v>342.7</v>
      </c>
      <c r="K58" s="534">
        <f>G58+H58+I58+J58</f>
        <v>1408.8</v>
      </c>
      <c r="L58" s="122">
        <v>342.7</v>
      </c>
      <c r="M58" s="122">
        <f>673.7-342.7</f>
        <v>331.00000000000006</v>
      </c>
      <c r="N58" s="122">
        <f>1013.5-673.7</f>
        <v>339.79999999999995</v>
      </c>
      <c r="O58" s="533">
        <f>1330.3-1013.5</f>
        <v>316.79999999999995</v>
      </c>
      <c r="P58" s="534">
        <f>L58+M58+N58+O58</f>
        <v>1330.3</v>
      </c>
      <c r="Q58" s="122">
        <v>316.60000000000002</v>
      </c>
      <c r="R58" s="122">
        <f>634.4-316.6</f>
        <v>317.79999999999995</v>
      </c>
      <c r="S58" s="122">
        <f>963.4-634.4</f>
        <v>329</v>
      </c>
      <c r="T58" s="533">
        <v>332.6</v>
      </c>
      <c r="U58" s="534">
        <f>Q58+R58+S58+T58</f>
        <v>1296</v>
      </c>
      <c r="V58" s="122">
        <v>291.60000000000002</v>
      </c>
      <c r="W58" s="122">
        <v>314.8</v>
      </c>
      <c r="X58" s="122">
        <v>300.2</v>
      </c>
      <c r="Y58" s="533">
        <v>306.7</v>
      </c>
      <c r="Z58" s="534">
        <f>V58+W58+X58+Y58</f>
        <v>1213.3000000000002</v>
      </c>
      <c r="AA58" s="122">
        <v>312.10000000000002</v>
      </c>
      <c r="AB58" s="122">
        <v>329.4</v>
      </c>
      <c r="AC58" s="122">
        <v>331.5</v>
      </c>
      <c r="AD58" s="533">
        <v>317.2</v>
      </c>
      <c r="AE58" s="534">
        <f>AA58+AB58+AC58+AD58</f>
        <v>1290.2</v>
      </c>
      <c r="AF58" s="122">
        <v>306.89999999999998</v>
      </c>
      <c r="AG58" s="122">
        <v>318</v>
      </c>
      <c r="AH58" s="122">
        <v>325.7</v>
      </c>
      <c r="AI58" s="533">
        <v>317.2</v>
      </c>
      <c r="AJ58" s="534">
        <f>AF58+AG58+AH58+AI58</f>
        <v>1267.8</v>
      </c>
      <c r="AK58" s="122">
        <v>323.8</v>
      </c>
      <c r="AL58" s="122">
        <v>328.5</v>
      </c>
      <c r="AM58" s="122">
        <v>327.5</v>
      </c>
      <c r="AN58" s="533">
        <v>324.89999999999998</v>
      </c>
      <c r="AO58" s="534">
        <f>AK58+AL58+AM58+AN58</f>
        <v>1304.6999999999998</v>
      </c>
      <c r="AP58" s="122">
        <v>326.10000000000002</v>
      </c>
      <c r="AQ58" s="122">
        <v>325.5</v>
      </c>
      <c r="AR58" s="122">
        <v>325.7</v>
      </c>
      <c r="AS58" s="533">
        <v>324</v>
      </c>
      <c r="AT58" s="534">
        <f>AP58+AQ58+AR58+AS58</f>
        <v>1301.3</v>
      </c>
      <c r="AU58" s="122">
        <v>323</v>
      </c>
      <c r="AV58" s="122">
        <v>316</v>
      </c>
      <c r="AW58" s="122">
        <v>321</v>
      </c>
      <c r="AX58" s="533">
        <v>292</v>
      </c>
      <c r="AY58" s="534">
        <f>AU58+AV58+AW58+AX58</f>
        <v>1252</v>
      </c>
      <c r="AZ58" s="122">
        <v>282</v>
      </c>
      <c r="BA58" s="122">
        <v>298</v>
      </c>
      <c r="BB58" s="122">
        <v>369</v>
      </c>
      <c r="BC58" s="533">
        <v>366</v>
      </c>
      <c r="BD58" s="534">
        <f>AZ58+BA58+BB58+BC58</f>
        <v>1315</v>
      </c>
      <c r="BE58" s="122">
        <v>347</v>
      </c>
      <c r="BF58" s="122">
        <v>377</v>
      </c>
      <c r="BG58" s="122">
        <v>363</v>
      </c>
      <c r="BH58" s="533">
        <v>348</v>
      </c>
      <c r="BI58" s="534">
        <f>BE58+BF58+BG58+BH58</f>
        <v>1435</v>
      </c>
      <c r="BJ58" s="122">
        <v>393</v>
      </c>
      <c r="BK58" s="122">
        <v>395</v>
      </c>
      <c r="BL58" s="122">
        <v>366</v>
      </c>
      <c r="BM58" s="533">
        <v>367</v>
      </c>
      <c r="BN58" s="534">
        <f>BJ58+BK58+BL58+BM58</f>
        <v>1521</v>
      </c>
      <c r="BO58" s="122">
        <v>359</v>
      </c>
      <c r="BP58" s="122">
        <v>350</v>
      </c>
      <c r="BQ58" s="122">
        <v>371</v>
      </c>
      <c r="BR58" s="533">
        <v>361</v>
      </c>
      <c r="BS58" s="534">
        <f>BO58+BP58+BQ58+BR58</f>
        <v>1441</v>
      </c>
      <c r="BT58" s="122">
        <v>354</v>
      </c>
      <c r="BU58" s="122">
        <v>389</v>
      </c>
      <c r="BV58" s="122">
        <v>372</v>
      </c>
      <c r="BW58" s="533">
        <f>385</f>
        <v>385</v>
      </c>
      <c r="BX58" s="534">
        <f>BT58+BU58+BV58+BW58</f>
        <v>1500</v>
      </c>
      <c r="BY58" s="122">
        <v>398</v>
      </c>
      <c r="BZ58" s="122">
        <v>424</v>
      </c>
      <c r="CA58" s="122">
        <v>447</v>
      </c>
      <c r="CB58" s="533">
        <v>459</v>
      </c>
      <c r="CC58" s="534">
        <f>BY58+BZ58+CA58+CB58</f>
        <v>1728</v>
      </c>
      <c r="CD58" s="122">
        <v>467</v>
      </c>
      <c r="CE58" s="122">
        <f>578-55</f>
        <v>523</v>
      </c>
      <c r="CF58" s="122">
        <v>546</v>
      </c>
      <c r="CG58" s="533">
        <v>524</v>
      </c>
      <c r="CH58" s="534">
        <f>CD58+CE58+CF58+CG58</f>
        <v>2060</v>
      </c>
      <c r="CI58" s="122">
        <v>559</v>
      </c>
      <c r="CJ58" s="122">
        <v>584</v>
      </c>
      <c r="CK58" s="122">
        <v>595</v>
      </c>
      <c r="CL58" s="533">
        <v>592</v>
      </c>
      <c r="CM58" s="534">
        <f>CI58+CJ58+CK58+CL58</f>
        <v>2330</v>
      </c>
      <c r="CN58" s="122">
        <v>557</v>
      </c>
      <c r="CO58" s="122">
        <v>579</v>
      </c>
      <c r="CP58" s="122">
        <v>578</v>
      </c>
      <c r="CQ58" s="533">
        <v>601</v>
      </c>
      <c r="CR58" s="534">
        <f>CN58+CO58+CP58+CQ58</f>
        <v>2315</v>
      </c>
      <c r="CS58" s="122">
        <v>662</v>
      </c>
      <c r="CT58" s="122">
        <v>775</v>
      </c>
      <c r="CU58" s="122">
        <f>876</f>
        <v>876</v>
      </c>
      <c r="CV58" s="533">
        <v>798</v>
      </c>
      <c r="CW58" s="534">
        <f>CS58+CT58+CU58+CV58</f>
        <v>3111</v>
      </c>
      <c r="CX58" s="122">
        <v>602</v>
      </c>
      <c r="CY58" s="122">
        <v>511</v>
      </c>
      <c r="CZ58" s="122">
        <v>571</v>
      </c>
      <c r="DA58" s="122">
        <v>580</v>
      </c>
      <c r="DB58" s="534">
        <f>CX58+CY58+CZ58+DA58</f>
        <v>2264</v>
      </c>
      <c r="DC58" s="122">
        <v>629</v>
      </c>
      <c r="DD58" s="122">
        <v>696</v>
      </c>
      <c r="DE58" s="122">
        <v>709</v>
      </c>
      <c r="DF58" s="122">
        <v>685</v>
      </c>
      <c r="DG58" s="534">
        <f>SUM(DC58:DF58)</f>
        <v>2719</v>
      </c>
      <c r="DH58" s="122">
        <v>816</v>
      </c>
      <c r="DI58" s="122">
        <v>893</v>
      </c>
      <c r="DJ58" s="122">
        <v>899</v>
      </c>
      <c r="DK58" s="122">
        <v>850</v>
      </c>
      <c r="DL58" s="534">
        <f>SUM(DH58:DK58)</f>
        <v>3458</v>
      </c>
      <c r="DM58" s="122">
        <v>766</v>
      </c>
      <c r="DN58" s="122">
        <v>755</v>
      </c>
      <c r="DO58" s="122">
        <v>701</v>
      </c>
      <c r="DP58" s="122">
        <v>657</v>
      </c>
      <c r="DQ58" s="534">
        <f>SUM(DM58:DP58)</f>
        <v>2879</v>
      </c>
      <c r="DR58" s="122">
        <v>635</v>
      </c>
      <c r="DS58" s="122">
        <v>626</v>
      </c>
      <c r="DT58" s="122">
        <v>641</v>
      </c>
      <c r="DU58" s="122">
        <v>641</v>
      </c>
      <c r="DV58" s="534">
        <f>SUM(DR58:DU58)</f>
        <v>2543</v>
      </c>
      <c r="DW58" s="122">
        <v>541</v>
      </c>
      <c r="DX58" s="122">
        <v>672</v>
      </c>
      <c r="DY58" s="122">
        <v>626</v>
      </c>
      <c r="DZ58" s="122">
        <v>543</v>
      </c>
      <c r="EA58" s="534">
        <f>SUM(DW58:DZ58)</f>
        <v>2382</v>
      </c>
      <c r="EB58" s="122">
        <v>455</v>
      </c>
      <c r="EC58" s="122">
        <v>453</v>
      </c>
      <c r="ED58" s="122">
        <v>482</v>
      </c>
      <c r="EE58" s="122">
        <v>433</v>
      </c>
      <c r="EF58" s="534">
        <f>SUM(EB58:EE58)</f>
        <v>1823</v>
      </c>
      <c r="EG58" s="122">
        <v>349</v>
      </c>
      <c r="EH58" s="122">
        <v>339</v>
      </c>
      <c r="EI58" s="122">
        <v>397</v>
      </c>
      <c r="EJ58" s="122">
        <v>403</v>
      </c>
      <c r="EK58" s="534">
        <f>SUM(EG58:EJ58)</f>
        <v>1488</v>
      </c>
      <c r="EL58" s="122">
        <v>420</v>
      </c>
      <c r="EM58" s="122">
        <v>447</v>
      </c>
      <c r="EN58" s="122">
        <v>449</v>
      </c>
      <c r="EO58" s="122">
        <v>426</v>
      </c>
      <c r="EP58" s="534">
        <f>SUM(EL58:EO58)</f>
        <v>1742</v>
      </c>
      <c r="EQ58" s="122">
        <v>434</v>
      </c>
      <c r="ER58" s="122">
        <f>ER61*ER64/1000</f>
        <v>441.63599999999997</v>
      </c>
      <c r="ES58" s="122">
        <f>ES61*ES64/1000</f>
        <v>433.73399999999998</v>
      </c>
      <c r="ET58" s="122">
        <f>ET61*ET64/1000</f>
        <v>412.45320000000004</v>
      </c>
      <c r="EU58" s="1942">
        <f>SUM(EQ58:ET58)</f>
        <v>1721.8231999999998</v>
      </c>
      <c r="EV58" s="122"/>
      <c r="EW58" s="122"/>
      <c r="EX58" s="122"/>
      <c r="EY58" s="122"/>
      <c r="EZ58" s="752">
        <f>EZ61*EZ64/1000</f>
        <v>1643.3941532399999</v>
      </c>
      <c r="FA58" s="122"/>
      <c r="FB58" s="122"/>
      <c r="FC58" s="122"/>
      <c r="FD58" s="122"/>
      <c r="FE58" s="752">
        <f>FE61*FE64/1000</f>
        <v>1576.8366900337799</v>
      </c>
      <c r="FF58" s="756"/>
      <c r="FG58" s="640"/>
      <c r="FH58" s="1024"/>
      <c r="FI58" s="1024"/>
      <c r="FJ58" s="1024"/>
      <c r="FK58" s="1024"/>
      <c r="FL58" s="1796"/>
      <c r="FM58" s="122">
        <f t="shared" si="152"/>
        <v>434</v>
      </c>
      <c r="FN58" s="122">
        <f t="shared" si="153"/>
        <v>420</v>
      </c>
      <c r="FO58" s="122">
        <v>413.13299999999992</v>
      </c>
      <c r="FP58" s="571">
        <f>IFERROR(($FM58/FN58)-1,"")</f>
        <v>3.3333333333333437E-2</v>
      </c>
      <c r="FQ58" s="571">
        <f>IFERROR(($FM58/FO58)-1,"")</f>
        <v>5.0509158067741033E-2</v>
      </c>
      <c r="FR58" s="122"/>
      <c r="FS58" s="122"/>
      <c r="FT58" s="122"/>
      <c r="FU58" s="122"/>
      <c r="FV58" s="122"/>
      <c r="FW58" s="122"/>
      <c r="FX58" s="122"/>
      <c r="FY58" s="122"/>
      <c r="FZ58" s="122"/>
      <c r="GA58" s="640"/>
      <c r="GB58"/>
      <c r="GC58"/>
      <c r="GD58"/>
      <c r="GE58"/>
      <c r="GF58"/>
      <c r="GG58"/>
      <c r="GH58" s="956"/>
      <c r="GI58" s="956"/>
      <c r="GJ58" s="956"/>
      <c r="GK58" s="956"/>
      <c r="GL58" s="956"/>
      <c r="GM58" s="956"/>
      <c r="GN58" s="956"/>
      <c r="GO58" s="956"/>
      <c r="GP58" s="956"/>
      <c r="GQ58" s="956"/>
      <c r="GR58" s="956"/>
      <c r="GS58" s="956"/>
      <c r="GT58" s="956"/>
      <c r="GU58" s="956"/>
      <c r="GV58" s="956"/>
      <c r="GW58" s="956"/>
      <c r="GX58" s="956"/>
      <c r="GY58" s="956"/>
      <c r="GZ58" s="956"/>
      <c r="HA58" s="956"/>
      <c r="HB58" s="956"/>
      <c r="HC58" s="956"/>
      <c r="HD58" s="956"/>
      <c r="HE58" s="956"/>
      <c r="HF58" s="956"/>
      <c r="HG58" s="956"/>
      <c r="HH58" s="956"/>
      <c r="HI58" s="956"/>
      <c r="HJ58" s="956"/>
      <c r="HK58" s="956"/>
      <c r="HL58" s="956"/>
      <c r="HM58" s="956"/>
      <c r="HN58" s="956"/>
      <c r="HO58" s="956"/>
      <c r="HP58" s="956"/>
      <c r="HQ58" s="956"/>
      <c r="HR58" s="956"/>
      <c r="HS58" s="956"/>
      <c r="HT58" s="956"/>
      <c r="HU58" s="956"/>
      <c r="HV58" s="956"/>
      <c r="HW58" s="956"/>
      <c r="HX58" s="956"/>
      <c r="HY58" s="956"/>
      <c r="HZ58" s="956"/>
      <c r="IA58" s="956"/>
      <c r="IB58" s="956"/>
      <c r="IC58" s="956"/>
      <c r="ID58" s="956"/>
      <c r="IE58" s="956"/>
      <c r="IF58" s="956"/>
      <c r="IG58" s="956"/>
      <c r="IH58" s="956"/>
      <c r="II58" s="956"/>
      <c r="IJ58" s="956"/>
      <c r="IK58" s="956"/>
      <c r="IL58" s="956"/>
      <c r="IM58" s="956"/>
      <c r="IN58" s="956"/>
      <c r="IO58" s="956"/>
      <c r="IP58" s="956"/>
      <c r="IQ58" s="956"/>
      <c r="IR58" s="956"/>
      <c r="IS58" s="956"/>
      <c r="IT58" s="956"/>
      <c r="IU58" s="956"/>
      <c r="IV58" s="956"/>
    </row>
    <row r="59" spans="1:256" s="244" customFormat="1" ht="12.75" x14ac:dyDescent="0.2">
      <c r="A59" s="242" t="s">
        <v>74</v>
      </c>
      <c r="B59" s="22"/>
      <c r="C59" s="22"/>
      <c r="D59" s="22"/>
      <c r="E59" s="197"/>
      <c r="F59" s="21"/>
      <c r="G59" s="22"/>
      <c r="H59" s="22"/>
      <c r="I59" s="22"/>
      <c r="J59" s="197"/>
      <c r="K59" s="21"/>
      <c r="L59" s="22">
        <f t="shared" ref="L59:BW59" si="195">L58/G58-1</f>
        <v>-4.9902966454116959E-2</v>
      </c>
      <c r="M59" s="22">
        <f t="shared" si="195"/>
        <v>-6.3649222065063515E-2</v>
      </c>
      <c r="N59" s="22">
        <f t="shared" si="195"/>
        <v>-3.438476840011373E-2</v>
      </c>
      <c r="O59" s="197">
        <f t="shared" si="195"/>
        <v>-7.5576305806828281E-2</v>
      </c>
      <c r="P59" s="21">
        <f t="shared" si="195"/>
        <v>-5.5721181147075582E-2</v>
      </c>
      <c r="Q59" s="22">
        <f t="shared" si="195"/>
        <v>-7.6159906623869178E-2</v>
      </c>
      <c r="R59" s="22">
        <f t="shared" si="195"/>
        <v>-3.9879154078550139E-2</v>
      </c>
      <c r="S59" s="22">
        <f t="shared" si="195"/>
        <v>-3.1783402001177019E-2</v>
      </c>
      <c r="T59" s="197">
        <f t="shared" si="195"/>
        <v>4.9873737373737681E-2</v>
      </c>
      <c r="U59" s="21">
        <f t="shared" si="195"/>
        <v>-2.5783657821544015E-2</v>
      </c>
      <c r="V59" s="22">
        <f t="shared" si="195"/>
        <v>-7.896399241945673E-2</v>
      </c>
      <c r="W59" s="22">
        <f t="shared" si="195"/>
        <v>-9.4398993077405846E-3</v>
      </c>
      <c r="X59" s="22">
        <f t="shared" si="195"/>
        <v>-8.7537993920972723E-2</v>
      </c>
      <c r="Y59" s="197">
        <f t="shared" si="195"/>
        <v>-7.7871316897173859E-2</v>
      </c>
      <c r="Z59" s="21">
        <f t="shared" si="195"/>
        <v>-6.3811728395061551E-2</v>
      </c>
      <c r="AA59" s="22">
        <f t="shared" si="195"/>
        <v>7.030178326474612E-2</v>
      </c>
      <c r="AB59" s="22">
        <f t="shared" si="195"/>
        <v>4.6378653113087642E-2</v>
      </c>
      <c r="AC59" s="22">
        <f t="shared" si="195"/>
        <v>0.1042638241172551</v>
      </c>
      <c r="AD59" s="197">
        <f t="shared" si="195"/>
        <v>3.4235409194652844E-2</v>
      </c>
      <c r="AE59" s="21">
        <f t="shared" si="195"/>
        <v>6.3380862111596326E-2</v>
      </c>
      <c r="AF59" s="22">
        <f t="shared" si="195"/>
        <v>-1.6661326497917517E-2</v>
      </c>
      <c r="AG59" s="22">
        <f t="shared" si="195"/>
        <v>-3.4608378870673917E-2</v>
      </c>
      <c r="AH59" s="22">
        <f t="shared" si="195"/>
        <v>-1.7496229260935192E-2</v>
      </c>
      <c r="AI59" s="197">
        <f t="shared" si="195"/>
        <v>0</v>
      </c>
      <c r="AJ59" s="21">
        <f t="shared" si="195"/>
        <v>-1.7361649356688935E-2</v>
      </c>
      <c r="AK59" s="22">
        <f t="shared" si="195"/>
        <v>5.5066797002280898E-2</v>
      </c>
      <c r="AL59" s="22">
        <f t="shared" si="195"/>
        <v>3.3018867924528239E-2</v>
      </c>
      <c r="AM59" s="22">
        <f t="shared" si="195"/>
        <v>5.526558182376462E-3</v>
      </c>
      <c r="AN59" s="197">
        <f t="shared" si="195"/>
        <v>2.427490542244648E-2</v>
      </c>
      <c r="AO59" s="21">
        <f t="shared" si="195"/>
        <v>2.9105537150970084E-2</v>
      </c>
      <c r="AP59" s="22">
        <f t="shared" si="195"/>
        <v>7.1031500926497237E-3</v>
      </c>
      <c r="AQ59" s="22">
        <f t="shared" si="195"/>
        <v>-9.1324200913242004E-3</v>
      </c>
      <c r="AR59" s="22">
        <f t="shared" si="195"/>
        <v>-5.4961832061068971E-3</v>
      </c>
      <c r="AS59" s="197">
        <f t="shared" si="195"/>
        <v>-2.7700831024930483E-3</v>
      </c>
      <c r="AT59" s="21">
        <f t="shared" si="195"/>
        <v>-2.6059630566412917E-3</v>
      </c>
      <c r="AU59" s="22">
        <f t="shared" si="195"/>
        <v>-9.506286415210119E-3</v>
      </c>
      <c r="AV59" s="22">
        <f t="shared" si="195"/>
        <v>-2.9185867895545337E-2</v>
      </c>
      <c r="AW59" s="22">
        <f t="shared" si="195"/>
        <v>-1.4430457476205083E-2</v>
      </c>
      <c r="AX59" s="197">
        <f t="shared" si="195"/>
        <v>-9.8765432098765427E-2</v>
      </c>
      <c r="AY59" s="21">
        <f t="shared" si="195"/>
        <v>-3.7885191731345524E-2</v>
      </c>
      <c r="AZ59" s="22">
        <f t="shared" si="195"/>
        <v>-0.12693498452012386</v>
      </c>
      <c r="BA59" s="22">
        <f t="shared" si="195"/>
        <v>-5.6962025316455667E-2</v>
      </c>
      <c r="BB59" s="22">
        <f t="shared" si="195"/>
        <v>0.14953271028037385</v>
      </c>
      <c r="BC59" s="197">
        <f t="shared" si="195"/>
        <v>0.25342465753424648</v>
      </c>
      <c r="BD59" s="21">
        <f t="shared" si="195"/>
        <v>5.0319488817891278E-2</v>
      </c>
      <c r="BE59" s="22">
        <f t="shared" si="195"/>
        <v>0.23049645390070927</v>
      </c>
      <c r="BF59" s="22">
        <f t="shared" si="195"/>
        <v>0.2651006711409396</v>
      </c>
      <c r="BG59" s="22">
        <f t="shared" si="195"/>
        <v>-1.6260162601625994E-2</v>
      </c>
      <c r="BH59" s="197">
        <f t="shared" si="195"/>
        <v>-4.9180327868852514E-2</v>
      </c>
      <c r="BI59" s="21">
        <f t="shared" si="195"/>
        <v>9.1254752851710919E-2</v>
      </c>
      <c r="BJ59" s="22">
        <f t="shared" si="195"/>
        <v>0.13256484149855918</v>
      </c>
      <c r="BK59" s="22">
        <f t="shared" si="195"/>
        <v>4.7745358090185652E-2</v>
      </c>
      <c r="BL59" s="22">
        <f t="shared" si="195"/>
        <v>8.2644628099173278E-3</v>
      </c>
      <c r="BM59" s="197">
        <f t="shared" si="195"/>
        <v>5.4597701149425193E-2</v>
      </c>
      <c r="BN59" s="21">
        <f t="shared" si="195"/>
        <v>5.9930313588850259E-2</v>
      </c>
      <c r="BO59" s="22">
        <f t="shared" si="195"/>
        <v>-8.6513994910941472E-2</v>
      </c>
      <c r="BP59" s="22">
        <f t="shared" si="195"/>
        <v>-0.11392405063291144</v>
      </c>
      <c r="BQ59" s="22">
        <f t="shared" si="195"/>
        <v>1.3661202185792254E-2</v>
      </c>
      <c r="BR59" s="197">
        <f t="shared" si="195"/>
        <v>-1.6348773841961872E-2</v>
      </c>
      <c r="BS59" s="21">
        <f t="shared" si="195"/>
        <v>-5.259697567389876E-2</v>
      </c>
      <c r="BT59" s="22">
        <f t="shared" si="195"/>
        <v>-1.3927576601671321E-2</v>
      </c>
      <c r="BU59" s="22">
        <f t="shared" si="195"/>
        <v>0.11142857142857143</v>
      </c>
      <c r="BV59" s="22">
        <f t="shared" si="195"/>
        <v>2.6954177897573484E-3</v>
      </c>
      <c r="BW59" s="197">
        <f t="shared" si="195"/>
        <v>6.6481994459833826E-2</v>
      </c>
      <c r="BX59" s="21">
        <f t="shared" ref="BX59:DY59" si="196">BX58/BS58-1</f>
        <v>4.0943789035392086E-2</v>
      </c>
      <c r="BY59" s="22">
        <f t="shared" si="196"/>
        <v>0.12429378531073443</v>
      </c>
      <c r="BZ59" s="22">
        <f t="shared" si="196"/>
        <v>8.9974293059125854E-2</v>
      </c>
      <c r="CA59" s="22">
        <f t="shared" si="196"/>
        <v>0.20161290322580649</v>
      </c>
      <c r="CB59" s="197">
        <f t="shared" si="196"/>
        <v>0.19220779220779227</v>
      </c>
      <c r="CC59" s="21">
        <f t="shared" si="196"/>
        <v>0.15199999999999991</v>
      </c>
      <c r="CD59" s="22">
        <f t="shared" si="196"/>
        <v>0.1733668341708543</v>
      </c>
      <c r="CE59" s="22">
        <f t="shared" si="196"/>
        <v>0.23349056603773577</v>
      </c>
      <c r="CF59" s="22">
        <f t="shared" si="196"/>
        <v>0.22147651006711411</v>
      </c>
      <c r="CG59" s="197">
        <f t="shared" si="196"/>
        <v>0.14161220043572986</v>
      </c>
      <c r="CH59" s="21">
        <f t="shared" si="196"/>
        <v>0.19212962962962954</v>
      </c>
      <c r="CI59" s="22">
        <f t="shared" si="196"/>
        <v>0.19700214132762306</v>
      </c>
      <c r="CJ59" s="22">
        <f t="shared" si="196"/>
        <v>0.11663479923518172</v>
      </c>
      <c r="CK59" s="22">
        <f t="shared" si="196"/>
        <v>8.9743589743589647E-2</v>
      </c>
      <c r="CL59" s="197">
        <f t="shared" si="196"/>
        <v>0.12977099236641232</v>
      </c>
      <c r="CM59" s="21">
        <f t="shared" si="196"/>
        <v>0.13106796116504849</v>
      </c>
      <c r="CN59" s="22">
        <f t="shared" si="196"/>
        <v>-3.5778175313059268E-3</v>
      </c>
      <c r="CO59" s="22">
        <f t="shared" si="196"/>
        <v>-8.5616438356164171E-3</v>
      </c>
      <c r="CP59" s="22">
        <f t="shared" si="196"/>
        <v>-2.8571428571428581E-2</v>
      </c>
      <c r="CQ59" s="197">
        <f t="shared" si="196"/>
        <v>1.5202702702702631E-2</v>
      </c>
      <c r="CR59" s="21">
        <f t="shared" si="196"/>
        <v>-6.4377682403433667E-3</v>
      </c>
      <c r="CS59" s="22">
        <f t="shared" si="196"/>
        <v>0.18850987432675037</v>
      </c>
      <c r="CT59" s="22">
        <f t="shared" si="196"/>
        <v>0.33851468048359235</v>
      </c>
      <c r="CU59" s="22">
        <f t="shared" si="196"/>
        <v>0.51557093425605527</v>
      </c>
      <c r="CV59" s="197">
        <f t="shared" si="196"/>
        <v>0.32778702163061557</v>
      </c>
      <c r="CW59" s="21">
        <f t="shared" si="196"/>
        <v>0.34384449244060478</v>
      </c>
      <c r="CX59" s="22">
        <f t="shared" si="196"/>
        <v>-9.0634441087613316E-2</v>
      </c>
      <c r="CY59" s="22">
        <f t="shared" si="196"/>
        <v>-0.34064516129032263</v>
      </c>
      <c r="CZ59" s="22">
        <f t="shared" si="196"/>
        <v>-0.34817351598173518</v>
      </c>
      <c r="DA59" s="22">
        <f>DA58/CV58-1</f>
        <v>-0.27318295739348375</v>
      </c>
      <c r="DB59" s="21">
        <f>DB58/CW58-1</f>
        <v>-0.27225972356155581</v>
      </c>
      <c r="DC59" s="22">
        <f t="shared" si="196"/>
        <v>4.4850498338870448E-2</v>
      </c>
      <c r="DD59" s="22">
        <f t="shared" si="196"/>
        <v>0.3620352250489236</v>
      </c>
      <c r="DE59" s="22">
        <f t="shared" si="196"/>
        <v>0.2416812609457093</v>
      </c>
      <c r="DF59" s="22">
        <f>DF58/DA58-1</f>
        <v>0.18103448275862077</v>
      </c>
      <c r="DG59" s="21">
        <f t="shared" si="196"/>
        <v>0.20097173144876335</v>
      </c>
      <c r="DH59" s="22">
        <f>DH58/DC58-1</f>
        <v>0.29729729729729737</v>
      </c>
      <c r="DI59" s="22">
        <f t="shared" si="196"/>
        <v>0.28304597701149414</v>
      </c>
      <c r="DJ59" s="22">
        <f t="shared" si="196"/>
        <v>0.26798307475317351</v>
      </c>
      <c r="DK59" s="22">
        <f t="shared" si="196"/>
        <v>0.24087591240875916</v>
      </c>
      <c r="DL59" s="21">
        <f t="shared" si="196"/>
        <v>0.27179109966899606</v>
      </c>
      <c r="DM59" s="22">
        <f t="shared" si="196"/>
        <v>-6.1274509803921573E-2</v>
      </c>
      <c r="DN59" s="22">
        <f t="shared" si="196"/>
        <v>-0.15453527435610304</v>
      </c>
      <c r="DO59" s="22">
        <f t="shared" si="196"/>
        <v>-0.22024471635150167</v>
      </c>
      <c r="DP59" s="22">
        <f t="shared" si="196"/>
        <v>-0.22705882352941176</v>
      </c>
      <c r="DQ59" s="21">
        <f t="shared" si="196"/>
        <v>-0.16743782533256213</v>
      </c>
      <c r="DR59" s="22">
        <f t="shared" si="196"/>
        <v>-0.17101827676240211</v>
      </c>
      <c r="DS59" s="22">
        <f t="shared" si="196"/>
        <v>-0.17086092715231793</v>
      </c>
      <c r="DT59" s="22">
        <f t="shared" si="196"/>
        <v>-8.5592011412268243E-2</v>
      </c>
      <c r="DU59" s="22">
        <f t="shared" si="196"/>
        <v>-2.4353120243531201E-2</v>
      </c>
      <c r="DV59" s="21">
        <f t="shared" si="196"/>
        <v>-0.11670718999652652</v>
      </c>
      <c r="DW59" s="22">
        <f>DW58/DR58-1</f>
        <v>-0.14803149606299215</v>
      </c>
      <c r="DX59" s="22">
        <f t="shared" si="196"/>
        <v>7.348242811501593E-2</v>
      </c>
      <c r="DY59" s="22">
        <f t="shared" si="196"/>
        <v>-2.3400936037441533E-2</v>
      </c>
      <c r="DZ59" s="22">
        <f t="shared" ref="DZ59:EI59" si="197">DZ58/DU58-1</f>
        <v>-0.15288611544461783</v>
      </c>
      <c r="EA59" s="21">
        <f t="shared" si="197"/>
        <v>-6.3311049941014552E-2</v>
      </c>
      <c r="EB59" s="22">
        <f t="shared" si="197"/>
        <v>-0.15896487985212571</v>
      </c>
      <c r="EC59" s="22">
        <f t="shared" si="197"/>
        <v>-0.3258928571428571</v>
      </c>
      <c r="ED59" s="22">
        <f t="shared" si="197"/>
        <v>-0.23003194888178913</v>
      </c>
      <c r="EE59" s="22">
        <f t="shared" si="197"/>
        <v>-0.20257826887661146</v>
      </c>
      <c r="EF59" s="21">
        <f t="shared" si="197"/>
        <v>-0.23467674223341728</v>
      </c>
      <c r="EG59" s="22">
        <f t="shared" si="197"/>
        <v>-0.23296703296703292</v>
      </c>
      <c r="EH59" s="22">
        <f t="shared" si="197"/>
        <v>-0.2516556291390728</v>
      </c>
      <c r="EI59" s="22">
        <f t="shared" si="197"/>
        <v>-0.17634854771784236</v>
      </c>
      <c r="EJ59" s="22">
        <f t="shared" ref="EJ59:EN59" si="198">EJ58/EE58-1</f>
        <v>-6.9284064665127043E-2</v>
      </c>
      <c r="EK59" s="21">
        <f t="shared" si="198"/>
        <v>-0.18376302797586397</v>
      </c>
      <c r="EL59" s="22">
        <f t="shared" si="198"/>
        <v>0.20343839541547282</v>
      </c>
      <c r="EM59" s="22">
        <f t="shared" si="198"/>
        <v>0.31858407079646023</v>
      </c>
      <c r="EN59" s="22">
        <f t="shared" si="198"/>
        <v>0.1309823677581865</v>
      </c>
      <c r="EO59" s="22">
        <f t="shared" ref="EO59" si="199">EO58/EJ58-1</f>
        <v>5.7071960297766733E-2</v>
      </c>
      <c r="EP59" s="21">
        <f t="shared" ref="EP59:EQ59" si="200">EP58/EK58-1</f>
        <v>0.17069892473118276</v>
      </c>
      <c r="EQ59" s="22">
        <f t="shared" si="200"/>
        <v>3.3333333333333437E-2</v>
      </c>
      <c r="ER59" s="22">
        <f t="shared" ref="ER59" si="201">ER58/EM58-1</f>
        <v>-1.2000000000000122E-2</v>
      </c>
      <c r="ES59" s="22">
        <f t="shared" ref="ES59:EU59" si="202">ES58/EN58-1</f>
        <v>-3.400000000000003E-2</v>
      </c>
      <c r="ET59" s="22">
        <f t="shared" si="202"/>
        <v>-3.1799999999999939E-2</v>
      </c>
      <c r="EU59" s="270">
        <f t="shared" si="202"/>
        <v>-1.1582548794489167E-2</v>
      </c>
      <c r="EV59" s="243"/>
      <c r="EW59" s="243"/>
      <c r="EX59" s="243"/>
      <c r="EY59" s="243"/>
      <c r="EZ59" s="844">
        <f>EZ58/EU58-1</f>
        <v>-4.5549999999999979E-2</v>
      </c>
      <c r="FA59" s="243"/>
      <c r="FB59" s="243"/>
      <c r="FC59" s="243"/>
      <c r="FD59" s="243"/>
      <c r="FE59" s="844">
        <f>FE58/EZ58-1</f>
        <v>-4.0500000000000091E-2</v>
      </c>
      <c r="FF59" s="791"/>
      <c r="FG59" s="641"/>
      <c r="FH59" s="1073"/>
      <c r="FI59" s="1073"/>
      <c r="FJ59" s="1073"/>
      <c r="FK59" s="1073"/>
      <c r="FL59" s="1806"/>
      <c r="FM59" s="22">
        <f t="shared" si="152"/>
        <v>3.3333333333333437E-2</v>
      </c>
      <c r="FN59" s="22">
        <f t="shared" si="153"/>
        <v>0.20343839541547282</v>
      </c>
      <c r="FO59" s="2041">
        <v>-1.6350000000000198E-2</v>
      </c>
      <c r="FP59" s="1892">
        <f>IFERROR(($FM59-FN59)*10000,"")</f>
        <v>-1701.0506208213937</v>
      </c>
      <c r="FQ59" s="1892">
        <f>IFERROR(($FM59-FO59)*10000,"")</f>
        <v>496.83333333333633</v>
      </c>
      <c r="FR59" s="120"/>
      <c r="FS59" s="1427"/>
      <c r="FT59" s="120"/>
      <c r="FU59" s="120"/>
      <c r="FV59" s="120"/>
      <c r="FW59" s="120"/>
      <c r="FX59" s="120"/>
      <c r="FY59" s="120"/>
      <c r="FZ59" s="120"/>
      <c r="GA59" s="641"/>
      <c r="GB59"/>
      <c r="GC59"/>
      <c r="GD59"/>
      <c r="GE59"/>
      <c r="GF59"/>
      <c r="GG59"/>
      <c r="GH59" s="973"/>
      <c r="GI59" s="973"/>
      <c r="GJ59" s="973"/>
      <c r="GK59" s="973"/>
      <c r="GL59" s="973"/>
      <c r="GM59" s="973"/>
      <c r="GN59" s="973"/>
      <c r="GO59" s="973"/>
      <c r="GP59" s="973"/>
      <c r="GQ59" s="973"/>
      <c r="GR59" s="973"/>
      <c r="GS59" s="973"/>
      <c r="GT59" s="973"/>
      <c r="GU59" s="973"/>
      <c r="GV59" s="973"/>
      <c r="GW59" s="973"/>
      <c r="GX59" s="973"/>
      <c r="GY59" s="973"/>
      <c r="GZ59" s="973"/>
      <c r="HA59" s="973"/>
      <c r="HB59" s="973"/>
      <c r="HC59" s="973"/>
      <c r="HD59" s="973"/>
      <c r="HE59" s="973"/>
      <c r="HF59" s="973"/>
      <c r="HG59" s="973"/>
      <c r="HH59" s="973"/>
      <c r="HI59" s="973"/>
      <c r="HJ59" s="973"/>
      <c r="HK59" s="973"/>
      <c r="HL59" s="973"/>
      <c r="HM59" s="973"/>
      <c r="HN59" s="973"/>
      <c r="HO59" s="973"/>
      <c r="HP59" s="973"/>
      <c r="HQ59" s="973"/>
      <c r="HR59" s="973"/>
      <c r="HS59" s="973"/>
      <c r="HT59" s="973"/>
      <c r="HU59" s="973"/>
      <c r="HV59" s="973"/>
      <c r="HW59" s="973"/>
      <c r="HX59" s="973"/>
      <c r="HY59" s="973"/>
      <c r="HZ59" s="973"/>
      <c r="IA59" s="973"/>
      <c r="IB59" s="973"/>
      <c r="IC59" s="973"/>
      <c r="ID59" s="973"/>
      <c r="IE59" s="973"/>
      <c r="IF59" s="973"/>
      <c r="IG59" s="973"/>
      <c r="IH59" s="973"/>
      <c r="II59" s="973"/>
      <c r="IJ59" s="973"/>
      <c r="IK59" s="973"/>
      <c r="IL59" s="973"/>
      <c r="IM59" s="973"/>
      <c r="IN59" s="973"/>
      <c r="IO59" s="973"/>
      <c r="IP59" s="973"/>
      <c r="IQ59" s="973"/>
      <c r="IR59" s="973"/>
      <c r="IS59" s="973"/>
      <c r="IT59" s="973"/>
      <c r="IU59" s="973"/>
      <c r="IV59" s="973"/>
    </row>
    <row r="60" spans="1:256" s="51" customFormat="1" ht="12.75" x14ac:dyDescent="0.2">
      <c r="A60" s="13" t="s">
        <v>216</v>
      </c>
      <c r="B60" s="15"/>
      <c r="C60" s="15"/>
      <c r="D60" s="15"/>
      <c r="E60" s="195"/>
      <c r="F60" s="14"/>
      <c r="G60" s="15"/>
      <c r="H60" s="15"/>
      <c r="I60" s="15"/>
      <c r="J60" s="195"/>
      <c r="K60" s="14"/>
      <c r="L60" s="15">
        <f t="shared" ref="L60:AQ60" si="203">L58/L135</f>
        <v>0.38440830061693776</v>
      </c>
      <c r="M60" s="15">
        <f t="shared" si="203"/>
        <v>0.36453744493392065</v>
      </c>
      <c r="N60" s="15">
        <f t="shared" si="203"/>
        <v>0.36076016562267754</v>
      </c>
      <c r="O60" s="195">
        <f t="shared" si="203"/>
        <v>0.34710200503999122</v>
      </c>
      <c r="P60" s="14">
        <f t="shared" si="203"/>
        <v>0.36405681289510411</v>
      </c>
      <c r="Q60" s="15">
        <f t="shared" si="203"/>
        <v>0.34461739414389897</v>
      </c>
      <c r="R60" s="15">
        <f t="shared" si="203"/>
        <v>0.3382650345928685</v>
      </c>
      <c r="S60" s="15">
        <f t="shared" si="203"/>
        <v>0.34606079730724726</v>
      </c>
      <c r="T60" s="195">
        <f t="shared" si="203"/>
        <v>0.34355954963330237</v>
      </c>
      <c r="U60" s="14">
        <f t="shared" si="203"/>
        <v>0.34312946783161241</v>
      </c>
      <c r="V60" s="15">
        <f t="shared" si="203"/>
        <v>0.3138858988159311</v>
      </c>
      <c r="W60" s="15">
        <f t="shared" si="203"/>
        <v>0.32682724252491696</v>
      </c>
      <c r="X60" s="15">
        <f t="shared" si="203"/>
        <v>0.32833861970906708</v>
      </c>
      <c r="Y60" s="195">
        <f t="shared" si="203"/>
        <v>0.32648499041941664</v>
      </c>
      <c r="Z60" s="14">
        <f t="shared" si="203"/>
        <v>0.32390079820603868</v>
      </c>
      <c r="AA60" s="15">
        <f t="shared" si="203"/>
        <v>0.33121086702748592</v>
      </c>
      <c r="AB60" s="15">
        <f t="shared" si="203"/>
        <v>0.33012627781118459</v>
      </c>
      <c r="AC60" s="15">
        <f t="shared" si="203"/>
        <v>0.33972125435540074</v>
      </c>
      <c r="AD60" s="195">
        <f t="shared" si="203"/>
        <v>0.3165036918778687</v>
      </c>
      <c r="AE60" s="14">
        <f t="shared" si="203"/>
        <v>0.32929225900308823</v>
      </c>
      <c r="AF60" s="15">
        <f t="shared" si="203"/>
        <v>0.30714571657325856</v>
      </c>
      <c r="AG60" s="15">
        <f t="shared" si="203"/>
        <v>0.31286894923258557</v>
      </c>
      <c r="AH60" s="15">
        <f t="shared" si="203"/>
        <v>0.32700803212851404</v>
      </c>
      <c r="AI60" s="195">
        <f t="shared" si="203"/>
        <v>0.31713657268546297</v>
      </c>
      <c r="AJ60" s="14">
        <f t="shared" si="203"/>
        <v>0.31601774764444884</v>
      </c>
      <c r="AK60" s="15">
        <f t="shared" si="203"/>
        <v>0.31848136126684373</v>
      </c>
      <c r="AL60" s="15">
        <f t="shared" si="203"/>
        <v>0.31647398843930635</v>
      </c>
      <c r="AM60" s="15">
        <f t="shared" si="203"/>
        <v>0.32104695618076662</v>
      </c>
      <c r="AN60" s="195">
        <f t="shared" si="203"/>
        <v>0.31617360840794084</v>
      </c>
      <c r="AO60" s="14">
        <f t="shared" si="203"/>
        <v>0.31803334633385333</v>
      </c>
      <c r="AP60" s="15">
        <f t="shared" si="203"/>
        <v>0.31175908221797327</v>
      </c>
      <c r="AQ60" s="15">
        <f t="shared" si="203"/>
        <v>0.30511811023622049</v>
      </c>
      <c r="AR60" s="15">
        <f t="shared" ref="AR60:BW60" si="204">AR58/AR135</f>
        <v>0.31075279076424006</v>
      </c>
      <c r="AS60" s="195">
        <f t="shared" si="204"/>
        <v>0.30508474576271188</v>
      </c>
      <c r="AT60" s="14">
        <f t="shared" si="204"/>
        <v>0.3081531648866892</v>
      </c>
      <c r="AU60" s="15">
        <f t="shared" si="204"/>
        <v>0.30291662759073434</v>
      </c>
      <c r="AV60" s="15">
        <f t="shared" si="204"/>
        <v>0.29251133944274738</v>
      </c>
      <c r="AW60" s="15">
        <f t="shared" si="204"/>
        <v>0.30628309718047803</v>
      </c>
      <c r="AX60" s="195">
        <f t="shared" si="204"/>
        <v>0.28398039368240879</v>
      </c>
      <c r="AY60" s="14">
        <f t="shared" si="204"/>
        <v>0.29647942522774684</v>
      </c>
      <c r="AZ60" s="15">
        <f t="shared" si="204"/>
        <v>0.27373325567850904</v>
      </c>
      <c r="BA60" s="15">
        <f t="shared" si="204"/>
        <v>0.24964396414509507</v>
      </c>
      <c r="BB60" s="15">
        <f t="shared" si="204"/>
        <v>0.24598524088554688</v>
      </c>
      <c r="BC60" s="195">
        <f t="shared" si="204"/>
        <v>0.24877650897226752</v>
      </c>
      <c r="BD60" s="14">
        <f t="shared" si="204"/>
        <v>0.25311875022857683</v>
      </c>
      <c r="BE60" s="15">
        <f t="shared" si="204"/>
        <v>0.23010610079575597</v>
      </c>
      <c r="BF60" s="15">
        <f t="shared" si="204"/>
        <v>0.23680904522613067</v>
      </c>
      <c r="BG60" s="15">
        <f t="shared" si="204"/>
        <v>0.23648208469055373</v>
      </c>
      <c r="BH60" s="195">
        <f t="shared" si="204"/>
        <v>0.2283464566929134</v>
      </c>
      <c r="BI60" s="14">
        <f t="shared" si="204"/>
        <v>0.23299236889105374</v>
      </c>
      <c r="BJ60" s="15">
        <f t="shared" si="204"/>
        <v>0.2551948051948052</v>
      </c>
      <c r="BK60" s="15">
        <f t="shared" si="204"/>
        <v>0.24811557788944724</v>
      </c>
      <c r="BL60" s="15">
        <f t="shared" si="204"/>
        <v>0.2427055702917772</v>
      </c>
      <c r="BM60" s="195">
        <f t="shared" si="204"/>
        <v>0.23986928104575164</v>
      </c>
      <c r="BN60" s="14">
        <f t="shared" si="204"/>
        <v>0.24651539708265802</v>
      </c>
      <c r="BO60" s="15">
        <f t="shared" si="204"/>
        <v>0.23965287049399198</v>
      </c>
      <c r="BP60" s="15">
        <f t="shared" si="204"/>
        <v>0.21971123666038919</v>
      </c>
      <c r="BQ60" s="15">
        <f t="shared" si="204"/>
        <v>0.23216520650813516</v>
      </c>
      <c r="BR60" s="195">
        <f t="shared" si="204"/>
        <v>0.22833649588867805</v>
      </c>
      <c r="BS60" s="14">
        <f t="shared" si="204"/>
        <v>0.22982456140350876</v>
      </c>
      <c r="BT60" s="15">
        <f t="shared" si="204"/>
        <v>0.22677770659833441</v>
      </c>
      <c r="BU60" s="15">
        <f t="shared" si="204"/>
        <v>0.23821187997550519</v>
      </c>
      <c r="BV60" s="15">
        <f t="shared" si="204"/>
        <v>0.23279098873591991</v>
      </c>
      <c r="BW60" s="195">
        <f t="shared" si="204"/>
        <v>0.22971360381861575</v>
      </c>
      <c r="BX60" s="14">
        <f t="shared" ref="BX60:DC60" si="205">BX58/BX135</f>
        <v>0.23191094619666047</v>
      </c>
      <c r="BY60" s="15">
        <f t="shared" si="205"/>
        <v>0.23508564678086238</v>
      </c>
      <c r="BZ60" s="15">
        <f t="shared" si="205"/>
        <v>0.23386651958080529</v>
      </c>
      <c r="CA60" s="15">
        <f t="shared" si="205"/>
        <v>0.2407108239095315</v>
      </c>
      <c r="CB60" s="195">
        <f t="shared" si="205"/>
        <v>0.23550538737814264</v>
      </c>
      <c r="CC60" s="14">
        <f t="shared" si="205"/>
        <v>0.23632385120350111</v>
      </c>
      <c r="CD60" s="15">
        <f t="shared" si="205"/>
        <v>0.23814380418154002</v>
      </c>
      <c r="CE60" s="15">
        <f t="shared" si="205"/>
        <v>0.24916626965221533</v>
      </c>
      <c r="CF60" s="15">
        <f t="shared" si="205"/>
        <v>0.25336426914153132</v>
      </c>
      <c r="CG60" s="195">
        <f t="shared" si="205"/>
        <v>0.23216659282233051</v>
      </c>
      <c r="CH60" s="14">
        <f t="shared" si="205"/>
        <v>0.24315391879131257</v>
      </c>
      <c r="CI60" s="15">
        <f t="shared" si="205"/>
        <v>0.24272687798523665</v>
      </c>
      <c r="CJ60" s="15">
        <f t="shared" si="205"/>
        <v>0.24414715719063546</v>
      </c>
      <c r="CK60" s="15">
        <f t="shared" si="205"/>
        <v>0.2486418721270372</v>
      </c>
      <c r="CL60" s="195">
        <f t="shared" si="205"/>
        <v>0.25528244933160843</v>
      </c>
      <c r="CM60" s="14">
        <f t="shared" si="205"/>
        <v>0.24768789199532262</v>
      </c>
      <c r="CN60" s="15">
        <f t="shared" si="205"/>
        <v>0.24788607031597687</v>
      </c>
      <c r="CO60" s="15">
        <f t="shared" si="205"/>
        <v>0.24348191757779647</v>
      </c>
      <c r="CP60" s="15">
        <f t="shared" si="205"/>
        <v>0.24564385890352741</v>
      </c>
      <c r="CQ60" s="195">
        <f t="shared" si="205"/>
        <v>0.24490627546862265</v>
      </c>
      <c r="CR60" s="14">
        <f t="shared" si="205"/>
        <v>0.24544105173876166</v>
      </c>
      <c r="CS60" s="15">
        <f t="shared" si="205"/>
        <v>0.26479999999999998</v>
      </c>
      <c r="CT60" s="15">
        <f t="shared" si="205"/>
        <v>0.28028933092224234</v>
      </c>
      <c r="CU60" s="15">
        <f t="shared" si="205"/>
        <v>0.30269523151347616</v>
      </c>
      <c r="CV60" s="195">
        <f t="shared" si="205"/>
        <v>0.31894484412470026</v>
      </c>
      <c r="CW60" s="14">
        <f t="shared" si="205"/>
        <v>0.29181127473970547</v>
      </c>
      <c r="CX60" s="15">
        <f t="shared" si="205"/>
        <v>0.30983015954709214</v>
      </c>
      <c r="CY60" s="15">
        <f t="shared" si="205"/>
        <v>0.27517501346257406</v>
      </c>
      <c r="CZ60" s="15">
        <f t="shared" si="205"/>
        <v>0.27678138633058652</v>
      </c>
      <c r="DA60" s="15">
        <f t="shared" si="205"/>
        <v>0.27540360873694208</v>
      </c>
      <c r="DB60" s="14">
        <f t="shared" si="205"/>
        <v>0.28410089095244073</v>
      </c>
      <c r="DC60" s="15">
        <f t="shared" si="205"/>
        <v>0.28105451295799821</v>
      </c>
      <c r="DD60" s="15">
        <f t="shared" ref="DD60:EI60" si="206">DD58/DD135</f>
        <v>0.28641975308641976</v>
      </c>
      <c r="DE60" s="15">
        <f t="shared" si="206"/>
        <v>0.28868078175895767</v>
      </c>
      <c r="DF60" s="15">
        <f t="shared" si="206"/>
        <v>0.28638642170302658</v>
      </c>
      <c r="DG60" s="14">
        <f t="shared" si="206"/>
        <v>0.28573310612205211</v>
      </c>
      <c r="DH60" s="15">
        <f t="shared" si="206"/>
        <v>0.31145038167938932</v>
      </c>
      <c r="DI60" s="15">
        <f t="shared" si="206"/>
        <v>0.31158408932309839</v>
      </c>
      <c r="DJ60" s="15">
        <f t="shared" si="206"/>
        <v>0.31118033921772237</v>
      </c>
      <c r="DK60" s="15">
        <f t="shared" si="206"/>
        <v>0.30389703253485878</v>
      </c>
      <c r="DL60" s="14">
        <f t="shared" si="206"/>
        <v>0.30952380952380953</v>
      </c>
      <c r="DM60" s="15">
        <f t="shared" si="206"/>
        <v>0.27465041233416998</v>
      </c>
      <c r="DN60" s="15">
        <f t="shared" si="206"/>
        <v>0.26270006958942238</v>
      </c>
      <c r="DO60" s="15">
        <f t="shared" si="206"/>
        <v>0.26030449313033793</v>
      </c>
      <c r="DP60" s="15">
        <f t="shared" si="206"/>
        <v>0.24478390461997018</v>
      </c>
      <c r="DQ60" s="14">
        <f t="shared" si="206"/>
        <v>0.26077898550724637</v>
      </c>
      <c r="DR60" s="15">
        <f t="shared" si="206"/>
        <v>0.23192111029948867</v>
      </c>
      <c r="DS60" s="15">
        <f t="shared" si="206"/>
        <v>0.22341184867951464</v>
      </c>
      <c r="DT60" s="15">
        <f t="shared" si="206"/>
        <v>0.22698300283286119</v>
      </c>
      <c r="DU60" s="15">
        <f t="shared" si="206"/>
        <v>0.22249219021173203</v>
      </c>
      <c r="DV60" s="14">
        <f t="shared" si="206"/>
        <v>0.22614495331258336</v>
      </c>
      <c r="DW60" s="15">
        <f t="shared" si="206"/>
        <v>0.20119003346969133</v>
      </c>
      <c r="DX60" s="15">
        <f t="shared" si="206"/>
        <v>0.22090729783037474</v>
      </c>
      <c r="DY60" s="15">
        <f t="shared" si="206"/>
        <v>0.20707906053589151</v>
      </c>
      <c r="DZ60" s="15">
        <f t="shared" si="206"/>
        <v>0.18919860627177701</v>
      </c>
      <c r="EA60" s="14">
        <f t="shared" si="206"/>
        <v>0.20492085340674468</v>
      </c>
      <c r="EB60" s="15">
        <f t="shared" si="206"/>
        <v>0.17724970783015193</v>
      </c>
      <c r="EC60" s="15">
        <f t="shared" si="206"/>
        <v>0.16697382970880945</v>
      </c>
      <c r="ED60" s="15">
        <f t="shared" si="206"/>
        <v>0.17766310357537782</v>
      </c>
      <c r="EE60" s="15">
        <f t="shared" si="206"/>
        <v>0.17196187450357425</v>
      </c>
      <c r="EF60" s="14">
        <f t="shared" si="206"/>
        <v>0.17343735134620875</v>
      </c>
      <c r="EG60" s="15">
        <f t="shared" si="206"/>
        <v>0.14421487603305785</v>
      </c>
      <c r="EH60" s="15">
        <f t="shared" si="206"/>
        <v>0.13814180929095354</v>
      </c>
      <c r="EI60" s="15">
        <f t="shared" si="206"/>
        <v>0.15729001584786054</v>
      </c>
      <c r="EJ60" s="15">
        <f t="shared" ref="EJ60:EU60" si="207">EJ58/EJ135</f>
        <v>0.16184738955823294</v>
      </c>
      <c r="EK60" s="14">
        <f t="shared" si="207"/>
        <v>0.15048543689320387</v>
      </c>
      <c r="EL60" s="15">
        <f t="shared" si="207"/>
        <v>0.16310679611650486</v>
      </c>
      <c r="EM60" s="15">
        <f t="shared" si="207"/>
        <v>0.1695108077360637</v>
      </c>
      <c r="EN60" s="15">
        <f t="shared" si="207"/>
        <v>0.16816479400749063</v>
      </c>
      <c r="EO60" s="15">
        <f t="shared" ref="EO60:EQ60" si="208">EO58/EO135</f>
        <v>0.15961034095166729</v>
      </c>
      <c r="EP60" s="14">
        <f t="shared" si="208"/>
        <v>0.16510283385461094</v>
      </c>
      <c r="EQ60" s="15">
        <f t="shared" si="208"/>
        <v>0.15973500184026501</v>
      </c>
      <c r="ER60" s="15">
        <f t="shared" si="207"/>
        <v>0.15634211274736795</v>
      </c>
      <c r="ES60" s="15">
        <f t="shared" si="207"/>
        <v>0.15202669764474547</v>
      </c>
      <c r="ET60" s="15">
        <f t="shared" si="207"/>
        <v>0.14719194407959688</v>
      </c>
      <c r="EU60" s="1943">
        <f t="shared" si="207"/>
        <v>0.15377592096162493</v>
      </c>
      <c r="EV60" s="34"/>
      <c r="EW60" s="34"/>
      <c r="EX60" s="34"/>
      <c r="EY60" s="34"/>
      <c r="EZ60" s="837">
        <f>EZ58/EZ135</f>
        <v>0.14156885484408402</v>
      </c>
      <c r="FA60" s="34"/>
      <c r="FB60" s="34"/>
      <c r="FC60" s="34"/>
      <c r="FD60" s="34"/>
      <c r="FE60" s="837">
        <f>FE58/FE135</f>
        <v>0.1308818784017082</v>
      </c>
      <c r="FF60" s="757"/>
      <c r="FG60" s="633"/>
      <c r="FH60" s="1026"/>
      <c r="FI60" s="1026"/>
      <c r="FJ60" s="1026"/>
      <c r="FK60" s="1026"/>
      <c r="FL60" s="1807"/>
      <c r="FM60" s="15">
        <f t="shared" si="152"/>
        <v>0.15973500184026501</v>
      </c>
      <c r="FN60" s="15">
        <f t="shared" si="153"/>
        <v>0.16310679611650486</v>
      </c>
      <c r="FO60" s="2042">
        <v>0.15468453892605843</v>
      </c>
      <c r="FP60" s="1892">
        <f>IFERROR(($FM60-FN60)*10000,"")</f>
        <v>-33.717942762398479</v>
      </c>
      <c r="FQ60" s="1892">
        <f>IFERROR(($FM60-FO60)*10000,"")</f>
        <v>50.504629142065774</v>
      </c>
      <c r="FR60" s="571"/>
      <c r="FS60" s="571"/>
      <c r="FT60" s="571"/>
      <c r="FU60" s="571"/>
      <c r="FV60" s="571"/>
      <c r="FW60" s="571"/>
      <c r="FX60" s="571"/>
      <c r="FY60" s="571"/>
      <c r="FZ60" s="571"/>
      <c r="GA60" s="633"/>
      <c r="GB60"/>
      <c r="GC60"/>
      <c r="GD60"/>
      <c r="GE60"/>
      <c r="GF60"/>
      <c r="GG60"/>
      <c r="GH60" s="957"/>
      <c r="GI60" s="957"/>
      <c r="GJ60" s="957"/>
      <c r="GK60" s="957"/>
      <c r="GL60" s="957"/>
      <c r="GM60" s="957"/>
      <c r="GN60" s="957"/>
      <c r="GO60" s="957"/>
      <c r="GP60" s="957"/>
      <c r="GQ60" s="957"/>
      <c r="GR60" s="957"/>
      <c r="GS60" s="957"/>
      <c r="GT60" s="957"/>
      <c r="GU60" s="957"/>
      <c r="GV60" s="957"/>
      <c r="GW60" s="957"/>
      <c r="GX60" s="957"/>
      <c r="GY60" s="957"/>
      <c r="GZ60" s="957"/>
      <c r="HA60" s="957"/>
      <c r="HB60" s="957"/>
      <c r="HC60" s="957"/>
      <c r="HD60" s="957"/>
      <c r="HE60" s="957"/>
      <c r="HF60" s="957"/>
      <c r="HG60" s="957"/>
      <c r="HH60" s="957"/>
      <c r="HI60" s="957"/>
      <c r="HJ60" s="957"/>
      <c r="HK60" s="957"/>
      <c r="HL60" s="957"/>
      <c r="HM60" s="957"/>
      <c r="HN60" s="957"/>
      <c r="HO60" s="957"/>
      <c r="HP60" s="957"/>
      <c r="HQ60" s="957"/>
      <c r="HR60" s="957"/>
      <c r="HS60" s="957"/>
      <c r="HT60" s="957"/>
      <c r="HU60" s="957"/>
      <c r="HV60" s="957"/>
      <c r="HW60" s="957"/>
      <c r="HX60" s="957"/>
      <c r="HY60" s="957"/>
      <c r="HZ60" s="957"/>
      <c r="IA60" s="957"/>
      <c r="IB60" s="957"/>
      <c r="IC60" s="957"/>
      <c r="ID60" s="957"/>
      <c r="IE60" s="957"/>
      <c r="IF60" s="957"/>
      <c r="IG60" s="957"/>
      <c r="IH60" s="957"/>
      <c r="II60" s="957"/>
      <c r="IJ60" s="957"/>
      <c r="IK60" s="957"/>
      <c r="IL60" s="957"/>
      <c r="IM60" s="957"/>
      <c r="IN60" s="957"/>
      <c r="IO60" s="957"/>
      <c r="IP60" s="957"/>
      <c r="IQ60" s="957"/>
      <c r="IR60" s="957"/>
      <c r="IS60" s="957"/>
      <c r="IT60" s="957"/>
      <c r="IU60" s="957"/>
      <c r="IV60" s="957"/>
    </row>
    <row r="61" spans="1:256" s="52" customFormat="1" ht="12.75" customHeight="1" x14ac:dyDescent="0.2">
      <c r="A61" s="35" t="s">
        <v>72</v>
      </c>
      <c r="B61" s="36"/>
      <c r="C61" s="36"/>
      <c r="D61" s="36"/>
      <c r="E61" s="200"/>
      <c r="F61" s="37"/>
      <c r="G61" s="36"/>
      <c r="H61" s="36"/>
      <c r="I61" s="36"/>
      <c r="J61" s="200"/>
      <c r="K61" s="37"/>
      <c r="L61" s="36">
        <f t="shared" ref="L61:AQ61" si="209">L6</f>
        <v>345.8</v>
      </c>
      <c r="M61" s="36">
        <f t="shared" si="209"/>
        <v>318.8</v>
      </c>
      <c r="N61" s="36">
        <f t="shared" si="209"/>
        <v>335.4</v>
      </c>
      <c r="O61" s="200">
        <f t="shared" si="209"/>
        <v>319.89999999999998</v>
      </c>
      <c r="P61" s="37">
        <f t="shared" si="209"/>
        <v>1319.9</v>
      </c>
      <c r="Q61" s="36">
        <f t="shared" si="209"/>
        <v>321.10000000000002</v>
      </c>
      <c r="R61" s="36">
        <f t="shared" si="209"/>
        <v>319.89999999999998</v>
      </c>
      <c r="S61" s="36">
        <f t="shared" si="209"/>
        <v>323.89999999999998</v>
      </c>
      <c r="T61" s="200">
        <f t="shared" si="209"/>
        <v>327</v>
      </c>
      <c r="U61" s="37">
        <f t="shared" si="209"/>
        <v>1291.9000000000001</v>
      </c>
      <c r="V61" s="36">
        <f t="shared" si="209"/>
        <v>290.10000000000002</v>
      </c>
      <c r="W61" s="36">
        <f t="shared" si="209"/>
        <v>313.10000000000002</v>
      </c>
      <c r="X61" s="36">
        <f t="shared" si="209"/>
        <v>300.3</v>
      </c>
      <c r="Y61" s="200">
        <f t="shared" si="209"/>
        <v>305.2</v>
      </c>
      <c r="Z61" s="37">
        <f t="shared" si="209"/>
        <v>1208.7</v>
      </c>
      <c r="AA61" s="36">
        <f t="shared" si="209"/>
        <v>306</v>
      </c>
      <c r="AB61" s="36">
        <f t="shared" si="209"/>
        <v>332.9</v>
      </c>
      <c r="AC61" s="36">
        <f t="shared" si="209"/>
        <v>325</v>
      </c>
      <c r="AD61" s="200">
        <f t="shared" si="209"/>
        <v>310.3</v>
      </c>
      <c r="AE61" s="37">
        <f t="shared" si="209"/>
        <v>1274.2</v>
      </c>
      <c r="AF61" s="36">
        <f t="shared" si="209"/>
        <v>318.39999999999998</v>
      </c>
      <c r="AG61" s="36">
        <f t="shared" si="209"/>
        <v>313.60000000000002</v>
      </c>
      <c r="AH61" s="36">
        <f t="shared" si="209"/>
        <v>319.89999999999998</v>
      </c>
      <c r="AI61" s="200">
        <f t="shared" si="209"/>
        <v>314.89999999999998</v>
      </c>
      <c r="AJ61" s="37">
        <f t="shared" si="209"/>
        <v>1266.8</v>
      </c>
      <c r="AK61" s="36">
        <f t="shared" si="209"/>
        <v>319.60000000000002</v>
      </c>
      <c r="AL61" s="36">
        <f t="shared" si="209"/>
        <v>334.5</v>
      </c>
      <c r="AM61" s="36">
        <f t="shared" si="209"/>
        <v>333.4</v>
      </c>
      <c r="AN61" s="200">
        <f t="shared" si="209"/>
        <v>322.10000000000002</v>
      </c>
      <c r="AO61" s="37">
        <f t="shared" si="209"/>
        <v>1309.5999999999999</v>
      </c>
      <c r="AP61" s="36">
        <f t="shared" si="209"/>
        <v>327.7</v>
      </c>
      <c r="AQ61" s="36">
        <f t="shared" si="209"/>
        <v>327.39999999999998</v>
      </c>
      <c r="AR61" s="36">
        <f t="shared" ref="AR61:BW61" si="210">AR6</f>
        <v>332.3</v>
      </c>
      <c r="AS61" s="200">
        <f t="shared" si="210"/>
        <v>337.1</v>
      </c>
      <c r="AT61" s="37">
        <f t="shared" si="210"/>
        <v>1324.5</v>
      </c>
      <c r="AU61" s="36">
        <f t="shared" si="210"/>
        <v>331.1</v>
      </c>
      <c r="AV61" s="36">
        <f t="shared" si="210"/>
        <v>326.5</v>
      </c>
      <c r="AW61" s="36">
        <f t="shared" si="210"/>
        <v>326.5</v>
      </c>
      <c r="AX61" s="200">
        <f t="shared" si="210"/>
        <v>316.2</v>
      </c>
      <c r="AY61" s="37">
        <f t="shared" si="210"/>
        <v>1300.3</v>
      </c>
      <c r="AZ61" s="36">
        <f t="shared" si="210"/>
        <v>300.5</v>
      </c>
      <c r="BA61" s="36">
        <f t="shared" si="210"/>
        <v>339.9</v>
      </c>
      <c r="BB61" s="36">
        <f t="shared" si="210"/>
        <v>437.7</v>
      </c>
      <c r="BC61" s="200">
        <f t="shared" si="210"/>
        <v>441.1</v>
      </c>
      <c r="BD61" s="37">
        <f t="shared" si="210"/>
        <v>1519.1999999999998</v>
      </c>
      <c r="BE61" s="36">
        <f t="shared" si="210"/>
        <v>422</v>
      </c>
      <c r="BF61" s="36">
        <f t="shared" si="210"/>
        <v>435.7</v>
      </c>
      <c r="BG61" s="36">
        <f t="shared" si="210"/>
        <v>424.7</v>
      </c>
      <c r="BH61" s="200">
        <f t="shared" si="210"/>
        <v>405</v>
      </c>
      <c r="BI61" s="37">
        <f t="shared" si="210"/>
        <v>1687.4</v>
      </c>
      <c r="BJ61" s="36">
        <f t="shared" si="210"/>
        <v>439.2</v>
      </c>
      <c r="BK61" s="36">
        <f t="shared" si="210"/>
        <v>436.8</v>
      </c>
      <c r="BL61" s="36">
        <f t="shared" si="210"/>
        <v>403.3</v>
      </c>
      <c r="BM61" s="200">
        <f t="shared" si="210"/>
        <v>416.08800000000002</v>
      </c>
      <c r="BN61" s="37">
        <f t="shared" si="210"/>
        <v>1695.3879999999999</v>
      </c>
      <c r="BO61" s="36">
        <f t="shared" si="210"/>
        <v>398.5</v>
      </c>
      <c r="BP61" s="36">
        <f t="shared" si="210"/>
        <v>393.5</v>
      </c>
      <c r="BQ61" s="36">
        <f t="shared" si="210"/>
        <v>412.4</v>
      </c>
      <c r="BR61" s="200">
        <f t="shared" si="210"/>
        <v>405.2</v>
      </c>
      <c r="BS61" s="37">
        <f t="shared" si="210"/>
        <v>1609.6000000000001</v>
      </c>
      <c r="BT61" s="36">
        <f t="shared" si="210"/>
        <v>395.2</v>
      </c>
      <c r="BU61" s="36">
        <f t="shared" si="210"/>
        <v>420.2</v>
      </c>
      <c r="BV61" s="36">
        <f t="shared" si="210"/>
        <v>406.8</v>
      </c>
      <c r="BW61" s="200">
        <f t="shared" si="210"/>
        <v>392.4</v>
      </c>
      <c r="BX61" s="37">
        <f t="shared" ref="BX61:DC61" si="211">BX6</f>
        <v>1614.6</v>
      </c>
      <c r="BY61" s="36">
        <f t="shared" si="211"/>
        <v>406.3</v>
      </c>
      <c r="BZ61" s="36">
        <f t="shared" si="211"/>
        <v>427.1</v>
      </c>
      <c r="CA61" s="36">
        <f t="shared" si="211"/>
        <v>428.2</v>
      </c>
      <c r="CB61" s="200">
        <f t="shared" si="211"/>
        <v>429.2</v>
      </c>
      <c r="CC61" s="37">
        <f t="shared" si="211"/>
        <v>1690.8000000000002</v>
      </c>
      <c r="CD61" s="36">
        <f t="shared" si="211"/>
        <v>420.6</v>
      </c>
      <c r="CE61" s="36">
        <f t="shared" si="211"/>
        <v>439.3</v>
      </c>
      <c r="CF61" s="36">
        <f t="shared" si="211"/>
        <v>451.8</v>
      </c>
      <c r="CG61" s="200">
        <f t="shared" si="211"/>
        <v>423.7</v>
      </c>
      <c r="CH61" s="37">
        <f t="shared" si="211"/>
        <v>1735.4</v>
      </c>
      <c r="CI61" s="36">
        <f t="shared" si="211"/>
        <v>435.7</v>
      </c>
      <c r="CJ61" s="36">
        <f t="shared" si="211"/>
        <v>448.6</v>
      </c>
      <c r="CK61" s="36">
        <f t="shared" si="211"/>
        <v>436.7</v>
      </c>
      <c r="CL61" s="200">
        <f t="shared" si="211"/>
        <v>439</v>
      </c>
      <c r="CM61" s="37">
        <f t="shared" si="211"/>
        <v>1760</v>
      </c>
      <c r="CN61" s="36">
        <f t="shared" si="211"/>
        <v>420.2</v>
      </c>
      <c r="CO61" s="36">
        <f t="shared" si="211"/>
        <v>434.6</v>
      </c>
      <c r="CP61" s="36">
        <f t="shared" si="211"/>
        <v>427.3</v>
      </c>
      <c r="CQ61" s="200">
        <f t="shared" si="211"/>
        <v>417.3</v>
      </c>
      <c r="CR61" s="37">
        <f t="shared" si="211"/>
        <v>1699.3999999999999</v>
      </c>
      <c r="CS61" s="36">
        <f t="shared" si="211"/>
        <v>427</v>
      </c>
      <c r="CT61" s="36">
        <f t="shared" si="211"/>
        <v>448.3</v>
      </c>
      <c r="CU61" s="36">
        <f t="shared" si="211"/>
        <v>450.9</v>
      </c>
      <c r="CV61" s="200">
        <f t="shared" si="211"/>
        <v>439.5</v>
      </c>
      <c r="CW61" s="37">
        <f t="shared" si="211"/>
        <v>1765.6999999999998</v>
      </c>
      <c r="CX61" s="36">
        <f t="shared" si="211"/>
        <v>380.8</v>
      </c>
      <c r="CY61" s="36">
        <f t="shared" si="211"/>
        <v>331.9</v>
      </c>
      <c r="CZ61" s="36">
        <f t="shared" si="211"/>
        <v>351.3</v>
      </c>
      <c r="DA61" s="36">
        <f t="shared" si="211"/>
        <v>354.5</v>
      </c>
      <c r="DB61" s="37">
        <f t="shared" si="211"/>
        <v>1418.5</v>
      </c>
      <c r="DC61" s="36">
        <f t="shared" si="211"/>
        <v>364.3</v>
      </c>
      <c r="DD61" s="36">
        <f t="shared" ref="DD61:EI61" si="212">DD6</f>
        <v>394.4</v>
      </c>
      <c r="DE61" s="36">
        <f t="shared" si="212"/>
        <v>402.7</v>
      </c>
      <c r="DF61" s="36">
        <f t="shared" si="212"/>
        <v>395.3</v>
      </c>
      <c r="DG61" s="37">
        <f t="shared" si="212"/>
        <v>1556.7</v>
      </c>
      <c r="DH61" s="36">
        <f t="shared" si="212"/>
        <v>406.1</v>
      </c>
      <c r="DI61" s="36">
        <f t="shared" si="212"/>
        <v>402.6</v>
      </c>
      <c r="DJ61" s="36">
        <f t="shared" si="212"/>
        <v>405.1</v>
      </c>
      <c r="DK61" s="36">
        <f t="shared" si="212"/>
        <v>405.8</v>
      </c>
      <c r="DL61" s="37">
        <f t="shared" si="212"/>
        <v>1619.6000000000001</v>
      </c>
      <c r="DM61" s="36">
        <f t="shared" si="212"/>
        <v>359</v>
      </c>
      <c r="DN61" s="36">
        <f t="shared" si="212"/>
        <v>354.8</v>
      </c>
      <c r="DO61" s="36">
        <f t="shared" si="212"/>
        <v>348.2</v>
      </c>
      <c r="DP61" s="36">
        <f t="shared" si="212"/>
        <v>352.1</v>
      </c>
      <c r="DQ61" s="37">
        <f t="shared" si="212"/>
        <v>1414.1</v>
      </c>
      <c r="DR61" s="36">
        <f t="shared" si="212"/>
        <v>343.2</v>
      </c>
      <c r="DS61" s="36">
        <f t="shared" si="212"/>
        <v>341.4</v>
      </c>
      <c r="DT61" s="36">
        <f t="shared" si="212"/>
        <v>339.9</v>
      </c>
      <c r="DU61" s="36">
        <f t="shared" si="212"/>
        <v>322.2</v>
      </c>
      <c r="DV61" s="37">
        <f t="shared" si="212"/>
        <v>1346.7</v>
      </c>
      <c r="DW61" s="36">
        <f t="shared" si="212"/>
        <v>299.7</v>
      </c>
      <c r="DX61" s="36">
        <f t="shared" si="212"/>
        <v>350.5</v>
      </c>
      <c r="DY61" s="36">
        <f t="shared" si="212"/>
        <v>332.1</v>
      </c>
      <c r="DZ61" s="36">
        <f t="shared" si="212"/>
        <v>302.10000000000002</v>
      </c>
      <c r="EA61" s="37">
        <f t="shared" si="212"/>
        <v>1284.4000000000001</v>
      </c>
      <c r="EB61" s="36">
        <f t="shared" si="212"/>
        <v>277.39999999999998</v>
      </c>
      <c r="EC61" s="36">
        <f t="shared" si="212"/>
        <v>275.7</v>
      </c>
      <c r="ED61" s="36">
        <f t="shared" si="212"/>
        <v>278.8</v>
      </c>
      <c r="EE61" s="36">
        <f t="shared" si="212"/>
        <v>247.8</v>
      </c>
      <c r="EF61" s="37">
        <f t="shared" si="212"/>
        <v>1079.6999999999998</v>
      </c>
      <c r="EG61" s="36">
        <f t="shared" si="212"/>
        <v>214.8</v>
      </c>
      <c r="EH61" s="36">
        <f t="shared" si="212"/>
        <v>210</v>
      </c>
      <c r="EI61" s="36">
        <f t="shared" si="212"/>
        <v>238.2</v>
      </c>
      <c r="EJ61" s="36">
        <f t="shared" ref="EJ61:ER61" si="213">EJ6</f>
        <v>239.1</v>
      </c>
      <c r="EK61" s="37">
        <f t="shared" si="213"/>
        <v>902.1</v>
      </c>
      <c r="EL61" s="36">
        <f t="shared" si="213"/>
        <v>259.60000000000002</v>
      </c>
      <c r="EM61" s="36">
        <f t="shared" si="213"/>
        <v>266.10000000000002</v>
      </c>
      <c r="EN61" s="36">
        <f t="shared" si="213"/>
        <v>266.60000000000002</v>
      </c>
      <c r="EO61" s="36">
        <f t="shared" ref="EO61:EQ61" si="214">EO6</f>
        <v>253.7</v>
      </c>
      <c r="EP61" s="37">
        <f t="shared" si="214"/>
        <v>1046</v>
      </c>
      <c r="EQ61" s="36">
        <f t="shared" si="214"/>
        <v>249.1</v>
      </c>
      <c r="ER61" s="36">
        <f t="shared" si="213"/>
        <v>252.79500000000002</v>
      </c>
      <c r="ES61" s="36">
        <f t="shared" ref="ES61:EU61" si="215">ES6</f>
        <v>245.27200000000002</v>
      </c>
      <c r="ET61" s="36">
        <f t="shared" si="215"/>
        <v>238.47799999999998</v>
      </c>
      <c r="EU61" s="1944">
        <f t="shared" si="215"/>
        <v>985.64499999999998</v>
      </c>
      <c r="EV61" s="38"/>
      <c r="EW61" s="38"/>
      <c r="EX61" s="38"/>
      <c r="EY61" s="38"/>
      <c r="EZ61" s="838">
        <f>EZ6</f>
        <v>931.43452499999989</v>
      </c>
      <c r="FA61" s="38"/>
      <c r="FB61" s="38"/>
      <c r="FC61" s="38"/>
      <c r="FD61" s="38"/>
      <c r="FE61" s="838">
        <f>FE6</f>
        <v>884.86279874999991</v>
      </c>
      <c r="FF61" s="758"/>
      <c r="FG61" s="630"/>
      <c r="FH61" s="1059"/>
      <c r="FI61" s="1059"/>
      <c r="FJ61" s="1059"/>
      <c r="FK61" s="1059"/>
      <c r="FL61" s="1808"/>
      <c r="FM61" s="36">
        <f t="shared" si="152"/>
        <v>249.1</v>
      </c>
      <c r="FN61" s="36">
        <f t="shared" si="153"/>
        <v>259.60000000000002</v>
      </c>
      <c r="FO61" s="36">
        <v>247.91800000000001</v>
      </c>
      <c r="FP61" s="1862">
        <f>IFERROR(($FM61/FN61)-1,"")</f>
        <v>-4.0446841294298985E-2</v>
      </c>
      <c r="FQ61" s="1862">
        <f>IFERROR(($FM61/FO61)-1,"")</f>
        <v>4.7677054509958072E-3</v>
      </c>
      <c r="FR61" s="572"/>
      <c r="FS61" s="572"/>
      <c r="FT61" s="572"/>
      <c r="FU61" s="572"/>
      <c r="FV61" s="572"/>
      <c r="FW61" s="572"/>
      <c r="FX61" s="572"/>
      <c r="FY61" s="572"/>
      <c r="FZ61" s="572"/>
      <c r="GA61" s="630"/>
      <c r="GB61"/>
      <c r="GC61"/>
      <c r="GD61"/>
      <c r="GE61"/>
      <c r="GF61"/>
      <c r="GG61"/>
      <c r="GH61" s="958"/>
      <c r="GI61" s="958"/>
      <c r="GJ61" s="958"/>
      <c r="GK61" s="958"/>
      <c r="GL61" s="958"/>
      <c r="GM61" s="958"/>
      <c r="GN61" s="958"/>
      <c r="GO61" s="958"/>
      <c r="GP61" s="958"/>
      <c r="GQ61" s="958"/>
      <c r="GR61" s="958"/>
      <c r="GS61" s="958"/>
      <c r="GT61" s="958"/>
      <c r="GU61" s="958"/>
      <c r="GV61" s="958"/>
      <c r="GW61" s="958"/>
      <c r="GX61" s="958"/>
      <c r="GY61" s="958"/>
      <c r="GZ61" s="958"/>
      <c r="HA61" s="958"/>
      <c r="HB61" s="958"/>
      <c r="HC61" s="958"/>
      <c r="HD61" s="958"/>
      <c r="HE61" s="958"/>
      <c r="HF61" s="958"/>
      <c r="HG61" s="958"/>
      <c r="HH61" s="958"/>
      <c r="HI61" s="958"/>
      <c r="HJ61" s="958"/>
      <c r="HK61" s="958"/>
      <c r="HL61" s="958"/>
      <c r="HM61" s="958"/>
      <c r="HN61" s="958"/>
      <c r="HO61" s="958"/>
      <c r="HP61" s="958"/>
      <c r="HQ61" s="958"/>
      <c r="HR61" s="958"/>
      <c r="HS61" s="958"/>
      <c r="HT61" s="958"/>
      <c r="HU61" s="958"/>
      <c r="HV61" s="958"/>
      <c r="HW61" s="958"/>
      <c r="HX61" s="958"/>
      <c r="HY61" s="958"/>
      <c r="HZ61" s="958"/>
      <c r="IA61" s="958"/>
      <c r="IB61" s="958"/>
      <c r="IC61" s="958"/>
      <c r="ID61" s="958"/>
      <c r="IE61" s="958"/>
      <c r="IF61" s="958"/>
      <c r="IG61" s="958"/>
      <c r="IH61" s="958"/>
      <c r="II61" s="958"/>
      <c r="IJ61" s="958"/>
      <c r="IK61" s="958"/>
      <c r="IL61" s="958"/>
      <c r="IM61" s="958"/>
      <c r="IN61" s="958"/>
      <c r="IO61" s="958"/>
      <c r="IP61" s="958"/>
      <c r="IQ61" s="958"/>
      <c r="IR61" s="958"/>
      <c r="IS61" s="958"/>
      <c r="IT61" s="958"/>
      <c r="IU61" s="958"/>
      <c r="IV61" s="958"/>
    </row>
    <row r="62" spans="1:256" s="191" customFormat="1" ht="12.75" x14ac:dyDescent="0.2">
      <c r="A62" s="242" t="s">
        <v>74</v>
      </c>
      <c r="B62" s="22"/>
      <c r="C62" s="22"/>
      <c r="D62" s="22"/>
      <c r="E62" s="197"/>
      <c r="F62" s="21"/>
      <c r="G62" s="22"/>
      <c r="H62" s="22"/>
      <c r="I62" s="22"/>
      <c r="J62" s="197"/>
      <c r="K62" s="21"/>
      <c r="L62" s="22"/>
      <c r="M62" s="22"/>
      <c r="N62" s="22"/>
      <c r="O62" s="197"/>
      <c r="P62" s="21"/>
      <c r="Q62" s="22">
        <f t="shared" ref="Q62:CB62" si="216">Q61/L61-1</f>
        <v>-7.1428571428571397E-2</v>
      </c>
      <c r="R62" s="22">
        <f t="shared" si="216"/>
        <v>3.4504391468004325E-3</v>
      </c>
      <c r="S62" s="22">
        <f t="shared" si="216"/>
        <v>-3.4287418008348225E-2</v>
      </c>
      <c r="T62" s="197">
        <f t="shared" si="216"/>
        <v>2.2194435761175413E-2</v>
      </c>
      <c r="U62" s="21">
        <f t="shared" si="216"/>
        <v>-2.1213728312750924E-2</v>
      </c>
      <c r="V62" s="22">
        <f t="shared" si="216"/>
        <v>-9.6543132980379975E-2</v>
      </c>
      <c r="W62" s="22">
        <f t="shared" si="216"/>
        <v>-2.125664270084382E-2</v>
      </c>
      <c r="X62" s="22">
        <f t="shared" si="216"/>
        <v>-7.2861994442729117E-2</v>
      </c>
      <c r="Y62" s="197">
        <f t="shared" si="216"/>
        <v>-6.6666666666666652E-2</v>
      </c>
      <c r="Z62" s="21">
        <f t="shared" si="216"/>
        <v>-6.4401269448099763E-2</v>
      </c>
      <c r="AA62" s="22">
        <f t="shared" si="216"/>
        <v>5.4808686659772343E-2</v>
      </c>
      <c r="AB62" s="22">
        <f t="shared" si="216"/>
        <v>6.3238581922708148E-2</v>
      </c>
      <c r="AC62" s="22">
        <f t="shared" si="216"/>
        <v>8.2251082251082241E-2</v>
      </c>
      <c r="AD62" s="197">
        <f t="shared" si="216"/>
        <v>1.671035386631714E-2</v>
      </c>
      <c r="AE62" s="21">
        <f t="shared" si="216"/>
        <v>5.4190452552328905E-2</v>
      </c>
      <c r="AF62" s="22">
        <f t="shared" si="216"/>
        <v>4.052287581699332E-2</v>
      </c>
      <c r="AG62" s="22">
        <f t="shared" si="216"/>
        <v>-5.7975367978371772E-2</v>
      </c>
      <c r="AH62" s="22">
        <f t="shared" si="216"/>
        <v>-1.5692307692307783E-2</v>
      </c>
      <c r="AI62" s="197">
        <f t="shared" si="216"/>
        <v>1.4824363519174932E-2</v>
      </c>
      <c r="AJ62" s="21">
        <f t="shared" si="216"/>
        <v>-5.8075655313137853E-3</v>
      </c>
      <c r="AK62" s="22">
        <f t="shared" si="216"/>
        <v>3.7688442211056827E-3</v>
      </c>
      <c r="AL62" s="22">
        <f t="shared" si="216"/>
        <v>6.6645408163265252E-2</v>
      </c>
      <c r="AM62" s="22">
        <f t="shared" si="216"/>
        <v>4.2200687714910812E-2</v>
      </c>
      <c r="AN62" s="197">
        <f t="shared" si="216"/>
        <v>2.2864401397269196E-2</v>
      </c>
      <c r="AO62" s="21">
        <f t="shared" si="216"/>
        <v>3.3785917271866195E-2</v>
      </c>
      <c r="AP62" s="22">
        <f t="shared" si="216"/>
        <v>2.5344180225281399E-2</v>
      </c>
      <c r="AQ62" s="22">
        <f t="shared" si="216"/>
        <v>-2.1225710014947774E-2</v>
      </c>
      <c r="AR62" s="22">
        <f t="shared" si="216"/>
        <v>-3.2993401319735272E-3</v>
      </c>
      <c r="AS62" s="197">
        <f t="shared" si="216"/>
        <v>4.6569388388699062E-2</v>
      </c>
      <c r="AT62" s="21">
        <f t="shared" si="216"/>
        <v>1.1377519853390528E-2</v>
      </c>
      <c r="AU62" s="22">
        <f t="shared" si="216"/>
        <v>1.0375343301800566E-2</v>
      </c>
      <c r="AV62" s="22">
        <f t="shared" si="216"/>
        <v>-2.7489309712889209E-3</v>
      </c>
      <c r="AW62" s="22">
        <f t="shared" si="216"/>
        <v>-1.7454107733975377E-2</v>
      </c>
      <c r="AX62" s="197">
        <f t="shared" si="216"/>
        <v>-6.1999406704242199E-2</v>
      </c>
      <c r="AY62" s="21">
        <f t="shared" si="216"/>
        <v>-1.8271045677614284E-2</v>
      </c>
      <c r="AZ62" s="22">
        <f t="shared" si="216"/>
        <v>-9.2419208698278577E-2</v>
      </c>
      <c r="BA62" s="22">
        <f t="shared" si="216"/>
        <v>4.1041347626339819E-2</v>
      </c>
      <c r="BB62" s="22">
        <f t="shared" si="216"/>
        <v>0.34058192955589583</v>
      </c>
      <c r="BC62" s="197">
        <f t="shared" si="216"/>
        <v>0.39500316255534473</v>
      </c>
      <c r="BD62" s="21">
        <f t="shared" si="216"/>
        <v>0.16834576636160881</v>
      </c>
      <c r="BE62" s="22">
        <f t="shared" si="216"/>
        <v>0.40432612312811989</v>
      </c>
      <c r="BF62" s="22">
        <f t="shared" si="216"/>
        <v>0.28184760223595173</v>
      </c>
      <c r="BG62" s="22">
        <f t="shared" si="216"/>
        <v>-2.9700708247658247E-2</v>
      </c>
      <c r="BH62" s="197">
        <f t="shared" si="216"/>
        <v>-8.1840852414418519E-2</v>
      </c>
      <c r="BI62" s="21">
        <f t="shared" si="216"/>
        <v>0.11071616640337045</v>
      </c>
      <c r="BJ62" s="22">
        <f t="shared" si="216"/>
        <v>4.0758293838862425E-2</v>
      </c>
      <c r="BK62" s="22">
        <f t="shared" si="216"/>
        <v>2.5246729400965062E-3</v>
      </c>
      <c r="BL62" s="22">
        <f t="shared" si="216"/>
        <v>-5.0388509536143156E-2</v>
      </c>
      <c r="BM62" s="197">
        <f t="shared" si="216"/>
        <v>2.7377777777777723E-2</v>
      </c>
      <c r="BN62" s="21">
        <f t="shared" si="216"/>
        <v>4.7339101576389098E-3</v>
      </c>
      <c r="BO62" s="22">
        <f t="shared" si="216"/>
        <v>-9.2668488160291385E-2</v>
      </c>
      <c r="BP62" s="22">
        <f t="shared" si="216"/>
        <v>-9.9130036630036611E-2</v>
      </c>
      <c r="BQ62" s="22">
        <f t="shared" si="216"/>
        <v>2.2563848251921481E-2</v>
      </c>
      <c r="BR62" s="197">
        <f t="shared" si="216"/>
        <v>-2.6167541481609713E-2</v>
      </c>
      <c r="BS62" s="21">
        <f t="shared" si="216"/>
        <v>-5.0600806423072298E-2</v>
      </c>
      <c r="BT62" s="22">
        <f t="shared" si="216"/>
        <v>-8.2810539523212601E-3</v>
      </c>
      <c r="BU62" s="22">
        <f t="shared" si="216"/>
        <v>6.7852604828462448E-2</v>
      </c>
      <c r="BV62" s="22">
        <f t="shared" si="216"/>
        <v>-1.3579049466537207E-2</v>
      </c>
      <c r="BW62" s="197">
        <f t="shared" si="216"/>
        <v>-3.1589338598223105E-2</v>
      </c>
      <c r="BX62" s="21">
        <f t="shared" si="216"/>
        <v>3.1063618290256834E-3</v>
      </c>
      <c r="BY62" s="22">
        <f t="shared" si="216"/>
        <v>2.8087044534413019E-2</v>
      </c>
      <c r="BZ62" s="22">
        <f t="shared" si="216"/>
        <v>1.6420752022846319E-2</v>
      </c>
      <c r="CA62" s="22">
        <f t="shared" si="216"/>
        <v>5.2605703048180796E-2</v>
      </c>
      <c r="CB62" s="197">
        <f t="shared" si="216"/>
        <v>9.3781855249745139E-2</v>
      </c>
      <c r="CC62" s="21">
        <f t="shared" ref="CC62:DY62" si="217">CC61/BX61-1</f>
        <v>4.719435154217777E-2</v>
      </c>
      <c r="CD62" s="22">
        <f t="shared" si="217"/>
        <v>3.5195668225449284E-2</v>
      </c>
      <c r="CE62" s="22">
        <f t="shared" si="217"/>
        <v>2.8564738937017164E-2</v>
      </c>
      <c r="CF62" s="22">
        <f t="shared" si="217"/>
        <v>5.5114432508173827E-2</v>
      </c>
      <c r="CG62" s="197">
        <f t="shared" si="217"/>
        <v>-1.2814538676607645E-2</v>
      </c>
      <c r="CH62" s="21">
        <f t="shared" si="217"/>
        <v>2.6378045895434132E-2</v>
      </c>
      <c r="CI62" s="22">
        <f t="shared" si="217"/>
        <v>3.5901093675701379E-2</v>
      </c>
      <c r="CJ62" s="22">
        <f t="shared" si="217"/>
        <v>2.1170043250626103E-2</v>
      </c>
      <c r="CK62" s="22">
        <f t="shared" si="217"/>
        <v>-3.3421868083222672E-2</v>
      </c>
      <c r="CL62" s="197">
        <f t="shared" si="217"/>
        <v>3.6110455510974804E-2</v>
      </c>
      <c r="CM62" s="21">
        <f t="shared" si="217"/>
        <v>1.417540624639857E-2</v>
      </c>
      <c r="CN62" s="22">
        <f t="shared" si="217"/>
        <v>-3.5574936883176478E-2</v>
      </c>
      <c r="CO62" s="22">
        <f t="shared" si="217"/>
        <v>-3.120820329915297E-2</v>
      </c>
      <c r="CP62" s="22">
        <f t="shared" si="217"/>
        <v>-2.152507442179985E-2</v>
      </c>
      <c r="CQ62" s="197">
        <f t="shared" si="217"/>
        <v>-4.9430523917995406E-2</v>
      </c>
      <c r="CR62" s="21">
        <f t="shared" si="217"/>
        <v>-3.4431818181818286E-2</v>
      </c>
      <c r="CS62" s="22">
        <f t="shared" si="217"/>
        <v>1.6182770109471667E-2</v>
      </c>
      <c r="CT62" s="22">
        <f t="shared" si="217"/>
        <v>3.1523239760699484E-2</v>
      </c>
      <c r="CU62" s="22">
        <f t="shared" si="217"/>
        <v>5.5230517201029672E-2</v>
      </c>
      <c r="CV62" s="197">
        <f t="shared" si="217"/>
        <v>5.3199137311286782E-2</v>
      </c>
      <c r="CW62" s="21">
        <f t="shared" si="217"/>
        <v>3.9013769565729106E-2</v>
      </c>
      <c r="CX62" s="22">
        <f t="shared" si="217"/>
        <v>-0.1081967213114754</v>
      </c>
      <c r="CY62" s="22">
        <f t="shared" si="217"/>
        <v>-0.25964755743921486</v>
      </c>
      <c r="CZ62" s="22">
        <f t="shared" si="217"/>
        <v>-0.22089155023286755</v>
      </c>
      <c r="DA62" s="22">
        <f>DA61/CV61-1</f>
        <v>-0.19340159271899882</v>
      </c>
      <c r="DB62" s="21">
        <f>DB61/CW61-1</f>
        <v>-0.19663589511241997</v>
      </c>
      <c r="DC62" s="22">
        <f t="shared" si="217"/>
        <v>-4.3329831932773066E-2</v>
      </c>
      <c r="DD62" s="22">
        <f t="shared" si="217"/>
        <v>0.18830973184694177</v>
      </c>
      <c r="DE62" s="22">
        <f t="shared" si="217"/>
        <v>0.14631369200113853</v>
      </c>
      <c r="DF62" s="22">
        <f>DF61/DA61-1</f>
        <v>0.11509167842031043</v>
      </c>
      <c r="DG62" s="21">
        <f t="shared" si="217"/>
        <v>9.742685935847728E-2</v>
      </c>
      <c r="DH62" s="22">
        <f>DH61/DC61-1</f>
        <v>0.11474059840790551</v>
      </c>
      <c r="DI62" s="22">
        <f t="shared" si="217"/>
        <v>2.0791075050710095E-2</v>
      </c>
      <c r="DJ62" s="22">
        <f t="shared" si="217"/>
        <v>5.9597715420909303E-3</v>
      </c>
      <c r="DK62" s="22">
        <f t="shared" si="217"/>
        <v>2.6562104730584402E-2</v>
      </c>
      <c r="DL62" s="21">
        <f t="shared" si="217"/>
        <v>4.0405987023832468E-2</v>
      </c>
      <c r="DM62" s="22">
        <f t="shared" si="217"/>
        <v>-0.11598128539768537</v>
      </c>
      <c r="DN62" s="22">
        <f t="shared" si="217"/>
        <v>-0.11872826626924993</v>
      </c>
      <c r="DO62" s="22">
        <f t="shared" si="217"/>
        <v>-0.14045914588990382</v>
      </c>
      <c r="DP62" s="22">
        <f t="shared" si="217"/>
        <v>-0.13233119763430257</v>
      </c>
      <c r="DQ62" s="21">
        <f t="shared" si="217"/>
        <v>-0.12688318103235374</v>
      </c>
      <c r="DR62" s="22">
        <f t="shared" si="217"/>
        <v>-4.4011142061281316E-2</v>
      </c>
      <c r="DS62" s="22">
        <f t="shared" si="217"/>
        <v>-3.7767756482525505E-2</v>
      </c>
      <c r="DT62" s="22">
        <f t="shared" si="217"/>
        <v>-2.3836875358989151E-2</v>
      </c>
      <c r="DU62" s="22">
        <f t="shared" si="217"/>
        <v>-8.4919057086055183E-2</v>
      </c>
      <c r="DV62" s="21">
        <f t="shared" si="217"/>
        <v>-4.766282441128622E-2</v>
      </c>
      <c r="DW62" s="22">
        <f>DW61/DR61-1</f>
        <v>-0.12674825174825177</v>
      </c>
      <c r="DX62" s="22">
        <f t="shared" si="217"/>
        <v>2.6654950205038164E-2</v>
      </c>
      <c r="DY62" s="22">
        <f t="shared" si="217"/>
        <v>-2.2947925860547058E-2</v>
      </c>
      <c r="DZ62" s="22">
        <f t="shared" ref="DZ62:EI62" si="218">DZ61/DU61-1</f>
        <v>-6.2383612662942123E-2</v>
      </c>
      <c r="EA62" s="21">
        <f t="shared" si="218"/>
        <v>-4.6261231157644578E-2</v>
      </c>
      <c r="EB62" s="22">
        <f t="shared" si="218"/>
        <v>-7.4407741074407729E-2</v>
      </c>
      <c r="EC62" s="22">
        <f t="shared" si="218"/>
        <v>-0.21340941512125533</v>
      </c>
      <c r="ED62" s="22">
        <f t="shared" si="218"/>
        <v>-0.16049382716049387</v>
      </c>
      <c r="EE62" s="22">
        <f t="shared" si="218"/>
        <v>-0.17974180734856016</v>
      </c>
      <c r="EF62" s="21">
        <f t="shared" si="218"/>
        <v>-0.15937402678293389</v>
      </c>
      <c r="EG62" s="22">
        <f t="shared" si="218"/>
        <v>-0.22566690699351111</v>
      </c>
      <c r="EH62" s="22">
        <f t="shared" si="218"/>
        <v>-0.23830250272034814</v>
      </c>
      <c r="EI62" s="22">
        <f t="shared" si="218"/>
        <v>-0.14562410329985664</v>
      </c>
      <c r="EJ62" s="22">
        <f t="shared" ref="EJ62:EN62" si="219">EJ61/EE61-1</f>
        <v>-3.510895883777243E-2</v>
      </c>
      <c r="EK62" s="21">
        <f t="shared" si="219"/>
        <v>-0.16449013614893004</v>
      </c>
      <c r="EL62" s="22">
        <f t="shared" si="219"/>
        <v>0.20856610800744879</v>
      </c>
      <c r="EM62" s="22">
        <f t="shared" si="219"/>
        <v>0.26714285714285735</v>
      </c>
      <c r="EN62" s="22">
        <f t="shared" si="219"/>
        <v>0.11922753988245183</v>
      </c>
      <c r="EO62" s="22">
        <f t="shared" ref="EO62" si="220">EO61/EJ61-1</f>
        <v>6.1062317022166468E-2</v>
      </c>
      <c r="EP62" s="21">
        <f t="shared" ref="EP62:EQ62" si="221">EP61/EK61-1</f>
        <v>0.15951668329453494</v>
      </c>
      <c r="EQ62" s="22">
        <f t="shared" si="221"/>
        <v>-4.0446841294298985E-2</v>
      </c>
      <c r="ER62" s="22">
        <f t="shared" ref="ER62" si="222">ER61/EM61-1</f>
        <v>-5.0000000000000044E-2</v>
      </c>
      <c r="ES62" s="22">
        <f t="shared" ref="ES62:EU62" si="223">ES61/EN61-1</f>
        <v>-7.999999999999996E-2</v>
      </c>
      <c r="ET62" s="22">
        <f t="shared" si="223"/>
        <v>-6.0000000000000053E-2</v>
      </c>
      <c r="EU62" s="270">
        <f t="shared" si="223"/>
        <v>-5.7700764818355621E-2</v>
      </c>
      <c r="EV62" s="1127"/>
      <c r="EW62" s="1127"/>
      <c r="EX62" s="1127"/>
      <c r="EY62" s="1127"/>
      <c r="EZ62" s="844">
        <f>EZ61/EU61-1</f>
        <v>-5.5000000000000049E-2</v>
      </c>
      <c r="FA62" s="1127"/>
      <c r="FB62" s="1127"/>
      <c r="FC62" s="1127"/>
      <c r="FD62" s="1127"/>
      <c r="FE62" s="844">
        <f>FE61/EZ61-1</f>
        <v>-4.9999999999999933E-2</v>
      </c>
      <c r="FF62" s="790"/>
      <c r="FG62" s="641"/>
      <c r="FH62" s="1073"/>
      <c r="FI62" s="1073"/>
      <c r="FJ62" s="1073"/>
      <c r="FK62" s="1073"/>
      <c r="FL62" s="1806"/>
      <c r="FM62" s="22">
        <f t="shared" si="152"/>
        <v>-4.0446841294298985E-2</v>
      </c>
      <c r="FN62" s="22">
        <f t="shared" si="153"/>
        <v>0.20856610800744879</v>
      </c>
      <c r="FO62" s="2041">
        <v>-4.500000000000004E-2</v>
      </c>
      <c r="FP62" s="1892">
        <f>IFERROR(($FM62-FN62)*10000,"")</f>
        <v>-2490.1294930174777</v>
      </c>
      <c r="FQ62" s="1892">
        <f>IFERROR(($FM62-FO62)*10000,"")</f>
        <v>45.531587057010547</v>
      </c>
      <c r="FR62" s="587"/>
      <c r="FS62" s="587"/>
      <c r="FT62" s="587"/>
      <c r="FU62" s="587"/>
      <c r="FV62" s="587"/>
      <c r="FW62" s="587"/>
      <c r="FX62" s="587"/>
      <c r="FY62" s="587"/>
      <c r="FZ62" s="587"/>
      <c r="GA62" s="641"/>
      <c r="GB62"/>
      <c r="GC62"/>
      <c r="GD62"/>
      <c r="GE62"/>
      <c r="GF62"/>
      <c r="GG62"/>
      <c r="GH62" s="978"/>
      <c r="GI62" s="978"/>
      <c r="GJ62" s="978"/>
      <c r="GK62" s="978"/>
      <c r="GL62" s="978"/>
      <c r="GM62" s="978"/>
      <c r="GN62" s="978"/>
      <c r="GO62" s="978"/>
      <c r="GP62" s="978"/>
      <c r="GQ62" s="978"/>
      <c r="GR62" s="978"/>
      <c r="GS62" s="978"/>
      <c r="GT62" s="978"/>
      <c r="GU62" s="978"/>
      <c r="GV62" s="978"/>
      <c r="GW62" s="978"/>
      <c r="GX62" s="978"/>
      <c r="GY62" s="978"/>
      <c r="GZ62" s="978"/>
      <c r="HA62" s="978"/>
      <c r="HB62" s="978"/>
      <c r="HC62" s="978"/>
      <c r="HD62" s="978"/>
      <c r="HE62" s="978"/>
      <c r="HF62" s="978"/>
      <c r="HG62" s="978"/>
      <c r="HH62" s="978"/>
      <c r="HI62" s="978"/>
      <c r="HJ62" s="978"/>
      <c r="HK62" s="978"/>
      <c r="HL62" s="978"/>
      <c r="HM62" s="978"/>
      <c r="HN62" s="978"/>
      <c r="HO62" s="978"/>
      <c r="HP62" s="978"/>
      <c r="HQ62" s="978"/>
      <c r="HR62" s="978"/>
      <c r="HS62" s="978"/>
      <c r="HT62" s="978"/>
      <c r="HU62" s="978"/>
      <c r="HV62" s="978"/>
      <c r="HW62" s="978"/>
      <c r="HX62" s="978"/>
      <c r="HY62" s="978"/>
      <c r="HZ62" s="978"/>
      <c r="IA62" s="978"/>
      <c r="IB62" s="978"/>
      <c r="IC62" s="978"/>
      <c r="ID62" s="978"/>
      <c r="IE62" s="978"/>
      <c r="IF62" s="978"/>
      <c r="IG62" s="978"/>
      <c r="IH62" s="978"/>
      <c r="II62" s="978"/>
      <c r="IJ62" s="978"/>
      <c r="IK62" s="978"/>
      <c r="IL62" s="978"/>
      <c r="IM62" s="978"/>
      <c r="IN62" s="978"/>
      <c r="IO62" s="978"/>
      <c r="IP62" s="978"/>
      <c r="IQ62" s="978"/>
      <c r="IR62" s="978"/>
      <c r="IS62" s="978"/>
      <c r="IT62" s="978"/>
      <c r="IU62" s="978"/>
      <c r="IV62" s="978"/>
    </row>
    <row r="63" spans="1:256" s="53" customFormat="1" ht="12.75" x14ac:dyDescent="0.2">
      <c r="A63" s="13" t="s">
        <v>217</v>
      </c>
      <c r="B63" s="16"/>
      <c r="C63" s="16"/>
      <c r="D63" s="16"/>
      <c r="E63" s="201"/>
      <c r="F63" s="40"/>
      <c r="G63" s="16"/>
      <c r="H63" s="16"/>
      <c r="I63" s="16"/>
      <c r="J63" s="201"/>
      <c r="K63" s="40"/>
      <c r="L63" s="16">
        <f t="shared" ref="L63:BW63" si="224">L61/L$13</f>
        <v>0.36377025036818855</v>
      </c>
      <c r="M63" s="16">
        <f t="shared" si="224"/>
        <v>0.33603878992305258</v>
      </c>
      <c r="N63" s="16">
        <f t="shared" si="224"/>
        <v>0.34099227328182191</v>
      </c>
      <c r="O63" s="201">
        <f t="shared" si="224"/>
        <v>0.33336807002917873</v>
      </c>
      <c r="P63" s="40">
        <f t="shared" si="224"/>
        <v>0.34350032530904362</v>
      </c>
      <c r="Q63" s="16">
        <f t="shared" si="224"/>
        <v>0.33174914763921892</v>
      </c>
      <c r="R63" s="16">
        <f t="shared" si="224"/>
        <v>0.32692897291773121</v>
      </c>
      <c r="S63" s="16">
        <f t="shared" si="224"/>
        <v>0.32562581682919473</v>
      </c>
      <c r="T63" s="201">
        <f t="shared" si="224"/>
        <v>0.32289918040880811</v>
      </c>
      <c r="U63" s="40">
        <f t="shared" si="224"/>
        <v>0.32674895037685264</v>
      </c>
      <c r="V63" s="16">
        <f t="shared" si="224"/>
        <v>0.29851821362420256</v>
      </c>
      <c r="W63" s="16">
        <f t="shared" si="224"/>
        <v>0.30430556905432993</v>
      </c>
      <c r="X63" s="16">
        <f t="shared" si="224"/>
        <v>0.30171807495227571</v>
      </c>
      <c r="Y63" s="201">
        <f t="shared" si="224"/>
        <v>0.29579375848032563</v>
      </c>
      <c r="Z63" s="40">
        <f t="shared" si="224"/>
        <v>0.30008937881722031</v>
      </c>
      <c r="AA63" s="16">
        <f t="shared" si="224"/>
        <v>0.30165615141955837</v>
      </c>
      <c r="AB63" s="16">
        <f t="shared" si="224"/>
        <v>0.30238895449177949</v>
      </c>
      <c r="AC63" s="16">
        <f t="shared" si="224"/>
        <v>0.30145626565253691</v>
      </c>
      <c r="AD63" s="201">
        <f t="shared" si="224"/>
        <v>0.27854578096947935</v>
      </c>
      <c r="AE63" s="40">
        <f t="shared" si="224"/>
        <v>0.29581650183405306</v>
      </c>
      <c r="AF63" s="16">
        <f t="shared" si="224"/>
        <v>0.28638244288541104</v>
      </c>
      <c r="AG63" s="16">
        <f t="shared" si="224"/>
        <v>0.2793017456359102</v>
      </c>
      <c r="AH63" s="16">
        <f t="shared" si="224"/>
        <v>0.29065964019625656</v>
      </c>
      <c r="AI63" s="201">
        <f t="shared" si="224"/>
        <v>0.2828273756062511</v>
      </c>
      <c r="AJ63" s="40">
        <f t="shared" si="224"/>
        <v>0.28476374589758574</v>
      </c>
      <c r="AK63" s="16">
        <f t="shared" si="224"/>
        <v>0.28928312816799423</v>
      </c>
      <c r="AL63" s="16">
        <f t="shared" si="224"/>
        <v>0.29295848660010509</v>
      </c>
      <c r="AM63" s="16">
        <f t="shared" si="224"/>
        <v>0.29089957246313586</v>
      </c>
      <c r="AN63" s="201">
        <f t="shared" si="224"/>
        <v>0.27762454749181176</v>
      </c>
      <c r="AO63" s="40">
        <f t="shared" si="224"/>
        <v>0.28764084429704145</v>
      </c>
      <c r="AP63" s="16">
        <f t="shared" si="224"/>
        <v>0.28360017308524449</v>
      </c>
      <c r="AQ63" s="16">
        <f t="shared" si="224"/>
        <v>0.27242469628889993</v>
      </c>
      <c r="AR63" s="16">
        <f t="shared" si="224"/>
        <v>0.2784248010054462</v>
      </c>
      <c r="AS63" s="201">
        <f t="shared" si="224"/>
        <v>0.27907939398956866</v>
      </c>
      <c r="AT63" s="40">
        <f t="shared" si="224"/>
        <v>0.27833231764977828</v>
      </c>
      <c r="AU63" s="16">
        <f t="shared" si="224"/>
        <v>0.27381739993384058</v>
      </c>
      <c r="AV63" s="16">
        <f t="shared" si="224"/>
        <v>0.26527461813454661</v>
      </c>
      <c r="AW63" s="16">
        <f t="shared" si="224"/>
        <v>0.27610993657505284</v>
      </c>
      <c r="AX63" s="201">
        <f t="shared" si="224"/>
        <v>0.26778455284552843</v>
      </c>
      <c r="AY63" s="40">
        <f t="shared" si="224"/>
        <v>0.27070972040055785</v>
      </c>
      <c r="AZ63" s="16">
        <f t="shared" si="224"/>
        <v>0.25934236644515402</v>
      </c>
      <c r="BA63" s="16">
        <f t="shared" si="224"/>
        <v>0.24821089528260554</v>
      </c>
      <c r="BB63" s="16">
        <f t="shared" si="224"/>
        <v>0.25541226585750126</v>
      </c>
      <c r="BC63" s="201">
        <f t="shared" si="224"/>
        <v>0.25659371982362456</v>
      </c>
      <c r="BD63" s="40">
        <f t="shared" si="224"/>
        <v>0.25486255338994701</v>
      </c>
      <c r="BE63" s="16">
        <f t="shared" si="224"/>
        <v>0.25156482861400892</v>
      </c>
      <c r="BF63" s="16">
        <f t="shared" si="224"/>
        <v>0.24814899191251849</v>
      </c>
      <c r="BG63" s="16">
        <f t="shared" si="224"/>
        <v>0.24517954046876805</v>
      </c>
      <c r="BH63" s="201">
        <f t="shared" si="224"/>
        <v>0.24084205518553758</v>
      </c>
      <c r="BI63" s="40">
        <f t="shared" si="224"/>
        <v>0.2464400987279286</v>
      </c>
      <c r="BJ63" s="16">
        <f t="shared" si="224"/>
        <v>0.26560232220609575</v>
      </c>
      <c r="BK63" s="16">
        <f t="shared" si="224"/>
        <v>0.25893651075938112</v>
      </c>
      <c r="BL63" s="16">
        <f t="shared" si="224"/>
        <v>0.24841392054203881</v>
      </c>
      <c r="BM63" s="201">
        <f t="shared" si="224"/>
        <v>0.2505063251510547</v>
      </c>
      <c r="BN63" s="40">
        <f t="shared" si="224"/>
        <v>0.25590808617313721</v>
      </c>
      <c r="BO63" s="16">
        <f t="shared" si="224"/>
        <v>0.24807021912350599</v>
      </c>
      <c r="BP63" s="16">
        <f t="shared" si="224"/>
        <v>0.22924555782114769</v>
      </c>
      <c r="BQ63" s="16">
        <f t="shared" si="224"/>
        <v>0.23758497522756078</v>
      </c>
      <c r="BR63" s="201">
        <f t="shared" si="224"/>
        <v>0.2438026474127557</v>
      </c>
      <c r="BS63" s="40">
        <f t="shared" si="224"/>
        <v>0.23949886172571308</v>
      </c>
      <c r="BT63" s="16">
        <f t="shared" si="224"/>
        <v>0.23980582524271843</v>
      </c>
      <c r="BU63" s="16">
        <f t="shared" si="224"/>
        <v>0.24207858048162229</v>
      </c>
      <c r="BV63" s="16">
        <f t="shared" si="224"/>
        <v>0.23625065334804576</v>
      </c>
      <c r="BW63" s="201">
        <f t="shared" si="224"/>
        <v>0.2235260609512959</v>
      </c>
      <c r="BX63" s="40">
        <f>BX61/BX$13</f>
        <v>0.23532326706698539</v>
      </c>
      <c r="BY63" s="16">
        <f t="shared" ref="BY63:DV63" si="225">BY61/BY$13</f>
        <v>0.23124644280022766</v>
      </c>
      <c r="BZ63" s="16">
        <f t="shared" si="225"/>
        <v>0.2277623720136519</v>
      </c>
      <c r="CA63" s="16">
        <f t="shared" si="225"/>
        <v>0.22481230639995797</v>
      </c>
      <c r="CB63" s="201">
        <f t="shared" si="225"/>
        <v>0.22269496186374724</v>
      </c>
      <c r="CC63" s="40">
        <f t="shared" si="225"/>
        <v>0.22652126148817023</v>
      </c>
      <c r="CD63" s="16">
        <f t="shared" si="225"/>
        <v>0.22575083891716888</v>
      </c>
      <c r="CE63" s="16">
        <f t="shared" si="225"/>
        <v>0.22552492427742696</v>
      </c>
      <c r="CF63" s="16">
        <f t="shared" si="225"/>
        <v>0.22677307634392416</v>
      </c>
      <c r="CG63" s="201">
        <f t="shared" si="225"/>
        <v>0.21364461476401775</v>
      </c>
      <c r="CH63" s="40">
        <f t="shared" si="225"/>
        <v>0.22287246311444042</v>
      </c>
      <c r="CI63" s="16">
        <f t="shared" si="225"/>
        <v>0.22261393827917433</v>
      </c>
      <c r="CJ63" s="16">
        <f t="shared" si="225"/>
        <v>0.22156368844767127</v>
      </c>
      <c r="CK63" s="16">
        <f t="shared" si="225"/>
        <v>0.21934803355266461</v>
      </c>
      <c r="CL63" s="201">
        <f t="shared" si="225"/>
        <v>0.22768528603288213</v>
      </c>
      <c r="CM63" s="40">
        <f t="shared" si="225"/>
        <v>0.22275943246971866</v>
      </c>
      <c r="CN63" s="16">
        <f t="shared" si="225"/>
        <v>0.22452578145872296</v>
      </c>
      <c r="CO63" s="16">
        <f t="shared" si="225"/>
        <v>0.22375534160531327</v>
      </c>
      <c r="CP63" s="16">
        <f t="shared" si="225"/>
        <v>0.22382274370122049</v>
      </c>
      <c r="CQ63" s="201">
        <f t="shared" si="225"/>
        <v>0.22314314742527139</v>
      </c>
      <c r="CR63" s="40">
        <f t="shared" si="225"/>
        <v>0.22381140524166998</v>
      </c>
      <c r="CS63" s="16">
        <f t="shared" si="225"/>
        <v>0.23358862144420131</v>
      </c>
      <c r="CT63" s="16">
        <f t="shared" si="225"/>
        <v>0.23582325092056813</v>
      </c>
      <c r="CU63" s="16">
        <f t="shared" si="225"/>
        <v>0.23790428955838122</v>
      </c>
      <c r="CV63" s="201">
        <f t="shared" si="225"/>
        <v>0.25475307210758175</v>
      </c>
      <c r="CW63" s="40">
        <f t="shared" si="225"/>
        <v>0.24024763589359818</v>
      </c>
      <c r="CX63" s="16">
        <f t="shared" si="225"/>
        <v>0.26161033250893106</v>
      </c>
      <c r="CY63" s="16">
        <f t="shared" si="225"/>
        <v>0.23500672661615804</v>
      </c>
      <c r="CZ63" s="16">
        <f t="shared" si="225"/>
        <v>0.23078439101300752</v>
      </c>
      <c r="DA63" s="16">
        <f t="shared" si="225"/>
        <v>0.22619959162838182</v>
      </c>
      <c r="DB63" s="40">
        <f t="shared" si="225"/>
        <v>0.23811122488375605</v>
      </c>
      <c r="DC63" s="16">
        <f t="shared" si="225"/>
        <v>0.23014719818055468</v>
      </c>
      <c r="DD63" s="16">
        <f t="shared" si="225"/>
        <v>0.22932899174322599</v>
      </c>
      <c r="DE63" s="16">
        <f t="shared" si="225"/>
        <v>0.22977290882117996</v>
      </c>
      <c r="DF63" s="16">
        <f t="shared" si="225"/>
        <v>0.23133192883895129</v>
      </c>
      <c r="DG63" s="40">
        <f t="shared" si="225"/>
        <v>0.23014148223710471</v>
      </c>
      <c r="DH63" s="16">
        <f t="shared" si="225"/>
        <v>0.23731884057971014</v>
      </c>
      <c r="DI63" s="16">
        <f t="shared" si="225"/>
        <v>0.22530639655268903</v>
      </c>
      <c r="DJ63" s="16">
        <f t="shared" si="225"/>
        <v>0.22382452069175093</v>
      </c>
      <c r="DK63" s="16">
        <f t="shared" si="225"/>
        <v>0.22460840205900262</v>
      </c>
      <c r="DL63" s="40">
        <f t="shared" si="225"/>
        <v>0.22764136224998946</v>
      </c>
      <c r="DM63" s="16">
        <f t="shared" si="225"/>
        <v>0.20741853478160388</v>
      </c>
      <c r="DN63" s="16">
        <f t="shared" si="225"/>
        <v>0.1971877952537098</v>
      </c>
      <c r="DO63" s="16">
        <f t="shared" si="225"/>
        <v>0.19507002801120449</v>
      </c>
      <c r="DP63" s="16">
        <f t="shared" si="225"/>
        <v>0.19647341108197089</v>
      </c>
      <c r="DQ63" s="40">
        <f t="shared" si="225"/>
        <v>0.19896724448446643</v>
      </c>
      <c r="DR63" s="16">
        <f>DR61/DR$13</f>
        <v>0.19241982507288627</v>
      </c>
      <c r="DS63" s="16">
        <f>DS61/DS$13</f>
        <v>0.18572516592318572</v>
      </c>
      <c r="DT63" s="16">
        <f t="shared" si="225"/>
        <v>0.18302730063001454</v>
      </c>
      <c r="DU63" s="16">
        <f>DU61/DU$13</f>
        <v>0.17303974221267454</v>
      </c>
      <c r="DV63" s="40">
        <f t="shared" si="225"/>
        <v>0.18345162037352369</v>
      </c>
      <c r="DW63" s="16">
        <f t="shared" ref="DW63:EF63" si="226">DW61/DW$13</f>
        <v>0.17003290593441506</v>
      </c>
      <c r="DX63" s="16">
        <f t="shared" si="226"/>
        <v>0.17674348242650398</v>
      </c>
      <c r="DY63" s="16">
        <f t="shared" si="226"/>
        <v>0.16596701649175413</v>
      </c>
      <c r="DZ63" s="16">
        <f t="shared" si="226"/>
        <v>0.15667461881547559</v>
      </c>
      <c r="EA63" s="40">
        <f t="shared" si="226"/>
        <v>0.16735071466729209</v>
      </c>
      <c r="EB63" s="16">
        <f t="shared" si="226"/>
        <v>0.15393152433272292</v>
      </c>
      <c r="EC63" s="16">
        <f t="shared" si="226"/>
        <v>0.14232615765835527</v>
      </c>
      <c r="ED63" s="16">
        <f t="shared" si="226"/>
        <v>0.14398595258999122</v>
      </c>
      <c r="EE63" s="16">
        <f t="shared" si="226"/>
        <v>0.13740711988466231</v>
      </c>
      <c r="EF63" s="40">
        <f t="shared" si="226"/>
        <v>0.14436615010228776</v>
      </c>
      <c r="EG63" s="16">
        <f t="shared" ref="EG63:ER63" si="227">EG61/EG$13</f>
        <v>0.12224688407034319</v>
      </c>
      <c r="EH63" s="16">
        <f t="shared" si="227"/>
        <v>0.11663426825881699</v>
      </c>
      <c r="EI63" s="16">
        <f t="shared" si="227"/>
        <v>0.12791322092149071</v>
      </c>
      <c r="EJ63" s="16">
        <f t="shared" si="227"/>
        <v>0.12995271482145768</v>
      </c>
      <c r="EK63" s="40">
        <f t="shared" si="227"/>
        <v>0.12426133311293854</v>
      </c>
      <c r="EL63" s="16">
        <f>EL61/EL$13</f>
        <v>0.14058269251597533</v>
      </c>
      <c r="EM63" s="16">
        <f t="shared" ref="EM63:EP63" si="228">EM61/EM$13</f>
        <v>0.13926104249528995</v>
      </c>
      <c r="EN63" s="16">
        <f t="shared" si="228"/>
        <v>0.13820632452047693</v>
      </c>
      <c r="EO63" s="16">
        <f t="shared" si="228"/>
        <v>0.13178536179938705</v>
      </c>
      <c r="EP63" s="40">
        <f t="shared" si="228"/>
        <v>0.13742363528870788</v>
      </c>
      <c r="EQ63" s="16">
        <f>EQ61/EQ$13</f>
        <v>0.13080235244696492</v>
      </c>
      <c r="ER63" s="16">
        <f t="shared" si="227"/>
        <v>0.12720755772760942</v>
      </c>
      <c r="ES63" s="16">
        <f t="shared" ref="ES63:EU63" si="229">ES61/ES$13</f>
        <v>0.12191644911730963</v>
      </c>
      <c r="ET63" s="16">
        <f t="shared" si="229"/>
        <v>0.12062745213088956</v>
      </c>
      <c r="EU63" s="1945">
        <f t="shared" si="229"/>
        <v>0.12507474987936915</v>
      </c>
      <c r="EV63" s="16"/>
      <c r="EW63" s="16"/>
      <c r="EX63" s="16"/>
      <c r="EY63" s="16"/>
      <c r="EZ63" s="743">
        <f>EZ61/EZ$13</f>
        <v>0.1158799074374189</v>
      </c>
      <c r="FA63" s="16"/>
      <c r="FB63" s="16"/>
      <c r="FC63" s="16"/>
      <c r="FD63" s="16"/>
      <c r="FE63" s="743">
        <f>FE61/FE$13</f>
        <v>0.10753753074663623</v>
      </c>
      <c r="FF63" s="759"/>
      <c r="FG63" s="620"/>
      <c r="FH63" s="1026"/>
      <c r="FI63" s="1026"/>
      <c r="FJ63" s="1026"/>
      <c r="FK63" s="1026"/>
      <c r="FL63" s="1807"/>
      <c r="FM63" s="16">
        <f t="shared" si="152"/>
        <v>0.13080235244696492</v>
      </c>
      <c r="FN63" s="16">
        <f t="shared" si="153"/>
        <v>0.14058269251597533</v>
      </c>
      <c r="FO63" s="2043">
        <v>0.13064715445440725</v>
      </c>
      <c r="FP63" s="11">
        <f>IFERROR(($FM63-FN63)*10000,"")</f>
        <v>-97.80340069010407</v>
      </c>
      <c r="FQ63" s="11">
        <f>IFERROR(($FM63-FO63)*10000,"")</f>
        <v>1.5519799255767075</v>
      </c>
      <c r="FR63" s="567"/>
      <c r="FS63" s="567"/>
      <c r="FT63" s="567"/>
      <c r="FU63" s="567"/>
      <c r="FV63" s="567"/>
      <c r="FW63" s="567"/>
      <c r="FX63" s="567"/>
      <c r="FY63" s="567"/>
      <c r="FZ63" s="567"/>
      <c r="GA63" s="620"/>
      <c r="GB63"/>
      <c r="GC63"/>
      <c r="GD63"/>
      <c r="GE63"/>
      <c r="GF63"/>
      <c r="GG63"/>
      <c r="GH63" s="959"/>
      <c r="GI63" s="959"/>
      <c r="GJ63" s="959"/>
      <c r="GK63" s="959"/>
      <c r="GL63" s="959"/>
      <c r="GM63" s="959"/>
      <c r="GN63" s="959"/>
      <c r="GO63" s="959"/>
      <c r="GP63" s="959"/>
      <c r="GQ63" s="959"/>
      <c r="GR63" s="959"/>
      <c r="GS63" s="959"/>
      <c r="GT63" s="959"/>
      <c r="GU63" s="959"/>
      <c r="GV63" s="959"/>
      <c r="GW63" s="959"/>
      <c r="GX63" s="959"/>
      <c r="GY63" s="959"/>
      <c r="GZ63" s="959"/>
      <c r="HA63" s="959"/>
      <c r="HB63" s="959"/>
      <c r="HC63" s="959"/>
      <c r="HD63" s="959"/>
      <c r="HE63" s="959"/>
      <c r="HF63" s="959"/>
      <c r="HG63" s="959"/>
      <c r="HH63" s="959"/>
      <c r="HI63" s="959"/>
      <c r="HJ63" s="959"/>
      <c r="HK63" s="959"/>
      <c r="HL63" s="959"/>
      <c r="HM63" s="959"/>
      <c r="HN63" s="959"/>
      <c r="HO63" s="959"/>
      <c r="HP63" s="959"/>
      <c r="HQ63" s="959"/>
      <c r="HR63" s="959"/>
      <c r="HS63" s="959"/>
      <c r="HT63" s="959"/>
      <c r="HU63" s="959"/>
      <c r="HV63" s="959"/>
      <c r="HW63" s="959"/>
      <c r="HX63" s="959"/>
      <c r="HY63" s="959"/>
      <c r="HZ63" s="959"/>
      <c r="IA63" s="959"/>
      <c r="IB63" s="959"/>
      <c r="IC63" s="959"/>
      <c r="ID63" s="959"/>
      <c r="IE63" s="959"/>
      <c r="IF63" s="959"/>
      <c r="IG63" s="959"/>
      <c r="IH63" s="959"/>
      <c r="II63" s="959"/>
      <c r="IJ63" s="959"/>
      <c r="IK63" s="959"/>
      <c r="IL63" s="959"/>
      <c r="IM63" s="959"/>
      <c r="IN63" s="959"/>
      <c r="IO63" s="959"/>
      <c r="IP63" s="959"/>
      <c r="IQ63" s="959"/>
      <c r="IR63" s="959"/>
      <c r="IS63" s="959"/>
      <c r="IT63" s="959"/>
      <c r="IU63" s="959"/>
      <c r="IV63" s="959"/>
    </row>
    <row r="64" spans="1:256" s="54" customFormat="1" ht="12.75" x14ac:dyDescent="0.2">
      <c r="A64" s="41" t="s">
        <v>106</v>
      </c>
      <c r="B64" s="42"/>
      <c r="C64" s="42"/>
      <c r="D64" s="42"/>
      <c r="E64" s="202"/>
      <c r="F64" s="43"/>
      <c r="G64" s="42"/>
      <c r="H64" s="42"/>
      <c r="I64" s="42"/>
      <c r="J64" s="202"/>
      <c r="K64" s="43"/>
      <c r="L64" s="42">
        <f>L58*1000/L61</f>
        <v>991.03528050896466</v>
      </c>
      <c r="M64" s="42">
        <f>M58*1000/M61</f>
        <v>1038.2685069008785</v>
      </c>
      <c r="N64" s="42">
        <f>N58*1000/N61</f>
        <v>1013.1186642814549</v>
      </c>
      <c r="O64" s="202">
        <f>O58*1000/O61</f>
        <v>990.30947170990919</v>
      </c>
      <c r="P64" s="43">
        <f>(L64*L61+M64*M61+N64*N61+O64*O61)/P61</f>
        <v>1007.8793848018788</v>
      </c>
      <c r="Q64" s="42">
        <f>Q58*1000/Q61</f>
        <v>985.98567424478347</v>
      </c>
      <c r="R64" s="42">
        <f>R58*1000/R61</f>
        <v>993.4354485776804</v>
      </c>
      <c r="S64" s="42">
        <f>S58*1000/S61</f>
        <v>1015.7456004939797</v>
      </c>
      <c r="T64" s="202">
        <f>T58*1000/T61</f>
        <v>1017.1253822629969</v>
      </c>
      <c r="U64" s="43">
        <f>(Q64*Q61+R64*R61+S64*S61+T64*T61)/U61</f>
        <v>1003.1736202492452</v>
      </c>
      <c r="V64" s="42">
        <f>V58*1000/V61</f>
        <v>1005.1706308169596</v>
      </c>
      <c r="W64" s="42">
        <f>W58*1000/W61</f>
        <v>1005.4295752155861</v>
      </c>
      <c r="X64" s="42">
        <f>X58*1000/X61</f>
        <v>999.66699966699957</v>
      </c>
      <c r="Y64" s="202">
        <f>Y58*1000/Y61</f>
        <v>1004.9148099606815</v>
      </c>
      <c r="Z64" s="43">
        <f>(V64*V61+W64*W61+X64*X61+Y64*Y61)/Z61</f>
        <v>1003.805741705965</v>
      </c>
      <c r="AA64" s="42">
        <f>AA58*1000/AA61</f>
        <v>1019.9346405228758</v>
      </c>
      <c r="AB64" s="42">
        <f>AB58*1000/AB61</f>
        <v>989.48633223190154</v>
      </c>
      <c r="AC64" s="42">
        <f>AC58*1000/AC61</f>
        <v>1020</v>
      </c>
      <c r="AD64" s="202">
        <f>AD58*1000/AD61</f>
        <v>1022.2365452787625</v>
      </c>
      <c r="AE64" s="43">
        <f>(AA64*AA61+AB64*AB61+AC64*AC61+AD64*AD61)/AE61</f>
        <v>1012.5568984460838</v>
      </c>
      <c r="AF64" s="42">
        <f>AF58*1000/AF61</f>
        <v>963.88190954773881</v>
      </c>
      <c r="AG64" s="42">
        <f>AG58*1000/AG61</f>
        <v>1014.0306122448978</v>
      </c>
      <c r="AH64" s="42">
        <f>AH58*1000/AH61</f>
        <v>1018.130665833073</v>
      </c>
      <c r="AI64" s="202">
        <f>AI58*1000/AI61</f>
        <v>1007.3039060019055</v>
      </c>
      <c r="AJ64" s="43">
        <f>(AF64*AF61+AG64*AG61+AH64*AH61+AI64*AI61)/AJ61</f>
        <v>1000.7893905904642</v>
      </c>
      <c r="AK64" s="42">
        <f>AK58*1000/AK61</f>
        <v>1013.1414267834792</v>
      </c>
      <c r="AL64" s="42">
        <f>AL58*1000/AL61</f>
        <v>982.06278026905829</v>
      </c>
      <c r="AM64" s="42">
        <f>AM58*1000/AM61</f>
        <v>982.30353929214164</v>
      </c>
      <c r="AN64" s="202">
        <f>AN58*1000/AN61</f>
        <v>1008.6929524992238</v>
      </c>
      <c r="AO64" s="43">
        <f>(AK64*AK61+AL64*AL61+AM64*AM61+AN64*AN61)/AO61</f>
        <v>996.25839951130126</v>
      </c>
      <c r="AP64" s="42">
        <f>AP58*1000/AP61</f>
        <v>995.11748550503512</v>
      </c>
      <c r="AQ64" s="42">
        <f>AQ58*1000/AQ61</f>
        <v>994.19670128283451</v>
      </c>
      <c r="AR64" s="42">
        <f>AR58*1000/AR61</f>
        <v>980.13842913030396</v>
      </c>
      <c r="AS64" s="202">
        <f>AS58*1000/AS61</f>
        <v>961.13912785523576</v>
      </c>
      <c r="AT64" s="43">
        <f>(AP64*AP61+AQ64*AQ61+AR64*AR61+AS64*AS61)/AT61</f>
        <v>982.48395620989049</v>
      </c>
      <c r="AU64" s="42">
        <f>AU58*1000/AU61</f>
        <v>975.53609181516151</v>
      </c>
      <c r="AV64" s="42">
        <f>AV58*1000/AV61</f>
        <v>967.84073506891275</v>
      </c>
      <c r="AW64" s="42">
        <f>AW58*1000/AW61</f>
        <v>983.15467075038282</v>
      </c>
      <c r="AX64" s="202">
        <f>AX58*1000/AX61</f>
        <v>923.46616065781154</v>
      </c>
      <c r="AY64" s="43">
        <f>(AU64*AU61+AV64*AV61+AW64*AW61+AX64*AX61)/AY61</f>
        <v>962.85472583250021</v>
      </c>
      <c r="AZ64" s="42">
        <f>AZ58*1000/AZ61</f>
        <v>938.4359400998336</v>
      </c>
      <c r="BA64" s="42">
        <f>BA58*1000/BA61</f>
        <v>876.72844954398363</v>
      </c>
      <c r="BB64" s="42">
        <f>BB58*1000/BB61</f>
        <v>843.04318026045235</v>
      </c>
      <c r="BC64" s="202">
        <f>BC58*1000/BC61</f>
        <v>829.74382226252544</v>
      </c>
      <c r="BD64" s="43">
        <f>(AZ64*AZ61+BA64*BA61+BB64*BB61+BC64*BC61)/BD61</f>
        <v>865.58715113217488</v>
      </c>
      <c r="BE64" s="42">
        <f>BE58*1000/BE61</f>
        <v>822.2748815165877</v>
      </c>
      <c r="BF64" s="42">
        <f>BF58*1000/BF61</f>
        <v>865.27427128758325</v>
      </c>
      <c r="BG64" s="42">
        <f>BG58*1000/BG61</f>
        <v>854.72097951495175</v>
      </c>
      <c r="BH64" s="202">
        <f>BH58*1000/BH61</f>
        <v>859.25925925925924</v>
      </c>
      <c r="BI64" s="43">
        <f>(BE64*BE61+BF64*BF61+BG64*BG61+BH64*BH61)/BI61</f>
        <v>850.42076567500294</v>
      </c>
      <c r="BJ64" s="42">
        <f>BJ58*1000/BJ61</f>
        <v>894.80874316939889</v>
      </c>
      <c r="BK64" s="42">
        <f>BK58*1000/BK61</f>
        <v>904.30402930402931</v>
      </c>
      <c r="BL64" s="42">
        <f>BL58*1000/BL61</f>
        <v>907.51301760476065</v>
      </c>
      <c r="BM64" s="202">
        <f>BM58*1000/BM61</f>
        <v>882.0249562592528</v>
      </c>
      <c r="BN64" s="43">
        <f>(BJ64*BJ61+BK64*BK61+BL64*BL61+BM64*BM61)/BN61</f>
        <v>897.13976977541427</v>
      </c>
      <c r="BO64" s="42">
        <f>BO58*1000/BO61</f>
        <v>900.87829360100375</v>
      </c>
      <c r="BP64" s="42">
        <f>BP58*1000/BP61</f>
        <v>889.45362134688696</v>
      </c>
      <c r="BQ64" s="42">
        <f>BQ58*1000/BQ61</f>
        <v>899.61202715809895</v>
      </c>
      <c r="BR64" s="202">
        <f>BR58*1000/BR61</f>
        <v>890.91806515301084</v>
      </c>
      <c r="BS64" s="43">
        <f>(BO64*BO61+BP64*BP61+BQ64*BQ61+BR64*BR61)/BS61</f>
        <v>895.25347912524842</v>
      </c>
      <c r="BT64" s="42">
        <f>BT58*1000/BT61</f>
        <v>895.74898785425103</v>
      </c>
      <c r="BU64" s="42">
        <f>BU58*1000/BU61</f>
        <v>925.74964302712999</v>
      </c>
      <c r="BV64" s="42">
        <f>BV58*1000/BV61</f>
        <v>914.45427728613572</v>
      </c>
      <c r="BW64" s="202">
        <f>BW58*1000/BW61</f>
        <v>981.14169215086656</v>
      </c>
      <c r="BX64" s="43">
        <f>(BT64*BT61+BU64*BU61+BV64*BV61+BW64*BW61)/BX61</f>
        <v>929.02266815310304</v>
      </c>
      <c r="BY64" s="42">
        <f t="shared" ref="BY64:CV64" si="230">BY58*1000/BY61</f>
        <v>979.57174501599798</v>
      </c>
      <c r="BZ64" s="42">
        <f t="shared" si="230"/>
        <v>992.74174666354475</v>
      </c>
      <c r="CA64" s="42">
        <f t="shared" si="230"/>
        <v>1043.9047174217656</v>
      </c>
      <c r="CB64" s="202">
        <f t="shared" si="230"/>
        <v>1069.4315004659832</v>
      </c>
      <c r="CC64" s="43">
        <f>(BY64*BY61+BZ64*BZ61+CA64*CA61+CB64*CB61)/CC61</f>
        <v>1022.0014194464158</v>
      </c>
      <c r="CD64" s="42">
        <f t="shared" si="230"/>
        <v>1110.3185924869233</v>
      </c>
      <c r="CE64" s="42">
        <f t="shared" si="230"/>
        <v>1190.530389255634</v>
      </c>
      <c r="CF64" s="42">
        <f t="shared" si="230"/>
        <v>1208.4993359893758</v>
      </c>
      <c r="CG64" s="202">
        <f t="shared" si="230"/>
        <v>1236.7240972386123</v>
      </c>
      <c r="CH64" s="43">
        <f>(CD64*CD61+CE64*CE61+CF64*CF61+CG64*CG61)/CH61</f>
        <v>1187.0462141293074</v>
      </c>
      <c r="CI64" s="42">
        <f t="shared" si="230"/>
        <v>1282.9928850126234</v>
      </c>
      <c r="CJ64" s="42">
        <f t="shared" si="230"/>
        <v>1301.8279090503788</v>
      </c>
      <c r="CK64" s="42">
        <f t="shared" si="230"/>
        <v>1362.4914128692467</v>
      </c>
      <c r="CL64" s="202">
        <f t="shared" si="230"/>
        <v>1348.5193621867882</v>
      </c>
      <c r="CM64" s="43">
        <f>(CI64*CI61+CJ64*CJ61+CK64*CK61+CL64*CL61)/CM61</f>
        <v>1323.8636363636363</v>
      </c>
      <c r="CN64" s="42">
        <f t="shared" si="230"/>
        <v>1325.5592574964303</v>
      </c>
      <c r="CO64" s="42">
        <f t="shared" si="230"/>
        <v>1332.2595490105844</v>
      </c>
      <c r="CP64" s="42">
        <f t="shared" si="230"/>
        <v>1352.6796161947109</v>
      </c>
      <c r="CQ64" s="202">
        <f t="shared" si="230"/>
        <v>1440.2108794632159</v>
      </c>
      <c r="CR64" s="43">
        <f>(CN64*CN61+CO64*CO61+CP64*CP61+CQ64*CQ61)/CR61</f>
        <v>1362.2454984112042</v>
      </c>
      <c r="CS64" s="42">
        <f t="shared" si="230"/>
        <v>1550.3512880562062</v>
      </c>
      <c r="CT64" s="42">
        <f t="shared" si="230"/>
        <v>1728.7530671425384</v>
      </c>
      <c r="CU64" s="42">
        <f t="shared" si="230"/>
        <v>1942.7811044577513</v>
      </c>
      <c r="CV64" s="202">
        <f t="shared" si="230"/>
        <v>1815.6996587030717</v>
      </c>
      <c r="CW64" s="43">
        <f>(CS64*CS61+CT64*CT61+CU64*CU61+CV64*CV61)/CW61</f>
        <v>1761.9074587982104</v>
      </c>
      <c r="CX64" s="42">
        <f>CX58*1000/CX61</f>
        <v>1580.8823529411764</v>
      </c>
      <c r="CY64" s="42">
        <f>CY58*1000/CY61</f>
        <v>1539.6203675805966</v>
      </c>
      <c r="CZ64" s="42">
        <f>CZ58*1000/CZ61</f>
        <v>1625.3914033589524</v>
      </c>
      <c r="DA64" s="42">
        <f>DA58*1000/DA61</f>
        <v>1636.1071932299012</v>
      </c>
      <c r="DB64" s="43">
        <f>(CX64*CX61+CY64*CY61+CZ64*CZ61+DA64*DA61)/DB61</f>
        <v>1596.0521677828692</v>
      </c>
      <c r="DC64" s="42">
        <f>DC58*1000/DC61</f>
        <v>1726.5989569036508</v>
      </c>
      <c r="DD64" s="42">
        <f>DD58*1000/DD61</f>
        <v>1764.7058823529412</v>
      </c>
      <c r="DE64" s="42">
        <f>DE58*1000/DE61</f>
        <v>1760.6158430593493</v>
      </c>
      <c r="DF64" s="42">
        <f>DF58*1000/DF61</f>
        <v>1732.8611181381229</v>
      </c>
      <c r="DG64" s="43">
        <f>(DC64*DC61+DD64*DD61+DE64*DE61+DF64*DF61)/DG61</f>
        <v>1746.643540823537</v>
      </c>
      <c r="DH64" s="42">
        <f>DH58*1000/DH61</f>
        <v>2009.3573011573503</v>
      </c>
      <c r="DI64" s="42">
        <f>DI58*1000/DI61</f>
        <v>2218.082463984103</v>
      </c>
      <c r="DJ64" s="42">
        <f>DJ58*1000/DJ61</f>
        <v>2219.2051345346827</v>
      </c>
      <c r="DK64" s="42">
        <f>DK58*1000/DK61</f>
        <v>2094.6278955150319</v>
      </c>
      <c r="DL64" s="43">
        <f>(DH64*DH61+DI64*DI61+DJ64*DJ61+DK64*DK61)/DL61</f>
        <v>2135.0950852062238</v>
      </c>
      <c r="DM64" s="42">
        <f>DM58*1000/DM61</f>
        <v>2133.7047353760445</v>
      </c>
      <c r="DN64" s="42">
        <f>DN58*1000/DN61</f>
        <v>2127.9594137542276</v>
      </c>
      <c r="DO64" s="42">
        <f>DO58*1000/DO61</f>
        <v>2013.210798391729</v>
      </c>
      <c r="DP64" s="42">
        <f>DP58*1000/DP61</f>
        <v>1865.9471740982674</v>
      </c>
      <c r="DQ64" s="43">
        <f>(DM64*DM61+DN64*DN61+DO64*DO61+DP64*DP61)/DQ61</f>
        <v>2035.9239092001981</v>
      </c>
      <c r="DR64" s="42">
        <f>DR58*1000/DR61</f>
        <v>1850.2331002331002</v>
      </c>
      <c r="DS64" s="42">
        <f>DS58*1000/DS61</f>
        <v>1833.6262448740481</v>
      </c>
      <c r="DT64" s="42">
        <f>DT58*1000/DT61</f>
        <v>1885.8487790526626</v>
      </c>
      <c r="DU64" s="42">
        <f>DU58*1000/DU61</f>
        <v>1989.4475481067661</v>
      </c>
      <c r="DV64" s="43">
        <f>(DR64*DR61+DS64*DS61+DT64*DT61+DU64*DU61)/DV61</f>
        <v>1888.3195960496028</v>
      </c>
      <c r="DW64" s="42">
        <f>DW58*1000/DW61</f>
        <v>1805.1384718051386</v>
      </c>
      <c r="DX64" s="42">
        <f>DX58*1000/DX61</f>
        <v>1917.2610556348075</v>
      </c>
      <c r="DY64" s="42">
        <f>DY58*1000/DY61</f>
        <v>1884.9744052996084</v>
      </c>
      <c r="DZ64" s="42">
        <f>DZ58*1000/DZ61</f>
        <v>1797.4180734856006</v>
      </c>
      <c r="EA64" s="43">
        <f>(DW64*DW61+DX64*DX61+DY64*DY61+DZ64*DZ61)/EA61</f>
        <v>1854.5624416069759</v>
      </c>
      <c r="EB64" s="42">
        <f>EB58*1000/EB61</f>
        <v>1640.2307137707282</v>
      </c>
      <c r="EC64" s="42">
        <f>EC58*1000/EC61</f>
        <v>1643.0903155603919</v>
      </c>
      <c r="ED64" s="42">
        <f>ED58*1000/ED61</f>
        <v>1728.8378766140602</v>
      </c>
      <c r="EE64" s="42">
        <f>EE58*1000/EE61</f>
        <v>1747.3769168684423</v>
      </c>
      <c r="EF64" s="43">
        <f>(EB64*EB61+EC64*EC61+ED64*ED61+EE64*EE61)/EF61</f>
        <v>1688.4319718440311</v>
      </c>
      <c r="EG64" s="42">
        <f>EG58*1000/EG61</f>
        <v>1624.7672253258845</v>
      </c>
      <c r="EH64" s="42">
        <f>EH58*1000/EH61</f>
        <v>1614.2857142857142</v>
      </c>
      <c r="EI64" s="42">
        <f>EI58*1000/EI61</f>
        <v>1666.6666666666667</v>
      </c>
      <c r="EJ64" s="42">
        <f>EJ58*1000/EJ61</f>
        <v>1685.4872438310331</v>
      </c>
      <c r="EK64" s="43">
        <f>(EG64*EG61+EH64*EH61+EI64*EI61+EJ64*EJ61)/EK61</f>
        <v>1649.4845360824743</v>
      </c>
      <c r="EL64" s="42">
        <f>EL58*1000/EL61</f>
        <v>1617.8736517719567</v>
      </c>
      <c r="EM64" s="42">
        <f>EM58*1000/EM61</f>
        <v>1679.8196166854564</v>
      </c>
      <c r="EN64" s="42">
        <f>EN58*1000/EN61</f>
        <v>1684.1710427606899</v>
      </c>
      <c r="EO64" s="42">
        <f>EO58*1000/EO61</f>
        <v>1679.1486007094995</v>
      </c>
      <c r="EP64" s="43">
        <f>(EL64*EL61+EM64*EM61+EN64*EN61+EO64*EO61)/EP61</f>
        <v>1665.3919694072658</v>
      </c>
      <c r="EQ64" s="42">
        <f>EQ58*1000/EQ61</f>
        <v>1742.2721798474508</v>
      </c>
      <c r="ER64" s="42">
        <f>EM64*(1+ER65)</f>
        <v>1747.0124013528746</v>
      </c>
      <c r="ES64" s="42">
        <f>EN64*(1+ES65)</f>
        <v>1768.3795948987245</v>
      </c>
      <c r="ET64" s="42">
        <f>EO64*(1+ET65)</f>
        <v>1729.5230587307847</v>
      </c>
      <c r="EU64" s="1946">
        <f>(EQ64*EQ61+ER64*ER61+ES64*ES61+ET64*ET61)/EU61</f>
        <v>1746.8999487645146</v>
      </c>
      <c r="EV64" s="42"/>
      <c r="EW64" s="42"/>
      <c r="EX64" s="42"/>
      <c r="EY64" s="42"/>
      <c r="EZ64" s="755">
        <f>EU64*(1+EZ65)</f>
        <v>1764.3689482521597</v>
      </c>
      <c r="FA64" s="42"/>
      <c r="FB64" s="42"/>
      <c r="FC64" s="42"/>
      <c r="FD64" s="42"/>
      <c r="FE64" s="755">
        <f>EZ64*(1+FE65)</f>
        <v>1782.0126377346814</v>
      </c>
      <c r="FF64" s="760"/>
      <c r="FG64" s="633"/>
      <c r="FH64" s="1027"/>
      <c r="FI64" s="1027"/>
      <c r="FJ64" s="1027"/>
      <c r="FK64" s="1027"/>
      <c r="FL64" s="1809"/>
      <c r="FM64" s="42">
        <f t="shared" si="152"/>
        <v>1742.2721798474508</v>
      </c>
      <c r="FN64" s="42">
        <f t="shared" si="153"/>
        <v>1617.8736517719567</v>
      </c>
      <c r="FO64" s="42">
        <v>1666.4098613251153</v>
      </c>
      <c r="FP64" s="1863">
        <f>IFERROR(($FM64/FN64)-1,"")</f>
        <v>7.68901378295197E-2</v>
      </c>
      <c r="FQ64" s="1863">
        <f>IFERROR(($FM64/FO64)-1,"")</f>
        <v>4.5524405659727929E-2</v>
      </c>
      <c r="FR64" s="567"/>
      <c r="FS64" s="122"/>
      <c r="FT64" s="122"/>
      <c r="FU64" s="122"/>
      <c r="FV64" s="122"/>
      <c r="FW64" s="122"/>
      <c r="FX64" s="122"/>
      <c r="FY64" s="122"/>
      <c r="FZ64" s="122"/>
      <c r="GA64" s="633"/>
      <c r="GB64"/>
      <c r="GC64"/>
      <c r="GD64"/>
      <c r="GE64"/>
      <c r="GF64"/>
      <c r="GG64"/>
      <c r="GH64" s="956"/>
      <c r="GI64" s="956"/>
      <c r="GJ64" s="956"/>
      <c r="GK64" s="956"/>
      <c r="GL64" s="956"/>
      <c r="GM64" s="956"/>
      <c r="GN64" s="956"/>
      <c r="GO64" s="956"/>
      <c r="GP64" s="956"/>
      <c r="GQ64" s="956"/>
      <c r="GR64" s="956"/>
      <c r="GS64" s="956"/>
      <c r="GT64" s="956"/>
      <c r="GU64" s="956"/>
      <c r="GV64" s="956"/>
      <c r="GW64" s="956"/>
      <c r="GX64" s="956"/>
      <c r="GY64" s="956"/>
      <c r="GZ64" s="956"/>
      <c r="HA64" s="956"/>
      <c r="HB64" s="956"/>
      <c r="HC64" s="956"/>
      <c r="HD64" s="956"/>
      <c r="HE64" s="956"/>
      <c r="HF64" s="956"/>
      <c r="HG64" s="956"/>
      <c r="HH64" s="956"/>
      <c r="HI64" s="956"/>
      <c r="HJ64" s="956"/>
      <c r="HK64" s="956"/>
      <c r="HL64" s="956"/>
      <c r="HM64" s="956"/>
      <c r="HN64" s="956"/>
      <c r="HO64" s="956"/>
      <c r="HP64" s="956"/>
      <c r="HQ64" s="956"/>
      <c r="HR64" s="956"/>
      <c r="HS64" s="956"/>
      <c r="HT64" s="956"/>
      <c r="HU64" s="956"/>
      <c r="HV64" s="956"/>
      <c r="HW64" s="956"/>
      <c r="HX64" s="956"/>
      <c r="HY64" s="956"/>
      <c r="HZ64" s="956"/>
      <c r="IA64" s="956"/>
      <c r="IB64" s="956"/>
      <c r="IC64" s="956"/>
      <c r="ID64" s="956"/>
      <c r="IE64" s="956"/>
      <c r="IF64" s="956"/>
      <c r="IG64" s="956"/>
      <c r="IH64" s="956"/>
      <c r="II64" s="956"/>
      <c r="IJ64" s="956"/>
      <c r="IK64" s="956"/>
      <c r="IL64" s="956"/>
      <c r="IM64" s="956"/>
      <c r="IN64" s="956"/>
      <c r="IO64" s="956"/>
      <c r="IP64" s="956"/>
      <c r="IQ64" s="956"/>
      <c r="IR64" s="956"/>
      <c r="IS64" s="956"/>
      <c r="IT64" s="956"/>
      <c r="IU64" s="956"/>
      <c r="IV64" s="956"/>
    </row>
    <row r="65" spans="1:256" s="191" customFormat="1" ht="12.75" x14ac:dyDescent="0.2">
      <c r="A65" s="242" t="s">
        <v>218</v>
      </c>
      <c r="B65" s="22"/>
      <c r="C65" s="22"/>
      <c r="D65" s="22"/>
      <c r="E65" s="197"/>
      <c r="F65" s="21"/>
      <c r="G65" s="22"/>
      <c r="H65" s="22"/>
      <c r="I65" s="22"/>
      <c r="J65" s="197"/>
      <c r="K65" s="21"/>
      <c r="L65" s="22"/>
      <c r="M65" s="22"/>
      <c r="N65" s="22"/>
      <c r="O65" s="197"/>
      <c r="P65" s="21"/>
      <c r="Q65" s="22">
        <f t="shared" ref="Q65:CB65" si="231">Q64/L64-1</f>
        <v>-5.095284056474636E-3</v>
      </c>
      <c r="R65" s="22">
        <f t="shared" si="231"/>
        <v>-4.3180601188626988E-2</v>
      </c>
      <c r="S65" s="22">
        <f t="shared" si="231"/>
        <v>2.5929205582131409E-3</v>
      </c>
      <c r="T65" s="197">
        <f t="shared" si="231"/>
        <v>2.7078313718222224E-2</v>
      </c>
      <c r="U65" s="21">
        <f t="shared" si="231"/>
        <v>-4.6689758949267635E-3</v>
      </c>
      <c r="V65" s="22">
        <f t="shared" si="231"/>
        <v>1.9457642309935963E-2</v>
      </c>
      <c r="W65" s="22">
        <f t="shared" si="231"/>
        <v>1.2073382981327985E-2</v>
      </c>
      <c r="X65" s="22">
        <f t="shared" si="231"/>
        <v>-1.5829358078598421E-2</v>
      </c>
      <c r="Y65" s="197">
        <f t="shared" si="231"/>
        <v>-1.2004982389829055E-2</v>
      </c>
      <c r="Z65" s="21">
        <f t="shared" si="231"/>
        <v>6.3012168976572802E-4</v>
      </c>
      <c r="AA65" s="22">
        <f t="shared" si="231"/>
        <v>1.4688063153931008E-2</v>
      </c>
      <c r="AB65" s="22">
        <f t="shared" si="231"/>
        <v>-1.5857145419922558E-2</v>
      </c>
      <c r="AC65" s="22">
        <f t="shared" si="231"/>
        <v>2.0339773484343793E-2</v>
      </c>
      <c r="AD65" s="197">
        <f t="shared" si="231"/>
        <v>1.7237018647141555E-2</v>
      </c>
      <c r="AE65" s="21">
        <f t="shared" si="231"/>
        <v>8.7179783662585386E-3</v>
      </c>
      <c r="AF65" s="22">
        <f t="shared" si="231"/>
        <v>-5.4957179360435537E-2</v>
      </c>
      <c r="AG65" s="22">
        <f t="shared" si="231"/>
        <v>2.4805072302144682E-2</v>
      </c>
      <c r="AH65" s="22">
        <f t="shared" si="231"/>
        <v>-1.8326805558108727E-3</v>
      </c>
      <c r="AI65" s="197">
        <f t="shared" si="231"/>
        <v>-1.4607812003810672E-2</v>
      </c>
      <c r="AJ65" s="21">
        <f t="shared" si="231"/>
        <v>-1.1621576894768615E-2</v>
      </c>
      <c r="AK65" s="22">
        <f t="shared" si="231"/>
        <v>5.1105344698141986E-2</v>
      </c>
      <c r="AL65" s="22">
        <f t="shared" si="231"/>
        <v>-3.1525509772400206E-2</v>
      </c>
      <c r="AM65" s="22">
        <f t="shared" si="231"/>
        <v>-3.5189124287515861E-2</v>
      </c>
      <c r="AN65" s="197">
        <f t="shared" si="231"/>
        <v>1.3789745964865041E-3</v>
      </c>
      <c r="AO65" s="21">
        <f t="shared" si="231"/>
        <v>-4.5274171786430228E-3</v>
      </c>
      <c r="AP65" s="22">
        <f t="shared" si="231"/>
        <v>-1.7790153281626697E-2</v>
      </c>
      <c r="AQ65" s="22">
        <f t="shared" si="231"/>
        <v>1.2355545141881752E-2</v>
      </c>
      <c r="AR65" s="22">
        <f t="shared" si="231"/>
        <v>-2.20411519986774E-3</v>
      </c>
      <c r="AS65" s="197">
        <f t="shared" si="231"/>
        <v>-4.7144004056105082E-2</v>
      </c>
      <c r="AT65" s="21">
        <f t="shared" si="231"/>
        <v>-1.3826175325766465E-2</v>
      </c>
      <c r="AU65" s="22">
        <f t="shared" si="231"/>
        <v>-1.9677469218557397E-2</v>
      </c>
      <c r="AV65" s="22">
        <f t="shared" si="231"/>
        <v>-2.6509810563557501E-2</v>
      </c>
      <c r="AW65" s="22">
        <f t="shared" si="231"/>
        <v>3.0773628810323306E-3</v>
      </c>
      <c r="AX65" s="197">
        <f t="shared" si="231"/>
        <v>-3.9196164327937377E-2</v>
      </c>
      <c r="AY65" s="21">
        <f t="shared" si="231"/>
        <v>-1.997918668627785E-2</v>
      </c>
      <c r="AZ65" s="22">
        <f t="shared" si="231"/>
        <v>-3.8030527036981621E-2</v>
      </c>
      <c r="BA65" s="22">
        <f t="shared" si="231"/>
        <v>-9.4139750708510661E-2</v>
      </c>
      <c r="BB65" s="22">
        <f t="shared" si="231"/>
        <v>-0.14251215465720346</v>
      </c>
      <c r="BC65" s="197">
        <f t="shared" si="231"/>
        <v>-0.10148973767325153</v>
      </c>
      <c r="BD65" s="21">
        <f t="shared" si="231"/>
        <v>-0.10101998992239059</v>
      </c>
      <c r="BE65" s="22">
        <f t="shared" si="231"/>
        <v>-0.12378155356122478</v>
      </c>
      <c r="BF65" s="22">
        <f t="shared" si="231"/>
        <v>-1.3064681843457993E-2</v>
      </c>
      <c r="BG65" s="22">
        <f t="shared" si="231"/>
        <v>1.3851958627898009E-2</v>
      </c>
      <c r="BH65" s="197">
        <f t="shared" si="231"/>
        <v>3.5571746609998067E-2</v>
      </c>
      <c r="BI65" s="21">
        <f t="shared" si="231"/>
        <v>-1.7521500217897779E-2</v>
      </c>
      <c r="BJ65" s="22">
        <f t="shared" si="231"/>
        <v>8.8211209272294866E-2</v>
      </c>
      <c r="BK65" s="22">
        <f t="shared" si="231"/>
        <v>4.510680521953736E-2</v>
      </c>
      <c r="BL65" s="22">
        <f t="shared" si="231"/>
        <v>6.1765230238958191E-2</v>
      </c>
      <c r="BM65" s="197">
        <f t="shared" si="231"/>
        <v>2.6494561163785679E-2</v>
      </c>
      <c r="BN65" s="21">
        <f t="shared" si="231"/>
        <v>5.4936339734518613E-2</v>
      </c>
      <c r="BO65" s="22">
        <f t="shared" si="231"/>
        <v>6.7830701006637018E-3</v>
      </c>
      <c r="BP65" s="22">
        <f t="shared" si="231"/>
        <v>-1.6421919482733638E-2</v>
      </c>
      <c r="BQ65" s="22">
        <f t="shared" si="231"/>
        <v>-8.7062006752421928E-3</v>
      </c>
      <c r="BR65" s="197">
        <f t="shared" si="231"/>
        <v>1.0082604614130686E-2</v>
      </c>
      <c r="BS65" s="21">
        <f t="shared" si="231"/>
        <v>-2.1025605080889909E-3</v>
      </c>
      <c r="BT65" s="22">
        <f t="shared" si="231"/>
        <v>-5.6936722564929765E-3</v>
      </c>
      <c r="BU65" s="22">
        <f t="shared" si="231"/>
        <v>4.0807098660501806E-2</v>
      </c>
      <c r="BV65" s="22">
        <f t="shared" si="231"/>
        <v>1.6498501220491457E-2</v>
      </c>
      <c r="BW65" s="197">
        <f t="shared" si="231"/>
        <v>0.10127039794883963</v>
      </c>
      <c r="BX65" s="21">
        <f t="shared" si="231"/>
        <v>3.7720254447768831E-2</v>
      </c>
      <c r="BY65" s="22">
        <f t="shared" si="231"/>
        <v>9.3578400085656543E-2</v>
      </c>
      <c r="BZ65" s="22">
        <f t="shared" si="231"/>
        <v>7.2365249223705685E-2</v>
      </c>
      <c r="CA65" s="22">
        <f t="shared" si="231"/>
        <v>0.14156032001928542</v>
      </c>
      <c r="CB65" s="197">
        <f t="shared" si="231"/>
        <v>8.9986807228186416E-2</v>
      </c>
      <c r="CC65" s="21">
        <f t="shared" ref="CC65:DU65" si="232">CC64/BX64-1</f>
        <v>0.10008232789212168</v>
      </c>
      <c r="CD65" s="22">
        <f t="shared" si="232"/>
        <v>0.13347347770712803</v>
      </c>
      <c r="CE65" s="22">
        <f t="shared" si="232"/>
        <v>0.19923473879971998</v>
      </c>
      <c r="CF65" s="22">
        <f t="shared" si="232"/>
        <v>0.15767207085156754</v>
      </c>
      <c r="CG65" s="197">
        <f t="shared" si="232"/>
        <v>0.15643133449850199</v>
      </c>
      <c r="CH65" s="21">
        <f t="shared" si="232"/>
        <v>0.16149174701957936</v>
      </c>
      <c r="CI65" s="22">
        <f t="shared" si="232"/>
        <v>0.15551778894284696</v>
      </c>
      <c r="CJ65" s="22">
        <f t="shared" si="232"/>
        <v>9.3485660508281887E-2</v>
      </c>
      <c r="CK65" s="22">
        <f t="shared" si="232"/>
        <v>0.1274242130665304</v>
      </c>
      <c r="CL65" s="197">
        <f t="shared" si="232"/>
        <v>9.0396285798744369E-2</v>
      </c>
      <c r="CM65" s="21">
        <f t="shared" si="232"/>
        <v>0.11525871579876434</v>
      </c>
      <c r="CN65" s="22">
        <f t="shared" si="232"/>
        <v>3.3177403383174653E-2</v>
      </c>
      <c r="CO65" s="22">
        <f t="shared" si="232"/>
        <v>2.3376085079021003E-2</v>
      </c>
      <c r="CP65" s="22">
        <f t="shared" si="232"/>
        <v>-7.201364046671932E-3</v>
      </c>
      <c r="CQ65" s="197">
        <f t="shared" si="232"/>
        <v>6.7994216358702397E-2</v>
      </c>
      <c r="CR65" s="21">
        <f t="shared" si="232"/>
        <v>2.8992307812755191E-2</v>
      </c>
      <c r="CS65" s="22">
        <f t="shared" si="232"/>
        <v>0.16958278499320967</v>
      </c>
      <c r="CT65" s="22">
        <f t="shared" si="232"/>
        <v>0.29760981516433027</v>
      </c>
      <c r="CU65" s="22">
        <f t="shared" si="232"/>
        <v>0.43624630784566998</v>
      </c>
      <c r="CV65" s="197">
        <f t="shared" si="232"/>
        <v>0.26071791610115125</v>
      </c>
      <c r="CW65" s="21">
        <f t="shared" si="232"/>
        <v>0.29338468055364086</v>
      </c>
      <c r="CX65" s="22">
        <f t="shared" si="232"/>
        <v>1.9692998045139465E-2</v>
      </c>
      <c r="CY65" s="22">
        <f t="shared" si="232"/>
        <v>-0.10940411511434645</v>
      </c>
      <c r="CZ65" s="22">
        <f t="shared" si="232"/>
        <v>-0.16336873998338863</v>
      </c>
      <c r="DA65" s="22">
        <f t="shared" si="232"/>
        <v>-9.8910887939170911E-2</v>
      </c>
      <c r="DB65" s="21">
        <f t="shared" si="232"/>
        <v>-9.4133940001860483E-2</v>
      </c>
      <c r="DC65" s="22">
        <f t="shared" si="232"/>
        <v>9.2174223901844377E-2</v>
      </c>
      <c r="DD65" s="22">
        <f t="shared" si="232"/>
        <v>0.14619546448716481</v>
      </c>
      <c r="DE65" s="22">
        <f t="shared" si="232"/>
        <v>8.3195001167687188E-2</v>
      </c>
      <c r="DF65" s="22">
        <f t="shared" si="232"/>
        <v>5.9136666172352692E-2</v>
      </c>
      <c r="DG65" s="21">
        <f t="shared" si="232"/>
        <v>9.4352412834888266E-2</v>
      </c>
      <c r="DH65" s="22">
        <f t="shared" si="232"/>
        <v>0.16376608078159416</v>
      </c>
      <c r="DI65" s="22">
        <f t="shared" si="232"/>
        <v>0.25691339625765841</v>
      </c>
      <c r="DJ65" s="22">
        <f t="shared" si="232"/>
        <v>0.26047095582103919</v>
      </c>
      <c r="DK65" s="22">
        <f t="shared" si="232"/>
        <v>0.20876847751400307</v>
      </c>
      <c r="DL65" s="21">
        <f>DL64/DG64-1</f>
        <v>0.22239886691450117</v>
      </c>
      <c r="DM65" s="22">
        <f t="shared" si="232"/>
        <v>6.1884182642416352E-2</v>
      </c>
      <c r="DN65" s="22">
        <f t="shared" si="232"/>
        <v>-4.0631063855036786E-2</v>
      </c>
      <c r="DO65" s="22">
        <f t="shared" si="232"/>
        <v>-9.2823476720256481E-2</v>
      </c>
      <c r="DP65" s="22">
        <f t="shared" si="232"/>
        <v>-0.1091748667657918</v>
      </c>
      <c r="DQ65" s="21">
        <f>DQ64/DL64-1</f>
        <v>-4.6448130902070339E-2</v>
      </c>
      <c r="DR65" s="22">
        <f t="shared" si="232"/>
        <v>-0.13285419976020496</v>
      </c>
      <c r="DS65" s="22">
        <f t="shared" si="232"/>
        <v>-0.13831709711084461</v>
      </c>
      <c r="DT65" s="666">
        <f t="shared" si="232"/>
        <v>-6.3263131432044095E-2</v>
      </c>
      <c r="DU65" s="22">
        <f t="shared" si="232"/>
        <v>6.6186425705315743E-2</v>
      </c>
      <c r="DV65" s="21">
        <f t="shared" ref="DV65:EA65" si="233">DV64/DQ64-1</f>
        <v>-7.2499916368967243E-2</v>
      </c>
      <c r="DW65" s="22">
        <f t="shared" si="233"/>
        <v>-2.4372403899962869E-2</v>
      </c>
      <c r="DX65" s="22">
        <f t="shared" si="233"/>
        <v>4.5611700309462044E-2</v>
      </c>
      <c r="DY65" s="666">
        <f t="shared" si="233"/>
        <v>-4.6364998231374077E-4</v>
      </c>
      <c r="DZ65" s="22">
        <f t="shared" si="233"/>
        <v>-9.6524019848579612E-2</v>
      </c>
      <c r="EA65" s="21">
        <f t="shared" si="233"/>
        <v>-1.7876822606325393E-2</v>
      </c>
      <c r="EB65" s="22">
        <f t="shared" ref="EB65:EI65" si="234">EB64/DW64-1</f>
        <v>-9.135463046749126E-2</v>
      </c>
      <c r="EC65" s="22">
        <f t="shared" si="234"/>
        <v>-0.14300125654178963</v>
      </c>
      <c r="ED65" s="666">
        <f t="shared" si="234"/>
        <v>-8.283217440330759E-2</v>
      </c>
      <c r="EE65" s="22">
        <f t="shared" si="234"/>
        <v>-2.7840577189767068E-2</v>
      </c>
      <c r="EF65" s="21">
        <f t="shared" si="234"/>
        <v>-8.9579334745393036E-2</v>
      </c>
      <c r="EG65" s="22">
        <f t="shared" si="234"/>
        <v>-9.4276300980211669E-3</v>
      </c>
      <c r="EH65" s="22">
        <f t="shared" si="234"/>
        <v>-1.7530747398297186E-2</v>
      </c>
      <c r="EI65" s="666">
        <f t="shared" si="234"/>
        <v>-3.596127247579517E-2</v>
      </c>
      <c r="EJ65" s="22">
        <f>EJ64/EE64-1</f>
        <v>-3.5418616578914541E-2</v>
      </c>
      <c r="EK65" s="21">
        <f>EK64/EF64-1</f>
        <v>-2.3067222376167207E-2</v>
      </c>
      <c r="EL65" s="22">
        <f>EL64/EG64-1</f>
        <v>-4.2428068750248737E-3</v>
      </c>
      <c r="EM65" s="22">
        <f t="shared" ref="EM65:EN65" si="235">EM64/EH64-1</f>
        <v>4.0596222725503894E-2</v>
      </c>
      <c r="EN65" s="666">
        <f t="shared" si="235"/>
        <v>1.0502625656414022E-2</v>
      </c>
      <c r="EO65" s="22">
        <f>EO64/EJ64-1</f>
        <v>-3.7607185368701002E-3</v>
      </c>
      <c r="EP65" s="21">
        <f>EP64/EK64-1</f>
        <v>9.6438814531549788E-3</v>
      </c>
      <c r="EQ65" s="22">
        <f>EQ64/EL64-1</f>
        <v>7.68901378295197E-2</v>
      </c>
      <c r="ER65" s="361">
        <v>0.04</v>
      </c>
      <c r="ES65" s="361">
        <v>0.05</v>
      </c>
      <c r="ET65" s="361">
        <v>0.03</v>
      </c>
      <c r="EU65" s="270">
        <f>EU64/EP64-1</f>
        <v>4.8942219522205566E-2</v>
      </c>
      <c r="EV65" s="1096"/>
      <c r="EW65" s="1096"/>
      <c r="EX65" s="1096"/>
      <c r="EY65" s="1096"/>
      <c r="EZ65" s="1097">
        <v>0.01</v>
      </c>
      <c r="FA65" s="1096"/>
      <c r="FB65" s="1096"/>
      <c r="FC65" s="1096"/>
      <c r="FD65" s="1096"/>
      <c r="FE65" s="1097">
        <v>0.01</v>
      </c>
      <c r="FF65" s="790"/>
      <c r="FG65" s="618"/>
      <c r="FH65" s="1073"/>
      <c r="FI65" s="1073"/>
      <c r="FJ65" s="1073"/>
      <c r="FK65" s="1073"/>
      <c r="FL65" s="1806"/>
      <c r="FM65" s="22">
        <f t="shared" si="152"/>
        <v>7.68901378295197E-2</v>
      </c>
      <c r="FN65" s="22">
        <f t="shared" si="153"/>
        <v>-4.2428068750248737E-3</v>
      </c>
      <c r="FO65" s="361">
        <v>0.03</v>
      </c>
      <c r="FP65" s="1892">
        <f>IFERROR(($FM65-FN65)*10000,"")</f>
        <v>811.3294470454457</v>
      </c>
      <c r="FQ65" s="1892">
        <f>IFERROR(($FM65-FO65)*10000,"")</f>
        <v>468.90137829519699</v>
      </c>
      <c r="FR65" s="571" t="s">
        <v>848</v>
      </c>
      <c r="FS65" s="1429"/>
      <c r="FT65" s="1429"/>
      <c r="FU65" s="122"/>
      <c r="FV65" s="587"/>
      <c r="FW65" s="587"/>
      <c r="FX65" s="587"/>
      <c r="FY65" s="587"/>
      <c r="FZ65" s="587"/>
      <c r="GA65" s="618"/>
      <c r="GB65"/>
      <c r="GC65"/>
      <c r="GD65"/>
      <c r="GE65"/>
      <c r="GF65"/>
      <c r="GG65"/>
      <c r="GH65" s="978"/>
      <c r="GI65" s="978"/>
      <c r="GJ65" s="978"/>
      <c r="GK65" s="978"/>
      <c r="GL65" s="978"/>
      <c r="GM65" s="978"/>
      <c r="GN65" s="978"/>
      <c r="GO65" s="978"/>
      <c r="GP65" s="978"/>
      <c r="GQ65" s="978"/>
      <c r="GR65" s="978"/>
      <c r="GS65" s="978"/>
      <c r="GT65" s="978"/>
      <c r="GU65" s="978"/>
      <c r="GV65" s="978"/>
      <c r="GW65" s="978"/>
      <c r="GX65" s="978"/>
      <c r="GY65" s="978"/>
      <c r="GZ65" s="978"/>
      <c r="HA65" s="978"/>
      <c r="HB65" s="978"/>
      <c r="HC65" s="978"/>
      <c r="HD65" s="978"/>
      <c r="HE65" s="978"/>
      <c r="HF65" s="978"/>
      <c r="HG65" s="978"/>
      <c r="HH65" s="978"/>
      <c r="HI65" s="978"/>
      <c r="HJ65" s="978"/>
      <c r="HK65" s="978"/>
      <c r="HL65" s="978"/>
      <c r="HM65" s="978"/>
      <c r="HN65" s="978"/>
      <c r="HO65" s="978"/>
      <c r="HP65" s="978"/>
      <c r="HQ65" s="978"/>
      <c r="HR65" s="978"/>
      <c r="HS65" s="978"/>
      <c r="HT65" s="978"/>
      <c r="HU65" s="978"/>
      <c r="HV65" s="978"/>
      <c r="HW65" s="978"/>
      <c r="HX65" s="978"/>
      <c r="HY65" s="978"/>
      <c r="HZ65" s="978"/>
      <c r="IA65" s="978"/>
      <c r="IB65" s="978"/>
      <c r="IC65" s="978"/>
      <c r="ID65" s="978"/>
      <c r="IE65" s="978"/>
      <c r="IF65" s="978"/>
      <c r="IG65" s="978"/>
      <c r="IH65" s="978"/>
      <c r="II65" s="978"/>
      <c r="IJ65" s="978"/>
      <c r="IK65" s="978"/>
      <c r="IL65" s="978"/>
      <c r="IM65" s="978"/>
      <c r="IN65" s="978"/>
      <c r="IO65" s="978"/>
      <c r="IP65" s="978"/>
      <c r="IQ65" s="978"/>
      <c r="IR65" s="978"/>
      <c r="IS65" s="978"/>
      <c r="IT65" s="978"/>
      <c r="IU65" s="978"/>
      <c r="IV65" s="978"/>
    </row>
    <row r="66" spans="1:256" s="458" customFormat="1" ht="12.75" x14ac:dyDescent="0.2">
      <c r="A66" s="460" t="s">
        <v>13</v>
      </c>
      <c r="F66" s="462"/>
      <c r="K66" s="462"/>
      <c r="P66" s="462"/>
      <c r="U66" s="462"/>
      <c r="Z66" s="462"/>
      <c r="AE66" s="462"/>
      <c r="AJ66" s="462"/>
      <c r="AO66" s="462"/>
      <c r="AT66" s="462"/>
      <c r="AY66" s="462"/>
      <c r="BD66" s="462"/>
      <c r="BI66" s="462"/>
      <c r="BN66" s="462"/>
      <c r="BS66" s="462"/>
      <c r="BX66" s="462"/>
      <c r="BZ66" s="458">
        <f>BZ64/BY64-1</f>
        <v>1.3444652435673943E-2</v>
      </c>
      <c r="CA66" s="458">
        <f>CA64/BZ64-1</f>
        <v>5.1537039648198446E-2</v>
      </c>
      <c r="CB66" s="458">
        <f>CB64/CA64-1</f>
        <v>2.4453173377033455E-2</v>
      </c>
      <c r="CC66" s="462"/>
      <c r="CD66" s="458">
        <f>CD64/CB64-1</f>
        <v>3.823254879169391E-2</v>
      </c>
      <c r="CE66" s="458">
        <f>CE64/CD64-1</f>
        <v>7.2242145012676007E-2</v>
      </c>
      <c r="CF66" s="458">
        <f>CF64/CE64-1</f>
        <v>1.5093228107328382E-2</v>
      </c>
      <c r="CG66" s="458">
        <f>CG64/CF64-1</f>
        <v>2.3355214528214319E-2</v>
      </c>
      <c r="CH66" s="462"/>
      <c r="CI66" s="458">
        <f>CI64/CG64-1</f>
        <v>3.7412376679100134E-2</v>
      </c>
      <c r="CJ66" s="458">
        <f>CJ64/CI64-1</f>
        <v>1.4680536624776419E-2</v>
      </c>
      <c r="CK66" s="458">
        <f>CK64/CJ64-1</f>
        <v>4.6598712008808496E-2</v>
      </c>
      <c r="CL66" s="458">
        <f>CL64/CK64-1</f>
        <v>-1.0254780727780854E-2</v>
      </c>
      <c r="CM66" s="462"/>
      <c r="CN66" s="458">
        <f>CN64/CL64-1</f>
        <v>-1.7026158714640416E-2</v>
      </c>
      <c r="CO66" s="458">
        <f>CO64/CN64-1</f>
        <v>5.0546902948789274E-3</v>
      </c>
      <c r="CP66" s="458">
        <f>CP64/CO64-1</f>
        <v>1.5327394124734717E-2</v>
      </c>
      <c r="CQ66" s="458">
        <f>CQ64/CP64-1</f>
        <v>6.4709530786560832E-2</v>
      </c>
      <c r="CR66" s="462"/>
      <c r="CS66" s="458">
        <f>CS64/CQ64-1</f>
        <v>7.6475195517229366E-2</v>
      </c>
      <c r="CT66" s="458">
        <f>CT64/CS64-1</f>
        <v>0.11507184240160706</v>
      </c>
      <c r="CU66" s="458">
        <f>CU64/CT64-1</f>
        <v>0.12380486339149677</v>
      </c>
      <c r="CV66" s="458">
        <f>CV64/CU64-1</f>
        <v>-6.5412127729206682E-2</v>
      </c>
      <c r="CW66" s="462"/>
      <c r="CX66" s="458">
        <f>CX64/CV64-1</f>
        <v>-0.12932607253427697</v>
      </c>
      <c r="CY66" s="458">
        <f>CY64/CX64-1</f>
        <v>-2.6100604693203966E-2</v>
      </c>
      <c r="CZ66" s="458">
        <f>CZ64/CY64-1</f>
        <v>5.5709210909659967E-2</v>
      </c>
      <c r="DA66" s="458">
        <f>DA64/CZ64-1</f>
        <v>6.5927442761195554E-3</v>
      </c>
      <c r="DB66" s="462"/>
      <c r="DC66" s="458">
        <f>DC64/DA64-1</f>
        <v>5.5309190038524525E-2</v>
      </c>
      <c r="DD66" s="458">
        <f>DD64/DC64-1</f>
        <v>2.2070513419994331E-2</v>
      </c>
      <c r="DE66" s="458">
        <f>DE64/DD64-1</f>
        <v>-2.3176889330354111E-3</v>
      </c>
      <c r="DF66" s="458">
        <f>DF64/DE64-1</f>
        <v>-1.5764213999686749E-2</v>
      </c>
      <c r="DG66" s="462"/>
      <c r="DH66" s="458">
        <f>DH64/DF64-1</f>
        <v>0.15956049802554828</v>
      </c>
      <c r="DI66" s="458">
        <f>DI64/DH64-1</f>
        <v>0.10387657919601012</v>
      </c>
      <c r="DJ66" s="458">
        <f>DJ64/DI64-1</f>
        <v>5.0614464016063287E-4</v>
      </c>
      <c r="DK66" s="458">
        <f>DK64/DJ64-1</f>
        <v>-5.6135972777375476E-2</v>
      </c>
      <c r="DL66" s="462"/>
      <c r="DM66" s="458">
        <f>DM64/DK64-1</f>
        <v>1.8655743077175213E-2</v>
      </c>
      <c r="DN66" s="458">
        <f>DN64/DM64-1</f>
        <v>-2.692650733984614E-3</v>
      </c>
      <c r="DO66" s="458">
        <f>DO64/DN64-1</f>
        <v>-5.3924249974323879E-2</v>
      </c>
      <c r="DP66" s="458">
        <f>DP64/DO64-1</f>
        <v>-7.3148636203970496E-2</v>
      </c>
      <c r="DQ66" s="462"/>
      <c r="DR66" s="458">
        <f>DR64/DP64-1</f>
        <v>-8.4214998598559632E-3</v>
      </c>
      <c r="DS66" s="458">
        <f>DS64/DR64-1</f>
        <v>-8.975547652325444E-3</v>
      </c>
      <c r="DT66" s="458">
        <f>DT64/DS64-1</f>
        <v>2.8480468320413843E-2</v>
      </c>
      <c r="DU66" s="458">
        <f>DU64/DT64-1</f>
        <v>5.4934823091247642E-2</v>
      </c>
      <c r="DV66" s="462"/>
      <c r="DW66" s="458">
        <f>DW64/DU64-1</f>
        <v>-9.2643345373454644E-2</v>
      </c>
      <c r="DX66" s="458">
        <f>DX64/DW64-1</f>
        <v>6.211300993299762E-2</v>
      </c>
      <c r="DY66" s="458">
        <f>DY64/DX64-1</f>
        <v>-1.6839986521558381E-2</v>
      </c>
      <c r="DZ66" s="458">
        <f>DZ64/DY64-1</f>
        <v>-4.6449613091744335E-2</v>
      </c>
      <c r="EA66" s="462"/>
      <c r="EB66" s="458">
        <f>EB64/DZ64-1</f>
        <v>-8.7451752062362664E-2</v>
      </c>
      <c r="EC66" s="458">
        <f>EC64/EB64-1</f>
        <v>1.7434143658301426E-3</v>
      </c>
      <c r="ED66" s="458">
        <f>ED64/EC64-1</f>
        <v>5.21867606677624E-2</v>
      </c>
      <c r="EE66" s="458">
        <f>EE64/ED64-1</f>
        <v>1.072341166581281E-2</v>
      </c>
      <c r="EF66" s="462"/>
      <c r="EG66" s="458">
        <f>EG64/EE64-1</f>
        <v>-7.0167855806572366E-2</v>
      </c>
      <c r="EH66" s="458">
        <f>EH64/EG64-1</f>
        <v>-6.4510847318870468E-3</v>
      </c>
      <c r="EI66" s="458">
        <f>EI64/EH64-1</f>
        <v>3.2448377581121068E-2</v>
      </c>
      <c r="EJ66" s="458">
        <f>EJ64/EI64-1</f>
        <v>1.129234629861986E-2</v>
      </c>
      <c r="EK66" s="462"/>
      <c r="EL66" s="458">
        <f>EL64/EJ64-1</f>
        <v>-4.0115160946216255E-2</v>
      </c>
      <c r="EM66" s="458">
        <f>EM64/EL64-1</f>
        <v>3.8288505932248862E-2</v>
      </c>
      <c r="EN66" s="458">
        <f>EN64/EM64-1</f>
        <v>2.5904127038471891E-3</v>
      </c>
      <c r="EO66" s="458">
        <f>EO64/EN64-1</f>
        <v>-2.9821448793927452E-3</v>
      </c>
      <c r="EP66" s="462"/>
      <c r="EQ66" s="458">
        <f>EQ64/EO64-1</f>
        <v>3.7592610392718884E-2</v>
      </c>
      <c r="ER66" s="458">
        <f>ER64/EQ64-1</f>
        <v>2.7207123894033014E-3</v>
      </c>
      <c r="ES66" s="458">
        <f>ES64/ER64-1</f>
        <v>1.2230705133691844E-2</v>
      </c>
      <c r="ET66" s="458">
        <f>ET64/ES64-1</f>
        <v>-2.1972961167404326E-2</v>
      </c>
      <c r="EU66" s="1932"/>
      <c r="EZ66" s="740"/>
      <c r="FE66" s="740"/>
      <c r="FF66" s="740"/>
      <c r="FG66" s="642"/>
      <c r="FH66" s="1088">
        <f>AVERAGE(CI66,CN66,CS66,CX66,DC66,DH66,DM66,DR66,DW66,EB66,EG66,EL66,EQ66)</f>
        <v>-4.6266331974679133E-3</v>
      </c>
      <c r="FI66" s="1088">
        <f>AVERAGE(CJ66,CO66,CT66,CY66,DD66,DI66,DN66,DS66,DX66,EC66,EH66,EM66)</f>
        <v>2.6556600363078536E-2</v>
      </c>
      <c r="FJ66" s="1088">
        <f>AVERAGE(CK66,CP66,CU66,CZ66,DE66,DJ66,DO66,DT66,DY66,ED66,EI66,EN66)</f>
        <v>2.3714201576590616E-2</v>
      </c>
      <c r="FK66" s="1088">
        <f>AVERAGE(CL66,CQ66,CV66,DA66,DF66,DK66,DP66,DU66,DZ66,EE66,EJ66,EO66)</f>
        <v>-1.0157886107566386E-2</v>
      </c>
      <c r="FL66" s="1795"/>
      <c r="FM66" s="458">
        <f t="shared" si="152"/>
        <v>3.7592610392718884E-2</v>
      </c>
      <c r="FN66" s="458">
        <f t="shared" si="153"/>
        <v>-4.0115160946216255E-2</v>
      </c>
      <c r="FO66" s="2040">
        <v>-7.5864276568503586E-3</v>
      </c>
      <c r="FP66" s="1888">
        <f>IFERROR(($FM66-FN66)*10000,"")</f>
        <v>777.0777133893514</v>
      </c>
      <c r="FQ66" s="1888">
        <f>IFERROR(($FM66-FO66)*10000,"")</f>
        <v>451.79038049569243</v>
      </c>
      <c r="FR66" s="2108" t="s">
        <v>854</v>
      </c>
      <c r="FS66" s="1427"/>
      <c r="FT66" s="1427"/>
      <c r="FU66" s="587"/>
      <c r="FV66" s="566"/>
      <c r="FW66" s="566"/>
      <c r="FX66" s="566"/>
      <c r="FY66" s="566"/>
      <c r="FZ66" s="566"/>
      <c r="GA66" s="642"/>
      <c r="GB66"/>
      <c r="GC66"/>
      <c r="GD66"/>
      <c r="GE66"/>
      <c r="GF66"/>
      <c r="GG66"/>
      <c r="GH66" s="913"/>
      <c r="GI66" s="913"/>
      <c r="GJ66" s="913"/>
      <c r="GK66" s="913"/>
      <c r="GL66" s="913"/>
      <c r="GM66" s="913"/>
      <c r="GN66" s="913"/>
      <c r="GO66" s="913"/>
      <c r="GP66" s="913"/>
      <c r="GQ66" s="913"/>
      <c r="GR66" s="913"/>
      <c r="GS66" s="913"/>
      <c r="GT66" s="913"/>
      <c r="GU66" s="913"/>
      <c r="GV66" s="913"/>
      <c r="GW66" s="913"/>
      <c r="GX66" s="913"/>
      <c r="GY66" s="913"/>
      <c r="GZ66" s="913"/>
      <c r="HA66" s="913"/>
      <c r="HB66" s="913"/>
      <c r="HC66" s="913"/>
      <c r="HD66" s="913"/>
      <c r="HE66" s="913"/>
      <c r="HF66" s="913"/>
      <c r="HG66" s="913"/>
      <c r="HH66" s="913"/>
      <c r="HI66" s="913"/>
      <c r="HJ66" s="913"/>
      <c r="HK66" s="913"/>
      <c r="HL66" s="913"/>
      <c r="HM66" s="913"/>
      <c r="HN66" s="913"/>
      <c r="HO66" s="913"/>
      <c r="HP66" s="913"/>
      <c r="HQ66" s="913"/>
      <c r="HR66" s="913"/>
      <c r="HS66" s="913"/>
      <c r="HT66" s="913"/>
      <c r="HU66" s="913"/>
      <c r="HV66" s="913"/>
      <c r="HW66" s="913"/>
      <c r="HX66" s="913"/>
      <c r="HY66" s="913"/>
      <c r="HZ66" s="913"/>
      <c r="IA66" s="913"/>
      <c r="IB66" s="913"/>
      <c r="IC66" s="913"/>
      <c r="ID66" s="913"/>
      <c r="IE66" s="913"/>
      <c r="IF66" s="913"/>
      <c r="IG66" s="913"/>
      <c r="IH66" s="913"/>
      <c r="II66" s="913"/>
      <c r="IJ66" s="913"/>
      <c r="IK66" s="913"/>
      <c r="IL66" s="913"/>
      <c r="IM66" s="913"/>
      <c r="IN66" s="913"/>
      <c r="IO66" s="913"/>
      <c r="IP66" s="913"/>
      <c r="IQ66" s="913"/>
      <c r="IR66" s="913"/>
      <c r="IS66" s="913"/>
      <c r="IT66" s="913"/>
      <c r="IU66" s="913"/>
      <c r="IV66" s="913"/>
    </row>
    <row r="67" spans="1:256" s="450" customFormat="1" ht="12.75" x14ac:dyDescent="0.2">
      <c r="A67" s="445" t="s">
        <v>428</v>
      </c>
      <c r="B67" s="446"/>
      <c r="C67" s="446"/>
      <c r="D67" s="446"/>
      <c r="E67" s="446"/>
      <c r="F67" s="447"/>
      <c r="G67" s="446"/>
      <c r="H67" s="446"/>
      <c r="I67" s="446"/>
      <c r="J67" s="446"/>
      <c r="K67" s="447"/>
      <c r="L67" s="446"/>
      <c r="M67" s="446"/>
      <c r="N67" s="446"/>
      <c r="O67" s="446"/>
      <c r="P67" s="447"/>
      <c r="Q67" s="446"/>
      <c r="R67" s="446"/>
      <c r="S67" s="446"/>
      <c r="T67" s="446"/>
      <c r="U67" s="447"/>
      <c r="V67" s="446"/>
      <c r="W67" s="446"/>
      <c r="X67" s="446"/>
      <c r="Y67" s="446"/>
      <c r="Z67" s="447"/>
      <c r="AA67" s="446"/>
      <c r="AB67" s="446"/>
      <c r="AC67" s="446"/>
      <c r="AD67" s="446"/>
      <c r="AE67" s="447"/>
      <c r="AF67" s="446"/>
      <c r="AG67" s="446"/>
      <c r="AH67" s="446"/>
      <c r="AI67" s="446"/>
      <c r="AJ67" s="447"/>
      <c r="AK67" s="446"/>
      <c r="AL67" s="446"/>
      <c r="AM67" s="446"/>
      <c r="AN67" s="446"/>
      <c r="AO67" s="447"/>
      <c r="AP67" s="446"/>
      <c r="AQ67" s="446"/>
      <c r="AR67" s="446"/>
      <c r="AS67" s="446"/>
      <c r="AT67" s="447"/>
      <c r="AU67" s="446"/>
      <c r="AV67" s="446"/>
      <c r="AW67" s="446"/>
      <c r="AX67" s="446"/>
      <c r="AY67" s="447"/>
      <c r="AZ67" s="446"/>
      <c r="BA67" s="446"/>
      <c r="BB67" s="446"/>
      <c r="BC67" s="446"/>
      <c r="BD67" s="447"/>
      <c r="BE67" s="446"/>
      <c r="BF67" s="446"/>
      <c r="BG67" s="446"/>
      <c r="BH67" s="446"/>
      <c r="BI67" s="447"/>
      <c r="BJ67" s="446"/>
      <c r="BK67" s="446"/>
      <c r="BL67" s="446"/>
      <c r="BM67" s="446"/>
      <c r="BN67" s="447"/>
      <c r="BO67" s="446"/>
      <c r="BP67" s="446"/>
      <c r="BQ67" s="446"/>
      <c r="BR67" s="446"/>
      <c r="BS67" s="447"/>
      <c r="BT67" s="446"/>
      <c r="BU67" s="446"/>
      <c r="BV67" s="446"/>
      <c r="BW67" s="446"/>
      <c r="BX67" s="447"/>
      <c r="BY67" s="446"/>
      <c r="BZ67" s="446"/>
      <c r="CA67" s="446"/>
      <c r="CB67" s="446"/>
      <c r="CC67" s="447"/>
      <c r="CD67" s="446"/>
      <c r="CE67" s="446"/>
      <c r="CF67" s="446"/>
      <c r="CG67" s="446"/>
      <c r="CH67" s="447"/>
      <c r="CI67" s="446"/>
      <c r="CJ67" s="446"/>
      <c r="CK67" s="446"/>
      <c r="CL67" s="446"/>
      <c r="CM67" s="447"/>
      <c r="CN67" s="446"/>
      <c r="CO67" s="446"/>
      <c r="CP67" s="446"/>
      <c r="CQ67" s="446"/>
      <c r="CR67" s="447"/>
      <c r="CS67" s="446"/>
      <c r="CT67" s="446"/>
      <c r="CU67" s="446"/>
      <c r="CV67" s="446"/>
      <c r="CW67" s="447"/>
      <c r="CX67" s="446"/>
      <c r="CY67" s="446"/>
      <c r="CZ67" s="446"/>
      <c r="DA67" s="446"/>
      <c r="DB67" s="447"/>
      <c r="DC67" s="446"/>
      <c r="DD67" s="446"/>
      <c r="DE67" s="446"/>
      <c r="DF67" s="446"/>
      <c r="DG67" s="447"/>
      <c r="DH67" s="446"/>
      <c r="DI67" s="446"/>
      <c r="DJ67" s="446"/>
      <c r="DK67" s="446"/>
      <c r="DL67" s="447"/>
      <c r="DM67" s="446"/>
      <c r="DN67" s="446"/>
      <c r="DO67" s="446"/>
      <c r="DP67" s="446"/>
      <c r="DQ67" s="447"/>
      <c r="DR67" s="446"/>
      <c r="DS67" s="446"/>
      <c r="DT67" s="448"/>
      <c r="DU67" s="446"/>
      <c r="DV67" s="447"/>
      <c r="DW67" s="446"/>
      <c r="DX67" s="446"/>
      <c r="DY67" s="448"/>
      <c r="DZ67" s="446"/>
      <c r="EA67" s="447"/>
      <c r="EB67" s="446"/>
      <c r="EC67" s="446"/>
      <c r="ED67" s="448"/>
      <c r="EE67" s="446"/>
      <c r="EF67" s="447"/>
      <c r="EG67" s="2035">
        <f>EG68*EG74</f>
        <v>33.472856721573912</v>
      </c>
      <c r="EH67" s="2035">
        <f>EH68*EH74</f>
        <v>33.452854671280278</v>
      </c>
      <c r="EI67" s="2036">
        <f>EI68*EI74</f>
        <v>23.223798852975808</v>
      </c>
      <c r="EJ67" s="2036">
        <f>EJ68*EJ74</f>
        <v>42.050768185421461</v>
      </c>
      <c r="EK67" s="447"/>
      <c r="EL67" s="2035">
        <f>EL68*EL74</f>
        <v>57.208866344717372</v>
      </c>
      <c r="EM67" s="2035">
        <f>EM68*EM74</f>
        <v>59.295886784768896</v>
      </c>
      <c r="EN67" s="2035">
        <f>EN68*EN74</f>
        <v>56.86017999660384</v>
      </c>
      <c r="EO67" s="2036">
        <f>EO68*EO74</f>
        <v>66.152149901380653</v>
      </c>
      <c r="EP67" s="447"/>
      <c r="EQ67" s="2035">
        <f>EQ68*EQ74</f>
        <v>65.539287531806622</v>
      </c>
      <c r="ER67" s="449"/>
      <c r="ES67" s="449"/>
      <c r="ET67" s="449"/>
      <c r="EU67" s="1947"/>
      <c r="EV67" s="449"/>
      <c r="EW67" s="449"/>
      <c r="EX67" s="449"/>
      <c r="EY67" s="449"/>
      <c r="EZ67" s="839"/>
      <c r="FA67" s="449"/>
      <c r="FB67" s="449"/>
      <c r="FC67" s="449"/>
      <c r="FD67" s="449"/>
      <c r="FE67" s="839"/>
      <c r="FF67" s="761"/>
      <c r="FG67" s="643"/>
      <c r="FH67" s="1060"/>
      <c r="FI67" s="1060"/>
      <c r="FJ67" s="1060"/>
      <c r="FK67" s="1060"/>
      <c r="FL67" s="1810"/>
      <c r="FM67" s="446"/>
      <c r="FN67" s="446"/>
      <c r="FO67" s="2044"/>
      <c r="FP67" s="446"/>
      <c r="FQ67" s="446"/>
      <c r="FR67" s="573"/>
      <c r="FS67" s="573"/>
      <c r="FT67" s="573"/>
      <c r="FU67" s="573"/>
      <c r="FV67" s="573"/>
      <c r="FW67" s="573"/>
      <c r="FX67" s="573"/>
      <c r="FY67" s="573"/>
      <c r="FZ67" s="573"/>
      <c r="GA67" s="643"/>
      <c r="GB67"/>
      <c r="GC67"/>
      <c r="GD67"/>
      <c r="GE67"/>
      <c r="GF67"/>
      <c r="GG67"/>
      <c r="GH67" s="998"/>
      <c r="GI67" s="998"/>
      <c r="GJ67" s="998"/>
      <c r="GK67" s="998"/>
      <c r="GL67" s="998"/>
      <c r="GM67" s="998"/>
      <c r="GN67" s="998"/>
      <c r="GO67" s="998"/>
      <c r="GP67" s="998"/>
      <c r="GQ67" s="998"/>
      <c r="GR67" s="998"/>
      <c r="GS67" s="998"/>
      <c r="GT67" s="998"/>
      <c r="GU67" s="998"/>
      <c r="GV67" s="998"/>
      <c r="GW67" s="998"/>
      <c r="GX67" s="998"/>
      <c r="GY67" s="998"/>
      <c r="GZ67" s="998"/>
      <c r="HA67" s="998"/>
      <c r="HB67" s="998"/>
      <c r="HC67" s="998"/>
      <c r="HD67" s="998"/>
      <c r="HE67" s="998"/>
      <c r="HF67" s="998"/>
      <c r="HG67" s="998"/>
      <c r="HH67" s="998"/>
      <c r="HI67" s="998"/>
      <c r="HJ67" s="998"/>
      <c r="HK67" s="998"/>
      <c r="HL67" s="998"/>
      <c r="HM67" s="998"/>
      <c r="HN67" s="998"/>
      <c r="HO67" s="998"/>
      <c r="HP67" s="998"/>
      <c r="HQ67" s="998"/>
      <c r="HR67" s="998"/>
      <c r="HS67" s="998"/>
      <c r="HT67" s="998"/>
      <c r="HU67" s="998"/>
      <c r="HV67" s="998"/>
      <c r="HW67" s="998"/>
      <c r="HX67" s="998"/>
      <c r="HY67" s="998"/>
      <c r="HZ67" s="998"/>
      <c r="IA67" s="998"/>
      <c r="IB67" s="998"/>
      <c r="IC67" s="998"/>
      <c r="ID67" s="998"/>
      <c r="IE67" s="998"/>
      <c r="IF67" s="998"/>
      <c r="IG67" s="998"/>
      <c r="IH67" s="998"/>
      <c r="II67" s="998"/>
      <c r="IJ67" s="998"/>
      <c r="IK67" s="998"/>
      <c r="IL67" s="998"/>
      <c r="IM67" s="998"/>
      <c r="IN67" s="998"/>
      <c r="IO67" s="998"/>
      <c r="IP67" s="998"/>
      <c r="IQ67" s="998"/>
      <c r="IR67" s="998"/>
      <c r="IS67" s="998"/>
      <c r="IT67" s="998"/>
      <c r="IU67" s="998"/>
      <c r="IV67" s="998"/>
    </row>
    <row r="68" spans="1:256" s="408" customFormat="1" ht="12.75" x14ac:dyDescent="0.2">
      <c r="A68" s="451" t="s">
        <v>618</v>
      </c>
      <c r="B68" s="452"/>
      <c r="C68" s="452"/>
      <c r="D68" s="452"/>
      <c r="E68" s="452"/>
      <c r="F68" s="453"/>
      <c r="G68" s="452"/>
      <c r="H68" s="452"/>
      <c r="I68" s="452"/>
      <c r="J68" s="452"/>
      <c r="K68" s="453"/>
      <c r="L68" s="452"/>
      <c r="M68" s="452"/>
      <c r="N68" s="452"/>
      <c r="O68" s="452"/>
      <c r="P68" s="453"/>
      <c r="Q68" s="452"/>
      <c r="R68" s="452"/>
      <c r="S68" s="452"/>
      <c r="T68" s="452"/>
      <c r="U68" s="453"/>
      <c r="V68" s="452"/>
      <c r="W68" s="452"/>
      <c r="X68" s="452"/>
      <c r="Y68" s="452"/>
      <c r="Z68" s="453"/>
      <c r="AA68" s="452"/>
      <c r="AB68" s="452"/>
      <c r="AC68" s="452"/>
      <c r="AD68" s="452"/>
      <c r="AE68" s="453"/>
      <c r="AF68" s="452">
        <f t="shared" ref="AF68:BK68" si="236">AF6/AF70</f>
        <v>10.347068763811254</v>
      </c>
      <c r="AG68" s="452">
        <f t="shared" si="236"/>
        <v>9.9625135014931061</v>
      </c>
      <c r="AH68" s="452">
        <f t="shared" si="236"/>
        <v>10.042694795002197</v>
      </c>
      <c r="AI68" s="452">
        <f t="shared" si="236"/>
        <v>10.157736847198478</v>
      </c>
      <c r="AJ68" s="453">
        <f t="shared" si="236"/>
        <v>10.12589424883098</v>
      </c>
      <c r="AK68" s="452">
        <f t="shared" si="236"/>
        <v>10.095394529028997</v>
      </c>
      <c r="AL68" s="452">
        <f t="shared" si="236"/>
        <v>9.9444064571751341</v>
      </c>
      <c r="AM68" s="452">
        <f t="shared" si="236"/>
        <v>10.021039975954311</v>
      </c>
      <c r="AN68" s="452">
        <f t="shared" si="236"/>
        <v>10.176613693090266</v>
      </c>
      <c r="AO68" s="453">
        <f t="shared" si="236"/>
        <v>10.057135835841985</v>
      </c>
      <c r="AP68" s="452">
        <f t="shared" si="236"/>
        <v>9.9520165208940732</v>
      </c>
      <c r="AQ68" s="452">
        <f t="shared" si="236"/>
        <v>9.8614457831325293</v>
      </c>
      <c r="AR68" s="452">
        <f t="shared" si="236"/>
        <v>9.9360124387035054</v>
      </c>
      <c r="AS68" s="452">
        <f t="shared" si="236"/>
        <v>9.9225855826685905</v>
      </c>
      <c r="AT68" s="453">
        <f t="shared" si="236"/>
        <v>9.9180051667977089</v>
      </c>
      <c r="AU68" s="452">
        <f t="shared" si="236"/>
        <v>9.7632176451508279</v>
      </c>
      <c r="AV68" s="452">
        <f t="shared" si="236"/>
        <v>9.7068616958021181</v>
      </c>
      <c r="AW68" s="452">
        <f t="shared" si="236"/>
        <v>9.5100780612839344</v>
      </c>
      <c r="AX68" s="452">
        <f t="shared" si="236"/>
        <v>9.7888675623800374</v>
      </c>
      <c r="AY68" s="453">
        <f t="shared" si="236"/>
        <v>9.6904973059180382</v>
      </c>
      <c r="AZ68" s="452">
        <f t="shared" si="236"/>
        <v>9.6067774936061383</v>
      </c>
      <c r="BA68" s="452">
        <f t="shared" si="236"/>
        <v>9.7022807067621919</v>
      </c>
      <c r="BB68" s="452">
        <f t="shared" si="236"/>
        <v>9.6121749824314815</v>
      </c>
      <c r="BC68" s="452">
        <f t="shared" si="236"/>
        <v>9.662227284675371</v>
      </c>
      <c r="BD68" s="453">
        <f t="shared" si="236"/>
        <v>9.6456530434727359</v>
      </c>
      <c r="BE68" s="452">
        <f t="shared" si="236"/>
        <v>9.7000344787955406</v>
      </c>
      <c r="BF68" s="452">
        <f t="shared" si="236"/>
        <v>9.6656831643632</v>
      </c>
      <c r="BG68" s="452">
        <f t="shared" si="236"/>
        <v>9.5776108968721108</v>
      </c>
      <c r="BH68" s="452">
        <f t="shared" si="236"/>
        <v>9.6456130322949392</v>
      </c>
      <c r="BI68" s="453">
        <f t="shared" si="236"/>
        <v>9.6470816920411853</v>
      </c>
      <c r="BJ68" s="452">
        <f t="shared" si="236"/>
        <v>9.5219512195121947</v>
      </c>
      <c r="BK68" s="452">
        <f t="shared" si="236"/>
        <v>9.5475409836065577</v>
      </c>
      <c r="BL68" s="452">
        <f t="shared" ref="BL68:CQ68" si="237">BL6/BL70</f>
        <v>9.5187519176756599</v>
      </c>
      <c r="BM68" s="452">
        <f t="shared" si="237"/>
        <v>9.5025464178865864</v>
      </c>
      <c r="BN68" s="453">
        <f t="shared" si="237"/>
        <v>9.522993186579864</v>
      </c>
      <c r="BO68" s="452">
        <f t="shared" si="237"/>
        <v>9.4946510685949814</v>
      </c>
      <c r="BP68" s="452">
        <f t="shared" si="237"/>
        <v>9.4138755980861237</v>
      </c>
      <c r="BQ68" s="452">
        <f t="shared" si="237"/>
        <v>9.4245623657388347</v>
      </c>
      <c r="BR68" s="452">
        <f t="shared" si="237"/>
        <v>9.4516106458911597</v>
      </c>
      <c r="BS68" s="453">
        <f t="shared" si="237"/>
        <v>9.4460093896713619</v>
      </c>
      <c r="BT68" s="452">
        <f t="shared" si="237"/>
        <v>9.4160253508374812</v>
      </c>
      <c r="BU68" s="452">
        <f t="shared" si="237"/>
        <v>9.3458775383109796</v>
      </c>
      <c r="BV68" s="452">
        <f t="shared" si="237"/>
        <v>9.3469969210973751</v>
      </c>
      <c r="BW68" s="452">
        <f t="shared" si="237"/>
        <v>9.3328576525151608</v>
      </c>
      <c r="BX68" s="453">
        <f t="shared" si="237"/>
        <v>9.3600542611841231</v>
      </c>
      <c r="BY68" s="452">
        <f t="shared" si="237"/>
        <v>9.3949623439596301</v>
      </c>
      <c r="BZ68" s="452">
        <f t="shared" si="237"/>
        <v>9.2727686282371771</v>
      </c>
      <c r="CA68" s="452">
        <f t="shared" si="237"/>
        <v>9.3326358920709627</v>
      </c>
      <c r="CB68" s="452">
        <f t="shared" si="237"/>
        <v>9.3017207749989161</v>
      </c>
      <c r="CC68" s="453">
        <f t="shared" si="237"/>
        <v>9.324426880634066</v>
      </c>
      <c r="CD68" s="452">
        <f t="shared" si="237"/>
        <v>9.3228416269533412</v>
      </c>
      <c r="CE68" s="452">
        <f t="shared" si="237"/>
        <v>9.2798749445488919</v>
      </c>
      <c r="CF68" s="452">
        <f t="shared" si="237"/>
        <v>9.2747315911563639</v>
      </c>
      <c r="CG68" s="452">
        <f t="shared" si="237"/>
        <v>9.3149540517961551</v>
      </c>
      <c r="CH68" s="453">
        <f t="shared" si="237"/>
        <v>9.2974664216487284</v>
      </c>
      <c r="CI68" s="452">
        <f t="shared" si="237"/>
        <v>9.2417011347969016</v>
      </c>
      <c r="CJ68" s="452">
        <f t="shared" si="237"/>
        <v>9.2481497515822451</v>
      </c>
      <c r="CK68" s="452">
        <f t="shared" si="237"/>
        <v>9.2284609370047122</v>
      </c>
      <c r="CL68" s="452">
        <f t="shared" si="237"/>
        <v>9.1890986729183215</v>
      </c>
      <c r="CM68" s="453">
        <f t="shared" si="237"/>
        <v>9.2268816809700827</v>
      </c>
      <c r="CN68" s="452">
        <f t="shared" si="237"/>
        <v>9.1808866263191238</v>
      </c>
      <c r="CO68" s="452">
        <f t="shared" si="237"/>
        <v>9.1521711662384693</v>
      </c>
      <c r="CP68" s="452">
        <f t="shared" si="237"/>
        <v>9.1215711388622065</v>
      </c>
      <c r="CQ68" s="452">
        <f t="shared" si="237"/>
        <v>9.0984410770740229</v>
      </c>
      <c r="CR68" s="453">
        <f t="shared" ref="CR68:DK68" si="238">CR6/CR70</f>
        <v>9.1382787083590991</v>
      </c>
      <c r="CS68" s="452">
        <f t="shared" si="238"/>
        <v>9.1233467940089312</v>
      </c>
      <c r="CT68" s="452">
        <f t="shared" si="238"/>
        <v>9.0992124705691317</v>
      </c>
      <c r="CU68" s="452">
        <f t="shared" si="238"/>
        <v>9.076817779209275</v>
      </c>
      <c r="CV68" s="452">
        <f t="shared" si="238"/>
        <v>9.0674644109758624</v>
      </c>
      <c r="CW68" s="453">
        <f t="shared" si="238"/>
        <v>9.0913771708964699</v>
      </c>
      <c r="CX68" s="452">
        <f t="shared" si="238"/>
        <v>9.0213451469995984</v>
      </c>
      <c r="CY68" s="452">
        <f t="shared" si="238"/>
        <v>8.9294842476257106</v>
      </c>
      <c r="CZ68" s="452">
        <f t="shared" si="238"/>
        <v>8.9943161452199298</v>
      </c>
      <c r="DA68" s="452">
        <f t="shared" si="238"/>
        <v>9.0706719205772472</v>
      </c>
      <c r="DB68" s="453">
        <f t="shared" si="238"/>
        <v>9.0052056881665834</v>
      </c>
      <c r="DC68" s="452">
        <f t="shared" si="238"/>
        <v>9.1321568234232426</v>
      </c>
      <c r="DD68" s="452">
        <f t="shared" si="238"/>
        <v>9.1247715336742008</v>
      </c>
      <c r="DE68" s="452">
        <f t="shared" si="238"/>
        <v>9.1123028533930714</v>
      </c>
      <c r="DF68" s="452">
        <f t="shared" si="238"/>
        <v>9.0825540518806136</v>
      </c>
      <c r="DG68" s="402">
        <f t="shared" si="238"/>
        <v>9.112514707517958</v>
      </c>
      <c r="DH68" s="452">
        <f t="shared" si="238"/>
        <v>9.1162143354210148</v>
      </c>
      <c r="DI68" s="452">
        <f t="shared" si="238"/>
        <v>9.1172607455047778</v>
      </c>
      <c r="DJ68" s="452">
        <f t="shared" si="238"/>
        <v>9.1154564478747098</v>
      </c>
      <c r="DK68" s="452">
        <f t="shared" si="238"/>
        <v>9.0713998301068539</v>
      </c>
      <c r="DL68" s="402">
        <f>(DH68*DH6+DI68*DI6+DJ68*DJ6+DK68*DK6)/DL6</f>
        <v>9.105056357030195</v>
      </c>
      <c r="DM68" s="452">
        <f>DM6/DM70</f>
        <v>9.0936724251481831</v>
      </c>
      <c r="DN68" s="452">
        <f>DN6/DN70</f>
        <v>9.1077112639901419</v>
      </c>
      <c r="DO68" s="452">
        <f>DO6/DO70</f>
        <v>9.030082987551868</v>
      </c>
      <c r="DP68" s="452">
        <f>DP6/DP70</f>
        <v>9.0016617665857108</v>
      </c>
      <c r="DQ68" s="402">
        <f>(DM68*DM6+DN68*DN6+DO68*DO6+DP68*DP6)/DQ6</f>
        <v>9.0586269439023344</v>
      </c>
      <c r="DR68" s="452">
        <f>DR6/DR70</f>
        <v>8.9798267877233844</v>
      </c>
      <c r="DS68" s="452">
        <f>DS6/DS70</f>
        <v>8.9566335230999297</v>
      </c>
      <c r="DT68" s="1206">
        <f>DT6/DT70</f>
        <v>8.9683377308707115</v>
      </c>
      <c r="DU68" s="452">
        <f>DU6/DU70</f>
        <v>8.9914606239883899</v>
      </c>
      <c r="DV68" s="402">
        <f>(DR68*DR6+DS68*DS6+DT68*DT6+DU68*DU6)/DV6</f>
        <v>8.9738307314955037</v>
      </c>
      <c r="DW68" s="452">
        <f>DW6/DW70</f>
        <v>9.121621621621621</v>
      </c>
      <c r="DX68" s="452">
        <f>DX6/DX70</f>
        <v>9.0353681171375531</v>
      </c>
      <c r="DY68" s="1206">
        <f>DY6/DY70</f>
        <v>9.041409163921486</v>
      </c>
      <c r="DZ68" s="452">
        <f>DZ6/DZ70</f>
        <v>9.030850173382758</v>
      </c>
      <c r="EA68" s="402">
        <f>(DW68*DW6+DX68*DX6+DY68*DY6+DZ68*DZ6)/EA6</f>
        <v>9.0559937291918153</v>
      </c>
      <c r="EB68" s="452">
        <f>EB6/EB70</f>
        <v>9.079304814584491</v>
      </c>
      <c r="EC68" s="452">
        <f>EC6/EC70</f>
        <v>9.0375663803841864</v>
      </c>
      <c r="ED68" s="1206">
        <f>ED6/ED70</f>
        <v>8.9427764947395438</v>
      </c>
      <c r="EE68" s="452">
        <f>EE6/EE70</f>
        <v>8.9310170835435745</v>
      </c>
      <c r="EF68" s="402">
        <f>(EB68*EB6+EC68*EC6+ED68*ED6+EE68*EE6)/EF6</f>
        <v>8.9993593837854426</v>
      </c>
      <c r="EG68" s="452">
        <f>EG6/EG70</f>
        <v>9.0491637527910012</v>
      </c>
      <c r="EH68" s="452">
        <f>EH6/EH70</f>
        <v>9.0830449826989632</v>
      </c>
      <c r="EI68" s="1206">
        <f>EI6/EI70</f>
        <v>9.0470583766948991</v>
      </c>
      <c r="EJ68" s="452">
        <f>EJ6/EJ70</f>
        <v>9.0257068438337544</v>
      </c>
      <c r="EK68" s="402">
        <f>(EG68*EG6+EH68*EH6+EI68*EI6+EJ68*EJ6)/EK6</f>
        <v>9.0502778318985317</v>
      </c>
      <c r="EL68" s="452">
        <f>EL6/EL70</f>
        <v>9.0192127297363029</v>
      </c>
      <c r="EM68" s="452">
        <f>EM6/EM70</f>
        <v>9.0307473019751594</v>
      </c>
      <c r="EN68" s="1206">
        <f>EN6/EN70</f>
        <v>9.0541687892681271</v>
      </c>
      <c r="EO68" s="452">
        <f>EO6/EO70</f>
        <v>9.098081405773712</v>
      </c>
      <c r="EP68" s="402">
        <f>(EL68*EL6+EM68*EM6+EN68*EN6+EO68*EO6)/EP6</f>
        <v>9.0501855961365276</v>
      </c>
      <c r="EQ68" s="452">
        <f>EQ6/EQ70</f>
        <v>9.0548891312250088</v>
      </c>
      <c r="ER68" s="454">
        <f>EQ68</f>
        <v>9.0548891312250088</v>
      </c>
      <c r="ES68" s="454">
        <f>ER68</f>
        <v>9.0548891312250088</v>
      </c>
      <c r="ET68" s="454">
        <f>ES68</f>
        <v>9.0548891312250088</v>
      </c>
      <c r="EU68" s="1939">
        <f>(EQ68*EQ6+ER68*ER6+ES68*ES6+ET68*ET6)/EU6</f>
        <v>9.0548891312250088</v>
      </c>
      <c r="EV68" s="455"/>
      <c r="EW68" s="455"/>
      <c r="EX68" s="455"/>
      <c r="EY68" s="455"/>
      <c r="EZ68" s="840">
        <f>EU68</f>
        <v>9.0548891312250088</v>
      </c>
      <c r="FA68" s="455"/>
      <c r="FB68" s="455"/>
      <c r="FC68" s="455"/>
      <c r="FD68" s="455"/>
      <c r="FE68" s="840">
        <f>EZ68</f>
        <v>9.0548891312250088</v>
      </c>
      <c r="FF68" s="762"/>
      <c r="FG68" s="644"/>
      <c r="FH68" s="1060"/>
      <c r="FI68" s="1060"/>
      <c r="FJ68" s="1060"/>
      <c r="FK68" s="1060"/>
      <c r="FL68" s="1810"/>
      <c r="FM68" s="452">
        <f t="shared" ref="FM68:FM88" si="239">EQ68</f>
        <v>9.0548891312250088</v>
      </c>
      <c r="FN68" s="452">
        <f t="shared" ref="FN68:FN88" si="240">EL68</f>
        <v>9.0192127297363029</v>
      </c>
      <c r="FO68" s="454">
        <v>9.098081405773712</v>
      </c>
      <c r="FP68" s="452"/>
      <c r="FQ68" s="452"/>
      <c r="FR68" s="1921"/>
      <c r="FS68" s="574"/>
      <c r="FT68" s="574"/>
      <c r="FU68" s="574"/>
      <c r="FV68" s="573"/>
      <c r="FW68" s="573"/>
      <c r="FX68" s="573"/>
      <c r="FY68" s="573"/>
      <c r="FZ68" s="573"/>
      <c r="GA68" s="644"/>
      <c r="GB68"/>
      <c r="GC68"/>
      <c r="GD68"/>
      <c r="GE68"/>
      <c r="GF68"/>
      <c r="GG68"/>
      <c r="GH68" s="960"/>
      <c r="GI68" s="960"/>
      <c r="GJ68" s="960"/>
      <c r="GK68" s="960"/>
      <c r="GL68" s="960"/>
      <c r="GM68" s="960"/>
      <c r="GN68" s="960"/>
      <c r="GO68" s="960"/>
      <c r="GP68" s="960"/>
      <c r="GQ68" s="960"/>
      <c r="GR68" s="960"/>
      <c r="GS68" s="960"/>
      <c r="GT68" s="960"/>
      <c r="GU68" s="960"/>
      <c r="GV68" s="960"/>
      <c r="GW68" s="960"/>
      <c r="GX68" s="960"/>
      <c r="GY68" s="960"/>
      <c r="GZ68" s="960"/>
      <c r="HA68" s="960"/>
      <c r="HB68" s="960"/>
      <c r="HC68" s="960"/>
      <c r="HD68" s="960"/>
      <c r="HE68" s="960"/>
      <c r="HF68" s="960"/>
      <c r="HG68" s="960"/>
      <c r="HH68" s="960"/>
      <c r="HI68" s="960"/>
      <c r="HJ68" s="960"/>
      <c r="HK68" s="960"/>
      <c r="HL68" s="960"/>
      <c r="HM68" s="960"/>
      <c r="HN68" s="960"/>
      <c r="HO68" s="960"/>
      <c r="HP68" s="960"/>
      <c r="HQ68" s="960"/>
      <c r="HR68" s="960"/>
      <c r="HS68" s="960"/>
      <c r="HT68" s="960"/>
      <c r="HU68" s="960"/>
      <c r="HV68" s="960"/>
      <c r="HW68" s="960"/>
      <c r="HX68" s="960"/>
      <c r="HY68" s="960"/>
      <c r="HZ68" s="960"/>
      <c r="IA68" s="960"/>
      <c r="IB68" s="960"/>
      <c r="IC68" s="960"/>
      <c r="ID68" s="960"/>
      <c r="IE68" s="960"/>
      <c r="IF68" s="960"/>
      <c r="IG68" s="960"/>
      <c r="IH68" s="960"/>
      <c r="II68" s="960"/>
      <c r="IJ68" s="960"/>
      <c r="IK68" s="960"/>
      <c r="IL68" s="960"/>
      <c r="IM68" s="960"/>
      <c r="IN68" s="960"/>
      <c r="IO68" s="960"/>
      <c r="IP68" s="960"/>
      <c r="IQ68" s="960"/>
      <c r="IR68" s="960"/>
      <c r="IS68" s="960"/>
      <c r="IT68" s="960"/>
      <c r="IU68" s="960"/>
      <c r="IV68" s="960"/>
    </row>
    <row r="69" spans="1:256" s="1133" customFormat="1" ht="12.75" x14ac:dyDescent="0.2">
      <c r="A69" s="1129" t="s">
        <v>74</v>
      </c>
      <c r="B69" s="22"/>
      <c r="C69" s="22"/>
      <c r="D69" s="22"/>
      <c r="E69" s="22"/>
      <c r="F69" s="21"/>
      <c r="G69" s="22"/>
      <c r="H69" s="22"/>
      <c r="I69" s="22"/>
      <c r="J69" s="22"/>
      <c r="K69" s="21"/>
      <c r="L69" s="22"/>
      <c r="M69" s="22"/>
      <c r="N69" s="22"/>
      <c r="O69" s="22"/>
      <c r="P69" s="21"/>
      <c r="Q69" s="22"/>
      <c r="R69" s="22"/>
      <c r="S69" s="22"/>
      <c r="T69" s="22"/>
      <c r="U69" s="21"/>
      <c r="V69" s="22"/>
      <c r="W69" s="22"/>
      <c r="X69" s="22"/>
      <c r="Y69" s="22"/>
      <c r="Z69" s="21"/>
      <c r="AA69" s="22"/>
      <c r="AB69" s="22"/>
      <c r="AC69" s="22"/>
      <c r="AD69" s="22"/>
      <c r="AE69" s="21"/>
      <c r="AF69" s="22"/>
      <c r="AG69" s="22"/>
      <c r="AH69" s="22"/>
      <c r="AI69" s="22"/>
      <c r="AJ69" s="21"/>
      <c r="AK69" s="22"/>
      <c r="AL69" s="22"/>
      <c r="AM69" s="22"/>
      <c r="AN69" s="22"/>
      <c r="AO69" s="21"/>
      <c r="AP69" s="22"/>
      <c r="AQ69" s="22"/>
      <c r="AR69" s="22"/>
      <c r="AS69" s="22"/>
      <c r="AT69" s="21"/>
      <c r="AU69" s="22"/>
      <c r="AV69" s="22"/>
      <c r="AW69" s="22"/>
      <c r="AX69" s="22"/>
      <c r="AY69" s="21"/>
      <c r="AZ69" s="22"/>
      <c r="BA69" s="22"/>
      <c r="BB69" s="22"/>
      <c r="BC69" s="22"/>
      <c r="BD69" s="21"/>
      <c r="BE69" s="22"/>
      <c r="BF69" s="22"/>
      <c r="BG69" s="22"/>
      <c r="BH69" s="22"/>
      <c r="BI69" s="21"/>
      <c r="BJ69" s="22"/>
      <c r="BK69" s="22"/>
      <c r="BL69" s="22"/>
      <c r="BM69" s="22"/>
      <c r="BN69" s="21"/>
      <c r="BO69" s="22">
        <f t="shared" ref="BO69:DY69" si="241">BO68/BJ68-1</f>
        <v>-2.8670752756294604E-3</v>
      </c>
      <c r="BP69" s="22">
        <f t="shared" si="241"/>
        <v>-1.399998028287508E-2</v>
      </c>
      <c r="BQ69" s="22">
        <f t="shared" si="241"/>
        <v>-9.8951577634797117E-3</v>
      </c>
      <c r="BR69" s="22">
        <f t="shared" si="241"/>
        <v>-5.360223434378697E-3</v>
      </c>
      <c r="BS69" s="21">
        <f t="shared" si="241"/>
        <v>-8.0839915980398525E-3</v>
      </c>
      <c r="BT69" s="22">
        <f t="shared" si="241"/>
        <v>-8.2810539523212601E-3</v>
      </c>
      <c r="BU69" s="22">
        <f t="shared" si="241"/>
        <v>-7.2231738210953855E-3</v>
      </c>
      <c r="BV69" s="22">
        <f t="shared" si="241"/>
        <v>-8.2301375524271858E-3</v>
      </c>
      <c r="BW69" s="22">
        <f t="shared" si="241"/>
        <v>-1.2564312880114614E-2</v>
      </c>
      <c r="BX69" s="21">
        <f t="shared" si="241"/>
        <v>-9.0996234432315637E-3</v>
      </c>
      <c r="BY69" s="22">
        <f t="shared" si="241"/>
        <v>-2.2369318362102097E-3</v>
      </c>
      <c r="BZ69" s="22">
        <f t="shared" si="241"/>
        <v>-7.8225837835036449E-3</v>
      </c>
      <c r="CA69" s="22">
        <f t="shared" si="241"/>
        <v>-1.5364324122112416E-3</v>
      </c>
      <c r="CB69" s="22">
        <f t="shared" si="241"/>
        <v>-3.3362640549706724E-3</v>
      </c>
      <c r="CC69" s="21">
        <f t="shared" si="241"/>
        <v>-3.8063220100980066E-3</v>
      </c>
      <c r="CD69" s="22">
        <f t="shared" si="241"/>
        <v>-7.6765307157040663E-3</v>
      </c>
      <c r="CE69" s="22">
        <f t="shared" si="241"/>
        <v>7.663640274679917E-4</v>
      </c>
      <c r="CF69" s="22">
        <f t="shared" si="241"/>
        <v>-6.2044958770752778E-3</v>
      </c>
      <c r="CG69" s="22">
        <f t="shared" si="241"/>
        <v>1.4226697529780008E-3</v>
      </c>
      <c r="CH69" s="21">
        <f t="shared" si="241"/>
        <v>-2.8913797416688647E-3</v>
      </c>
      <c r="CI69" s="22">
        <f t="shared" si="241"/>
        <v>-8.7034077594811965E-3</v>
      </c>
      <c r="CJ69" s="22">
        <f t="shared" si="241"/>
        <v>-3.4187091050491558E-3</v>
      </c>
      <c r="CK69" s="22">
        <f t="shared" si="241"/>
        <v>-4.9888941471656345E-3</v>
      </c>
      <c r="CL69" s="22">
        <f t="shared" si="241"/>
        <v>-1.3511111077736948E-2</v>
      </c>
      <c r="CM69" s="21">
        <f t="shared" si="241"/>
        <v>-7.5918252863266256E-3</v>
      </c>
      <c r="CN69" s="22">
        <f t="shared" si="241"/>
        <v>-6.5804452655149337E-3</v>
      </c>
      <c r="CO69" s="22">
        <f t="shared" si="241"/>
        <v>-1.0378139186960622E-2</v>
      </c>
      <c r="CP69" s="22">
        <f t="shared" si="241"/>
        <v>-1.1582624542939124E-2</v>
      </c>
      <c r="CQ69" s="22">
        <f t="shared" si="241"/>
        <v>-9.8657767286230991E-3</v>
      </c>
      <c r="CR69" s="21">
        <f t="shared" si="241"/>
        <v>-9.6026995549018945E-3</v>
      </c>
      <c r="CS69" s="22">
        <f t="shared" si="241"/>
        <v>-6.2673502736916298E-3</v>
      </c>
      <c r="CT69" s="22">
        <f t="shared" si="241"/>
        <v>-5.7864625461439001E-3</v>
      </c>
      <c r="CU69" s="22">
        <f t="shared" si="241"/>
        <v>-4.9063213970080843E-3</v>
      </c>
      <c r="CV69" s="22">
        <f t="shared" si="241"/>
        <v>-3.4046124864417493E-3</v>
      </c>
      <c r="CW69" s="21">
        <f t="shared" si="241"/>
        <v>-5.1324258057183769E-3</v>
      </c>
      <c r="CX69" s="22">
        <f t="shared" si="241"/>
        <v>-1.118028825521733E-2</v>
      </c>
      <c r="CY69" s="22">
        <f t="shared" si="241"/>
        <v>-1.8653067338783136E-2</v>
      </c>
      <c r="CZ69" s="22">
        <f t="shared" si="241"/>
        <v>-9.0892685075508739E-3</v>
      </c>
      <c r="DA69" s="22">
        <f t="shared" si="241"/>
        <v>3.5373831713103598E-4</v>
      </c>
      <c r="DB69" s="21">
        <f t="shared" si="241"/>
        <v>-9.4783750701423752E-3</v>
      </c>
      <c r="DC69" s="22">
        <f t="shared" si="241"/>
        <v>1.2283276453567415E-2</v>
      </c>
      <c r="DD69" s="22">
        <f t="shared" si="241"/>
        <v>2.1869940148045552E-2</v>
      </c>
      <c r="DE69" s="22">
        <f t="shared" si="241"/>
        <v>1.311791872424295E-2</v>
      </c>
      <c r="DF69" s="22">
        <f t="shared" si="241"/>
        <v>1.3099505094447128E-3</v>
      </c>
      <c r="DG69" s="21">
        <f t="shared" si="241"/>
        <v>1.1916331849297412E-2</v>
      </c>
      <c r="DH69" s="22">
        <f t="shared" si="241"/>
        <v>-1.7457527625167613E-3</v>
      </c>
      <c r="DI69" s="22">
        <f t="shared" si="241"/>
        <v>-8.2312068216772172E-4</v>
      </c>
      <c r="DJ69" s="22">
        <f t="shared" si="241"/>
        <v>3.4608095586552423E-4</v>
      </c>
      <c r="DK69" s="22">
        <f t="shared" si="241"/>
        <v>-1.2280930793304723E-3</v>
      </c>
      <c r="DL69" s="21">
        <f t="shared" si="241"/>
        <v>-8.1847335528684173E-4</v>
      </c>
      <c r="DM69" s="22">
        <f t="shared" si="241"/>
        <v>-2.4727271039739485E-3</v>
      </c>
      <c r="DN69" s="22">
        <f t="shared" si="241"/>
        <v>-1.0474068671716408E-3</v>
      </c>
      <c r="DO69" s="22">
        <f t="shared" si="241"/>
        <v>-9.3657910397615396E-3</v>
      </c>
      <c r="DP69" s="22">
        <f t="shared" si="241"/>
        <v>-7.6876849027964766E-3</v>
      </c>
      <c r="DQ69" s="21">
        <f t="shared" si="241"/>
        <v>-5.0992999172390086E-3</v>
      </c>
      <c r="DR69" s="22">
        <f t="shared" si="241"/>
        <v>-1.2519214691521507E-2</v>
      </c>
      <c r="DS69" s="22">
        <f t="shared" si="241"/>
        <v>-1.6587893106310925E-2</v>
      </c>
      <c r="DT69" s="22">
        <f t="shared" si="241"/>
        <v>-6.8377285974308144E-3</v>
      </c>
      <c r="DU69" s="22">
        <f t="shared" si="241"/>
        <v>-1.1332510442891852E-3</v>
      </c>
      <c r="DV69" s="21">
        <f t="shared" si="241"/>
        <v>-9.360823989325473E-3</v>
      </c>
      <c r="DW69" s="22">
        <f>DW68/DR68-1</f>
        <v>1.5790375165374959E-2</v>
      </c>
      <c r="DX69" s="22">
        <f t="shared" si="241"/>
        <v>8.7906459312598884E-3</v>
      </c>
      <c r="DY69" s="22">
        <f t="shared" si="241"/>
        <v>8.1477120112514179E-3</v>
      </c>
      <c r="DZ69" s="22">
        <f t="shared" ref="DZ69:EI69" si="242">DZ68/DU68-1</f>
        <v>4.3807731626250845E-3</v>
      </c>
      <c r="EA69" s="21">
        <f t="shared" si="242"/>
        <v>9.1558443829282687E-3</v>
      </c>
      <c r="EB69" s="22">
        <f t="shared" si="242"/>
        <v>-4.6391758825891083E-3</v>
      </c>
      <c r="EC69" s="22">
        <f t="shared" si="242"/>
        <v>2.4329537193557016E-4</v>
      </c>
      <c r="ED69" s="22">
        <f t="shared" si="242"/>
        <v>-1.0908992989225874E-2</v>
      </c>
      <c r="EE69" s="22">
        <f t="shared" si="242"/>
        <v>-1.1054672364450013E-2</v>
      </c>
      <c r="EF69" s="21">
        <f t="shared" si="242"/>
        <v>-6.2537968885527651E-3</v>
      </c>
      <c r="EG69" s="22">
        <f t="shared" si="242"/>
        <v>-3.3197543654523987E-3</v>
      </c>
      <c r="EH69" s="22">
        <f t="shared" si="242"/>
        <v>5.0321735299767578E-3</v>
      </c>
      <c r="EI69" s="22">
        <f t="shared" si="242"/>
        <v>1.166101847862322E-2</v>
      </c>
      <c r="EJ69" s="22">
        <f t="shared" ref="EJ69:EN69" si="243">EJ68/EE68-1</f>
        <v>1.0602349027487135E-2</v>
      </c>
      <c r="EK69" s="21">
        <f t="shared" si="243"/>
        <v>5.6580080805341826E-3</v>
      </c>
      <c r="EL69" s="22">
        <f t="shared" si="243"/>
        <v>-3.3098111464123781E-3</v>
      </c>
      <c r="EM69" s="22">
        <f t="shared" si="243"/>
        <v>-5.7577256111158714E-3</v>
      </c>
      <c r="EN69" s="22">
        <f t="shared" si="243"/>
        <v>7.8593640907009821E-4</v>
      </c>
      <c r="EO69" s="22">
        <f t="shared" ref="EO69" si="244">EO68/EJ68-1</f>
        <v>8.018714012343775E-3</v>
      </c>
      <c r="EP69" s="21">
        <f t="shared" ref="EP69:EQ69" si="245">EP68/EK68-1</f>
        <v>-1.0191484031474296E-5</v>
      </c>
      <c r="EQ69" s="22">
        <f t="shared" si="245"/>
        <v>3.9556004008067802E-3</v>
      </c>
      <c r="ER69" s="22">
        <f t="shared" ref="ER69" si="246">ER68/EM68-1</f>
        <v>2.6732925241490513E-3</v>
      </c>
      <c r="ES69" s="22">
        <f t="shared" ref="ES69:EU69" si="247">ES68/EN68-1</f>
        <v>7.9559148238539379E-5</v>
      </c>
      <c r="ET69" s="22">
        <f t="shared" si="247"/>
        <v>-4.7474047134039576E-3</v>
      </c>
      <c r="EU69" s="270">
        <f t="shared" si="247"/>
        <v>5.1971697580310838E-4</v>
      </c>
      <c r="EV69" s="1130"/>
      <c r="EW69" s="1130"/>
      <c r="EX69" s="1130"/>
      <c r="EY69" s="1130"/>
      <c r="EZ69" s="844">
        <f>EZ68/EU68-1</f>
        <v>0</v>
      </c>
      <c r="FA69" s="1130"/>
      <c r="FB69" s="1130"/>
      <c r="FC69" s="1130"/>
      <c r="FD69" s="1130"/>
      <c r="FE69" s="844">
        <f>FE68/EZ68-1</f>
        <v>0</v>
      </c>
      <c r="FF69" s="1131"/>
      <c r="FG69" s="1136"/>
      <c r="FH69" s="1061"/>
      <c r="FI69" s="1061"/>
      <c r="FJ69" s="1061"/>
      <c r="FK69" s="1061"/>
      <c r="FL69" s="1811"/>
      <c r="FM69" s="22">
        <f t="shared" si="239"/>
        <v>3.9556004008067802E-3</v>
      </c>
      <c r="FN69" s="22">
        <f t="shared" si="240"/>
        <v>-3.3098111464123781E-3</v>
      </c>
      <c r="FO69" s="2041">
        <v>8.7445188843788824E-3</v>
      </c>
      <c r="FP69" s="1892">
        <f>IFERROR(($FM69-FN69)*10000,"")</f>
        <v>72.654115472191577</v>
      </c>
      <c r="FQ69" s="1892">
        <f>IFERROR(($FM69-FO69)*10000,"")</f>
        <v>-47.889184835721025</v>
      </c>
      <c r="FR69" s="566"/>
      <c r="FS69" s="1586"/>
      <c r="FT69" s="566"/>
      <c r="FU69" s="566"/>
      <c r="FV69" s="566"/>
      <c r="FW69" s="566"/>
      <c r="FX69" s="566"/>
      <c r="FY69" s="566"/>
      <c r="FZ69" s="566"/>
      <c r="GA69" s="1136"/>
      <c r="GB69"/>
      <c r="GC69"/>
      <c r="GD69"/>
      <c r="GE69"/>
      <c r="GF69"/>
      <c r="GG69"/>
      <c r="GH69" s="1132"/>
      <c r="GI69" s="1132"/>
      <c r="GJ69" s="1132"/>
      <c r="GK69" s="1132"/>
      <c r="GL69" s="1132"/>
      <c r="GM69" s="1132"/>
      <c r="GN69" s="1132"/>
      <c r="GO69" s="1132"/>
      <c r="GP69" s="1132"/>
      <c r="GQ69" s="1132"/>
      <c r="GR69" s="1132"/>
      <c r="GS69" s="1132"/>
      <c r="GT69" s="1132"/>
      <c r="GU69" s="1132"/>
      <c r="GV69" s="1132"/>
      <c r="GW69" s="1132"/>
      <c r="GX69" s="1132"/>
      <c r="GY69" s="1132"/>
      <c r="GZ69" s="1132"/>
      <c r="HA69" s="1132"/>
      <c r="HB69" s="1132"/>
      <c r="HC69" s="1132"/>
      <c r="HD69" s="1132"/>
      <c r="HE69" s="1132"/>
      <c r="HF69" s="1132"/>
      <c r="HG69" s="1132"/>
      <c r="HH69" s="1132"/>
      <c r="HI69" s="1132"/>
      <c r="HJ69" s="1132"/>
      <c r="HK69" s="1132"/>
      <c r="HL69" s="1132"/>
      <c r="HM69" s="1132"/>
      <c r="HN69" s="1132"/>
      <c r="HO69" s="1132"/>
      <c r="HP69" s="1132"/>
      <c r="HQ69" s="1132"/>
      <c r="HR69" s="1132"/>
      <c r="HS69" s="1132"/>
      <c r="HT69" s="1132"/>
      <c r="HU69" s="1132"/>
      <c r="HV69" s="1132"/>
      <c r="HW69" s="1132"/>
      <c r="HX69" s="1132"/>
      <c r="HY69" s="1132"/>
      <c r="HZ69" s="1132"/>
      <c r="IA69" s="1132"/>
      <c r="IB69" s="1132"/>
      <c r="IC69" s="1132"/>
      <c r="ID69" s="1132"/>
      <c r="IE69" s="1132"/>
      <c r="IF69" s="1132"/>
      <c r="IG69" s="1132"/>
      <c r="IH69" s="1132"/>
      <c r="II69" s="1132"/>
      <c r="IJ69" s="1132"/>
      <c r="IK69" s="1132"/>
      <c r="IL69" s="1132"/>
      <c r="IM69" s="1132"/>
      <c r="IN69" s="1132"/>
      <c r="IO69" s="1132"/>
      <c r="IP69" s="1132"/>
      <c r="IQ69" s="1132"/>
      <c r="IR69" s="1132"/>
      <c r="IS69" s="1132"/>
      <c r="IT69" s="1132"/>
      <c r="IU69" s="1132"/>
      <c r="IV69" s="1132"/>
    </row>
    <row r="70" spans="1:256" s="1113" customFormat="1" ht="12.75" x14ac:dyDescent="0.2">
      <c r="A70" s="1106" t="s">
        <v>429</v>
      </c>
      <c r="B70" s="1107"/>
      <c r="C70" s="1107"/>
      <c r="D70" s="1107"/>
      <c r="E70" s="1107"/>
      <c r="F70" s="1108"/>
      <c r="G70" s="1107"/>
      <c r="H70" s="1107"/>
      <c r="I70" s="1107"/>
      <c r="J70" s="1107"/>
      <c r="K70" s="1108"/>
      <c r="L70" s="1107"/>
      <c r="M70" s="1107"/>
      <c r="N70" s="1107"/>
      <c r="O70" s="1107"/>
      <c r="P70" s="1108"/>
      <c r="Q70" s="1107"/>
      <c r="R70" s="1107"/>
      <c r="S70" s="1107"/>
      <c r="T70" s="1107"/>
      <c r="U70" s="1108"/>
      <c r="V70" s="1107"/>
      <c r="W70" s="1107"/>
      <c r="X70" s="1107"/>
      <c r="Y70" s="1107"/>
      <c r="Z70" s="1108"/>
      <c r="AA70" s="1107"/>
      <c r="AB70" s="1107"/>
      <c r="AC70" s="1107"/>
      <c r="AD70" s="1107"/>
      <c r="AE70" s="1108"/>
      <c r="AF70" s="1107">
        <f t="shared" ref="AF70:BK70" si="248">AF72+AF74+AF76+AF78</f>
        <v>30.772000000000006</v>
      </c>
      <c r="AG70" s="1107">
        <f t="shared" si="248"/>
        <v>31.478000000000002</v>
      </c>
      <c r="AH70" s="1107">
        <f t="shared" si="248"/>
        <v>31.853999999999999</v>
      </c>
      <c r="AI70" s="1107">
        <f t="shared" si="248"/>
        <v>31.000999999999998</v>
      </c>
      <c r="AJ70" s="1108">
        <f t="shared" si="248"/>
        <v>125.10500000000002</v>
      </c>
      <c r="AK70" s="1107">
        <f t="shared" si="248"/>
        <v>31.658000000000001</v>
      </c>
      <c r="AL70" s="1107">
        <f t="shared" si="248"/>
        <v>33.637</v>
      </c>
      <c r="AM70" s="1107">
        <f t="shared" si="248"/>
        <v>33.270000000000003</v>
      </c>
      <c r="AN70" s="1107">
        <f t="shared" si="248"/>
        <v>31.651</v>
      </c>
      <c r="AO70" s="1108">
        <f t="shared" si="248"/>
        <v>130.21600000000001</v>
      </c>
      <c r="AP70" s="1107">
        <f t="shared" si="248"/>
        <v>32.927999999999997</v>
      </c>
      <c r="AQ70" s="1107">
        <f t="shared" si="248"/>
        <v>33.200000000000003</v>
      </c>
      <c r="AR70" s="1107">
        <f t="shared" si="248"/>
        <v>33.443999999999996</v>
      </c>
      <c r="AS70" s="1107">
        <f t="shared" si="248"/>
        <v>33.972999999999999</v>
      </c>
      <c r="AT70" s="1108">
        <f t="shared" si="248"/>
        <v>133.54499999999999</v>
      </c>
      <c r="AU70" s="1107">
        <f t="shared" si="248"/>
        <v>33.912999999999997</v>
      </c>
      <c r="AV70" s="1107">
        <f t="shared" si="248"/>
        <v>33.635999999999996</v>
      </c>
      <c r="AW70" s="1107">
        <f t="shared" si="248"/>
        <v>34.331999999999994</v>
      </c>
      <c r="AX70" s="1107">
        <f t="shared" si="248"/>
        <v>32.302</v>
      </c>
      <c r="AY70" s="1108">
        <f t="shared" si="248"/>
        <v>134.18299999999999</v>
      </c>
      <c r="AZ70" s="1107">
        <f t="shared" si="248"/>
        <v>31.28</v>
      </c>
      <c r="BA70" s="1107">
        <f t="shared" si="248"/>
        <v>35.033000000000008</v>
      </c>
      <c r="BB70" s="1107">
        <f t="shared" si="248"/>
        <v>45.536000000000001</v>
      </c>
      <c r="BC70" s="1107">
        <f t="shared" si="248"/>
        <v>45.652000000000001</v>
      </c>
      <c r="BD70" s="1108">
        <f t="shared" si="248"/>
        <v>157.50100000000003</v>
      </c>
      <c r="BE70" s="1107">
        <f t="shared" si="248"/>
        <v>43.505000000000003</v>
      </c>
      <c r="BF70" s="1107">
        <f t="shared" si="248"/>
        <v>45.077000000000005</v>
      </c>
      <c r="BG70" s="1107">
        <f t="shared" si="248"/>
        <v>44.342999999999996</v>
      </c>
      <c r="BH70" s="1107">
        <f t="shared" si="248"/>
        <v>41.988000000000007</v>
      </c>
      <c r="BI70" s="1108">
        <f t="shared" si="248"/>
        <v>174.91300000000001</v>
      </c>
      <c r="BJ70" s="1107">
        <f t="shared" si="248"/>
        <v>46.125</v>
      </c>
      <c r="BK70" s="1107">
        <f t="shared" si="248"/>
        <v>45.75</v>
      </c>
      <c r="BL70" s="1107">
        <f t="shared" ref="BL70:CQ70" si="249">BL72+BL74+BL76+BL78</f>
        <v>42.369</v>
      </c>
      <c r="BM70" s="1107">
        <f t="shared" si="249"/>
        <v>43.787000000000006</v>
      </c>
      <c r="BN70" s="1108">
        <f t="shared" si="249"/>
        <v>178.03100000000001</v>
      </c>
      <c r="BO70" s="1107">
        <f t="shared" si="249"/>
        <v>41.971000000000004</v>
      </c>
      <c r="BP70" s="1107">
        <f t="shared" si="249"/>
        <v>41.800000000000004</v>
      </c>
      <c r="BQ70" s="1107">
        <f t="shared" si="249"/>
        <v>43.758000000000003</v>
      </c>
      <c r="BR70" s="1107">
        <f t="shared" si="249"/>
        <v>42.871000000000009</v>
      </c>
      <c r="BS70" s="1108">
        <f t="shared" si="249"/>
        <v>170.4</v>
      </c>
      <c r="BT70" s="1107">
        <f t="shared" si="249"/>
        <v>41.971000000000004</v>
      </c>
      <c r="BU70" s="1107">
        <f t="shared" si="249"/>
        <v>44.961000000000006</v>
      </c>
      <c r="BV70" s="1107">
        <f t="shared" si="249"/>
        <v>43.522000000000006</v>
      </c>
      <c r="BW70" s="1107">
        <f t="shared" si="249"/>
        <v>42.045000000000002</v>
      </c>
      <c r="BX70" s="1108">
        <f t="shared" si="249"/>
        <v>172.499</v>
      </c>
      <c r="BY70" s="1107">
        <f t="shared" si="249"/>
        <v>43.246580999999999</v>
      </c>
      <c r="BZ70" s="1107">
        <f t="shared" si="249"/>
        <v>46.059598499999986</v>
      </c>
      <c r="CA70" s="1107">
        <f t="shared" si="249"/>
        <v>45.882000000000005</v>
      </c>
      <c r="CB70" s="1107">
        <f t="shared" si="249"/>
        <v>46.142000000000003</v>
      </c>
      <c r="CC70" s="1108">
        <f t="shared" si="249"/>
        <v>181.33017949999999</v>
      </c>
      <c r="CD70" s="1107">
        <f t="shared" si="249"/>
        <v>45.115000000000002</v>
      </c>
      <c r="CE70" s="1107">
        <f t="shared" si="249"/>
        <v>47.338999999999999</v>
      </c>
      <c r="CF70" s="1107">
        <f t="shared" si="249"/>
        <v>48.713000000000008</v>
      </c>
      <c r="CG70" s="1107">
        <f t="shared" si="249"/>
        <v>45.486000000000004</v>
      </c>
      <c r="CH70" s="1108">
        <f t="shared" si="249"/>
        <v>186.65299999999999</v>
      </c>
      <c r="CI70" s="1107">
        <f t="shared" si="249"/>
        <v>47.145000000000003</v>
      </c>
      <c r="CJ70" s="1107">
        <f t="shared" si="249"/>
        <v>48.507000000000005</v>
      </c>
      <c r="CK70" s="1107">
        <f t="shared" si="249"/>
        <v>47.321000000000005</v>
      </c>
      <c r="CL70" s="1107">
        <f t="shared" si="249"/>
        <v>47.774000000000008</v>
      </c>
      <c r="CM70" s="1108">
        <f t="shared" si="249"/>
        <v>190.74699999999996</v>
      </c>
      <c r="CN70" s="1107">
        <f t="shared" si="249"/>
        <v>45.769000000000005</v>
      </c>
      <c r="CO70" s="1107">
        <f t="shared" si="249"/>
        <v>47.486000000000004</v>
      </c>
      <c r="CP70" s="1107">
        <f t="shared" si="249"/>
        <v>46.844999999999999</v>
      </c>
      <c r="CQ70" s="1107">
        <f t="shared" si="249"/>
        <v>45.864999999999995</v>
      </c>
      <c r="CR70" s="1108">
        <f t="shared" ref="CR70:DW70" si="250">CR72+CR74+CR76+CR78</f>
        <v>185.965</v>
      </c>
      <c r="CS70" s="1107">
        <f t="shared" si="250"/>
        <v>46.802999999999997</v>
      </c>
      <c r="CT70" s="1107">
        <f t="shared" si="250"/>
        <v>49.268000000000001</v>
      </c>
      <c r="CU70" s="1107">
        <f t="shared" si="250"/>
        <v>49.676000000000002</v>
      </c>
      <c r="CV70" s="1107">
        <f t="shared" si="250"/>
        <v>48.47</v>
      </c>
      <c r="CW70" s="1108">
        <f t="shared" si="250"/>
        <v>194.21700000000001</v>
      </c>
      <c r="CX70" s="1107">
        <f t="shared" si="250"/>
        <v>42.210999999999999</v>
      </c>
      <c r="CY70" s="1107">
        <f t="shared" si="250"/>
        <v>37.168999999999997</v>
      </c>
      <c r="CZ70" s="1107">
        <f t="shared" si="250"/>
        <v>39.058</v>
      </c>
      <c r="DA70" s="1107">
        <f t="shared" si="250"/>
        <v>39.082000000000001</v>
      </c>
      <c r="DB70" s="1108">
        <f t="shared" si="250"/>
        <v>157.51999999999998</v>
      </c>
      <c r="DC70" s="1107">
        <f t="shared" si="250"/>
        <v>39.892000000000003</v>
      </c>
      <c r="DD70" s="1107">
        <f t="shared" si="250"/>
        <v>43.222999999999999</v>
      </c>
      <c r="DE70" s="1107">
        <f t="shared" si="250"/>
        <v>44.192999999999998</v>
      </c>
      <c r="DF70" s="1107">
        <f t="shared" si="250"/>
        <v>43.523000000000003</v>
      </c>
      <c r="DG70" s="1109">
        <f t="shared" si="250"/>
        <v>170.83099999999999</v>
      </c>
      <c r="DH70" s="1107">
        <f t="shared" si="250"/>
        <v>44.547000000000004</v>
      </c>
      <c r="DI70" s="1107">
        <f t="shared" si="250"/>
        <v>44.158000000000001</v>
      </c>
      <c r="DJ70" s="1107">
        <f t="shared" si="250"/>
        <v>44.441000000000003</v>
      </c>
      <c r="DK70" s="1107">
        <f t="shared" si="250"/>
        <v>44.734000000000002</v>
      </c>
      <c r="DL70" s="1109">
        <f t="shared" si="250"/>
        <v>177.88</v>
      </c>
      <c r="DM70" s="1107">
        <f t="shared" si="250"/>
        <v>39.478000000000002</v>
      </c>
      <c r="DN70" s="1107">
        <f t="shared" si="250"/>
        <v>38.956000000000003</v>
      </c>
      <c r="DO70" s="1107">
        <f t="shared" si="250"/>
        <v>38.559999999999995</v>
      </c>
      <c r="DP70" s="1107">
        <f t="shared" si="250"/>
        <v>39.114999999999995</v>
      </c>
      <c r="DQ70" s="1109">
        <f t="shared" si="250"/>
        <v>156.10900000000001</v>
      </c>
      <c r="DR70" s="1107">
        <f t="shared" si="250"/>
        <v>38.218999999999994</v>
      </c>
      <c r="DS70" s="1107">
        <f t="shared" si="250"/>
        <v>38.116999999999997</v>
      </c>
      <c r="DT70" s="1207">
        <f t="shared" si="250"/>
        <v>37.9</v>
      </c>
      <c r="DU70" s="1107">
        <f t="shared" si="250"/>
        <v>35.834000000000003</v>
      </c>
      <c r="DV70" s="1109">
        <f t="shared" si="250"/>
        <v>150.07</v>
      </c>
      <c r="DW70" s="1107">
        <f t="shared" si="250"/>
        <v>32.856000000000002</v>
      </c>
      <c r="DX70" s="1107">
        <f t="shared" ref="DX70:EN70" si="251">DX72+DX74+DX76+DX78</f>
        <v>38.792000000000002</v>
      </c>
      <c r="DY70" s="1207">
        <f t="shared" si="251"/>
        <v>36.730999999999995</v>
      </c>
      <c r="DZ70" s="1107">
        <f t="shared" si="251"/>
        <v>33.451999999999998</v>
      </c>
      <c r="EA70" s="1109">
        <f t="shared" si="251"/>
        <v>141.83099999999999</v>
      </c>
      <c r="EB70" s="1107">
        <f t="shared" si="251"/>
        <v>30.553000000000001</v>
      </c>
      <c r="EC70" s="1107">
        <f t="shared" si="251"/>
        <v>30.506</v>
      </c>
      <c r="ED70" s="1207">
        <f t="shared" si="251"/>
        <v>31.175999999999998</v>
      </c>
      <c r="EE70" s="1107">
        <f t="shared" si="251"/>
        <v>27.745999999999999</v>
      </c>
      <c r="EF70" s="1109">
        <f t="shared" si="251"/>
        <v>119.98099999999999</v>
      </c>
      <c r="EG70" s="1107">
        <f t="shared" si="251"/>
        <v>23.737000000000002</v>
      </c>
      <c r="EH70" s="1107">
        <f t="shared" si="251"/>
        <v>23.119999999999997</v>
      </c>
      <c r="EI70" s="1207">
        <f t="shared" si="251"/>
        <v>26.328999999999997</v>
      </c>
      <c r="EJ70" s="1107">
        <f t="shared" si="251"/>
        <v>26.491</v>
      </c>
      <c r="EK70" s="1109">
        <f t="shared" si="251"/>
        <v>99.677000000000007</v>
      </c>
      <c r="EL70" s="1107">
        <f t="shared" si="251"/>
        <v>28.783000000000001</v>
      </c>
      <c r="EM70" s="1107">
        <f t="shared" si="251"/>
        <v>29.465999999999998</v>
      </c>
      <c r="EN70" s="1207">
        <f t="shared" si="251"/>
        <v>29.445</v>
      </c>
      <c r="EO70" s="1107">
        <f t="shared" ref="EO70:EQ70" si="252">EO72+EO74+EO76+EO78</f>
        <v>27.885000000000002</v>
      </c>
      <c r="EP70" s="1109">
        <f t="shared" si="252"/>
        <v>115.57900000000001</v>
      </c>
      <c r="EQ70" s="1107">
        <f t="shared" si="252"/>
        <v>27.51</v>
      </c>
      <c r="ER70" s="1764">
        <f>ER6/ER68</f>
        <v>27.918066840626256</v>
      </c>
      <c r="ES70" s="1764">
        <f>ES6/ES68</f>
        <v>27.087244961862709</v>
      </c>
      <c r="ET70" s="1764">
        <f>ET6/ET68</f>
        <v>26.336932075471697</v>
      </c>
      <c r="EU70" s="1948">
        <f>EU72+EU74+EU76+EU78</f>
        <v>108.85224387796067</v>
      </c>
      <c r="EV70" s="1765"/>
      <c r="EW70" s="1765"/>
      <c r="EX70" s="1765"/>
      <c r="EY70" s="1765"/>
      <c r="EZ70" s="1766">
        <f>EZ6/EZ68</f>
        <v>102.86537046467281</v>
      </c>
      <c r="FA70" s="1765"/>
      <c r="FB70" s="1765"/>
      <c r="FC70" s="1765"/>
      <c r="FD70" s="1765"/>
      <c r="FE70" s="1766">
        <f>FE6/FE68</f>
        <v>97.722101941439178</v>
      </c>
      <c r="FF70" s="1110"/>
      <c r="FG70" s="645"/>
      <c r="FH70" s="1060"/>
      <c r="FI70" s="1060"/>
      <c r="FJ70" s="1060"/>
      <c r="FK70" s="1060"/>
      <c r="FL70" s="1810"/>
      <c r="FM70" s="1107">
        <f t="shared" si="239"/>
        <v>27.51</v>
      </c>
      <c r="FN70" s="1107">
        <f t="shared" si="240"/>
        <v>28.783000000000001</v>
      </c>
      <c r="FO70" s="1764">
        <v>27.249481395348841</v>
      </c>
      <c r="FP70" s="1864">
        <f>IFERROR(($FM70/FN70)-1,"")</f>
        <v>-4.4227495396588212E-2</v>
      </c>
      <c r="FQ70" s="1864">
        <f>IFERROR(($FM70/FO70)-1,"")</f>
        <v>9.5604977163208371E-3</v>
      </c>
      <c r="FR70" s="1111"/>
      <c r="FS70" s="1111"/>
      <c r="FT70" s="1111"/>
      <c r="FU70" s="1111"/>
      <c r="FV70" s="1111"/>
      <c r="FW70" s="1111"/>
      <c r="FX70" s="1111"/>
      <c r="FY70" s="1111"/>
      <c r="FZ70" s="1111"/>
      <c r="GA70" s="645"/>
      <c r="GB70"/>
      <c r="GC70"/>
      <c r="GD70"/>
      <c r="GE70"/>
      <c r="GF70"/>
      <c r="GG70"/>
      <c r="GH70" s="1112"/>
      <c r="GI70" s="1112"/>
      <c r="GJ70" s="1112"/>
      <c r="GK70" s="1112"/>
      <c r="GL70" s="1112"/>
      <c r="GM70" s="1112"/>
      <c r="GN70" s="1112"/>
      <c r="GO70" s="1112"/>
      <c r="GP70" s="1112"/>
      <c r="GQ70" s="1112"/>
      <c r="GR70" s="1112"/>
      <c r="GS70" s="1112"/>
      <c r="GT70" s="1112"/>
      <c r="GU70" s="1112"/>
      <c r="GV70" s="1112"/>
      <c r="GW70" s="1112"/>
      <c r="GX70" s="1112"/>
      <c r="GY70" s="1112"/>
      <c r="GZ70" s="1112"/>
      <c r="HA70" s="1112"/>
      <c r="HB70" s="1112"/>
      <c r="HC70" s="1112"/>
      <c r="HD70" s="1112"/>
      <c r="HE70" s="1112"/>
      <c r="HF70" s="1112"/>
      <c r="HG70" s="1112"/>
      <c r="HH70" s="1112"/>
      <c r="HI70" s="1112"/>
      <c r="HJ70" s="1112"/>
      <c r="HK70" s="1112"/>
      <c r="HL70" s="1112"/>
      <c r="HM70" s="1112"/>
      <c r="HN70" s="1112"/>
      <c r="HO70" s="1112"/>
      <c r="HP70" s="1112"/>
      <c r="HQ70" s="1112"/>
      <c r="HR70" s="1112"/>
      <c r="HS70" s="1112"/>
      <c r="HT70" s="1112"/>
      <c r="HU70" s="1112"/>
      <c r="HV70" s="1112"/>
      <c r="HW70" s="1112"/>
      <c r="HX70" s="1112"/>
      <c r="HY70" s="1112"/>
      <c r="HZ70" s="1112"/>
      <c r="IA70" s="1112"/>
      <c r="IB70" s="1112"/>
      <c r="IC70" s="1112"/>
      <c r="ID70" s="1112"/>
      <c r="IE70" s="1112"/>
      <c r="IF70" s="1112"/>
      <c r="IG70" s="1112"/>
      <c r="IH70" s="1112"/>
      <c r="II70" s="1112"/>
      <c r="IJ70" s="1112"/>
      <c r="IK70" s="1112"/>
      <c r="IL70" s="1112"/>
      <c r="IM70" s="1112"/>
      <c r="IN70" s="1112"/>
      <c r="IO70" s="1112"/>
      <c r="IP70" s="1112"/>
      <c r="IQ70" s="1112"/>
      <c r="IR70" s="1112"/>
      <c r="IS70" s="1112"/>
      <c r="IT70" s="1112"/>
      <c r="IU70" s="1112"/>
      <c r="IV70" s="1112"/>
    </row>
    <row r="71" spans="1:256" s="1133" customFormat="1" ht="12.75" x14ac:dyDescent="0.2">
      <c r="A71" s="1422" t="s">
        <v>74</v>
      </c>
      <c r="B71" s="931"/>
      <c r="C71" s="931"/>
      <c r="D71" s="931"/>
      <c r="E71" s="931"/>
      <c r="F71" s="933"/>
      <c r="G71" s="931"/>
      <c r="H71" s="931"/>
      <c r="I71" s="931"/>
      <c r="J71" s="931"/>
      <c r="K71" s="933"/>
      <c r="L71" s="931"/>
      <c r="M71" s="931"/>
      <c r="N71" s="931"/>
      <c r="O71" s="931"/>
      <c r="P71" s="933"/>
      <c r="Q71" s="931"/>
      <c r="R71" s="931"/>
      <c r="S71" s="931"/>
      <c r="T71" s="931"/>
      <c r="U71" s="933"/>
      <c r="V71" s="931"/>
      <c r="W71" s="931"/>
      <c r="X71" s="931"/>
      <c r="Y71" s="931"/>
      <c r="Z71" s="933"/>
      <c r="AA71" s="931"/>
      <c r="AB71" s="931"/>
      <c r="AC71" s="931"/>
      <c r="AD71" s="931"/>
      <c r="AE71" s="933"/>
      <c r="AF71" s="931"/>
      <c r="AG71" s="931"/>
      <c r="AH71" s="931"/>
      <c r="AI71" s="931"/>
      <c r="AJ71" s="933"/>
      <c r="AK71" s="931">
        <f t="shared" ref="AK71:CV71" si="253">AK70/AF70-1</f>
        <v>2.8792408683218307E-2</v>
      </c>
      <c r="AL71" s="931">
        <f t="shared" si="253"/>
        <v>6.858758497998596E-2</v>
      </c>
      <c r="AM71" s="931">
        <f t="shared" si="253"/>
        <v>4.4452815972876314E-2</v>
      </c>
      <c r="AN71" s="931">
        <f t="shared" si="253"/>
        <v>2.0967065578529898E-2</v>
      </c>
      <c r="AO71" s="933">
        <f t="shared" si="253"/>
        <v>4.0853682906358602E-2</v>
      </c>
      <c r="AP71" s="931">
        <f t="shared" si="253"/>
        <v>4.0116242340008768E-2</v>
      </c>
      <c r="AQ71" s="931">
        <f t="shared" si="253"/>
        <v>-1.2991646103992505E-2</v>
      </c>
      <c r="AR71" s="931">
        <f t="shared" si="253"/>
        <v>5.2299368800718948E-3</v>
      </c>
      <c r="AS71" s="931">
        <f t="shared" si="253"/>
        <v>7.3362610975956422E-2</v>
      </c>
      <c r="AT71" s="933">
        <f t="shared" si="253"/>
        <v>2.5565214720157048E-2</v>
      </c>
      <c r="AU71" s="931">
        <f t="shared" si="253"/>
        <v>2.9913751214771578E-2</v>
      </c>
      <c r="AV71" s="931">
        <f t="shared" si="253"/>
        <v>1.3132530120481656E-2</v>
      </c>
      <c r="AW71" s="931">
        <f t="shared" si="253"/>
        <v>2.6551847865087908E-2</v>
      </c>
      <c r="AX71" s="931">
        <f t="shared" si="253"/>
        <v>-4.9186118388131694E-2</v>
      </c>
      <c r="AY71" s="933">
        <f t="shared" si="253"/>
        <v>4.7774158523343768E-3</v>
      </c>
      <c r="AZ71" s="931">
        <f t="shared" si="253"/>
        <v>-7.7639843128003871E-2</v>
      </c>
      <c r="BA71" s="931">
        <f t="shared" si="253"/>
        <v>4.1532881436556535E-2</v>
      </c>
      <c r="BB71" s="931">
        <f t="shared" si="253"/>
        <v>0.32634277059303307</v>
      </c>
      <c r="BC71" s="931">
        <f t="shared" si="253"/>
        <v>0.41328710296576077</v>
      </c>
      <c r="BD71" s="933">
        <f t="shared" si="253"/>
        <v>0.173777602229791</v>
      </c>
      <c r="BE71" s="931">
        <f t="shared" si="253"/>
        <v>0.39082480818414322</v>
      </c>
      <c r="BF71" s="931">
        <f t="shared" si="253"/>
        <v>0.28670111038163992</v>
      </c>
      <c r="BG71" s="931">
        <f t="shared" si="253"/>
        <v>-2.6199051300070386E-2</v>
      </c>
      <c r="BH71" s="931">
        <f t="shared" si="253"/>
        <v>-8.0259353368965058E-2</v>
      </c>
      <c r="BI71" s="933">
        <f t="shared" si="253"/>
        <v>0.11055167903695828</v>
      </c>
      <c r="BJ71" s="931">
        <f t="shared" si="253"/>
        <v>6.0222962877830133E-2</v>
      </c>
      <c r="BK71" s="931">
        <f t="shared" si="253"/>
        <v>1.4930008651862225E-2</v>
      </c>
      <c r="BL71" s="931">
        <f t="shared" si="253"/>
        <v>-4.451660916040856E-2</v>
      </c>
      <c r="BM71" s="931">
        <f t="shared" si="253"/>
        <v>4.2845574926169361E-2</v>
      </c>
      <c r="BN71" s="933">
        <f t="shared" si="253"/>
        <v>1.7826004928164219E-2</v>
      </c>
      <c r="BO71" s="931">
        <f t="shared" si="253"/>
        <v>-9.0059620596205869E-2</v>
      </c>
      <c r="BP71" s="931">
        <f t="shared" si="253"/>
        <v>-8.6338797814207502E-2</v>
      </c>
      <c r="BQ71" s="931">
        <f t="shared" si="253"/>
        <v>3.2783402959711161E-2</v>
      </c>
      <c r="BR71" s="931">
        <f t="shared" si="253"/>
        <v>-2.0919450978600929E-2</v>
      </c>
      <c r="BS71" s="933">
        <f t="shared" si="253"/>
        <v>-4.2863321556358192E-2</v>
      </c>
      <c r="BT71" s="931">
        <f t="shared" si="253"/>
        <v>0</v>
      </c>
      <c r="BU71" s="931">
        <f t="shared" si="253"/>
        <v>7.5622009569378035E-2</v>
      </c>
      <c r="BV71" s="931">
        <f t="shared" si="253"/>
        <v>-5.3932995109464699E-3</v>
      </c>
      <c r="BW71" s="931">
        <f t="shared" si="253"/>
        <v>-1.926710363649109E-2</v>
      </c>
      <c r="BX71" s="933">
        <f t="shared" si="253"/>
        <v>1.2318075117370819E-2</v>
      </c>
      <c r="BY71" s="931">
        <f t="shared" si="253"/>
        <v>3.0391961116008614E-2</v>
      </c>
      <c r="BZ71" s="931">
        <f t="shared" si="253"/>
        <v>2.4434476546339789E-2</v>
      </c>
      <c r="CA71" s="931">
        <f t="shared" si="253"/>
        <v>5.4225449198106679E-2</v>
      </c>
      <c r="CB71" s="931">
        <f t="shared" si="253"/>
        <v>9.7443215602330824E-2</v>
      </c>
      <c r="CC71" s="933">
        <f t="shared" si="253"/>
        <v>5.1195540264001416E-2</v>
      </c>
      <c r="CD71" s="931">
        <f t="shared" si="253"/>
        <v>4.3203854658475871E-2</v>
      </c>
      <c r="CE71" s="931">
        <f t="shared" si="253"/>
        <v>2.7777087548863655E-2</v>
      </c>
      <c r="CF71" s="931">
        <f t="shared" si="253"/>
        <v>6.1701756680179631E-2</v>
      </c>
      <c r="CG71" s="931">
        <f t="shared" si="253"/>
        <v>-1.4216982358805419E-2</v>
      </c>
      <c r="CH71" s="933">
        <f t="shared" si="253"/>
        <v>2.9354300065643546E-2</v>
      </c>
      <c r="CI71" s="931">
        <f t="shared" si="253"/>
        <v>4.4996121024049707E-2</v>
      </c>
      <c r="CJ71" s="931">
        <f t="shared" si="253"/>
        <v>2.4673102515896161E-2</v>
      </c>
      <c r="CK71" s="931">
        <f t="shared" si="253"/>
        <v>-2.8575534251637169E-2</v>
      </c>
      <c r="CL71" s="931">
        <f t="shared" si="253"/>
        <v>5.0301191575429893E-2</v>
      </c>
      <c r="CM71" s="933">
        <f t="shared" si="253"/>
        <v>2.193374872088838E-2</v>
      </c>
      <c r="CN71" s="931">
        <f t="shared" si="253"/>
        <v>-2.9186552126418408E-2</v>
      </c>
      <c r="CO71" s="931">
        <f t="shared" si="253"/>
        <v>-2.1048508462696125E-2</v>
      </c>
      <c r="CP71" s="931">
        <f t="shared" si="253"/>
        <v>-1.0058959024534686E-2</v>
      </c>
      <c r="CQ71" s="931">
        <f t="shared" si="253"/>
        <v>-3.9958973500230477E-2</v>
      </c>
      <c r="CR71" s="933">
        <f t="shared" si="253"/>
        <v>-2.5069856930908241E-2</v>
      </c>
      <c r="CS71" s="931">
        <f t="shared" si="253"/>
        <v>2.2591710546439492E-2</v>
      </c>
      <c r="CT71" s="931">
        <f t="shared" si="253"/>
        <v>3.7526850018952951E-2</v>
      </c>
      <c r="CU71" s="931">
        <f t="shared" si="253"/>
        <v>6.0433344006831202E-2</v>
      </c>
      <c r="CV71" s="931">
        <f t="shared" si="253"/>
        <v>5.6797121988444443E-2</v>
      </c>
      <c r="CW71" s="933">
        <f t="shared" ref="CW71:DY71" si="254">CW70/CR70-1</f>
        <v>4.4373941333046618E-2</v>
      </c>
      <c r="CX71" s="931">
        <f t="shared" si="254"/>
        <v>-9.8113368801145184E-2</v>
      </c>
      <c r="CY71" s="931">
        <f t="shared" si="254"/>
        <v>-0.24557522123893816</v>
      </c>
      <c r="CZ71" s="931">
        <f t="shared" si="254"/>
        <v>-0.2137450680409051</v>
      </c>
      <c r="DA71" s="931">
        <f t="shared" si="254"/>
        <v>-0.19368681658757991</v>
      </c>
      <c r="DB71" s="933">
        <f t="shared" si="254"/>
        <v>-0.18894844426595014</v>
      </c>
      <c r="DC71" s="931">
        <f t="shared" si="254"/>
        <v>-5.4938286228708E-2</v>
      </c>
      <c r="DD71" s="931">
        <f t="shared" si="254"/>
        <v>0.1628776668729317</v>
      </c>
      <c r="DE71" s="931">
        <f t="shared" si="254"/>
        <v>0.13147114547595873</v>
      </c>
      <c r="DF71" s="931">
        <f t="shared" si="254"/>
        <v>0.11363287446906511</v>
      </c>
      <c r="DG71" s="933">
        <f t="shared" si="254"/>
        <v>8.4503555104113781E-2</v>
      </c>
      <c r="DH71" s="931">
        <f t="shared" si="254"/>
        <v>0.11669006317056052</v>
      </c>
      <c r="DI71" s="931">
        <f t="shared" si="254"/>
        <v>2.1632001480693219E-2</v>
      </c>
      <c r="DJ71" s="931">
        <f t="shared" si="254"/>
        <v>5.6117484669517825E-3</v>
      </c>
      <c r="DK71" s="931">
        <f t="shared" si="254"/>
        <v>2.7824368724582271E-2</v>
      </c>
      <c r="DL71" s="933">
        <f>DL70/DG70-1</f>
        <v>4.1263002616621192E-2</v>
      </c>
      <c r="DM71" s="931">
        <f t="shared" si="254"/>
        <v>-0.11378992973713165</v>
      </c>
      <c r="DN71" s="931">
        <f t="shared" si="254"/>
        <v>-0.11780424838081427</v>
      </c>
      <c r="DO71" s="931">
        <f t="shared" si="254"/>
        <v>-0.13233275578857373</v>
      </c>
      <c r="DP71" s="931">
        <f t="shared" si="254"/>
        <v>-0.12560915634640335</v>
      </c>
      <c r="DQ71" s="933">
        <f t="shared" si="254"/>
        <v>-0.12239149988756459</v>
      </c>
      <c r="DR71" s="931">
        <f t="shared" si="254"/>
        <v>-3.1891179897664657E-2</v>
      </c>
      <c r="DS71" s="931">
        <f t="shared" si="254"/>
        <v>-2.1537118800698418E-2</v>
      </c>
      <c r="DT71" s="931">
        <f t="shared" si="254"/>
        <v>-1.7116182572614047E-2</v>
      </c>
      <c r="DU71" s="931">
        <f t="shared" si="254"/>
        <v>-8.3880864118624388E-2</v>
      </c>
      <c r="DV71" s="933">
        <f t="shared" si="254"/>
        <v>-3.8684508900832193E-2</v>
      </c>
      <c r="DW71" s="931">
        <f>DW70/DR70-1</f>
        <v>-0.14032287605641158</v>
      </c>
      <c r="DX71" s="931">
        <f t="shared" si="254"/>
        <v>1.7708633942860263E-2</v>
      </c>
      <c r="DY71" s="931">
        <f t="shared" si="254"/>
        <v>-3.0844327176781094E-2</v>
      </c>
      <c r="DZ71" s="931">
        <f t="shared" ref="DZ71:EI71" si="255">DZ70/DU70-1</f>
        <v>-6.6473181894290523E-2</v>
      </c>
      <c r="EA71" s="933">
        <f t="shared" si="255"/>
        <v>-5.4901046178450041E-2</v>
      </c>
      <c r="EB71" s="931">
        <f t="shared" si="255"/>
        <v>-7.0093742391039715E-2</v>
      </c>
      <c r="EC71" s="931">
        <f t="shared" si="255"/>
        <v>-0.21360074242111782</v>
      </c>
      <c r="ED71" s="931">
        <f t="shared" si="255"/>
        <v>-0.1512346519288883</v>
      </c>
      <c r="EE71" s="931">
        <f t="shared" si="255"/>
        <v>-0.17057276097094343</v>
      </c>
      <c r="EF71" s="933">
        <f t="shared" si="255"/>
        <v>-0.15405658847501602</v>
      </c>
      <c r="EG71" s="1636">
        <f t="shared" si="255"/>
        <v>-0.2230877491572022</v>
      </c>
      <c r="EH71" s="931">
        <f t="shared" si="255"/>
        <v>-0.24211630498918257</v>
      </c>
      <c r="EI71" s="931">
        <f t="shared" si="255"/>
        <v>-0.15547215807031056</v>
      </c>
      <c r="EJ71" s="931">
        <f t="shared" ref="EJ71:EN71" si="256">EJ70/EE70-1</f>
        <v>-4.5231745116413147E-2</v>
      </c>
      <c r="EK71" s="933">
        <f t="shared" si="256"/>
        <v>-0.1692267942424216</v>
      </c>
      <c r="EL71" s="1636">
        <f t="shared" si="256"/>
        <v>0.21257951720941981</v>
      </c>
      <c r="EM71" s="931">
        <f t="shared" si="256"/>
        <v>0.27448096885813156</v>
      </c>
      <c r="EN71" s="931">
        <f t="shared" si="256"/>
        <v>0.11834858900831802</v>
      </c>
      <c r="EO71" s="931">
        <f t="shared" ref="EO71" si="257">EO70/EJ70-1</f>
        <v>5.2621645087010727E-2</v>
      </c>
      <c r="EP71" s="933">
        <f t="shared" ref="EP71:EQ71" si="258">EP70/EK70-1</f>
        <v>0.1595352990158212</v>
      </c>
      <c r="EQ71" s="1636">
        <f t="shared" si="258"/>
        <v>-4.4227495396588212E-2</v>
      </c>
      <c r="ER71" s="1636">
        <f t="shared" ref="ER71" si="259">ER70/EM70-1</f>
        <v>-5.2532856830711405E-2</v>
      </c>
      <c r="ES71" s="1636">
        <f t="shared" ref="ES71:EU71" si="260">ES70/EN70-1</f>
        <v>-8.0073188593557165E-2</v>
      </c>
      <c r="ET71" s="1636">
        <f t="shared" si="260"/>
        <v>-5.5516152932698737E-2</v>
      </c>
      <c r="EU71" s="1949">
        <f t="shared" si="260"/>
        <v>-5.820050460757864E-2</v>
      </c>
      <c r="EV71" s="1767"/>
      <c r="EW71" s="1767"/>
      <c r="EX71" s="1767"/>
      <c r="EY71" s="1767"/>
      <c r="EZ71" s="1768">
        <f>EZ70/EU70-1</f>
        <v>-5.5000000000000271E-2</v>
      </c>
      <c r="FA71" s="1767"/>
      <c r="FB71" s="1767"/>
      <c r="FC71" s="1767"/>
      <c r="FD71" s="1767"/>
      <c r="FE71" s="1768">
        <f>FE70/EZ70-1</f>
        <v>-4.9999999999999933E-2</v>
      </c>
      <c r="FF71" s="1131"/>
      <c r="FG71" s="1128"/>
      <c r="FH71" s="1061"/>
      <c r="FI71" s="1061"/>
      <c r="FJ71" s="1061"/>
      <c r="FK71" s="1061"/>
      <c r="FL71" s="1811"/>
      <c r="FM71" s="931">
        <f t="shared" si="239"/>
        <v>-4.4227495396588212E-2</v>
      </c>
      <c r="FN71" s="931">
        <f t="shared" si="240"/>
        <v>0.21257951720941981</v>
      </c>
      <c r="FO71" s="1636">
        <v>-5.3278622959773481E-2</v>
      </c>
      <c r="FP71" s="1893">
        <f>IFERROR(($FM71-FN71)*10000,"")</f>
        <v>-2568.0701260600804</v>
      </c>
      <c r="FQ71" s="1893">
        <f>IFERROR(($FM71-FO71)*10000,"")</f>
        <v>90.511275631852683</v>
      </c>
      <c r="FR71" s="1921"/>
      <c r="FS71" s="566"/>
      <c r="FT71" s="566"/>
      <c r="FU71" s="566"/>
      <c r="FV71" s="566"/>
      <c r="FW71" s="566"/>
      <c r="FX71" s="566"/>
      <c r="FY71" s="566"/>
      <c r="FZ71" s="566"/>
      <c r="GA71" s="1128"/>
      <c r="GB71"/>
      <c r="GC71"/>
      <c r="GD71"/>
      <c r="GE71"/>
      <c r="GF71"/>
      <c r="GG71"/>
      <c r="GH71" s="1132"/>
      <c r="GI71" s="1132"/>
      <c r="GJ71" s="1132"/>
      <c r="GK71" s="1132"/>
      <c r="GL71" s="1132"/>
      <c r="GM71" s="1132"/>
      <c r="GN71" s="1132"/>
      <c r="GO71" s="1132"/>
      <c r="GP71" s="1132"/>
      <c r="GQ71" s="1132"/>
      <c r="GR71" s="1132"/>
      <c r="GS71" s="1132"/>
      <c r="GT71" s="1132"/>
      <c r="GU71" s="1132"/>
      <c r="GV71" s="1132"/>
      <c r="GW71" s="1132"/>
      <c r="GX71" s="1132"/>
      <c r="GY71" s="1132"/>
      <c r="GZ71" s="1132"/>
      <c r="HA71" s="1132"/>
      <c r="HB71" s="1132"/>
      <c r="HC71" s="1132"/>
      <c r="HD71" s="1132"/>
      <c r="HE71" s="1132"/>
      <c r="HF71" s="1132"/>
      <c r="HG71" s="1132"/>
      <c r="HH71" s="1132"/>
      <c r="HI71" s="1132"/>
      <c r="HJ71" s="1132"/>
      <c r="HK71" s="1132"/>
      <c r="HL71" s="1132"/>
      <c r="HM71" s="1132"/>
      <c r="HN71" s="1132"/>
      <c r="HO71" s="1132"/>
      <c r="HP71" s="1132"/>
      <c r="HQ71" s="1132"/>
      <c r="HR71" s="1132"/>
      <c r="HS71" s="1132"/>
      <c r="HT71" s="1132"/>
      <c r="HU71" s="1132"/>
      <c r="HV71" s="1132"/>
      <c r="HW71" s="1132"/>
      <c r="HX71" s="1132"/>
      <c r="HY71" s="1132"/>
      <c r="HZ71" s="1132"/>
      <c r="IA71" s="1132"/>
      <c r="IB71" s="1132"/>
      <c r="IC71" s="1132"/>
      <c r="ID71" s="1132"/>
      <c r="IE71" s="1132"/>
      <c r="IF71" s="1132"/>
      <c r="IG71" s="1132"/>
      <c r="IH71" s="1132"/>
      <c r="II71" s="1132"/>
      <c r="IJ71" s="1132"/>
      <c r="IK71" s="1132"/>
      <c r="IL71" s="1132"/>
      <c r="IM71" s="1132"/>
      <c r="IN71" s="1132"/>
      <c r="IO71" s="1132"/>
      <c r="IP71" s="1132"/>
      <c r="IQ71" s="1132"/>
      <c r="IR71" s="1132"/>
      <c r="IS71" s="1132"/>
      <c r="IT71" s="1132"/>
      <c r="IU71" s="1132"/>
      <c r="IV71" s="1132"/>
    </row>
    <row r="72" spans="1:256" s="408" customFormat="1" ht="12.75" x14ac:dyDescent="0.2">
      <c r="A72" s="1411" t="s">
        <v>292</v>
      </c>
      <c r="B72" s="1412"/>
      <c r="C72" s="1412"/>
      <c r="D72" s="1412"/>
      <c r="E72" s="1412"/>
      <c r="F72" s="1413"/>
      <c r="G72" s="1412"/>
      <c r="H72" s="1412"/>
      <c r="I72" s="1412"/>
      <c r="J72" s="1412"/>
      <c r="K72" s="1413"/>
      <c r="L72" s="1412"/>
      <c r="M72" s="1412"/>
      <c r="N72" s="1412"/>
      <c r="O72" s="1412"/>
      <c r="P72" s="1413"/>
      <c r="Q72" s="1412"/>
      <c r="R72" s="1412"/>
      <c r="S72" s="1412"/>
      <c r="T72" s="1412"/>
      <c r="U72" s="1413"/>
      <c r="V72" s="1412"/>
      <c r="W72" s="1412"/>
      <c r="X72" s="1412"/>
      <c r="Y72" s="1412"/>
      <c r="Z72" s="1413"/>
      <c r="AA72" s="1412"/>
      <c r="AB72" s="1412"/>
      <c r="AC72" s="1412"/>
      <c r="AD72" s="1412"/>
      <c r="AE72" s="1413"/>
      <c r="AF72" s="1412">
        <v>17.478000000000002</v>
      </c>
      <c r="AG72" s="1412">
        <v>17.25</v>
      </c>
      <c r="AH72" s="1412">
        <v>17.382999999999999</v>
      </c>
      <c r="AI72" s="1412">
        <v>16.946999999999999</v>
      </c>
      <c r="AJ72" s="1413">
        <f>SUM(AF72:AI72)</f>
        <v>69.058000000000007</v>
      </c>
      <c r="AK72" s="1412">
        <v>17.475999999999999</v>
      </c>
      <c r="AL72" s="1412">
        <v>19.260999999999999</v>
      </c>
      <c r="AM72" s="1412">
        <v>19.795000000000002</v>
      </c>
      <c r="AN72" s="1412">
        <v>17.885000000000002</v>
      </c>
      <c r="AO72" s="1413">
        <f>SUM(AK72:AN72)</f>
        <v>74.417000000000002</v>
      </c>
      <c r="AP72" s="1412">
        <v>18.128</v>
      </c>
      <c r="AQ72" s="1412">
        <v>18.387</v>
      </c>
      <c r="AR72" s="1412">
        <v>19.285</v>
      </c>
      <c r="AS72" s="1412">
        <v>20.141999999999999</v>
      </c>
      <c r="AT72" s="1413">
        <f>SUM(AP72:AS72)</f>
        <v>75.941999999999993</v>
      </c>
      <c r="AU72" s="1412">
        <v>19.925999999999998</v>
      </c>
      <c r="AV72" s="1412">
        <v>19.260999999999999</v>
      </c>
      <c r="AW72" s="1412">
        <v>21.890999999999998</v>
      </c>
      <c r="AX72" s="1412">
        <v>20.701000000000001</v>
      </c>
      <c r="AY72" s="1413">
        <f>SUM(AU72:AX72)</f>
        <v>81.778999999999996</v>
      </c>
      <c r="AZ72" s="1412">
        <v>20.513000000000002</v>
      </c>
      <c r="BA72" s="1412">
        <v>24.225000000000001</v>
      </c>
      <c r="BB72" s="1412">
        <v>31.908000000000001</v>
      </c>
      <c r="BC72" s="1412">
        <v>30.734999999999999</v>
      </c>
      <c r="BD72" s="1413">
        <f>SUM(AZ72:BC72)</f>
        <v>107.381</v>
      </c>
      <c r="BE72" s="1412">
        <v>29.111000000000001</v>
      </c>
      <c r="BF72" s="1412">
        <v>30.971</v>
      </c>
      <c r="BG72" s="1412">
        <v>29.777999999999999</v>
      </c>
      <c r="BH72" s="1412">
        <v>29.423999999999999</v>
      </c>
      <c r="BI72" s="1413">
        <f>SUM(BE72:BH72)</f>
        <v>119.28399999999999</v>
      </c>
      <c r="BJ72" s="1412">
        <v>34.356999999999999</v>
      </c>
      <c r="BK72" s="1412">
        <v>33.642000000000003</v>
      </c>
      <c r="BL72" s="1412">
        <v>31.387</v>
      </c>
      <c r="BM72" s="1412">
        <v>32.939</v>
      </c>
      <c r="BN72" s="1413">
        <f>SUM(BJ72:BM72)</f>
        <v>132.32499999999999</v>
      </c>
      <c r="BO72" s="1412">
        <v>31.388000000000002</v>
      </c>
      <c r="BP72" s="1412">
        <v>31.161999999999999</v>
      </c>
      <c r="BQ72" s="1412">
        <v>33.44</v>
      </c>
      <c r="BR72" s="1412">
        <v>31.757000000000001</v>
      </c>
      <c r="BS72" s="1413">
        <f>SUM(BO72:BR72)</f>
        <v>127.747</v>
      </c>
      <c r="BT72" s="1412">
        <v>31.388000000000002</v>
      </c>
      <c r="BU72" s="1412">
        <v>34.061</v>
      </c>
      <c r="BV72" s="1412">
        <v>32.447000000000003</v>
      </c>
      <c r="BW72" s="1412">
        <v>31.626000000000001</v>
      </c>
      <c r="BX72" s="1413">
        <f>SUM(BT72:BW72)</f>
        <v>129.52199999999999</v>
      </c>
      <c r="BY72" s="1412">
        <v>32.894624</v>
      </c>
      <c r="BZ72" s="1412">
        <v>34.214274499999995</v>
      </c>
      <c r="CA72" s="1412">
        <v>33.521000000000001</v>
      </c>
      <c r="CB72" s="1412">
        <v>33.805</v>
      </c>
      <c r="CC72" s="1413">
        <f>SUM(BY72:CB72)</f>
        <v>134.4348985</v>
      </c>
      <c r="CD72" s="1412">
        <v>34.258000000000003</v>
      </c>
      <c r="CE72" s="1412">
        <v>35.405999999999999</v>
      </c>
      <c r="CF72" s="1412">
        <v>37.753</v>
      </c>
      <c r="CG72" s="1412">
        <v>35.104999999999997</v>
      </c>
      <c r="CH72" s="1413">
        <f>SUM(CD72:CG72)</f>
        <v>142.52199999999999</v>
      </c>
      <c r="CI72" s="1412">
        <v>36.808999999999997</v>
      </c>
      <c r="CJ72" s="1412">
        <v>37.618000000000002</v>
      </c>
      <c r="CK72" s="1412">
        <v>36.576000000000001</v>
      </c>
      <c r="CL72" s="1412">
        <v>37.075000000000003</v>
      </c>
      <c r="CM72" s="1413">
        <f>SUM(CI72:CL72)</f>
        <v>148.07799999999997</v>
      </c>
      <c r="CN72" s="1412">
        <v>36.216000000000001</v>
      </c>
      <c r="CO72" s="1412">
        <v>35.965000000000003</v>
      </c>
      <c r="CP72" s="1412">
        <v>35.576999999999998</v>
      </c>
      <c r="CQ72" s="1412">
        <v>34.975999999999999</v>
      </c>
      <c r="CR72" s="1413">
        <f>SUM(CN72:CQ72)</f>
        <v>142.73400000000001</v>
      </c>
      <c r="CS72" s="1412">
        <v>35.603999999999999</v>
      </c>
      <c r="CT72" s="1412">
        <v>36.072000000000003</v>
      </c>
      <c r="CU72" s="1412">
        <v>35.902000000000001</v>
      </c>
      <c r="CV72" s="1412">
        <v>36.862000000000002</v>
      </c>
      <c r="CW72" s="1413">
        <f>SUM(CS72:CV72)</f>
        <v>144.44</v>
      </c>
      <c r="CX72" s="1412">
        <v>33.371000000000002</v>
      </c>
      <c r="CY72" s="1412">
        <v>30.594999999999999</v>
      </c>
      <c r="CZ72" s="1412">
        <v>29.146000000000001</v>
      </c>
      <c r="DA72" s="1412">
        <v>27.166</v>
      </c>
      <c r="DB72" s="1413">
        <f>SUM(CX72:DA72)</f>
        <v>120.27799999999999</v>
      </c>
      <c r="DC72" s="1412">
        <v>27.963000000000001</v>
      </c>
      <c r="DD72" s="1412">
        <v>29.581</v>
      </c>
      <c r="DE72" s="1412">
        <v>31.606999999999999</v>
      </c>
      <c r="DF72" s="1412">
        <v>31.585999999999999</v>
      </c>
      <c r="DG72" s="1414">
        <f>SUM(DC72:DF72)</f>
        <v>120.73699999999999</v>
      </c>
      <c r="DH72" s="1412">
        <v>31.51</v>
      </c>
      <c r="DI72" s="1412">
        <v>29.454999999999998</v>
      </c>
      <c r="DJ72" s="1412">
        <v>30.37</v>
      </c>
      <c r="DK72" s="1412">
        <v>30.669</v>
      </c>
      <c r="DL72" s="1414">
        <f>SUM(DH72:DK72)</f>
        <v>122.004</v>
      </c>
      <c r="DM72" s="1412">
        <v>26.260999999999999</v>
      </c>
      <c r="DN72" s="1412">
        <v>23.527000000000001</v>
      </c>
      <c r="DO72" s="1412">
        <v>25.995999999999999</v>
      </c>
      <c r="DP72" s="1412">
        <v>25.852</v>
      </c>
      <c r="DQ72" s="1414">
        <f>SUM(DM72:DP72)</f>
        <v>101.636</v>
      </c>
      <c r="DR72" s="1412">
        <v>23.957999999999998</v>
      </c>
      <c r="DS72" s="1412">
        <v>24.318999999999999</v>
      </c>
      <c r="DT72" s="1415">
        <v>25.372</v>
      </c>
      <c r="DU72" s="1412">
        <v>23.497</v>
      </c>
      <c r="DV72" s="1414">
        <f>SUM(DR72:DU72)</f>
        <v>97.146000000000001</v>
      </c>
      <c r="DW72" s="1412">
        <v>21.196000000000002</v>
      </c>
      <c r="DX72" s="1412">
        <v>25.968</v>
      </c>
      <c r="DY72" s="1415">
        <v>24.465</v>
      </c>
      <c r="DZ72" s="1412">
        <v>22.254999999999999</v>
      </c>
      <c r="EA72" s="1414">
        <f>SUM(DW72:DZ72)</f>
        <v>93.884</v>
      </c>
      <c r="EB72" s="1412">
        <v>20.114000000000001</v>
      </c>
      <c r="EC72" s="1412">
        <v>20.189</v>
      </c>
      <c r="ED72" s="1415">
        <v>21.93</v>
      </c>
      <c r="EE72" s="1412">
        <v>18.904</v>
      </c>
      <c r="EF72" s="1414">
        <f>SUM(EB72:EE72)</f>
        <v>81.137</v>
      </c>
      <c r="EG72" s="1412">
        <v>15.404</v>
      </c>
      <c r="EH72" s="1412">
        <v>14.336</v>
      </c>
      <c r="EI72" s="1415">
        <v>18.356999999999999</v>
      </c>
      <c r="EJ72" s="1412">
        <v>16.936</v>
      </c>
      <c r="EK72" s="1414">
        <f>SUM(EG72:EJ72)</f>
        <v>65.033000000000001</v>
      </c>
      <c r="EL72" s="1412">
        <v>17.602</v>
      </c>
      <c r="EM72" s="1412">
        <v>17.587</v>
      </c>
      <c r="EN72" s="1415">
        <v>17.41</v>
      </c>
      <c r="EO72" s="1412">
        <v>15.3</v>
      </c>
      <c r="EP72" s="1414">
        <f>SUM(EL72:EO72)</f>
        <v>67.899000000000001</v>
      </c>
      <c r="EQ72" s="1412">
        <v>15.865</v>
      </c>
      <c r="ER72" s="1412">
        <f>ER70-ER74-ER76-ER78</f>
        <v>16.058066840626253</v>
      </c>
      <c r="ES72" s="1412">
        <f>ES70-ES74-ES76-ES78</f>
        <v>15.92724496186271</v>
      </c>
      <c r="ET72" s="1412">
        <f>ET70-ET74-ET76-ET78</f>
        <v>15.876932075471698</v>
      </c>
      <c r="EU72" s="1950">
        <f>SUM(EQ72:ET72)</f>
        <v>63.727243877960667</v>
      </c>
      <c r="EV72" s="2083"/>
      <c r="EW72" s="2083"/>
      <c r="EX72" s="2083"/>
      <c r="EY72" s="2083"/>
      <c r="EZ72" s="2084">
        <f>EZ70-EZ74-EZ76-EZ78</f>
        <v>63.06537046467281</v>
      </c>
      <c r="FA72" s="2083"/>
      <c r="FB72" s="2083"/>
      <c r="FC72" s="2083"/>
      <c r="FD72" s="2083"/>
      <c r="FE72" s="2084">
        <f>FE70-FE74-FE76-FE78</f>
        <v>62.522101941439182</v>
      </c>
      <c r="FF72" s="762"/>
      <c r="FG72" s="1105"/>
      <c r="FH72" s="2074"/>
      <c r="FI72" s="2074"/>
      <c r="FJ72" s="2074"/>
      <c r="FK72" s="1060"/>
      <c r="FL72" s="1810"/>
      <c r="FM72" s="1412">
        <f t="shared" si="239"/>
        <v>15.865</v>
      </c>
      <c r="FN72" s="1412">
        <f t="shared" si="240"/>
        <v>17.602</v>
      </c>
      <c r="FO72" s="2045">
        <v>16.049481395348842</v>
      </c>
      <c r="FP72" s="1629">
        <f>IFERROR(($FM72/FN72)-1,"")</f>
        <v>-9.8681967958186623E-2</v>
      </c>
      <c r="FQ72" s="1629">
        <f>IFERROR(($FM72/FO72)-1,"")</f>
        <v>-1.1494539343950616E-2</v>
      </c>
      <c r="FR72" s="1921" t="s">
        <v>867</v>
      </c>
      <c r="FS72" s="1429"/>
      <c r="FT72" s="573"/>
      <c r="FU72" s="573"/>
      <c r="FV72" s="573"/>
      <c r="FW72" s="573"/>
      <c r="FX72" s="573"/>
      <c r="FY72" s="573"/>
      <c r="FZ72" s="573"/>
      <c r="GA72" s="1105"/>
      <c r="GB72"/>
      <c r="GC72"/>
      <c r="GD72"/>
      <c r="GE72"/>
      <c r="GF72"/>
      <c r="GG72"/>
      <c r="GH72" s="960"/>
      <c r="GI72" s="960"/>
      <c r="GJ72" s="960"/>
      <c r="GK72" s="960"/>
      <c r="GL72" s="960"/>
      <c r="GM72" s="960"/>
      <c r="GN72" s="960"/>
      <c r="GO72" s="960"/>
      <c r="GP72" s="960"/>
      <c r="GQ72" s="960"/>
      <c r="GR72" s="960"/>
      <c r="GS72" s="960"/>
      <c r="GT72" s="960"/>
      <c r="GU72" s="960"/>
      <c r="GV72" s="960"/>
      <c r="GW72" s="960"/>
      <c r="GX72" s="960"/>
      <c r="GY72" s="960"/>
      <c r="GZ72" s="960"/>
      <c r="HA72" s="960"/>
      <c r="HB72" s="960"/>
      <c r="HC72" s="960"/>
      <c r="HD72" s="960"/>
      <c r="HE72" s="960"/>
      <c r="HF72" s="960"/>
      <c r="HG72" s="960"/>
      <c r="HH72" s="960"/>
      <c r="HI72" s="960"/>
      <c r="HJ72" s="960"/>
      <c r="HK72" s="960"/>
      <c r="HL72" s="960"/>
      <c r="HM72" s="960"/>
      <c r="HN72" s="960"/>
      <c r="HO72" s="960"/>
      <c r="HP72" s="960"/>
      <c r="HQ72" s="960"/>
      <c r="HR72" s="960"/>
      <c r="HS72" s="960"/>
      <c r="HT72" s="960"/>
      <c r="HU72" s="960"/>
      <c r="HV72" s="960"/>
      <c r="HW72" s="960"/>
      <c r="HX72" s="960"/>
      <c r="HY72" s="960"/>
      <c r="HZ72" s="960"/>
      <c r="IA72" s="960"/>
      <c r="IB72" s="960"/>
      <c r="IC72" s="960"/>
      <c r="ID72" s="960"/>
      <c r="IE72" s="960"/>
      <c r="IF72" s="960"/>
      <c r="IG72" s="960"/>
      <c r="IH72" s="960"/>
      <c r="II72" s="960"/>
      <c r="IJ72" s="960"/>
      <c r="IK72" s="960"/>
      <c r="IL72" s="960"/>
      <c r="IM72" s="960"/>
      <c r="IN72" s="960"/>
      <c r="IO72" s="960"/>
      <c r="IP72" s="960"/>
      <c r="IQ72" s="960"/>
      <c r="IR72" s="960"/>
      <c r="IS72" s="960"/>
      <c r="IT72" s="960"/>
      <c r="IU72" s="960"/>
      <c r="IV72" s="960"/>
    </row>
    <row r="73" spans="1:256" s="1133" customFormat="1" ht="12.75" x14ac:dyDescent="0.2">
      <c r="A73" s="1422" t="s">
        <v>74</v>
      </c>
      <c r="B73" s="931"/>
      <c r="C73" s="931"/>
      <c r="D73" s="931"/>
      <c r="E73" s="931"/>
      <c r="F73" s="933"/>
      <c r="G73" s="931"/>
      <c r="H73" s="931"/>
      <c r="I73" s="931"/>
      <c r="J73" s="931"/>
      <c r="K73" s="933"/>
      <c r="L73" s="931"/>
      <c r="M73" s="931"/>
      <c r="N73" s="931"/>
      <c r="O73" s="931"/>
      <c r="P73" s="933"/>
      <c r="Q73" s="931"/>
      <c r="R73" s="931"/>
      <c r="S73" s="931"/>
      <c r="T73" s="931"/>
      <c r="U73" s="933"/>
      <c r="V73" s="931"/>
      <c r="W73" s="931"/>
      <c r="X73" s="931"/>
      <c r="Y73" s="931"/>
      <c r="Z73" s="933"/>
      <c r="AA73" s="931"/>
      <c r="AB73" s="931"/>
      <c r="AC73" s="931"/>
      <c r="AD73" s="931"/>
      <c r="AE73" s="933"/>
      <c r="AF73" s="931"/>
      <c r="AG73" s="931"/>
      <c r="AH73" s="931"/>
      <c r="AI73" s="931"/>
      <c r="AJ73" s="933"/>
      <c r="AK73" s="931">
        <f t="shared" ref="AK73:CV73" si="261">AK72/AF72-1</f>
        <v>-1.1442956860063802E-4</v>
      </c>
      <c r="AL73" s="931">
        <f t="shared" si="261"/>
        <v>0.11657971014492752</v>
      </c>
      <c r="AM73" s="931">
        <f t="shared" si="261"/>
        <v>0.1387562561122937</v>
      </c>
      <c r="AN73" s="931">
        <f t="shared" si="261"/>
        <v>5.5349029326724697E-2</v>
      </c>
      <c r="AO73" s="933">
        <f t="shared" si="261"/>
        <v>7.7601436473688779E-2</v>
      </c>
      <c r="AP73" s="931">
        <f t="shared" si="261"/>
        <v>3.7308308537422841E-2</v>
      </c>
      <c r="AQ73" s="931">
        <f t="shared" si="261"/>
        <v>-4.5376667878095578E-2</v>
      </c>
      <c r="AR73" s="931">
        <f t="shared" si="261"/>
        <v>-2.5764081838848263E-2</v>
      </c>
      <c r="AS73" s="931">
        <f t="shared" si="261"/>
        <v>0.12619513558848183</v>
      </c>
      <c r="AT73" s="933">
        <f t="shared" si="261"/>
        <v>2.0492629372320659E-2</v>
      </c>
      <c r="AU73" s="931">
        <f t="shared" si="261"/>
        <v>9.9183583406884379E-2</v>
      </c>
      <c r="AV73" s="931">
        <f t="shared" si="261"/>
        <v>4.7533583510088517E-2</v>
      </c>
      <c r="AW73" s="931">
        <f t="shared" si="261"/>
        <v>0.13513093077521376</v>
      </c>
      <c r="AX73" s="931">
        <f t="shared" si="261"/>
        <v>2.7752954026412535E-2</v>
      </c>
      <c r="AY73" s="933">
        <f t="shared" si="261"/>
        <v>7.6861288878354639E-2</v>
      </c>
      <c r="AZ73" s="931">
        <f t="shared" si="261"/>
        <v>2.9458998293686811E-2</v>
      </c>
      <c r="BA73" s="931">
        <f t="shared" si="261"/>
        <v>0.25772285966460728</v>
      </c>
      <c r="BB73" s="931">
        <f t="shared" si="261"/>
        <v>0.45758530903110883</v>
      </c>
      <c r="BC73" s="931">
        <f t="shared" si="261"/>
        <v>0.48471088353219649</v>
      </c>
      <c r="BD73" s="933">
        <f t="shared" si="261"/>
        <v>0.31306325584807837</v>
      </c>
      <c r="BE73" s="931">
        <f t="shared" si="261"/>
        <v>0.41914883244771595</v>
      </c>
      <c r="BF73" s="931">
        <f t="shared" si="261"/>
        <v>0.27847265221878215</v>
      </c>
      <c r="BG73" s="931">
        <f t="shared" si="261"/>
        <v>-6.6754418954494299E-2</v>
      </c>
      <c r="BH73" s="931">
        <f t="shared" si="261"/>
        <v>-4.2654953635919979E-2</v>
      </c>
      <c r="BI73" s="933">
        <f t="shared" si="261"/>
        <v>0.11084828787215617</v>
      </c>
      <c r="BJ73" s="931">
        <f t="shared" si="261"/>
        <v>0.1802067946824224</v>
      </c>
      <c r="BK73" s="931">
        <f t="shared" si="261"/>
        <v>8.6241968292919191E-2</v>
      </c>
      <c r="BL73" s="931">
        <f t="shared" si="261"/>
        <v>5.4033178856874198E-2</v>
      </c>
      <c r="BM73" s="931">
        <f t="shared" si="261"/>
        <v>0.11946030451332246</v>
      </c>
      <c r="BN73" s="933">
        <f t="shared" si="261"/>
        <v>0.10932731967405518</v>
      </c>
      <c r="BO73" s="931">
        <f t="shared" si="261"/>
        <v>-8.6416159734551856E-2</v>
      </c>
      <c r="BP73" s="931">
        <f t="shared" si="261"/>
        <v>-7.3717377088163727E-2</v>
      </c>
      <c r="BQ73" s="931">
        <f t="shared" si="261"/>
        <v>6.5409245866122845E-2</v>
      </c>
      <c r="BR73" s="931">
        <f t="shared" si="261"/>
        <v>-3.5884513798233098E-2</v>
      </c>
      <c r="BS73" s="933">
        <f t="shared" si="261"/>
        <v>-3.4596637067825342E-2</v>
      </c>
      <c r="BT73" s="931">
        <f t="shared" si="261"/>
        <v>0</v>
      </c>
      <c r="BU73" s="931">
        <f t="shared" si="261"/>
        <v>9.3029972402284944E-2</v>
      </c>
      <c r="BV73" s="931">
        <f t="shared" si="261"/>
        <v>-2.9694976076554913E-2</v>
      </c>
      <c r="BW73" s="931">
        <f t="shared" si="261"/>
        <v>-4.1250747866612425E-3</v>
      </c>
      <c r="BX73" s="933">
        <f t="shared" si="261"/>
        <v>1.3894651146406423E-2</v>
      </c>
      <c r="BY73" s="931">
        <f t="shared" si="261"/>
        <v>4.8000000000000043E-2</v>
      </c>
      <c r="BZ73" s="931">
        <f t="shared" si="261"/>
        <v>4.4999999999999485E-3</v>
      </c>
      <c r="CA73" s="931">
        <f t="shared" si="261"/>
        <v>3.3100132523808057E-2</v>
      </c>
      <c r="CB73" s="931">
        <f t="shared" si="261"/>
        <v>6.8899007146019153E-2</v>
      </c>
      <c r="CC73" s="933">
        <f t="shared" si="261"/>
        <v>3.7930996278624507E-2</v>
      </c>
      <c r="CD73" s="931">
        <f t="shared" si="261"/>
        <v>4.1446772579008639E-2</v>
      </c>
      <c r="CE73" s="931">
        <f t="shared" si="261"/>
        <v>3.4831236886230243E-2</v>
      </c>
      <c r="CF73" s="931">
        <f t="shared" si="261"/>
        <v>0.12624921690880342</v>
      </c>
      <c r="CG73" s="931">
        <f t="shared" si="261"/>
        <v>3.8455849726371838E-2</v>
      </c>
      <c r="CH73" s="933">
        <f t="shared" si="261"/>
        <v>6.0156265896983419E-2</v>
      </c>
      <c r="CI73" s="931">
        <f t="shared" si="261"/>
        <v>7.4464358689940946E-2</v>
      </c>
      <c r="CJ73" s="931">
        <f t="shared" si="261"/>
        <v>6.2475286674575026E-2</v>
      </c>
      <c r="CK73" s="931">
        <f t="shared" si="261"/>
        <v>-3.1176330357852389E-2</v>
      </c>
      <c r="CL73" s="931">
        <f t="shared" si="261"/>
        <v>5.6117362199117116E-2</v>
      </c>
      <c r="CM73" s="933">
        <f t="shared" si="261"/>
        <v>3.8983455185865878E-2</v>
      </c>
      <c r="CN73" s="931">
        <f t="shared" si="261"/>
        <v>-1.6110190442554684E-2</v>
      </c>
      <c r="CO73" s="931">
        <f t="shared" si="261"/>
        <v>-4.3941730022861392E-2</v>
      </c>
      <c r="CP73" s="931">
        <f t="shared" si="261"/>
        <v>-2.731299212598437E-2</v>
      </c>
      <c r="CQ73" s="931">
        <f t="shared" si="261"/>
        <v>-5.6614969656102576E-2</v>
      </c>
      <c r="CR73" s="933">
        <f t="shared" si="261"/>
        <v>-3.6089088183254514E-2</v>
      </c>
      <c r="CS73" s="931">
        <f t="shared" si="261"/>
        <v>-1.6898608349900646E-2</v>
      </c>
      <c r="CT73" s="931">
        <f t="shared" si="261"/>
        <v>2.9751146948422402E-3</v>
      </c>
      <c r="CU73" s="931">
        <f t="shared" si="261"/>
        <v>9.1351153835343979E-3</v>
      </c>
      <c r="CV73" s="931">
        <f t="shared" si="261"/>
        <v>5.3922689844464911E-2</v>
      </c>
      <c r="CW73" s="933">
        <f t="shared" ref="CW73:DY73" si="262">CW72/CR72-1</f>
        <v>1.1952302885086974E-2</v>
      </c>
      <c r="CX73" s="931">
        <f t="shared" si="262"/>
        <v>-6.2717672171666017E-2</v>
      </c>
      <c r="CY73" s="931">
        <f t="shared" si="262"/>
        <v>-0.151835218451985</v>
      </c>
      <c r="CZ73" s="931">
        <f t="shared" si="262"/>
        <v>-0.18817893153584764</v>
      </c>
      <c r="DA73" s="931">
        <f t="shared" si="262"/>
        <v>-0.26303510390103635</v>
      </c>
      <c r="DB73" s="933">
        <f t="shared" si="262"/>
        <v>-0.16728053170866797</v>
      </c>
      <c r="DC73" s="931">
        <f t="shared" si="262"/>
        <v>-0.1620568757304246</v>
      </c>
      <c r="DD73" s="931">
        <f t="shared" si="262"/>
        <v>-3.3142670370975624E-2</v>
      </c>
      <c r="DE73" s="931">
        <f t="shared" si="262"/>
        <v>8.4436972483359574E-2</v>
      </c>
      <c r="DF73" s="931">
        <f t="shared" si="262"/>
        <v>0.16270337922403</v>
      </c>
      <c r="DG73" s="933">
        <f t="shared" si="262"/>
        <v>3.8161592311145576E-3</v>
      </c>
      <c r="DH73" s="931">
        <f t="shared" si="262"/>
        <v>0.126846189607696</v>
      </c>
      <c r="DI73" s="931">
        <f t="shared" si="262"/>
        <v>-4.259490889422346E-3</v>
      </c>
      <c r="DJ73" s="931">
        <f t="shared" si="262"/>
        <v>-3.9136900053785451E-2</v>
      </c>
      <c r="DK73" s="931">
        <f t="shared" si="262"/>
        <v>-2.9031849553599609E-2</v>
      </c>
      <c r="DL73" s="933">
        <f t="shared" si="262"/>
        <v>1.0493883399455006E-2</v>
      </c>
      <c r="DM73" s="931">
        <f t="shared" si="262"/>
        <v>-0.16658203744842914</v>
      </c>
      <c r="DN73" s="931">
        <f t="shared" si="262"/>
        <v>-0.20125615345442194</v>
      </c>
      <c r="DO73" s="931">
        <f t="shared" si="262"/>
        <v>-0.14402370760619043</v>
      </c>
      <c r="DP73" s="931">
        <f t="shared" si="262"/>
        <v>-0.15706413642440253</v>
      </c>
      <c r="DQ73" s="933">
        <f t="shared" si="262"/>
        <v>-0.16694534605422784</v>
      </c>
      <c r="DR73" s="931">
        <f t="shared" si="262"/>
        <v>-8.7696584288488699E-2</v>
      </c>
      <c r="DS73" s="931">
        <f t="shared" si="262"/>
        <v>3.3663450503676584E-2</v>
      </c>
      <c r="DT73" s="931">
        <f t="shared" si="262"/>
        <v>-2.4003692875827043E-2</v>
      </c>
      <c r="DU73" s="931">
        <f t="shared" si="262"/>
        <v>-9.10954665016247E-2</v>
      </c>
      <c r="DV73" s="933">
        <f t="shared" si="262"/>
        <v>-4.4177260025974996E-2</v>
      </c>
      <c r="DW73" s="931">
        <f t="shared" si="262"/>
        <v>-0.11528508222723088</v>
      </c>
      <c r="DX73" s="931">
        <f t="shared" si="262"/>
        <v>6.7807064435215336E-2</v>
      </c>
      <c r="DY73" s="931">
        <f t="shared" si="262"/>
        <v>-3.5748068737190608E-2</v>
      </c>
      <c r="DZ73" s="931">
        <f t="shared" ref="DZ73:EF73" si="263">DZ72/DU72-1</f>
        <v>-5.285781163552794E-2</v>
      </c>
      <c r="EA73" s="933">
        <f t="shared" si="263"/>
        <v>-3.3578325407119136E-2</v>
      </c>
      <c r="EB73" s="931">
        <f t="shared" si="263"/>
        <v>-5.104736742781657E-2</v>
      </c>
      <c r="EC73" s="931">
        <f t="shared" si="263"/>
        <v>-0.22254313000616144</v>
      </c>
      <c r="ED73" s="931">
        <f t="shared" si="263"/>
        <v>-0.10361741263028812</v>
      </c>
      <c r="EE73" s="931">
        <f t="shared" si="263"/>
        <v>-0.15057290496517628</v>
      </c>
      <c r="EF73" s="933">
        <f t="shared" si="263"/>
        <v>-0.13577393379063529</v>
      </c>
      <c r="EG73" s="1636">
        <f t="shared" ref="EG73:EN73" si="264">EG72/EB72-1</f>
        <v>-0.23416525802923338</v>
      </c>
      <c r="EH73" s="1636">
        <f t="shared" si="264"/>
        <v>-0.2899103472187825</v>
      </c>
      <c r="EI73" s="931">
        <f t="shared" si="264"/>
        <v>-0.16292749658002736</v>
      </c>
      <c r="EJ73" s="931">
        <f t="shared" si="264"/>
        <v>-0.1041049513330512</v>
      </c>
      <c r="EK73" s="933">
        <f t="shared" si="264"/>
        <v>-0.19847911556996189</v>
      </c>
      <c r="EL73" s="1636">
        <f t="shared" si="264"/>
        <v>0.14269021033497786</v>
      </c>
      <c r="EM73" s="1636">
        <f t="shared" si="264"/>
        <v>0.22677176339285721</v>
      </c>
      <c r="EN73" s="931">
        <f t="shared" si="264"/>
        <v>-5.158795010077899E-2</v>
      </c>
      <c r="EO73" s="931">
        <f t="shared" ref="EO73" si="265">EO72/EJ72-1</f>
        <v>-9.6598960793575772E-2</v>
      </c>
      <c r="EP73" s="933">
        <f t="shared" ref="EP73:EQ73" si="266">EP72/EK72-1</f>
        <v>4.4069933725954469E-2</v>
      </c>
      <c r="EQ73" s="1636">
        <f t="shared" si="266"/>
        <v>-9.8681967958186623E-2</v>
      </c>
      <c r="ER73" s="1636">
        <f t="shared" ref="ER73" si="267">ER72/EM72-1</f>
        <v>-8.6935415896613799E-2</v>
      </c>
      <c r="ES73" s="1636">
        <f t="shared" ref="ES73:EU73" si="268">ES72/EN72-1</f>
        <v>-8.5166860318052207E-2</v>
      </c>
      <c r="ET73" s="1636">
        <f t="shared" si="268"/>
        <v>3.7707978788999785E-2</v>
      </c>
      <c r="EU73" s="1949">
        <f t="shared" si="268"/>
        <v>-6.1440612115632565E-2</v>
      </c>
      <c r="EV73" s="1767"/>
      <c r="EW73" s="1767"/>
      <c r="EX73" s="1767"/>
      <c r="EY73" s="1767"/>
      <c r="EZ73" s="1768">
        <f>EZ72/EU72-1</f>
        <v>-1.038603543808303E-2</v>
      </c>
      <c r="FA73" s="1767"/>
      <c r="FB73" s="1767"/>
      <c r="FC73" s="1767"/>
      <c r="FD73" s="1767"/>
      <c r="FE73" s="1768">
        <f>FE72/EZ72-1</f>
        <v>-8.6143713932188559E-3</v>
      </c>
      <c r="FF73" s="1131"/>
      <c r="FG73" s="622"/>
      <c r="FH73" s="1061"/>
      <c r="FI73" s="1061"/>
      <c r="FJ73" s="1061"/>
      <c r="FK73" s="1061"/>
      <c r="FL73" s="1811"/>
      <c r="FM73" s="931">
        <f t="shared" si="239"/>
        <v>-9.8681967958186623E-2</v>
      </c>
      <c r="FN73" s="931">
        <f t="shared" si="240"/>
        <v>0.14269021033497786</v>
      </c>
      <c r="FO73" s="1636">
        <v>-8.8201261484556204E-2</v>
      </c>
      <c r="FP73" s="1893">
        <f>IFERROR(($FM73-FN73)*10000,"")</f>
        <v>-2413.7217829316451</v>
      </c>
      <c r="FQ73" s="1893">
        <f>IFERROR(($FM73-FO73)*10000,"")</f>
        <v>-104.80706473630418</v>
      </c>
      <c r="FR73" s="571"/>
      <c r="FS73" s="2108" t="s">
        <v>861</v>
      </c>
      <c r="FT73" s="1429"/>
      <c r="FU73" s="566"/>
      <c r="FV73" s="566"/>
      <c r="FW73" s="566"/>
      <c r="FX73" s="566"/>
      <c r="FY73" s="566"/>
      <c r="FZ73" s="566"/>
      <c r="GA73" s="622"/>
      <c r="GB73"/>
      <c r="GC73"/>
      <c r="GD73"/>
      <c r="GE73"/>
      <c r="GF73"/>
      <c r="GG73"/>
      <c r="GH73" s="1132"/>
      <c r="GI73" s="1132"/>
      <c r="GJ73" s="1132"/>
      <c r="GK73" s="1132"/>
      <c r="GL73" s="1132"/>
      <c r="GM73" s="1132"/>
      <c r="GN73" s="1132"/>
      <c r="GO73" s="1132"/>
      <c r="GP73" s="1132"/>
      <c r="GQ73" s="1132"/>
      <c r="GR73" s="1132"/>
      <c r="GS73" s="1132"/>
      <c r="GT73" s="1132"/>
      <c r="GU73" s="1132"/>
      <c r="GV73" s="1132"/>
      <c r="GW73" s="1132"/>
      <c r="GX73" s="1132"/>
      <c r="GY73" s="1132"/>
      <c r="GZ73" s="1132"/>
      <c r="HA73" s="1132"/>
      <c r="HB73" s="1132"/>
      <c r="HC73" s="1132"/>
      <c r="HD73" s="1132"/>
      <c r="HE73" s="1132"/>
      <c r="HF73" s="1132"/>
      <c r="HG73" s="1132"/>
      <c r="HH73" s="1132"/>
      <c r="HI73" s="1132"/>
      <c r="HJ73" s="1132"/>
      <c r="HK73" s="1132"/>
      <c r="HL73" s="1132"/>
      <c r="HM73" s="1132"/>
      <c r="HN73" s="1132"/>
      <c r="HO73" s="1132"/>
      <c r="HP73" s="1132"/>
      <c r="HQ73" s="1132"/>
      <c r="HR73" s="1132"/>
      <c r="HS73" s="1132"/>
      <c r="HT73" s="1132"/>
      <c r="HU73" s="1132"/>
      <c r="HV73" s="1132"/>
      <c r="HW73" s="1132"/>
      <c r="HX73" s="1132"/>
      <c r="HY73" s="1132"/>
      <c r="HZ73" s="1132"/>
      <c r="IA73" s="1132"/>
      <c r="IB73" s="1132"/>
      <c r="IC73" s="1132"/>
      <c r="ID73" s="1132"/>
      <c r="IE73" s="1132"/>
      <c r="IF73" s="1132"/>
      <c r="IG73" s="1132"/>
      <c r="IH73" s="1132"/>
      <c r="II73" s="1132"/>
      <c r="IJ73" s="1132"/>
      <c r="IK73" s="1132"/>
      <c r="IL73" s="1132"/>
      <c r="IM73" s="1132"/>
      <c r="IN73" s="1132"/>
      <c r="IO73" s="1132"/>
      <c r="IP73" s="1132"/>
      <c r="IQ73" s="1132"/>
      <c r="IR73" s="1132"/>
      <c r="IS73" s="1132"/>
      <c r="IT73" s="1132"/>
      <c r="IU73" s="1132"/>
      <c r="IV73" s="1132"/>
    </row>
    <row r="74" spans="1:256" s="408" customFormat="1" ht="12.75" x14ac:dyDescent="0.2">
      <c r="A74" s="1411" t="s">
        <v>158</v>
      </c>
      <c r="B74" s="1412"/>
      <c r="C74" s="1412"/>
      <c r="D74" s="1412"/>
      <c r="E74" s="1412"/>
      <c r="F74" s="1413"/>
      <c r="G74" s="1412"/>
      <c r="H74" s="1412"/>
      <c r="I74" s="1412"/>
      <c r="J74" s="1412"/>
      <c r="K74" s="1413"/>
      <c r="L74" s="1412"/>
      <c r="M74" s="1412"/>
      <c r="N74" s="1412"/>
      <c r="O74" s="1412"/>
      <c r="P74" s="1413"/>
      <c r="Q74" s="1412"/>
      <c r="R74" s="1412"/>
      <c r="S74" s="1412"/>
      <c r="T74" s="1412"/>
      <c r="U74" s="1413"/>
      <c r="V74" s="1412"/>
      <c r="W74" s="1412"/>
      <c r="X74" s="1412"/>
      <c r="Y74" s="1412"/>
      <c r="Z74" s="1413"/>
      <c r="AA74" s="1412"/>
      <c r="AB74" s="1412"/>
      <c r="AC74" s="1412"/>
      <c r="AD74" s="1412"/>
      <c r="AE74" s="1413"/>
      <c r="AF74" s="1412">
        <v>6.274</v>
      </c>
      <c r="AG74" s="1412">
        <v>6.5380000000000003</v>
      </c>
      <c r="AH74" s="1412">
        <v>6.8410000000000002</v>
      </c>
      <c r="AI74" s="1412">
        <v>6.133</v>
      </c>
      <c r="AJ74" s="1413">
        <f>SUM(AF74:AI74)</f>
        <v>25.786000000000001</v>
      </c>
      <c r="AK74" s="1412">
        <v>7.1639999999999997</v>
      </c>
      <c r="AL74" s="1412">
        <v>6.6849999999999996</v>
      </c>
      <c r="AM74" s="1412">
        <v>6.3470000000000004</v>
      </c>
      <c r="AN74" s="1412">
        <v>6.7869999999999999</v>
      </c>
      <c r="AO74" s="1413">
        <f>SUM(AK74:AN74)</f>
        <v>26.983000000000001</v>
      </c>
      <c r="AP74" s="1412">
        <v>7.8360000000000003</v>
      </c>
      <c r="AQ74" s="1412">
        <v>7.173</v>
      </c>
      <c r="AR74" s="1412">
        <v>6.7670000000000003</v>
      </c>
      <c r="AS74" s="1412">
        <v>6.7279999999999998</v>
      </c>
      <c r="AT74" s="1413">
        <f>SUM(AP74:AS74)</f>
        <v>28.503999999999998</v>
      </c>
      <c r="AU74" s="1412">
        <v>7.569</v>
      </c>
      <c r="AV74" s="1412">
        <v>6.6849999999999996</v>
      </c>
      <c r="AW74" s="1412">
        <v>5.5979999999999999</v>
      </c>
      <c r="AX74" s="1412">
        <v>5.1449999999999996</v>
      </c>
      <c r="AY74" s="1413">
        <f>SUM(AU74:AX74)</f>
        <v>24.997</v>
      </c>
      <c r="AZ74" s="1412">
        <v>4.9950000000000001</v>
      </c>
      <c r="BA74" s="1412">
        <v>3.887</v>
      </c>
      <c r="BB74" s="1412">
        <v>4.4800000000000004</v>
      </c>
      <c r="BC74" s="1412">
        <v>5.0110000000000001</v>
      </c>
      <c r="BD74" s="1413">
        <f>SUM(AZ74:BC74)</f>
        <v>18.373000000000001</v>
      </c>
      <c r="BE74" s="1412">
        <v>5.5490000000000004</v>
      </c>
      <c r="BF74" s="1412">
        <v>4.6989999999999998</v>
      </c>
      <c r="BG74" s="1412">
        <v>5.0640000000000001</v>
      </c>
      <c r="BH74" s="1412">
        <v>4.5330000000000004</v>
      </c>
      <c r="BI74" s="1413">
        <f>SUM(BE74:BH74)</f>
        <v>19.845000000000002</v>
      </c>
      <c r="BJ74" s="1412">
        <v>4.6920000000000002</v>
      </c>
      <c r="BK74" s="1412">
        <v>3.7930000000000001</v>
      </c>
      <c r="BL74" s="1412">
        <v>3.004</v>
      </c>
      <c r="BM74" s="1412">
        <v>2.383</v>
      </c>
      <c r="BN74" s="1413">
        <f>SUM(BJ74:BM74)</f>
        <v>13.872</v>
      </c>
      <c r="BO74" s="1412">
        <v>3.625</v>
      </c>
      <c r="BP74" s="1412">
        <v>2.4790000000000001</v>
      </c>
      <c r="BQ74" s="1412">
        <v>2.0059999999999998</v>
      </c>
      <c r="BR74" s="1412">
        <v>3.2320000000000002</v>
      </c>
      <c r="BS74" s="1413">
        <f>SUM(BO74:BR74)</f>
        <v>11.341999999999999</v>
      </c>
      <c r="BT74" s="1412">
        <v>3.625</v>
      </c>
      <c r="BU74" s="1412">
        <v>2.944</v>
      </c>
      <c r="BV74" s="1412">
        <v>2.8420000000000001</v>
      </c>
      <c r="BW74" s="1412">
        <v>2.996</v>
      </c>
      <c r="BX74" s="1413">
        <f>SUM(BT74:BW74)</f>
        <v>12.407</v>
      </c>
      <c r="BY74" s="1412">
        <v>3.625</v>
      </c>
      <c r="BZ74" s="1412">
        <v>4.3482879999999993</v>
      </c>
      <c r="CA74" s="1412">
        <v>4.2069999999999999</v>
      </c>
      <c r="CB74" s="1412">
        <v>4.3410000000000002</v>
      </c>
      <c r="CC74" s="1413">
        <f>SUM(BY74:CB74)</f>
        <v>16.521287999999998</v>
      </c>
      <c r="CD74" s="1412">
        <v>4.2859999999999996</v>
      </c>
      <c r="CE74" s="1412">
        <v>3.86</v>
      </c>
      <c r="CF74" s="1412">
        <v>3.3860000000000001</v>
      </c>
      <c r="CG74" s="1412">
        <v>2.9990000000000001</v>
      </c>
      <c r="CH74" s="1413">
        <f>SUM(CD74:CG74)</f>
        <v>14.531000000000001</v>
      </c>
      <c r="CI74" s="1412">
        <v>3.3559999999999999</v>
      </c>
      <c r="CJ74" s="1412">
        <v>2.8540000000000001</v>
      </c>
      <c r="CK74" s="1412">
        <v>2.81</v>
      </c>
      <c r="CL74" s="1412">
        <v>3.3889999999999998</v>
      </c>
      <c r="CM74" s="1413">
        <f>SUM(CI74:CL74)</f>
        <v>12.408999999999999</v>
      </c>
      <c r="CN74" s="1412">
        <v>3.5259999999999998</v>
      </c>
      <c r="CO74" s="1412">
        <v>3.7959999999999998</v>
      </c>
      <c r="CP74" s="1412">
        <v>4.05</v>
      </c>
      <c r="CQ74" s="1412">
        <v>4.1920000000000002</v>
      </c>
      <c r="CR74" s="1413">
        <f>SUM(CN74:CQ74)</f>
        <v>15.564</v>
      </c>
      <c r="CS74" s="1412">
        <v>5.7729999999999997</v>
      </c>
      <c r="CT74" s="1412">
        <v>6.2009999999999996</v>
      </c>
      <c r="CU74" s="1412">
        <v>6.2619999999999996</v>
      </c>
      <c r="CV74" s="1412">
        <v>4.8330000000000002</v>
      </c>
      <c r="CW74" s="1413">
        <f>SUM(CS74:CV74)</f>
        <v>23.069000000000003</v>
      </c>
      <c r="CX74" s="1412">
        <v>4.3810000000000002</v>
      </c>
      <c r="CY74" s="1412">
        <v>2.3620000000000001</v>
      </c>
      <c r="CZ74" s="1412">
        <v>4.7949999999999999</v>
      </c>
      <c r="DA74" s="1412">
        <v>6.3470000000000004</v>
      </c>
      <c r="DB74" s="1413">
        <f>SUM(CX74:DA74)</f>
        <v>17.885000000000002</v>
      </c>
      <c r="DC74" s="1412">
        <v>6.0030000000000001</v>
      </c>
      <c r="DD74" s="1412">
        <v>6.383</v>
      </c>
      <c r="DE74" s="1412">
        <v>5.2060000000000004</v>
      </c>
      <c r="DF74" s="1412">
        <v>5.1580000000000004</v>
      </c>
      <c r="DG74" s="1414">
        <f>SUM(DC74:DF74)</f>
        <v>22.75</v>
      </c>
      <c r="DH74" s="1412">
        <v>7.4379999999999997</v>
      </c>
      <c r="DI74" s="1412">
        <v>7.9379999999999997</v>
      </c>
      <c r="DJ74" s="1412">
        <v>6.5220000000000002</v>
      </c>
      <c r="DK74" s="1412">
        <v>6.5629999999999997</v>
      </c>
      <c r="DL74" s="1414">
        <f>SUM(DH74:DK74)</f>
        <v>28.460999999999999</v>
      </c>
      <c r="DM74" s="1412">
        <v>6.7240000000000002</v>
      </c>
      <c r="DN74" s="1412">
        <v>8.5299999999999994</v>
      </c>
      <c r="DO74" s="1412">
        <v>6.1909999999999998</v>
      </c>
      <c r="DP74" s="1412">
        <v>6.859</v>
      </c>
      <c r="DQ74" s="1414">
        <f>SUM(DM74:DP74)</f>
        <v>28.304000000000002</v>
      </c>
      <c r="DR74" s="1412">
        <v>8.4190000000000005</v>
      </c>
      <c r="DS74" s="1412">
        <v>7.38</v>
      </c>
      <c r="DT74" s="1415">
        <v>6.5119999999999996</v>
      </c>
      <c r="DU74" s="1412">
        <v>6.32</v>
      </c>
      <c r="DV74" s="1414">
        <f>SUM(DR74:DU74)</f>
        <v>28.631</v>
      </c>
      <c r="DW74" s="1412">
        <v>6.5030000000000001</v>
      </c>
      <c r="DX74" s="1412">
        <v>6.4429999999999996</v>
      </c>
      <c r="DY74" s="1415">
        <v>5.4909999999999997</v>
      </c>
      <c r="DZ74" s="1412">
        <v>4.7809999999999997</v>
      </c>
      <c r="EA74" s="1414">
        <f>SUM(DW74:DZ74)</f>
        <v>23.217999999999996</v>
      </c>
      <c r="EB74" s="1412">
        <v>5.3109999999999999</v>
      </c>
      <c r="EC74" s="1412">
        <v>4.0659999999999998</v>
      </c>
      <c r="ED74" s="1415">
        <v>3.4790000000000001</v>
      </c>
      <c r="EE74" s="1412">
        <v>3.3370000000000002</v>
      </c>
      <c r="EF74" s="1414">
        <f>SUM(EB74:EE74)</f>
        <v>16.192999999999998</v>
      </c>
      <c r="EG74" s="1412">
        <v>3.6989999999999998</v>
      </c>
      <c r="EH74" s="1412">
        <v>3.6829999999999998</v>
      </c>
      <c r="EI74" s="1415">
        <v>2.5670000000000002</v>
      </c>
      <c r="EJ74" s="1412">
        <v>4.6589999999999998</v>
      </c>
      <c r="EK74" s="1414">
        <f>SUM(EG74:EJ74)</f>
        <v>14.608000000000001</v>
      </c>
      <c r="EL74" s="1412">
        <v>6.343</v>
      </c>
      <c r="EM74" s="1412">
        <v>6.5659999999999998</v>
      </c>
      <c r="EN74" s="1415">
        <v>6.28</v>
      </c>
      <c r="EO74" s="1412">
        <v>7.2709999999999999</v>
      </c>
      <c r="EP74" s="1414">
        <f>SUM(EL74:EO74)</f>
        <v>26.46</v>
      </c>
      <c r="EQ74" s="1412">
        <v>7.2380000000000004</v>
      </c>
      <c r="ER74" s="1416">
        <v>6.9</v>
      </c>
      <c r="ES74" s="1416">
        <v>6</v>
      </c>
      <c r="ET74" s="1416">
        <v>5.5</v>
      </c>
      <c r="EU74" s="1950">
        <f>SUM(EQ74:ET74)</f>
        <v>25.638000000000002</v>
      </c>
      <c r="EV74" s="1417"/>
      <c r="EW74" s="1417"/>
      <c r="EX74" s="1417"/>
      <c r="EY74" s="1417"/>
      <c r="EZ74" s="1418">
        <v>21</v>
      </c>
      <c r="FA74" s="1417"/>
      <c r="FB74" s="1417"/>
      <c r="FC74" s="1417"/>
      <c r="FD74" s="1417"/>
      <c r="FE74" s="1418">
        <v>17</v>
      </c>
      <c r="FF74" s="762"/>
      <c r="FG74" s="902"/>
      <c r="FH74" s="1060"/>
      <c r="FI74" s="1060"/>
      <c r="FJ74" s="1060"/>
      <c r="FK74" s="1060"/>
      <c r="FL74" s="1810"/>
      <c r="FM74" s="1412">
        <f t="shared" si="239"/>
        <v>7.2380000000000004</v>
      </c>
      <c r="FN74" s="1412">
        <f t="shared" si="240"/>
        <v>6.343</v>
      </c>
      <c r="FO74" s="1416">
        <v>6.2</v>
      </c>
      <c r="FP74" s="1629">
        <f>IFERROR(($FM74/FN74)-1,"")</f>
        <v>0.1411004256660886</v>
      </c>
      <c r="FQ74" s="1629">
        <f>IFERROR(($FM74/FO74)-1,"")</f>
        <v>0.16741935483870973</v>
      </c>
      <c r="FR74" s="1922" t="s">
        <v>868</v>
      </c>
      <c r="FS74" s="573"/>
      <c r="FT74" s="573"/>
      <c r="FU74" s="573"/>
      <c r="FV74" s="573"/>
      <c r="FW74" s="573"/>
      <c r="FX74" s="573"/>
      <c r="FY74" s="573"/>
      <c r="FZ74" s="573"/>
      <c r="GA74" s="902"/>
      <c r="GB74"/>
      <c r="GC74"/>
      <c r="GD74"/>
      <c r="GE74"/>
      <c r="GF74"/>
      <c r="GG74"/>
      <c r="GH74" s="960"/>
      <c r="GI74" s="960"/>
      <c r="GJ74" s="960"/>
      <c r="GK74" s="960"/>
      <c r="GL74" s="960"/>
      <c r="GM74" s="960"/>
      <c r="GN74" s="960"/>
      <c r="GO74" s="960"/>
      <c r="GP74" s="960"/>
      <c r="GQ74" s="960"/>
      <c r="GR74" s="960"/>
      <c r="GS74" s="960"/>
      <c r="GT74" s="960"/>
      <c r="GU74" s="960"/>
      <c r="GV74" s="960"/>
      <c r="GW74" s="960"/>
      <c r="GX74" s="960"/>
      <c r="GY74" s="960"/>
      <c r="GZ74" s="960"/>
      <c r="HA74" s="960"/>
      <c r="HB74" s="960"/>
      <c r="HC74" s="960"/>
      <c r="HD74" s="960"/>
      <c r="HE74" s="960"/>
      <c r="HF74" s="960"/>
      <c r="HG74" s="960"/>
      <c r="HH74" s="960"/>
      <c r="HI74" s="960"/>
      <c r="HJ74" s="960"/>
      <c r="HK74" s="960"/>
      <c r="HL74" s="960"/>
      <c r="HM74" s="960"/>
      <c r="HN74" s="960"/>
      <c r="HO74" s="960"/>
      <c r="HP74" s="960"/>
      <c r="HQ74" s="960"/>
      <c r="HR74" s="960"/>
      <c r="HS74" s="960"/>
      <c r="HT74" s="960"/>
      <c r="HU74" s="960"/>
      <c r="HV74" s="960"/>
      <c r="HW74" s="960"/>
      <c r="HX74" s="960"/>
      <c r="HY74" s="960"/>
      <c r="HZ74" s="960"/>
      <c r="IA74" s="960"/>
      <c r="IB74" s="960"/>
      <c r="IC74" s="960"/>
      <c r="ID74" s="960"/>
      <c r="IE74" s="960"/>
      <c r="IF74" s="960"/>
      <c r="IG74" s="960"/>
      <c r="IH74" s="960"/>
      <c r="II74" s="960"/>
      <c r="IJ74" s="960"/>
      <c r="IK74" s="960"/>
      <c r="IL74" s="960"/>
      <c r="IM74" s="960"/>
      <c r="IN74" s="960"/>
      <c r="IO74" s="960"/>
      <c r="IP74" s="960"/>
      <c r="IQ74" s="960"/>
      <c r="IR74" s="960"/>
      <c r="IS74" s="960"/>
      <c r="IT74" s="960"/>
      <c r="IU74" s="960"/>
      <c r="IV74" s="960"/>
    </row>
    <row r="75" spans="1:256" s="1133" customFormat="1" ht="12.75" x14ac:dyDescent="0.2">
      <c r="A75" s="1422" t="s">
        <v>74</v>
      </c>
      <c r="B75" s="931"/>
      <c r="C75" s="931"/>
      <c r="D75" s="931"/>
      <c r="E75" s="931"/>
      <c r="F75" s="933"/>
      <c r="G75" s="931"/>
      <c r="H75" s="931"/>
      <c r="I75" s="931"/>
      <c r="J75" s="931"/>
      <c r="K75" s="933"/>
      <c r="L75" s="931"/>
      <c r="M75" s="931"/>
      <c r="N75" s="931"/>
      <c r="O75" s="931"/>
      <c r="P75" s="933"/>
      <c r="Q75" s="931"/>
      <c r="R75" s="931"/>
      <c r="S75" s="931"/>
      <c r="T75" s="931"/>
      <c r="U75" s="933"/>
      <c r="V75" s="931"/>
      <c r="W75" s="931"/>
      <c r="X75" s="931"/>
      <c r="Y75" s="931"/>
      <c r="Z75" s="933"/>
      <c r="AA75" s="931"/>
      <c r="AB75" s="931"/>
      <c r="AC75" s="931"/>
      <c r="AD75" s="931"/>
      <c r="AE75" s="933"/>
      <c r="AF75" s="931"/>
      <c r="AG75" s="931"/>
      <c r="AH75" s="931"/>
      <c r="AI75" s="931"/>
      <c r="AJ75" s="933"/>
      <c r="AK75" s="931">
        <f t="shared" ref="AK75:BP75" si="269">AK74/AF74-1</f>
        <v>0.14185527574115397</v>
      </c>
      <c r="AL75" s="931">
        <f t="shared" si="269"/>
        <v>2.24839400428265E-2</v>
      </c>
      <c r="AM75" s="931">
        <f t="shared" si="269"/>
        <v>-7.2211664961262967E-2</v>
      </c>
      <c r="AN75" s="931">
        <f t="shared" si="269"/>
        <v>0.10663623022990376</v>
      </c>
      <c r="AO75" s="933">
        <f t="shared" si="269"/>
        <v>4.64205382765841E-2</v>
      </c>
      <c r="AP75" s="931">
        <f t="shared" si="269"/>
        <v>9.3802345058626502E-2</v>
      </c>
      <c r="AQ75" s="931">
        <f t="shared" si="269"/>
        <v>7.2999252056843655E-2</v>
      </c>
      <c r="AR75" s="931">
        <f t="shared" si="269"/>
        <v>6.6172995115802768E-2</v>
      </c>
      <c r="AS75" s="931">
        <f t="shared" si="269"/>
        <v>-8.6930897303668653E-3</v>
      </c>
      <c r="AT75" s="933">
        <f t="shared" si="269"/>
        <v>5.6368824815624441E-2</v>
      </c>
      <c r="AU75" s="931">
        <f t="shared" si="269"/>
        <v>-3.4073506891271088E-2</v>
      </c>
      <c r="AV75" s="931">
        <f t="shared" si="269"/>
        <v>-6.8032901157117021E-2</v>
      </c>
      <c r="AW75" s="931">
        <f t="shared" si="269"/>
        <v>-0.17275011083197878</v>
      </c>
      <c r="AX75" s="931">
        <f t="shared" si="269"/>
        <v>-0.23528537455410226</v>
      </c>
      <c r="AY75" s="933">
        <f t="shared" si="269"/>
        <v>-0.12303536345776023</v>
      </c>
      <c r="AZ75" s="931">
        <f t="shared" si="269"/>
        <v>-0.34007134363852554</v>
      </c>
      <c r="BA75" s="931">
        <f t="shared" si="269"/>
        <v>-0.41854899027673897</v>
      </c>
      <c r="BB75" s="931">
        <f t="shared" si="269"/>
        <v>-0.1997141836370131</v>
      </c>
      <c r="BC75" s="931">
        <f t="shared" si="269"/>
        <v>-2.6044703595723862E-2</v>
      </c>
      <c r="BD75" s="933">
        <f t="shared" si="269"/>
        <v>-0.26499179901588188</v>
      </c>
      <c r="BE75" s="931">
        <f t="shared" si="269"/>
        <v>0.11091091091091099</v>
      </c>
      <c r="BF75" s="931">
        <f t="shared" si="269"/>
        <v>0.20890146642655005</v>
      </c>
      <c r="BG75" s="931">
        <f t="shared" si="269"/>
        <v>0.13035714285714284</v>
      </c>
      <c r="BH75" s="931">
        <f t="shared" si="269"/>
        <v>-9.5390141688285746E-2</v>
      </c>
      <c r="BI75" s="933">
        <f t="shared" si="269"/>
        <v>8.011756381646995E-2</v>
      </c>
      <c r="BJ75" s="931">
        <f t="shared" si="269"/>
        <v>-0.15444224184537758</v>
      </c>
      <c r="BK75" s="931">
        <f t="shared" si="269"/>
        <v>-0.19280698020855491</v>
      </c>
      <c r="BL75" s="931">
        <f t="shared" si="269"/>
        <v>-0.40679304897314372</v>
      </c>
      <c r="BM75" s="931">
        <f t="shared" si="269"/>
        <v>-0.47429958085153323</v>
      </c>
      <c r="BN75" s="933">
        <f t="shared" si="269"/>
        <v>-0.30098261526832959</v>
      </c>
      <c r="BO75" s="931">
        <f t="shared" si="269"/>
        <v>-0.22740835464620635</v>
      </c>
      <c r="BP75" s="931">
        <f t="shared" si="269"/>
        <v>-0.3464276298444503</v>
      </c>
      <c r="BQ75" s="931">
        <f t="shared" ref="BQ75:CV75" si="270">BQ74/BL74-1</f>
        <v>-0.33222370173102533</v>
      </c>
      <c r="BR75" s="931">
        <f t="shared" si="270"/>
        <v>0.35627360469995817</v>
      </c>
      <c r="BS75" s="933">
        <f t="shared" si="270"/>
        <v>-0.18238177623990781</v>
      </c>
      <c r="BT75" s="931">
        <f t="shared" si="270"/>
        <v>0</v>
      </c>
      <c r="BU75" s="931">
        <f t="shared" si="270"/>
        <v>0.18757563533682919</v>
      </c>
      <c r="BV75" s="931">
        <f t="shared" si="270"/>
        <v>0.41674975074775689</v>
      </c>
      <c r="BW75" s="931">
        <f t="shared" si="270"/>
        <v>-7.3019801980198085E-2</v>
      </c>
      <c r="BX75" s="933">
        <f t="shared" si="270"/>
        <v>9.3898783283371756E-2</v>
      </c>
      <c r="BY75" s="931">
        <f t="shared" si="270"/>
        <v>0</v>
      </c>
      <c r="BZ75" s="931">
        <f t="shared" si="270"/>
        <v>0.47699999999999987</v>
      </c>
      <c r="CA75" s="931">
        <f t="shared" si="270"/>
        <v>0.48029556650246286</v>
      </c>
      <c r="CB75" s="931">
        <f t="shared" si="270"/>
        <v>0.44893190921228321</v>
      </c>
      <c r="CC75" s="933">
        <f t="shared" si="270"/>
        <v>0.33161022003707563</v>
      </c>
      <c r="CD75" s="931">
        <f t="shared" si="270"/>
        <v>0.18234482758620674</v>
      </c>
      <c r="CE75" s="931">
        <f t="shared" si="270"/>
        <v>-0.1122943098525212</v>
      </c>
      <c r="CF75" s="931">
        <f t="shared" si="270"/>
        <v>-0.19515093891133817</v>
      </c>
      <c r="CG75" s="931">
        <f t="shared" si="270"/>
        <v>-0.30914535821239342</v>
      </c>
      <c r="CH75" s="933">
        <f t="shared" si="270"/>
        <v>-0.12046808941288345</v>
      </c>
      <c r="CI75" s="931">
        <f t="shared" si="270"/>
        <v>-0.21698553429771339</v>
      </c>
      <c r="CJ75" s="931">
        <f t="shared" si="270"/>
        <v>-0.26062176165803108</v>
      </c>
      <c r="CK75" s="931">
        <f t="shared" si="270"/>
        <v>-0.17011222681630245</v>
      </c>
      <c r="CL75" s="931">
        <f t="shared" si="270"/>
        <v>0.13004334778259419</v>
      </c>
      <c r="CM75" s="933">
        <f t="shared" si="270"/>
        <v>-0.14603261991604166</v>
      </c>
      <c r="CN75" s="931">
        <f t="shared" si="270"/>
        <v>5.0655542312276536E-2</v>
      </c>
      <c r="CO75" s="931">
        <f t="shared" si="270"/>
        <v>0.3300630693763138</v>
      </c>
      <c r="CP75" s="931">
        <f t="shared" si="270"/>
        <v>0.4412811387900355</v>
      </c>
      <c r="CQ75" s="931">
        <f t="shared" si="270"/>
        <v>0.23694305104750679</v>
      </c>
      <c r="CR75" s="933">
        <f t="shared" si="270"/>
        <v>0.25425094689338401</v>
      </c>
      <c r="CS75" s="931">
        <f t="shared" si="270"/>
        <v>0.63726602382302899</v>
      </c>
      <c r="CT75" s="931">
        <f t="shared" si="270"/>
        <v>0.63356164383561642</v>
      </c>
      <c r="CU75" s="931">
        <f t="shared" si="270"/>
        <v>0.5461728395061729</v>
      </c>
      <c r="CV75" s="931">
        <f t="shared" si="270"/>
        <v>0.15291030534351147</v>
      </c>
      <c r="CW75" s="933">
        <f t="shared" ref="CW75:EB75" si="271">CW74/CR74-1</f>
        <v>0.48220251863274233</v>
      </c>
      <c r="CX75" s="931">
        <f t="shared" si="271"/>
        <v>-0.24112246665511861</v>
      </c>
      <c r="CY75" s="931">
        <f t="shared" si="271"/>
        <v>-0.61909369456539265</v>
      </c>
      <c r="CZ75" s="931">
        <f t="shared" si="271"/>
        <v>-0.2342702012136697</v>
      </c>
      <c r="DA75" s="931">
        <f t="shared" si="271"/>
        <v>0.31326298365404504</v>
      </c>
      <c r="DB75" s="933">
        <f t="shared" si="271"/>
        <v>-0.22471715288915861</v>
      </c>
      <c r="DC75" s="931">
        <f t="shared" si="271"/>
        <v>0.37023510614015054</v>
      </c>
      <c r="DD75" s="931">
        <f t="shared" si="271"/>
        <v>1.7023708721422524</v>
      </c>
      <c r="DE75" s="931">
        <f t="shared" si="271"/>
        <v>8.5714285714285854E-2</v>
      </c>
      <c r="DF75" s="931">
        <f t="shared" si="271"/>
        <v>-0.18733259807783209</v>
      </c>
      <c r="DG75" s="933">
        <f t="shared" si="271"/>
        <v>0.27201565557729923</v>
      </c>
      <c r="DH75" s="931">
        <f t="shared" si="271"/>
        <v>0.2390471430951191</v>
      </c>
      <c r="DI75" s="931">
        <f t="shared" si="271"/>
        <v>0.24361585461381785</v>
      </c>
      <c r="DJ75" s="931">
        <f t="shared" si="271"/>
        <v>0.25278524779101041</v>
      </c>
      <c r="DK75" s="931">
        <f t="shared" si="271"/>
        <v>0.2723924001550988</v>
      </c>
      <c r="DL75" s="933">
        <f t="shared" si="271"/>
        <v>0.25103296703296696</v>
      </c>
      <c r="DM75" s="931">
        <f t="shared" si="271"/>
        <v>-9.5993546652325845E-2</v>
      </c>
      <c r="DN75" s="931">
        <f t="shared" si="271"/>
        <v>7.4577979339883971E-2</v>
      </c>
      <c r="DO75" s="931">
        <f t="shared" si="271"/>
        <v>-5.0751303281202143E-2</v>
      </c>
      <c r="DP75" s="931">
        <f t="shared" si="271"/>
        <v>4.5101325613286614E-2</v>
      </c>
      <c r="DQ75" s="933">
        <f t="shared" si="271"/>
        <v>-5.5163205790378367E-3</v>
      </c>
      <c r="DR75" s="931">
        <f t="shared" si="271"/>
        <v>0.2520820939916717</v>
      </c>
      <c r="DS75" s="931">
        <f t="shared" si="271"/>
        <v>-0.13481828839390386</v>
      </c>
      <c r="DT75" s="931">
        <f t="shared" si="271"/>
        <v>5.1849458891939815E-2</v>
      </c>
      <c r="DU75" s="931">
        <f t="shared" si="271"/>
        <v>-7.8582883802303494E-2</v>
      </c>
      <c r="DV75" s="933">
        <f t="shared" si="271"/>
        <v>1.1553137365743371E-2</v>
      </c>
      <c r="DW75" s="931">
        <f t="shared" si="271"/>
        <v>-0.22758047274023041</v>
      </c>
      <c r="DX75" s="931">
        <f t="shared" si="271"/>
        <v>-0.12696476964769654</v>
      </c>
      <c r="DY75" s="931">
        <f t="shared" si="271"/>
        <v>-0.15678746928746934</v>
      </c>
      <c r="DZ75" s="931">
        <f t="shared" si="271"/>
        <v>-0.24351265822784818</v>
      </c>
      <c r="EA75" s="933">
        <f t="shared" si="271"/>
        <v>-0.18906080821487214</v>
      </c>
      <c r="EB75" s="931">
        <f t="shared" si="271"/>
        <v>-0.18330001537751806</v>
      </c>
      <c r="EC75" s="931">
        <f t="shared" ref="EC75:EU75" si="272">EC74/DX74-1</f>
        <v>-0.36892751823684622</v>
      </c>
      <c r="ED75" s="931">
        <f t="shared" si="272"/>
        <v>-0.36641777454015656</v>
      </c>
      <c r="EE75" s="931">
        <f t="shared" si="272"/>
        <v>-0.30202886425434006</v>
      </c>
      <c r="EF75" s="933">
        <f t="shared" si="272"/>
        <v>-0.30256697389956067</v>
      </c>
      <c r="EG75" s="931">
        <f t="shared" si="272"/>
        <v>-0.30352099416305778</v>
      </c>
      <c r="EH75" s="931">
        <f t="shared" si="272"/>
        <v>-9.4195769798327555E-2</v>
      </c>
      <c r="EI75" s="931">
        <f t="shared" si="272"/>
        <v>-0.26214429433745323</v>
      </c>
      <c r="EJ75" s="931">
        <f t="shared" si="272"/>
        <v>0.39616421935870538</v>
      </c>
      <c r="EK75" s="933">
        <f t="shared" si="272"/>
        <v>-9.7881800778113814E-2</v>
      </c>
      <c r="EL75" s="931">
        <f t="shared" si="272"/>
        <v>0.71478778048121128</v>
      </c>
      <c r="EM75" s="931">
        <f t="shared" si="272"/>
        <v>0.78278577246809666</v>
      </c>
      <c r="EN75" s="931">
        <f t="shared" si="272"/>
        <v>1.4464355278535255</v>
      </c>
      <c r="EO75" s="931">
        <f t="shared" ref="EO75" si="273">EO74/EJ74-1</f>
        <v>0.5606353294698434</v>
      </c>
      <c r="EP75" s="933">
        <f t="shared" ref="EP75" si="274">EP74/EK74-1</f>
        <v>0.81133625410733834</v>
      </c>
      <c r="EQ75" s="931">
        <f t="shared" si="272"/>
        <v>0.1411004256660886</v>
      </c>
      <c r="ER75" s="931">
        <f t="shared" si="272"/>
        <v>5.0868108437404969E-2</v>
      </c>
      <c r="ES75" s="931">
        <f t="shared" si="272"/>
        <v>-4.4585987261146487E-2</v>
      </c>
      <c r="ET75" s="931">
        <f t="shared" si="272"/>
        <v>-0.24357034795763988</v>
      </c>
      <c r="EU75" s="1951">
        <f t="shared" si="272"/>
        <v>-3.1065759637188162E-2</v>
      </c>
      <c r="EV75" s="1423"/>
      <c r="EW75" s="1423"/>
      <c r="EX75" s="1423"/>
      <c r="EY75" s="1423"/>
      <c r="EZ75" s="1424">
        <f>EZ74/EU74-1</f>
        <v>-0.18090334659489826</v>
      </c>
      <c r="FA75" s="1423"/>
      <c r="FB75" s="1423"/>
      <c r="FC75" s="1423"/>
      <c r="FD75" s="1423"/>
      <c r="FE75" s="1424">
        <f>FE74/EZ74-1</f>
        <v>-0.19047619047619047</v>
      </c>
      <c r="FF75" s="1131"/>
      <c r="FG75" s="622"/>
      <c r="FH75" s="1061"/>
      <c r="FI75" s="1061"/>
      <c r="FJ75" s="1061"/>
      <c r="FK75" s="1061"/>
      <c r="FL75" s="1811"/>
      <c r="FM75" s="931">
        <f t="shared" si="239"/>
        <v>0.1411004256660886</v>
      </c>
      <c r="FN75" s="931">
        <f t="shared" si="240"/>
        <v>0.71478778048121128</v>
      </c>
      <c r="FO75" s="931">
        <v>-2.2544537285196231E-2</v>
      </c>
      <c r="FP75" s="1893">
        <f>IFERROR(($FM75-FN75)*10000,"")</f>
        <v>-5736.8735481512267</v>
      </c>
      <c r="FQ75" s="1893">
        <f>IFERROR(($FM75-FO75)*10000,"")</f>
        <v>1636.4496295128483</v>
      </c>
      <c r="FR75" s="1922"/>
      <c r="FS75" s="2017" t="s">
        <v>860</v>
      </c>
      <c r="FT75" s="566"/>
      <c r="FU75" s="566"/>
      <c r="FV75" s="566"/>
      <c r="FW75" s="566"/>
      <c r="FX75" s="566"/>
      <c r="FY75" s="566"/>
      <c r="FZ75" s="566"/>
      <c r="GA75" s="622"/>
      <c r="GB75"/>
      <c r="GC75"/>
      <c r="GD75"/>
      <c r="GE75"/>
      <c r="GF75"/>
      <c r="GG75"/>
      <c r="GH75" s="1132"/>
      <c r="GI75" s="1132"/>
      <c r="GJ75" s="1132"/>
      <c r="GK75" s="1132"/>
      <c r="GL75" s="1132"/>
      <c r="GM75" s="1132"/>
      <c r="GN75" s="1132"/>
      <c r="GO75" s="1132"/>
      <c r="GP75" s="1132"/>
      <c r="GQ75" s="1132"/>
      <c r="GR75" s="1132"/>
      <c r="GS75" s="1132"/>
      <c r="GT75" s="1132"/>
      <c r="GU75" s="1132"/>
      <c r="GV75" s="1132"/>
      <c r="GW75" s="1132"/>
      <c r="GX75" s="1132"/>
      <c r="GY75" s="1132"/>
      <c r="GZ75" s="1132"/>
      <c r="HA75" s="1132"/>
      <c r="HB75" s="1132"/>
      <c r="HC75" s="1132"/>
      <c r="HD75" s="1132"/>
      <c r="HE75" s="1132"/>
      <c r="HF75" s="1132"/>
      <c r="HG75" s="1132"/>
      <c r="HH75" s="1132"/>
      <c r="HI75" s="1132"/>
      <c r="HJ75" s="1132"/>
      <c r="HK75" s="1132"/>
      <c r="HL75" s="1132"/>
      <c r="HM75" s="1132"/>
      <c r="HN75" s="1132"/>
      <c r="HO75" s="1132"/>
      <c r="HP75" s="1132"/>
      <c r="HQ75" s="1132"/>
      <c r="HR75" s="1132"/>
      <c r="HS75" s="1132"/>
      <c r="HT75" s="1132"/>
      <c r="HU75" s="1132"/>
      <c r="HV75" s="1132"/>
      <c r="HW75" s="1132"/>
      <c r="HX75" s="1132"/>
      <c r="HY75" s="1132"/>
      <c r="HZ75" s="1132"/>
      <c r="IA75" s="1132"/>
      <c r="IB75" s="1132"/>
      <c r="IC75" s="1132"/>
      <c r="ID75" s="1132"/>
      <c r="IE75" s="1132"/>
      <c r="IF75" s="1132"/>
      <c r="IG75" s="1132"/>
      <c r="IH75" s="1132"/>
      <c r="II75" s="1132"/>
      <c r="IJ75" s="1132"/>
      <c r="IK75" s="1132"/>
      <c r="IL75" s="1132"/>
      <c r="IM75" s="1132"/>
      <c r="IN75" s="1132"/>
      <c r="IO75" s="1132"/>
      <c r="IP75" s="1132"/>
      <c r="IQ75" s="1132"/>
      <c r="IR75" s="1132"/>
      <c r="IS75" s="1132"/>
      <c r="IT75" s="1132"/>
      <c r="IU75" s="1132"/>
      <c r="IV75" s="1132"/>
    </row>
    <row r="76" spans="1:256" s="408" customFormat="1" ht="12.75" x14ac:dyDescent="0.2">
      <c r="A76" s="900" t="s">
        <v>293</v>
      </c>
      <c r="B76" s="452"/>
      <c r="C76" s="452"/>
      <c r="D76" s="452"/>
      <c r="E76" s="452"/>
      <c r="F76" s="453"/>
      <c r="G76" s="452"/>
      <c r="H76" s="452"/>
      <c r="I76" s="452"/>
      <c r="J76" s="452"/>
      <c r="K76" s="453"/>
      <c r="L76" s="452"/>
      <c r="M76" s="452"/>
      <c r="N76" s="452"/>
      <c r="O76" s="452"/>
      <c r="P76" s="453"/>
      <c r="Q76" s="452"/>
      <c r="R76" s="452"/>
      <c r="S76" s="452"/>
      <c r="T76" s="452"/>
      <c r="U76" s="453"/>
      <c r="V76" s="452"/>
      <c r="W76" s="452"/>
      <c r="X76" s="452"/>
      <c r="Y76" s="452"/>
      <c r="Z76" s="453"/>
      <c r="AA76" s="452"/>
      <c r="AB76" s="452"/>
      <c r="AC76" s="452"/>
      <c r="AD76" s="452"/>
      <c r="AE76" s="453"/>
      <c r="AF76" s="452">
        <v>4.9870000000000001</v>
      </c>
      <c r="AG76" s="452">
        <v>5.6859999999999999</v>
      </c>
      <c r="AH76" s="452">
        <v>5.6909999999999998</v>
      </c>
      <c r="AI76" s="452">
        <v>5.7080000000000002</v>
      </c>
      <c r="AJ76" s="453">
        <f>SUM(AF76:AI76)</f>
        <v>22.072000000000003</v>
      </c>
      <c r="AK76" s="452">
        <v>4.7169999999999996</v>
      </c>
      <c r="AL76" s="452">
        <v>5.6260000000000003</v>
      </c>
      <c r="AM76" s="452">
        <v>5.3140000000000001</v>
      </c>
      <c r="AN76" s="452">
        <v>4.9160000000000004</v>
      </c>
      <c r="AO76" s="453">
        <f>SUM(AK76:AN76)</f>
        <v>20.573</v>
      </c>
      <c r="AP76" s="452">
        <v>5.1040000000000001</v>
      </c>
      <c r="AQ76" s="452">
        <v>5.6609999999999996</v>
      </c>
      <c r="AR76" s="452">
        <v>5.452</v>
      </c>
      <c r="AS76" s="452">
        <v>5.1680000000000001</v>
      </c>
      <c r="AT76" s="453">
        <f>SUM(AP76:AS76)</f>
        <v>21.384999999999998</v>
      </c>
      <c r="AU76" s="452">
        <v>4.5519999999999996</v>
      </c>
      <c r="AV76" s="452">
        <v>5.625</v>
      </c>
      <c r="AW76" s="452">
        <v>4.7149999999999999</v>
      </c>
      <c r="AX76" s="452">
        <v>4.1260000000000003</v>
      </c>
      <c r="AY76" s="453">
        <f>SUM(AU76:AX76)</f>
        <v>19.018000000000001</v>
      </c>
      <c r="AZ76" s="452">
        <v>3.75</v>
      </c>
      <c r="BA76" s="452">
        <v>4.6509999999999998</v>
      </c>
      <c r="BB76" s="452">
        <v>6.1740000000000004</v>
      </c>
      <c r="BC76" s="452">
        <v>6.8239999999999998</v>
      </c>
      <c r="BD76" s="453">
        <f>SUM(AZ76:BC76)</f>
        <v>21.399000000000001</v>
      </c>
      <c r="BE76" s="452">
        <v>6.2320000000000002</v>
      </c>
      <c r="BF76" s="452">
        <v>6.78</v>
      </c>
      <c r="BG76" s="452">
        <v>6.6660000000000004</v>
      </c>
      <c r="BH76" s="452">
        <v>5.3250000000000002</v>
      </c>
      <c r="BI76" s="453">
        <f>SUM(BE76:BH76)</f>
        <v>25.003</v>
      </c>
      <c r="BJ76" s="452">
        <v>4.3780000000000001</v>
      </c>
      <c r="BK76" s="452">
        <v>5.3449999999999998</v>
      </c>
      <c r="BL76" s="452">
        <v>5.1310000000000002</v>
      </c>
      <c r="BM76" s="452">
        <v>5.6029999999999998</v>
      </c>
      <c r="BN76" s="453">
        <f>SUM(BJ76:BM76)</f>
        <v>20.457000000000001</v>
      </c>
      <c r="BO76" s="452">
        <v>4.6820000000000004</v>
      </c>
      <c r="BP76" s="452">
        <v>5.5170000000000003</v>
      </c>
      <c r="BQ76" s="452">
        <v>5.8369999999999997</v>
      </c>
      <c r="BR76" s="452">
        <v>5.5419999999999998</v>
      </c>
      <c r="BS76" s="453">
        <f>SUM(BO76:BR76)</f>
        <v>21.578000000000003</v>
      </c>
      <c r="BT76" s="452">
        <v>4.6820000000000004</v>
      </c>
      <c r="BU76" s="452">
        <v>5.64</v>
      </c>
      <c r="BV76" s="452">
        <v>5.484</v>
      </c>
      <c r="BW76" s="452">
        <v>4.8650000000000002</v>
      </c>
      <c r="BX76" s="453">
        <f>SUM(BT76:BW76)</f>
        <v>20.670999999999999</v>
      </c>
      <c r="BY76" s="452">
        <v>4.3940570000000001</v>
      </c>
      <c r="BZ76" s="452">
        <v>5.1323999999999996</v>
      </c>
      <c r="CA76" s="452">
        <v>5.5609999999999999</v>
      </c>
      <c r="CB76" s="452">
        <v>5.5979999999999999</v>
      </c>
      <c r="CC76" s="453">
        <f>SUM(BY76:CB76)</f>
        <v>20.685457</v>
      </c>
      <c r="CD76" s="452">
        <v>4.47</v>
      </c>
      <c r="CE76" s="452">
        <v>5.3949999999999996</v>
      </c>
      <c r="CF76" s="452">
        <v>5.1390000000000002</v>
      </c>
      <c r="CG76" s="452">
        <v>5.0720000000000001</v>
      </c>
      <c r="CH76" s="453">
        <f>SUM(CD76:CG76)</f>
        <v>20.075999999999997</v>
      </c>
      <c r="CI76" s="452">
        <v>4.7789999999999999</v>
      </c>
      <c r="CJ76" s="452">
        <v>5.5570000000000004</v>
      </c>
      <c r="CK76" s="452">
        <v>5.6269999999999998</v>
      </c>
      <c r="CL76" s="452">
        <v>4.915</v>
      </c>
      <c r="CM76" s="453">
        <f>SUM(CI76:CL76)</f>
        <v>20.878</v>
      </c>
      <c r="CN76" s="452">
        <v>3.63</v>
      </c>
      <c r="CO76" s="452">
        <v>5.0720000000000001</v>
      </c>
      <c r="CP76" s="452">
        <v>4.8559999999999999</v>
      </c>
      <c r="CQ76" s="452">
        <v>4.3150000000000004</v>
      </c>
      <c r="CR76" s="453">
        <f>SUM(CN76:CQ76)</f>
        <v>17.873000000000001</v>
      </c>
      <c r="CS76" s="452">
        <v>3.5169999999999999</v>
      </c>
      <c r="CT76" s="452">
        <v>4.7450000000000001</v>
      </c>
      <c r="CU76" s="452">
        <v>5.2409999999999997</v>
      </c>
      <c r="CV76" s="452">
        <v>4.6520000000000001</v>
      </c>
      <c r="CW76" s="453">
        <f>SUM(CS76:CV76)</f>
        <v>18.155000000000001</v>
      </c>
      <c r="CX76" s="452">
        <v>2.61</v>
      </c>
      <c r="CY76" s="452">
        <v>2.363</v>
      </c>
      <c r="CZ76" s="452">
        <v>3.2320000000000002</v>
      </c>
      <c r="DA76" s="452">
        <v>3.6429999999999998</v>
      </c>
      <c r="DB76" s="453">
        <f>SUM(CX76:DA76)</f>
        <v>11.847999999999999</v>
      </c>
      <c r="DC76" s="452">
        <v>4.109</v>
      </c>
      <c r="DD76" s="452">
        <v>5.2290000000000001</v>
      </c>
      <c r="DE76" s="452">
        <v>5.5010000000000003</v>
      </c>
      <c r="DF76" s="452">
        <v>4.9320000000000004</v>
      </c>
      <c r="DG76" s="402">
        <f>SUM(DC76:DF76)</f>
        <v>19.771000000000001</v>
      </c>
      <c r="DH76" s="452">
        <v>3.774</v>
      </c>
      <c r="DI76" s="452">
        <v>4.859</v>
      </c>
      <c r="DJ76" s="452">
        <v>5.5750000000000002</v>
      </c>
      <c r="DK76" s="452">
        <v>5.4939999999999998</v>
      </c>
      <c r="DL76" s="402">
        <f>SUM(DH76:DK76)</f>
        <v>19.701999999999998</v>
      </c>
      <c r="DM76" s="452">
        <v>4.5720000000000001</v>
      </c>
      <c r="DN76" s="452">
        <v>5.0190000000000001</v>
      </c>
      <c r="DO76" s="452">
        <v>4.649</v>
      </c>
      <c r="DP76" s="452">
        <v>4.5529999999999999</v>
      </c>
      <c r="DQ76" s="402">
        <f>SUM(DM76:DP76)</f>
        <v>18.793000000000003</v>
      </c>
      <c r="DR76" s="452">
        <v>4.0419999999999998</v>
      </c>
      <c r="DS76" s="452">
        <v>4.6079999999999997</v>
      </c>
      <c r="DT76" s="1206">
        <v>4.3570000000000002</v>
      </c>
      <c r="DU76" s="452">
        <v>3.8980000000000001</v>
      </c>
      <c r="DV76" s="402">
        <f>SUM(DR76:DU76)</f>
        <v>16.904999999999998</v>
      </c>
      <c r="DW76" s="452">
        <v>3.1859999999999999</v>
      </c>
      <c r="DX76" s="452">
        <v>4.1210000000000004</v>
      </c>
      <c r="DY76" s="1206">
        <v>4.5419999999999998</v>
      </c>
      <c r="DZ76" s="1584">
        <v>4.2809999999999997</v>
      </c>
      <c r="EA76" s="402">
        <f>SUM(DW76:DZ76)</f>
        <v>16.13</v>
      </c>
      <c r="EB76" s="452">
        <v>3.145</v>
      </c>
      <c r="EC76" s="452">
        <v>4.0590000000000002</v>
      </c>
      <c r="ED76" s="1206">
        <v>3.778</v>
      </c>
      <c r="EE76" s="1584">
        <v>3.468</v>
      </c>
      <c r="EF76" s="402">
        <f>SUM(EB76:EE76)</f>
        <v>14.450000000000001</v>
      </c>
      <c r="EG76" s="452">
        <v>2.9590000000000001</v>
      </c>
      <c r="EH76" s="452">
        <v>3.58</v>
      </c>
      <c r="EI76" s="1206">
        <v>3.8159999999999998</v>
      </c>
      <c r="EJ76" s="1584">
        <v>3.5289999999999999</v>
      </c>
      <c r="EK76" s="402">
        <f>SUM(EG76:EJ76)</f>
        <v>13.884</v>
      </c>
      <c r="EL76" s="452">
        <v>3.367</v>
      </c>
      <c r="EM76" s="452">
        <v>3.9820000000000002</v>
      </c>
      <c r="EN76" s="1206">
        <v>4.298</v>
      </c>
      <c r="EO76" s="1584">
        <v>4.0279999999999996</v>
      </c>
      <c r="EP76" s="402">
        <f>SUM(EL76:EO76)</f>
        <v>15.675000000000001</v>
      </c>
      <c r="EQ76" s="452">
        <v>3.1469999999999998</v>
      </c>
      <c r="ER76" s="454">
        <v>3.7</v>
      </c>
      <c r="ES76" s="454">
        <v>3.9</v>
      </c>
      <c r="ET76" s="454">
        <v>3.7</v>
      </c>
      <c r="EU76" s="1939">
        <f>SUM(EQ76:ET76)</f>
        <v>14.446999999999999</v>
      </c>
      <c r="EV76" s="1417"/>
      <c r="EW76" s="1417"/>
      <c r="EX76" s="1417"/>
      <c r="EY76" s="1417"/>
      <c r="EZ76" s="1418">
        <v>14</v>
      </c>
      <c r="FA76" s="1417"/>
      <c r="FB76" s="1417"/>
      <c r="FC76" s="1417"/>
      <c r="FD76" s="1417"/>
      <c r="FE76" s="1418">
        <v>13.6</v>
      </c>
      <c r="FF76" s="762"/>
      <c r="FG76" s="903"/>
      <c r="FH76" s="1060"/>
      <c r="FI76" s="1060"/>
      <c r="FJ76" s="1060"/>
      <c r="FK76" s="1060"/>
      <c r="FL76" s="1810"/>
      <c r="FM76" s="452">
        <f t="shared" si="239"/>
        <v>3.1469999999999998</v>
      </c>
      <c r="FN76" s="452">
        <f t="shared" si="240"/>
        <v>3.367</v>
      </c>
      <c r="FO76" s="454">
        <v>3.7</v>
      </c>
      <c r="FP76" s="15">
        <f>IFERROR(($FM76/FN76)-1,"")</f>
        <v>-6.5340065340065423E-2</v>
      </c>
      <c r="FQ76" s="15">
        <f>IFERROR(($FM76/FO76)-1,"")</f>
        <v>-0.1494594594594596</v>
      </c>
      <c r="FR76" s="571"/>
      <c r="FS76" s="566" t="s">
        <v>204</v>
      </c>
      <c r="FT76" s="573"/>
      <c r="FU76" s="573"/>
      <c r="FV76" s="573"/>
      <c r="FW76" s="573"/>
      <c r="FX76" s="573"/>
      <c r="FY76" s="573"/>
      <c r="FZ76" s="573"/>
      <c r="GA76" s="903"/>
      <c r="GB76"/>
      <c r="GC76"/>
      <c r="GD76"/>
      <c r="GE76"/>
      <c r="GF76"/>
      <c r="GG76"/>
      <c r="GH76" s="960"/>
      <c r="GI76" s="960"/>
      <c r="GJ76" s="960"/>
      <c r="GK76" s="960"/>
      <c r="GL76" s="960"/>
      <c r="GM76" s="960"/>
      <c r="GN76" s="960"/>
      <c r="GO76" s="960"/>
      <c r="GP76" s="960"/>
      <c r="GQ76" s="960"/>
      <c r="GR76" s="960"/>
      <c r="GS76" s="960"/>
      <c r="GT76" s="960"/>
      <c r="GU76" s="960"/>
      <c r="GV76" s="960"/>
      <c r="GW76" s="960"/>
      <c r="GX76" s="960"/>
      <c r="GY76" s="960"/>
      <c r="GZ76" s="960"/>
      <c r="HA76" s="960"/>
      <c r="HB76" s="960"/>
      <c r="HC76" s="960"/>
      <c r="HD76" s="960"/>
      <c r="HE76" s="960"/>
      <c r="HF76" s="960"/>
      <c r="HG76" s="960"/>
      <c r="HH76" s="960"/>
      <c r="HI76" s="960"/>
      <c r="HJ76" s="960"/>
      <c r="HK76" s="960"/>
      <c r="HL76" s="960"/>
      <c r="HM76" s="960"/>
      <c r="HN76" s="960"/>
      <c r="HO76" s="960"/>
      <c r="HP76" s="960"/>
      <c r="HQ76" s="960"/>
      <c r="HR76" s="960"/>
      <c r="HS76" s="960"/>
      <c r="HT76" s="960"/>
      <c r="HU76" s="960"/>
      <c r="HV76" s="960"/>
      <c r="HW76" s="960"/>
      <c r="HX76" s="960"/>
      <c r="HY76" s="960"/>
      <c r="HZ76" s="960"/>
      <c r="IA76" s="960"/>
      <c r="IB76" s="960"/>
      <c r="IC76" s="960"/>
      <c r="ID76" s="960"/>
      <c r="IE76" s="960"/>
      <c r="IF76" s="960"/>
      <c r="IG76" s="960"/>
      <c r="IH76" s="960"/>
      <c r="II76" s="960"/>
      <c r="IJ76" s="960"/>
      <c r="IK76" s="960"/>
      <c r="IL76" s="960"/>
      <c r="IM76" s="960"/>
      <c r="IN76" s="960"/>
      <c r="IO76" s="960"/>
      <c r="IP76" s="960"/>
      <c r="IQ76" s="960"/>
      <c r="IR76" s="960"/>
      <c r="IS76" s="960"/>
      <c r="IT76" s="960"/>
      <c r="IU76" s="960"/>
      <c r="IV76" s="960"/>
    </row>
    <row r="77" spans="1:256" s="456" customFormat="1" ht="12.75" x14ac:dyDescent="0.2">
      <c r="A77" s="1422" t="s">
        <v>74</v>
      </c>
      <c r="B77" s="412"/>
      <c r="C77" s="412"/>
      <c r="D77" s="412"/>
      <c r="E77" s="412"/>
      <c r="F77" s="411"/>
      <c r="G77" s="412"/>
      <c r="H77" s="412"/>
      <c r="I77" s="412"/>
      <c r="J77" s="412"/>
      <c r="K77" s="411"/>
      <c r="L77" s="412"/>
      <c r="M77" s="412"/>
      <c r="N77" s="412"/>
      <c r="O77" s="412"/>
      <c r="P77" s="411"/>
      <c r="Q77" s="412"/>
      <c r="R77" s="412"/>
      <c r="S77" s="412"/>
      <c r="T77" s="412"/>
      <c r="U77" s="411"/>
      <c r="V77" s="412"/>
      <c r="W77" s="412"/>
      <c r="X77" s="412"/>
      <c r="Y77" s="412"/>
      <c r="Z77" s="411"/>
      <c r="AA77" s="412"/>
      <c r="AB77" s="412"/>
      <c r="AC77" s="412"/>
      <c r="AD77" s="412"/>
      <c r="AE77" s="411"/>
      <c r="AF77" s="931"/>
      <c r="AG77" s="931"/>
      <c r="AH77" s="931"/>
      <c r="AI77" s="931"/>
      <c r="AJ77" s="933"/>
      <c r="AK77" s="931">
        <f t="shared" ref="AK77:BP77" si="275">AK76/AF76-1</f>
        <v>-5.4140765991578244E-2</v>
      </c>
      <c r="AL77" s="931">
        <f t="shared" si="275"/>
        <v>-1.0552233556102686E-2</v>
      </c>
      <c r="AM77" s="931">
        <f t="shared" si="275"/>
        <v>-6.6244948163767359E-2</v>
      </c>
      <c r="AN77" s="931">
        <f t="shared" si="275"/>
        <v>-0.13875262789067966</v>
      </c>
      <c r="AO77" s="933">
        <f t="shared" si="275"/>
        <v>-6.7914099311344733E-2</v>
      </c>
      <c r="AP77" s="931">
        <f t="shared" si="275"/>
        <v>8.2043671825312803E-2</v>
      </c>
      <c r="AQ77" s="931">
        <f t="shared" si="275"/>
        <v>6.2211162460006353E-3</v>
      </c>
      <c r="AR77" s="931">
        <f t="shared" si="275"/>
        <v>2.5969138125705671E-2</v>
      </c>
      <c r="AS77" s="931">
        <f t="shared" si="275"/>
        <v>5.1261187957689192E-2</v>
      </c>
      <c r="AT77" s="933">
        <f t="shared" si="275"/>
        <v>3.9469207213337798E-2</v>
      </c>
      <c r="AU77" s="931">
        <f t="shared" si="275"/>
        <v>-0.1081504702194358</v>
      </c>
      <c r="AV77" s="931">
        <f t="shared" si="275"/>
        <v>-6.3593004769474382E-3</v>
      </c>
      <c r="AW77" s="931">
        <f t="shared" si="275"/>
        <v>-0.13517975055025677</v>
      </c>
      <c r="AX77" s="931">
        <f t="shared" si="275"/>
        <v>-0.20162538699690402</v>
      </c>
      <c r="AY77" s="933">
        <f t="shared" si="275"/>
        <v>-0.11068505962122976</v>
      </c>
      <c r="AZ77" s="931">
        <f t="shared" si="275"/>
        <v>-0.17618629173989453</v>
      </c>
      <c r="BA77" s="931">
        <f t="shared" si="275"/>
        <v>-0.17315555555555562</v>
      </c>
      <c r="BB77" s="931">
        <f t="shared" si="275"/>
        <v>0.30943796394485701</v>
      </c>
      <c r="BC77" s="931">
        <f t="shared" si="275"/>
        <v>0.6539020843431893</v>
      </c>
      <c r="BD77" s="933">
        <f t="shared" si="275"/>
        <v>0.12519718161741511</v>
      </c>
      <c r="BE77" s="931">
        <f t="shared" si="275"/>
        <v>0.66186666666666683</v>
      </c>
      <c r="BF77" s="931">
        <f t="shared" si="275"/>
        <v>0.45775102128574519</v>
      </c>
      <c r="BG77" s="931">
        <f t="shared" si="275"/>
        <v>7.9689018464528694E-2</v>
      </c>
      <c r="BH77" s="931">
        <f t="shared" si="275"/>
        <v>-0.21966588511137164</v>
      </c>
      <c r="BI77" s="933">
        <f t="shared" si="275"/>
        <v>0.16841908500397218</v>
      </c>
      <c r="BJ77" s="931">
        <f t="shared" si="275"/>
        <v>-0.29749679075738122</v>
      </c>
      <c r="BK77" s="931">
        <f t="shared" si="275"/>
        <v>-0.21165191740412981</v>
      </c>
      <c r="BL77" s="931">
        <f t="shared" si="275"/>
        <v>-0.23027302730273025</v>
      </c>
      <c r="BM77" s="931">
        <f t="shared" si="275"/>
        <v>5.2206572769952997E-2</v>
      </c>
      <c r="BN77" s="933">
        <f t="shared" si="275"/>
        <v>-0.18181818181818177</v>
      </c>
      <c r="BO77" s="931">
        <f t="shared" si="275"/>
        <v>6.9438099588853497E-2</v>
      </c>
      <c r="BP77" s="931">
        <f t="shared" si="275"/>
        <v>3.2179607109448227E-2</v>
      </c>
      <c r="BQ77" s="931">
        <f t="shared" ref="BQ77:CV77" si="276">BQ76/BL76-1</f>
        <v>0.13759501071915792</v>
      </c>
      <c r="BR77" s="931">
        <f t="shared" si="276"/>
        <v>-1.0887024808138523E-2</v>
      </c>
      <c r="BS77" s="933">
        <f t="shared" si="276"/>
        <v>5.4797868700200425E-2</v>
      </c>
      <c r="BT77" s="931">
        <f t="shared" si="276"/>
        <v>0</v>
      </c>
      <c r="BU77" s="931">
        <f t="shared" si="276"/>
        <v>2.2294725394235826E-2</v>
      </c>
      <c r="BV77" s="931">
        <f t="shared" si="276"/>
        <v>-6.0476272057563785E-2</v>
      </c>
      <c r="BW77" s="931">
        <f t="shared" si="276"/>
        <v>-0.12215806568025978</v>
      </c>
      <c r="BX77" s="933">
        <f t="shared" si="276"/>
        <v>-4.2033552692557374E-2</v>
      </c>
      <c r="BY77" s="931">
        <f t="shared" si="276"/>
        <v>-6.150000000000011E-2</v>
      </c>
      <c r="BZ77" s="931">
        <f t="shared" si="276"/>
        <v>-8.9999999999999969E-2</v>
      </c>
      <c r="CA77" s="931">
        <f t="shared" si="276"/>
        <v>1.4040846097738813E-2</v>
      </c>
      <c r="CB77" s="931">
        <f t="shared" si="276"/>
        <v>0.15066803699897213</v>
      </c>
      <c r="CC77" s="933">
        <f t="shared" si="276"/>
        <v>6.993856126942255E-4</v>
      </c>
      <c r="CD77" s="931">
        <f t="shared" si="276"/>
        <v>1.7283116718786129E-2</v>
      </c>
      <c r="CE77" s="931">
        <f t="shared" si="276"/>
        <v>5.1165146909827763E-2</v>
      </c>
      <c r="CF77" s="931">
        <f t="shared" si="276"/>
        <v>-7.5885632080560983E-2</v>
      </c>
      <c r="CG77" s="931">
        <f t="shared" si="276"/>
        <v>-9.3962129331904176E-2</v>
      </c>
      <c r="CH77" s="933">
        <f t="shared" si="276"/>
        <v>-2.9463066733309451E-2</v>
      </c>
      <c r="CI77" s="931">
        <f t="shared" si="276"/>
        <v>6.9127516778523468E-2</v>
      </c>
      <c r="CJ77" s="931">
        <f t="shared" si="276"/>
        <v>3.0027803521779584E-2</v>
      </c>
      <c r="CK77" s="931">
        <f t="shared" si="276"/>
        <v>9.4960108970616686E-2</v>
      </c>
      <c r="CL77" s="931">
        <f t="shared" si="276"/>
        <v>-3.0954258675078838E-2</v>
      </c>
      <c r="CM77" s="933">
        <f t="shared" si="276"/>
        <v>3.9948196851962603E-2</v>
      </c>
      <c r="CN77" s="931">
        <f t="shared" si="276"/>
        <v>-0.24042686754551157</v>
      </c>
      <c r="CO77" s="931">
        <f t="shared" si="276"/>
        <v>-8.7277307899946033E-2</v>
      </c>
      <c r="CP77" s="931">
        <f t="shared" si="276"/>
        <v>-0.1370179491736272</v>
      </c>
      <c r="CQ77" s="931">
        <f t="shared" si="276"/>
        <v>-0.12207527975584942</v>
      </c>
      <c r="CR77" s="933">
        <f t="shared" si="276"/>
        <v>-0.14393141105469864</v>
      </c>
      <c r="CS77" s="931">
        <f t="shared" si="276"/>
        <v>-3.1129476584021987E-2</v>
      </c>
      <c r="CT77" s="931">
        <f t="shared" si="276"/>
        <v>-6.4471608832807559E-2</v>
      </c>
      <c r="CU77" s="931">
        <f t="shared" si="276"/>
        <v>7.928336079077436E-2</v>
      </c>
      <c r="CV77" s="931">
        <f t="shared" si="276"/>
        <v>7.8099652375434481E-2</v>
      </c>
      <c r="CW77" s="933">
        <f t="shared" ref="CW77:ED77" si="277">CW76/CR76-1</f>
        <v>1.577798914563866E-2</v>
      </c>
      <c r="CX77" s="931">
        <f t="shared" si="277"/>
        <v>-0.25789024736991761</v>
      </c>
      <c r="CY77" s="931">
        <f t="shared" si="277"/>
        <v>-0.50200210748155949</v>
      </c>
      <c r="CZ77" s="931">
        <f t="shared" si="277"/>
        <v>-0.38332379316924248</v>
      </c>
      <c r="DA77" s="931">
        <f t="shared" si="277"/>
        <v>-0.21689595872742917</v>
      </c>
      <c r="DB77" s="933">
        <f t="shared" si="277"/>
        <v>-0.34739741118149281</v>
      </c>
      <c r="DC77" s="931">
        <f t="shared" si="277"/>
        <v>0.57432950191570886</v>
      </c>
      <c r="DD77" s="931">
        <f t="shared" si="277"/>
        <v>1.2128650021159544</v>
      </c>
      <c r="DE77" s="931">
        <f t="shared" si="277"/>
        <v>0.70204207920792072</v>
      </c>
      <c r="DF77" s="931">
        <f t="shared" si="277"/>
        <v>0.35382926159758465</v>
      </c>
      <c r="DG77" s="933">
        <f t="shared" si="277"/>
        <v>0.66872045914922373</v>
      </c>
      <c r="DH77" s="931">
        <f t="shared" si="277"/>
        <v>-8.1528352397176929E-2</v>
      </c>
      <c r="DI77" s="931">
        <f t="shared" si="277"/>
        <v>-7.0759227385733481E-2</v>
      </c>
      <c r="DJ77" s="931">
        <f t="shared" si="277"/>
        <v>1.3452099618251223E-2</v>
      </c>
      <c r="DK77" s="931">
        <f t="shared" si="277"/>
        <v>0.11394971613949711</v>
      </c>
      <c r="DL77" s="933">
        <f t="shared" si="277"/>
        <v>-3.489960042486584E-3</v>
      </c>
      <c r="DM77" s="931">
        <f t="shared" si="277"/>
        <v>0.21144674085850568</v>
      </c>
      <c r="DN77" s="931">
        <f t="shared" si="277"/>
        <v>3.2928586128833093E-2</v>
      </c>
      <c r="DO77" s="931">
        <f t="shared" si="277"/>
        <v>-0.16609865470852025</v>
      </c>
      <c r="DP77" s="931">
        <f t="shared" si="277"/>
        <v>-0.1712777575536949</v>
      </c>
      <c r="DQ77" s="933">
        <f t="shared" si="277"/>
        <v>-4.6137447974824664E-2</v>
      </c>
      <c r="DR77" s="931">
        <f t="shared" si="277"/>
        <v>-0.11592300962379709</v>
      </c>
      <c r="DS77" s="931">
        <f t="shared" si="277"/>
        <v>-8.1888822474596612E-2</v>
      </c>
      <c r="DT77" s="931">
        <f t="shared" si="277"/>
        <v>-6.2809206280920571E-2</v>
      </c>
      <c r="DU77" s="931">
        <f t="shared" si="277"/>
        <v>-0.14386119042389633</v>
      </c>
      <c r="DV77" s="933">
        <f t="shared" si="277"/>
        <v>-0.10046293832810116</v>
      </c>
      <c r="DW77" s="931">
        <f t="shared" si="277"/>
        <v>-0.21177634834240477</v>
      </c>
      <c r="DX77" s="931">
        <f t="shared" si="277"/>
        <v>-0.10568576388888873</v>
      </c>
      <c r="DY77" s="931">
        <f t="shared" si="277"/>
        <v>4.2460408537984717E-2</v>
      </c>
      <c r="DZ77" s="931">
        <f t="shared" si="277"/>
        <v>9.8255515649050773E-2</v>
      </c>
      <c r="EA77" s="933">
        <f t="shared" si="277"/>
        <v>-4.5844424726412258E-2</v>
      </c>
      <c r="EB77" s="931">
        <f t="shared" si="277"/>
        <v>-1.2868801004394248E-2</v>
      </c>
      <c r="EC77" s="931">
        <f t="shared" si="277"/>
        <v>-1.5044892016500944E-2</v>
      </c>
      <c r="ED77" s="931">
        <f t="shared" si="277"/>
        <v>-0.16820783795684713</v>
      </c>
      <c r="EE77" s="931">
        <f>EE76/DZ76-1</f>
        <v>-0.18990889978976866</v>
      </c>
      <c r="EF77" s="933">
        <f>EF76/EA76-1</f>
        <v>-0.10415375077495337</v>
      </c>
      <c r="EG77" s="931">
        <f>EG76/EB76-1</f>
        <v>-5.9141494435612119E-2</v>
      </c>
      <c r="EH77" s="931">
        <f>EH76/EC76-1</f>
        <v>-0.118009361911801</v>
      </c>
      <c r="EI77" s="931">
        <f>EI76/ED76-1</f>
        <v>1.0058231868713463E-2</v>
      </c>
      <c r="EJ77" s="931">
        <f t="shared" ref="EJ77:EK77" si="278">EJ76/EE76-1</f>
        <v>1.7589388696655162E-2</v>
      </c>
      <c r="EK77" s="933">
        <f t="shared" si="278"/>
        <v>-3.9169550173010381E-2</v>
      </c>
      <c r="EL77" s="931">
        <f>EL76/EG76-1</f>
        <v>0.13788442041230131</v>
      </c>
      <c r="EM77" s="931">
        <f>EM76/EH76-1</f>
        <v>0.11229050279329611</v>
      </c>
      <c r="EN77" s="931">
        <f>EN76/EI76-1</f>
        <v>0.12631027253668758</v>
      </c>
      <c r="EO77" s="931">
        <f t="shared" ref="EO77" si="279">EO76/EJ76-1</f>
        <v>0.1413998299801642</v>
      </c>
      <c r="EP77" s="933">
        <f t="shared" ref="EP77" si="280">EP76/EK76-1</f>
        <v>0.12899740708729479</v>
      </c>
      <c r="EQ77" s="931">
        <f>EQ76/EL76-1</f>
        <v>-6.5340065340065423E-2</v>
      </c>
      <c r="ER77" s="931">
        <f t="shared" ref="ER77" si="281">ER76/EM76-1</f>
        <v>-7.0818684078352567E-2</v>
      </c>
      <c r="ES77" s="931">
        <f t="shared" ref="ES77:EU77" si="282">ES76/EN76-1</f>
        <v>-9.2601209865053491E-2</v>
      </c>
      <c r="ET77" s="931">
        <f t="shared" si="282"/>
        <v>-8.1429990069513236E-2</v>
      </c>
      <c r="EU77" s="1951">
        <f t="shared" si="282"/>
        <v>-7.8341307814992156E-2</v>
      </c>
      <c r="EV77" s="1423"/>
      <c r="EW77" s="1423"/>
      <c r="EX77" s="1423"/>
      <c r="EY77" s="1423"/>
      <c r="EZ77" s="1424">
        <f>EZ76/EU76-1</f>
        <v>-3.0940679725894649E-2</v>
      </c>
      <c r="FA77" s="1423"/>
      <c r="FB77" s="1423"/>
      <c r="FC77" s="1423"/>
      <c r="FD77" s="1423"/>
      <c r="FE77" s="1424">
        <f>FE76/EZ76-1</f>
        <v>-2.8571428571428581E-2</v>
      </c>
      <c r="FF77" s="763"/>
      <c r="FG77" s="620"/>
      <c r="FH77" s="1028"/>
      <c r="FI77" s="1028"/>
      <c r="FJ77" s="1028"/>
      <c r="FK77" s="1028"/>
      <c r="FL77" s="1812"/>
      <c r="FM77" s="931">
        <f t="shared" si="239"/>
        <v>-6.5340065340065423E-2</v>
      </c>
      <c r="FN77" s="931">
        <f t="shared" si="240"/>
        <v>0.13788442041230131</v>
      </c>
      <c r="FO77" s="931">
        <v>9.8901098901098994E-2</v>
      </c>
      <c r="FP77" s="1893">
        <f>IFERROR(($FM77-FN77)*10000,"")</f>
        <v>-2032.2448575236674</v>
      </c>
      <c r="FQ77" s="1893">
        <f>IFERROR(($FM77-FO77)*10000,"")</f>
        <v>-1642.4116424116442</v>
      </c>
      <c r="FR77" s="567"/>
      <c r="FS77" s="566"/>
      <c r="FT77" s="566"/>
      <c r="FU77" s="566"/>
      <c r="FV77" s="566"/>
      <c r="FW77" s="566"/>
      <c r="FX77" s="574"/>
      <c r="FY77" s="574"/>
      <c r="FZ77" s="574"/>
      <c r="GA77" s="620"/>
      <c r="GB77"/>
      <c r="GC77"/>
      <c r="GD77"/>
      <c r="GE77"/>
      <c r="GF77"/>
      <c r="GG77"/>
      <c r="GH77" s="961"/>
      <c r="GI77" s="961"/>
      <c r="GJ77" s="961"/>
      <c r="GK77" s="961"/>
      <c r="GL77" s="961"/>
      <c r="GM77" s="961"/>
      <c r="GN77" s="961"/>
      <c r="GO77" s="961"/>
      <c r="GP77" s="961"/>
      <c r="GQ77" s="961"/>
      <c r="GR77" s="961"/>
      <c r="GS77" s="961"/>
      <c r="GT77" s="961"/>
      <c r="GU77" s="961"/>
      <c r="GV77" s="961"/>
      <c r="GW77" s="961"/>
      <c r="GX77" s="961"/>
      <c r="GY77" s="961"/>
      <c r="GZ77" s="961"/>
      <c r="HA77" s="961"/>
      <c r="HB77" s="961"/>
      <c r="HC77" s="961"/>
      <c r="HD77" s="961"/>
      <c r="HE77" s="961"/>
      <c r="HF77" s="961"/>
      <c r="HG77" s="961"/>
      <c r="HH77" s="961"/>
      <c r="HI77" s="961"/>
      <c r="HJ77" s="961"/>
      <c r="HK77" s="961"/>
      <c r="HL77" s="961"/>
      <c r="HM77" s="961"/>
      <c r="HN77" s="961"/>
      <c r="HO77" s="961"/>
      <c r="HP77" s="961"/>
      <c r="HQ77" s="961"/>
      <c r="HR77" s="961"/>
      <c r="HS77" s="961"/>
      <c r="HT77" s="961"/>
      <c r="HU77" s="961"/>
      <c r="HV77" s="961"/>
      <c r="HW77" s="961"/>
      <c r="HX77" s="961"/>
      <c r="HY77" s="961"/>
      <c r="HZ77" s="961"/>
      <c r="IA77" s="961"/>
      <c r="IB77" s="961"/>
      <c r="IC77" s="961"/>
      <c r="ID77" s="961"/>
      <c r="IE77" s="961"/>
      <c r="IF77" s="961"/>
      <c r="IG77" s="961"/>
      <c r="IH77" s="961"/>
      <c r="II77" s="961"/>
      <c r="IJ77" s="961"/>
      <c r="IK77" s="961"/>
      <c r="IL77" s="961"/>
      <c r="IM77" s="961"/>
      <c r="IN77" s="961"/>
      <c r="IO77" s="961"/>
      <c r="IP77" s="961"/>
      <c r="IQ77" s="961"/>
      <c r="IR77" s="961"/>
      <c r="IS77" s="961"/>
      <c r="IT77" s="961"/>
      <c r="IU77" s="961"/>
      <c r="IV77" s="961"/>
    </row>
    <row r="78" spans="1:256" s="408" customFormat="1" ht="12.75" x14ac:dyDescent="0.2">
      <c r="A78" s="900" t="s">
        <v>0</v>
      </c>
      <c r="B78" s="452"/>
      <c r="C78" s="452"/>
      <c r="D78" s="452"/>
      <c r="E78" s="452"/>
      <c r="F78" s="453"/>
      <c r="G78" s="452"/>
      <c r="H78" s="452"/>
      <c r="I78" s="452"/>
      <c r="J78" s="452"/>
      <c r="K78" s="453"/>
      <c r="L78" s="452"/>
      <c r="M78" s="452"/>
      <c r="N78" s="452"/>
      <c r="O78" s="452"/>
      <c r="P78" s="453"/>
      <c r="Q78" s="452"/>
      <c r="R78" s="452"/>
      <c r="S78" s="452"/>
      <c r="T78" s="452"/>
      <c r="U78" s="453"/>
      <c r="V78" s="452"/>
      <c r="W78" s="452"/>
      <c r="X78" s="452"/>
      <c r="Y78" s="452"/>
      <c r="Z78" s="453"/>
      <c r="AA78" s="452"/>
      <c r="AB78" s="452"/>
      <c r="AC78" s="452"/>
      <c r="AD78" s="452"/>
      <c r="AE78" s="453"/>
      <c r="AF78" s="452">
        <v>2.0329999999999999</v>
      </c>
      <c r="AG78" s="452">
        <v>2.004</v>
      </c>
      <c r="AH78" s="452">
        <v>1.9390000000000001</v>
      </c>
      <c r="AI78" s="452">
        <v>2.2130000000000001</v>
      </c>
      <c r="AJ78" s="453">
        <f>SUM(AF78:AI78)</f>
        <v>8.1890000000000001</v>
      </c>
      <c r="AK78" s="452">
        <v>2.3010000000000002</v>
      </c>
      <c r="AL78" s="452">
        <v>2.0649999999999999</v>
      </c>
      <c r="AM78" s="452">
        <v>1.8140000000000001</v>
      </c>
      <c r="AN78" s="452">
        <v>2.0630000000000002</v>
      </c>
      <c r="AO78" s="453">
        <f>SUM(AK78:AN78)</f>
        <v>8.2430000000000003</v>
      </c>
      <c r="AP78" s="452">
        <v>1.86</v>
      </c>
      <c r="AQ78" s="452">
        <v>1.9790000000000001</v>
      </c>
      <c r="AR78" s="452">
        <v>1.94</v>
      </c>
      <c r="AS78" s="452">
        <v>1.9350000000000001</v>
      </c>
      <c r="AT78" s="453">
        <f>SUM(AP78:AS78)</f>
        <v>7.7140000000000004</v>
      </c>
      <c r="AU78" s="452">
        <v>1.8660000000000001</v>
      </c>
      <c r="AV78" s="452">
        <v>2.0649999999999999</v>
      </c>
      <c r="AW78" s="452">
        <v>2.1280000000000001</v>
      </c>
      <c r="AX78" s="452">
        <v>2.33</v>
      </c>
      <c r="AY78" s="453">
        <f>SUM(AU78:AX78)</f>
        <v>8.3889999999999993</v>
      </c>
      <c r="AZ78" s="452">
        <v>2.0219999999999998</v>
      </c>
      <c r="BA78" s="452">
        <v>2.27</v>
      </c>
      <c r="BB78" s="452">
        <v>2.9740000000000002</v>
      </c>
      <c r="BC78" s="452">
        <v>3.0819999999999999</v>
      </c>
      <c r="BD78" s="453">
        <f>SUM(AZ78:BC78)</f>
        <v>10.347999999999999</v>
      </c>
      <c r="BE78" s="452">
        <v>2.613</v>
      </c>
      <c r="BF78" s="452">
        <v>2.6269999999999998</v>
      </c>
      <c r="BG78" s="452">
        <v>2.835</v>
      </c>
      <c r="BH78" s="452">
        <v>2.706</v>
      </c>
      <c r="BI78" s="453">
        <f>SUM(BE78:BH78)</f>
        <v>10.780999999999999</v>
      </c>
      <c r="BJ78" s="452">
        <v>2.698</v>
      </c>
      <c r="BK78" s="452">
        <v>2.97</v>
      </c>
      <c r="BL78" s="452">
        <v>2.847</v>
      </c>
      <c r="BM78" s="452">
        <v>2.8620000000000001</v>
      </c>
      <c r="BN78" s="453">
        <f>SUM(BJ78:BM78)</f>
        <v>11.377000000000001</v>
      </c>
      <c r="BO78" s="452">
        <v>2.2759999999999998</v>
      </c>
      <c r="BP78" s="452">
        <v>2.6419999999999999</v>
      </c>
      <c r="BQ78" s="452">
        <v>2.4750000000000001</v>
      </c>
      <c r="BR78" s="452">
        <v>2.34</v>
      </c>
      <c r="BS78" s="453">
        <f>SUM(BO78:BR78)</f>
        <v>9.7329999999999988</v>
      </c>
      <c r="BT78" s="452">
        <v>2.2759999999999998</v>
      </c>
      <c r="BU78" s="452">
        <v>2.3159999999999998</v>
      </c>
      <c r="BV78" s="452">
        <v>2.7490000000000001</v>
      </c>
      <c r="BW78" s="452">
        <v>2.5579999999999998</v>
      </c>
      <c r="BX78" s="453">
        <f>SUM(BT78:BW78)</f>
        <v>9.8989999999999991</v>
      </c>
      <c r="BY78" s="452">
        <v>2.3328999999999995</v>
      </c>
      <c r="BZ78" s="452">
        <v>2.3646359999999995</v>
      </c>
      <c r="CA78" s="452">
        <v>2.593</v>
      </c>
      <c r="CB78" s="452">
        <v>2.3980000000000001</v>
      </c>
      <c r="CC78" s="453">
        <f>SUM(BY78:CB78)</f>
        <v>9.6885359999999991</v>
      </c>
      <c r="CD78" s="452">
        <v>2.101</v>
      </c>
      <c r="CE78" s="452">
        <v>2.6779999999999999</v>
      </c>
      <c r="CF78" s="452">
        <v>2.4350000000000001</v>
      </c>
      <c r="CG78" s="452">
        <v>2.31</v>
      </c>
      <c r="CH78" s="453">
        <f>SUM(CD78:CG78)</f>
        <v>9.5240000000000009</v>
      </c>
      <c r="CI78" s="452">
        <v>2.2010000000000001</v>
      </c>
      <c r="CJ78" s="452">
        <v>2.4780000000000002</v>
      </c>
      <c r="CK78" s="452">
        <v>2.3079999999999998</v>
      </c>
      <c r="CL78" s="452">
        <v>2.395</v>
      </c>
      <c r="CM78" s="453">
        <f>SUM(CI78:CL78)</f>
        <v>9.3819999999999997</v>
      </c>
      <c r="CN78" s="452">
        <v>2.3969999999999998</v>
      </c>
      <c r="CO78" s="452">
        <v>2.653</v>
      </c>
      <c r="CP78" s="452">
        <v>2.3620000000000001</v>
      </c>
      <c r="CQ78" s="452">
        <v>2.3820000000000001</v>
      </c>
      <c r="CR78" s="453">
        <f>SUM(CN78:CQ78)</f>
        <v>9.7940000000000005</v>
      </c>
      <c r="CS78" s="452">
        <v>1.909</v>
      </c>
      <c r="CT78" s="452">
        <v>2.25</v>
      </c>
      <c r="CU78" s="452">
        <v>2.2709999999999999</v>
      </c>
      <c r="CV78" s="452">
        <v>2.1230000000000002</v>
      </c>
      <c r="CW78" s="453">
        <f>SUM(CS78:CV78)</f>
        <v>8.5530000000000008</v>
      </c>
      <c r="CX78" s="452">
        <v>1.849</v>
      </c>
      <c r="CY78" s="452">
        <v>1.849</v>
      </c>
      <c r="CZ78" s="452">
        <v>1.885</v>
      </c>
      <c r="DA78" s="452">
        <v>1.9259999999999999</v>
      </c>
      <c r="DB78" s="453">
        <f>SUM(CX78:DA78)</f>
        <v>7.5090000000000003</v>
      </c>
      <c r="DC78" s="452">
        <v>1.8169999999999999</v>
      </c>
      <c r="DD78" s="452">
        <v>2.0299999999999998</v>
      </c>
      <c r="DE78" s="452">
        <v>1.879</v>
      </c>
      <c r="DF78" s="452">
        <v>1.847</v>
      </c>
      <c r="DG78" s="402">
        <f>SUM(DC78:DF78)</f>
        <v>7.5729999999999986</v>
      </c>
      <c r="DH78" s="452">
        <v>1.825</v>
      </c>
      <c r="DI78" s="452">
        <v>1.9059999999999999</v>
      </c>
      <c r="DJ78" s="452">
        <v>1.974</v>
      </c>
      <c r="DK78" s="452">
        <v>2.008</v>
      </c>
      <c r="DL78" s="402">
        <f>SUM(DH78:DK78)</f>
        <v>7.7130000000000001</v>
      </c>
      <c r="DM78" s="452">
        <v>1.921</v>
      </c>
      <c r="DN78" s="452">
        <v>1.88</v>
      </c>
      <c r="DO78" s="452">
        <v>1.724</v>
      </c>
      <c r="DP78" s="452">
        <v>1.851</v>
      </c>
      <c r="DQ78" s="402">
        <f>SUM(DM78:DP78)</f>
        <v>7.3760000000000003</v>
      </c>
      <c r="DR78" s="452">
        <v>1.8</v>
      </c>
      <c r="DS78" s="452">
        <v>1.81</v>
      </c>
      <c r="DT78" s="1206">
        <v>1.659</v>
      </c>
      <c r="DU78" s="452">
        <v>2.1190000000000002</v>
      </c>
      <c r="DV78" s="402">
        <f>SUM(DR78:DU78)</f>
        <v>7.3879999999999999</v>
      </c>
      <c r="DW78" s="452">
        <v>1.9710000000000001</v>
      </c>
      <c r="DX78" s="452">
        <v>2.2599999999999998</v>
      </c>
      <c r="DY78" s="1206">
        <v>2.2330000000000001</v>
      </c>
      <c r="DZ78" s="452">
        <v>2.1349999999999998</v>
      </c>
      <c r="EA78" s="402">
        <f>SUM(DW78:DZ78)</f>
        <v>8.5990000000000002</v>
      </c>
      <c r="EB78" s="452">
        <v>1.9830000000000001</v>
      </c>
      <c r="EC78" s="452">
        <v>2.1920000000000002</v>
      </c>
      <c r="ED78" s="1206">
        <v>1.9890000000000001</v>
      </c>
      <c r="EE78" s="452">
        <v>2.0369999999999999</v>
      </c>
      <c r="EF78" s="402">
        <f>SUM(EB78:EE78)</f>
        <v>8.2010000000000005</v>
      </c>
      <c r="EG78" s="452">
        <v>1.675</v>
      </c>
      <c r="EH78" s="452">
        <v>1.5209999999999999</v>
      </c>
      <c r="EI78" s="1206">
        <v>1.589</v>
      </c>
      <c r="EJ78" s="452">
        <v>1.367</v>
      </c>
      <c r="EK78" s="402">
        <f>SUM(EG78:EJ78)</f>
        <v>6.1520000000000001</v>
      </c>
      <c r="EL78" s="452">
        <v>1.4710000000000001</v>
      </c>
      <c r="EM78" s="452">
        <v>1.331</v>
      </c>
      <c r="EN78" s="1206">
        <v>1.4570000000000001</v>
      </c>
      <c r="EO78" s="452">
        <v>1.286</v>
      </c>
      <c r="EP78" s="402">
        <f>SUM(EL78:EO78)</f>
        <v>5.5449999999999999</v>
      </c>
      <c r="EQ78" s="452">
        <v>1.26</v>
      </c>
      <c r="ER78" s="454">
        <f>+EQ78</f>
        <v>1.26</v>
      </c>
      <c r="ES78" s="454">
        <f t="shared" ref="ES78:ET78" si="283">+ER78</f>
        <v>1.26</v>
      </c>
      <c r="ET78" s="454">
        <f t="shared" si="283"/>
        <v>1.26</v>
      </c>
      <c r="EU78" s="1939">
        <f>SUM(EQ78:ET78)</f>
        <v>5.04</v>
      </c>
      <c r="EV78" s="1417"/>
      <c r="EW78" s="1417"/>
      <c r="EX78" s="1417"/>
      <c r="EY78" s="1417"/>
      <c r="EZ78" s="1418">
        <v>4.8</v>
      </c>
      <c r="FA78" s="1417"/>
      <c r="FB78" s="1417"/>
      <c r="FC78" s="1417"/>
      <c r="FD78" s="1417"/>
      <c r="FE78" s="1418">
        <v>4.5999999999999996</v>
      </c>
      <c r="FF78" s="762"/>
      <c r="FG78" s="1114"/>
      <c r="FH78" s="1060"/>
      <c r="FI78" s="1060"/>
      <c r="FJ78" s="1060"/>
      <c r="FK78" s="1060"/>
      <c r="FL78" s="1810"/>
      <c r="FM78" s="452">
        <f t="shared" si="239"/>
        <v>1.26</v>
      </c>
      <c r="FN78" s="452">
        <f t="shared" si="240"/>
        <v>1.4710000000000001</v>
      </c>
      <c r="FO78" s="454">
        <v>1.3</v>
      </c>
      <c r="FP78" s="15">
        <f>IFERROR(($FM78/FN78)-1,"")</f>
        <v>-0.14343983684568329</v>
      </c>
      <c r="FQ78" s="15">
        <f>IFERROR(($FM78/FO78)-1,"")</f>
        <v>-3.0769230769230771E-2</v>
      </c>
      <c r="FR78" s="1430"/>
      <c r="FS78" s="573"/>
      <c r="FT78" s="573"/>
      <c r="FU78" s="573"/>
      <c r="FV78" s="573"/>
      <c r="FW78" s="573"/>
      <c r="FX78" s="573"/>
      <c r="FY78" s="573"/>
      <c r="FZ78" s="573"/>
      <c r="GA78" s="1114"/>
      <c r="GB78"/>
      <c r="GC78"/>
      <c r="GD78"/>
      <c r="GE78"/>
      <c r="GF78"/>
      <c r="GG78"/>
      <c r="GH78" s="960"/>
      <c r="GI78" s="960"/>
      <c r="GJ78" s="960"/>
      <c r="GK78" s="960"/>
      <c r="GL78" s="960"/>
      <c r="GM78" s="960"/>
      <c r="GN78" s="960"/>
      <c r="GO78" s="960"/>
      <c r="GP78" s="960"/>
      <c r="GQ78" s="960"/>
      <c r="GR78" s="960"/>
      <c r="GS78" s="960"/>
      <c r="GT78" s="960"/>
      <c r="GU78" s="960"/>
      <c r="GV78" s="960"/>
      <c r="GW78" s="960"/>
      <c r="GX78" s="960"/>
      <c r="GY78" s="960"/>
      <c r="GZ78" s="960"/>
      <c r="HA78" s="960"/>
      <c r="HB78" s="960"/>
      <c r="HC78" s="960"/>
      <c r="HD78" s="960"/>
      <c r="HE78" s="960"/>
      <c r="HF78" s="960"/>
      <c r="HG78" s="960"/>
      <c r="HH78" s="960"/>
      <c r="HI78" s="960"/>
      <c r="HJ78" s="960"/>
      <c r="HK78" s="960"/>
      <c r="HL78" s="960"/>
      <c r="HM78" s="960"/>
      <c r="HN78" s="960"/>
      <c r="HO78" s="960"/>
      <c r="HP78" s="960"/>
      <c r="HQ78" s="960"/>
      <c r="HR78" s="960"/>
      <c r="HS78" s="960"/>
      <c r="HT78" s="960"/>
      <c r="HU78" s="960"/>
      <c r="HV78" s="960"/>
      <c r="HW78" s="960"/>
      <c r="HX78" s="960"/>
      <c r="HY78" s="960"/>
      <c r="HZ78" s="960"/>
      <c r="IA78" s="960"/>
      <c r="IB78" s="960"/>
      <c r="IC78" s="960"/>
      <c r="ID78" s="960"/>
      <c r="IE78" s="960"/>
      <c r="IF78" s="960"/>
      <c r="IG78" s="960"/>
      <c r="IH78" s="960"/>
      <c r="II78" s="960"/>
      <c r="IJ78" s="960"/>
      <c r="IK78" s="960"/>
      <c r="IL78" s="960"/>
      <c r="IM78" s="960"/>
      <c r="IN78" s="960"/>
      <c r="IO78" s="960"/>
      <c r="IP78" s="960"/>
      <c r="IQ78" s="960"/>
      <c r="IR78" s="960"/>
      <c r="IS78" s="960"/>
      <c r="IT78" s="960"/>
      <c r="IU78" s="960"/>
      <c r="IV78" s="960"/>
    </row>
    <row r="79" spans="1:256" s="457" customFormat="1" ht="12.75" x14ac:dyDescent="0.2">
      <c r="A79" s="1422" t="s">
        <v>74</v>
      </c>
      <c r="B79" s="931"/>
      <c r="C79" s="931"/>
      <c r="D79" s="931"/>
      <c r="E79" s="931"/>
      <c r="F79" s="933"/>
      <c r="G79" s="931"/>
      <c r="H79" s="931"/>
      <c r="I79" s="931"/>
      <c r="J79" s="931"/>
      <c r="K79" s="933"/>
      <c r="L79" s="931"/>
      <c r="M79" s="931"/>
      <c r="N79" s="931"/>
      <c r="O79" s="931"/>
      <c r="P79" s="933"/>
      <c r="Q79" s="931"/>
      <c r="R79" s="931"/>
      <c r="S79" s="931"/>
      <c r="T79" s="931"/>
      <c r="U79" s="933"/>
      <c r="V79" s="931"/>
      <c r="W79" s="931"/>
      <c r="X79" s="931"/>
      <c r="Y79" s="931"/>
      <c r="Z79" s="933"/>
      <c r="AA79" s="931"/>
      <c r="AB79" s="931"/>
      <c r="AC79" s="931"/>
      <c r="AD79" s="931"/>
      <c r="AE79" s="933"/>
      <c r="AF79" s="412"/>
      <c r="AG79" s="931"/>
      <c r="AH79" s="931"/>
      <c r="AI79" s="931"/>
      <c r="AJ79" s="933"/>
      <c r="AK79" s="931">
        <f t="shared" ref="AK79:BP79" si="284">AK78/AF78-1</f>
        <v>0.13182488932611913</v>
      </c>
      <c r="AL79" s="931">
        <f t="shared" si="284"/>
        <v>3.0439121756486998E-2</v>
      </c>
      <c r="AM79" s="931">
        <f t="shared" si="284"/>
        <v>-6.4466219700876737E-2</v>
      </c>
      <c r="AN79" s="931">
        <f t="shared" si="284"/>
        <v>-6.7781292363307655E-2</v>
      </c>
      <c r="AO79" s="933">
        <f t="shared" si="284"/>
        <v>6.5942117474662165E-3</v>
      </c>
      <c r="AP79" s="931">
        <f t="shared" si="284"/>
        <v>-0.1916558018252934</v>
      </c>
      <c r="AQ79" s="931">
        <f t="shared" si="284"/>
        <v>-4.1646489104116169E-2</v>
      </c>
      <c r="AR79" s="931">
        <f t="shared" si="284"/>
        <v>6.9459757442116743E-2</v>
      </c>
      <c r="AS79" s="931">
        <f t="shared" si="284"/>
        <v>-6.2045564711585066E-2</v>
      </c>
      <c r="AT79" s="933">
        <f t="shared" si="284"/>
        <v>-6.4175664199927152E-2</v>
      </c>
      <c r="AU79" s="931">
        <f t="shared" si="284"/>
        <v>3.225806451612856E-3</v>
      </c>
      <c r="AV79" s="931">
        <f t="shared" si="284"/>
        <v>4.3456291056088947E-2</v>
      </c>
      <c r="AW79" s="931">
        <f t="shared" si="284"/>
        <v>9.6907216494845461E-2</v>
      </c>
      <c r="AX79" s="931">
        <f t="shared" si="284"/>
        <v>0.20413436692506459</v>
      </c>
      <c r="AY79" s="933">
        <f t="shared" si="284"/>
        <v>8.7503240860772546E-2</v>
      </c>
      <c r="AZ79" s="931">
        <f t="shared" si="284"/>
        <v>8.3601286173633271E-2</v>
      </c>
      <c r="BA79" s="931">
        <f t="shared" si="284"/>
        <v>9.9273607748184167E-2</v>
      </c>
      <c r="BB79" s="931">
        <f t="shared" si="284"/>
        <v>0.39755639097744355</v>
      </c>
      <c r="BC79" s="931">
        <f t="shared" si="284"/>
        <v>0.32274678111587973</v>
      </c>
      <c r="BD79" s="933">
        <f t="shared" si="284"/>
        <v>0.23352008582667771</v>
      </c>
      <c r="BE79" s="931">
        <f t="shared" si="284"/>
        <v>0.29228486646884289</v>
      </c>
      <c r="BF79" s="931">
        <f t="shared" si="284"/>
        <v>0.15726872246696022</v>
      </c>
      <c r="BG79" s="931">
        <f t="shared" si="284"/>
        <v>-4.6738399462004088E-2</v>
      </c>
      <c r="BH79" s="931">
        <f t="shared" si="284"/>
        <v>-0.12199870214146658</v>
      </c>
      <c r="BI79" s="933">
        <f t="shared" si="284"/>
        <v>4.1843834557402371E-2</v>
      </c>
      <c r="BJ79" s="931">
        <f t="shared" si="284"/>
        <v>3.2529659395331034E-2</v>
      </c>
      <c r="BK79" s="931">
        <f t="shared" si="284"/>
        <v>0.13056718690521518</v>
      </c>
      <c r="BL79" s="931">
        <f t="shared" si="284"/>
        <v>4.2328042328041438E-3</v>
      </c>
      <c r="BM79" s="931">
        <f t="shared" si="284"/>
        <v>5.7649667405764937E-2</v>
      </c>
      <c r="BN79" s="933">
        <f t="shared" si="284"/>
        <v>5.528244133197302E-2</v>
      </c>
      <c r="BO79" s="931">
        <f t="shared" si="284"/>
        <v>-0.15641215715344703</v>
      </c>
      <c r="BP79" s="931">
        <f t="shared" si="284"/>
        <v>-0.11043771043771056</v>
      </c>
      <c r="BQ79" s="931">
        <f t="shared" ref="BQ79:CV79" si="285">BQ78/BL78-1</f>
        <v>-0.13066385669125391</v>
      </c>
      <c r="BR79" s="931">
        <f t="shared" si="285"/>
        <v>-0.18238993710691831</v>
      </c>
      <c r="BS79" s="933">
        <f t="shared" si="285"/>
        <v>-0.14450206557088885</v>
      </c>
      <c r="BT79" s="931">
        <f t="shared" si="285"/>
        <v>0</v>
      </c>
      <c r="BU79" s="931">
        <f t="shared" si="285"/>
        <v>-0.1233913701741105</v>
      </c>
      <c r="BV79" s="931">
        <f t="shared" si="285"/>
        <v>0.11070707070707075</v>
      </c>
      <c r="BW79" s="931">
        <f t="shared" si="285"/>
        <v>9.3162393162393053E-2</v>
      </c>
      <c r="BX79" s="933">
        <f t="shared" si="285"/>
        <v>1.7055378608856531E-2</v>
      </c>
      <c r="BY79" s="931">
        <f t="shared" si="285"/>
        <v>2.4999999999999911E-2</v>
      </c>
      <c r="BZ79" s="931">
        <f t="shared" si="285"/>
        <v>2.0999999999999908E-2</v>
      </c>
      <c r="CA79" s="931">
        <f t="shared" si="285"/>
        <v>-5.6747908330301966E-2</v>
      </c>
      <c r="CB79" s="931">
        <f t="shared" si="285"/>
        <v>-6.2548866301798123E-2</v>
      </c>
      <c r="CC79" s="933">
        <f t="shared" si="285"/>
        <v>-2.1261137488635229E-2</v>
      </c>
      <c r="CD79" s="931">
        <f t="shared" si="285"/>
        <v>-9.9404175061082567E-2</v>
      </c>
      <c r="CE79" s="931">
        <f t="shared" si="285"/>
        <v>0.13252103072100763</v>
      </c>
      <c r="CF79" s="931">
        <f t="shared" si="285"/>
        <v>-6.0933281912842197E-2</v>
      </c>
      <c r="CG79" s="931">
        <f t="shared" si="285"/>
        <v>-3.669724770642202E-2</v>
      </c>
      <c r="CH79" s="933">
        <f t="shared" si="285"/>
        <v>-1.6982545144075267E-2</v>
      </c>
      <c r="CI79" s="931">
        <f t="shared" si="285"/>
        <v>4.7596382674916837E-2</v>
      </c>
      <c r="CJ79" s="931">
        <f t="shared" si="285"/>
        <v>-7.4682598954443513E-2</v>
      </c>
      <c r="CK79" s="931">
        <f t="shared" si="285"/>
        <v>-5.2156057494866626E-2</v>
      </c>
      <c r="CL79" s="931">
        <f t="shared" si="285"/>
        <v>3.6796536796536827E-2</v>
      </c>
      <c r="CM79" s="933">
        <f t="shared" si="285"/>
        <v>-1.490970180596396E-2</v>
      </c>
      <c r="CN79" s="931">
        <f t="shared" si="285"/>
        <v>8.9050431621989778E-2</v>
      </c>
      <c r="CO79" s="931">
        <f t="shared" si="285"/>
        <v>7.0621468926553632E-2</v>
      </c>
      <c r="CP79" s="931">
        <f t="shared" si="285"/>
        <v>2.3396880415944565E-2</v>
      </c>
      <c r="CQ79" s="931">
        <f t="shared" si="285"/>
        <v>-5.4279749478078898E-3</v>
      </c>
      <c r="CR79" s="933">
        <f t="shared" si="285"/>
        <v>4.3913877638030341E-2</v>
      </c>
      <c r="CS79" s="931">
        <f t="shared" si="285"/>
        <v>-0.20358781810596571</v>
      </c>
      <c r="CT79" s="931">
        <f t="shared" si="285"/>
        <v>-0.15190350546551079</v>
      </c>
      <c r="CU79" s="931">
        <f t="shared" si="285"/>
        <v>-3.8526672311600452E-2</v>
      </c>
      <c r="CV79" s="931">
        <f t="shared" si="285"/>
        <v>-0.10873215785054569</v>
      </c>
      <c r="CW79" s="933">
        <f t="shared" ref="CW79:ED79" si="286">CW78/CR78-1</f>
        <v>-0.1267102307535225</v>
      </c>
      <c r="CX79" s="931">
        <f t="shared" si="286"/>
        <v>-3.1430068098480923E-2</v>
      </c>
      <c r="CY79" s="931">
        <f t="shared" si="286"/>
        <v>-0.17822222222222228</v>
      </c>
      <c r="CZ79" s="931">
        <f t="shared" si="286"/>
        <v>-0.1699691765741963</v>
      </c>
      <c r="DA79" s="931">
        <f t="shared" si="286"/>
        <v>-9.279321714554889E-2</v>
      </c>
      <c r="DB79" s="933">
        <f t="shared" si="286"/>
        <v>-0.1220624342336023</v>
      </c>
      <c r="DC79" s="931">
        <f t="shared" si="286"/>
        <v>-1.7306652244456489E-2</v>
      </c>
      <c r="DD79" s="931">
        <f t="shared" si="286"/>
        <v>9.7890751757706784E-2</v>
      </c>
      <c r="DE79" s="931">
        <f t="shared" si="286"/>
        <v>-3.1830238726791027E-3</v>
      </c>
      <c r="DF79" s="931">
        <f t="shared" si="286"/>
        <v>-4.1017653167185864E-2</v>
      </c>
      <c r="DG79" s="933">
        <f t="shared" si="286"/>
        <v>8.5231056066050748E-3</v>
      </c>
      <c r="DH79" s="931">
        <f t="shared" si="286"/>
        <v>4.4028618602092173E-3</v>
      </c>
      <c r="DI79" s="931">
        <f t="shared" si="286"/>
        <v>-6.108374384236448E-2</v>
      </c>
      <c r="DJ79" s="931">
        <f t="shared" si="286"/>
        <v>5.0558807876529999E-2</v>
      </c>
      <c r="DK79" s="931">
        <f t="shared" si="286"/>
        <v>8.7168381158635677E-2</v>
      </c>
      <c r="DL79" s="933">
        <f t="shared" si="286"/>
        <v>1.8486729169417959E-2</v>
      </c>
      <c r="DM79" s="931">
        <f t="shared" si="286"/>
        <v>5.2602739726027359E-2</v>
      </c>
      <c r="DN79" s="931">
        <f t="shared" si="286"/>
        <v>-1.3641133263378791E-2</v>
      </c>
      <c r="DO79" s="931">
        <f t="shared" si="286"/>
        <v>-0.12664640324214793</v>
      </c>
      <c r="DP79" s="931">
        <f t="shared" si="286"/>
        <v>-7.8187250996015978E-2</v>
      </c>
      <c r="DQ79" s="933">
        <f t="shared" si="286"/>
        <v>-4.3692467263062307E-2</v>
      </c>
      <c r="DR79" s="931">
        <f t="shared" si="286"/>
        <v>-6.2988027069234787E-2</v>
      </c>
      <c r="DS79" s="931">
        <f t="shared" si="286"/>
        <v>-3.7234042553191404E-2</v>
      </c>
      <c r="DT79" s="931">
        <f t="shared" si="286"/>
        <v>-3.7703016241299236E-2</v>
      </c>
      <c r="DU79" s="931">
        <f t="shared" si="286"/>
        <v>0.14478660183684511</v>
      </c>
      <c r="DV79" s="933">
        <f t="shared" si="286"/>
        <v>1.6268980477223138E-3</v>
      </c>
      <c r="DW79" s="931">
        <f t="shared" si="286"/>
        <v>9.4999999999999973E-2</v>
      </c>
      <c r="DX79" s="931">
        <f t="shared" si="286"/>
        <v>0.24861878453038666</v>
      </c>
      <c r="DY79" s="931">
        <f t="shared" si="286"/>
        <v>0.34599156118143459</v>
      </c>
      <c r="DZ79" s="931">
        <f t="shared" si="286"/>
        <v>7.5507314771117162E-3</v>
      </c>
      <c r="EA79" s="933">
        <f t="shared" si="286"/>
        <v>0.16391445587439102</v>
      </c>
      <c r="EB79" s="931">
        <f t="shared" si="286"/>
        <v>6.0882800608828003E-3</v>
      </c>
      <c r="EC79" s="931">
        <f t="shared" si="286"/>
        <v>-3.0088495575221086E-2</v>
      </c>
      <c r="ED79" s="931">
        <f t="shared" si="286"/>
        <v>-0.10927004030452303</v>
      </c>
      <c r="EE79" s="931">
        <f>EE78/DZ78-1</f>
        <v>-4.5901639344262279E-2</v>
      </c>
      <c r="EF79" s="933">
        <f>EF78/EA78-1</f>
        <v>-4.628445168042794E-2</v>
      </c>
      <c r="EG79" s="931">
        <f>EG78/EB78-1</f>
        <v>-0.15532022188603123</v>
      </c>
      <c r="EH79" s="931">
        <f>EH78/EC78-1</f>
        <v>-0.30611313868613144</v>
      </c>
      <c r="EI79" s="931">
        <f>EI78/ED78-1</f>
        <v>-0.2011060834590247</v>
      </c>
      <c r="EJ79" s="931">
        <f t="shared" ref="EJ79:EK79" si="287">EJ78/EE78-1</f>
        <v>-0.32891507118311236</v>
      </c>
      <c r="EK79" s="933">
        <f t="shared" si="287"/>
        <v>-0.24984757956346793</v>
      </c>
      <c r="EL79" s="931">
        <f>EL78/EG78-1</f>
        <v>-0.12179104477611935</v>
      </c>
      <c r="EM79" s="931">
        <f>EM78/EH78-1</f>
        <v>-0.12491781722550954</v>
      </c>
      <c r="EN79" s="931">
        <f>EN78/EI78-1</f>
        <v>-8.3071113908118277E-2</v>
      </c>
      <c r="EO79" s="931">
        <f t="shared" ref="EO79" si="288">EO78/EJ78-1</f>
        <v>-5.9253840526700796E-2</v>
      </c>
      <c r="EP79" s="933">
        <f t="shared" ref="EP79" si="289">EP78/EK78-1</f>
        <v>-9.8667100130039098E-2</v>
      </c>
      <c r="EQ79" s="931">
        <f>EQ78/EL78-1</f>
        <v>-0.14343983684568329</v>
      </c>
      <c r="ER79" s="931">
        <f t="shared" ref="ER79" si="290">ER78/EM78-1</f>
        <v>-5.3343350864011985E-2</v>
      </c>
      <c r="ES79" s="931">
        <f t="shared" ref="ES79:EU79" si="291">ES78/EN78-1</f>
        <v>-0.13520933424845571</v>
      </c>
      <c r="ET79" s="931">
        <f t="shared" si="291"/>
        <v>-2.0217729393468109E-2</v>
      </c>
      <c r="EU79" s="1951">
        <f t="shared" si="291"/>
        <v>-9.1073038773669901E-2</v>
      </c>
      <c r="EV79" s="1423"/>
      <c r="EW79" s="1423"/>
      <c r="EX79" s="1423"/>
      <c r="EY79" s="1423"/>
      <c r="EZ79" s="1424">
        <f>EZ78/EU78-1</f>
        <v>-4.7619047619047672E-2</v>
      </c>
      <c r="FA79" s="1423"/>
      <c r="FB79" s="1423"/>
      <c r="FC79" s="1423"/>
      <c r="FD79" s="1423"/>
      <c r="FE79" s="1424">
        <f>FE78/EZ78-1</f>
        <v>-4.1666666666666741E-2</v>
      </c>
      <c r="FF79" s="764"/>
      <c r="FG79" s="635"/>
      <c r="FH79" s="1061"/>
      <c r="FI79" s="1061"/>
      <c r="FJ79" s="1061"/>
      <c r="FK79" s="1061"/>
      <c r="FL79" s="1811"/>
      <c r="FM79" s="931">
        <f t="shared" si="239"/>
        <v>-0.14343983684568329</v>
      </c>
      <c r="FN79" s="931">
        <f t="shared" si="240"/>
        <v>-0.12179104477611935</v>
      </c>
      <c r="FO79" s="931">
        <v>-0.11624745071380016</v>
      </c>
      <c r="FP79" s="1893">
        <f>IFERROR(($FM79-FN79)*10000,"")</f>
        <v>-216.48792069563939</v>
      </c>
      <c r="FQ79" s="1893">
        <f>IFERROR(($FM79-FO79)*10000,"")</f>
        <v>-271.92386131883126</v>
      </c>
      <c r="FR79" s="122"/>
      <c r="FS79" s="537"/>
      <c r="FT79" s="537"/>
      <c r="FU79" s="122"/>
      <c r="FV79" s="566"/>
      <c r="FW79" s="566"/>
      <c r="FX79" s="566"/>
      <c r="FY79" s="566"/>
      <c r="FZ79" s="566"/>
      <c r="GA79" s="635"/>
      <c r="GB79"/>
      <c r="GC79"/>
      <c r="GD79"/>
      <c r="GE79"/>
      <c r="GF79"/>
      <c r="GG79"/>
      <c r="GH79" s="962"/>
      <c r="GI79" s="962"/>
      <c r="GJ79" s="962"/>
      <c r="GK79" s="962"/>
      <c r="GL79" s="962"/>
      <c r="GM79" s="962"/>
      <c r="GN79" s="962"/>
      <c r="GO79" s="962"/>
      <c r="GP79" s="962"/>
      <c r="GQ79" s="962"/>
      <c r="GR79" s="962"/>
      <c r="GS79" s="962"/>
      <c r="GT79" s="962"/>
      <c r="GU79" s="962"/>
      <c r="GV79" s="962"/>
      <c r="GW79" s="962"/>
      <c r="GX79" s="962"/>
      <c r="GY79" s="962"/>
      <c r="GZ79" s="962"/>
      <c r="HA79" s="962"/>
      <c r="HB79" s="962"/>
      <c r="HC79" s="962"/>
      <c r="HD79" s="962"/>
      <c r="HE79" s="962"/>
      <c r="HF79" s="962"/>
      <c r="HG79" s="962"/>
      <c r="HH79" s="962"/>
      <c r="HI79" s="962"/>
      <c r="HJ79" s="962"/>
      <c r="HK79" s="962"/>
      <c r="HL79" s="962"/>
      <c r="HM79" s="962"/>
      <c r="HN79" s="962"/>
      <c r="HO79" s="962"/>
      <c r="HP79" s="962"/>
      <c r="HQ79" s="962"/>
      <c r="HR79" s="962"/>
      <c r="HS79" s="962"/>
      <c r="HT79" s="962"/>
      <c r="HU79" s="962"/>
      <c r="HV79" s="962"/>
      <c r="HW79" s="962"/>
      <c r="HX79" s="962"/>
      <c r="HY79" s="962"/>
      <c r="HZ79" s="962"/>
      <c r="IA79" s="962"/>
      <c r="IB79" s="962"/>
      <c r="IC79" s="962"/>
      <c r="ID79" s="962"/>
      <c r="IE79" s="962"/>
      <c r="IF79" s="962"/>
      <c r="IG79" s="962"/>
      <c r="IH79" s="962"/>
      <c r="II79" s="962"/>
      <c r="IJ79" s="962"/>
      <c r="IK79" s="962"/>
      <c r="IL79" s="962"/>
      <c r="IM79" s="962"/>
      <c r="IN79" s="962"/>
      <c r="IO79" s="962"/>
      <c r="IP79" s="962"/>
      <c r="IQ79" s="962"/>
      <c r="IR79" s="962"/>
      <c r="IS79" s="962"/>
      <c r="IT79" s="962"/>
      <c r="IU79" s="962"/>
      <c r="IV79" s="962"/>
    </row>
    <row r="80" spans="1:256" s="125" customFormat="1" ht="12.75" x14ac:dyDescent="0.2">
      <c r="A80" s="121" t="s">
        <v>228</v>
      </c>
      <c r="B80" s="122"/>
      <c r="C80" s="122"/>
      <c r="D80" s="122"/>
      <c r="E80" s="533"/>
      <c r="F80" s="534"/>
      <c r="G80" s="122">
        <f t="shared" ref="G80:BR80" si="292">G90+G91+G93+G92</f>
        <v>400.9</v>
      </c>
      <c r="H80" s="122">
        <f t="shared" si="292"/>
        <v>423.9</v>
      </c>
      <c r="I80" s="122">
        <f t="shared" si="292"/>
        <v>392.1</v>
      </c>
      <c r="J80" s="533">
        <f t="shared" si="292"/>
        <v>387</v>
      </c>
      <c r="K80" s="534">
        <f t="shared" si="292"/>
        <v>1603.9</v>
      </c>
      <c r="L80" s="122">
        <f t="shared" si="292"/>
        <v>351.29999999999995</v>
      </c>
      <c r="M80" s="122">
        <f t="shared" si="292"/>
        <v>383</v>
      </c>
      <c r="N80" s="122">
        <f t="shared" si="292"/>
        <v>396.3</v>
      </c>
      <c r="O80" s="533">
        <f t="shared" si="292"/>
        <v>395.4</v>
      </c>
      <c r="P80" s="534">
        <f t="shared" si="292"/>
        <v>1526</v>
      </c>
      <c r="Q80" s="122">
        <f t="shared" si="292"/>
        <v>398.5</v>
      </c>
      <c r="R80" s="122">
        <f t="shared" si="292"/>
        <v>420.6</v>
      </c>
      <c r="S80" s="122">
        <f t="shared" si="292"/>
        <v>414.20000000000005</v>
      </c>
      <c r="T80" s="533">
        <f t="shared" si="292"/>
        <v>415.70000000000005</v>
      </c>
      <c r="U80" s="534">
        <f t="shared" si="292"/>
        <v>1649</v>
      </c>
      <c r="V80" s="122">
        <f t="shared" si="292"/>
        <v>422.90000000000003</v>
      </c>
      <c r="W80" s="122">
        <f t="shared" si="292"/>
        <v>445.29999999999995</v>
      </c>
      <c r="X80" s="122">
        <f t="shared" si="292"/>
        <v>410.79999999999995</v>
      </c>
      <c r="Y80" s="533">
        <f t="shared" si="292"/>
        <v>422.2</v>
      </c>
      <c r="Z80" s="534">
        <f t="shared" si="292"/>
        <v>1701.1999999999998</v>
      </c>
      <c r="AA80" s="122">
        <f t="shared" si="292"/>
        <v>440.00000000000006</v>
      </c>
      <c r="AB80" s="122">
        <f t="shared" si="292"/>
        <v>467.5</v>
      </c>
      <c r="AC80" s="122">
        <f t="shared" si="292"/>
        <v>445.09999999999997</v>
      </c>
      <c r="AD80" s="533">
        <f t="shared" si="292"/>
        <v>467.1</v>
      </c>
      <c r="AE80" s="534">
        <f t="shared" si="292"/>
        <v>1819.7</v>
      </c>
      <c r="AF80" s="122">
        <f t="shared" si="292"/>
        <v>480.4</v>
      </c>
      <c r="AG80" s="122">
        <f t="shared" si="292"/>
        <v>481.20000000000005</v>
      </c>
      <c r="AH80" s="122">
        <f t="shared" si="292"/>
        <v>455</v>
      </c>
      <c r="AI80" s="533">
        <f t="shared" si="292"/>
        <v>459.4</v>
      </c>
      <c r="AJ80" s="534">
        <f t="shared" si="292"/>
        <v>1876</v>
      </c>
      <c r="AK80" s="122">
        <f t="shared" si="292"/>
        <v>472.5</v>
      </c>
      <c r="AL80" s="122">
        <f t="shared" si="292"/>
        <v>496</v>
      </c>
      <c r="AM80" s="122">
        <f t="shared" si="292"/>
        <v>475.9</v>
      </c>
      <c r="AN80" s="533">
        <f t="shared" si="292"/>
        <v>472.6</v>
      </c>
      <c r="AO80" s="534">
        <f t="shared" si="292"/>
        <v>1917</v>
      </c>
      <c r="AP80" s="122">
        <f t="shared" si="292"/>
        <v>495</v>
      </c>
      <c r="AQ80" s="122">
        <f t="shared" si="292"/>
        <v>511</v>
      </c>
      <c r="AR80" s="122">
        <f t="shared" si="292"/>
        <v>487</v>
      </c>
      <c r="AS80" s="533">
        <f t="shared" si="292"/>
        <v>491</v>
      </c>
      <c r="AT80" s="534">
        <f t="shared" si="292"/>
        <v>1984</v>
      </c>
      <c r="AU80" s="122">
        <f t="shared" si="292"/>
        <v>487.6</v>
      </c>
      <c r="AV80" s="122">
        <f t="shared" si="292"/>
        <v>508.09999999999997</v>
      </c>
      <c r="AW80" s="122">
        <f t="shared" si="292"/>
        <v>484.85</v>
      </c>
      <c r="AX80" s="533">
        <f t="shared" si="292"/>
        <v>485.54</v>
      </c>
      <c r="AY80" s="534">
        <f t="shared" si="292"/>
        <v>1966.09</v>
      </c>
      <c r="AZ80" s="122">
        <f t="shared" si="292"/>
        <v>507.40000000000003</v>
      </c>
      <c r="BA80" s="122">
        <f t="shared" si="292"/>
        <v>598.29999999999995</v>
      </c>
      <c r="BB80" s="122">
        <f t="shared" si="292"/>
        <v>718.69</v>
      </c>
      <c r="BC80" s="533">
        <f t="shared" si="292"/>
        <v>691.30000000000007</v>
      </c>
      <c r="BD80" s="534">
        <f t="shared" si="292"/>
        <v>2515.69</v>
      </c>
      <c r="BE80" s="122">
        <f t="shared" si="292"/>
        <v>756</v>
      </c>
      <c r="BF80" s="122">
        <f t="shared" si="292"/>
        <v>790</v>
      </c>
      <c r="BG80" s="122">
        <f t="shared" si="292"/>
        <v>729</v>
      </c>
      <c r="BH80" s="533">
        <f t="shared" si="292"/>
        <v>721</v>
      </c>
      <c r="BI80" s="534">
        <f t="shared" si="292"/>
        <v>2996</v>
      </c>
      <c r="BJ80" s="122">
        <f t="shared" si="292"/>
        <v>721</v>
      </c>
      <c r="BK80" s="122">
        <f t="shared" si="292"/>
        <v>774</v>
      </c>
      <c r="BL80" s="122">
        <f t="shared" si="292"/>
        <v>715</v>
      </c>
      <c r="BM80" s="533">
        <f t="shared" si="292"/>
        <v>713</v>
      </c>
      <c r="BN80" s="534">
        <f t="shared" si="292"/>
        <v>2923</v>
      </c>
      <c r="BO80" s="122">
        <f t="shared" si="292"/>
        <v>715</v>
      </c>
      <c r="BP80" s="122">
        <f t="shared" si="292"/>
        <v>792</v>
      </c>
      <c r="BQ80" s="122">
        <f t="shared" si="292"/>
        <v>761</v>
      </c>
      <c r="BR80" s="533">
        <f t="shared" si="292"/>
        <v>746</v>
      </c>
      <c r="BS80" s="534">
        <f t="shared" ref="BS80:DF80" si="293">BS90+BS91+BS93+BS92</f>
        <v>3014</v>
      </c>
      <c r="BT80" s="122">
        <f t="shared" si="293"/>
        <v>750</v>
      </c>
      <c r="BU80" s="122">
        <f t="shared" si="293"/>
        <v>769</v>
      </c>
      <c r="BV80" s="122">
        <f t="shared" si="293"/>
        <v>744</v>
      </c>
      <c r="BW80" s="533">
        <f t="shared" si="293"/>
        <v>778</v>
      </c>
      <c r="BX80" s="534">
        <f t="shared" si="293"/>
        <v>3041</v>
      </c>
      <c r="BY80" s="122">
        <f t="shared" si="293"/>
        <v>793</v>
      </c>
      <c r="BZ80" s="122">
        <f t="shared" si="293"/>
        <v>847</v>
      </c>
      <c r="CA80" s="122">
        <f t="shared" si="293"/>
        <v>829</v>
      </c>
      <c r="CB80" s="533">
        <f t="shared" si="293"/>
        <v>862</v>
      </c>
      <c r="CC80" s="534">
        <f t="shared" si="293"/>
        <v>3331</v>
      </c>
      <c r="CD80" s="122">
        <f t="shared" si="293"/>
        <v>896</v>
      </c>
      <c r="CE80" s="122">
        <f t="shared" si="293"/>
        <v>951</v>
      </c>
      <c r="CF80" s="122">
        <f t="shared" si="293"/>
        <v>940</v>
      </c>
      <c r="CG80" s="533">
        <f t="shared" si="293"/>
        <v>967</v>
      </c>
      <c r="CH80" s="534">
        <f t="shared" si="293"/>
        <v>3754</v>
      </c>
      <c r="CI80" s="122">
        <f t="shared" si="293"/>
        <v>1014</v>
      </c>
      <c r="CJ80" s="122">
        <f t="shared" si="293"/>
        <v>1072</v>
      </c>
      <c r="CK80" s="122">
        <f t="shared" si="293"/>
        <v>1044</v>
      </c>
      <c r="CL80" s="533">
        <f t="shared" si="293"/>
        <v>982</v>
      </c>
      <c r="CM80" s="534">
        <f t="shared" si="293"/>
        <v>4112</v>
      </c>
      <c r="CN80" s="122">
        <f t="shared" si="293"/>
        <v>987</v>
      </c>
      <c r="CO80" s="122">
        <f t="shared" si="293"/>
        <v>1066</v>
      </c>
      <c r="CP80" s="122">
        <f t="shared" si="293"/>
        <v>1027</v>
      </c>
      <c r="CQ80" s="533">
        <f t="shared" si="293"/>
        <v>1069</v>
      </c>
      <c r="CR80" s="534">
        <f t="shared" si="293"/>
        <v>4149</v>
      </c>
      <c r="CS80" s="122">
        <f t="shared" si="293"/>
        <v>1053</v>
      </c>
      <c r="CT80" s="122">
        <f t="shared" si="293"/>
        <v>1132</v>
      </c>
      <c r="CU80" s="122">
        <f t="shared" si="293"/>
        <v>1120</v>
      </c>
      <c r="CV80" s="533">
        <f t="shared" si="293"/>
        <v>905</v>
      </c>
      <c r="CW80" s="534">
        <f t="shared" si="293"/>
        <v>4210</v>
      </c>
      <c r="CX80" s="122">
        <f t="shared" si="293"/>
        <v>697</v>
      </c>
      <c r="CY80" s="122">
        <f t="shared" si="293"/>
        <v>691</v>
      </c>
      <c r="CZ80" s="122">
        <f t="shared" si="293"/>
        <v>807</v>
      </c>
      <c r="DA80" s="122">
        <f t="shared" si="293"/>
        <v>799</v>
      </c>
      <c r="DB80" s="534">
        <f t="shared" si="293"/>
        <v>2994</v>
      </c>
      <c r="DC80" s="122">
        <f t="shared" si="293"/>
        <v>874</v>
      </c>
      <c r="DD80" s="122">
        <f t="shared" si="293"/>
        <v>961</v>
      </c>
      <c r="DE80" s="122">
        <f t="shared" si="293"/>
        <v>952</v>
      </c>
      <c r="DF80" s="122">
        <f t="shared" si="293"/>
        <v>888</v>
      </c>
      <c r="DG80" s="534">
        <f>SUM(DC80:DF80)</f>
        <v>3675</v>
      </c>
      <c r="DH80" s="122">
        <f>DH90+DH91+DH93+DH92</f>
        <v>968</v>
      </c>
      <c r="DI80" s="122">
        <f>DI90+DI91+DI93+DI92</f>
        <v>1064</v>
      </c>
      <c r="DJ80" s="122">
        <f>DJ90+DJ91+DJ93+DJ92</f>
        <v>1082</v>
      </c>
      <c r="DK80" s="122">
        <f>DK90+DK91+DK93+DK92</f>
        <v>1031</v>
      </c>
      <c r="DL80" s="534">
        <f>SUM(DH80:DK80)</f>
        <v>4145</v>
      </c>
      <c r="DM80" s="122">
        <f>DM90+DM91+DM93+DM92</f>
        <v>1126</v>
      </c>
      <c r="DN80" s="122">
        <f>DN90+DN91+DN93+DN92</f>
        <v>1186</v>
      </c>
      <c r="DO80" s="122">
        <f>DO90+DO91+DO93+DO92</f>
        <v>1081</v>
      </c>
      <c r="DP80" s="122">
        <f>DP90+DP91+DP93+DP92</f>
        <v>1081</v>
      </c>
      <c r="DQ80" s="534">
        <f>SUM(DM80:DP80)</f>
        <v>4474</v>
      </c>
      <c r="DR80" s="122">
        <f>DR90+DR91+DR93+DR92</f>
        <v>1169</v>
      </c>
      <c r="DS80" s="122">
        <f>DS90+DS91+DS93+DS92</f>
        <v>1222</v>
      </c>
      <c r="DT80" s="122">
        <f>DT90+DT91+DT93+DT92</f>
        <v>1232</v>
      </c>
      <c r="DU80" s="122">
        <f>DU90+DU91+DU93+DU92</f>
        <v>1228</v>
      </c>
      <c r="DV80" s="534">
        <f>SUM(DR80:DU80)</f>
        <v>4851</v>
      </c>
      <c r="DW80" s="122">
        <f>DW90+DW91+DW93+DW92</f>
        <v>1191</v>
      </c>
      <c r="DX80" s="122">
        <f>DX90+DX91+DX93+DX92</f>
        <v>1334</v>
      </c>
      <c r="DY80" s="122">
        <f>DY90+DY91+DY93+DY92</f>
        <v>1366</v>
      </c>
      <c r="DZ80" s="122">
        <f>DZ90+DZ91+DZ93+DZ92</f>
        <v>1291</v>
      </c>
      <c r="EA80" s="534">
        <f>SUM(DW80:DZ80)</f>
        <v>5182</v>
      </c>
      <c r="EB80" s="122">
        <f>EB90+EB91+EB93+EB92</f>
        <v>1146</v>
      </c>
      <c r="EC80" s="122">
        <f>EC90+EC91+EC93+EC92</f>
        <v>1248</v>
      </c>
      <c r="ED80" s="122">
        <f>ED90+ED91+ED93+ED92</f>
        <v>1230</v>
      </c>
      <c r="EE80" s="122">
        <f>EE90+EE91+EE93+EE92</f>
        <v>1139</v>
      </c>
      <c r="EF80" s="534">
        <f>SUM(EB80:EE80)</f>
        <v>4763</v>
      </c>
      <c r="EG80" s="122">
        <f>EG90+EG91+EG93+EG92</f>
        <v>1163</v>
      </c>
      <c r="EH80" s="122">
        <f>EH90+EH91+EH93+EH92</f>
        <v>1194</v>
      </c>
      <c r="EI80" s="122">
        <f>EI90+EI91+EI93+EI92</f>
        <v>1172</v>
      </c>
      <c r="EJ80" s="122">
        <f>EJ90+EJ91+EJ93+EJ92</f>
        <v>1105</v>
      </c>
      <c r="EK80" s="534">
        <f>SUM(EG80:EJ80)</f>
        <v>4634</v>
      </c>
      <c r="EL80" s="122">
        <f>EL90+EL91+EL93+EL92</f>
        <v>1200</v>
      </c>
      <c r="EM80" s="122">
        <f>EM90+EM91+EM93+EM92</f>
        <v>1213</v>
      </c>
      <c r="EN80" s="122">
        <f>EN90+EN91+EN93+EN92</f>
        <v>1212</v>
      </c>
      <c r="EO80" s="122">
        <f>EO90+EO91+EO93+EO92</f>
        <v>1185</v>
      </c>
      <c r="EP80" s="534">
        <f>SUM(EL80:EO80)</f>
        <v>4810</v>
      </c>
      <c r="EQ80" s="122">
        <f>EQ90+EQ91+EQ93+EQ92</f>
        <v>1212</v>
      </c>
      <c r="ER80" s="122">
        <f>ER83*ER86/1000</f>
        <v>1292.3047960808328</v>
      </c>
      <c r="ES80" s="122">
        <f>ES83*ES86/1000</f>
        <v>1286.9763071339175</v>
      </c>
      <c r="ET80" s="122">
        <f>ET83*ET86/1000</f>
        <v>1224.0945834677418</v>
      </c>
      <c r="EU80" s="1942">
        <f>SUM(EQ80:ET80)</f>
        <v>5015.3756866824915</v>
      </c>
      <c r="EV80" s="122"/>
      <c r="EW80" s="122"/>
      <c r="EX80" s="122"/>
      <c r="EY80" s="122"/>
      <c r="EZ80" s="752">
        <f>EZ83*EZ86/1000</f>
        <v>5129.7349257223923</v>
      </c>
      <c r="FA80" s="122"/>
      <c r="FB80" s="122"/>
      <c r="FC80" s="122"/>
      <c r="FD80" s="122"/>
      <c r="FE80" s="752">
        <f>FE83*FE86/1000</f>
        <v>5291.1555466901491</v>
      </c>
      <c r="FF80" s="756"/>
      <c r="FG80" s="646"/>
      <c r="FH80" s="1024"/>
      <c r="FI80" s="1024"/>
      <c r="FJ80" s="1024"/>
      <c r="FK80" s="1024"/>
      <c r="FL80" s="1796"/>
      <c r="FM80" s="122">
        <f t="shared" si="239"/>
        <v>1212</v>
      </c>
      <c r="FN80" s="122">
        <f t="shared" si="240"/>
        <v>1200</v>
      </c>
      <c r="FO80" s="122">
        <v>1236.2958342234565</v>
      </c>
      <c r="FP80" s="571">
        <f>IFERROR(($FM80/FN80)-1,"")</f>
        <v>1.0000000000000009E-2</v>
      </c>
      <c r="FQ80" s="571">
        <f>IFERROR(($FM80/FO80)-1,"")</f>
        <v>-1.9652120108224147E-2</v>
      </c>
      <c r="FV80" s="122"/>
      <c r="FW80" s="122"/>
      <c r="FX80" s="122"/>
      <c r="FY80" s="122"/>
      <c r="FZ80" s="122"/>
      <c r="GA80" s="646"/>
      <c r="GB80"/>
      <c r="GC80"/>
      <c r="GD80"/>
      <c r="GE80"/>
      <c r="GF80"/>
      <c r="GG80"/>
      <c r="GH80" s="956"/>
      <c r="GI80" s="956"/>
      <c r="GJ80" s="956"/>
      <c r="GK80" s="956"/>
      <c r="GL80" s="956"/>
      <c r="GM80" s="956"/>
      <c r="GN80" s="956"/>
      <c r="GO80" s="956"/>
      <c r="GP80" s="956"/>
      <c r="GQ80" s="956"/>
      <c r="GR80" s="956"/>
      <c r="GS80" s="956"/>
      <c r="GT80" s="956"/>
      <c r="GU80" s="956"/>
      <c r="GV80" s="956"/>
      <c r="GW80" s="956"/>
      <c r="GX80" s="956"/>
      <c r="GY80" s="956"/>
      <c r="GZ80" s="956"/>
      <c r="HA80" s="956"/>
      <c r="HB80" s="956"/>
      <c r="HC80" s="956"/>
      <c r="HD80" s="956"/>
      <c r="HE80" s="956"/>
      <c r="HF80" s="956"/>
      <c r="HG80" s="956"/>
      <c r="HH80" s="956"/>
      <c r="HI80" s="956"/>
      <c r="HJ80" s="956"/>
      <c r="HK80" s="956"/>
      <c r="HL80" s="956"/>
      <c r="HM80" s="956"/>
      <c r="HN80" s="956"/>
      <c r="HO80" s="956"/>
      <c r="HP80" s="956"/>
      <c r="HQ80" s="956"/>
      <c r="HR80" s="956"/>
      <c r="HS80" s="956"/>
      <c r="HT80" s="956"/>
      <c r="HU80" s="956"/>
      <c r="HV80" s="956"/>
      <c r="HW80" s="956"/>
      <c r="HX80" s="956"/>
      <c r="HY80" s="956"/>
      <c r="HZ80" s="956"/>
      <c r="IA80" s="956"/>
      <c r="IB80" s="956"/>
      <c r="IC80" s="956"/>
      <c r="ID80" s="956"/>
      <c r="IE80" s="956"/>
      <c r="IF80" s="956"/>
      <c r="IG80" s="956"/>
      <c r="IH80" s="956"/>
      <c r="II80" s="956"/>
      <c r="IJ80" s="956"/>
      <c r="IK80" s="956"/>
      <c r="IL80" s="956"/>
      <c r="IM80" s="956"/>
      <c r="IN80" s="956"/>
      <c r="IO80" s="956"/>
      <c r="IP80" s="956"/>
      <c r="IQ80" s="956"/>
      <c r="IR80" s="956"/>
      <c r="IS80" s="956"/>
      <c r="IT80" s="956"/>
      <c r="IU80" s="956"/>
      <c r="IV80" s="956"/>
    </row>
    <row r="81" spans="1:256" s="244" customFormat="1" ht="12.75" x14ac:dyDescent="0.2">
      <c r="A81" s="242" t="s">
        <v>74</v>
      </c>
      <c r="B81" s="22"/>
      <c r="C81" s="22"/>
      <c r="D81" s="22"/>
      <c r="E81" s="197"/>
      <c r="F81" s="21"/>
      <c r="G81" s="22"/>
      <c r="H81" s="22"/>
      <c r="I81" s="22"/>
      <c r="J81" s="197"/>
      <c r="K81" s="21"/>
      <c r="L81" s="22">
        <f t="shared" ref="L81:BW81" si="294">L80/G80-1</f>
        <v>-0.12372162634073336</v>
      </c>
      <c r="M81" s="22">
        <f t="shared" si="294"/>
        <v>-9.6485020051898962E-2</v>
      </c>
      <c r="N81" s="22">
        <f t="shared" si="294"/>
        <v>1.0711553175210442E-2</v>
      </c>
      <c r="O81" s="197">
        <f t="shared" si="294"/>
        <v>2.1705426356589008E-2</v>
      </c>
      <c r="P81" s="21">
        <f t="shared" si="294"/>
        <v>-4.856911278758036E-2</v>
      </c>
      <c r="Q81" s="22">
        <f t="shared" si="294"/>
        <v>0.13435809849131819</v>
      </c>
      <c r="R81" s="22">
        <f t="shared" si="294"/>
        <v>9.8172323759791125E-2</v>
      </c>
      <c r="S81" s="22">
        <f t="shared" si="294"/>
        <v>4.5167802170073212E-2</v>
      </c>
      <c r="T81" s="197">
        <f t="shared" si="294"/>
        <v>5.1340414769853515E-2</v>
      </c>
      <c r="U81" s="21">
        <f t="shared" si="294"/>
        <v>8.0602883355176846E-2</v>
      </c>
      <c r="V81" s="22">
        <f t="shared" si="294"/>
        <v>6.1229611041405452E-2</v>
      </c>
      <c r="W81" s="22">
        <f t="shared" si="294"/>
        <v>5.8725630052306022E-2</v>
      </c>
      <c r="X81" s="22">
        <f t="shared" si="294"/>
        <v>-8.2085948816998933E-3</v>
      </c>
      <c r="Y81" s="197">
        <f t="shared" si="294"/>
        <v>1.5636276160692741E-2</v>
      </c>
      <c r="Z81" s="21">
        <f t="shared" si="294"/>
        <v>3.1655548817465018E-2</v>
      </c>
      <c r="AA81" s="22">
        <f t="shared" si="294"/>
        <v>4.0435091038070414E-2</v>
      </c>
      <c r="AB81" s="22">
        <f t="shared" si="294"/>
        <v>4.985403099034369E-2</v>
      </c>
      <c r="AC81" s="22">
        <f t="shared" si="294"/>
        <v>8.3495618305744923E-2</v>
      </c>
      <c r="AD81" s="197">
        <f t="shared" si="294"/>
        <v>0.1063477025106585</v>
      </c>
      <c r="AE81" s="21">
        <f t="shared" si="294"/>
        <v>6.9656712908535257E-2</v>
      </c>
      <c r="AF81" s="22">
        <f t="shared" si="294"/>
        <v>9.1818181818181577E-2</v>
      </c>
      <c r="AG81" s="22">
        <f t="shared" si="294"/>
        <v>2.9304812834224592E-2</v>
      </c>
      <c r="AH81" s="22">
        <f t="shared" si="294"/>
        <v>2.2242192765670632E-2</v>
      </c>
      <c r="AI81" s="197">
        <f t="shared" si="294"/>
        <v>-1.6484692785270871E-2</v>
      </c>
      <c r="AJ81" s="21">
        <f t="shared" si="294"/>
        <v>3.0939165796559864E-2</v>
      </c>
      <c r="AK81" s="22">
        <f t="shared" si="294"/>
        <v>-1.6444629475437123E-2</v>
      </c>
      <c r="AL81" s="22">
        <f t="shared" si="294"/>
        <v>3.0756442227763747E-2</v>
      </c>
      <c r="AM81" s="22">
        <f t="shared" si="294"/>
        <v>4.5934065934065904E-2</v>
      </c>
      <c r="AN81" s="197">
        <f t="shared" si="294"/>
        <v>2.8733130169786847E-2</v>
      </c>
      <c r="AO81" s="21">
        <f t="shared" si="294"/>
        <v>2.1855010660980723E-2</v>
      </c>
      <c r="AP81" s="22">
        <f t="shared" si="294"/>
        <v>4.7619047619047672E-2</v>
      </c>
      <c r="AQ81" s="22">
        <f t="shared" si="294"/>
        <v>3.0241935483870996E-2</v>
      </c>
      <c r="AR81" s="22">
        <f t="shared" si="294"/>
        <v>2.3324227778945161E-2</v>
      </c>
      <c r="AS81" s="197">
        <f t="shared" si="294"/>
        <v>3.8933559035124743E-2</v>
      </c>
      <c r="AT81" s="21">
        <f t="shared" si="294"/>
        <v>3.4950443401147613E-2</v>
      </c>
      <c r="AU81" s="22">
        <f t="shared" si="294"/>
        <v>-1.4949494949494935E-2</v>
      </c>
      <c r="AV81" s="22">
        <f t="shared" si="294"/>
        <v>-5.6751467710371983E-3</v>
      </c>
      <c r="AW81" s="22">
        <f t="shared" si="294"/>
        <v>-4.4147843942504705E-3</v>
      </c>
      <c r="AX81" s="197">
        <f t="shared" si="294"/>
        <v>-1.1120162932790167E-2</v>
      </c>
      <c r="AY81" s="21">
        <f t="shared" si="294"/>
        <v>-9.0272177419354893E-3</v>
      </c>
      <c r="AZ81" s="22">
        <f t="shared" si="294"/>
        <v>4.0607054963084588E-2</v>
      </c>
      <c r="BA81" s="22">
        <f t="shared" si="294"/>
        <v>0.17752410942727814</v>
      </c>
      <c r="BB81" s="22">
        <f t="shared" si="294"/>
        <v>0.48229349283283485</v>
      </c>
      <c r="BC81" s="197">
        <f t="shared" si="294"/>
        <v>0.42377559006467025</v>
      </c>
      <c r="BD81" s="21">
        <f t="shared" si="294"/>
        <v>0.27953959381310112</v>
      </c>
      <c r="BE81" s="22">
        <f t="shared" si="294"/>
        <v>0.48994875837603469</v>
      </c>
      <c r="BF81" s="22">
        <f t="shared" si="294"/>
        <v>0.32040782216279462</v>
      </c>
      <c r="BG81" s="22">
        <f t="shared" si="294"/>
        <v>1.43455453672654E-2</v>
      </c>
      <c r="BH81" s="197">
        <f t="shared" si="294"/>
        <v>4.2962534355561965E-2</v>
      </c>
      <c r="BI81" s="21">
        <f t="shared" si="294"/>
        <v>0.19092574999304368</v>
      </c>
      <c r="BJ81" s="22">
        <f t="shared" si="294"/>
        <v>-4.629629629629628E-2</v>
      </c>
      <c r="BK81" s="22">
        <f t="shared" si="294"/>
        <v>-2.0253164556962022E-2</v>
      </c>
      <c r="BL81" s="22">
        <f t="shared" si="294"/>
        <v>-1.9204389574759895E-2</v>
      </c>
      <c r="BM81" s="197">
        <f t="shared" si="294"/>
        <v>-1.1095700416088761E-2</v>
      </c>
      <c r="BN81" s="21">
        <f t="shared" si="294"/>
        <v>-2.4365821094793016E-2</v>
      </c>
      <c r="BO81" s="22">
        <f t="shared" si="294"/>
        <v>-8.3217753120665705E-3</v>
      </c>
      <c r="BP81" s="22">
        <f t="shared" si="294"/>
        <v>2.3255813953488413E-2</v>
      </c>
      <c r="BQ81" s="22">
        <f t="shared" si="294"/>
        <v>6.4335664335664289E-2</v>
      </c>
      <c r="BR81" s="197">
        <f t="shared" si="294"/>
        <v>4.628330995792429E-2</v>
      </c>
      <c r="BS81" s="21">
        <f t="shared" si="294"/>
        <v>3.1132398221005886E-2</v>
      </c>
      <c r="BT81" s="22">
        <f t="shared" si="294"/>
        <v>4.8951048951048959E-2</v>
      </c>
      <c r="BU81" s="22">
        <f t="shared" si="294"/>
        <v>-2.9040404040404089E-2</v>
      </c>
      <c r="BV81" s="22">
        <f t="shared" si="294"/>
        <v>-2.2339027595269401E-2</v>
      </c>
      <c r="BW81" s="197">
        <f t="shared" si="294"/>
        <v>4.2895442359249358E-2</v>
      </c>
      <c r="BX81" s="21">
        <f t="shared" ref="BX81:DY81" si="295">BX80/BS80-1</f>
        <v>8.9581950895818441E-3</v>
      </c>
      <c r="BY81" s="22">
        <f t="shared" si="295"/>
        <v>5.7333333333333236E-2</v>
      </c>
      <c r="BZ81" s="22">
        <f t="shared" si="295"/>
        <v>0.10143042912873868</v>
      </c>
      <c r="CA81" s="22">
        <f t="shared" si="295"/>
        <v>0.114247311827957</v>
      </c>
      <c r="CB81" s="197">
        <f t="shared" si="295"/>
        <v>0.10796915167095111</v>
      </c>
      <c r="CC81" s="21">
        <f t="shared" si="295"/>
        <v>9.5363367313383796E-2</v>
      </c>
      <c r="CD81" s="22">
        <f t="shared" si="295"/>
        <v>0.12988650693568737</v>
      </c>
      <c r="CE81" s="22">
        <f t="shared" si="295"/>
        <v>0.12278630460448636</v>
      </c>
      <c r="CF81" s="22">
        <f t="shared" si="295"/>
        <v>0.13389626055488546</v>
      </c>
      <c r="CG81" s="197">
        <f t="shared" si="295"/>
        <v>0.12180974477958229</v>
      </c>
      <c r="CH81" s="21">
        <f t="shared" si="295"/>
        <v>0.12698889222455723</v>
      </c>
      <c r="CI81" s="22">
        <f t="shared" si="295"/>
        <v>0.1316964285714286</v>
      </c>
      <c r="CJ81" s="22">
        <f t="shared" si="295"/>
        <v>0.12723449001051534</v>
      </c>
      <c r="CK81" s="22">
        <f t="shared" si="295"/>
        <v>0.11063829787234036</v>
      </c>
      <c r="CL81" s="197">
        <f t="shared" si="295"/>
        <v>1.5511892450879028E-2</v>
      </c>
      <c r="CM81" s="21">
        <f t="shared" si="295"/>
        <v>9.5364944059669776E-2</v>
      </c>
      <c r="CN81" s="22">
        <f t="shared" si="295"/>
        <v>-2.6627218934911268E-2</v>
      </c>
      <c r="CO81" s="22">
        <f t="shared" si="295"/>
        <v>-5.5970149253731227E-3</v>
      </c>
      <c r="CP81" s="22">
        <f t="shared" si="295"/>
        <v>-1.6283524904214586E-2</v>
      </c>
      <c r="CQ81" s="197">
        <f t="shared" si="295"/>
        <v>8.8594704684317627E-2</v>
      </c>
      <c r="CR81" s="21">
        <f t="shared" si="295"/>
        <v>8.9980544747081392E-3</v>
      </c>
      <c r="CS81" s="22">
        <f t="shared" si="295"/>
        <v>6.6869300911854168E-2</v>
      </c>
      <c r="CT81" s="22">
        <f t="shared" si="295"/>
        <v>6.1913696060037493E-2</v>
      </c>
      <c r="CU81" s="22">
        <f t="shared" si="295"/>
        <v>9.0555014605647521E-2</v>
      </c>
      <c r="CV81" s="197">
        <f t="shared" si="295"/>
        <v>-0.1534144059869037</v>
      </c>
      <c r="CW81" s="21">
        <f t="shared" si="295"/>
        <v>1.4702337912749996E-2</v>
      </c>
      <c r="CX81" s="22">
        <f t="shared" si="295"/>
        <v>-0.33808167141500478</v>
      </c>
      <c r="CY81" s="22">
        <f t="shared" si="295"/>
        <v>-0.38957597173144876</v>
      </c>
      <c r="CZ81" s="22">
        <f t="shared" si="295"/>
        <v>-0.27946428571428572</v>
      </c>
      <c r="DA81" s="22">
        <f>DA80/CV80-1</f>
        <v>-0.11712707182320437</v>
      </c>
      <c r="DB81" s="21">
        <f>DB80/CW80-1</f>
        <v>-0.28883610451306418</v>
      </c>
      <c r="DC81" s="22">
        <f t="shared" si="295"/>
        <v>0.25394548063127687</v>
      </c>
      <c r="DD81" s="22">
        <f t="shared" si="295"/>
        <v>0.3907380607814761</v>
      </c>
      <c r="DE81" s="22">
        <f t="shared" si="295"/>
        <v>0.17967781908302349</v>
      </c>
      <c r="DF81" s="22">
        <f>DF80/DA80-1</f>
        <v>0.11138923654568211</v>
      </c>
      <c r="DG81" s="21">
        <f t="shared" si="295"/>
        <v>0.22745490981963923</v>
      </c>
      <c r="DH81" s="22">
        <f>DH80/DC80-1</f>
        <v>0.10755148741418763</v>
      </c>
      <c r="DI81" s="22">
        <f t="shared" si="295"/>
        <v>0.10718002081165445</v>
      </c>
      <c r="DJ81" s="22">
        <f t="shared" si="295"/>
        <v>0.13655462184873945</v>
      </c>
      <c r="DK81" s="22">
        <f t="shared" si="295"/>
        <v>0.16103603603603611</v>
      </c>
      <c r="DL81" s="21">
        <f t="shared" si="295"/>
        <v>0.12789115646258509</v>
      </c>
      <c r="DM81" s="22">
        <f t="shared" si="295"/>
        <v>0.16322314049586772</v>
      </c>
      <c r="DN81" s="22">
        <f t="shared" si="295"/>
        <v>0.11466165413533824</v>
      </c>
      <c r="DO81" s="22">
        <f t="shared" si="295"/>
        <v>-9.2421441774492852E-4</v>
      </c>
      <c r="DP81" s="22">
        <f t="shared" si="295"/>
        <v>4.8496605237633439E-2</v>
      </c>
      <c r="DQ81" s="21">
        <f t="shared" si="295"/>
        <v>7.9372738238842055E-2</v>
      </c>
      <c r="DR81" s="22">
        <f t="shared" si="295"/>
        <v>3.8188277087033651E-2</v>
      </c>
      <c r="DS81" s="22">
        <f t="shared" si="295"/>
        <v>3.0354131534569895E-2</v>
      </c>
      <c r="DT81" s="22">
        <f t="shared" si="295"/>
        <v>0.1396854764107307</v>
      </c>
      <c r="DU81" s="22">
        <f t="shared" si="295"/>
        <v>0.13598519888991678</v>
      </c>
      <c r="DV81" s="21">
        <f t="shared" si="295"/>
        <v>8.4264640143048686E-2</v>
      </c>
      <c r="DW81" s="22">
        <f>DW80/DR80-1</f>
        <v>1.8819503849443864E-2</v>
      </c>
      <c r="DX81" s="22">
        <f t="shared" si="295"/>
        <v>9.1653027823240585E-2</v>
      </c>
      <c r="DY81" s="22">
        <f t="shared" si="295"/>
        <v>0.10876623376623384</v>
      </c>
      <c r="DZ81" s="22">
        <f t="shared" ref="DZ81:EI81" si="296">DZ80/DU80-1</f>
        <v>5.1302931596091117E-2</v>
      </c>
      <c r="EA81" s="21">
        <f t="shared" si="296"/>
        <v>6.823335394763963E-2</v>
      </c>
      <c r="EB81" s="22">
        <f t="shared" si="296"/>
        <v>-3.7783375314861423E-2</v>
      </c>
      <c r="EC81" s="22">
        <f t="shared" si="296"/>
        <v>-6.4467766116941494E-2</v>
      </c>
      <c r="ED81" s="22">
        <f t="shared" si="296"/>
        <v>-9.9560761346998539E-2</v>
      </c>
      <c r="EE81" s="22">
        <f t="shared" si="296"/>
        <v>-0.11773818745158793</v>
      </c>
      <c r="EF81" s="21">
        <f t="shared" si="296"/>
        <v>-8.0856812041682713E-2</v>
      </c>
      <c r="EG81" s="22">
        <f t="shared" si="296"/>
        <v>1.4834205933682343E-2</v>
      </c>
      <c r="EH81" s="22">
        <f t="shared" si="296"/>
        <v>-4.3269230769230727E-2</v>
      </c>
      <c r="EI81" s="22">
        <f t="shared" si="296"/>
        <v>-4.7154471544715415E-2</v>
      </c>
      <c r="EJ81" s="22">
        <f t="shared" ref="EJ81:EN81" si="297">EJ80/EE80-1</f>
        <v>-2.9850746268656692E-2</v>
      </c>
      <c r="EK81" s="21">
        <f t="shared" si="297"/>
        <v>-2.7083770732731494E-2</v>
      </c>
      <c r="EL81" s="22">
        <f t="shared" si="297"/>
        <v>3.1814273430782469E-2</v>
      </c>
      <c r="EM81" s="22">
        <f t="shared" si="297"/>
        <v>1.5912897822445649E-2</v>
      </c>
      <c r="EN81" s="22">
        <f t="shared" si="297"/>
        <v>3.4129692832764569E-2</v>
      </c>
      <c r="EO81" s="22">
        <f t="shared" ref="EO81" si="298">EO80/EJ80-1</f>
        <v>7.2398190045248834E-2</v>
      </c>
      <c r="EP81" s="21">
        <f t="shared" ref="EP81:EQ81" si="299">EP80/EK80-1</f>
        <v>3.7980146741475984E-2</v>
      </c>
      <c r="EQ81" s="22">
        <f t="shared" si="299"/>
        <v>1.0000000000000009E-2</v>
      </c>
      <c r="ER81" s="22">
        <f t="shared" ref="ER81" si="300">ER80/EM80-1</f>
        <v>6.5379056950398029E-2</v>
      </c>
      <c r="ES81" s="22">
        <f t="shared" ref="ES81:EU81" si="301">ES80/EN80-1</f>
        <v>6.1861639549436909E-2</v>
      </c>
      <c r="ET81" s="22">
        <f t="shared" si="301"/>
        <v>3.2991209677419198E-2</v>
      </c>
      <c r="EU81" s="270">
        <f t="shared" si="301"/>
        <v>4.2697647958938045E-2</v>
      </c>
      <c r="EV81" s="243"/>
      <c r="EW81" s="243"/>
      <c r="EX81" s="243"/>
      <c r="EY81" s="243"/>
      <c r="EZ81" s="844">
        <f>EZ80/EU80-1</f>
        <v>2.2801729358692402E-2</v>
      </c>
      <c r="FA81" s="243"/>
      <c r="FB81" s="243"/>
      <c r="FC81" s="243"/>
      <c r="FD81" s="243"/>
      <c r="FE81" s="844">
        <f>FE80/EZ80-1</f>
        <v>3.1467633962592112E-2</v>
      </c>
      <c r="FF81" s="791"/>
      <c r="FG81" s="647"/>
      <c r="FH81" s="1073"/>
      <c r="FI81" s="1073"/>
      <c r="FJ81" s="1073"/>
      <c r="FK81" s="1073"/>
      <c r="FL81" s="1806"/>
      <c r="FM81" s="22">
        <f t="shared" si="239"/>
        <v>1.0000000000000009E-2</v>
      </c>
      <c r="FN81" s="22">
        <f t="shared" si="240"/>
        <v>3.1814273430782469E-2</v>
      </c>
      <c r="FO81" s="2041">
        <v>3.0246528519547011E-2</v>
      </c>
      <c r="FP81" s="1892">
        <f>IFERROR(($FM81-FN81)*10000,"")</f>
        <v>-218.14273430782461</v>
      </c>
      <c r="FQ81" s="1892">
        <f>IFERROR(($FM81-FO81)*10000,"")</f>
        <v>-202.46528519547002</v>
      </c>
      <c r="FR81" s="120"/>
      <c r="FS81" s="120"/>
      <c r="FT81" s="120"/>
      <c r="FU81" s="120"/>
      <c r="FV81" s="120"/>
      <c r="FW81" s="120"/>
      <c r="FX81" s="120"/>
      <c r="FY81" s="120"/>
      <c r="FZ81" s="120"/>
      <c r="GA81" s="647"/>
      <c r="GB81"/>
      <c r="GC81"/>
      <c r="GD81"/>
      <c r="GE81"/>
      <c r="GF81"/>
      <c r="GG81"/>
      <c r="GH81" s="973"/>
      <c r="GI81" s="973"/>
      <c r="GJ81" s="973"/>
      <c r="GK81" s="973"/>
      <c r="GL81" s="973"/>
      <c r="GM81" s="973"/>
      <c r="GN81" s="973"/>
      <c r="GO81" s="973"/>
      <c r="GP81" s="973"/>
      <c r="GQ81" s="973"/>
      <c r="GR81" s="973"/>
      <c r="GS81" s="973"/>
      <c r="GT81" s="973"/>
      <c r="GU81" s="973"/>
      <c r="GV81" s="973"/>
      <c r="GW81" s="973"/>
      <c r="GX81" s="973"/>
      <c r="GY81" s="973"/>
      <c r="GZ81" s="973"/>
      <c r="HA81" s="973"/>
      <c r="HB81" s="973"/>
      <c r="HC81" s="973"/>
      <c r="HD81" s="973"/>
      <c r="HE81" s="973"/>
      <c r="HF81" s="973"/>
      <c r="HG81" s="973"/>
      <c r="HH81" s="973"/>
      <c r="HI81" s="973"/>
      <c r="HJ81" s="973"/>
      <c r="HK81" s="973"/>
      <c r="HL81" s="973"/>
      <c r="HM81" s="973"/>
      <c r="HN81" s="973"/>
      <c r="HO81" s="973"/>
      <c r="HP81" s="973"/>
      <c r="HQ81" s="973"/>
      <c r="HR81" s="973"/>
      <c r="HS81" s="973"/>
      <c r="HT81" s="973"/>
      <c r="HU81" s="973"/>
      <c r="HV81" s="973"/>
      <c r="HW81" s="973"/>
      <c r="HX81" s="973"/>
      <c r="HY81" s="973"/>
      <c r="HZ81" s="973"/>
      <c r="IA81" s="973"/>
      <c r="IB81" s="973"/>
      <c r="IC81" s="973"/>
      <c r="ID81" s="973"/>
      <c r="IE81" s="973"/>
      <c r="IF81" s="973"/>
      <c r="IG81" s="973"/>
      <c r="IH81" s="973"/>
      <c r="II81" s="973"/>
      <c r="IJ81" s="973"/>
      <c r="IK81" s="973"/>
      <c r="IL81" s="973"/>
      <c r="IM81" s="973"/>
      <c r="IN81" s="973"/>
      <c r="IO81" s="973"/>
      <c r="IP81" s="973"/>
      <c r="IQ81" s="973"/>
      <c r="IR81" s="973"/>
      <c r="IS81" s="973"/>
      <c r="IT81" s="973"/>
      <c r="IU81" s="973"/>
      <c r="IV81" s="973"/>
    </row>
    <row r="82" spans="1:256" s="51" customFormat="1" ht="12.75" x14ac:dyDescent="0.2">
      <c r="A82" s="13" t="s">
        <v>216</v>
      </c>
      <c r="B82" s="15"/>
      <c r="C82" s="15"/>
      <c r="D82" s="15"/>
      <c r="E82" s="195"/>
      <c r="F82" s="14"/>
      <c r="G82" s="15"/>
      <c r="H82" s="15"/>
      <c r="I82" s="15"/>
      <c r="J82" s="195"/>
      <c r="K82" s="14"/>
      <c r="L82" s="15">
        <f t="shared" ref="L82:AQ82" si="302">L80/L135</f>
        <v>0.39405496354458774</v>
      </c>
      <c r="M82" s="15">
        <f t="shared" si="302"/>
        <v>0.42180616740088095</v>
      </c>
      <c r="N82" s="15">
        <f t="shared" si="302"/>
        <v>0.42074530204904981</v>
      </c>
      <c r="O82" s="195">
        <f t="shared" si="302"/>
        <v>0.43322011613892847</v>
      </c>
      <c r="P82" s="14">
        <f t="shared" si="302"/>
        <v>0.41761309214307218</v>
      </c>
      <c r="Q82" s="15">
        <f t="shared" si="302"/>
        <v>0.43376510286274078</v>
      </c>
      <c r="R82" s="15">
        <f t="shared" si="302"/>
        <v>0.44768493879723259</v>
      </c>
      <c r="S82" s="15">
        <f t="shared" si="302"/>
        <v>0.43567897338802991</v>
      </c>
      <c r="T82" s="195">
        <f t="shared" si="302"/>
        <v>0.42939778948455742</v>
      </c>
      <c r="U82" s="14">
        <f t="shared" si="302"/>
        <v>0.43658988615303151</v>
      </c>
      <c r="V82" s="15">
        <f t="shared" si="302"/>
        <v>0.45522066738428418</v>
      </c>
      <c r="W82" s="15">
        <f t="shared" si="302"/>
        <v>0.46231312292358795</v>
      </c>
      <c r="X82" s="15">
        <f t="shared" si="302"/>
        <v>0.44930547960188127</v>
      </c>
      <c r="Y82" s="195">
        <f t="shared" si="302"/>
        <v>0.44943581009154782</v>
      </c>
      <c r="Z82" s="14">
        <f t="shared" si="302"/>
        <v>0.45414987052510747</v>
      </c>
      <c r="AA82" s="15">
        <f t="shared" si="302"/>
        <v>0.46694258728642685</v>
      </c>
      <c r="AB82" s="15">
        <f t="shared" si="302"/>
        <v>0.46853076768891566</v>
      </c>
      <c r="AC82" s="15">
        <f t="shared" si="302"/>
        <v>0.45613855298216849</v>
      </c>
      <c r="AD82" s="195">
        <f t="shared" si="302"/>
        <v>0.46607463580123731</v>
      </c>
      <c r="AE82" s="14">
        <f t="shared" si="302"/>
        <v>0.4644342921313902</v>
      </c>
      <c r="AF82" s="15">
        <f t="shared" si="302"/>
        <v>0.48078462770216168</v>
      </c>
      <c r="AG82" s="15">
        <f t="shared" si="302"/>
        <v>0.47343565525383707</v>
      </c>
      <c r="AH82" s="15">
        <f t="shared" si="302"/>
        <v>0.45682730923694781</v>
      </c>
      <c r="AI82" s="195">
        <f t="shared" si="302"/>
        <v>0.45930813837232559</v>
      </c>
      <c r="AJ82" s="14">
        <f t="shared" si="302"/>
        <v>0.46762051946757066</v>
      </c>
      <c r="AK82" s="15">
        <f t="shared" si="302"/>
        <v>0.46473886102095019</v>
      </c>
      <c r="AL82" s="15">
        <f t="shared" si="302"/>
        <v>0.47784200385356457</v>
      </c>
      <c r="AM82" s="15">
        <f t="shared" si="302"/>
        <v>0.46652288991275365</v>
      </c>
      <c r="AN82" s="195">
        <f t="shared" si="302"/>
        <v>0.45990657843518884</v>
      </c>
      <c r="AO82" s="14">
        <f t="shared" si="302"/>
        <v>0.46728744149765994</v>
      </c>
      <c r="AP82" s="15">
        <f t="shared" si="302"/>
        <v>0.47323135755258128</v>
      </c>
      <c r="AQ82" s="15">
        <f t="shared" si="302"/>
        <v>0.47900262467191601</v>
      </c>
      <c r="AR82" s="15">
        <f t="shared" ref="AR82:BW82" si="303">AR80/AR135</f>
        <v>0.4646503196259899</v>
      </c>
      <c r="AS82" s="195">
        <f t="shared" si="303"/>
        <v>0.4623352165725047</v>
      </c>
      <c r="AT82" s="14">
        <f t="shared" si="303"/>
        <v>0.46981931847782321</v>
      </c>
      <c r="AU82" s="15">
        <f t="shared" si="303"/>
        <v>0.45728219075307142</v>
      </c>
      <c r="AV82" s="15">
        <f t="shared" si="303"/>
        <v>0.47033231509765805</v>
      </c>
      <c r="AW82" s="15">
        <f t="shared" si="303"/>
        <v>0.46262105815562238</v>
      </c>
      <c r="AX82" s="195">
        <f t="shared" si="303"/>
        <v>0.47220493270053687</v>
      </c>
      <c r="AY82" s="14">
        <f t="shared" si="303"/>
        <v>0.46557925970129455</v>
      </c>
      <c r="AZ82" s="15">
        <f t="shared" si="303"/>
        <v>0.49252572316055138</v>
      </c>
      <c r="BA82" s="15">
        <f t="shared" si="303"/>
        <v>0.50121471056379319</v>
      </c>
      <c r="BB82" s="15">
        <f t="shared" si="303"/>
        <v>0.47909792079141922</v>
      </c>
      <c r="BC82" s="195">
        <f t="shared" si="303"/>
        <v>0.46988852637302886</v>
      </c>
      <c r="BD82" s="14">
        <f t="shared" si="303"/>
        <v>0.4842344553327213</v>
      </c>
      <c r="BE82" s="15">
        <f t="shared" si="303"/>
        <v>0.50132625994694957</v>
      </c>
      <c r="BF82" s="15">
        <f t="shared" si="303"/>
        <v>0.49623115577889448</v>
      </c>
      <c r="BG82" s="15">
        <f t="shared" si="303"/>
        <v>0.4749185667752443</v>
      </c>
      <c r="BH82" s="195">
        <f t="shared" si="303"/>
        <v>0.4730971128608924</v>
      </c>
      <c r="BI82" s="14">
        <f t="shared" si="303"/>
        <v>0.48644260431888292</v>
      </c>
      <c r="BJ82" s="15">
        <f t="shared" si="303"/>
        <v>0.4681818181818182</v>
      </c>
      <c r="BK82" s="15">
        <f t="shared" si="303"/>
        <v>0.48618090452261309</v>
      </c>
      <c r="BL82" s="15">
        <f t="shared" si="303"/>
        <v>0.47413793103448276</v>
      </c>
      <c r="BM82" s="195">
        <f t="shared" si="303"/>
        <v>0.46601307189542485</v>
      </c>
      <c r="BN82" s="14">
        <f t="shared" si="303"/>
        <v>0.47374392220421396</v>
      </c>
      <c r="BO82" s="15">
        <f t="shared" si="303"/>
        <v>0.47730307076101469</v>
      </c>
      <c r="BP82" s="15">
        <f t="shared" si="303"/>
        <v>0.49717514124293788</v>
      </c>
      <c r="BQ82" s="15">
        <f t="shared" si="303"/>
        <v>0.47622027534418021</v>
      </c>
      <c r="BR82" s="195">
        <f t="shared" si="303"/>
        <v>0.47185325743200507</v>
      </c>
      <c r="BS82" s="14">
        <f t="shared" si="303"/>
        <v>0.48070175438596491</v>
      </c>
      <c r="BT82" s="15">
        <f t="shared" si="303"/>
        <v>0.48046124279308133</v>
      </c>
      <c r="BU82" s="15">
        <f t="shared" si="303"/>
        <v>0.47091243110838948</v>
      </c>
      <c r="BV82" s="15">
        <f t="shared" si="303"/>
        <v>0.46558197747183983</v>
      </c>
      <c r="BW82" s="195">
        <f t="shared" si="303"/>
        <v>0.46420047732696895</v>
      </c>
      <c r="BX82" s="14">
        <f t="shared" ref="BX82:DC82" si="304">BX80/BX135</f>
        <v>0.47016079158936303</v>
      </c>
      <c r="BY82" s="15">
        <f t="shared" si="304"/>
        <v>0.46839929119905493</v>
      </c>
      <c r="BZ82" s="15">
        <f t="shared" si="304"/>
        <v>0.46718146718146719</v>
      </c>
      <c r="CA82" s="15">
        <f t="shared" si="304"/>
        <v>0.44641895530425418</v>
      </c>
      <c r="CB82" s="195">
        <f t="shared" si="304"/>
        <v>0.44227809132888662</v>
      </c>
      <c r="CC82" s="14">
        <f t="shared" si="304"/>
        <v>0.45555251641137856</v>
      </c>
      <c r="CD82" s="15">
        <f t="shared" si="304"/>
        <v>0.45690973992860784</v>
      </c>
      <c r="CE82" s="15">
        <f t="shared" si="304"/>
        <v>0.45307289185326344</v>
      </c>
      <c r="CF82" s="15">
        <f t="shared" si="304"/>
        <v>0.43619489559164731</v>
      </c>
      <c r="CG82" s="195">
        <f t="shared" si="304"/>
        <v>0.42844483828090385</v>
      </c>
      <c r="CH82" s="14">
        <f t="shared" si="304"/>
        <v>0.4431067044381492</v>
      </c>
      <c r="CI82" s="15">
        <f t="shared" si="304"/>
        <v>0.44029526704298738</v>
      </c>
      <c r="CJ82" s="15">
        <f t="shared" si="304"/>
        <v>0.44816053511705684</v>
      </c>
      <c r="CK82" s="15">
        <f t="shared" si="304"/>
        <v>0.43627246134559133</v>
      </c>
      <c r="CL82" s="195">
        <f t="shared" si="304"/>
        <v>0.42345838723587753</v>
      </c>
      <c r="CM82" s="14">
        <f t="shared" si="304"/>
        <v>0.4371212926544063</v>
      </c>
      <c r="CN82" s="15">
        <f t="shared" si="304"/>
        <v>0.43925233644859812</v>
      </c>
      <c r="CO82" s="15">
        <f t="shared" si="304"/>
        <v>0.44827586206896552</v>
      </c>
      <c r="CP82" s="15">
        <f t="shared" si="304"/>
        <v>0.43646408839779005</v>
      </c>
      <c r="CQ82" s="195">
        <f t="shared" si="304"/>
        <v>0.43561532192339036</v>
      </c>
      <c r="CR82" s="14">
        <f t="shared" si="304"/>
        <v>0.4398854961832061</v>
      </c>
      <c r="CS82" s="15">
        <f t="shared" si="304"/>
        <v>0.42120000000000002</v>
      </c>
      <c r="CT82" s="15">
        <f t="shared" si="304"/>
        <v>0.40940325497287522</v>
      </c>
      <c r="CU82" s="15">
        <f t="shared" si="304"/>
        <v>0.38700760193503803</v>
      </c>
      <c r="CV82" s="195">
        <f t="shared" si="304"/>
        <v>0.36171063149480415</v>
      </c>
      <c r="CW82" s="14">
        <f t="shared" si="304"/>
        <v>0.39489728918487949</v>
      </c>
      <c r="CX82" s="15">
        <f t="shared" si="304"/>
        <v>0.35872362326299539</v>
      </c>
      <c r="CY82" s="15">
        <f t="shared" si="304"/>
        <v>0.37210554658050621</v>
      </c>
      <c r="CZ82" s="15">
        <f t="shared" si="304"/>
        <v>0.39117789626757149</v>
      </c>
      <c r="DA82" s="15">
        <f t="shared" si="304"/>
        <v>0.37939221272554607</v>
      </c>
      <c r="DB82" s="14">
        <f t="shared" si="304"/>
        <v>0.37570586020830721</v>
      </c>
      <c r="DC82" s="15">
        <f t="shared" si="304"/>
        <v>0.39052725647899911</v>
      </c>
      <c r="DD82" s="15">
        <f t="shared" ref="DD82:EI82" si="305">DD80/DD135</f>
        <v>0.39547325102880659</v>
      </c>
      <c r="DE82" s="15">
        <f t="shared" si="305"/>
        <v>0.38762214983713356</v>
      </c>
      <c r="DF82" s="15">
        <f t="shared" si="305"/>
        <v>0.37125714229531037</v>
      </c>
      <c r="DG82" s="14">
        <f t="shared" si="305"/>
        <v>0.38619682419953716</v>
      </c>
      <c r="DH82" s="15">
        <f t="shared" si="305"/>
        <v>0.36946564885496186</v>
      </c>
      <c r="DI82" s="15">
        <f t="shared" si="305"/>
        <v>0.37124912770411722</v>
      </c>
      <c r="DJ82" s="15">
        <f t="shared" si="305"/>
        <v>0.37452405676704742</v>
      </c>
      <c r="DK82" s="15">
        <f t="shared" si="305"/>
        <v>0.36860922416875225</v>
      </c>
      <c r="DL82" s="14">
        <f t="shared" si="305"/>
        <v>0.37101682778374506</v>
      </c>
      <c r="DM82" s="15">
        <f t="shared" si="305"/>
        <v>0.40372893510218716</v>
      </c>
      <c r="DN82" s="15">
        <f t="shared" si="305"/>
        <v>0.41266527487821852</v>
      </c>
      <c r="DO82" s="15">
        <f t="shared" si="305"/>
        <v>0.4014110657259562</v>
      </c>
      <c r="DP82" s="15">
        <f t="shared" si="305"/>
        <v>0.40275707898658719</v>
      </c>
      <c r="DQ82" s="14">
        <f t="shared" si="305"/>
        <v>0.4052536231884058</v>
      </c>
      <c r="DR82" s="15">
        <f t="shared" si="305"/>
        <v>0.42695398100803506</v>
      </c>
      <c r="DS82" s="15">
        <f t="shared" si="305"/>
        <v>0.43611705924339755</v>
      </c>
      <c r="DT82" s="15">
        <f t="shared" si="305"/>
        <v>0.43626062322946174</v>
      </c>
      <c r="DU82" s="15">
        <f t="shared" si="305"/>
        <v>0.42624088858035403</v>
      </c>
      <c r="DV82" s="14">
        <f t="shared" si="305"/>
        <v>0.43139172965762562</v>
      </c>
      <c r="DW82" s="15">
        <f t="shared" si="305"/>
        <v>0.44291558200074377</v>
      </c>
      <c r="DX82" s="15">
        <f t="shared" si="305"/>
        <v>0.43852728468113084</v>
      </c>
      <c r="DY82" s="15">
        <f t="shared" si="305"/>
        <v>0.45186900430036386</v>
      </c>
      <c r="DZ82" s="15">
        <f t="shared" si="305"/>
        <v>0.44982578397212541</v>
      </c>
      <c r="EA82" s="14">
        <f t="shared" si="305"/>
        <v>0.44580178940123882</v>
      </c>
      <c r="EB82" s="15">
        <f t="shared" si="305"/>
        <v>0.44643552785352553</v>
      </c>
      <c r="EC82" s="15">
        <f t="shared" si="305"/>
        <v>0.46000737191301144</v>
      </c>
      <c r="ED82" s="15">
        <f t="shared" si="305"/>
        <v>0.4533726502027276</v>
      </c>
      <c r="EE82" s="15">
        <f t="shared" si="305"/>
        <v>0.45234312946783162</v>
      </c>
      <c r="EF82" s="14">
        <f t="shared" si="305"/>
        <v>0.45314432499286461</v>
      </c>
      <c r="EG82" s="15">
        <f t="shared" si="305"/>
        <v>0.48057851239669419</v>
      </c>
      <c r="EH82" s="15">
        <f t="shared" si="305"/>
        <v>0.48655256723716384</v>
      </c>
      <c r="EI82" s="15">
        <f t="shared" si="305"/>
        <v>0.46434231378763868</v>
      </c>
      <c r="EJ82" s="15">
        <f t="shared" ref="EJ82:ER82" si="306">EJ80/EJ135</f>
        <v>0.44377510040160645</v>
      </c>
      <c r="EK82" s="14">
        <f t="shared" si="306"/>
        <v>0.46864886731391586</v>
      </c>
      <c r="EL82" s="15">
        <f t="shared" si="306"/>
        <v>0.46601941747572817</v>
      </c>
      <c r="EM82" s="15">
        <f t="shared" si="306"/>
        <v>0.45999241562381493</v>
      </c>
      <c r="EN82" s="15">
        <f t="shared" si="306"/>
        <v>0.45393258426966293</v>
      </c>
      <c r="EO82" s="15">
        <f t="shared" ref="EO82:EQ82" si="307">EO80/EO135</f>
        <v>0.44398651180217308</v>
      </c>
      <c r="EP82" s="14">
        <f t="shared" si="307"/>
        <v>0.45588095915079141</v>
      </c>
      <c r="EQ82" s="15">
        <f t="shared" si="307"/>
        <v>0.44608023555391979</v>
      </c>
      <c r="ER82" s="15">
        <f t="shared" si="306"/>
        <v>0.45748458489080135</v>
      </c>
      <c r="ES82" s="15">
        <f t="shared" ref="ES82:EU82" si="308">ES80/ES135</f>
        <v>0.45109389146481293</v>
      </c>
      <c r="ET82" s="15">
        <f t="shared" si="308"/>
        <v>0.43684195316685931</v>
      </c>
      <c r="EU82" s="1943">
        <f t="shared" si="308"/>
        <v>0.44792288499082966</v>
      </c>
      <c r="EV82" s="34"/>
      <c r="EW82" s="34"/>
      <c r="EX82" s="34"/>
      <c r="EY82" s="34"/>
      <c r="EZ82" s="837">
        <f>EZ80/EZ135</f>
        <v>0.44189684967326659</v>
      </c>
      <c r="FA82" s="34"/>
      <c r="FB82" s="34"/>
      <c r="FC82" s="34"/>
      <c r="FD82" s="34"/>
      <c r="FE82" s="837">
        <f>FE80/FE135</f>
        <v>0.43918078596432736</v>
      </c>
      <c r="FF82" s="757"/>
      <c r="FG82" s="618"/>
      <c r="FH82" s="1026"/>
      <c r="FI82" s="1026"/>
      <c r="FJ82" s="1026"/>
      <c r="FK82" s="1026"/>
      <c r="FL82" s="1807"/>
      <c r="FM82" s="15">
        <f t="shared" si="239"/>
        <v>0.44608023555391979</v>
      </c>
      <c r="FN82" s="15">
        <f t="shared" si="240"/>
        <v>0.46601941747572817</v>
      </c>
      <c r="FO82" s="2042">
        <v>0.46289173484825025</v>
      </c>
      <c r="FP82" s="1892">
        <f>IFERROR(($FM82-FN82)*10000,"")</f>
        <v>-199.39181921808381</v>
      </c>
      <c r="FQ82" s="1892">
        <f>IFERROR(($FM82-FO82)*10000,"")</f>
        <v>-168.11499294330457</v>
      </c>
      <c r="FR82" s="571"/>
      <c r="FS82" s="571"/>
      <c r="FT82" s="571"/>
      <c r="FU82" s="571"/>
      <c r="FV82" s="571"/>
      <c r="FW82" s="571"/>
      <c r="FX82" s="571"/>
      <c r="FY82" s="571"/>
      <c r="FZ82" s="571"/>
      <c r="GA82" s="618"/>
      <c r="GB82"/>
      <c r="GC82"/>
      <c r="GD82"/>
      <c r="GE82"/>
      <c r="GF82"/>
      <c r="GG82"/>
      <c r="GH82" s="957"/>
      <c r="GI82" s="957"/>
      <c r="GJ82" s="957"/>
      <c r="GK82" s="957"/>
      <c r="GL82" s="957"/>
      <c r="GM82" s="957"/>
      <c r="GN82" s="957"/>
      <c r="GO82" s="957"/>
      <c r="GP82" s="957"/>
      <c r="GQ82" s="957"/>
      <c r="GR82" s="957"/>
      <c r="GS82" s="957"/>
      <c r="GT82" s="957"/>
      <c r="GU82" s="957"/>
      <c r="GV82" s="957"/>
      <c r="GW82" s="957"/>
      <c r="GX82" s="957"/>
      <c r="GY82" s="957"/>
      <c r="GZ82" s="957"/>
      <c r="HA82" s="957"/>
      <c r="HB82" s="957"/>
      <c r="HC82" s="957"/>
      <c r="HD82" s="957"/>
      <c r="HE82" s="957"/>
      <c r="HF82" s="957"/>
      <c r="HG82" s="957"/>
      <c r="HH82" s="957"/>
      <c r="HI82" s="957"/>
      <c r="HJ82" s="957"/>
      <c r="HK82" s="957"/>
      <c r="HL82" s="957"/>
      <c r="HM82" s="957"/>
      <c r="HN82" s="957"/>
      <c r="HO82" s="957"/>
      <c r="HP82" s="957"/>
      <c r="HQ82" s="957"/>
      <c r="HR82" s="957"/>
      <c r="HS82" s="957"/>
      <c r="HT82" s="957"/>
      <c r="HU82" s="957"/>
      <c r="HV82" s="957"/>
      <c r="HW82" s="957"/>
      <c r="HX82" s="957"/>
      <c r="HY82" s="957"/>
      <c r="HZ82" s="957"/>
      <c r="IA82" s="957"/>
      <c r="IB82" s="957"/>
      <c r="IC82" s="957"/>
      <c r="ID82" s="957"/>
      <c r="IE82" s="957"/>
      <c r="IF82" s="957"/>
      <c r="IG82" s="957"/>
      <c r="IH82" s="957"/>
      <c r="II82" s="957"/>
      <c r="IJ82" s="957"/>
      <c r="IK82" s="957"/>
      <c r="IL82" s="957"/>
      <c r="IM82" s="957"/>
      <c r="IN82" s="957"/>
      <c r="IO82" s="957"/>
      <c r="IP82" s="957"/>
      <c r="IQ82" s="957"/>
      <c r="IR82" s="957"/>
      <c r="IS82" s="957"/>
      <c r="IT82" s="957"/>
      <c r="IU82" s="957"/>
      <c r="IV82" s="957"/>
    </row>
    <row r="83" spans="1:256" s="52" customFormat="1" ht="12.75" customHeight="1" x14ac:dyDescent="0.2">
      <c r="A83" s="35" t="s">
        <v>72</v>
      </c>
      <c r="B83" s="36"/>
      <c r="C83" s="36"/>
      <c r="D83" s="36"/>
      <c r="E83" s="200"/>
      <c r="F83" s="37"/>
      <c r="G83" s="36"/>
      <c r="H83" s="36"/>
      <c r="I83" s="36"/>
      <c r="J83" s="200"/>
      <c r="K83" s="37"/>
      <c r="L83" s="36">
        <f t="shared" ref="L83:AQ83" si="309">L7+L10+L11+L12</f>
        <v>315.5</v>
      </c>
      <c r="M83" s="36">
        <f t="shared" si="309"/>
        <v>337.7</v>
      </c>
      <c r="N83" s="36">
        <f t="shared" si="309"/>
        <v>337.2</v>
      </c>
      <c r="O83" s="200">
        <f t="shared" si="309"/>
        <v>333.9</v>
      </c>
      <c r="P83" s="37">
        <f t="shared" si="309"/>
        <v>1324.3</v>
      </c>
      <c r="Q83" s="36">
        <f t="shared" si="309"/>
        <v>344.6</v>
      </c>
      <c r="R83" s="36">
        <f t="shared" si="309"/>
        <v>360.7</v>
      </c>
      <c r="S83" s="36">
        <f t="shared" si="309"/>
        <v>355</v>
      </c>
      <c r="T83" s="200">
        <f t="shared" si="309"/>
        <v>352.4</v>
      </c>
      <c r="U83" s="37">
        <f t="shared" si="309"/>
        <v>1412.6999999999998</v>
      </c>
      <c r="V83" s="36">
        <f t="shared" si="309"/>
        <v>360.40000000000003</v>
      </c>
      <c r="W83" s="36">
        <f t="shared" si="309"/>
        <v>381.3</v>
      </c>
      <c r="X83" s="36">
        <f t="shared" si="309"/>
        <v>361.5</v>
      </c>
      <c r="Y83" s="200">
        <f t="shared" si="309"/>
        <v>374.90000000000003</v>
      </c>
      <c r="Z83" s="37">
        <f t="shared" si="309"/>
        <v>1478.1000000000001</v>
      </c>
      <c r="AA83" s="36">
        <f t="shared" si="309"/>
        <v>367.8</v>
      </c>
      <c r="AB83" s="36">
        <f t="shared" si="309"/>
        <v>394.6</v>
      </c>
      <c r="AC83" s="36">
        <f t="shared" si="309"/>
        <v>374.6</v>
      </c>
      <c r="AD83" s="200">
        <f t="shared" si="309"/>
        <v>386.4</v>
      </c>
      <c r="AE83" s="37">
        <f t="shared" si="309"/>
        <v>1523.3999999999999</v>
      </c>
      <c r="AF83" s="36">
        <f t="shared" si="309"/>
        <v>388</v>
      </c>
      <c r="AG83" s="36">
        <f t="shared" si="309"/>
        <v>395.29999999999995</v>
      </c>
      <c r="AH83" s="36">
        <f t="shared" si="309"/>
        <v>369.9</v>
      </c>
      <c r="AI83" s="200">
        <f t="shared" si="309"/>
        <v>374.9</v>
      </c>
      <c r="AJ83" s="37">
        <f t="shared" si="309"/>
        <v>1528.1</v>
      </c>
      <c r="AK83" s="36">
        <f t="shared" si="309"/>
        <v>372.90000000000003</v>
      </c>
      <c r="AL83" s="36">
        <f t="shared" si="309"/>
        <v>393.29999999999995</v>
      </c>
      <c r="AM83" s="36">
        <f t="shared" si="309"/>
        <v>387</v>
      </c>
      <c r="AN83" s="200">
        <f t="shared" si="309"/>
        <v>382.79999999999995</v>
      </c>
      <c r="AO83" s="37">
        <f t="shared" si="309"/>
        <v>1536</v>
      </c>
      <c r="AP83" s="36">
        <f t="shared" si="309"/>
        <v>394.59999999999997</v>
      </c>
      <c r="AQ83" s="36">
        <f t="shared" si="309"/>
        <v>411.99999999999994</v>
      </c>
      <c r="AR83" s="36">
        <f t="shared" ref="AR83:BW83" si="310">AR7+AR10+AR11+AR12</f>
        <v>394.5</v>
      </c>
      <c r="AS83" s="200">
        <f t="shared" si="310"/>
        <v>395.20000000000005</v>
      </c>
      <c r="AT83" s="37">
        <f t="shared" si="310"/>
        <v>1596.3000000000002</v>
      </c>
      <c r="AU83" s="36">
        <f t="shared" si="310"/>
        <v>398.2</v>
      </c>
      <c r="AV83" s="36">
        <f t="shared" si="310"/>
        <v>421.5</v>
      </c>
      <c r="AW83" s="36">
        <f t="shared" si="310"/>
        <v>400.6</v>
      </c>
      <c r="AX83" s="200">
        <f t="shared" si="310"/>
        <v>399.19999999999993</v>
      </c>
      <c r="AY83" s="37">
        <f t="shared" si="310"/>
        <v>1619.5</v>
      </c>
      <c r="AZ83" s="36">
        <f t="shared" si="310"/>
        <v>406.6</v>
      </c>
      <c r="BA83" s="36">
        <f t="shared" si="310"/>
        <v>487.09999999999997</v>
      </c>
      <c r="BB83" s="36">
        <f t="shared" si="310"/>
        <v>579.40000000000009</v>
      </c>
      <c r="BC83" s="200">
        <f t="shared" si="310"/>
        <v>583.86</v>
      </c>
      <c r="BD83" s="37">
        <f t="shared" si="310"/>
        <v>2056.96</v>
      </c>
      <c r="BE83" s="36">
        <f t="shared" si="310"/>
        <v>613.40000000000009</v>
      </c>
      <c r="BF83" s="36">
        <f t="shared" si="310"/>
        <v>637</v>
      </c>
      <c r="BG83" s="36">
        <f t="shared" si="310"/>
        <v>587.9</v>
      </c>
      <c r="BH83" s="200">
        <f t="shared" si="310"/>
        <v>554</v>
      </c>
      <c r="BI83" s="37">
        <f t="shared" si="310"/>
        <v>2392.2999999999997</v>
      </c>
      <c r="BJ83" s="36">
        <f t="shared" si="310"/>
        <v>541.29999999999995</v>
      </c>
      <c r="BK83" s="36">
        <f t="shared" si="310"/>
        <v>586.19999999999993</v>
      </c>
      <c r="BL83" s="36">
        <f t="shared" si="310"/>
        <v>542.5</v>
      </c>
      <c r="BM83" s="200">
        <f t="shared" si="310"/>
        <v>536.9</v>
      </c>
      <c r="BN83" s="37">
        <f t="shared" si="310"/>
        <v>2206.8999999999996</v>
      </c>
      <c r="BO83" s="36">
        <f t="shared" si="310"/>
        <v>533.79999999999995</v>
      </c>
      <c r="BP83" s="36">
        <f t="shared" si="310"/>
        <v>596.20000000000005</v>
      </c>
      <c r="BQ83" s="36">
        <f t="shared" si="310"/>
        <v>570.5</v>
      </c>
      <c r="BR83" s="200">
        <f t="shared" si="310"/>
        <v>541.29999999999995</v>
      </c>
      <c r="BS83" s="37">
        <f t="shared" si="310"/>
        <v>2241.7999999999997</v>
      </c>
      <c r="BT83" s="36">
        <f t="shared" si="310"/>
        <v>540</v>
      </c>
      <c r="BU83" s="36">
        <f t="shared" si="310"/>
        <v>570.80000000000007</v>
      </c>
      <c r="BV83" s="36">
        <f t="shared" si="310"/>
        <v>550.20000000000005</v>
      </c>
      <c r="BW83" s="200">
        <f t="shared" si="310"/>
        <v>563.20000000000005</v>
      </c>
      <c r="BX83" s="37">
        <f t="shared" ref="BX83:DC83" si="311">BX7+BX10+BX11+BX12</f>
        <v>2224.1999999999998</v>
      </c>
      <c r="BY83" s="36">
        <f t="shared" si="311"/>
        <v>563.79999999999995</v>
      </c>
      <c r="BZ83" s="36">
        <f t="shared" si="311"/>
        <v>602.29999999999995</v>
      </c>
      <c r="CA83" s="36">
        <f t="shared" si="311"/>
        <v>577.40000000000009</v>
      </c>
      <c r="CB83" s="200">
        <f t="shared" si="311"/>
        <v>578.6</v>
      </c>
      <c r="CC83" s="37">
        <f t="shared" si="311"/>
        <v>2322.1</v>
      </c>
      <c r="CD83" s="36">
        <f t="shared" si="311"/>
        <v>572.4</v>
      </c>
      <c r="CE83" s="36">
        <f t="shared" si="311"/>
        <v>602.29999999999995</v>
      </c>
      <c r="CF83" s="36">
        <f t="shared" si="311"/>
        <v>574.79999999999995</v>
      </c>
      <c r="CG83" s="200">
        <f t="shared" si="311"/>
        <v>574.9</v>
      </c>
      <c r="CH83" s="37">
        <f t="shared" si="311"/>
        <v>2324.4</v>
      </c>
      <c r="CI83" s="36">
        <f t="shared" si="311"/>
        <v>588.5</v>
      </c>
      <c r="CJ83" s="36">
        <f t="shared" si="311"/>
        <v>608.79999999999995</v>
      </c>
      <c r="CK83" s="36">
        <f t="shared" si="311"/>
        <v>565.1</v>
      </c>
      <c r="CL83" s="200">
        <f t="shared" si="311"/>
        <v>527.9</v>
      </c>
      <c r="CM83" s="37">
        <f t="shared" si="311"/>
        <v>2290.2999999999997</v>
      </c>
      <c r="CN83" s="36">
        <f t="shared" si="311"/>
        <v>533.09999999999991</v>
      </c>
      <c r="CO83" s="36">
        <f t="shared" si="311"/>
        <v>575.40000000000009</v>
      </c>
      <c r="CP83" s="36">
        <f t="shared" si="311"/>
        <v>540.29999999999995</v>
      </c>
      <c r="CQ83" s="200">
        <f t="shared" si="311"/>
        <v>522.59999999999991</v>
      </c>
      <c r="CR83" s="37">
        <f t="shared" si="311"/>
        <v>2171.4</v>
      </c>
      <c r="CS83" s="36">
        <f t="shared" si="311"/>
        <v>508.5</v>
      </c>
      <c r="CT83" s="36">
        <f t="shared" si="311"/>
        <v>533</v>
      </c>
      <c r="CU83" s="36">
        <f t="shared" si="311"/>
        <v>494.9</v>
      </c>
      <c r="CV83" s="200">
        <f t="shared" si="311"/>
        <v>406</v>
      </c>
      <c r="CW83" s="37">
        <f t="shared" si="311"/>
        <v>1942.3999999999996</v>
      </c>
      <c r="CX83" s="36">
        <f t="shared" si="311"/>
        <v>337.6</v>
      </c>
      <c r="CY83" s="36">
        <f t="shared" si="311"/>
        <v>332.6</v>
      </c>
      <c r="CZ83" s="36">
        <f t="shared" si="311"/>
        <v>389.2</v>
      </c>
      <c r="DA83" s="36">
        <f t="shared" si="311"/>
        <v>385.59999999999997</v>
      </c>
      <c r="DB83" s="37">
        <f t="shared" si="311"/>
        <v>1445</v>
      </c>
      <c r="DC83" s="36">
        <f t="shared" si="311"/>
        <v>383.70000000000005</v>
      </c>
      <c r="DD83" s="36">
        <f t="shared" ref="DD83:EI83" si="312">DD7+DD10+DD11+DD12</f>
        <v>439.2</v>
      </c>
      <c r="DE83" s="36">
        <f t="shared" si="312"/>
        <v>433.20000000000005</v>
      </c>
      <c r="DF83" s="36">
        <f t="shared" si="312"/>
        <v>396.5</v>
      </c>
      <c r="DG83" s="37">
        <f t="shared" si="312"/>
        <v>1652.6000000000001</v>
      </c>
      <c r="DH83" s="36">
        <f t="shared" si="312"/>
        <v>402.6</v>
      </c>
      <c r="DI83" s="36">
        <f t="shared" si="312"/>
        <v>432.20000000000005</v>
      </c>
      <c r="DJ83" s="36">
        <f t="shared" si="312"/>
        <v>434.9</v>
      </c>
      <c r="DK83" s="36">
        <f t="shared" si="312"/>
        <v>415.5</v>
      </c>
      <c r="DL83" s="37">
        <f t="shared" si="312"/>
        <v>1685.2</v>
      </c>
      <c r="DM83" s="36">
        <f t="shared" si="312"/>
        <v>434.5</v>
      </c>
      <c r="DN83" s="36">
        <f t="shared" si="312"/>
        <v>454</v>
      </c>
      <c r="DO83" s="36">
        <f t="shared" si="312"/>
        <v>427.09999999999997</v>
      </c>
      <c r="DP83" s="36">
        <f t="shared" si="312"/>
        <v>423.29999999999995</v>
      </c>
      <c r="DQ83" s="37">
        <f t="shared" si="312"/>
        <v>1738.8999999999999</v>
      </c>
      <c r="DR83" s="36">
        <f t="shared" si="312"/>
        <v>436.1</v>
      </c>
      <c r="DS83" s="36">
        <f t="shared" si="312"/>
        <v>467.9</v>
      </c>
      <c r="DT83" s="36">
        <f t="shared" si="312"/>
        <v>466.29999999999995</v>
      </c>
      <c r="DU83" s="36">
        <f t="shared" si="312"/>
        <v>457.3</v>
      </c>
      <c r="DV83" s="37">
        <f t="shared" si="312"/>
        <v>1827.6</v>
      </c>
      <c r="DW83" s="36">
        <f t="shared" si="312"/>
        <v>430.69999999999993</v>
      </c>
      <c r="DX83" s="36">
        <f t="shared" si="312"/>
        <v>500.9</v>
      </c>
      <c r="DY83" s="36">
        <f t="shared" si="312"/>
        <v>518.1</v>
      </c>
      <c r="DZ83" s="36">
        <f t="shared" si="312"/>
        <v>491.79999999999995</v>
      </c>
      <c r="EA83" s="37">
        <f t="shared" si="312"/>
        <v>1941.5</v>
      </c>
      <c r="EB83" s="36">
        <f t="shared" si="312"/>
        <v>448</v>
      </c>
      <c r="EC83" s="36">
        <f t="shared" si="312"/>
        <v>507.8</v>
      </c>
      <c r="ED83" s="36">
        <f t="shared" si="312"/>
        <v>505.1</v>
      </c>
      <c r="EE83" s="36">
        <f t="shared" si="312"/>
        <v>468.29999999999995</v>
      </c>
      <c r="EF83" s="37">
        <f t="shared" si="312"/>
        <v>1929.2000000000003</v>
      </c>
      <c r="EG83" s="36">
        <f t="shared" si="312"/>
        <v>461.79999999999995</v>
      </c>
      <c r="EH83" s="36">
        <f t="shared" si="312"/>
        <v>490.70000000000005</v>
      </c>
      <c r="EI83" s="36">
        <f t="shared" si="312"/>
        <v>482.90000000000003</v>
      </c>
      <c r="EJ83" s="36">
        <f t="shared" ref="EJ83:EU83" si="313">EJ7+EJ10+EJ11+EJ12</f>
        <v>450.59999999999997</v>
      </c>
      <c r="EK83" s="37">
        <f t="shared" si="313"/>
        <v>1886</v>
      </c>
      <c r="EL83" s="36">
        <f t="shared" si="313"/>
        <v>468.1</v>
      </c>
      <c r="EM83" s="36">
        <f t="shared" si="313"/>
        <v>489.90000000000003</v>
      </c>
      <c r="EN83" s="36">
        <f t="shared" si="313"/>
        <v>479.4</v>
      </c>
      <c r="EO83" s="36">
        <f t="shared" ref="EO83:EQ83" si="314">EO7+EO10+EO11+EO12</f>
        <v>465</v>
      </c>
      <c r="EP83" s="37">
        <f t="shared" si="314"/>
        <v>1902.3999999999999</v>
      </c>
      <c r="EQ83" s="36">
        <f t="shared" si="314"/>
        <v>457.79999999999995</v>
      </c>
      <c r="ER83" s="36">
        <f t="shared" si="313"/>
        <v>501.85500000000002</v>
      </c>
      <c r="ES83" s="36">
        <f t="shared" si="313"/>
        <v>491.84200000000004</v>
      </c>
      <c r="ET83" s="36">
        <f t="shared" si="313"/>
        <v>464.09749999999997</v>
      </c>
      <c r="EU83" s="1944">
        <f t="shared" si="313"/>
        <v>1915.5945000000002</v>
      </c>
      <c r="EV83" s="38"/>
      <c r="EW83" s="38"/>
      <c r="EX83" s="38"/>
      <c r="EY83" s="38"/>
      <c r="EZ83" s="838">
        <f>EZ7+EZ10+EZ11+EZ12</f>
        <v>1920.8562425</v>
      </c>
      <c r="FA83" s="38"/>
      <c r="FB83" s="38"/>
      <c r="FC83" s="38"/>
      <c r="FD83" s="38"/>
      <c r="FE83" s="838">
        <f>FE7+FE10+FE11+FE12</f>
        <v>1942.4520035625001</v>
      </c>
      <c r="FF83" s="758"/>
      <c r="FG83" s="648"/>
      <c r="FH83" s="1059"/>
      <c r="FI83" s="1059"/>
      <c r="FJ83" s="1059"/>
      <c r="FK83" s="1059"/>
      <c r="FL83" s="1808"/>
      <c r="FM83" s="36">
        <f t="shared" si="239"/>
        <v>457.79999999999995</v>
      </c>
      <c r="FN83" s="36">
        <f t="shared" si="240"/>
        <v>468.1</v>
      </c>
      <c r="FO83" s="36">
        <v>463.70999999999992</v>
      </c>
      <c r="FP83" s="1862">
        <f>IFERROR(($FM83/FN83)-1,"")</f>
        <v>-2.2003845332194127E-2</v>
      </c>
      <c r="FQ83" s="1862">
        <f>IFERROR(($FM83/FO83)-1,"")</f>
        <v>-1.2745034612149819E-2</v>
      </c>
      <c r="FR83" s="572"/>
      <c r="FS83" s="572"/>
      <c r="FT83" s="572"/>
      <c r="FU83" s="572"/>
      <c r="FV83" s="572"/>
      <c r="FW83" s="572"/>
      <c r="FX83" s="572"/>
      <c r="FY83" s="572"/>
      <c r="FZ83" s="572"/>
      <c r="GA83" s="648"/>
      <c r="GB83"/>
      <c r="GC83"/>
      <c r="GD83"/>
      <c r="GE83"/>
      <c r="GF83"/>
      <c r="GG83"/>
      <c r="GH83" s="958"/>
      <c r="GI83" s="958"/>
      <c r="GJ83" s="958"/>
      <c r="GK83" s="958"/>
      <c r="GL83" s="958"/>
      <c r="GM83" s="958"/>
      <c r="GN83" s="958"/>
      <c r="GO83" s="958"/>
      <c r="GP83" s="958"/>
      <c r="GQ83" s="958"/>
      <c r="GR83" s="958"/>
      <c r="GS83" s="958"/>
      <c r="GT83" s="958"/>
      <c r="GU83" s="958"/>
      <c r="GV83" s="958"/>
      <c r="GW83" s="958"/>
      <c r="GX83" s="958"/>
      <c r="GY83" s="958"/>
      <c r="GZ83" s="958"/>
      <c r="HA83" s="958"/>
      <c r="HB83" s="958"/>
      <c r="HC83" s="958"/>
      <c r="HD83" s="958"/>
      <c r="HE83" s="958"/>
      <c r="HF83" s="958"/>
      <c r="HG83" s="958"/>
      <c r="HH83" s="958"/>
      <c r="HI83" s="958"/>
      <c r="HJ83" s="958"/>
      <c r="HK83" s="958"/>
      <c r="HL83" s="958"/>
      <c r="HM83" s="958"/>
      <c r="HN83" s="958"/>
      <c r="HO83" s="958"/>
      <c r="HP83" s="958"/>
      <c r="HQ83" s="958"/>
      <c r="HR83" s="958"/>
      <c r="HS83" s="958"/>
      <c r="HT83" s="958"/>
      <c r="HU83" s="958"/>
      <c r="HV83" s="958"/>
      <c r="HW83" s="958"/>
      <c r="HX83" s="958"/>
      <c r="HY83" s="958"/>
      <c r="HZ83" s="958"/>
      <c r="IA83" s="958"/>
      <c r="IB83" s="958"/>
      <c r="IC83" s="958"/>
      <c r="ID83" s="958"/>
      <c r="IE83" s="958"/>
      <c r="IF83" s="958"/>
      <c r="IG83" s="958"/>
      <c r="IH83" s="958"/>
      <c r="II83" s="958"/>
      <c r="IJ83" s="958"/>
      <c r="IK83" s="958"/>
      <c r="IL83" s="958"/>
      <c r="IM83" s="958"/>
      <c r="IN83" s="958"/>
      <c r="IO83" s="958"/>
      <c r="IP83" s="958"/>
      <c r="IQ83" s="958"/>
      <c r="IR83" s="958"/>
      <c r="IS83" s="958"/>
      <c r="IT83" s="958"/>
      <c r="IU83" s="958"/>
      <c r="IV83" s="958"/>
    </row>
    <row r="84" spans="1:256" s="191" customFormat="1" ht="12.75" x14ac:dyDescent="0.2">
      <c r="A84" s="242" t="s">
        <v>74</v>
      </c>
      <c r="B84" s="22"/>
      <c r="C84" s="22"/>
      <c r="D84" s="22"/>
      <c r="E84" s="197"/>
      <c r="F84" s="21"/>
      <c r="G84" s="22"/>
      <c r="H84" s="22"/>
      <c r="I84" s="22"/>
      <c r="J84" s="197"/>
      <c r="K84" s="21"/>
      <c r="L84" s="22"/>
      <c r="M84" s="22"/>
      <c r="N84" s="22"/>
      <c r="O84" s="197"/>
      <c r="P84" s="21"/>
      <c r="Q84" s="22">
        <f t="shared" ref="Q84:CB84" si="315">Q83/L83-1</f>
        <v>9.2234548335974775E-2</v>
      </c>
      <c r="R84" s="22">
        <f t="shared" si="315"/>
        <v>6.8107787977494727E-2</v>
      </c>
      <c r="S84" s="22">
        <f t="shared" si="315"/>
        <v>5.2787663107947802E-2</v>
      </c>
      <c r="T84" s="197">
        <f t="shared" si="315"/>
        <v>5.5405810122791221E-2</v>
      </c>
      <c r="U84" s="21">
        <f t="shared" si="315"/>
        <v>6.675224646983291E-2</v>
      </c>
      <c r="V84" s="22">
        <f t="shared" si="315"/>
        <v>4.5850261172373896E-2</v>
      </c>
      <c r="W84" s="22">
        <f t="shared" si="315"/>
        <v>5.7111172719711778E-2</v>
      </c>
      <c r="X84" s="22">
        <f t="shared" si="315"/>
        <v>1.8309859154929553E-2</v>
      </c>
      <c r="Y84" s="197">
        <f t="shared" si="315"/>
        <v>6.3847900113507494E-2</v>
      </c>
      <c r="Z84" s="21">
        <f t="shared" si="315"/>
        <v>4.6294330006370954E-2</v>
      </c>
      <c r="AA84" s="22">
        <f t="shared" si="315"/>
        <v>2.0532741398446186E-2</v>
      </c>
      <c r="AB84" s="22">
        <f t="shared" si="315"/>
        <v>3.4880671387359063E-2</v>
      </c>
      <c r="AC84" s="22">
        <f t="shared" si="315"/>
        <v>3.6237897648686124E-2</v>
      </c>
      <c r="AD84" s="197">
        <f t="shared" si="315"/>
        <v>3.0674846625766694E-2</v>
      </c>
      <c r="AE84" s="21">
        <f t="shared" si="315"/>
        <v>3.0647452811040976E-2</v>
      </c>
      <c r="AF84" s="22">
        <f t="shared" si="315"/>
        <v>5.4921152800434969E-2</v>
      </c>
      <c r="AG84" s="22">
        <f t="shared" si="315"/>
        <v>1.7739483020777769E-3</v>
      </c>
      <c r="AH84" s="22">
        <f t="shared" si="315"/>
        <v>-1.2546716497597532E-2</v>
      </c>
      <c r="AI84" s="197">
        <f t="shared" si="315"/>
        <v>-2.9761904761904767E-2</v>
      </c>
      <c r="AJ84" s="21">
        <f t="shared" si="315"/>
        <v>3.0852041486149062E-3</v>
      </c>
      <c r="AK84" s="22">
        <f t="shared" si="315"/>
        <v>-3.8917525773195738E-2</v>
      </c>
      <c r="AL84" s="22">
        <f t="shared" si="315"/>
        <v>-5.0594485201113093E-3</v>
      </c>
      <c r="AM84" s="22">
        <f t="shared" si="315"/>
        <v>4.6228710462287159E-2</v>
      </c>
      <c r="AN84" s="197">
        <f t="shared" si="315"/>
        <v>2.107228594291799E-2</v>
      </c>
      <c r="AO84" s="21">
        <f t="shared" si="315"/>
        <v>5.169818729140907E-3</v>
      </c>
      <c r="AP84" s="22">
        <f t="shared" si="315"/>
        <v>5.8192544918208355E-2</v>
      </c>
      <c r="AQ84" s="22">
        <f t="shared" si="315"/>
        <v>4.7546402237477636E-2</v>
      </c>
      <c r="AR84" s="22">
        <f t="shared" si="315"/>
        <v>1.9379844961240345E-2</v>
      </c>
      <c r="AS84" s="197">
        <f t="shared" si="315"/>
        <v>3.2392894461860111E-2</v>
      </c>
      <c r="AT84" s="21">
        <f t="shared" si="315"/>
        <v>3.9257812500000044E-2</v>
      </c>
      <c r="AU84" s="22">
        <f t="shared" si="315"/>
        <v>9.1231626964014545E-3</v>
      </c>
      <c r="AV84" s="22">
        <f t="shared" si="315"/>
        <v>2.3058252427184511E-2</v>
      </c>
      <c r="AW84" s="22">
        <f t="shared" si="315"/>
        <v>1.5462610899873219E-2</v>
      </c>
      <c r="AX84" s="197">
        <f t="shared" si="315"/>
        <v>1.0121457489878249E-2</v>
      </c>
      <c r="AY84" s="21">
        <f t="shared" si="315"/>
        <v>1.4533608970744627E-2</v>
      </c>
      <c r="AZ84" s="22">
        <f t="shared" si="315"/>
        <v>2.1094927172275346E-2</v>
      </c>
      <c r="BA84" s="22">
        <f t="shared" si="315"/>
        <v>0.15563463819691559</v>
      </c>
      <c r="BB84" s="22">
        <f t="shared" si="315"/>
        <v>0.44633050424363474</v>
      </c>
      <c r="BC84" s="197">
        <f t="shared" si="315"/>
        <v>0.46257515030060148</v>
      </c>
      <c r="BD84" s="21">
        <f t="shared" si="315"/>
        <v>0.27012040753318933</v>
      </c>
      <c r="BE84" s="22">
        <f t="shared" si="315"/>
        <v>0.50860796851942958</v>
      </c>
      <c r="BF84" s="22">
        <f t="shared" si="315"/>
        <v>0.30773968384315342</v>
      </c>
      <c r="BG84" s="22">
        <f t="shared" si="315"/>
        <v>1.4670348636520281E-2</v>
      </c>
      <c r="BH84" s="197">
        <f t="shared" si="315"/>
        <v>-5.1142397150001684E-2</v>
      </c>
      <c r="BI84" s="21">
        <f t="shared" si="315"/>
        <v>0.16302699128811438</v>
      </c>
      <c r="BJ84" s="22">
        <f t="shared" si="315"/>
        <v>-0.11754157156830802</v>
      </c>
      <c r="BK84" s="22">
        <f t="shared" si="315"/>
        <v>-7.9748822605965608E-2</v>
      </c>
      <c r="BL84" s="22">
        <f t="shared" si="315"/>
        <v>-7.7224017690083357E-2</v>
      </c>
      <c r="BM84" s="197">
        <f t="shared" si="315"/>
        <v>-3.0866425992779778E-2</v>
      </c>
      <c r="BN84" s="21">
        <f t="shared" si="315"/>
        <v>-7.7498641474731511E-2</v>
      </c>
      <c r="BO84" s="22">
        <f t="shared" si="315"/>
        <v>-1.3855532976168483E-2</v>
      </c>
      <c r="BP84" s="22">
        <f t="shared" si="315"/>
        <v>1.7059024223814667E-2</v>
      </c>
      <c r="BQ84" s="22">
        <f t="shared" si="315"/>
        <v>5.1612903225806361E-2</v>
      </c>
      <c r="BR84" s="197">
        <f t="shared" si="315"/>
        <v>8.1951946358724825E-3</v>
      </c>
      <c r="BS84" s="21">
        <f t="shared" si="315"/>
        <v>1.5814037790566005E-2</v>
      </c>
      <c r="BT84" s="22">
        <f t="shared" si="315"/>
        <v>1.161483701760968E-2</v>
      </c>
      <c r="BU84" s="22">
        <f t="shared" si="315"/>
        <v>-4.2603153304260233E-2</v>
      </c>
      <c r="BV84" s="22">
        <f t="shared" si="315"/>
        <v>-3.5582822085889476E-2</v>
      </c>
      <c r="BW84" s="197">
        <f t="shared" si="315"/>
        <v>4.0458156290412051E-2</v>
      </c>
      <c r="BX84" s="21">
        <f t="shared" si="315"/>
        <v>-7.8508341511285273E-3</v>
      </c>
      <c r="BY84" s="22">
        <f t="shared" si="315"/>
        <v>4.4074074074073932E-2</v>
      </c>
      <c r="BZ84" s="22">
        <f t="shared" si="315"/>
        <v>5.518570427470193E-2</v>
      </c>
      <c r="CA84" s="22">
        <f t="shared" si="315"/>
        <v>4.9436568520538016E-2</v>
      </c>
      <c r="CB84" s="197">
        <f t="shared" si="315"/>
        <v>2.734375E-2</v>
      </c>
      <c r="CC84" s="21">
        <f t="shared" ref="CC84:DY84" si="316">CC83/BX83-1</f>
        <v>4.4015825914935691E-2</v>
      </c>
      <c r="CD84" s="22">
        <f t="shared" si="316"/>
        <v>1.5253636041149488E-2</v>
      </c>
      <c r="CE84" s="22">
        <f t="shared" si="316"/>
        <v>0</v>
      </c>
      <c r="CF84" s="22">
        <f t="shared" si="316"/>
        <v>-4.5029442327678693E-3</v>
      </c>
      <c r="CG84" s="197">
        <f t="shared" si="316"/>
        <v>-6.3947459384722238E-3</v>
      </c>
      <c r="CH84" s="21">
        <f t="shared" si="316"/>
        <v>9.904827526807658E-4</v>
      </c>
      <c r="CI84" s="22">
        <f t="shared" si="316"/>
        <v>2.8127183787561183E-2</v>
      </c>
      <c r="CJ84" s="22">
        <f t="shared" si="316"/>
        <v>1.0791964137472965E-2</v>
      </c>
      <c r="CK84" s="22">
        <f t="shared" si="316"/>
        <v>-1.6875434933889877E-2</v>
      </c>
      <c r="CL84" s="197">
        <f t="shared" si="316"/>
        <v>-8.1753348408418858E-2</v>
      </c>
      <c r="CM84" s="21">
        <f t="shared" si="316"/>
        <v>-1.4670452589915839E-2</v>
      </c>
      <c r="CN84" s="22">
        <f t="shared" si="316"/>
        <v>-9.4137638062871898E-2</v>
      </c>
      <c r="CO84" s="22">
        <f t="shared" si="316"/>
        <v>-5.4862023653087788E-2</v>
      </c>
      <c r="CP84" s="22">
        <f t="shared" si="316"/>
        <v>-4.3886037869403816E-2</v>
      </c>
      <c r="CQ84" s="197">
        <f t="shared" si="316"/>
        <v>-1.0039780261413278E-2</v>
      </c>
      <c r="CR84" s="21">
        <f t="shared" si="316"/>
        <v>-5.1914596341090524E-2</v>
      </c>
      <c r="CS84" s="22">
        <f t="shared" si="316"/>
        <v>-4.6145188519977287E-2</v>
      </c>
      <c r="CT84" s="22">
        <f t="shared" si="316"/>
        <v>-7.3687869308307397E-2</v>
      </c>
      <c r="CU84" s="22">
        <f t="shared" si="316"/>
        <v>-8.4027392189524264E-2</v>
      </c>
      <c r="CV84" s="197">
        <f t="shared" si="316"/>
        <v>-0.22311519326444684</v>
      </c>
      <c r="CW84" s="21">
        <f t="shared" si="316"/>
        <v>-0.10546191397255245</v>
      </c>
      <c r="CX84" s="22">
        <f t="shared" si="316"/>
        <v>-0.33608652900688296</v>
      </c>
      <c r="CY84" s="22">
        <f t="shared" si="316"/>
        <v>-0.37598499061913693</v>
      </c>
      <c r="CZ84" s="22">
        <f t="shared" si="316"/>
        <v>-0.21357850070721351</v>
      </c>
      <c r="DA84" s="22">
        <f>DA83/CV83-1</f>
        <v>-5.0246305418719328E-2</v>
      </c>
      <c r="DB84" s="21">
        <f>DB83/CW83-1</f>
        <v>-0.25607495881383846</v>
      </c>
      <c r="DC84" s="22">
        <f t="shared" si="316"/>
        <v>0.13655213270142186</v>
      </c>
      <c r="DD84" s="22">
        <f t="shared" si="316"/>
        <v>0.32050511124473835</v>
      </c>
      <c r="DE84" s="22">
        <f t="shared" si="316"/>
        <v>0.11305241521068865</v>
      </c>
      <c r="DF84" s="22">
        <f>DF83/DA83-1</f>
        <v>2.8267634854771906E-2</v>
      </c>
      <c r="DG84" s="21">
        <f t="shared" si="316"/>
        <v>0.14366782006920431</v>
      </c>
      <c r="DH84" s="22">
        <f>DH83/DC83-1</f>
        <v>4.9257232212666091E-2</v>
      </c>
      <c r="DI84" s="22">
        <f t="shared" si="316"/>
        <v>-1.5938069216757667E-2</v>
      </c>
      <c r="DJ84" s="22">
        <f t="shared" si="316"/>
        <v>3.9242843951983186E-3</v>
      </c>
      <c r="DK84" s="22">
        <f t="shared" si="316"/>
        <v>4.7919293820933184E-2</v>
      </c>
      <c r="DL84" s="21">
        <f t="shared" si="316"/>
        <v>1.9726491589011186E-2</v>
      </c>
      <c r="DM84" s="22">
        <f t="shared" si="316"/>
        <v>7.9234972677595605E-2</v>
      </c>
      <c r="DN84" s="22">
        <f t="shared" si="316"/>
        <v>5.0439611291068776E-2</v>
      </c>
      <c r="DO84" s="22">
        <f t="shared" si="316"/>
        <v>-1.7935157507472987E-2</v>
      </c>
      <c r="DP84" s="22">
        <f t="shared" si="316"/>
        <v>1.877256317689513E-2</v>
      </c>
      <c r="DQ84" s="21">
        <f t="shared" si="316"/>
        <v>3.1865653928317084E-2</v>
      </c>
      <c r="DR84" s="22">
        <f t="shared" si="316"/>
        <v>3.6823935558112364E-3</v>
      </c>
      <c r="DS84" s="22">
        <f t="shared" si="316"/>
        <v>3.0616740088105665E-2</v>
      </c>
      <c r="DT84" s="22">
        <f t="shared" si="316"/>
        <v>9.1781784125497534E-2</v>
      </c>
      <c r="DU84" s="22">
        <f t="shared" si="316"/>
        <v>8.032128514056236E-2</v>
      </c>
      <c r="DV84" s="21">
        <f t="shared" si="316"/>
        <v>5.1009258726781415E-2</v>
      </c>
      <c r="DW84" s="22">
        <f>DW83/DR83-1</f>
        <v>-1.2382481082320762E-2</v>
      </c>
      <c r="DX84" s="22">
        <f t="shared" si="316"/>
        <v>7.0527890574909158E-2</v>
      </c>
      <c r="DY84" s="22">
        <f t="shared" si="316"/>
        <v>0.11108728286510838</v>
      </c>
      <c r="DZ84" s="22">
        <f t="shared" ref="DZ84:EI84" si="317">DZ83/DU83-1</f>
        <v>7.5442816531817058E-2</v>
      </c>
      <c r="EA84" s="21">
        <f t="shared" si="317"/>
        <v>6.2322171153425421E-2</v>
      </c>
      <c r="EB84" s="22">
        <f t="shared" si="317"/>
        <v>4.016716972370582E-2</v>
      </c>
      <c r="EC84" s="22">
        <f t="shared" si="317"/>
        <v>1.3775204631663041E-2</v>
      </c>
      <c r="ED84" s="22">
        <f t="shared" si="317"/>
        <v>-2.5091681142636602E-2</v>
      </c>
      <c r="EE84" s="22">
        <f t="shared" si="317"/>
        <v>-4.7783651891012635E-2</v>
      </c>
      <c r="EF84" s="21">
        <f t="shared" si="317"/>
        <v>-6.3353077517381839E-3</v>
      </c>
      <c r="EG84" s="22">
        <f t="shared" si="317"/>
        <v>3.0803571428571264E-2</v>
      </c>
      <c r="EH84" s="22">
        <f t="shared" si="317"/>
        <v>-3.3674675068924742E-2</v>
      </c>
      <c r="EI84" s="22">
        <f t="shared" si="317"/>
        <v>-4.3951692734112036E-2</v>
      </c>
      <c r="EJ84" s="22">
        <f t="shared" ref="EJ84:EN84" si="318">EJ83/EE83-1</f>
        <v>-3.7796284433055716E-2</v>
      </c>
      <c r="EK84" s="21">
        <f t="shared" si="318"/>
        <v>-2.2392701637984791E-2</v>
      </c>
      <c r="EL84" s="22">
        <f t="shared" si="318"/>
        <v>1.3642269380684358E-2</v>
      </c>
      <c r="EM84" s="22">
        <f t="shared" si="318"/>
        <v>-1.6303240269003316E-3</v>
      </c>
      <c r="EN84" s="22">
        <f t="shared" si="318"/>
        <v>-7.2478774073307939E-3</v>
      </c>
      <c r="EO84" s="22">
        <f t="shared" ref="EO84" si="319">EO83/EJ83-1</f>
        <v>3.1957390146471365E-2</v>
      </c>
      <c r="EP84" s="21">
        <f t="shared" ref="EP84:EQ84" si="320">EP83/EK83-1</f>
        <v>8.6956521739129933E-3</v>
      </c>
      <c r="EQ84" s="22">
        <f t="shared" si="320"/>
        <v>-2.2003845332194127E-2</v>
      </c>
      <c r="ER84" s="22">
        <f t="shared" ref="ER84" si="321">ER83/EM83-1</f>
        <v>2.4402939375382626E-2</v>
      </c>
      <c r="ES84" s="22">
        <f t="shared" ref="ES84:EU84" si="322">ES83/EN83-1</f>
        <v>2.5953274926992176E-2</v>
      </c>
      <c r="ET84" s="22">
        <f t="shared" si="322"/>
        <v>-1.9408602150537968E-3</v>
      </c>
      <c r="EU84" s="270">
        <f t="shared" si="322"/>
        <v>6.9357127838520771E-3</v>
      </c>
      <c r="EV84" s="1127"/>
      <c r="EW84" s="1127"/>
      <c r="EX84" s="1127"/>
      <c r="EY84" s="1127"/>
      <c r="EZ84" s="844">
        <f>EZ83/EU83-1</f>
        <v>2.7467934889142676E-3</v>
      </c>
      <c r="FA84" s="1127"/>
      <c r="FB84" s="1127"/>
      <c r="FC84" s="1127"/>
      <c r="FD84" s="1127"/>
      <c r="FE84" s="844">
        <f>FE83/EZ83-1</f>
        <v>1.1242778394698227E-2</v>
      </c>
      <c r="FF84" s="790"/>
      <c r="FG84" s="1128"/>
      <c r="FH84" s="1073"/>
      <c r="FI84" s="1073"/>
      <c r="FJ84" s="1073"/>
      <c r="FK84" s="1073"/>
      <c r="FL84" s="1806"/>
      <c r="FM84" s="22">
        <f t="shared" si="239"/>
        <v>-2.2003845332194127E-2</v>
      </c>
      <c r="FN84" s="22">
        <f t="shared" si="240"/>
        <v>1.3642269380684358E-2</v>
      </c>
      <c r="FO84" s="2041">
        <v>-9.3783379619741813E-3</v>
      </c>
      <c r="FP84" s="1892">
        <f>IFERROR(($FM84-FN84)*10000,"")</f>
        <v>-356.46114712878483</v>
      </c>
      <c r="FQ84" s="1892">
        <f>IFERROR(($FM84-FO84)*10000,"")</f>
        <v>-126.25507370219947</v>
      </c>
      <c r="FR84" s="587"/>
      <c r="FS84" s="587"/>
      <c r="FT84" s="587"/>
      <c r="FU84" s="587"/>
      <c r="FV84" s="587"/>
      <c r="FW84" s="587"/>
      <c r="FX84" s="587"/>
      <c r="FY84" s="587"/>
      <c r="FZ84" s="587"/>
      <c r="GA84" s="1128"/>
      <c r="GB84"/>
      <c r="GC84"/>
      <c r="GD84"/>
      <c r="GE84"/>
      <c r="GF84"/>
      <c r="GG84"/>
      <c r="GH84" s="978"/>
      <c r="GI84" s="978"/>
      <c r="GJ84" s="978"/>
      <c r="GK84" s="978"/>
      <c r="GL84" s="978"/>
      <c r="GM84" s="978"/>
      <c r="GN84" s="978"/>
      <c r="GO84" s="978"/>
      <c r="GP84" s="978"/>
      <c r="GQ84" s="978"/>
      <c r="GR84" s="978"/>
      <c r="GS84" s="978"/>
      <c r="GT84" s="978"/>
      <c r="GU84" s="978"/>
      <c r="GV84" s="978"/>
      <c r="GW84" s="978"/>
      <c r="GX84" s="978"/>
      <c r="GY84" s="978"/>
      <c r="GZ84" s="978"/>
      <c r="HA84" s="978"/>
      <c r="HB84" s="978"/>
      <c r="HC84" s="978"/>
      <c r="HD84" s="978"/>
      <c r="HE84" s="978"/>
      <c r="HF84" s="978"/>
      <c r="HG84" s="978"/>
      <c r="HH84" s="978"/>
      <c r="HI84" s="978"/>
      <c r="HJ84" s="978"/>
      <c r="HK84" s="978"/>
      <c r="HL84" s="978"/>
      <c r="HM84" s="978"/>
      <c r="HN84" s="978"/>
      <c r="HO84" s="978"/>
      <c r="HP84" s="978"/>
      <c r="HQ84" s="978"/>
      <c r="HR84" s="978"/>
      <c r="HS84" s="978"/>
      <c r="HT84" s="978"/>
      <c r="HU84" s="978"/>
      <c r="HV84" s="978"/>
      <c r="HW84" s="978"/>
      <c r="HX84" s="978"/>
      <c r="HY84" s="978"/>
      <c r="HZ84" s="978"/>
      <c r="IA84" s="978"/>
      <c r="IB84" s="978"/>
      <c r="IC84" s="978"/>
      <c r="ID84" s="978"/>
      <c r="IE84" s="978"/>
      <c r="IF84" s="978"/>
      <c r="IG84" s="978"/>
      <c r="IH84" s="978"/>
      <c r="II84" s="978"/>
      <c r="IJ84" s="978"/>
      <c r="IK84" s="978"/>
      <c r="IL84" s="978"/>
      <c r="IM84" s="978"/>
      <c r="IN84" s="978"/>
      <c r="IO84" s="978"/>
      <c r="IP84" s="978"/>
      <c r="IQ84" s="978"/>
      <c r="IR84" s="978"/>
      <c r="IS84" s="978"/>
      <c r="IT84" s="978"/>
      <c r="IU84" s="978"/>
      <c r="IV84" s="978"/>
    </row>
    <row r="85" spans="1:256" s="53" customFormat="1" ht="12.75" x14ac:dyDescent="0.2">
      <c r="A85" s="13" t="s">
        <v>217</v>
      </c>
      <c r="B85" s="16"/>
      <c r="C85" s="16"/>
      <c r="D85" s="16"/>
      <c r="E85" s="201"/>
      <c r="F85" s="40"/>
      <c r="G85" s="16"/>
      <c r="H85" s="16"/>
      <c r="I85" s="16"/>
      <c r="J85" s="201"/>
      <c r="K85" s="40"/>
      <c r="L85" s="16">
        <f t="shared" ref="L85:BW85" si="323">L83/L$13</f>
        <v>0.33189564485588052</v>
      </c>
      <c r="M85" s="16">
        <f t="shared" si="323"/>
        <v>0.35596078844734896</v>
      </c>
      <c r="N85" s="16">
        <f t="shared" si="323"/>
        <v>0.34282228548190324</v>
      </c>
      <c r="O85" s="201">
        <f t="shared" si="323"/>
        <v>0.34795748228428502</v>
      </c>
      <c r="P85" s="40">
        <f t="shared" si="323"/>
        <v>0.34464541314248537</v>
      </c>
      <c r="Q85" s="16">
        <f t="shared" si="323"/>
        <v>0.35602851534249402</v>
      </c>
      <c r="R85" s="16">
        <f t="shared" si="323"/>
        <v>0.368625447112928</v>
      </c>
      <c r="S85" s="16">
        <f t="shared" si="323"/>
        <v>0.35689152508293959</v>
      </c>
      <c r="T85" s="201">
        <f t="shared" si="323"/>
        <v>0.3479806457983608</v>
      </c>
      <c r="U85" s="40">
        <f t="shared" si="323"/>
        <v>0.35730183620820472</v>
      </c>
      <c r="V85" s="16">
        <f t="shared" si="323"/>
        <v>0.37085820127598279</v>
      </c>
      <c r="W85" s="16">
        <f t="shared" si="323"/>
        <v>0.37058995043250081</v>
      </c>
      <c r="X85" s="16">
        <f t="shared" si="323"/>
        <v>0.363207073244248</v>
      </c>
      <c r="Y85" s="201">
        <f t="shared" si="323"/>
        <v>0.36334560961426637</v>
      </c>
      <c r="Z85" s="40">
        <f t="shared" si="323"/>
        <v>0.36697452703709221</v>
      </c>
      <c r="AA85" s="16">
        <f t="shared" si="323"/>
        <v>0.36257886435331232</v>
      </c>
      <c r="AB85" s="16">
        <f t="shared" si="323"/>
        <v>0.35843400853846857</v>
      </c>
      <c r="AC85" s="16">
        <f t="shared" si="323"/>
        <v>0.3474631295798164</v>
      </c>
      <c r="AD85" s="201">
        <f t="shared" si="323"/>
        <v>0.34685816876122083</v>
      </c>
      <c r="AE85" s="40">
        <f t="shared" si="323"/>
        <v>0.35367042763616102</v>
      </c>
      <c r="AF85" s="16">
        <f t="shared" si="323"/>
        <v>0.34898363014930744</v>
      </c>
      <c r="AG85" s="16">
        <f t="shared" si="323"/>
        <v>0.35206626291414311</v>
      </c>
      <c r="AH85" s="16">
        <f t="shared" si="323"/>
        <v>0.33608940577866619</v>
      </c>
      <c r="AI85" s="201">
        <f t="shared" si="323"/>
        <v>0.33671636428956347</v>
      </c>
      <c r="AJ85" s="40">
        <f t="shared" si="323"/>
        <v>0.34350132625994689</v>
      </c>
      <c r="AK85" s="16">
        <f t="shared" si="323"/>
        <v>0.33752715423606089</v>
      </c>
      <c r="AL85" s="16">
        <f t="shared" si="323"/>
        <v>0.34445612191276931</v>
      </c>
      <c r="AM85" s="16">
        <f t="shared" si="323"/>
        <v>0.33766687025564962</v>
      </c>
      <c r="AN85" s="201">
        <f t="shared" si="323"/>
        <v>0.32994311325633507</v>
      </c>
      <c r="AO85" s="40">
        <f t="shared" si="323"/>
        <v>0.33736739221155748</v>
      </c>
      <c r="AP85" s="16">
        <f t="shared" si="323"/>
        <v>0.34149718736477713</v>
      </c>
      <c r="AQ85" s="16">
        <f t="shared" si="323"/>
        <v>0.34281910467631876</v>
      </c>
      <c r="AR85" s="16">
        <f t="shared" si="323"/>
        <v>0.33054042731462085</v>
      </c>
      <c r="AS85" s="201">
        <f t="shared" si="323"/>
        <v>0.3271794022683997</v>
      </c>
      <c r="AT85" s="40">
        <f t="shared" si="323"/>
        <v>0.33544875701347004</v>
      </c>
      <c r="AU85" s="16">
        <f t="shared" si="323"/>
        <v>0.32930863380747599</v>
      </c>
      <c r="AV85" s="16">
        <f t="shared" si="323"/>
        <v>0.34246018849528759</v>
      </c>
      <c r="AW85" s="16">
        <f t="shared" si="323"/>
        <v>0.33877378435517974</v>
      </c>
      <c r="AX85" s="201">
        <f t="shared" si="323"/>
        <v>0.33807588075880757</v>
      </c>
      <c r="AY85" s="40">
        <f t="shared" si="323"/>
        <v>0.33716403306060411</v>
      </c>
      <c r="AZ85" s="16">
        <f t="shared" si="323"/>
        <v>0.35091050315008199</v>
      </c>
      <c r="BA85" s="16">
        <f t="shared" si="323"/>
        <v>0.35570322769095958</v>
      </c>
      <c r="BB85" s="16">
        <f t="shared" si="323"/>
        <v>0.3380988504405672</v>
      </c>
      <c r="BC85" s="201">
        <f t="shared" si="323"/>
        <v>0.33963910509231793</v>
      </c>
      <c r="BD85" s="40">
        <f t="shared" si="323"/>
        <v>0.34507772368416634</v>
      </c>
      <c r="BE85" s="16">
        <f t="shared" si="323"/>
        <v>0.36566318926974672</v>
      </c>
      <c r="BF85" s="16">
        <f t="shared" si="323"/>
        <v>0.362797585146372</v>
      </c>
      <c r="BG85" s="16">
        <f t="shared" si="323"/>
        <v>0.33939498903128973</v>
      </c>
      <c r="BH85" s="201">
        <f t="shared" si="323"/>
        <v>0.32944814462416749</v>
      </c>
      <c r="BI85" s="40">
        <f t="shared" si="323"/>
        <v>0.34938879233544123</v>
      </c>
      <c r="BJ85" s="16">
        <f t="shared" si="323"/>
        <v>0.32734639574262209</v>
      </c>
      <c r="BK85" s="16">
        <f t="shared" si="323"/>
        <v>0.34750133380757597</v>
      </c>
      <c r="BL85" s="16">
        <f t="shared" si="323"/>
        <v>0.33415460425007698</v>
      </c>
      <c r="BM85" s="201">
        <f t="shared" si="323"/>
        <v>0.32324134792063514</v>
      </c>
      <c r="BN85" s="40">
        <f t="shared" si="323"/>
        <v>0.33311758451487</v>
      </c>
      <c r="BO85" s="16">
        <f t="shared" si="323"/>
        <v>0.33229581673306774</v>
      </c>
      <c r="BP85" s="16">
        <f t="shared" si="323"/>
        <v>0.34733469268861056</v>
      </c>
      <c r="BQ85" s="16">
        <f t="shared" si="323"/>
        <v>0.32866689710796176</v>
      </c>
      <c r="BR85" s="201">
        <f t="shared" si="323"/>
        <v>0.32569193742478936</v>
      </c>
      <c r="BS85" s="40">
        <f t="shared" si="323"/>
        <v>0.33356644397161</v>
      </c>
      <c r="BT85" s="16">
        <f t="shared" si="323"/>
        <v>0.32766990291262138</v>
      </c>
      <c r="BU85" s="16">
        <f t="shared" si="323"/>
        <v>0.32883972807927181</v>
      </c>
      <c r="BV85" s="16">
        <f t="shared" si="323"/>
        <v>0.3195307509146873</v>
      </c>
      <c r="BW85" s="201">
        <f t="shared" si="323"/>
        <v>0.32082027912275707</v>
      </c>
      <c r="BX85" s="40">
        <f t="shared" ref="BX85:DV85" si="324">BX83/BX$13</f>
        <v>0.32417069900308987</v>
      </c>
      <c r="BY85" s="16">
        <f t="shared" si="324"/>
        <v>0.32088787706317584</v>
      </c>
      <c r="BZ85" s="16">
        <f t="shared" si="324"/>
        <v>0.32119240614334471</v>
      </c>
      <c r="CA85" s="16">
        <f t="shared" si="324"/>
        <v>0.30314485220769677</v>
      </c>
      <c r="CB85" s="201">
        <f t="shared" si="324"/>
        <v>0.30021273283868632</v>
      </c>
      <c r="CC85" s="40">
        <f t="shared" si="324"/>
        <v>0.31109830926288146</v>
      </c>
      <c r="CD85" s="16">
        <f t="shared" si="324"/>
        <v>0.30722724725674622</v>
      </c>
      <c r="CE85" s="16">
        <f t="shared" si="324"/>
        <v>0.30920478463986856</v>
      </c>
      <c r="CF85" s="16">
        <f t="shared" si="324"/>
        <v>0.28851076645083573</v>
      </c>
      <c r="CG85" s="201">
        <f t="shared" si="324"/>
        <v>0.28988503428801937</v>
      </c>
      <c r="CH85" s="40">
        <f t="shared" si="324"/>
        <v>0.29851605005370824</v>
      </c>
      <c r="CI85" s="16">
        <f t="shared" si="324"/>
        <v>0.30068465154302065</v>
      </c>
      <c r="CJ85" s="16">
        <f t="shared" si="324"/>
        <v>0.30068652145996932</v>
      </c>
      <c r="CK85" s="16">
        <f t="shared" si="324"/>
        <v>0.28384147872821336</v>
      </c>
      <c r="CL85" s="201">
        <f t="shared" si="324"/>
        <v>0.27379285306778695</v>
      </c>
      <c r="CM85" s="40">
        <f t="shared" si="324"/>
        <v>0.28987836828715713</v>
      </c>
      <c r="CN85" s="16">
        <f t="shared" si="324"/>
        <v>0.28485172321667107</v>
      </c>
      <c r="CO85" s="16">
        <f t="shared" si="324"/>
        <v>0.29624671780878342</v>
      </c>
      <c r="CP85" s="16">
        <f t="shared" si="324"/>
        <v>0.28301293803362843</v>
      </c>
      <c r="CQ85" s="201">
        <f t="shared" si="324"/>
        <v>0.27945029677557348</v>
      </c>
      <c r="CR85" s="40">
        <f t="shared" si="324"/>
        <v>0.28597392335045441</v>
      </c>
      <c r="CS85" s="16">
        <f t="shared" si="324"/>
        <v>0.27817286652078776</v>
      </c>
      <c r="CT85" s="16">
        <f t="shared" si="324"/>
        <v>0.28037874802735402</v>
      </c>
      <c r="CU85" s="16">
        <f t="shared" si="324"/>
        <v>0.26111961167097553</v>
      </c>
      <c r="CV85" s="201">
        <f t="shared" si="324"/>
        <v>0.23533503361929051</v>
      </c>
      <c r="CW85" s="40">
        <f t="shared" si="324"/>
        <v>0.26429008776107216</v>
      </c>
      <c r="CX85" s="16">
        <f t="shared" si="324"/>
        <v>0.23193184940917838</v>
      </c>
      <c r="CY85" s="16">
        <f t="shared" si="324"/>
        <v>0.23550237201727681</v>
      </c>
      <c r="CZ85" s="16">
        <f t="shared" si="324"/>
        <v>0.25568256470897388</v>
      </c>
      <c r="DA85" s="16">
        <f t="shared" si="324"/>
        <v>0.24604389994895351</v>
      </c>
      <c r="DB85" s="40">
        <f t="shared" si="324"/>
        <v>0.24255954878888086</v>
      </c>
      <c r="DC85" s="16">
        <f t="shared" si="324"/>
        <v>0.2424031840293133</v>
      </c>
      <c r="DD85" s="16">
        <f t="shared" si="324"/>
        <v>0.25537853238748698</v>
      </c>
      <c r="DE85" s="16">
        <f t="shared" si="324"/>
        <v>0.24717562478603222</v>
      </c>
      <c r="DF85" s="16">
        <f t="shared" si="324"/>
        <v>0.23203417602996251</v>
      </c>
      <c r="DG85" s="40">
        <f t="shared" si="324"/>
        <v>0.2443192738132198</v>
      </c>
      <c r="DH85" s="16">
        <f t="shared" si="324"/>
        <v>0.23527349228611502</v>
      </c>
      <c r="DI85" s="16">
        <f t="shared" si="324"/>
        <v>0.24187139739213165</v>
      </c>
      <c r="DJ85" s="16">
        <f t="shared" si="324"/>
        <v>0.24028951875794241</v>
      </c>
      <c r="DK85" s="16">
        <f t="shared" si="324"/>
        <v>0.22997730669175848</v>
      </c>
      <c r="DL85" s="40">
        <f t="shared" si="324"/>
        <v>0.23686170885631155</v>
      </c>
      <c r="DM85" s="16">
        <f t="shared" si="324"/>
        <v>0.2510399815114398</v>
      </c>
      <c r="DN85" s="16">
        <f t="shared" si="324"/>
        <v>0.25232034680153398</v>
      </c>
      <c r="DO85" s="16">
        <f t="shared" si="324"/>
        <v>0.23927170868347336</v>
      </c>
      <c r="DP85" s="16">
        <f t="shared" si="324"/>
        <v>0.23620333686736231</v>
      </c>
      <c r="DQ85" s="40">
        <f t="shared" si="324"/>
        <v>0.24466737955875728</v>
      </c>
      <c r="DR85" s="16">
        <f>DR83/DR$13</f>
        <v>0.2445054945054945</v>
      </c>
      <c r="DS85" s="16">
        <f>DS83/DS$13</f>
        <v>0.25454248721575456</v>
      </c>
      <c r="DT85" s="16">
        <f t="shared" si="324"/>
        <v>0.25109040977868718</v>
      </c>
      <c r="DU85" s="16">
        <f>DU83/DU$13</f>
        <v>0.24559613319011817</v>
      </c>
      <c r="DV85" s="40">
        <f t="shared" si="324"/>
        <v>0.24896129902328051</v>
      </c>
      <c r="DW85" s="16">
        <f t="shared" ref="DW85:EF85" si="325">DW83/DW$13</f>
        <v>0.24435493021672527</v>
      </c>
      <c r="DX85" s="16">
        <f t="shared" si="325"/>
        <v>0.25258433765316929</v>
      </c>
      <c r="DY85" s="16">
        <f t="shared" si="325"/>
        <v>0.25892053973013496</v>
      </c>
      <c r="DZ85" s="16">
        <f t="shared" si="325"/>
        <v>0.25505652940566331</v>
      </c>
      <c r="EA85" s="40">
        <f t="shared" si="325"/>
        <v>0.25296746537414172</v>
      </c>
      <c r="EB85" s="16">
        <f t="shared" si="325"/>
        <v>0.24859885688918484</v>
      </c>
      <c r="EC85" s="16">
        <f t="shared" si="325"/>
        <v>0.26214444272365905</v>
      </c>
      <c r="ED85" s="16">
        <f t="shared" si="325"/>
        <v>0.26085833806744824</v>
      </c>
      <c r="EE85" s="16">
        <f t="shared" si="325"/>
        <v>0.25967616723965836</v>
      </c>
      <c r="EF85" s="40">
        <f t="shared" si="325"/>
        <v>0.25795237267512605</v>
      </c>
      <c r="EG85" s="16">
        <f t="shared" ref="EG85:ER85" si="326">EG83/EG$13</f>
        <v>0.26281941835979739</v>
      </c>
      <c r="EH85" s="16">
        <f t="shared" si="326"/>
        <v>0.27253540683143573</v>
      </c>
      <c r="EI85" s="16">
        <f t="shared" si="326"/>
        <v>0.25931693695628832</v>
      </c>
      <c r="EJ85" s="16">
        <f t="shared" si="326"/>
        <v>0.24490461438121633</v>
      </c>
      <c r="EK85" s="40">
        <f t="shared" si="326"/>
        <v>0.2597903494634764</v>
      </c>
      <c r="EL85" s="16">
        <f>EL83/EL$13</f>
        <v>0.25349290588107876</v>
      </c>
      <c r="EM85" s="16">
        <f t="shared" ref="EM85:EP85" si="327">EM83/EM$13</f>
        <v>0.25638476030981788</v>
      </c>
      <c r="EN85" s="16">
        <f t="shared" si="327"/>
        <v>0.24852255054432348</v>
      </c>
      <c r="EO85" s="16">
        <f t="shared" si="327"/>
        <v>0.24154589371980678</v>
      </c>
      <c r="EP85" s="40">
        <f t="shared" si="327"/>
        <v>0.24993759442948169</v>
      </c>
      <c r="EQ85" s="16">
        <f>EQ83/EQ$13</f>
        <v>0.24039067422810331</v>
      </c>
      <c r="ER85" s="16">
        <f t="shared" si="326"/>
        <v>0.25253564700009662</v>
      </c>
      <c r="ES85" s="16">
        <f t="shared" ref="ES85:EU85" si="328">ES83/ES$13</f>
        <v>0.24447809031098455</v>
      </c>
      <c r="ET85" s="16">
        <f t="shared" si="328"/>
        <v>0.23475079028386484</v>
      </c>
      <c r="EU85" s="1945">
        <f t="shared" si="328"/>
        <v>0.24308194426775892</v>
      </c>
      <c r="EV85" s="16"/>
      <c r="EW85" s="16"/>
      <c r="EX85" s="16"/>
      <c r="EY85" s="16"/>
      <c r="EZ85" s="743">
        <f>EZ83/EZ$13</f>
        <v>0.23897401009640296</v>
      </c>
      <c r="FA85" s="16"/>
      <c r="FB85" s="16"/>
      <c r="FC85" s="16"/>
      <c r="FD85" s="16"/>
      <c r="FE85" s="743">
        <f>FE83/FE$13</f>
        <v>0.23606653184205584</v>
      </c>
      <c r="FF85" s="759"/>
      <c r="FG85" s="618"/>
      <c r="FH85" s="1026"/>
      <c r="FI85" s="1026"/>
      <c r="FJ85" s="1026"/>
      <c r="FK85" s="1026"/>
      <c r="FL85" s="1807"/>
      <c r="FM85" s="16">
        <f t="shared" si="239"/>
        <v>0.24039067422810331</v>
      </c>
      <c r="FN85" s="16">
        <f t="shared" si="240"/>
        <v>0.25349290588107876</v>
      </c>
      <c r="FO85" s="2043">
        <v>0.24436463666233663</v>
      </c>
      <c r="FP85" s="11">
        <f>IFERROR(($FM85-FN85)*10000,"")</f>
        <v>-131.02231652975445</v>
      </c>
      <c r="FQ85" s="11">
        <f>IFERROR(($FM85-FO85)*10000,"")</f>
        <v>-39.739624342333137</v>
      </c>
      <c r="FR85" s="567"/>
      <c r="FS85" s="567"/>
      <c r="FT85" s="567"/>
      <c r="FU85" s="567"/>
      <c r="FV85" s="567"/>
      <c r="FW85" s="567"/>
      <c r="FX85" s="567"/>
      <c r="FY85" s="567"/>
      <c r="FZ85" s="567"/>
      <c r="GA85" s="618"/>
      <c r="GB85"/>
      <c r="GC85"/>
      <c r="GD85"/>
      <c r="GE85"/>
      <c r="GF85"/>
      <c r="GG85"/>
      <c r="GH85" s="959"/>
      <c r="GI85" s="959"/>
      <c r="GJ85" s="959"/>
      <c r="GK85" s="959"/>
      <c r="GL85" s="959"/>
      <c r="GM85" s="959"/>
      <c r="GN85" s="959"/>
      <c r="GO85" s="959"/>
      <c r="GP85" s="959"/>
      <c r="GQ85" s="959"/>
      <c r="GR85" s="959"/>
      <c r="GS85" s="959"/>
      <c r="GT85" s="959"/>
      <c r="GU85" s="959"/>
      <c r="GV85" s="959"/>
      <c r="GW85" s="959"/>
      <c r="GX85" s="959"/>
      <c r="GY85" s="959"/>
      <c r="GZ85" s="959"/>
      <c r="HA85" s="959"/>
      <c r="HB85" s="959"/>
      <c r="HC85" s="959"/>
      <c r="HD85" s="959"/>
      <c r="HE85" s="959"/>
      <c r="HF85" s="959"/>
      <c r="HG85" s="959"/>
      <c r="HH85" s="959"/>
      <c r="HI85" s="959"/>
      <c r="HJ85" s="959"/>
      <c r="HK85" s="959"/>
      <c r="HL85" s="959"/>
      <c r="HM85" s="959"/>
      <c r="HN85" s="959"/>
      <c r="HO85" s="959"/>
      <c r="HP85" s="959"/>
      <c r="HQ85" s="959"/>
      <c r="HR85" s="959"/>
      <c r="HS85" s="959"/>
      <c r="HT85" s="959"/>
      <c r="HU85" s="959"/>
      <c r="HV85" s="959"/>
      <c r="HW85" s="959"/>
      <c r="HX85" s="959"/>
      <c r="HY85" s="959"/>
      <c r="HZ85" s="959"/>
      <c r="IA85" s="959"/>
      <c r="IB85" s="959"/>
      <c r="IC85" s="959"/>
      <c r="ID85" s="959"/>
      <c r="IE85" s="959"/>
      <c r="IF85" s="959"/>
      <c r="IG85" s="959"/>
      <c r="IH85" s="959"/>
      <c r="II85" s="959"/>
      <c r="IJ85" s="959"/>
      <c r="IK85" s="959"/>
      <c r="IL85" s="959"/>
      <c r="IM85" s="959"/>
      <c r="IN85" s="959"/>
      <c r="IO85" s="959"/>
      <c r="IP85" s="959"/>
      <c r="IQ85" s="959"/>
      <c r="IR85" s="959"/>
      <c r="IS85" s="959"/>
      <c r="IT85" s="959"/>
      <c r="IU85" s="959"/>
      <c r="IV85" s="959"/>
    </row>
    <row r="86" spans="1:256" s="54" customFormat="1" ht="12.75" x14ac:dyDescent="0.2">
      <c r="A86" s="41" t="s">
        <v>106</v>
      </c>
      <c r="B86" s="42"/>
      <c r="C86" s="42"/>
      <c r="D86" s="42"/>
      <c r="E86" s="202"/>
      <c r="F86" s="43"/>
      <c r="G86" s="42"/>
      <c r="H86" s="42"/>
      <c r="I86" s="42"/>
      <c r="J86" s="202"/>
      <c r="K86" s="43"/>
      <c r="L86" s="42">
        <f>L80*1000/L83</f>
        <v>1113.4706814580029</v>
      </c>
      <c r="M86" s="42">
        <f>M80*1000/M83</f>
        <v>1134.1427302339355</v>
      </c>
      <c r="N86" s="42">
        <f>N80*1000/N83</f>
        <v>1175.2669039145908</v>
      </c>
      <c r="O86" s="202">
        <f>O80*1000/O83</f>
        <v>1184.18688230009</v>
      </c>
      <c r="P86" s="43">
        <f>(L86*L83+M86*M83+N86*N83+O86*O83)/P83</f>
        <v>1152.3068791059427</v>
      </c>
      <c r="Q86" s="42">
        <f>Q80*1000/Q83</f>
        <v>1156.413232733604</v>
      </c>
      <c r="R86" s="42">
        <f>R80*1000/R83</f>
        <v>1166.0659828112005</v>
      </c>
      <c r="S86" s="42">
        <f>S80*1000/S83</f>
        <v>1166.7605633802818</v>
      </c>
      <c r="T86" s="202">
        <f>T80*1000/T83</f>
        <v>1179.6254256526677</v>
      </c>
      <c r="U86" s="43">
        <f>(Q86*Q83+R86*R83+S86*S83+T86*T83)/U83</f>
        <v>1167.2683513838749</v>
      </c>
      <c r="V86" s="42">
        <f>V80*1000/V83</f>
        <v>1173.4184239733629</v>
      </c>
      <c r="W86" s="42">
        <f>W80*1000/W83</f>
        <v>1167.8468397587201</v>
      </c>
      <c r="X86" s="42">
        <f>X80*1000/X83</f>
        <v>1136.3762102351313</v>
      </c>
      <c r="Y86" s="202">
        <f>Y80*1000/Y83</f>
        <v>1126.1669778607627</v>
      </c>
      <c r="Z86" s="43">
        <f>(V86*V83+W86*W83+X86*X83+Y86*Y83)/Z83</f>
        <v>1150.9370137338474</v>
      </c>
      <c r="AA86" s="42">
        <f>AA80*1000/AA83</f>
        <v>1196.3023382272975</v>
      </c>
      <c r="AB86" s="42">
        <f>AB80*1000/AB83</f>
        <v>1184.7440446021287</v>
      </c>
      <c r="AC86" s="42">
        <f>AC80*1000/AC83</f>
        <v>1188.2007474639613</v>
      </c>
      <c r="AD86" s="202">
        <f>AD80*1000/AD83</f>
        <v>1208.8509316770187</v>
      </c>
      <c r="AE86" s="43">
        <f>(AA86*AA83+AB86*AB83+AC86*AC83+AD86*AD83)/AE83</f>
        <v>1194.4991466456611</v>
      </c>
      <c r="AF86" s="42">
        <f>AF80*1000/AF83</f>
        <v>1238.1443298969073</v>
      </c>
      <c r="AG86" s="42">
        <f>AG80*1000/AG83</f>
        <v>1217.303313938781</v>
      </c>
      <c r="AH86" s="42">
        <f>AH80*1000/AH83</f>
        <v>1230.0621789672884</v>
      </c>
      <c r="AI86" s="202">
        <f>AI80*1000/AI83</f>
        <v>1225.3934382502002</v>
      </c>
      <c r="AJ86" s="43">
        <f>(AF86*AF83+AG86*AG83+AH86*AH83+AI86*AI83)/AJ83</f>
        <v>1227.6683463124141</v>
      </c>
      <c r="AK86" s="42">
        <f>AK80*1000/AK83</f>
        <v>1267.0957361222847</v>
      </c>
      <c r="AL86" s="42">
        <f>AL80*1000/AL83</f>
        <v>1261.123824052886</v>
      </c>
      <c r="AM86" s="42">
        <f>AM80*1000/AM83</f>
        <v>1229.7157622739019</v>
      </c>
      <c r="AN86" s="202">
        <f>AN80*1000/AN83</f>
        <v>1234.5872518286312</v>
      </c>
      <c r="AO86" s="43">
        <f>(AK86*AK83+AL86*AL83+AM86*AM83+AN86*AN83)/AO83</f>
        <v>1248.046875</v>
      </c>
      <c r="AP86" s="42">
        <f>AP80*1000/AP83</f>
        <v>1254.4348707551953</v>
      </c>
      <c r="AQ86" s="42">
        <f>AQ80*1000/AQ83</f>
        <v>1240.2912621359226</v>
      </c>
      <c r="AR86" s="42">
        <f>AR80*1000/AR83</f>
        <v>1234.4740177439796</v>
      </c>
      <c r="AS86" s="202">
        <f>AS80*1000/AS83</f>
        <v>1242.4089068825911</v>
      </c>
      <c r="AT86" s="43">
        <f>(AP86*AP83+AQ86*AQ83+AR86*AR83+AS86*AS83)/AT83</f>
        <v>1242.8741464636971</v>
      </c>
      <c r="AU86" s="42">
        <f t="shared" ref="AU86:BW86" si="329">AU80*1000/AU83</f>
        <v>1224.5102963335007</v>
      </c>
      <c r="AV86" s="42">
        <f t="shared" si="329"/>
        <v>1205.4567022538552</v>
      </c>
      <c r="AW86" s="42">
        <f t="shared" si="329"/>
        <v>1210.3095356964552</v>
      </c>
      <c r="AX86" s="202">
        <f t="shared" si="329"/>
        <v>1216.2825651302608</v>
      </c>
      <c r="AY86" s="43">
        <f>(AU86*AU83+AV86*AV83+AW86*AW83+AX86*AX83)/AY83</f>
        <v>1214.0104970669961</v>
      </c>
      <c r="AZ86" s="42">
        <f t="shared" si="329"/>
        <v>1247.9094933595673</v>
      </c>
      <c r="BA86" s="42">
        <f t="shared" si="329"/>
        <v>1228.2898788749744</v>
      </c>
      <c r="BB86" s="42">
        <f t="shared" si="329"/>
        <v>1240.4038660683464</v>
      </c>
      <c r="BC86" s="202">
        <f t="shared" si="329"/>
        <v>1184.0167163361082</v>
      </c>
      <c r="BD86" s="43">
        <f>(AZ86*AZ83+BA86*BA83+BB86*BB83+BC86*BC83)/BD83</f>
        <v>1223.0135734287492</v>
      </c>
      <c r="BE86" s="42">
        <f t="shared" si="329"/>
        <v>1232.474731007499</v>
      </c>
      <c r="BF86" s="42">
        <f t="shared" si="329"/>
        <v>1240.1883830455258</v>
      </c>
      <c r="BG86" s="42">
        <f t="shared" si="329"/>
        <v>1240.0068038782106</v>
      </c>
      <c r="BH86" s="202">
        <f t="shared" si="329"/>
        <v>1301.4440433212997</v>
      </c>
      <c r="BI86" s="43">
        <f>(BE86*BE83+BF86*BF83+BG86*BG83+BH86*BH83)/BI83</f>
        <v>1252.3512937340636</v>
      </c>
      <c r="BJ86" s="42">
        <f t="shared" si="329"/>
        <v>1331.978570108997</v>
      </c>
      <c r="BK86" s="42">
        <f t="shared" si="329"/>
        <v>1320.3684749232345</v>
      </c>
      <c r="BL86" s="42">
        <f t="shared" si="329"/>
        <v>1317.9723502304148</v>
      </c>
      <c r="BM86" s="202">
        <f t="shared" si="329"/>
        <v>1327.9940398584467</v>
      </c>
      <c r="BN86" s="43">
        <f>(BJ86*BJ83+BK86*BK83+BL86*BL83+BM86*BM83)/BN83</f>
        <v>1324.4823054963979</v>
      </c>
      <c r="BO86" s="42">
        <f t="shared" si="329"/>
        <v>1339.4529786436869</v>
      </c>
      <c r="BP86" s="42">
        <f t="shared" si="329"/>
        <v>1328.4132841328412</v>
      </c>
      <c r="BQ86" s="42">
        <f t="shared" si="329"/>
        <v>1333.9176161262051</v>
      </c>
      <c r="BR86" s="202">
        <f t="shared" si="329"/>
        <v>1378.1636800295587</v>
      </c>
      <c r="BS86" s="43">
        <f>(BO86*BO83+BP86*BP83+BQ86*BQ83+BR86*BR83)/BS83</f>
        <v>1344.4553483807656</v>
      </c>
      <c r="BT86" s="42">
        <f t="shared" si="329"/>
        <v>1388.8888888888889</v>
      </c>
      <c r="BU86" s="42">
        <f t="shared" si="329"/>
        <v>1347.2319551506655</v>
      </c>
      <c r="BV86" s="42">
        <f t="shared" si="329"/>
        <v>1352.235550708833</v>
      </c>
      <c r="BW86" s="202">
        <f t="shared" si="329"/>
        <v>1381.3920454545453</v>
      </c>
      <c r="BX86" s="43">
        <f>(BT86*BT83+BU86*BU83+BV86*BV83+BW86*BW83)/BX83</f>
        <v>1367.2331624853882</v>
      </c>
      <c r="BY86" s="42">
        <f>BY80*1000/BY83</f>
        <v>1406.5271372827244</v>
      </c>
      <c r="BZ86" s="42">
        <f>BZ80*1000/BZ83</f>
        <v>1406.2759422214845</v>
      </c>
      <c r="CA86" s="42">
        <f>CA80*1000/CA83</f>
        <v>1435.7464496016623</v>
      </c>
      <c r="CB86" s="202">
        <f>CB80*1000/CB83</f>
        <v>1489.8029726927064</v>
      </c>
      <c r="CC86" s="43">
        <f>(BY86*BY83+BZ86*BZ83+CA86*CA83+CB86*CB83)/CC83</f>
        <v>1434.4774126867921</v>
      </c>
      <c r="CD86" s="42">
        <f>CD80*1000/CD83</f>
        <v>1565.3389238294899</v>
      </c>
      <c r="CE86" s="42">
        <f>CE80*1000/CE83</f>
        <v>1578.9473684210527</v>
      </c>
      <c r="CF86" s="42">
        <f>CF80*1000/CF83</f>
        <v>1635.3514265831595</v>
      </c>
      <c r="CG86" s="202">
        <f>CG80*1000/CG83</f>
        <v>1682.0316576795965</v>
      </c>
      <c r="CH86" s="43">
        <f>(CD86*CD83+CE86*CE83+CF86*CF83+CG86*CG83)/CH83</f>
        <v>1615.0404405437962</v>
      </c>
      <c r="CI86" s="42">
        <f>CI80*1000/CI83</f>
        <v>1723.0246389124893</v>
      </c>
      <c r="CJ86" s="42">
        <f>CJ80*1000/CJ83</f>
        <v>1760.8409986859397</v>
      </c>
      <c r="CK86" s="42">
        <f>CK80*1000/CK83</f>
        <v>1847.4606264377985</v>
      </c>
      <c r="CL86" s="202">
        <f>CL80*1000/CL83</f>
        <v>1860.2007956052284</v>
      </c>
      <c r="CM86" s="43">
        <f>(CI86*CI83+CJ86*CJ83+CK86*CK83+CL86*CL83)/CM83</f>
        <v>1795.3979827970138</v>
      </c>
      <c r="CN86" s="42">
        <f>CN80*1000/CN83</f>
        <v>1851.4350028137312</v>
      </c>
      <c r="CO86" s="42">
        <f>CO80*1000/CO83</f>
        <v>1852.6242613833851</v>
      </c>
      <c r="CP86" s="42">
        <f>CP80*1000/CP83</f>
        <v>1900.7958541550993</v>
      </c>
      <c r="CQ86" s="202">
        <f>CQ80*1000/CQ83</f>
        <v>2045.5415231534639</v>
      </c>
      <c r="CR86" s="43">
        <f>(CN86*CN83+CO86*CO83+CP86*CP83+CQ86*CQ83)/CR83</f>
        <v>1910.7488256424426</v>
      </c>
      <c r="CS86" s="42">
        <f>CS80*1000/CS83</f>
        <v>2070.7964601769913</v>
      </c>
      <c r="CT86" s="42">
        <f>CT80*1000/CT83</f>
        <v>2123.8273921200753</v>
      </c>
      <c r="CU86" s="42">
        <f>CU80*1000/CU83</f>
        <v>2263.0834512022634</v>
      </c>
      <c r="CV86" s="202">
        <f>CV80*1000/CV83</f>
        <v>2229.0640394088668</v>
      </c>
      <c r="CW86" s="43">
        <f>(CS86*CS83+CT86*CT83+CU86*CU83+CV86*CV83)/CW83</f>
        <v>2167.4217462932461</v>
      </c>
      <c r="CX86" s="42">
        <f>CX80*1000/CX83</f>
        <v>2064.5734597156397</v>
      </c>
      <c r="CY86" s="42">
        <f>CY80*1000/CY83</f>
        <v>2077.5706554419721</v>
      </c>
      <c r="CZ86" s="42">
        <f>CZ80*1000/CZ83</f>
        <v>2073.4840698869475</v>
      </c>
      <c r="DA86" s="42">
        <f>DA80*1000/DA83</f>
        <v>2072.0954356846473</v>
      </c>
      <c r="DB86" s="43">
        <f>(CX86*CX83+CY86*CY83+CZ86*CZ83+DA86*DA83)/DB83</f>
        <v>2071.9723183391002</v>
      </c>
      <c r="DC86" s="42">
        <f>DC80*1000/DC83</f>
        <v>2277.8212144904869</v>
      </c>
      <c r="DD86" s="42">
        <f>DD80*1000/DD83</f>
        <v>2188.0692167577413</v>
      </c>
      <c r="DE86" s="42">
        <f>DE80*1000/DE83</f>
        <v>2197.5992613111725</v>
      </c>
      <c r="DF86" s="42">
        <f>DF80*1000/DF83</f>
        <v>2239.5964691046656</v>
      </c>
      <c r="DG86" s="43">
        <f>(DC86*DC83+DD86*DD83+DE86*DE83+DF86*DF83)/DG83</f>
        <v>2223.7686070434465</v>
      </c>
      <c r="DH86" s="42">
        <f>DH80*1000/DH83</f>
        <v>2404.3715846994533</v>
      </c>
      <c r="DI86" s="42">
        <f>DI80*1000/DI83</f>
        <v>2461.8232299861174</v>
      </c>
      <c r="DJ86" s="42">
        <f>DJ80*1000/DJ83</f>
        <v>2487.9282593699704</v>
      </c>
      <c r="DK86" s="42">
        <f>DK80*1000/DK83</f>
        <v>2481.3477737665462</v>
      </c>
      <c r="DL86" s="43">
        <f>(DH86*DH83+DI86*DI83+DJ86*DJ83+DK86*DK83)/DL83</f>
        <v>2459.6487063849986</v>
      </c>
      <c r="DM86" s="42">
        <f>DM80*1000/DM83</f>
        <v>2591.4844649021866</v>
      </c>
      <c r="DN86" s="42">
        <f>DN80*1000/DN83</f>
        <v>2612.3348017621147</v>
      </c>
      <c r="DO86" s="42">
        <f>DO80*1000/DO83</f>
        <v>2531.023179583236</v>
      </c>
      <c r="DP86" s="42">
        <f>DP80*1000/DP83</f>
        <v>2553.7443893219943</v>
      </c>
      <c r="DQ86" s="43">
        <f>(DM86*DM83+DN86*DN83+DO86*DO83+DP86*DP83)/DQ83</f>
        <v>2572.8909080453163</v>
      </c>
      <c r="DR86" s="42">
        <f>DR80*1000/DR83</f>
        <v>2680.577849117175</v>
      </c>
      <c r="DS86" s="42">
        <f>DS80*1000/DS83</f>
        <v>2611.6691600769395</v>
      </c>
      <c r="DT86" s="42">
        <f>DT80*1000/DT83</f>
        <v>2642.0759167917654</v>
      </c>
      <c r="DU86" s="42">
        <f>DU80*1000/DU83</f>
        <v>2685.3269188716376</v>
      </c>
      <c r="DV86" s="43">
        <f>(DR86*DR83+DS86*DS83+DT86*DT83+DU86*DU83)/DV83</f>
        <v>2654.3007222587003</v>
      </c>
      <c r="DW86" s="42">
        <f>DW80*1000/DW83</f>
        <v>2765.2658462967265</v>
      </c>
      <c r="DX86" s="42">
        <f>DX80*1000/DX83</f>
        <v>2663.2062287881813</v>
      </c>
      <c r="DY86" s="42">
        <f>DY80*1000/DY83</f>
        <v>2636.5566492955027</v>
      </c>
      <c r="DZ86" s="42">
        <f>DZ80*1000/DZ83</f>
        <v>2625.0508336722246</v>
      </c>
      <c r="EA86" s="43">
        <f>(DW86*DW83+DX86*DX83+DY86*DY83+DZ86*DZ83)/EA83</f>
        <v>2669.0703064640743</v>
      </c>
      <c r="EB86" s="42">
        <f>EB80*1000/EB83</f>
        <v>2558.0357142857142</v>
      </c>
      <c r="EC86" s="42">
        <f>EC80*1000/EC83</f>
        <v>2457.6604962583692</v>
      </c>
      <c r="ED86" s="42">
        <f>ED80*1000/ED83</f>
        <v>2435.1613541872894</v>
      </c>
      <c r="EE86" s="42">
        <f>EE80*1000/EE83</f>
        <v>2432.2015801836433</v>
      </c>
      <c r="EF86" s="43">
        <f>(EB86*EB83+EC86*EC83+ED86*ED83+EE86*EE83)/EF83</f>
        <v>2468.8990255027988</v>
      </c>
      <c r="EG86" s="42">
        <f>EG80*1000/EG83</f>
        <v>2518.4062364660031</v>
      </c>
      <c r="EH86" s="42">
        <f>EH80*1000/EH83</f>
        <v>2433.2586101487668</v>
      </c>
      <c r="EI86" s="42">
        <f>EI80*1000/EI83</f>
        <v>2427.0035203975976</v>
      </c>
      <c r="EJ86" s="42">
        <f>EJ80*1000/EJ83</f>
        <v>2452.2858411007546</v>
      </c>
      <c r="EK86" s="43">
        <f>(EG86*EG83+EH86*EH83+EI86*EI83+EJ86*EJ83)/EK83</f>
        <v>2457.0519618239659</v>
      </c>
      <c r="EL86" s="42">
        <f>EL80*1000/EL83</f>
        <v>2563.5547959837641</v>
      </c>
      <c r="EM86" s="42">
        <f>EM80*1000/EM83</f>
        <v>2476.0155133700755</v>
      </c>
      <c r="EN86" s="42">
        <f>EN80*1000/EN83</f>
        <v>2528.1602002503132</v>
      </c>
      <c r="EO86" s="42">
        <f>EO80*1000/EO83</f>
        <v>2548.3870967741937</v>
      </c>
      <c r="EP86" s="43">
        <f>(EL86*EL83+EM86*EM83+EN86*EN83+EO86*EO83)/EP83</f>
        <v>2528.3851976450801</v>
      </c>
      <c r="EQ86" s="42">
        <f>EQ80*1000/EQ83</f>
        <v>2647.444298820446</v>
      </c>
      <c r="ER86" s="42">
        <f>EM86*(1+ER87)</f>
        <v>2575.0561339048786</v>
      </c>
      <c r="ES86" s="42">
        <f>EN86*(1+ES87)</f>
        <v>2616.645807259074</v>
      </c>
      <c r="ET86" s="42">
        <f>EO86*(1+ET87)</f>
        <v>2637.5806451612902</v>
      </c>
      <c r="EU86" s="1946">
        <f>(EQ86*EQ83+ER86*ER83+ES86*ES83+ET86*ET83)/EU83</f>
        <v>2618.1823380065516</v>
      </c>
      <c r="EV86" s="42"/>
      <c r="EW86" s="42"/>
      <c r="EX86" s="42"/>
      <c r="EY86" s="42"/>
      <c r="EZ86" s="755">
        <f>EU86*(1+EZ87)</f>
        <v>2670.5459847666825</v>
      </c>
      <c r="FA86" s="42"/>
      <c r="FB86" s="42"/>
      <c r="FC86" s="42"/>
      <c r="FD86" s="42"/>
      <c r="FE86" s="755">
        <f>EZ86*(1+FE87)</f>
        <v>2723.9569044620162</v>
      </c>
      <c r="FF86" s="760"/>
      <c r="FG86" s="649"/>
      <c r="FH86" s="1027"/>
      <c r="FI86" s="1027"/>
      <c r="FJ86" s="1027"/>
      <c r="FK86" s="1027"/>
      <c r="FL86" s="1809"/>
      <c r="FM86" s="42">
        <f t="shared" si="239"/>
        <v>2647.444298820446</v>
      </c>
      <c r="FN86" s="42">
        <f t="shared" si="240"/>
        <v>2563.5547959837641</v>
      </c>
      <c r="FO86" s="42">
        <v>2666.0969878231149</v>
      </c>
      <c r="FP86" s="1863">
        <f>IFERROR(($FM86/FN86)-1,"")</f>
        <v>3.2723896898209093E-2</v>
      </c>
      <c r="FQ86" s="1863">
        <f>IFERROR(($FM86/FO86)-1,"")</f>
        <v>-6.9962529824914022E-3</v>
      </c>
      <c r="FR86" s="122"/>
      <c r="FS86" s="122"/>
      <c r="FT86" s="122"/>
      <c r="FU86" s="122"/>
      <c r="FV86" s="122"/>
      <c r="FW86" s="122"/>
      <c r="FX86" s="122"/>
      <c r="FY86" s="122"/>
      <c r="FZ86" s="122"/>
      <c r="GA86" s="649"/>
      <c r="GB86"/>
      <c r="GC86"/>
      <c r="GD86"/>
      <c r="GE86"/>
      <c r="GF86"/>
      <c r="GG86"/>
      <c r="GH86" s="956"/>
      <c r="GI86" s="956"/>
      <c r="GJ86" s="956"/>
      <c r="GK86" s="956"/>
      <c r="GL86" s="956"/>
      <c r="GM86" s="956"/>
      <c r="GN86" s="956"/>
      <c r="GO86" s="956"/>
      <c r="GP86" s="956"/>
      <c r="GQ86" s="956"/>
      <c r="GR86" s="956"/>
      <c r="GS86" s="956"/>
      <c r="GT86" s="956"/>
      <c r="GU86" s="956"/>
      <c r="GV86" s="956"/>
      <c r="GW86" s="956"/>
      <c r="GX86" s="956"/>
      <c r="GY86" s="956"/>
      <c r="GZ86" s="956"/>
      <c r="HA86" s="956"/>
      <c r="HB86" s="956"/>
      <c r="HC86" s="956"/>
      <c r="HD86" s="956"/>
      <c r="HE86" s="956"/>
      <c r="HF86" s="956"/>
      <c r="HG86" s="956"/>
      <c r="HH86" s="956"/>
      <c r="HI86" s="956"/>
      <c r="HJ86" s="956"/>
      <c r="HK86" s="956"/>
      <c r="HL86" s="956"/>
      <c r="HM86" s="956"/>
      <c r="HN86" s="956"/>
      <c r="HO86" s="956"/>
      <c r="HP86" s="956"/>
      <c r="HQ86" s="956"/>
      <c r="HR86" s="956"/>
      <c r="HS86" s="956"/>
      <c r="HT86" s="956"/>
      <c r="HU86" s="956"/>
      <c r="HV86" s="956"/>
      <c r="HW86" s="956"/>
      <c r="HX86" s="956"/>
      <c r="HY86" s="956"/>
      <c r="HZ86" s="956"/>
      <c r="IA86" s="956"/>
      <c r="IB86" s="956"/>
      <c r="IC86" s="956"/>
      <c r="ID86" s="956"/>
      <c r="IE86" s="956"/>
      <c r="IF86" s="956"/>
      <c r="IG86" s="956"/>
      <c r="IH86" s="956"/>
      <c r="II86" s="956"/>
      <c r="IJ86" s="956"/>
      <c r="IK86" s="956"/>
      <c r="IL86" s="956"/>
      <c r="IM86" s="956"/>
      <c r="IN86" s="956"/>
      <c r="IO86" s="956"/>
      <c r="IP86" s="956"/>
      <c r="IQ86" s="956"/>
      <c r="IR86" s="956"/>
      <c r="IS86" s="956"/>
      <c r="IT86" s="956"/>
      <c r="IU86" s="956"/>
      <c r="IV86" s="956"/>
    </row>
    <row r="87" spans="1:256" s="191" customFormat="1" ht="12.75" x14ac:dyDescent="0.2">
      <c r="A87" s="242" t="s">
        <v>218</v>
      </c>
      <c r="B87" s="22"/>
      <c r="C87" s="22"/>
      <c r="D87" s="22"/>
      <c r="E87" s="197"/>
      <c r="F87" s="21"/>
      <c r="G87" s="22"/>
      <c r="H87" s="22"/>
      <c r="I87" s="22"/>
      <c r="J87" s="197"/>
      <c r="K87" s="21"/>
      <c r="L87" s="22"/>
      <c r="M87" s="22"/>
      <c r="N87" s="22"/>
      <c r="O87" s="197"/>
      <c r="P87" s="21"/>
      <c r="Q87" s="22">
        <f t="shared" ref="Q87:CB87" si="330">Q86/L86-1</f>
        <v>3.8566396036015194E-2</v>
      </c>
      <c r="R87" s="22">
        <f t="shared" si="330"/>
        <v>2.814747361708192E-2</v>
      </c>
      <c r="S87" s="22">
        <f t="shared" si="330"/>
        <v>-7.2377946711303931E-3</v>
      </c>
      <c r="T87" s="197">
        <f t="shared" si="330"/>
        <v>-3.8519736332177645E-3</v>
      </c>
      <c r="U87" s="21">
        <f t="shared" si="330"/>
        <v>1.2983930365442653E-2</v>
      </c>
      <c r="V87" s="22">
        <f t="shared" si="330"/>
        <v>1.4705116439701182E-2</v>
      </c>
      <c r="W87" s="22">
        <f t="shared" si="330"/>
        <v>1.5272351425827946E-3</v>
      </c>
      <c r="X87" s="22">
        <f t="shared" si="330"/>
        <v>-2.6041635361005344E-2</v>
      </c>
      <c r="Y87" s="197">
        <f t="shared" si="330"/>
        <v>-4.5318154923905007E-2</v>
      </c>
      <c r="Z87" s="21">
        <f t="shared" si="330"/>
        <v>-1.399107380120912E-2</v>
      </c>
      <c r="AA87" s="22">
        <f t="shared" si="330"/>
        <v>1.950192172409082E-2</v>
      </c>
      <c r="AB87" s="22">
        <f t="shared" si="330"/>
        <v>1.4468682251946419E-2</v>
      </c>
      <c r="AC87" s="22">
        <f t="shared" si="330"/>
        <v>4.5605088140754813E-2</v>
      </c>
      <c r="AD87" s="197">
        <f t="shared" si="330"/>
        <v>7.3420687554984321E-2</v>
      </c>
      <c r="AE87" s="21">
        <f t="shared" si="330"/>
        <v>3.7849276191483483E-2</v>
      </c>
      <c r="AF87" s="22">
        <f t="shared" si="330"/>
        <v>3.497610121836936E-2</v>
      </c>
      <c r="AG87" s="22">
        <f t="shared" si="330"/>
        <v>2.7482112685011773E-2</v>
      </c>
      <c r="AH87" s="22">
        <f t="shared" si="330"/>
        <v>3.5230941903271917E-2</v>
      </c>
      <c r="AI87" s="197">
        <f t="shared" si="330"/>
        <v>1.3684488417635032E-2</v>
      </c>
      <c r="AJ87" s="21">
        <f t="shared" si="330"/>
        <v>2.7768290801962747E-2</v>
      </c>
      <c r="AK87" s="22">
        <f t="shared" si="330"/>
        <v>2.3382900948056839E-2</v>
      </c>
      <c r="AL87" s="22">
        <f t="shared" si="330"/>
        <v>3.5998020881350179E-2</v>
      </c>
      <c r="AM87" s="22">
        <f t="shared" si="330"/>
        <v>-2.816253513927558E-4</v>
      </c>
      <c r="AN87" s="197">
        <f t="shared" si="330"/>
        <v>7.5027442545794187E-3</v>
      </c>
      <c r="AO87" s="21">
        <f t="shared" si="330"/>
        <v>1.6599376166044788E-2</v>
      </c>
      <c r="AP87" s="22">
        <f t="shared" si="330"/>
        <v>-9.9920353341537149E-3</v>
      </c>
      <c r="AQ87" s="22">
        <f t="shared" si="330"/>
        <v>-1.6519045568430868E-2</v>
      </c>
      <c r="AR87" s="22">
        <f t="shared" si="330"/>
        <v>3.8693945512084937E-3</v>
      </c>
      <c r="AS87" s="197">
        <f t="shared" si="330"/>
        <v>6.3354412921197145E-3</v>
      </c>
      <c r="AT87" s="21">
        <f t="shared" si="330"/>
        <v>-4.1446588585086763E-3</v>
      </c>
      <c r="AU87" s="22">
        <f t="shared" si="330"/>
        <v>-2.3855024377375189E-2</v>
      </c>
      <c r="AV87" s="22">
        <f t="shared" si="330"/>
        <v>-2.8085789963623875E-2</v>
      </c>
      <c r="AW87" s="22">
        <f t="shared" si="330"/>
        <v>-1.9574719030284182E-2</v>
      </c>
      <c r="AX87" s="197">
        <f t="shared" si="330"/>
        <v>-2.1028778534665893E-2</v>
      </c>
      <c r="AY87" s="21">
        <f t="shared" si="330"/>
        <v>-2.3223308231831608E-2</v>
      </c>
      <c r="AZ87" s="22">
        <f t="shared" si="330"/>
        <v>1.9109024314560408E-2</v>
      </c>
      <c r="BA87" s="22">
        <f t="shared" si="330"/>
        <v>1.8941515343046111E-2</v>
      </c>
      <c r="BB87" s="22">
        <f t="shared" si="330"/>
        <v>2.486498658756231E-2</v>
      </c>
      <c r="BC87" s="197">
        <f t="shared" si="330"/>
        <v>-2.6528250687123056E-2</v>
      </c>
      <c r="BD87" s="21">
        <f t="shared" si="330"/>
        <v>7.4159790080103871E-3</v>
      </c>
      <c r="BE87" s="22">
        <f t="shared" si="330"/>
        <v>-1.2368495018429071E-2</v>
      </c>
      <c r="BF87" s="22">
        <f t="shared" si="330"/>
        <v>9.6870489411258198E-3</v>
      </c>
      <c r="BG87" s="22">
        <f t="shared" si="330"/>
        <v>-3.2010718524633219E-4</v>
      </c>
      <c r="BH87" s="197">
        <f t="shared" si="330"/>
        <v>9.917708539501513E-2</v>
      </c>
      <c r="BI87" s="21">
        <f t="shared" si="330"/>
        <v>2.3988057812854402E-2</v>
      </c>
      <c r="BJ87" s="22">
        <f t="shared" si="330"/>
        <v>8.0734993260395349E-2</v>
      </c>
      <c r="BK87" s="22">
        <f t="shared" si="330"/>
        <v>6.4651542438101783E-2</v>
      </c>
      <c r="BL87" s="22">
        <f t="shared" si="330"/>
        <v>6.287509561105753E-2</v>
      </c>
      <c r="BM87" s="197">
        <f t="shared" si="330"/>
        <v>2.0400413427988262E-2</v>
      </c>
      <c r="BN87" s="21">
        <f t="shared" si="330"/>
        <v>5.759646843759425E-2</v>
      </c>
      <c r="BO87" s="22">
        <f t="shared" si="330"/>
        <v>5.6115080996221867E-3</v>
      </c>
      <c r="BP87" s="22">
        <f t="shared" si="330"/>
        <v>6.0928516261904431E-3</v>
      </c>
      <c r="BQ87" s="22">
        <f t="shared" si="330"/>
        <v>1.2098331116735972E-2</v>
      </c>
      <c r="BR87" s="197">
        <f t="shared" si="330"/>
        <v>3.7778513054516072E-2</v>
      </c>
      <c r="BS87" s="21">
        <f t="shared" si="330"/>
        <v>1.5079886534899556E-2</v>
      </c>
      <c r="BT87" s="22">
        <f t="shared" si="330"/>
        <v>3.6907536907536898E-2</v>
      </c>
      <c r="BU87" s="22">
        <f t="shared" si="330"/>
        <v>1.41662773495288E-2</v>
      </c>
      <c r="BV87" s="22">
        <f t="shared" si="330"/>
        <v>1.3732433218645479E-2</v>
      </c>
      <c r="BW87" s="197">
        <f t="shared" si="330"/>
        <v>2.3425123385325541E-3</v>
      </c>
      <c r="BX87" s="21">
        <f t="shared" si="330"/>
        <v>1.69420383741683E-2</v>
      </c>
      <c r="BY87" s="22">
        <f t="shared" si="330"/>
        <v>1.2699538843561564E-2</v>
      </c>
      <c r="BZ87" s="22">
        <f t="shared" si="330"/>
        <v>4.3826148010433608E-2</v>
      </c>
      <c r="CA87" s="22">
        <f t="shared" si="330"/>
        <v>6.1757656681229456E-2</v>
      </c>
      <c r="CB87" s="197">
        <f t="shared" si="330"/>
        <v>7.8479478432560867E-2</v>
      </c>
      <c r="CC87" s="21">
        <f t="shared" ref="CC87:DU87" si="331">CC86/BX86-1</f>
        <v>4.9182723215377422E-2</v>
      </c>
      <c r="CD87" s="22">
        <f t="shared" si="331"/>
        <v>0.11291057409213923</v>
      </c>
      <c r="CE87" s="22">
        <f t="shared" si="331"/>
        <v>0.12278630460448636</v>
      </c>
      <c r="CF87" s="22">
        <f t="shared" si="331"/>
        <v>0.13902522763463998</v>
      </c>
      <c r="CG87" s="197">
        <f t="shared" si="331"/>
        <v>0.12902960224294047</v>
      </c>
      <c r="CH87" s="21">
        <f t="shared" si="331"/>
        <v>0.1258737337096214</v>
      </c>
      <c r="CI87" s="22">
        <f t="shared" si="331"/>
        <v>0.10073582959096972</v>
      </c>
      <c r="CJ87" s="22">
        <f t="shared" si="331"/>
        <v>0.11519929916776173</v>
      </c>
      <c r="CK87" s="22">
        <f t="shared" si="331"/>
        <v>0.1297025192302621</v>
      </c>
      <c r="CL87" s="197">
        <f t="shared" si="331"/>
        <v>0.10592496111007832</v>
      </c>
      <c r="CM87" s="21">
        <f t="shared" si="331"/>
        <v>0.11167370037649937</v>
      </c>
      <c r="CN87" s="22">
        <f t="shared" si="331"/>
        <v>7.4526133289823271E-2</v>
      </c>
      <c r="CO87" s="22">
        <f t="shared" si="331"/>
        <v>5.2124673815489464E-2</v>
      </c>
      <c r="CP87" s="22">
        <f t="shared" si="331"/>
        <v>2.8869480060389474E-2</v>
      </c>
      <c r="CQ87" s="197">
        <f t="shared" si="331"/>
        <v>9.9634796408058612E-2</v>
      </c>
      <c r="CR87" s="21">
        <f t="shared" si="331"/>
        <v>6.4248063076090878E-2</v>
      </c>
      <c r="CS87" s="22">
        <f t="shared" si="331"/>
        <v>0.11848185706216197</v>
      </c>
      <c r="CT87" s="22">
        <f t="shared" si="331"/>
        <v>0.14638863173160566</v>
      </c>
      <c r="CU87" s="22">
        <f t="shared" si="331"/>
        <v>0.19059784682043102</v>
      </c>
      <c r="CV87" s="197">
        <f t="shared" si="331"/>
        <v>8.9718304017842421E-2</v>
      </c>
      <c r="CW87" s="21">
        <f t="shared" si="331"/>
        <v>0.13433106288290064</v>
      </c>
      <c r="CX87" s="22">
        <f t="shared" si="331"/>
        <v>-3.0051241544133411E-3</v>
      </c>
      <c r="CY87" s="22">
        <f t="shared" si="331"/>
        <v>-2.1779894566633318E-2</v>
      </c>
      <c r="CZ87" s="22">
        <f t="shared" si="331"/>
        <v>-8.3779226618705183E-2</v>
      </c>
      <c r="DA87" s="22">
        <f t="shared" si="331"/>
        <v>-7.0419064212191351E-2</v>
      </c>
      <c r="DB87" s="21">
        <f t="shared" si="331"/>
        <v>-4.4038234883166938E-2</v>
      </c>
      <c r="DC87" s="22">
        <f t="shared" si="331"/>
        <v>0.10328901292968218</v>
      </c>
      <c r="DD87" s="22">
        <f t="shared" si="331"/>
        <v>5.3186427631873867E-2</v>
      </c>
      <c r="DE87" s="22">
        <f t="shared" si="331"/>
        <v>5.9858280672005382E-2</v>
      </c>
      <c r="DF87" s="22">
        <f t="shared" si="331"/>
        <v>8.0836543788183945E-2</v>
      </c>
      <c r="DG87" s="21">
        <f t="shared" si="331"/>
        <v>7.3261735864322164E-2</v>
      </c>
      <c r="DH87" s="22">
        <f t="shared" si="331"/>
        <v>5.5557639644371104E-2</v>
      </c>
      <c r="DI87" s="22">
        <f t="shared" si="331"/>
        <v>0.12511213591040882</v>
      </c>
      <c r="DJ87" s="22">
        <f t="shared" si="331"/>
        <v>0.13211189281415048</v>
      </c>
      <c r="DK87" s="22">
        <f t="shared" si="331"/>
        <v>0.1079441354712114</v>
      </c>
      <c r="DL87" s="21">
        <f>DL86/DG86-1</f>
        <v>0.10607223188349635</v>
      </c>
      <c r="DM87" s="22">
        <f t="shared" si="331"/>
        <v>7.782194790250041E-2</v>
      </c>
      <c r="DN87" s="22">
        <f t="shared" si="331"/>
        <v>6.1138253121791442E-2</v>
      </c>
      <c r="DO87" s="22">
        <f t="shared" si="331"/>
        <v>1.7321608873150929E-2</v>
      </c>
      <c r="DP87" s="22">
        <f t="shared" si="331"/>
        <v>2.9176327607457475E-2</v>
      </c>
      <c r="DQ87" s="21">
        <f>DQ86/DL86-1</f>
        <v>4.6039989924720803E-2</v>
      </c>
      <c r="DR87" s="22">
        <f t="shared" si="331"/>
        <v>3.437928547194713E-2</v>
      </c>
      <c r="DS87" s="22">
        <f t="shared" si="331"/>
        <v>-2.5480718808557068E-4</v>
      </c>
      <c r="DT87" s="666">
        <f t="shared" si="331"/>
        <v>4.3876618003480861E-2</v>
      </c>
      <c r="DU87" s="22">
        <f t="shared" si="331"/>
        <v>5.1525332801446888E-2</v>
      </c>
      <c r="DV87" s="21">
        <f t="shared" ref="DV87:ED87" si="332">DV86/DQ86-1</f>
        <v>3.1641378170687018E-2</v>
      </c>
      <c r="DW87" s="22">
        <f t="shared" si="332"/>
        <v>3.1593186971772713E-2</v>
      </c>
      <c r="DX87" s="22">
        <f t="shared" si="332"/>
        <v>1.9733383346963951E-2</v>
      </c>
      <c r="DY87" s="666">
        <f t="shared" si="332"/>
        <v>-2.0889889882365065E-3</v>
      </c>
      <c r="DZ87" s="22">
        <f t="shared" si="332"/>
        <v>-2.2446460717989947E-2</v>
      </c>
      <c r="EA87" s="21">
        <f t="shared" si="332"/>
        <v>5.5643974631502946E-3</v>
      </c>
      <c r="EB87" s="22">
        <f t="shared" si="332"/>
        <v>-7.4940401223461794E-2</v>
      </c>
      <c r="EC87" s="22">
        <f t="shared" si="332"/>
        <v>-7.7179803166553929E-2</v>
      </c>
      <c r="ED87" s="666">
        <f t="shared" si="332"/>
        <v>-7.638572649748554E-2</v>
      </c>
      <c r="EE87" s="22">
        <f t="shared" ref="EE87:EN87" si="333">EE86/DZ86-1</f>
        <v>-7.3464959617106307E-2</v>
      </c>
      <c r="EF87" s="21">
        <f t="shared" si="333"/>
        <v>-7.4996631027849481E-2</v>
      </c>
      <c r="EG87" s="22">
        <f t="shared" si="333"/>
        <v>-1.5492151887635752E-2</v>
      </c>
      <c r="EH87" s="22">
        <f t="shared" si="333"/>
        <v>-9.9289084667115723E-3</v>
      </c>
      <c r="EI87" s="666">
        <f t="shared" si="333"/>
        <v>-3.3500177619295579E-3</v>
      </c>
      <c r="EJ87" s="22">
        <f t="shared" si="333"/>
        <v>8.2576465210564276E-3</v>
      </c>
      <c r="EK87" s="21">
        <f t="shared" si="333"/>
        <v>-4.7985209425162045E-3</v>
      </c>
      <c r="EL87" s="22">
        <f t="shared" si="333"/>
        <v>1.7927433177387764E-2</v>
      </c>
      <c r="EM87" s="22">
        <f t="shared" si="333"/>
        <v>1.7571869690700348E-2</v>
      </c>
      <c r="EN87" s="666">
        <f t="shared" si="333"/>
        <v>4.1679659301089078E-2</v>
      </c>
      <c r="EO87" s="22">
        <f t="shared" ref="EO87" si="334">EO86/EJ86-1</f>
        <v>3.918843964384755E-2</v>
      </c>
      <c r="EP87" s="21">
        <f t="shared" ref="EP87:EQ87" si="335">EP86/EK86-1</f>
        <v>2.9032042028187544E-2</v>
      </c>
      <c r="EQ87" s="22">
        <f t="shared" si="335"/>
        <v>3.2723896898209093E-2</v>
      </c>
      <c r="ER87" s="361">
        <v>0.04</v>
      </c>
      <c r="ES87" s="361">
        <v>3.5000000000000003E-2</v>
      </c>
      <c r="ET87" s="361">
        <v>3.5000000000000003E-2</v>
      </c>
      <c r="EU87" s="270">
        <f>EU86/EP86-1</f>
        <v>3.5515609110948754E-2</v>
      </c>
      <c r="EV87" s="363"/>
      <c r="EW87" s="363"/>
      <c r="EX87" s="363"/>
      <c r="EY87" s="363"/>
      <c r="EZ87" s="847">
        <v>0.02</v>
      </c>
      <c r="FA87" s="363"/>
      <c r="FB87" s="363"/>
      <c r="FC87" s="363"/>
      <c r="FD87" s="363"/>
      <c r="FE87" s="847">
        <v>0.02</v>
      </c>
      <c r="FF87" s="790"/>
      <c r="FG87" s="622"/>
      <c r="FH87" s="1073"/>
      <c r="FI87" s="1073"/>
      <c r="FJ87" s="1073"/>
      <c r="FK87" s="1073"/>
      <c r="FL87" s="1806"/>
      <c r="FM87" s="22">
        <f t="shared" si="239"/>
        <v>3.2723896898209093E-2</v>
      </c>
      <c r="FN87" s="22">
        <f t="shared" si="240"/>
        <v>1.7927433177387764E-2</v>
      </c>
      <c r="FO87" s="361">
        <v>0.04</v>
      </c>
      <c r="FP87" s="1892">
        <f>IFERROR(($FM87-FN87)*10000,"")</f>
        <v>147.96463720821328</v>
      </c>
      <c r="FQ87" s="1892">
        <f>IFERROR(($FM87-FO87)*10000,"")</f>
        <v>-72.761031017909076</v>
      </c>
      <c r="FR87" s="587"/>
      <c r="FS87" s="587"/>
      <c r="FT87" s="587"/>
      <c r="FU87" s="587"/>
      <c r="FV87" s="587"/>
      <c r="FW87" s="587"/>
      <c r="FX87" s="587"/>
      <c r="FY87" s="587"/>
      <c r="FZ87" s="587"/>
      <c r="GA87" s="622"/>
      <c r="GB87"/>
      <c r="GC87"/>
      <c r="GD87"/>
      <c r="GE87"/>
      <c r="GF87"/>
      <c r="GG87"/>
      <c r="GH87" s="978"/>
      <c r="GI87" s="978"/>
      <c r="GJ87" s="978"/>
      <c r="GK87" s="978"/>
      <c r="GL87" s="978"/>
      <c r="GM87" s="978"/>
      <c r="GN87" s="978"/>
      <c r="GO87" s="978"/>
      <c r="GP87" s="978"/>
      <c r="GQ87" s="978"/>
      <c r="GR87" s="978"/>
      <c r="GS87" s="978"/>
      <c r="GT87" s="978"/>
      <c r="GU87" s="978"/>
      <c r="GV87" s="978"/>
      <c r="GW87" s="978"/>
      <c r="GX87" s="978"/>
      <c r="GY87" s="978"/>
      <c r="GZ87" s="978"/>
      <c r="HA87" s="978"/>
      <c r="HB87" s="978"/>
      <c r="HC87" s="978"/>
      <c r="HD87" s="978"/>
      <c r="HE87" s="978"/>
      <c r="HF87" s="978"/>
      <c r="HG87" s="978"/>
      <c r="HH87" s="978"/>
      <c r="HI87" s="978"/>
      <c r="HJ87" s="978"/>
      <c r="HK87" s="978"/>
      <c r="HL87" s="978"/>
      <c r="HM87" s="978"/>
      <c r="HN87" s="978"/>
      <c r="HO87" s="978"/>
      <c r="HP87" s="978"/>
      <c r="HQ87" s="978"/>
      <c r="HR87" s="978"/>
      <c r="HS87" s="978"/>
      <c r="HT87" s="978"/>
      <c r="HU87" s="978"/>
      <c r="HV87" s="978"/>
      <c r="HW87" s="978"/>
      <c r="HX87" s="978"/>
      <c r="HY87" s="978"/>
      <c r="HZ87" s="978"/>
      <c r="IA87" s="978"/>
      <c r="IB87" s="978"/>
      <c r="IC87" s="978"/>
      <c r="ID87" s="978"/>
      <c r="IE87" s="978"/>
      <c r="IF87" s="978"/>
      <c r="IG87" s="978"/>
      <c r="IH87" s="978"/>
      <c r="II87" s="978"/>
      <c r="IJ87" s="978"/>
      <c r="IK87" s="978"/>
      <c r="IL87" s="978"/>
      <c r="IM87" s="978"/>
      <c r="IN87" s="978"/>
      <c r="IO87" s="978"/>
      <c r="IP87" s="978"/>
      <c r="IQ87" s="978"/>
      <c r="IR87" s="978"/>
      <c r="IS87" s="978"/>
      <c r="IT87" s="978"/>
      <c r="IU87" s="978"/>
      <c r="IV87" s="978"/>
    </row>
    <row r="88" spans="1:256" s="458" customFormat="1" ht="12.75" x14ac:dyDescent="0.2">
      <c r="A88" s="460" t="s">
        <v>13</v>
      </c>
      <c r="F88" s="462"/>
      <c r="K88" s="462"/>
      <c r="P88" s="462"/>
      <c r="U88" s="462"/>
      <c r="Z88" s="462"/>
      <c r="AE88" s="462"/>
      <c r="AJ88" s="462"/>
      <c r="AO88" s="462"/>
      <c r="AT88" s="462"/>
      <c r="AY88" s="462"/>
      <c r="BD88" s="462"/>
      <c r="BI88" s="462"/>
      <c r="BN88" s="462"/>
      <c r="BS88" s="462"/>
      <c r="BX88" s="462"/>
      <c r="BZ88" s="458">
        <f>BZ86/BY86-1</f>
        <v>-1.7859240293449652E-4</v>
      </c>
      <c r="CA88" s="458">
        <f>CA86/BZ86-1</f>
        <v>2.0956418648265807E-2</v>
      </c>
      <c r="CB88" s="458">
        <f>CB86/CA86-1</f>
        <v>3.7650466143267503E-2</v>
      </c>
      <c r="CC88" s="462"/>
      <c r="CD88" s="458">
        <f>CD86/CB86-1</f>
        <v>5.0701973698077607E-2</v>
      </c>
      <c r="CE88" s="458">
        <f>CE86/CD86-1</f>
        <v>8.6936090225564477E-3</v>
      </c>
      <c r="CF88" s="458">
        <f>CF86/CE86-1</f>
        <v>3.5722570169334222E-2</v>
      </c>
      <c r="CG88" s="458">
        <f>CG86/CF86-1</f>
        <v>2.8544464717268125E-2</v>
      </c>
      <c r="CH88" s="462"/>
      <c r="CI88" s="458">
        <f>CI86/CG86-1</f>
        <v>2.4371111593371353E-2</v>
      </c>
      <c r="CJ88" s="458">
        <f>CJ86/CI86-1</f>
        <v>2.1947660479956221E-2</v>
      </c>
      <c r="CK88" s="458">
        <f>CK86/CJ86-1</f>
        <v>4.9192191581466149E-2</v>
      </c>
      <c r="CL88" s="458">
        <f>CL86/CK86-1</f>
        <v>6.8960436748224385E-3</v>
      </c>
      <c r="CM88" s="462"/>
      <c r="CN88" s="458">
        <f>CN86/CL86-1</f>
        <v>-4.7122831106225505E-3</v>
      </c>
      <c r="CO88" s="458">
        <f>CO86/CN86-1</f>
        <v>6.4234421832076727E-4</v>
      </c>
      <c r="CP88" s="458">
        <f>CP86/CO86-1</f>
        <v>2.6001814709985194E-2</v>
      </c>
      <c r="CQ88" s="458">
        <f>CQ86/CP86-1</f>
        <v>7.6150034040717074E-2</v>
      </c>
      <c r="CR88" s="462"/>
      <c r="CS88" s="458">
        <f>CS86/CQ86-1</f>
        <v>1.2346333104298779E-2</v>
      </c>
      <c r="CT88" s="458">
        <f>CT86/CS86-1</f>
        <v>2.5608954314395138E-2</v>
      </c>
      <c r="CU88" s="458">
        <f>CU86/CT86-1</f>
        <v>6.5568444779864121E-2</v>
      </c>
      <c r="CV88" s="458">
        <f>CV86/CU86-1</f>
        <v>-1.5032327586207095E-2</v>
      </c>
      <c r="CW88" s="462"/>
      <c r="CX88" s="458">
        <f>CX86/CV86-1</f>
        <v>-7.3793563928674311E-2</v>
      </c>
      <c r="CY88" s="458">
        <f>CY86/CX86-1</f>
        <v>6.2953418611331191E-3</v>
      </c>
      <c r="CZ88" s="458">
        <f>CZ86/CY86-1</f>
        <v>-1.967001961796222E-3</v>
      </c>
      <c r="DA88" s="458">
        <f>DA86/CZ86-1</f>
        <v>-6.6971057191478334E-4</v>
      </c>
      <c r="DB88" s="462"/>
      <c r="DC88" s="458">
        <f>DC86/DA86-1</f>
        <v>9.9283930297286327E-2</v>
      </c>
      <c r="DD88" s="458">
        <f>DD86/DC86-1</f>
        <v>-3.9402564679696273E-2</v>
      </c>
      <c r="DE88" s="458">
        <f>DE86/DD86-1</f>
        <v>4.3554584473122215E-3</v>
      </c>
      <c r="DF88" s="458">
        <f>DF86/DE86-1</f>
        <v>1.9110494134602085E-2</v>
      </c>
      <c r="DG88" s="462"/>
      <c r="DH88" s="458">
        <f>DH86/DF86-1</f>
        <v>7.3573573573573636E-2</v>
      </c>
      <c r="DI88" s="458">
        <f>DI86/DH86-1</f>
        <v>2.3894661562408048E-2</v>
      </c>
      <c r="DJ88" s="458">
        <f>DJ86/DI86-1</f>
        <v>1.0603941447087539E-2</v>
      </c>
      <c r="DK88" s="458">
        <f>DK86/DJ86-1</f>
        <v>-2.6449659786775825E-3</v>
      </c>
      <c r="DL88" s="462"/>
      <c r="DM88" s="458">
        <f>DM86/DK86-1</f>
        <v>4.4385834303451555E-2</v>
      </c>
      <c r="DN88" s="458">
        <f>DN86/DM86-1</f>
        <v>8.045711692396873E-3</v>
      </c>
      <c r="DO88" s="458">
        <f>DO86/DN86-1</f>
        <v>-3.1126034122437529E-2</v>
      </c>
      <c r="DP88" s="458">
        <f>DP86/DO86-1</f>
        <v>8.9770848098276179E-3</v>
      </c>
      <c r="DQ88" s="462"/>
      <c r="DR88" s="458">
        <f>DR86/DP86-1</f>
        <v>4.9665683192692045E-2</v>
      </c>
      <c r="DS88" s="458">
        <f>DS86/DR86-1</f>
        <v>-2.5706654653932182E-2</v>
      </c>
      <c r="DT88" s="458">
        <f>DT86/DS86-1</f>
        <v>1.1642652591544289E-2</v>
      </c>
      <c r="DU88" s="458">
        <f>DU86/DT86-1</f>
        <v>1.6370083011237435E-2</v>
      </c>
      <c r="DV88" s="462"/>
      <c r="DW88" s="458">
        <f>DW86/DU86-1</f>
        <v>2.9768787875808833E-2</v>
      </c>
      <c r="DX88" s="458">
        <f>DX86/DW86-1</f>
        <v>-3.690770550875766E-2</v>
      </c>
      <c r="DY88" s="458">
        <f>DY86/DX86-1</f>
        <v>-1.0006577487168489E-2</v>
      </c>
      <c r="DZ88" s="458">
        <f>DZ86/DY86-1</f>
        <v>-4.3639553985508339E-3</v>
      </c>
      <c r="EA88" s="462"/>
      <c r="EB88" s="458">
        <f>EB86/DZ86-1</f>
        <v>-2.5529074914241501E-2</v>
      </c>
      <c r="EC88" s="458">
        <f>EC86/EB86-1</f>
        <v>-3.9239177727967367E-2</v>
      </c>
      <c r="ED88" s="458">
        <f>ED86/EC86-1</f>
        <v>-9.1546989933448675E-3</v>
      </c>
      <c r="EE88" s="458">
        <f>EE86/ED86-1</f>
        <v>-1.2154323977574544E-3</v>
      </c>
      <c r="EF88" s="462"/>
      <c r="EG88" s="458">
        <f>EG86/EE86-1</f>
        <v>3.5443055783168642E-2</v>
      </c>
      <c r="EH88" s="458">
        <f>EH86/EG86-1</f>
        <v>-3.3810123674376302E-2</v>
      </c>
      <c r="EI88" s="458">
        <f>EI86/EH86-1</f>
        <v>-2.5706637695969148E-3</v>
      </c>
      <c r="EJ88" s="458">
        <f>EJ86/EI86-1</f>
        <v>1.0417092719756438E-2</v>
      </c>
      <c r="EK88" s="462"/>
      <c r="EL88" s="458">
        <f>EL86/EJ86-1</f>
        <v>4.5373566579442581E-2</v>
      </c>
      <c r="EM88" s="458">
        <f>EM86/EL86-1</f>
        <v>-3.4147615159556333E-2</v>
      </c>
      <c r="EN88" s="458">
        <f>EN86/EM86-1</f>
        <v>2.1059919293180851E-2</v>
      </c>
      <c r="EO88" s="458">
        <f>EO86/EN86-1</f>
        <v>8.0006387735547246E-3</v>
      </c>
      <c r="EP88" s="462"/>
      <c r="EQ88" s="458">
        <f>EQ86/EO86-1</f>
        <v>3.8870547638402808E-2</v>
      </c>
      <c r="ER88" s="458">
        <f>ER86/EQ86-1</f>
        <v>-2.734265833196925E-2</v>
      </c>
      <c r="ES88" s="458">
        <f>ES86/ER86-1</f>
        <v>1.6150977373502018E-2</v>
      </c>
      <c r="ET88" s="458">
        <f>ET86/ES86-1</f>
        <v>8.0006387735547246E-3</v>
      </c>
      <c r="EU88" s="1932"/>
      <c r="EZ88" s="740"/>
      <c r="FE88" s="740"/>
      <c r="FF88" s="740"/>
      <c r="FG88" s="622"/>
      <c r="FH88" s="1088">
        <f>AVERAGE(CI88,CN88,CS88,CX88,DC88,DH88,DM88,DR88,DW88,EB88,EG88,EL88,EQ88)</f>
        <v>2.6849807845227554E-2</v>
      </c>
      <c r="FI88" s="1088">
        <f>AVERAGE(CJ88,CO88,CT88,CY88,DD88,DI88,DN88,DS88,DX88,EC88,EH88,EM88)</f>
        <v>-1.0231597272972995E-2</v>
      </c>
      <c r="FJ88" s="1088">
        <f>AVERAGE(CK88,CP88,CU88,CZ88,DE88,DJ88,DO88,DT88,DY88,ED88,EI88,EN88)</f>
        <v>1.1133287209674695E-2</v>
      </c>
      <c r="FK88" s="1088">
        <f>AVERAGE(CL88,CQ88,CV88,DA88,DF88,DK88,DP88,DU88,DZ88,EE88,EJ88,EO88)</f>
        <v>1.0166256602617505E-2</v>
      </c>
      <c r="FL88" s="1795"/>
      <c r="FM88" s="458">
        <f t="shared" si="239"/>
        <v>3.8870547638402808E-2</v>
      </c>
      <c r="FN88" s="458">
        <f t="shared" si="240"/>
        <v>4.5373566579442581E-2</v>
      </c>
      <c r="FO88" s="2040">
        <v>4.6189957247044999E-2</v>
      </c>
      <c r="FP88" s="1888">
        <f>IFERROR(($FM88-FN88)*10000,"")</f>
        <v>-65.030189410397725</v>
      </c>
      <c r="FQ88" s="1888">
        <f>IFERROR(($FM88-FO88)*10000,"")</f>
        <v>-73.194096086421908</v>
      </c>
      <c r="FR88" s="566"/>
      <c r="FS88" s="566"/>
      <c r="FT88" s="566"/>
      <c r="FU88" s="566"/>
      <c r="FV88" s="566"/>
      <c r="FW88" s="566"/>
      <c r="FX88" s="566"/>
      <c r="FY88" s="566"/>
      <c r="FZ88" s="566"/>
      <c r="GA88" s="622"/>
      <c r="GB88"/>
      <c r="GC88"/>
      <c r="GD88"/>
      <c r="GE88"/>
      <c r="GF88"/>
      <c r="GG88"/>
      <c r="GH88" s="913"/>
      <c r="GI88" s="913"/>
      <c r="GJ88" s="913"/>
      <c r="GK88" s="913"/>
      <c r="GL88" s="913"/>
      <c r="GM88" s="913"/>
      <c r="GN88" s="913"/>
      <c r="GO88" s="913"/>
      <c r="GP88" s="913"/>
      <c r="GQ88" s="913"/>
      <c r="GR88" s="913"/>
      <c r="GS88" s="913"/>
      <c r="GT88" s="913"/>
      <c r="GU88" s="913"/>
      <c r="GV88" s="913"/>
      <c r="GW88" s="913"/>
      <c r="GX88" s="913"/>
      <c r="GY88" s="913"/>
      <c r="GZ88" s="913"/>
      <c r="HA88" s="913"/>
      <c r="HB88" s="913"/>
      <c r="HC88" s="913"/>
      <c r="HD88" s="913"/>
      <c r="HE88" s="913"/>
      <c r="HF88" s="913"/>
      <c r="HG88" s="913"/>
      <c r="HH88" s="913"/>
      <c r="HI88" s="913"/>
      <c r="HJ88" s="913"/>
      <c r="HK88" s="913"/>
      <c r="HL88" s="913"/>
      <c r="HM88" s="913"/>
      <c r="HN88" s="913"/>
      <c r="HO88" s="913"/>
      <c r="HP88" s="913"/>
      <c r="HQ88" s="913"/>
      <c r="HR88" s="913"/>
      <c r="HS88" s="913"/>
      <c r="HT88" s="913"/>
      <c r="HU88" s="913"/>
      <c r="HV88" s="913"/>
      <c r="HW88" s="913"/>
      <c r="HX88" s="913"/>
      <c r="HY88" s="913"/>
      <c r="HZ88" s="913"/>
      <c r="IA88" s="913"/>
      <c r="IB88" s="913"/>
      <c r="IC88" s="913"/>
      <c r="ID88" s="913"/>
      <c r="IE88" s="913"/>
      <c r="IF88" s="913"/>
      <c r="IG88" s="913"/>
      <c r="IH88" s="913"/>
      <c r="II88" s="913"/>
      <c r="IJ88" s="913"/>
      <c r="IK88" s="913"/>
      <c r="IL88" s="913"/>
      <c r="IM88" s="913"/>
      <c r="IN88" s="913"/>
      <c r="IO88" s="913"/>
      <c r="IP88" s="913"/>
      <c r="IQ88" s="913"/>
      <c r="IR88" s="913"/>
      <c r="IS88" s="913"/>
      <c r="IT88" s="913"/>
      <c r="IU88" s="913"/>
      <c r="IV88" s="913"/>
    </row>
    <row r="89" spans="1:256" s="62" customFormat="1" ht="12.75" x14ac:dyDescent="0.2">
      <c r="A89" s="57" t="s">
        <v>219</v>
      </c>
      <c r="B89" s="59"/>
      <c r="C89" s="59"/>
      <c r="D89" s="59"/>
      <c r="E89" s="203"/>
      <c r="F89" s="58"/>
      <c r="G89" s="59"/>
      <c r="H89" s="59"/>
      <c r="I89" s="59"/>
      <c r="J89" s="203"/>
      <c r="K89" s="58"/>
      <c r="L89" s="59"/>
      <c r="M89" s="59"/>
      <c r="N89" s="59"/>
      <c r="O89" s="203"/>
      <c r="P89" s="58"/>
      <c r="Q89" s="59"/>
      <c r="R89" s="59"/>
      <c r="S89" s="59"/>
      <c r="T89" s="203"/>
      <c r="U89" s="58"/>
      <c r="V89" s="59"/>
      <c r="W89" s="59"/>
      <c r="X89" s="59"/>
      <c r="Y89" s="203"/>
      <c r="Z89" s="58"/>
      <c r="AA89" s="59"/>
      <c r="AB89" s="59"/>
      <c r="AC89" s="59"/>
      <c r="AD89" s="203"/>
      <c r="AE89" s="58"/>
      <c r="AF89" s="59"/>
      <c r="AG89" s="59"/>
      <c r="AH89" s="59"/>
      <c r="AI89" s="203"/>
      <c r="AJ89" s="58"/>
      <c r="AK89" s="59"/>
      <c r="AL89" s="59"/>
      <c r="AM89" s="59"/>
      <c r="AN89" s="203"/>
      <c r="AO89" s="58"/>
      <c r="AP89" s="59"/>
      <c r="AQ89" s="59"/>
      <c r="AR89" s="59"/>
      <c r="AS89" s="203"/>
      <c r="AT89" s="58"/>
      <c r="AU89" s="59"/>
      <c r="AV89" s="59"/>
      <c r="AW89" s="59"/>
      <c r="AX89" s="203"/>
      <c r="AY89" s="58"/>
      <c r="AZ89" s="59"/>
      <c r="BA89" s="59"/>
      <c r="BB89" s="59"/>
      <c r="BC89" s="203"/>
      <c r="BD89" s="58"/>
      <c r="BE89" s="59"/>
      <c r="BF89" s="59"/>
      <c r="BG89" s="59"/>
      <c r="BH89" s="203"/>
      <c r="BI89" s="58"/>
      <c r="BJ89" s="59"/>
      <c r="BK89" s="59"/>
      <c r="BL89" s="59"/>
      <c r="BM89" s="203"/>
      <c r="BN89" s="58"/>
      <c r="BO89" s="59"/>
      <c r="BP89" s="59"/>
      <c r="BQ89" s="59"/>
      <c r="BR89" s="203"/>
      <c r="BS89" s="58"/>
      <c r="BT89" s="59"/>
      <c r="BU89" s="59"/>
      <c r="BV89" s="59"/>
      <c r="BW89" s="203"/>
      <c r="BX89" s="58"/>
      <c r="BY89" s="59"/>
      <c r="BZ89" s="59"/>
      <c r="CA89" s="59"/>
      <c r="CB89" s="203"/>
      <c r="CC89" s="58"/>
      <c r="CD89" s="59"/>
      <c r="CE89" s="59"/>
      <c r="CF89" s="59"/>
      <c r="CG89" s="203"/>
      <c r="CH89" s="58"/>
      <c r="CI89" s="59"/>
      <c r="CJ89" s="59"/>
      <c r="CK89" s="59"/>
      <c r="CL89" s="203"/>
      <c r="CM89" s="58"/>
      <c r="CN89" s="59"/>
      <c r="CO89" s="59"/>
      <c r="CP89" s="59"/>
      <c r="CQ89" s="203"/>
      <c r="CR89" s="58"/>
      <c r="CS89" s="59"/>
      <c r="CT89" s="59"/>
      <c r="CU89" s="59"/>
      <c r="CV89" s="203"/>
      <c r="CW89" s="58"/>
      <c r="CX89" s="59"/>
      <c r="CY89" s="59"/>
      <c r="CZ89" s="59"/>
      <c r="DA89" s="59"/>
      <c r="DB89" s="58"/>
      <c r="DC89" s="59"/>
      <c r="DD89" s="59"/>
      <c r="DE89" s="59"/>
      <c r="DF89" s="59"/>
      <c r="DG89" s="58"/>
      <c r="DH89" s="59"/>
      <c r="DI89" s="59"/>
      <c r="DJ89" s="59"/>
      <c r="DK89" s="59"/>
      <c r="DL89" s="58"/>
      <c r="DM89" s="59"/>
      <c r="DN89" s="59"/>
      <c r="DO89" s="59"/>
      <c r="DP89" s="59"/>
      <c r="DQ89" s="58"/>
      <c r="DR89" s="59"/>
      <c r="DS89" s="59"/>
      <c r="DT89" s="60"/>
      <c r="DU89" s="59"/>
      <c r="DV89" s="58"/>
      <c r="DW89" s="59"/>
      <c r="DX89" s="59"/>
      <c r="DY89" s="60"/>
      <c r="DZ89" s="59"/>
      <c r="EA89" s="58"/>
      <c r="EB89" s="59"/>
      <c r="EC89" s="59"/>
      <c r="ED89" s="60"/>
      <c r="EE89" s="59"/>
      <c r="EF89" s="58"/>
      <c r="EG89" s="59"/>
      <c r="EH89" s="59"/>
      <c r="EI89" s="60"/>
      <c r="EJ89" s="59"/>
      <c r="EK89" s="58"/>
      <c r="EL89" s="59"/>
      <c r="EM89" s="59"/>
      <c r="EN89" s="60"/>
      <c r="EO89" s="59"/>
      <c r="EP89" s="58"/>
      <c r="EQ89" s="59"/>
      <c r="ER89" s="61"/>
      <c r="ES89" s="61"/>
      <c r="ET89" s="61"/>
      <c r="EU89" s="1952"/>
      <c r="EV89" s="61"/>
      <c r="EW89" s="61"/>
      <c r="EX89" s="61"/>
      <c r="EY89" s="61"/>
      <c r="EZ89" s="841"/>
      <c r="FA89" s="61"/>
      <c r="FB89" s="61"/>
      <c r="FC89" s="61"/>
      <c r="FD89" s="61"/>
      <c r="FE89" s="841"/>
      <c r="FF89" s="765"/>
      <c r="FG89" s="618"/>
      <c r="FH89" s="1038"/>
      <c r="FI89" s="1038"/>
      <c r="FJ89" s="1038"/>
      <c r="FK89" s="1038"/>
      <c r="FL89" s="1813"/>
      <c r="FM89" s="59"/>
      <c r="FN89" s="59"/>
      <c r="FO89" s="2046"/>
      <c r="FP89" s="59"/>
      <c r="FQ89" s="59"/>
      <c r="FR89" s="575"/>
      <c r="FS89" s="575"/>
      <c r="FT89" s="575"/>
      <c r="FU89" s="575"/>
      <c r="FV89" s="575"/>
      <c r="FW89" s="575"/>
      <c r="FX89" s="575"/>
      <c r="FY89" s="575"/>
      <c r="FZ89" s="575"/>
      <c r="GA89" s="618"/>
      <c r="GB89"/>
      <c r="GC89"/>
      <c r="GD89"/>
      <c r="GE89"/>
      <c r="GF89"/>
      <c r="GG89"/>
      <c r="GH89" s="964"/>
      <c r="GI89" s="964"/>
      <c r="GJ89" s="964"/>
      <c r="GK89" s="964"/>
      <c r="GL89" s="964"/>
      <c r="GM89" s="964"/>
      <c r="GN89" s="964"/>
      <c r="GO89" s="964"/>
      <c r="GP89" s="964"/>
      <c r="GQ89" s="964"/>
      <c r="GR89" s="964"/>
      <c r="GS89" s="964"/>
      <c r="GT89" s="964"/>
      <c r="GU89" s="964"/>
      <c r="GV89" s="964"/>
      <c r="GW89" s="964"/>
      <c r="GX89" s="964"/>
      <c r="GY89" s="964"/>
      <c r="GZ89" s="964"/>
      <c r="HA89" s="964"/>
      <c r="HB89" s="964"/>
      <c r="HC89" s="964"/>
      <c r="HD89" s="964"/>
      <c r="HE89" s="964"/>
      <c r="HF89" s="964"/>
      <c r="HG89" s="964"/>
      <c r="HH89" s="964"/>
      <c r="HI89" s="964"/>
      <c r="HJ89" s="964"/>
      <c r="HK89" s="964"/>
      <c r="HL89" s="964"/>
      <c r="HM89" s="964"/>
      <c r="HN89" s="964"/>
      <c r="HO89" s="964"/>
      <c r="HP89" s="964"/>
      <c r="HQ89" s="964"/>
      <c r="HR89" s="964"/>
      <c r="HS89" s="964"/>
      <c r="HT89" s="964"/>
      <c r="HU89" s="964"/>
      <c r="HV89" s="964"/>
      <c r="HW89" s="964"/>
      <c r="HX89" s="964"/>
      <c r="HY89" s="964"/>
      <c r="HZ89" s="964"/>
      <c r="IA89" s="964"/>
      <c r="IB89" s="964"/>
      <c r="IC89" s="964"/>
      <c r="ID89" s="964"/>
      <c r="IE89" s="964"/>
      <c r="IF89" s="964"/>
      <c r="IG89" s="964"/>
      <c r="IH89" s="964"/>
      <c r="II89" s="964"/>
      <c r="IJ89" s="964"/>
      <c r="IK89" s="964"/>
      <c r="IL89" s="964"/>
      <c r="IM89" s="964"/>
      <c r="IN89" s="964"/>
      <c r="IO89" s="964"/>
      <c r="IP89" s="964"/>
      <c r="IQ89" s="964"/>
      <c r="IR89" s="964"/>
      <c r="IS89" s="964"/>
      <c r="IT89" s="964"/>
      <c r="IU89" s="964"/>
      <c r="IV89" s="964"/>
    </row>
    <row r="90" spans="1:256" s="66" customFormat="1" ht="12.75" x14ac:dyDescent="0.2">
      <c r="A90" s="63" t="s">
        <v>229</v>
      </c>
      <c r="B90" s="64"/>
      <c r="C90" s="64"/>
      <c r="D90" s="64"/>
      <c r="E90" s="204"/>
      <c r="F90" s="65"/>
      <c r="G90" s="64">
        <v>87.8</v>
      </c>
      <c r="H90" s="64">
        <v>105.3</v>
      </c>
      <c r="I90" s="64">
        <v>91.5</v>
      </c>
      <c r="J90" s="204">
        <v>83.2</v>
      </c>
      <c r="K90" s="65">
        <f>G90+H90+I90+J90</f>
        <v>367.8</v>
      </c>
      <c r="L90" s="64">
        <v>60.5</v>
      </c>
      <c r="M90" s="64">
        <v>92.4</v>
      </c>
      <c r="N90" s="64">
        <v>84.1</v>
      </c>
      <c r="O90" s="204">
        <v>88.9</v>
      </c>
      <c r="P90" s="65">
        <f>L90+M90+N90+O90</f>
        <v>325.89999999999998</v>
      </c>
      <c r="Q90" s="64">
        <v>91</v>
      </c>
      <c r="R90" s="64">
        <v>108.7</v>
      </c>
      <c r="S90" s="64">
        <v>95.8</v>
      </c>
      <c r="T90" s="204">
        <v>106</v>
      </c>
      <c r="U90" s="65">
        <f>Q90+R90+S90+T90</f>
        <v>401.5</v>
      </c>
      <c r="V90" s="64">
        <v>108.1</v>
      </c>
      <c r="W90" s="64">
        <v>120.3</v>
      </c>
      <c r="X90" s="64">
        <v>93.6</v>
      </c>
      <c r="Y90" s="204">
        <v>107.5</v>
      </c>
      <c r="Z90" s="65">
        <f>V90+W90+X90+Y90</f>
        <v>429.5</v>
      </c>
      <c r="AA90" s="64">
        <v>107.7</v>
      </c>
      <c r="AB90" s="64">
        <v>109.9</v>
      </c>
      <c r="AC90" s="64">
        <v>95.3</v>
      </c>
      <c r="AD90" s="204">
        <v>116.1</v>
      </c>
      <c r="AE90" s="65">
        <f>AA90+AB90+AC90+AD90</f>
        <v>429</v>
      </c>
      <c r="AF90" s="64">
        <v>119.7</v>
      </c>
      <c r="AG90" s="64">
        <v>118.8</v>
      </c>
      <c r="AH90" s="64">
        <v>99.1</v>
      </c>
      <c r="AI90" s="204">
        <v>111.5</v>
      </c>
      <c r="AJ90" s="65">
        <f>AF90+AG90+AH90+AI90</f>
        <v>449.1</v>
      </c>
      <c r="AK90" s="64">
        <v>118.3</v>
      </c>
      <c r="AL90" s="64">
        <v>133.69999999999999</v>
      </c>
      <c r="AM90" s="64">
        <v>112.2</v>
      </c>
      <c r="AN90" s="204">
        <v>124.5</v>
      </c>
      <c r="AO90" s="65">
        <f>AK90+AL90+AM90+AN90</f>
        <v>488.7</v>
      </c>
      <c r="AP90" s="64">
        <v>123.8</v>
      </c>
      <c r="AQ90" s="64">
        <v>132.1</v>
      </c>
      <c r="AR90" s="64">
        <v>112.1</v>
      </c>
      <c r="AS90" s="204">
        <v>124</v>
      </c>
      <c r="AT90" s="65">
        <f>AP90+AQ90+AR90+AS90</f>
        <v>492</v>
      </c>
      <c r="AU90" s="64">
        <v>138.1</v>
      </c>
      <c r="AV90" s="64">
        <v>145.19999999999999</v>
      </c>
      <c r="AW90" s="64">
        <v>129</v>
      </c>
      <c r="AX90" s="204">
        <v>154.4</v>
      </c>
      <c r="AY90" s="65">
        <f>AU90+AV90+AW90+AX90</f>
        <v>566.69999999999993</v>
      </c>
      <c r="AZ90" s="64">
        <v>159.80000000000001</v>
      </c>
      <c r="BA90" s="64">
        <v>186.8</v>
      </c>
      <c r="BB90" s="64">
        <v>190.1</v>
      </c>
      <c r="BC90" s="204">
        <v>203.4</v>
      </c>
      <c r="BD90" s="65">
        <f>AZ90+BA90+BB90+BC90</f>
        <v>740.1</v>
      </c>
      <c r="BE90" s="64">
        <v>241</v>
      </c>
      <c r="BF90" s="64">
        <v>249</v>
      </c>
      <c r="BG90" s="64">
        <v>208</v>
      </c>
      <c r="BH90" s="204">
        <v>223</v>
      </c>
      <c r="BI90" s="65">
        <f>BE90+BF90+BG90+BH90</f>
        <v>921</v>
      </c>
      <c r="BJ90" s="64">
        <v>214</v>
      </c>
      <c r="BK90" s="64">
        <v>244</v>
      </c>
      <c r="BL90" s="64">
        <v>199</v>
      </c>
      <c r="BM90" s="204">
        <v>228</v>
      </c>
      <c r="BN90" s="65">
        <f>BJ90+BK90+BL90+BM90</f>
        <v>885</v>
      </c>
      <c r="BO90" s="64">
        <v>228</v>
      </c>
      <c r="BP90" s="64">
        <v>259</v>
      </c>
      <c r="BQ90" s="64">
        <v>231</v>
      </c>
      <c r="BR90" s="204">
        <v>243</v>
      </c>
      <c r="BS90" s="65">
        <f>BO90+BP90+BQ90+BR90</f>
        <v>961</v>
      </c>
      <c r="BT90" s="64">
        <v>242</v>
      </c>
      <c r="BU90" s="64">
        <v>242</v>
      </c>
      <c r="BV90" s="64">
        <v>205</v>
      </c>
      <c r="BW90" s="204">
        <v>247</v>
      </c>
      <c r="BX90" s="65">
        <f>BT90+BU90+BV90+BW90</f>
        <v>936</v>
      </c>
      <c r="BY90" s="64">
        <v>248</v>
      </c>
      <c r="BZ90" s="64">
        <v>252</v>
      </c>
      <c r="CA90" s="64">
        <v>210</v>
      </c>
      <c r="CB90" s="204">
        <v>244</v>
      </c>
      <c r="CC90" s="65">
        <f>BY90+BZ90+CA90+CB90</f>
        <v>954</v>
      </c>
      <c r="CD90" s="64">
        <v>251</v>
      </c>
      <c r="CE90" s="64">
        <v>263</v>
      </c>
      <c r="CF90" s="64">
        <v>229</v>
      </c>
      <c r="CG90" s="204">
        <v>254</v>
      </c>
      <c r="CH90" s="65">
        <f>CD90+CE90+CF90+CG90</f>
        <v>997</v>
      </c>
      <c r="CI90" s="64">
        <v>262</v>
      </c>
      <c r="CJ90" s="64">
        <v>276</v>
      </c>
      <c r="CK90" s="64">
        <v>211</v>
      </c>
      <c r="CL90" s="204">
        <v>225</v>
      </c>
      <c r="CM90" s="65">
        <f>CI90+CJ90+CK90+CL90</f>
        <v>974</v>
      </c>
      <c r="CN90" s="64">
        <v>227</v>
      </c>
      <c r="CO90" s="64">
        <v>255</v>
      </c>
      <c r="CP90" s="64">
        <v>221</v>
      </c>
      <c r="CQ90" s="204">
        <f>271</f>
        <v>271</v>
      </c>
      <c r="CR90" s="65">
        <f>CN90+CO90+CP90+CQ90</f>
        <v>974</v>
      </c>
      <c r="CS90" s="64">
        <v>228</v>
      </c>
      <c r="CT90" s="64">
        <v>227</v>
      </c>
      <c r="CU90" s="64">
        <v>185</v>
      </c>
      <c r="CV90" s="204">
        <v>183</v>
      </c>
      <c r="CW90" s="65">
        <f>CS90+CT90+CU90+CV90</f>
        <v>823</v>
      </c>
      <c r="CX90" s="64">
        <v>112</v>
      </c>
      <c r="CY90" s="64">
        <v>110</v>
      </c>
      <c r="CZ90" s="64">
        <v>136</v>
      </c>
      <c r="DA90" s="64">
        <v>169</v>
      </c>
      <c r="DB90" s="65">
        <f>CX90+CY90+CZ90+DA90</f>
        <v>527</v>
      </c>
      <c r="DC90" s="64">
        <v>159</v>
      </c>
      <c r="DD90" s="64">
        <v>166</v>
      </c>
      <c r="DE90" s="64">
        <v>163</v>
      </c>
      <c r="DF90" s="64">
        <v>160</v>
      </c>
      <c r="DG90" s="65">
        <f>SUM(DC90:DF90)</f>
        <v>648</v>
      </c>
      <c r="DH90" s="64">
        <v>177</v>
      </c>
      <c r="DI90" s="64">
        <v>198</v>
      </c>
      <c r="DJ90" s="64">
        <v>191</v>
      </c>
      <c r="DK90" s="64">
        <v>214</v>
      </c>
      <c r="DL90" s="65">
        <f>SUM(DH90:DK90)</f>
        <v>780</v>
      </c>
      <c r="DM90" s="64">
        <v>226</v>
      </c>
      <c r="DN90" s="64">
        <v>239</v>
      </c>
      <c r="DO90" s="64">
        <v>203</v>
      </c>
      <c r="DP90" s="64">
        <v>229</v>
      </c>
      <c r="DQ90" s="65">
        <f>SUM(DM90:DP90)</f>
        <v>897</v>
      </c>
      <c r="DR90" s="64">
        <v>244</v>
      </c>
      <c r="DS90" s="64">
        <v>261</v>
      </c>
      <c r="DT90" s="64">
        <v>227</v>
      </c>
      <c r="DU90" s="64">
        <v>252</v>
      </c>
      <c r="DV90" s="65">
        <f>SUM(DR90:DU90)</f>
        <v>984</v>
      </c>
      <c r="DW90" s="64">
        <v>227</v>
      </c>
      <c r="DX90" s="64">
        <v>270</v>
      </c>
      <c r="DY90" s="64">
        <v>254</v>
      </c>
      <c r="DZ90" s="64">
        <v>253</v>
      </c>
      <c r="EA90" s="65">
        <f>SUM(DW90:DZ90)</f>
        <v>1004</v>
      </c>
      <c r="EB90" s="64">
        <v>219</v>
      </c>
      <c r="EC90" s="64">
        <v>254</v>
      </c>
      <c r="ED90" s="64">
        <v>246</v>
      </c>
      <c r="EE90" s="64">
        <v>250</v>
      </c>
      <c r="EF90" s="65">
        <f>SUM(EB90:EE90)</f>
        <v>969</v>
      </c>
      <c r="EG90" s="64">
        <v>254</v>
      </c>
      <c r="EH90" s="64">
        <v>248</v>
      </c>
      <c r="EI90" s="64">
        <v>236</v>
      </c>
      <c r="EJ90" s="64">
        <v>237</v>
      </c>
      <c r="EK90" s="65">
        <f>SUM(EG90:EJ90)</f>
        <v>975</v>
      </c>
      <c r="EL90" s="64">
        <v>246</v>
      </c>
      <c r="EM90" s="64">
        <v>249</v>
      </c>
      <c r="EN90" s="64">
        <v>218</v>
      </c>
      <c r="EO90" s="64">
        <v>242</v>
      </c>
      <c r="EP90" s="65">
        <f>SUM(EL90:EO90)</f>
        <v>955</v>
      </c>
      <c r="EQ90" s="64">
        <v>243</v>
      </c>
      <c r="ER90" s="64">
        <f t="shared" ref="ER90:ER93" si="336">EQ90/EQ$80*ER$80</f>
        <v>259.10071406571154</v>
      </c>
      <c r="ES90" s="64">
        <f t="shared" ref="ES90:ET93" si="337">ER90/ER$80*ES$80</f>
        <v>258.03237841051316</v>
      </c>
      <c r="ET90" s="64">
        <f t="shared" si="337"/>
        <v>245.42490411110663</v>
      </c>
      <c r="EU90" s="1953">
        <f>SUM(EQ90:ET90)</f>
        <v>1005.5579965873312</v>
      </c>
      <c r="EV90" s="64"/>
      <c r="EW90" s="64"/>
      <c r="EX90" s="64"/>
      <c r="EY90" s="64"/>
      <c r="EZ90" s="842">
        <f>EU90/EU80*EZ80</f>
        <v>1028.4864578799848</v>
      </c>
      <c r="FA90" s="64"/>
      <c r="FB90" s="64"/>
      <c r="FC90" s="64"/>
      <c r="FD90" s="64"/>
      <c r="FE90" s="842">
        <f>EZ90/EZ80*FE80</f>
        <v>1060.850493272035</v>
      </c>
      <c r="FF90" s="766"/>
      <c r="FG90" s="628"/>
      <c r="FH90" s="1027"/>
      <c r="FI90" s="1027"/>
      <c r="FJ90" s="1027"/>
      <c r="FK90" s="1027"/>
      <c r="FL90" s="1809"/>
      <c r="FM90" s="64">
        <f t="shared" ref="FM90:FM118" si="338">EQ90</f>
        <v>243</v>
      </c>
      <c r="FN90" s="64">
        <f t="shared" ref="FN90:FN118" si="339">EL90</f>
        <v>246</v>
      </c>
      <c r="FO90" s="2047">
        <v>252.47560496377758</v>
      </c>
      <c r="FP90" s="1865">
        <f t="shared" ref="FP90:FQ94" si="340">IFERROR(($FM90/FN90)-1,"")</f>
        <v>-1.2195121951219523E-2</v>
      </c>
      <c r="FQ90" s="1865">
        <f t="shared" si="340"/>
        <v>-3.7530774369813003E-2</v>
      </c>
      <c r="FR90" s="537"/>
      <c r="FS90" s="537"/>
      <c r="FT90" s="537"/>
      <c r="FU90" s="537"/>
      <c r="FV90" s="537"/>
      <c r="FW90" s="537"/>
      <c r="FX90" s="537"/>
      <c r="FY90" s="537"/>
      <c r="FZ90" s="537"/>
      <c r="GA90" s="628"/>
      <c r="GB90"/>
      <c r="GC90"/>
      <c r="GD90"/>
      <c r="GE90"/>
      <c r="GF90"/>
      <c r="GG90"/>
      <c r="GH90" s="963"/>
      <c r="GI90" s="963"/>
      <c r="GJ90" s="963"/>
      <c r="GK90" s="963"/>
      <c r="GL90" s="963"/>
      <c r="GM90" s="963"/>
      <c r="GN90" s="963"/>
      <c r="GO90" s="963"/>
      <c r="GP90" s="963"/>
      <c r="GQ90" s="963"/>
      <c r="GR90" s="963"/>
      <c r="GS90" s="963"/>
      <c r="GT90" s="963"/>
      <c r="GU90" s="963"/>
      <c r="GV90" s="963"/>
      <c r="GW90" s="963"/>
      <c r="GX90" s="963"/>
      <c r="GY90" s="963"/>
      <c r="GZ90" s="963"/>
      <c r="HA90" s="963"/>
      <c r="HB90" s="963"/>
      <c r="HC90" s="963"/>
      <c r="HD90" s="963"/>
      <c r="HE90" s="963"/>
      <c r="HF90" s="963"/>
      <c r="HG90" s="963"/>
      <c r="HH90" s="963"/>
      <c r="HI90" s="963"/>
      <c r="HJ90" s="963"/>
      <c r="HK90" s="963"/>
      <c r="HL90" s="963"/>
      <c r="HM90" s="963"/>
      <c r="HN90" s="963"/>
      <c r="HO90" s="963"/>
      <c r="HP90" s="963"/>
      <c r="HQ90" s="963"/>
      <c r="HR90" s="963"/>
      <c r="HS90" s="963"/>
      <c r="HT90" s="963"/>
      <c r="HU90" s="963"/>
      <c r="HV90" s="963"/>
      <c r="HW90" s="963"/>
      <c r="HX90" s="963"/>
      <c r="HY90" s="963"/>
      <c r="HZ90" s="963"/>
      <c r="IA90" s="963"/>
      <c r="IB90" s="963"/>
      <c r="IC90" s="963"/>
      <c r="ID90" s="963"/>
      <c r="IE90" s="963"/>
      <c r="IF90" s="963"/>
      <c r="IG90" s="963"/>
      <c r="IH90" s="963"/>
      <c r="II90" s="963"/>
      <c r="IJ90" s="963"/>
      <c r="IK90" s="963"/>
      <c r="IL90" s="963"/>
      <c r="IM90" s="963"/>
      <c r="IN90" s="963"/>
      <c r="IO90" s="963"/>
      <c r="IP90" s="963"/>
      <c r="IQ90" s="963"/>
      <c r="IR90" s="963"/>
      <c r="IS90" s="963"/>
      <c r="IT90" s="963"/>
      <c r="IU90" s="963"/>
      <c r="IV90" s="963"/>
    </row>
    <row r="91" spans="1:256" s="49" customFormat="1" ht="12.75" x14ac:dyDescent="0.2">
      <c r="A91" s="47" t="s">
        <v>606</v>
      </c>
      <c r="B91" s="20"/>
      <c r="C91" s="20"/>
      <c r="D91" s="20"/>
      <c r="E91" s="205"/>
      <c r="F91" s="48"/>
      <c r="G91" s="20">
        <v>115</v>
      </c>
      <c r="H91" s="20">
        <v>113</v>
      </c>
      <c r="I91" s="20">
        <v>105.1</v>
      </c>
      <c r="J91" s="205">
        <v>110.8</v>
      </c>
      <c r="K91" s="48">
        <f>G91+H91+I91+J91</f>
        <v>443.90000000000003</v>
      </c>
      <c r="L91" s="20">
        <v>108.3</v>
      </c>
      <c r="M91" s="20">
        <v>106.7</v>
      </c>
      <c r="N91" s="20">
        <v>117.9</v>
      </c>
      <c r="O91" s="205">
        <v>116.8</v>
      </c>
      <c r="P91" s="48">
        <f>L91+M91+N91+O91</f>
        <v>449.7</v>
      </c>
      <c r="Q91" s="20">
        <v>118.5</v>
      </c>
      <c r="R91" s="20">
        <v>116.5</v>
      </c>
      <c r="S91" s="20">
        <v>119.4</v>
      </c>
      <c r="T91" s="205">
        <v>117.3</v>
      </c>
      <c r="U91" s="48">
        <f>Q91+R91+S91+T91</f>
        <v>471.7</v>
      </c>
      <c r="V91" s="20">
        <v>118.2</v>
      </c>
      <c r="W91" s="20">
        <v>120.8</v>
      </c>
      <c r="X91" s="20">
        <v>116.5</v>
      </c>
      <c r="Y91" s="205">
        <v>117.4</v>
      </c>
      <c r="Z91" s="48">
        <f>V91+W91+X91+Y91</f>
        <v>472.9</v>
      </c>
      <c r="AA91" s="20">
        <v>131.6</v>
      </c>
      <c r="AB91" s="20">
        <v>136.19999999999999</v>
      </c>
      <c r="AC91" s="20">
        <v>133.1</v>
      </c>
      <c r="AD91" s="205">
        <v>133.80000000000001</v>
      </c>
      <c r="AE91" s="48">
        <f>AA91+AB91+AC91+AD91</f>
        <v>534.70000000000005</v>
      </c>
      <c r="AF91" s="20">
        <v>140.6</v>
      </c>
      <c r="AG91" s="20">
        <v>134</v>
      </c>
      <c r="AH91" s="20">
        <v>127.9</v>
      </c>
      <c r="AI91" s="205">
        <v>134</v>
      </c>
      <c r="AJ91" s="48">
        <f>AF91+AG91+AH91+AI91</f>
        <v>536.5</v>
      </c>
      <c r="AK91" s="20">
        <v>140.4</v>
      </c>
      <c r="AL91" s="20">
        <v>138.9</v>
      </c>
      <c r="AM91" s="20">
        <v>140</v>
      </c>
      <c r="AN91" s="205">
        <v>138</v>
      </c>
      <c r="AO91" s="48">
        <f>AK91+AL91+AM91+AN91</f>
        <v>557.29999999999995</v>
      </c>
      <c r="AP91" s="20">
        <v>147.19999999999999</v>
      </c>
      <c r="AQ91" s="20">
        <v>149.5</v>
      </c>
      <c r="AR91" s="20">
        <v>144.30000000000001</v>
      </c>
      <c r="AS91" s="205">
        <v>144</v>
      </c>
      <c r="AT91" s="48">
        <f>AP91+AQ91+AR91+AS91</f>
        <v>585</v>
      </c>
      <c r="AU91" s="20">
        <v>121.4</v>
      </c>
      <c r="AV91" s="20">
        <v>125.3</v>
      </c>
      <c r="AW91" s="20">
        <v>125.8</v>
      </c>
      <c r="AX91" s="205">
        <v>118.7</v>
      </c>
      <c r="AY91" s="48">
        <f>AU91+AV91+AW91+AX91</f>
        <v>491.2</v>
      </c>
      <c r="AZ91" s="20">
        <v>125.3</v>
      </c>
      <c r="BA91" s="20">
        <v>146.5</v>
      </c>
      <c r="BB91" s="20">
        <v>189.1</v>
      </c>
      <c r="BC91" s="205">
        <v>178.3</v>
      </c>
      <c r="BD91" s="48">
        <f>AZ91+BA91+BB91+BC91</f>
        <v>639.20000000000005</v>
      </c>
      <c r="BE91" s="20">
        <v>185</v>
      </c>
      <c r="BF91" s="20">
        <v>195</v>
      </c>
      <c r="BG91" s="20">
        <v>189</v>
      </c>
      <c r="BH91" s="205">
        <v>187</v>
      </c>
      <c r="BI91" s="48">
        <f>BE91+BF91+BG91+BH91</f>
        <v>756</v>
      </c>
      <c r="BJ91" s="20">
        <v>188</v>
      </c>
      <c r="BK91" s="20">
        <v>191</v>
      </c>
      <c r="BL91" s="20">
        <v>190</v>
      </c>
      <c r="BM91" s="205">
        <v>183</v>
      </c>
      <c r="BN91" s="48">
        <f>BJ91+BK91+BL91+BM91</f>
        <v>752</v>
      </c>
      <c r="BO91" s="20">
        <v>186</v>
      </c>
      <c r="BP91" s="20">
        <v>190</v>
      </c>
      <c r="BQ91" s="20">
        <v>194</v>
      </c>
      <c r="BR91" s="205">
        <v>188</v>
      </c>
      <c r="BS91" s="48">
        <f>BO91+BP91+BQ91+BR91</f>
        <v>758</v>
      </c>
      <c r="BT91" s="20">
        <v>192</v>
      </c>
      <c r="BU91" s="20">
        <v>190</v>
      </c>
      <c r="BV91" s="20">
        <v>196</v>
      </c>
      <c r="BW91" s="205">
        <v>194</v>
      </c>
      <c r="BX91" s="48">
        <f>BT91+BU91+BV91+BW91</f>
        <v>772</v>
      </c>
      <c r="BY91" s="20">
        <v>204</v>
      </c>
      <c r="BZ91" s="20">
        <v>216</v>
      </c>
      <c r="CA91" s="20">
        <v>226</v>
      </c>
      <c r="CB91" s="205">
        <v>222</v>
      </c>
      <c r="CC91" s="48">
        <f>BY91+BZ91+CA91+CB91</f>
        <v>868</v>
      </c>
      <c r="CD91" s="20">
        <v>232</v>
      </c>
      <c r="CE91" s="20">
        <v>247</v>
      </c>
      <c r="CF91" s="20">
        <v>254</v>
      </c>
      <c r="CG91" s="205">
        <v>245</v>
      </c>
      <c r="CH91" s="48">
        <f>CD91+CE91+CF91+CG91</f>
        <v>978</v>
      </c>
      <c r="CI91" s="20">
        <v>259</v>
      </c>
      <c r="CJ91" s="20">
        <v>268</v>
      </c>
      <c r="CK91" s="20">
        <v>286</v>
      </c>
      <c r="CL91" s="205">
        <v>266</v>
      </c>
      <c r="CM91" s="48">
        <f>CI91+CJ91+CK91+CL91</f>
        <v>1079</v>
      </c>
      <c r="CN91" s="20">
        <v>274</v>
      </c>
      <c r="CO91" s="20">
        <v>297</v>
      </c>
      <c r="CP91" s="20">
        <v>297</v>
      </c>
      <c r="CQ91" s="205">
        <v>298</v>
      </c>
      <c r="CR91" s="48">
        <f>CN91+CO91+CP91+CQ91</f>
        <v>1166</v>
      </c>
      <c r="CS91" s="20">
        <v>305</v>
      </c>
      <c r="CT91" s="20">
        <v>322</v>
      </c>
      <c r="CU91" s="20">
        <v>337</v>
      </c>
      <c r="CV91" s="205">
        <v>274</v>
      </c>
      <c r="CW91" s="48">
        <f>CS91+CT91+CU91+CV91</f>
        <v>1238</v>
      </c>
      <c r="CX91" s="20">
        <v>236</v>
      </c>
      <c r="CY91" s="20">
        <v>245</v>
      </c>
      <c r="CZ91" s="20">
        <v>297</v>
      </c>
      <c r="DA91" s="20">
        <v>278</v>
      </c>
      <c r="DB91" s="48">
        <f>CX91+CY91+CZ91+DA91</f>
        <v>1056</v>
      </c>
      <c r="DC91" s="20">
        <v>314</v>
      </c>
      <c r="DD91" s="20">
        <v>334</v>
      </c>
      <c r="DE91" s="20">
        <v>340</v>
      </c>
      <c r="DF91" s="20">
        <v>314</v>
      </c>
      <c r="DG91" s="48">
        <f>SUM(DC91:DF91)</f>
        <v>1302</v>
      </c>
      <c r="DH91" s="20">
        <v>338</v>
      </c>
      <c r="DI91" s="20">
        <v>355</v>
      </c>
      <c r="DJ91" s="20">
        <v>353</v>
      </c>
      <c r="DK91" s="20">
        <v>322</v>
      </c>
      <c r="DL91" s="48">
        <f>SUM(DH91:DK91)</f>
        <v>1368</v>
      </c>
      <c r="DM91" s="20">
        <v>362</v>
      </c>
      <c r="DN91" s="20">
        <v>379</v>
      </c>
      <c r="DO91" s="20">
        <v>370</v>
      </c>
      <c r="DP91" s="20">
        <v>356</v>
      </c>
      <c r="DQ91" s="48">
        <f>SUM(DM91:DP91)</f>
        <v>1467</v>
      </c>
      <c r="DR91" s="20">
        <v>394</v>
      </c>
      <c r="DS91" s="20">
        <v>415</v>
      </c>
      <c r="DT91" s="20">
        <v>429</v>
      </c>
      <c r="DU91" s="20">
        <v>429</v>
      </c>
      <c r="DV91" s="48">
        <f>SUM(DR91:DU91)</f>
        <v>1667</v>
      </c>
      <c r="DW91" s="20">
        <v>443</v>
      </c>
      <c r="DX91" s="20">
        <v>455</v>
      </c>
      <c r="DY91" s="20">
        <v>488</v>
      </c>
      <c r="DZ91" s="20">
        <v>477</v>
      </c>
      <c r="EA91" s="48">
        <f>SUM(DW91:DZ91)</f>
        <v>1863</v>
      </c>
      <c r="EB91" s="20">
        <v>432</v>
      </c>
      <c r="EC91" s="20">
        <v>454</v>
      </c>
      <c r="ED91" s="20">
        <v>451</v>
      </c>
      <c r="EE91" s="20">
        <v>423</v>
      </c>
      <c r="EF91" s="48">
        <f>SUM(EB91:EE91)</f>
        <v>1760</v>
      </c>
      <c r="EG91" s="20">
        <v>419</v>
      </c>
      <c r="EH91" s="20">
        <v>426</v>
      </c>
      <c r="EI91" s="20">
        <v>408</v>
      </c>
      <c r="EJ91" s="20">
        <v>395</v>
      </c>
      <c r="EK91" s="48">
        <f>SUM(EG91:EJ91)</f>
        <v>1648</v>
      </c>
      <c r="EL91" s="20">
        <v>427</v>
      </c>
      <c r="EM91" s="20">
        <v>406</v>
      </c>
      <c r="EN91" s="20">
        <v>418</v>
      </c>
      <c r="EO91" s="20">
        <v>417</v>
      </c>
      <c r="EP91" s="48">
        <f>SUM(EL91:EO91)</f>
        <v>1668</v>
      </c>
      <c r="EQ91" s="20">
        <v>443</v>
      </c>
      <c r="ER91" s="20">
        <f t="shared" si="336"/>
        <v>472.35233058070048</v>
      </c>
      <c r="ES91" s="20">
        <f t="shared" si="337"/>
        <v>470.40470632040058</v>
      </c>
      <c r="ET91" s="20">
        <f t="shared" si="337"/>
        <v>447.42070996386934</v>
      </c>
      <c r="EU91" s="1954">
        <f>SUM(EQ91:ET91)</f>
        <v>1833.1777468649702</v>
      </c>
      <c r="EV91" s="20"/>
      <c r="EW91" s="20"/>
      <c r="EX91" s="20"/>
      <c r="EY91" s="20"/>
      <c r="EZ91" s="747">
        <f>EU91/EU80*EZ80</f>
        <v>1874.977369715363</v>
      </c>
      <c r="FA91" s="20"/>
      <c r="FB91" s="20"/>
      <c r="FC91" s="20"/>
      <c r="FD91" s="20"/>
      <c r="FE91" s="747">
        <f>EZ91/EZ80*FE80</f>
        <v>1933.9784712737096</v>
      </c>
      <c r="FF91" s="767"/>
      <c r="FG91" s="622"/>
      <c r="FH91" s="1027"/>
      <c r="FI91" s="1027"/>
      <c r="FJ91" s="1027"/>
      <c r="FK91" s="1027"/>
      <c r="FL91" s="1809"/>
      <c r="FM91" s="20">
        <f t="shared" si="338"/>
        <v>443</v>
      </c>
      <c r="FN91" s="20">
        <f t="shared" si="339"/>
        <v>427</v>
      </c>
      <c r="FO91" s="2048">
        <v>435.0509391317986</v>
      </c>
      <c r="FP91" s="16">
        <f t="shared" si="340"/>
        <v>3.7470725995316201E-2</v>
      </c>
      <c r="FQ91" s="16">
        <f t="shared" si="340"/>
        <v>1.8271563518664768E-2</v>
      </c>
      <c r="FR91" s="537"/>
      <c r="FS91" s="537"/>
      <c r="FT91" s="537"/>
      <c r="FU91" s="537"/>
      <c r="FV91" s="537"/>
      <c r="FW91" s="537"/>
      <c r="FX91" s="537"/>
      <c r="FY91" s="537"/>
      <c r="FZ91" s="537"/>
      <c r="GA91" s="622"/>
      <c r="GB91"/>
      <c r="GC91"/>
      <c r="GD91"/>
      <c r="GE91"/>
      <c r="GF91"/>
      <c r="GG91"/>
      <c r="GH91" s="963"/>
      <c r="GI91" s="963"/>
      <c r="GJ91" s="963"/>
      <c r="GK91" s="963"/>
      <c r="GL91" s="963"/>
      <c r="GM91" s="963"/>
      <c r="GN91" s="963"/>
      <c r="GO91" s="963"/>
      <c r="GP91" s="963"/>
      <c r="GQ91" s="963"/>
      <c r="GR91" s="963"/>
      <c r="GS91" s="963"/>
      <c r="GT91" s="963"/>
      <c r="GU91" s="963"/>
      <c r="GV91" s="963"/>
      <c r="GW91" s="963"/>
      <c r="GX91" s="963"/>
      <c r="GY91" s="963"/>
      <c r="GZ91" s="963"/>
      <c r="HA91" s="963"/>
      <c r="HB91" s="963"/>
      <c r="HC91" s="963"/>
      <c r="HD91" s="963"/>
      <c r="HE91" s="963"/>
      <c r="HF91" s="963"/>
      <c r="HG91" s="963"/>
      <c r="HH91" s="963"/>
      <c r="HI91" s="963"/>
      <c r="HJ91" s="963"/>
      <c r="HK91" s="963"/>
      <c r="HL91" s="963"/>
      <c r="HM91" s="963"/>
      <c r="HN91" s="963"/>
      <c r="HO91" s="963"/>
      <c r="HP91" s="963"/>
      <c r="HQ91" s="963"/>
      <c r="HR91" s="963"/>
      <c r="HS91" s="963"/>
      <c r="HT91" s="963"/>
      <c r="HU91" s="963"/>
      <c r="HV91" s="963"/>
      <c r="HW91" s="963"/>
      <c r="HX91" s="963"/>
      <c r="HY91" s="963"/>
      <c r="HZ91" s="963"/>
      <c r="IA91" s="963"/>
      <c r="IB91" s="963"/>
      <c r="IC91" s="963"/>
      <c r="ID91" s="963"/>
      <c r="IE91" s="963"/>
      <c r="IF91" s="963"/>
      <c r="IG91" s="963"/>
      <c r="IH91" s="963"/>
      <c r="II91" s="963"/>
      <c r="IJ91" s="963"/>
      <c r="IK91" s="963"/>
      <c r="IL91" s="963"/>
      <c r="IM91" s="963"/>
      <c r="IN91" s="963"/>
      <c r="IO91" s="963"/>
      <c r="IP91" s="963"/>
      <c r="IQ91" s="963"/>
      <c r="IR91" s="963"/>
      <c r="IS91" s="963"/>
      <c r="IT91" s="963"/>
      <c r="IU91" s="963"/>
      <c r="IV91" s="963"/>
    </row>
    <row r="92" spans="1:256" s="49" customFormat="1" ht="12.75" x14ac:dyDescent="0.2">
      <c r="A92" s="47" t="s">
        <v>607</v>
      </c>
      <c r="B92" s="20"/>
      <c r="C92" s="20"/>
      <c r="D92" s="20"/>
      <c r="E92" s="205"/>
      <c r="F92" s="48"/>
      <c r="G92" s="20">
        <v>75.099999999999994</v>
      </c>
      <c r="H92" s="20">
        <v>81.599999999999994</v>
      </c>
      <c r="I92" s="20">
        <v>76</v>
      </c>
      <c r="J92" s="205">
        <v>73</v>
      </c>
      <c r="K92" s="48">
        <f>G92+H92+I92+J92</f>
        <v>305.7</v>
      </c>
      <c r="L92" s="20">
        <v>66.900000000000006</v>
      </c>
      <c r="M92" s="20">
        <v>68.2</v>
      </c>
      <c r="N92" s="20">
        <v>71.2</v>
      </c>
      <c r="O92" s="205">
        <v>67.900000000000006</v>
      </c>
      <c r="P92" s="48">
        <f>L92+M92+N92+O92</f>
        <v>274.20000000000005</v>
      </c>
      <c r="Q92" s="20">
        <v>65.7</v>
      </c>
      <c r="R92" s="20">
        <v>69.599999999999994</v>
      </c>
      <c r="S92" s="20">
        <v>71.099999999999994</v>
      </c>
      <c r="T92" s="205">
        <v>69.900000000000006</v>
      </c>
      <c r="U92" s="48">
        <f>Q92+R92+S92+T92</f>
        <v>276.3</v>
      </c>
      <c r="V92" s="20">
        <v>70.3</v>
      </c>
      <c r="W92" s="20">
        <v>77.900000000000006</v>
      </c>
      <c r="X92" s="20">
        <v>74.900000000000006</v>
      </c>
      <c r="Y92" s="205">
        <v>73</v>
      </c>
      <c r="Z92" s="48">
        <f>V92+W92+X92+Y92</f>
        <v>296.10000000000002</v>
      </c>
      <c r="AA92" s="20">
        <v>74.3</v>
      </c>
      <c r="AB92" s="20">
        <v>87.9</v>
      </c>
      <c r="AC92" s="20">
        <v>85.7</v>
      </c>
      <c r="AD92" s="205">
        <v>86.3</v>
      </c>
      <c r="AE92" s="48">
        <f>AA92+AB92+AC92+AD92</f>
        <v>334.2</v>
      </c>
      <c r="AF92" s="20">
        <v>86.6</v>
      </c>
      <c r="AG92" s="20">
        <v>90.1</v>
      </c>
      <c r="AH92" s="20">
        <v>90.7</v>
      </c>
      <c r="AI92" s="205">
        <v>85.7</v>
      </c>
      <c r="AJ92" s="48">
        <f>AF92+AG92+AH92+AI92</f>
        <v>353.09999999999997</v>
      </c>
      <c r="AK92" s="20">
        <v>84.1</v>
      </c>
      <c r="AL92" s="20">
        <v>94.7</v>
      </c>
      <c r="AM92" s="20">
        <v>93.6</v>
      </c>
      <c r="AN92" s="205">
        <v>85.6</v>
      </c>
      <c r="AO92" s="48">
        <f>AK92+AL92+AM92+AN92</f>
        <v>358</v>
      </c>
      <c r="AP92" s="20">
        <v>89.2</v>
      </c>
      <c r="AQ92" s="20">
        <v>95.2</v>
      </c>
      <c r="AR92" s="20">
        <v>92.6</v>
      </c>
      <c r="AS92" s="205">
        <v>91</v>
      </c>
      <c r="AT92" s="48">
        <f>AP92+AQ92+AR92+AS92</f>
        <v>368</v>
      </c>
      <c r="AU92" s="20">
        <v>91.3</v>
      </c>
      <c r="AV92" s="20">
        <v>97.7</v>
      </c>
      <c r="AW92" s="20">
        <v>97.05</v>
      </c>
      <c r="AX92" s="205">
        <v>87.44</v>
      </c>
      <c r="AY92" s="48">
        <f>AU92+AV92+AW92+AX92</f>
        <v>373.49</v>
      </c>
      <c r="AZ92" s="20">
        <v>94</v>
      </c>
      <c r="BA92" s="20">
        <v>126.4</v>
      </c>
      <c r="BB92" s="20">
        <v>180.5</v>
      </c>
      <c r="BC92" s="205">
        <v>161</v>
      </c>
      <c r="BD92" s="48">
        <f>AZ92+BA92+BB92+BC92</f>
        <v>561.9</v>
      </c>
      <c r="BE92" s="20">
        <v>175</v>
      </c>
      <c r="BF92" s="20">
        <v>184</v>
      </c>
      <c r="BG92" s="20">
        <v>172</v>
      </c>
      <c r="BH92" s="205">
        <v>158</v>
      </c>
      <c r="BI92" s="48">
        <f>BE92+BF92+BG92+BH92</f>
        <v>689</v>
      </c>
      <c r="BJ92" s="20">
        <v>165</v>
      </c>
      <c r="BK92" s="20">
        <v>177</v>
      </c>
      <c r="BL92" s="20">
        <v>176</v>
      </c>
      <c r="BM92" s="205">
        <v>156</v>
      </c>
      <c r="BN92" s="48">
        <f>BJ92+BK92+BL92+BM92</f>
        <v>674</v>
      </c>
      <c r="BO92" s="20">
        <v>160</v>
      </c>
      <c r="BP92" s="20">
        <v>189</v>
      </c>
      <c r="BQ92" s="20">
        <v>181</v>
      </c>
      <c r="BR92" s="205">
        <v>162</v>
      </c>
      <c r="BS92" s="48">
        <f>BO92+BP92+BQ92+BR92</f>
        <v>692</v>
      </c>
      <c r="BT92" s="20">
        <v>166</v>
      </c>
      <c r="BU92" s="20">
        <v>175</v>
      </c>
      <c r="BV92" s="20">
        <v>180</v>
      </c>
      <c r="BW92" s="205">
        <v>178</v>
      </c>
      <c r="BX92" s="48">
        <f>BT92+BU92+BV92+BW92</f>
        <v>699</v>
      </c>
      <c r="BY92" s="20">
        <v>183</v>
      </c>
      <c r="BZ92" s="20">
        <v>209</v>
      </c>
      <c r="CA92" s="20">
        <v>214</v>
      </c>
      <c r="CB92" s="205">
        <v>212</v>
      </c>
      <c r="CC92" s="48">
        <f>BY92+BZ92+CA92+CB92</f>
        <v>818</v>
      </c>
      <c r="CD92" s="20">
        <v>224</v>
      </c>
      <c r="CE92" s="20">
        <v>243</v>
      </c>
      <c r="CF92" s="20">
        <v>252</v>
      </c>
      <c r="CG92" s="205">
        <v>259</v>
      </c>
      <c r="CH92" s="48">
        <f>CD92+CE92+CF92+CG92</f>
        <v>978</v>
      </c>
      <c r="CI92" s="20">
        <v>279</v>
      </c>
      <c r="CJ92" s="20">
        <v>304</v>
      </c>
      <c r="CK92" s="20">
        <v>316</v>
      </c>
      <c r="CL92" s="205">
        <v>269</v>
      </c>
      <c r="CM92" s="48">
        <f>CI92+CJ92+CK92+CL92</f>
        <v>1168</v>
      </c>
      <c r="CN92" s="20">
        <v>275</v>
      </c>
      <c r="CO92" s="20">
        <v>298</v>
      </c>
      <c r="CP92" s="20">
        <v>287</v>
      </c>
      <c r="CQ92" s="205">
        <v>289</v>
      </c>
      <c r="CR92" s="48">
        <f>CN92+CO92+CP92+CQ92</f>
        <v>1149</v>
      </c>
      <c r="CS92" s="20">
        <v>305</v>
      </c>
      <c r="CT92" s="20">
        <v>352</v>
      </c>
      <c r="CU92" s="20">
        <v>357</v>
      </c>
      <c r="CV92" s="205">
        <v>237</v>
      </c>
      <c r="CW92" s="48">
        <f>CS92+CT92+CU92+CV92</f>
        <v>1251</v>
      </c>
      <c r="CX92" s="20">
        <v>183</v>
      </c>
      <c r="CY92" s="20">
        <v>171</v>
      </c>
      <c r="CZ92" s="20">
        <v>205</v>
      </c>
      <c r="DA92" s="20">
        <v>186</v>
      </c>
      <c r="DB92" s="48">
        <f>CX92+CY92+CZ92+DA92</f>
        <v>745</v>
      </c>
      <c r="DC92" s="20">
        <v>232</v>
      </c>
      <c r="DD92" s="20">
        <v>279</v>
      </c>
      <c r="DE92" s="20">
        <v>264</v>
      </c>
      <c r="DF92" s="20">
        <v>238</v>
      </c>
      <c r="DG92" s="48">
        <f>SUM(DC92:DF92)</f>
        <v>1013</v>
      </c>
      <c r="DH92" s="20">
        <v>269</v>
      </c>
      <c r="DI92" s="20">
        <v>320</v>
      </c>
      <c r="DJ92" s="20">
        <v>340</v>
      </c>
      <c r="DK92" s="20">
        <v>312</v>
      </c>
      <c r="DL92" s="48">
        <f>SUM(DH92:DK92)</f>
        <v>1241</v>
      </c>
      <c r="DM92" s="20">
        <v>342</v>
      </c>
      <c r="DN92" s="20">
        <v>369</v>
      </c>
      <c r="DO92" s="20">
        <v>314</v>
      </c>
      <c r="DP92" s="20">
        <v>310</v>
      </c>
      <c r="DQ92" s="48">
        <f>SUM(DM92:DP92)</f>
        <v>1335</v>
      </c>
      <c r="DR92" s="20">
        <v>336</v>
      </c>
      <c r="DS92" s="20">
        <v>350</v>
      </c>
      <c r="DT92" s="20">
        <v>372</v>
      </c>
      <c r="DU92" s="20">
        <v>347</v>
      </c>
      <c r="DV92" s="48">
        <f>SUM(DR92:DU92)</f>
        <v>1405</v>
      </c>
      <c r="DW92" s="20">
        <v>331</v>
      </c>
      <c r="DX92" s="20">
        <v>410</v>
      </c>
      <c r="DY92" s="20">
        <v>414</v>
      </c>
      <c r="DZ92" s="20">
        <v>366</v>
      </c>
      <c r="EA92" s="48">
        <f>SUM(DW92:DZ92)</f>
        <v>1521</v>
      </c>
      <c r="EB92" s="20">
        <v>310</v>
      </c>
      <c r="EC92" s="20">
        <v>344</v>
      </c>
      <c r="ED92" s="20">
        <v>330</v>
      </c>
      <c r="EE92" s="20">
        <v>279</v>
      </c>
      <c r="EF92" s="48">
        <f>SUM(EB92:EE92)</f>
        <v>1263</v>
      </c>
      <c r="EG92" s="20">
        <v>300</v>
      </c>
      <c r="EH92" s="20">
        <v>334</v>
      </c>
      <c r="EI92" s="20">
        <v>337</v>
      </c>
      <c r="EJ92" s="20">
        <v>296</v>
      </c>
      <c r="EK92" s="48">
        <f>SUM(EG92:EJ92)</f>
        <v>1267</v>
      </c>
      <c r="EL92" s="20">
        <v>340</v>
      </c>
      <c r="EM92" s="20">
        <v>371</v>
      </c>
      <c r="EN92" s="20">
        <v>378</v>
      </c>
      <c r="EO92" s="20">
        <v>337</v>
      </c>
      <c r="EP92" s="48">
        <f>SUM(EL92:EO92)</f>
        <v>1426</v>
      </c>
      <c r="EQ92" s="20">
        <v>338</v>
      </c>
      <c r="ER92" s="20">
        <f t="shared" si="336"/>
        <v>360.39523191033123</v>
      </c>
      <c r="ES92" s="20">
        <f t="shared" si="337"/>
        <v>358.90923416770966</v>
      </c>
      <c r="ET92" s="20">
        <f t="shared" si="337"/>
        <v>341.37291189116888</v>
      </c>
      <c r="EU92" s="1954">
        <f>SUM(EQ92:ET92)</f>
        <v>1398.6773779692098</v>
      </c>
      <c r="EV92" s="20"/>
      <c r="EW92" s="20"/>
      <c r="EX92" s="20"/>
      <c r="EY92" s="20"/>
      <c r="EZ92" s="747">
        <f>EU92/EU80*EZ80</f>
        <v>1430.5696410017895</v>
      </c>
      <c r="FA92" s="20"/>
      <c r="FB92" s="20"/>
      <c r="FC92" s="20"/>
      <c r="FD92" s="20"/>
      <c r="FE92" s="747">
        <f>EZ92/EZ80*FE80</f>
        <v>1475.5862828228305</v>
      </c>
      <c r="FF92" s="767"/>
      <c r="FG92" s="650"/>
      <c r="FH92" s="1027"/>
      <c r="FI92" s="1027"/>
      <c r="FJ92" s="1027"/>
      <c r="FK92" s="1027"/>
      <c r="FL92" s="1809"/>
      <c r="FM92" s="20">
        <f t="shared" si="338"/>
        <v>338</v>
      </c>
      <c r="FN92" s="20">
        <f t="shared" si="339"/>
        <v>340</v>
      </c>
      <c r="FO92" s="2048">
        <v>351.58792922641754</v>
      </c>
      <c r="FP92" s="16">
        <f t="shared" si="340"/>
        <v>-5.8823529411764497E-3</v>
      </c>
      <c r="FQ92" s="16">
        <f t="shared" si="340"/>
        <v>-3.8647314361202389E-2</v>
      </c>
      <c r="FR92" s="537"/>
      <c r="FS92" s="537"/>
      <c r="FT92" s="537"/>
      <c r="FU92" s="537"/>
      <c r="FV92" s="537"/>
      <c r="FW92" s="537"/>
      <c r="FX92" s="537"/>
      <c r="FY92" s="537"/>
      <c r="FZ92" s="537"/>
      <c r="GA92" s="650"/>
      <c r="GB92"/>
      <c r="GC92"/>
      <c r="GD92"/>
      <c r="GE92"/>
      <c r="GF92"/>
      <c r="GG92"/>
      <c r="GH92" s="963"/>
      <c r="GI92" s="963"/>
      <c r="GJ92" s="963"/>
      <c r="GK92" s="963"/>
      <c r="GL92" s="963"/>
      <c r="GM92" s="963"/>
      <c r="GN92" s="963"/>
      <c r="GO92" s="963"/>
      <c r="GP92" s="963"/>
      <c r="GQ92" s="963"/>
      <c r="GR92" s="963"/>
      <c r="GS92" s="963"/>
      <c r="GT92" s="963"/>
      <c r="GU92" s="963"/>
      <c r="GV92" s="963"/>
      <c r="GW92" s="963"/>
      <c r="GX92" s="963"/>
      <c r="GY92" s="963"/>
      <c r="GZ92" s="963"/>
      <c r="HA92" s="963"/>
      <c r="HB92" s="963"/>
      <c r="HC92" s="963"/>
      <c r="HD92" s="963"/>
      <c r="HE92" s="963"/>
      <c r="HF92" s="963"/>
      <c r="HG92" s="963"/>
      <c r="HH92" s="963"/>
      <c r="HI92" s="963"/>
      <c r="HJ92" s="963"/>
      <c r="HK92" s="963"/>
      <c r="HL92" s="963"/>
      <c r="HM92" s="963"/>
      <c r="HN92" s="963"/>
      <c r="HO92" s="963"/>
      <c r="HP92" s="963"/>
      <c r="HQ92" s="963"/>
      <c r="HR92" s="963"/>
      <c r="HS92" s="963"/>
      <c r="HT92" s="963"/>
      <c r="HU92" s="963"/>
      <c r="HV92" s="963"/>
      <c r="HW92" s="963"/>
      <c r="HX92" s="963"/>
      <c r="HY92" s="963"/>
      <c r="HZ92" s="963"/>
      <c r="IA92" s="963"/>
      <c r="IB92" s="963"/>
      <c r="IC92" s="963"/>
      <c r="ID92" s="963"/>
      <c r="IE92" s="963"/>
      <c r="IF92" s="963"/>
      <c r="IG92" s="963"/>
      <c r="IH92" s="963"/>
      <c r="II92" s="963"/>
      <c r="IJ92" s="963"/>
      <c r="IK92" s="963"/>
      <c r="IL92" s="963"/>
      <c r="IM92" s="963"/>
      <c r="IN92" s="963"/>
      <c r="IO92" s="963"/>
      <c r="IP92" s="963"/>
      <c r="IQ92" s="963"/>
      <c r="IR92" s="963"/>
      <c r="IS92" s="963"/>
      <c r="IT92" s="963"/>
      <c r="IU92" s="963"/>
      <c r="IV92" s="963"/>
    </row>
    <row r="93" spans="1:256" s="66" customFormat="1" ht="12.75" x14ac:dyDescent="0.2">
      <c r="A93" s="47" t="s">
        <v>624</v>
      </c>
      <c r="B93" s="20"/>
      <c r="C93" s="20"/>
      <c r="D93" s="20"/>
      <c r="E93" s="205"/>
      <c r="F93" s="48"/>
      <c r="G93" s="20">
        <v>123</v>
      </c>
      <c r="H93" s="20">
        <v>124</v>
      </c>
      <c r="I93" s="20">
        <v>119.5</v>
      </c>
      <c r="J93" s="205">
        <v>120</v>
      </c>
      <c r="K93" s="48">
        <f>G93+H93+I93+J93</f>
        <v>486.5</v>
      </c>
      <c r="L93" s="20">
        <v>115.6</v>
      </c>
      <c r="M93" s="20">
        <v>115.7</v>
      </c>
      <c r="N93" s="20">
        <v>123.1</v>
      </c>
      <c r="O93" s="205">
        <v>121.8</v>
      </c>
      <c r="P93" s="48">
        <f>L93+M93+N93+O93</f>
        <v>476.2</v>
      </c>
      <c r="Q93" s="20">
        <v>123.3</v>
      </c>
      <c r="R93" s="20">
        <v>125.8</v>
      </c>
      <c r="S93" s="20">
        <v>127.9</v>
      </c>
      <c r="T93" s="205">
        <v>122.5</v>
      </c>
      <c r="U93" s="48">
        <f>Q93+R93+S93+T93</f>
        <v>499.5</v>
      </c>
      <c r="V93" s="20">
        <v>126.3</v>
      </c>
      <c r="W93" s="20">
        <v>126.3</v>
      </c>
      <c r="X93" s="20">
        <v>125.8</v>
      </c>
      <c r="Y93" s="205">
        <v>124.3</v>
      </c>
      <c r="Z93" s="48">
        <f>V93+W93+X93+Y93</f>
        <v>502.7</v>
      </c>
      <c r="AA93" s="20">
        <v>126.4</v>
      </c>
      <c r="AB93" s="20">
        <v>133.5</v>
      </c>
      <c r="AC93" s="20">
        <v>131</v>
      </c>
      <c r="AD93" s="205">
        <v>130.9</v>
      </c>
      <c r="AE93" s="48">
        <f>AA93+AB93+AC93+AD93</f>
        <v>521.79999999999995</v>
      </c>
      <c r="AF93" s="20">
        <v>133.5</v>
      </c>
      <c r="AG93" s="20">
        <v>138.30000000000001</v>
      </c>
      <c r="AH93" s="20">
        <v>137.30000000000001</v>
      </c>
      <c r="AI93" s="205">
        <v>128.19999999999999</v>
      </c>
      <c r="AJ93" s="48">
        <f>AF93+AG93+AH93+AI93</f>
        <v>537.29999999999995</v>
      </c>
      <c r="AK93" s="20">
        <v>129.69999999999999</v>
      </c>
      <c r="AL93" s="20">
        <v>128.69999999999999</v>
      </c>
      <c r="AM93" s="20">
        <v>130.1</v>
      </c>
      <c r="AN93" s="205">
        <v>124.5</v>
      </c>
      <c r="AO93" s="48">
        <f>AK93+AL93+AM93+AN93</f>
        <v>513</v>
      </c>
      <c r="AP93" s="20">
        <v>134.80000000000001</v>
      </c>
      <c r="AQ93" s="20">
        <v>134.19999999999999</v>
      </c>
      <c r="AR93" s="20">
        <v>138</v>
      </c>
      <c r="AS93" s="205">
        <v>132</v>
      </c>
      <c r="AT93" s="48">
        <f>AP93+AQ93+AR93+AS93</f>
        <v>539</v>
      </c>
      <c r="AU93" s="20">
        <v>136.80000000000001</v>
      </c>
      <c r="AV93" s="20">
        <v>139.9</v>
      </c>
      <c r="AW93" s="20">
        <v>133</v>
      </c>
      <c r="AX93" s="205">
        <v>125</v>
      </c>
      <c r="AY93" s="48">
        <f>AU93+AV93+AW93+AX93</f>
        <v>534.70000000000005</v>
      </c>
      <c r="AZ93" s="20">
        <v>128.30000000000001</v>
      </c>
      <c r="BA93" s="20">
        <v>138.6</v>
      </c>
      <c r="BB93" s="20">
        <v>158.99</v>
      </c>
      <c r="BC93" s="205">
        <v>148.6</v>
      </c>
      <c r="BD93" s="48">
        <f>AZ93+BA93+BB93+BC93</f>
        <v>574.49</v>
      </c>
      <c r="BE93" s="20">
        <v>155</v>
      </c>
      <c r="BF93" s="20">
        <v>162</v>
      </c>
      <c r="BG93" s="20">
        <v>160</v>
      </c>
      <c r="BH93" s="205">
        <v>153</v>
      </c>
      <c r="BI93" s="48">
        <f>BE93+BF93+BG93+BH93</f>
        <v>630</v>
      </c>
      <c r="BJ93" s="20">
        <v>154</v>
      </c>
      <c r="BK93" s="20">
        <v>162</v>
      </c>
      <c r="BL93" s="20">
        <v>150</v>
      </c>
      <c r="BM93" s="205">
        <v>146</v>
      </c>
      <c r="BN93" s="48">
        <f>BJ93+BK93+BL93+BM93</f>
        <v>612</v>
      </c>
      <c r="BO93" s="20">
        <v>141</v>
      </c>
      <c r="BP93" s="20">
        <v>154</v>
      </c>
      <c r="BQ93" s="20">
        <v>155</v>
      </c>
      <c r="BR93" s="205">
        <v>153</v>
      </c>
      <c r="BS93" s="48">
        <f>BO93+BP93+BQ93+BR93</f>
        <v>603</v>
      </c>
      <c r="BT93" s="20">
        <v>150</v>
      </c>
      <c r="BU93" s="20">
        <v>162</v>
      </c>
      <c r="BV93" s="20">
        <v>163</v>
      </c>
      <c r="BW93" s="205">
        <v>159</v>
      </c>
      <c r="BX93" s="48">
        <f>BT93+BU93+BV93+BW93</f>
        <v>634</v>
      </c>
      <c r="BY93" s="20">
        <v>158</v>
      </c>
      <c r="BZ93" s="20">
        <v>170</v>
      </c>
      <c r="CA93" s="20">
        <v>179</v>
      </c>
      <c r="CB93" s="205">
        <v>184</v>
      </c>
      <c r="CC93" s="48">
        <f>BY93+BZ93+CA93+CB93</f>
        <v>691</v>
      </c>
      <c r="CD93" s="20">
        <v>189</v>
      </c>
      <c r="CE93" s="20">
        <v>198</v>
      </c>
      <c r="CF93" s="20">
        <v>205</v>
      </c>
      <c r="CG93" s="205">
        <v>209</v>
      </c>
      <c r="CH93" s="48">
        <f>CD93+CE93+CF93+CG93</f>
        <v>801</v>
      </c>
      <c r="CI93" s="20">
        <v>214</v>
      </c>
      <c r="CJ93" s="20">
        <v>224</v>
      </c>
      <c r="CK93" s="20">
        <v>231</v>
      </c>
      <c r="CL93" s="205">
        <v>222</v>
      </c>
      <c r="CM93" s="48">
        <f>CI93+CJ93+CK93+CL93</f>
        <v>891</v>
      </c>
      <c r="CN93" s="20">
        <v>211</v>
      </c>
      <c r="CO93" s="20">
        <v>216</v>
      </c>
      <c r="CP93" s="20">
        <v>222</v>
      </c>
      <c r="CQ93" s="205">
        <v>211</v>
      </c>
      <c r="CR93" s="48">
        <f>CN93+CO93+CP93+CQ93</f>
        <v>860</v>
      </c>
      <c r="CS93" s="20">
        <v>215</v>
      </c>
      <c r="CT93" s="20">
        <v>231</v>
      </c>
      <c r="CU93" s="20">
        <v>241</v>
      </c>
      <c r="CV93" s="205">
        <v>211</v>
      </c>
      <c r="CW93" s="48">
        <f>CS93+CT93+CU93+CV93</f>
        <v>898</v>
      </c>
      <c r="CX93" s="20">
        <v>166</v>
      </c>
      <c r="CY93" s="20">
        <v>165</v>
      </c>
      <c r="CZ93" s="20">
        <v>169</v>
      </c>
      <c r="DA93" s="20">
        <v>166</v>
      </c>
      <c r="DB93" s="48">
        <f>CX93+CY93+CZ93+DA93</f>
        <v>666</v>
      </c>
      <c r="DC93" s="20">
        <v>169</v>
      </c>
      <c r="DD93" s="20">
        <v>182</v>
      </c>
      <c r="DE93" s="20">
        <v>185</v>
      </c>
      <c r="DF93" s="20">
        <v>176</v>
      </c>
      <c r="DG93" s="48">
        <f>SUM(DC93:DF93)</f>
        <v>712</v>
      </c>
      <c r="DH93" s="20">
        <v>184</v>
      </c>
      <c r="DI93" s="20">
        <v>191</v>
      </c>
      <c r="DJ93" s="20">
        <v>198</v>
      </c>
      <c r="DK93" s="20">
        <v>183</v>
      </c>
      <c r="DL93" s="48">
        <f>SUM(DH93:DK93)</f>
        <v>756</v>
      </c>
      <c r="DM93" s="20">
        <v>196</v>
      </c>
      <c r="DN93" s="20">
        <v>199</v>
      </c>
      <c r="DO93" s="20">
        <v>194</v>
      </c>
      <c r="DP93" s="20">
        <v>186</v>
      </c>
      <c r="DQ93" s="48">
        <f>SUM(DM93:DP93)</f>
        <v>775</v>
      </c>
      <c r="DR93" s="20">
        <v>195</v>
      </c>
      <c r="DS93" s="20">
        <v>196</v>
      </c>
      <c r="DT93" s="20">
        <v>204</v>
      </c>
      <c r="DU93" s="20">
        <v>200</v>
      </c>
      <c r="DV93" s="48">
        <f>SUM(DR93:DU93)</f>
        <v>795</v>
      </c>
      <c r="DW93" s="20">
        <v>190</v>
      </c>
      <c r="DX93" s="20">
        <v>199</v>
      </c>
      <c r="DY93" s="20">
        <v>210</v>
      </c>
      <c r="DZ93" s="20">
        <v>195</v>
      </c>
      <c r="EA93" s="48">
        <f>SUM(DW93:DZ93)</f>
        <v>794</v>
      </c>
      <c r="EB93" s="20">
        <v>185</v>
      </c>
      <c r="EC93" s="20">
        <v>196</v>
      </c>
      <c r="ED93" s="20">
        <v>203</v>
      </c>
      <c r="EE93" s="20">
        <v>187</v>
      </c>
      <c r="EF93" s="48">
        <f>SUM(EB93:EE93)</f>
        <v>771</v>
      </c>
      <c r="EG93" s="20">
        <v>190</v>
      </c>
      <c r="EH93" s="20">
        <v>186</v>
      </c>
      <c r="EI93" s="20">
        <v>191</v>
      </c>
      <c r="EJ93" s="20">
        <v>177</v>
      </c>
      <c r="EK93" s="48">
        <f>SUM(EG93:EJ93)</f>
        <v>744</v>
      </c>
      <c r="EL93" s="20">
        <v>187</v>
      </c>
      <c r="EM93" s="20">
        <v>187</v>
      </c>
      <c r="EN93" s="20">
        <v>198</v>
      </c>
      <c r="EO93" s="20">
        <v>189</v>
      </c>
      <c r="EP93" s="48">
        <f>SUM(EL93:EO93)</f>
        <v>761</v>
      </c>
      <c r="EQ93" s="20">
        <v>188</v>
      </c>
      <c r="ER93" s="20">
        <f t="shared" si="336"/>
        <v>200.45651952408957</v>
      </c>
      <c r="ES93" s="20">
        <f t="shared" si="337"/>
        <v>199.62998823529412</v>
      </c>
      <c r="ET93" s="20">
        <f t="shared" si="337"/>
        <v>189.8760575015969</v>
      </c>
      <c r="EU93" s="1954">
        <f>SUM(EQ93:ET93)</f>
        <v>777.96256526098068</v>
      </c>
      <c r="EV93" s="20"/>
      <c r="EW93" s="20"/>
      <c r="EX93" s="20"/>
      <c r="EY93" s="20"/>
      <c r="EZ93" s="747">
        <f>EU93/EU80*EZ80</f>
        <v>795.70145712525562</v>
      </c>
      <c r="FA93" s="20"/>
      <c r="FB93" s="20"/>
      <c r="FC93" s="20"/>
      <c r="FD93" s="20"/>
      <c r="FE93" s="747">
        <f>EZ93/EZ80*FE80</f>
        <v>820.74029932157441</v>
      </c>
      <c r="FF93" s="767"/>
      <c r="FG93" s="650"/>
      <c r="FH93" s="1027"/>
      <c r="FI93" s="1027"/>
      <c r="FJ93" s="1027"/>
      <c r="FK93" s="1027"/>
      <c r="FL93" s="1809"/>
      <c r="FM93" s="20">
        <f t="shared" si="338"/>
        <v>188</v>
      </c>
      <c r="FN93" s="20">
        <f t="shared" si="339"/>
        <v>187</v>
      </c>
      <c r="FO93" s="2048">
        <v>197.18136090146268</v>
      </c>
      <c r="FP93" s="16">
        <f t="shared" si="340"/>
        <v>5.3475935828877219E-3</v>
      </c>
      <c r="FQ93" s="16">
        <f t="shared" si="340"/>
        <v>-4.6563026340257774E-2</v>
      </c>
      <c r="FR93" s="537"/>
      <c r="FS93" s="537"/>
      <c r="FT93" s="537"/>
      <c r="FU93" s="537"/>
      <c r="FV93" s="537"/>
      <c r="FW93" s="537"/>
      <c r="FX93" s="537"/>
      <c r="FY93" s="537"/>
      <c r="FZ93" s="537"/>
      <c r="GA93" s="650"/>
      <c r="GB93"/>
      <c r="GC93"/>
      <c r="GD93"/>
      <c r="GE93"/>
      <c r="GF93"/>
      <c r="GG93"/>
      <c r="GH93" s="963"/>
      <c r="GI93" s="963"/>
      <c r="GJ93" s="963"/>
      <c r="GK93" s="963"/>
      <c r="GL93" s="963"/>
      <c r="GM93" s="963"/>
      <c r="GN93" s="963"/>
      <c r="GO93" s="963"/>
      <c r="GP93" s="963"/>
      <c r="GQ93" s="963"/>
      <c r="GR93" s="963"/>
      <c r="GS93" s="963"/>
      <c r="GT93" s="963"/>
      <c r="GU93" s="963"/>
      <c r="GV93" s="963"/>
      <c r="GW93" s="963"/>
      <c r="GX93" s="963"/>
      <c r="GY93" s="963"/>
      <c r="GZ93" s="963"/>
      <c r="HA93" s="963"/>
      <c r="HB93" s="963"/>
      <c r="HC93" s="963"/>
      <c r="HD93" s="963"/>
      <c r="HE93" s="963"/>
      <c r="HF93" s="963"/>
      <c r="HG93" s="963"/>
      <c r="HH93" s="963"/>
      <c r="HI93" s="963"/>
      <c r="HJ93" s="963"/>
      <c r="HK93" s="963"/>
      <c r="HL93" s="963"/>
      <c r="HM93" s="963"/>
      <c r="HN93" s="963"/>
      <c r="HO93" s="963"/>
      <c r="HP93" s="963"/>
      <c r="HQ93" s="963"/>
      <c r="HR93" s="963"/>
      <c r="HS93" s="963"/>
      <c r="HT93" s="963"/>
      <c r="HU93" s="963"/>
      <c r="HV93" s="963"/>
      <c r="HW93" s="963"/>
      <c r="HX93" s="963"/>
      <c r="HY93" s="963"/>
      <c r="HZ93" s="963"/>
      <c r="IA93" s="963"/>
      <c r="IB93" s="963"/>
      <c r="IC93" s="963"/>
      <c r="ID93" s="963"/>
      <c r="IE93" s="963"/>
      <c r="IF93" s="963"/>
      <c r="IG93" s="963"/>
      <c r="IH93" s="963"/>
      <c r="II93" s="963"/>
      <c r="IJ93" s="963"/>
      <c r="IK93" s="963"/>
      <c r="IL93" s="963"/>
      <c r="IM93" s="963"/>
      <c r="IN93" s="963"/>
      <c r="IO93" s="963"/>
      <c r="IP93" s="963"/>
      <c r="IQ93" s="963"/>
      <c r="IR93" s="963"/>
      <c r="IS93" s="963"/>
      <c r="IT93" s="963"/>
      <c r="IU93" s="963"/>
      <c r="IV93" s="963"/>
    </row>
    <row r="94" spans="1:256" s="125" customFormat="1" ht="12.75" x14ac:dyDescent="0.2">
      <c r="A94" s="121" t="s">
        <v>497</v>
      </c>
      <c r="B94" s="122"/>
      <c r="C94" s="122"/>
      <c r="D94" s="122"/>
      <c r="E94" s="533"/>
      <c r="F94" s="534"/>
      <c r="G94" s="122">
        <v>85.5</v>
      </c>
      <c r="H94" s="122">
        <v>83.7</v>
      </c>
      <c r="I94" s="122">
        <v>90.6</v>
      </c>
      <c r="J94" s="533">
        <v>91.1</v>
      </c>
      <c r="K94" s="534">
        <f>G94+H94+I94+J94</f>
        <v>350.9</v>
      </c>
      <c r="L94" s="122">
        <f>95.3</f>
        <v>95.3</v>
      </c>
      <c r="M94" s="122">
        <v>92.1</v>
      </c>
      <c r="N94" s="122">
        <v>96.4</v>
      </c>
      <c r="O94" s="533">
        <v>96.6</v>
      </c>
      <c r="P94" s="534">
        <f>L94+M94+N94+O94</f>
        <v>380.4</v>
      </c>
      <c r="Q94" s="122">
        <v>96.8</v>
      </c>
      <c r="R94" s="122">
        <v>99</v>
      </c>
      <c r="S94" s="122">
        <v>103.1</v>
      </c>
      <c r="T94" s="533">
        <v>110</v>
      </c>
      <c r="U94" s="534">
        <f>Q94+R94+S94+T94</f>
        <v>408.9</v>
      </c>
      <c r="V94" s="122">
        <v>106.3</v>
      </c>
      <c r="W94" s="122">
        <v>92.1</v>
      </c>
      <c r="X94" s="122">
        <v>93.6</v>
      </c>
      <c r="Y94" s="533">
        <v>98.2</v>
      </c>
      <c r="Z94" s="534">
        <f>V94+W94+X94+Y94</f>
        <v>390.2</v>
      </c>
      <c r="AA94" s="122">
        <v>96.9</v>
      </c>
      <c r="AB94" s="122">
        <v>106.5</v>
      </c>
      <c r="AC94" s="122">
        <v>107.5</v>
      </c>
      <c r="AD94" s="533">
        <v>117.8</v>
      </c>
      <c r="AE94" s="534">
        <f>AA94+AB94+AC94+AD94</f>
        <v>428.7</v>
      </c>
      <c r="AF94" s="122">
        <v>114.7</v>
      </c>
      <c r="AG94" s="122">
        <v>119.7</v>
      </c>
      <c r="AH94" s="122">
        <v>116.6</v>
      </c>
      <c r="AI94" s="533">
        <v>123.3</v>
      </c>
      <c r="AJ94" s="534">
        <f>AF94+AG94+AH94+AI94</f>
        <v>474.3</v>
      </c>
      <c r="AK94" s="122">
        <v>118.8</v>
      </c>
      <c r="AL94" s="122">
        <v>116.4</v>
      </c>
      <c r="AM94" s="122">
        <v>122.3</v>
      </c>
      <c r="AN94" s="533">
        <v>129.9</v>
      </c>
      <c r="AO94" s="534">
        <f>AK94+AL94+AM94+AN94</f>
        <v>487.4</v>
      </c>
      <c r="AP94" s="122">
        <v>125.7</v>
      </c>
      <c r="AQ94" s="122">
        <v>135</v>
      </c>
      <c r="AR94" s="122">
        <v>141.80000000000001</v>
      </c>
      <c r="AS94" s="533">
        <v>144</v>
      </c>
      <c r="AT94" s="534">
        <f>AP94+AQ94+AR94+AS94</f>
        <v>546.5</v>
      </c>
      <c r="AU94" s="122">
        <v>138.19999999999999</v>
      </c>
      <c r="AV94" s="122">
        <v>140.9</v>
      </c>
      <c r="AW94" s="122">
        <v>130.4</v>
      </c>
      <c r="AX94" s="533">
        <v>130</v>
      </c>
      <c r="AY94" s="534">
        <f>AU94+AV94+AW94+AX94</f>
        <v>539.5</v>
      </c>
      <c r="AZ94" s="122">
        <v>125</v>
      </c>
      <c r="BA94" s="122">
        <v>173</v>
      </c>
      <c r="BB94" s="122">
        <v>267.3</v>
      </c>
      <c r="BC94" s="533">
        <v>264.8</v>
      </c>
      <c r="BD94" s="534">
        <f>AZ94+BA94+BB94+BC94</f>
        <v>830.09999999999991</v>
      </c>
      <c r="BE94" s="122">
        <v>246</v>
      </c>
      <c r="BF94" s="122">
        <v>273</v>
      </c>
      <c r="BG94" s="122">
        <v>294</v>
      </c>
      <c r="BH94" s="533">
        <v>306</v>
      </c>
      <c r="BI94" s="534">
        <f>BE94+BF94+BG94+BH94</f>
        <v>1119</v>
      </c>
      <c r="BJ94" s="122">
        <v>276</v>
      </c>
      <c r="BK94" s="122">
        <v>275</v>
      </c>
      <c r="BL94" s="122">
        <v>280</v>
      </c>
      <c r="BM94" s="533">
        <v>292</v>
      </c>
      <c r="BN94" s="534">
        <f>BJ94+BK94+BL94+BM94</f>
        <v>1123</v>
      </c>
      <c r="BO94" s="122">
        <v>270</v>
      </c>
      <c r="BP94" s="122">
        <v>295</v>
      </c>
      <c r="BQ94" s="122">
        <v>310</v>
      </c>
      <c r="BR94" s="533">
        <v>306</v>
      </c>
      <c r="BS94" s="534">
        <f>BO94+BP94+BQ94+BR94</f>
        <v>1181</v>
      </c>
      <c r="BT94" s="122">
        <v>289</v>
      </c>
      <c r="BU94" s="122">
        <v>300</v>
      </c>
      <c r="BV94" s="122">
        <v>315</v>
      </c>
      <c r="BW94" s="533">
        <v>335</v>
      </c>
      <c r="BX94" s="534">
        <f>BT94+BU94+BV94+BW94</f>
        <v>1239</v>
      </c>
      <c r="BY94" s="122">
        <v>328</v>
      </c>
      <c r="BZ94" s="122">
        <v>364</v>
      </c>
      <c r="CA94" s="122">
        <v>404</v>
      </c>
      <c r="CB94" s="533">
        <v>441</v>
      </c>
      <c r="CC94" s="534">
        <f>BY94+BZ94+CA94+CB94</f>
        <v>1537</v>
      </c>
      <c r="CD94" s="122">
        <v>408</v>
      </c>
      <c r="CE94" s="122">
        <v>428</v>
      </c>
      <c r="CF94" s="122">
        <v>471</v>
      </c>
      <c r="CG94" s="533">
        <v>519</v>
      </c>
      <c r="CH94" s="534">
        <f>CD94+CE94+CF94+CG94</f>
        <v>1826</v>
      </c>
      <c r="CI94" s="122">
        <v>466</v>
      </c>
      <c r="CJ94" s="122">
        <v>497</v>
      </c>
      <c r="CK94" s="122">
        <v>515</v>
      </c>
      <c r="CL94" s="533">
        <v>493</v>
      </c>
      <c r="CM94" s="534">
        <f>CI94+CJ94+CK94+CL94</f>
        <v>1971</v>
      </c>
      <c r="CN94" s="122">
        <v>462</v>
      </c>
      <c r="CO94" s="122">
        <v>479</v>
      </c>
      <c r="CP94" s="122">
        <v>484</v>
      </c>
      <c r="CQ94" s="533">
        <v>496</v>
      </c>
      <c r="CR94" s="534">
        <f>CN94+CO94+CP94+CQ94</f>
        <v>1921</v>
      </c>
      <c r="CS94" s="122">
        <v>486</v>
      </c>
      <c r="CT94" s="122">
        <v>532</v>
      </c>
      <c r="CU94" s="122">
        <v>560</v>
      </c>
      <c r="CV94" s="533">
        <v>480</v>
      </c>
      <c r="CW94" s="534">
        <f>CS94+CT94+CU94+CV94</f>
        <v>2058</v>
      </c>
      <c r="CX94" s="122">
        <v>366</v>
      </c>
      <c r="CY94" s="122">
        <v>368</v>
      </c>
      <c r="CZ94" s="122">
        <v>389</v>
      </c>
      <c r="DA94" s="122">
        <v>407</v>
      </c>
      <c r="DB94" s="534">
        <f>CX94+CY94+CZ94+DA94</f>
        <v>1530</v>
      </c>
      <c r="DC94" s="122">
        <v>410</v>
      </c>
      <c r="DD94" s="122">
        <v>451</v>
      </c>
      <c r="DE94" s="122">
        <v>464</v>
      </c>
      <c r="DF94" s="122">
        <v>471</v>
      </c>
      <c r="DG94" s="535">
        <f>SUM(DC94:DF94)</f>
        <v>1796</v>
      </c>
      <c r="DH94" s="122">
        <v>485</v>
      </c>
      <c r="DI94" s="122">
        <v>540</v>
      </c>
      <c r="DJ94" s="122">
        <v>551</v>
      </c>
      <c r="DK94" s="122">
        <v>554</v>
      </c>
      <c r="DL94" s="535">
        <f>SUM(DH94:DK94)</f>
        <v>2130</v>
      </c>
      <c r="DM94" s="122">
        <v>527</v>
      </c>
      <c r="DN94" s="122">
        <v>563</v>
      </c>
      <c r="DO94" s="122">
        <v>567</v>
      </c>
      <c r="DP94" s="122">
        <v>584</v>
      </c>
      <c r="DQ94" s="535">
        <f>SUM(DM94:DP94)</f>
        <v>2241</v>
      </c>
      <c r="DR94" s="122">
        <v>573</v>
      </c>
      <c r="DS94" s="122">
        <v>588</v>
      </c>
      <c r="DT94" s="536">
        <v>605</v>
      </c>
      <c r="DU94" s="122">
        <v>618</v>
      </c>
      <c r="DV94" s="535">
        <f>SUM(DR94:DU94)</f>
        <v>2384</v>
      </c>
      <c r="DW94" s="122">
        <v>596</v>
      </c>
      <c r="DX94" s="122">
        <v>650</v>
      </c>
      <c r="DY94" s="536">
        <v>667</v>
      </c>
      <c r="DZ94" s="122">
        <v>649</v>
      </c>
      <c r="EA94" s="535">
        <f>SUM(DW94:DZ94)</f>
        <v>2562</v>
      </c>
      <c r="EB94" s="122">
        <v>592</v>
      </c>
      <c r="EC94" s="122">
        <v>633</v>
      </c>
      <c r="ED94" s="536">
        <v>621</v>
      </c>
      <c r="EE94" s="122">
        <v>563</v>
      </c>
      <c r="EF94" s="535">
        <f>SUM(EB94:EE94)</f>
        <v>2409</v>
      </c>
      <c r="EG94" s="122">
        <v>522</v>
      </c>
      <c r="EH94" s="122">
        <v>538</v>
      </c>
      <c r="EI94" s="536">
        <v>575</v>
      </c>
      <c r="EJ94" s="122">
        <v>583</v>
      </c>
      <c r="EK94" s="535">
        <f>SUM(EG94:EJ94)</f>
        <v>2218</v>
      </c>
      <c r="EL94" s="122">
        <v>571</v>
      </c>
      <c r="EM94" s="122">
        <v>593</v>
      </c>
      <c r="EN94" s="536">
        <v>621</v>
      </c>
      <c r="EO94" s="122">
        <v>667</v>
      </c>
      <c r="EP94" s="535">
        <f>SUM(EL94:EO94)</f>
        <v>2452</v>
      </c>
      <c r="EQ94" s="122">
        <v>678</v>
      </c>
      <c r="ER94" s="536">
        <f>ER103-ER80-ER58-ER49</f>
        <v>703.25472033483356</v>
      </c>
      <c r="ES94" s="536">
        <f>ES103-ES80-ES58-ES49</f>
        <v>736.65814087850072</v>
      </c>
      <c r="ET94" s="536">
        <f>ET103-ET80-ET58-ET49</f>
        <v>750.78551937677014</v>
      </c>
      <c r="EU94" s="1955">
        <f>SUM(EQ94:ET94)</f>
        <v>2868.6983805901045</v>
      </c>
      <c r="EV94" s="536"/>
      <c r="EW94" s="536"/>
      <c r="EX94" s="536"/>
      <c r="EY94" s="536"/>
      <c r="EZ94" s="843">
        <f>EZ103-EZ80-EZ58-EZ49</f>
        <v>3180.0107769813376</v>
      </c>
      <c r="FA94" s="536"/>
      <c r="FB94" s="536"/>
      <c r="FC94" s="536"/>
      <c r="FD94" s="536"/>
      <c r="FE94" s="843">
        <f>FE103-FE80-FE58-FE49</f>
        <v>3457.6551806902744</v>
      </c>
      <c r="FF94" s="756"/>
      <c r="FG94" s="621"/>
      <c r="FH94" s="1027"/>
      <c r="FI94" s="1027"/>
      <c r="FJ94" s="1027"/>
      <c r="FK94" s="1027"/>
      <c r="FL94" s="1809"/>
      <c r="FM94" s="122">
        <f t="shared" si="338"/>
        <v>678</v>
      </c>
      <c r="FN94" s="122">
        <f t="shared" si="339"/>
        <v>571</v>
      </c>
      <c r="FO94" s="536">
        <v>649.97627908975323</v>
      </c>
      <c r="FP94" s="571">
        <f t="shared" si="340"/>
        <v>0.18739054290718049</v>
      </c>
      <c r="FQ94" s="571">
        <f t="shared" si="340"/>
        <v>4.3114990210861404E-2</v>
      </c>
      <c r="FR94" s="1583"/>
      <c r="FS94" s="537"/>
      <c r="FT94" s="537"/>
      <c r="FU94" s="122"/>
      <c r="FV94" s="122"/>
      <c r="FW94" s="122"/>
      <c r="FX94" s="122"/>
      <c r="FY94" s="122"/>
      <c r="FZ94" s="122"/>
      <c r="GA94" s="621"/>
      <c r="GB94"/>
      <c r="GC94"/>
      <c r="GD94"/>
      <c r="GE94"/>
      <c r="GF94"/>
      <c r="GG94"/>
      <c r="GH94" s="956"/>
      <c r="GI94" s="956"/>
      <c r="GJ94" s="956"/>
      <c r="GK94" s="956"/>
      <c r="GL94" s="956"/>
      <c r="GM94" s="956"/>
      <c r="GN94" s="956"/>
      <c r="GO94" s="956"/>
      <c r="GP94" s="956"/>
      <c r="GQ94" s="956"/>
      <c r="GR94" s="956"/>
      <c r="GS94" s="956"/>
      <c r="GT94" s="956"/>
      <c r="GU94" s="956"/>
      <c r="GV94" s="956"/>
      <c r="GW94" s="956"/>
      <c r="GX94" s="956"/>
      <c r="GY94" s="956"/>
      <c r="GZ94" s="956"/>
      <c r="HA94" s="956"/>
      <c r="HB94" s="956"/>
      <c r="HC94" s="956"/>
      <c r="HD94" s="956"/>
      <c r="HE94" s="956"/>
      <c r="HF94" s="956"/>
      <c r="HG94" s="956"/>
      <c r="HH94" s="956"/>
      <c r="HI94" s="956"/>
      <c r="HJ94" s="956"/>
      <c r="HK94" s="956"/>
      <c r="HL94" s="956"/>
      <c r="HM94" s="956"/>
      <c r="HN94" s="956"/>
      <c r="HO94" s="956"/>
      <c r="HP94" s="956"/>
      <c r="HQ94" s="956"/>
      <c r="HR94" s="956"/>
      <c r="HS94" s="956"/>
      <c r="HT94" s="956"/>
      <c r="HU94" s="956"/>
      <c r="HV94" s="956"/>
      <c r="HW94" s="956"/>
      <c r="HX94" s="956"/>
      <c r="HY94" s="956"/>
      <c r="HZ94" s="956"/>
      <c r="IA94" s="956"/>
      <c r="IB94" s="956"/>
      <c r="IC94" s="956"/>
      <c r="ID94" s="956"/>
      <c r="IE94" s="956"/>
      <c r="IF94" s="956"/>
      <c r="IG94" s="956"/>
      <c r="IH94" s="956"/>
      <c r="II94" s="956"/>
      <c r="IJ94" s="956"/>
      <c r="IK94" s="956"/>
      <c r="IL94" s="956"/>
      <c r="IM94" s="956"/>
      <c r="IN94" s="956"/>
      <c r="IO94" s="956"/>
      <c r="IP94" s="956"/>
      <c r="IQ94" s="956"/>
      <c r="IR94" s="956"/>
      <c r="IS94" s="956"/>
      <c r="IT94" s="956"/>
      <c r="IU94" s="956"/>
      <c r="IV94" s="956"/>
    </row>
    <row r="95" spans="1:256" s="244" customFormat="1" ht="12.75" x14ac:dyDescent="0.2">
      <c r="A95" s="242" t="s">
        <v>74</v>
      </c>
      <c r="B95" s="22"/>
      <c r="C95" s="22"/>
      <c r="D95" s="22"/>
      <c r="E95" s="197"/>
      <c r="F95" s="21"/>
      <c r="G95" s="22"/>
      <c r="H95" s="22"/>
      <c r="I95" s="22"/>
      <c r="J95" s="197"/>
      <c r="K95" s="21"/>
      <c r="L95" s="22">
        <f t="shared" ref="L95:BW95" si="341">L94/G94-1</f>
        <v>0.11461988304093573</v>
      </c>
      <c r="M95" s="22">
        <f t="shared" si="341"/>
        <v>0.10035842293906794</v>
      </c>
      <c r="N95" s="22">
        <f t="shared" si="341"/>
        <v>6.4017660044150215E-2</v>
      </c>
      <c r="O95" s="197">
        <f t="shared" si="341"/>
        <v>6.0373216245883654E-2</v>
      </c>
      <c r="P95" s="21">
        <f t="shared" si="341"/>
        <v>8.4069535480193691E-2</v>
      </c>
      <c r="Q95" s="22">
        <f t="shared" si="341"/>
        <v>1.5739769150052485E-2</v>
      </c>
      <c r="R95" s="22">
        <f t="shared" si="341"/>
        <v>7.4918566775244333E-2</v>
      </c>
      <c r="S95" s="22">
        <f t="shared" si="341"/>
        <v>6.9502074688796656E-2</v>
      </c>
      <c r="T95" s="197">
        <f t="shared" si="341"/>
        <v>0.13871635610766053</v>
      </c>
      <c r="U95" s="21">
        <f t="shared" si="341"/>
        <v>7.4921135646687675E-2</v>
      </c>
      <c r="V95" s="22">
        <f t="shared" si="341"/>
        <v>9.8140495867768518E-2</v>
      </c>
      <c r="W95" s="22">
        <f t="shared" si="341"/>
        <v>-6.9696969696969702E-2</v>
      </c>
      <c r="X95" s="22">
        <f t="shared" si="341"/>
        <v>-9.2143549951503423E-2</v>
      </c>
      <c r="Y95" s="197">
        <f t="shared" si="341"/>
        <v>-0.1072727272727273</v>
      </c>
      <c r="Z95" s="21">
        <f t="shared" si="341"/>
        <v>-4.5732452922474853E-2</v>
      </c>
      <c r="AA95" s="22">
        <f t="shared" si="341"/>
        <v>-8.8428974600188059E-2</v>
      </c>
      <c r="AB95" s="22">
        <f t="shared" si="341"/>
        <v>0.15635179153094469</v>
      </c>
      <c r="AC95" s="22">
        <f t="shared" si="341"/>
        <v>0.14850427350427364</v>
      </c>
      <c r="AD95" s="197">
        <f t="shared" si="341"/>
        <v>0.19959266802443976</v>
      </c>
      <c r="AE95" s="21">
        <f t="shared" si="341"/>
        <v>9.8667350076883542E-2</v>
      </c>
      <c r="AF95" s="22">
        <f t="shared" si="341"/>
        <v>0.1836945304437565</v>
      </c>
      <c r="AG95" s="22">
        <f t="shared" si="341"/>
        <v>0.12394366197183104</v>
      </c>
      <c r="AH95" s="22">
        <f t="shared" si="341"/>
        <v>8.4651162790697621E-2</v>
      </c>
      <c r="AI95" s="197">
        <f t="shared" si="341"/>
        <v>4.6689303904923651E-2</v>
      </c>
      <c r="AJ95" s="21">
        <f t="shared" si="341"/>
        <v>0.10636808957312804</v>
      </c>
      <c r="AK95" s="22">
        <f t="shared" si="341"/>
        <v>3.574542284219695E-2</v>
      </c>
      <c r="AL95" s="22">
        <f t="shared" si="341"/>
        <v>-2.7568922305764354E-2</v>
      </c>
      <c r="AM95" s="22">
        <f t="shared" si="341"/>
        <v>4.8885077186963999E-2</v>
      </c>
      <c r="AN95" s="197">
        <f t="shared" si="341"/>
        <v>5.3527980535279962E-2</v>
      </c>
      <c r="AO95" s="21">
        <f t="shared" si="341"/>
        <v>2.7619650010541674E-2</v>
      </c>
      <c r="AP95" s="22">
        <f t="shared" si="341"/>
        <v>5.8080808080808177E-2</v>
      </c>
      <c r="AQ95" s="22">
        <f t="shared" si="341"/>
        <v>0.15979381443298957</v>
      </c>
      <c r="AR95" s="22">
        <f t="shared" si="341"/>
        <v>0.15944399018806221</v>
      </c>
      <c r="AS95" s="197">
        <f t="shared" si="341"/>
        <v>0.10854503464203225</v>
      </c>
      <c r="AT95" s="21">
        <f t="shared" si="341"/>
        <v>0.12125564218301199</v>
      </c>
      <c r="AU95" s="22">
        <f t="shared" si="341"/>
        <v>9.944311853619725E-2</v>
      </c>
      <c r="AV95" s="22">
        <f t="shared" si="341"/>
        <v>4.37037037037038E-2</v>
      </c>
      <c r="AW95" s="22">
        <f t="shared" si="341"/>
        <v>-8.0394922425952031E-2</v>
      </c>
      <c r="AX95" s="197">
        <f t="shared" si="341"/>
        <v>-9.722222222222221E-2</v>
      </c>
      <c r="AY95" s="21">
        <f t="shared" si="341"/>
        <v>-1.2808783165599302E-2</v>
      </c>
      <c r="AZ95" s="22">
        <f t="shared" si="341"/>
        <v>-9.5513748191027426E-2</v>
      </c>
      <c r="BA95" s="22">
        <f t="shared" si="341"/>
        <v>0.22782114975159673</v>
      </c>
      <c r="BB95" s="22">
        <f t="shared" si="341"/>
        <v>1.0498466257668713</v>
      </c>
      <c r="BC95" s="197">
        <f t="shared" si="341"/>
        <v>1.0369230769230771</v>
      </c>
      <c r="BD95" s="21">
        <f t="shared" si="341"/>
        <v>0.53864689527340115</v>
      </c>
      <c r="BE95" s="22">
        <f t="shared" si="341"/>
        <v>0.96799999999999997</v>
      </c>
      <c r="BF95" s="22">
        <f t="shared" si="341"/>
        <v>0.57803468208092479</v>
      </c>
      <c r="BG95" s="22">
        <f t="shared" si="341"/>
        <v>9.9887766554433099E-2</v>
      </c>
      <c r="BH95" s="197">
        <f t="shared" si="341"/>
        <v>0.15558912386706947</v>
      </c>
      <c r="BI95" s="21">
        <f t="shared" si="341"/>
        <v>0.34803035778821845</v>
      </c>
      <c r="BJ95" s="22">
        <f t="shared" si="341"/>
        <v>0.12195121951219523</v>
      </c>
      <c r="BK95" s="22">
        <f t="shared" si="341"/>
        <v>7.3260073260073E-3</v>
      </c>
      <c r="BL95" s="22">
        <f t="shared" si="341"/>
        <v>-4.7619047619047672E-2</v>
      </c>
      <c r="BM95" s="197">
        <f t="shared" si="341"/>
        <v>-4.5751633986928053E-2</v>
      </c>
      <c r="BN95" s="21">
        <f t="shared" si="341"/>
        <v>3.5746201966040392E-3</v>
      </c>
      <c r="BO95" s="22">
        <f t="shared" si="341"/>
        <v>-2.1739130434782594E-2</v>
      </c>
      <c r="BP95" s="22">
        <f t="shared" si="341"/>
        <v>7.2727272727272751E-2</v>
      </c>
      <c r="BQ95" s="22">
        <f t="shared" si="341"/>
        <v>0.10714285714285721</v>
      </c>
      <c r="BR95" s="197">
        <f t="shared" si="341"/>
        <v>4.7945205479452024E-2</v>
      </c>
      <c r="BS95" s="21">
        <f t="shared" si="341"/>
        <v>5.1647373107747141E-2</v>
      </c>
      <c r="BT95" s="22">
        <f t="shared" si="341"/>
        <v>7.0370370370370416E-2</v>
      </c>
      <c r="BU95" s="22">
        <f t="shared" si="341"/>
        <v>1.6949152542372836E-2</v>
      </c>
      <c r="BV95" s="22">
        <f t="shared" si="341"/>
        <v>1.6129032258064502E-2</v>
      </c>
      <c r="BW95" s="197">
        <f t="shared" si="341"/>
        <v>9.4771241830065467E-2</v>
      </c>
      <c r="BX95" s="21">
        <f t="shared" ref="BX95:DY95" si="342">BX94/BS94-1</f>
        <v>4.9110922946655311E-2</v>
      </c>
      <c r="BY95" s="22">
        <f t="shared" si="342"/>
        <v>0.13494809688581322</v>
      </c>
      <c r="BZ95" s="22">
        <f t="shared" si="342"/>
        <v>0.21333333333333337</v>
      </c>
      <c r="CA95" s="22">
        <f t="shared" si="342"/>
        <v>0.28253968253968265</v>
      </c>
      <c r="CB95" s="197">
        <f t="shared" si="342"/>
        <v>0.31641791044776113</v>
      </c>
      <c r="CC95" s="21">
        <f t="shared" si="342"/>
        <v>0.24051654560129143</v>
      </c>
      <c r="CD95" s="22">
        <f t="shared" si="342"/>
        <v>0.24390243902439024</v>
      </c>
      <c r="CE95" s="22">
        <f t="shared" si="342"/>
        <v>0.17582417582417587</v>
      </c>
      <c r="CF95" s="22">
        <f t="shared" si="342"/>
        <v>0.16584158415841577</v>
      </c>
      <c r="CG95" s="197">
        <f t="shared" si="342"/>
        <v>0.1768707482993197</v>
      </c>
      <c r="CH95" s="21">
        <f t="shared" si="342"/>
        <v>0.18802862719583602</v>
      </c>
      <c r="CI95" s="22">
        <f t="shared" si="342"/>
        <v>0.14215686274509798</v>
      </c>
      <c r="CJ95" s="22">
        <f t="shared" si="342"/>
        <v>0.16121495327102808</v>
      </c>
      <c r="CK95" s="22">
        <f t="shared" si="342"/>
        <v>9.3418259023354544E-2</v>
      </c>
      <c r="CL95" s="197">
        <f t="shared" si="342"/>
        <v>-5.0096339113680166E-2</v>
      </c>
      <c r="CM95" s="21">
        <f t="shared" si="342"/>
        <v>7.9408543263964848E-2</v>
      </c>
      <c r="CN95" s="22">
        <f t="shared" si="342"/>
        <v>-8.5836909871244149E-3</v>
      </c>
      <c r="CO95" s="22">
        <f t="shared" si="342"/>
        <v>-3.6217303822937641E-2</v>
      </c>
      <c r="CP95" s="22">
        <f t="shared" si="342"/>
        <v>-6.0194174757281504E-2</v>
      </c>
      <c r="CQ95" s="197">
        <f t="shared" si="342"/>
        <v>6.0851926977687487E-3</v>
      </c>
      <c r="CR95" s="21">
        <f t="shared" si="342"/>
        <v>-2.5367833587011668E-2</v>
      </c>
      <c r="CS95" s="22">
        <f t="shared" si="342"/>
        <v>5.1948051948051965E-2</v>
      </c>
      <c r="CT95" s="22">
        <f t="shared" si="342"/>
        <v>0.11064718162839249</v>
      </c>
      <c r="CU95" s="22">
        <f t="shared" si="342"/>
        <v>0.15702479338842967</v>
      </c>
      <c r="CV95" s="197">
        <f t="shared" si="342"/>
        <v>-3.2258064516129004E-2</v>
      </c>
      <c r="CW95" s="21">
        <f t="shared" si="342"/>
        <v>7.1317022384174811E-2</v>
      </c>
      <c r="CX95" s="22">
        <f t="shared" si="342"/>
        <v>-0.24691358024691357</v>
      </c>
      <c r="CY95" s="22">
        <f t="shared" si="342"/>
        <v>-0.30827067669172936</v>
      </c>
      <c r="CZ95" s="22">
        <f t="shared" si="342"/>
        <v>-0.30535714285714288</v>
      </c>
      <c r="DA95" s="22">
        <f>DA94/CV94-1</f>
        <v>-0.15208333333333335</v>
      </c>
      <c r="DB95" s="21">
        <f>DB94/CW94-1</f>
        <v>-0.2565597667638484</v>
      </c>
      <c r="DC95" s="22">
        <f t="shared" si="342"/>
        <v>0.12021857923497259</v>
      </c>
      <c r="DD95" s="22">
        <f t="shared" si="342"/>
        <v>0.22554347826086962</v>
      </c>
      <c r="DE95" s="22">
        <f t="shared" si="342"/>
        <v>0.19280205655526994</v>
      </c>
      <c r="DF95" s="22">
        <f>DF94/DA94-1</f>
        <v>0.15724815724815722</v>
      </c>
      <c r="DG95" s="21">
        <f t="shared" si="342"/>
        <v>0.17385620915032685</v>
      </c>
      <c r="DH95" s="22">
        <f>DH94/DC94-1</f>
        <v>0.18292682926829262</v>
      </c>
      <c r="DI95" s="22">
        <f t="shared" si="342"/>
        <v>0.19733924611973386</v>
      </c>
      <c r="DJ95" s="22">
        <f t="shared" si="342"/>
        <v>0.1875</v>
      </c>
      <c r="DK95" s="22">
        <f t="shared" si="342"/>
        <v>0.17622080679405516</v>
      </c>
      <c r="DL95" s="21">
        <f t="shared" si="342"/>
        <v>0.18596881959910916</v>
      </c>
      <c r="DM95" s="22">
        <f t="shared" si="342"/>
        <v>8.6597938144329811E-2</v>
      </c>
      <c r="DN95" s="22">
        <f t="shared" si="342"/>
        <v>4.2592592592592515E-2</v>
      </c>
      <c r="DO95" s="22">
        <f t="shared" si="342"/>
        <v>2.9038112522685955E-2</v>
      </c>
      <c r="DP95" s="22">
        <f t="shared" si="342"/>
        <v>5.4151624548736566E-2</v>
      </c>
      <c r="DQ95" s="21">
        <f t="shared" si="342"/>
        <v>5.2112676056337959E-2</v>
      </c>
      <c r="DR95" s="22">
        <f t="shared" si="342"/>
        <v>8.7286527514231604E-2</v>
      </c>
      <c r="DS95" s="22">
        <f t="shared" si="342"/>
        <v>4.4404973357015987E-2</v>
      </c>
      <c r="DT95" s="22">
        <f t="shared" si="342"/>
        <v>6.7019400352733793E-2</v>
      </c>
      <c r="DU95" s="22">
        <f t="shared" si="342"/>
        <v>5.821917808219168E-2</v>
      </c>
      <c r="DV95" s="21">
        <f t="shared" si="342"/>
        <v>6.381079875055784E-2</v>
      </c>
      <c r="DW95" s="22">
        <f>DW94/DR94-1</f>
        <v>4.0139616055846483E-2</v>
      </c>
      <c r="DX95" s="22">
        <f t="shared" si="342"/>
        <v>0.10544217687074831</v>
      </c>
      <c r="DY95" s="22">
        <f t="shared" si="342"/>
        <v>0.10247933884297522</v>
      </c>
      <c r="DZ95" s="22">
        <f t="shared" ref="DZ95:EI95" si="343">DZ94/DU94-1</f>
        <v>5.0161812297734532E-2</v>
      </c>
      <c r="EA95" s="21">
        <f t="shared" si="343"/>
        <v>7.4664429530201248E-2</v>
      </c>
      <c r="EB95" s="22">
        <f t="shared" si="343"/>
        <v>-6.7114093959731447E-3</v>
      </c>
      <c r="EC95" s="22">
        <f t="shared" si="343"/>
        <v>-2.6153846153846194E-2</v>
      </c>
      <c r="ED95" s="22">
        <f t="shared" si="343"/>
        <v>-6.8965517241379337E-2</v>
      </c>
      <c r="EE95" s="22">
        <f t="shared" si="343"/>
        <v>-0.13251155624036981</v>
      </c>
      <c r="EF95" s="21">
        <f t="shared" si="343"/>
        <v>-5.9718969555035084E-2</v>
      </c>
      <c r="EG95" s="22">
        <f t="shared" si="343"/>
        <v>-0.1182432432432432</v>
      </c>
      <c r="EH95" s="22">
        <f t="shared" si="343"/>
        <v>-0.15007898894154814</v>
      </c>
      <c r="EI95" s="22">
        <f t="shared" si="343"/>
        <v>-7.407407407407407E-2</v>
      </c>
      <c r="EJ95" s="22">
        <f t="shared" ref="EJ95:EN95" si="344">EJ94/EE94-1</f>
        <v>3.5523978685612745E-2</v>
      </c>
      <c r="EK95" s="21">
        <f t="shared" si="344"/>
        <v>-7.9286010792860129E-2</v>
      </c>
      <c r="EL95" s="22">
        <f t="shared" si="344"/>
        <v>9.3869731800766187E-2</v>
      </c>
      <c r="EM95" s="22">
        <f t="shared" si="344"/>
        <v>0.10223048327137541</v>
      </c>
      <c r="EN95" s="1582">
        <f t="shared" si="344"/>
        <v>8.0000000000000071E-2</v>
      </c>
      <c r="EO95" s="22">
        <f t="shared" ref="EO95" si="345">EO94/EJ94-1</f>
        <v>0.14408233276157811</v>
      </c>
      <c r="EP95" s="21">
        <f t="shared" ref="EP95:EQ95" si="346">EP94/EK94-1</f>
        <v>0.10550045085662751</v>
      </c>
      <c r="EQ95" s="22">
        <f t="shared" si="346"/>
        <v>0.18739054290718049</v>
      </c>
      <c r="ER95" s="1582">
        <f t="shared" ref="ER95" si="347">ER94/EM94-1</f>
        <v>0.18592701574170922</v>
      </c>
      <c r="ES95" s="1582">
        <f t="shared" ref="ES95:EU95" si="348">ES94/EN94-1</f>
        <v>0.18624499336312517</v>
      </c>
      <c r="ET95" s="1582">
        <f t="shared" si="348"/>
        <v>0.12561547132949036</v>
      </c>
      <c r="EU95" s="1956">
        <f t="shared" si="348"/>
        <v>0.16994224330754681</v>
      </c>
      <c r="EV95" s="1007"/>
      <c r="EW95" s="1007"/>
      <c r="EX95" s="1007"/>
      <c r="EY95" s="1007"/>
      <c r="EZ95" s="1637">
        <f>EZ94/EU94-1</f>
        <v>0.10852043508568321</v>
      </c>
      <c r="FA95" s="1007"/>
      <c r="FB95" s="1007"/>
      <c r="FC95" s="1007"/>
      <c r="FD95" s="1007"/>
      <c r="FE95" s="1637">
        <f>FE94/EZ94-1</f>
        <v>8.7309265024722249E-2</v>
      </c>
      <c r="FF95" s="791"/>
      <c r="FG95" s="618"/>
      <c r="FH95" s="1073"/>
      <c r="FI95" s="1073"/>
      <c r="FJ95" s="1073"/>
      <c r="FK95" s="1073"/>
      <c r="FL95" s="1806"/>
      <c r="FM95" s="22">
        <f t="shared" si="338"/>
        <v>0.18739054290718049</v>
      </c>
      <c r="FN95" s="22">
        <f t="shared" si="339"/>
        <v>9.3869731800766187E-2</v>
      </c>
      <c r="FO95" s="2049">
        <v>0.13831222257399856</v>
      </c>
      <c r="FP95" s="1892">
        <f>IFERROR(($FM95-FN95)*10000,"")</f>
        <v>935.20811106414305</v>
      </c>
      <c r="FQ95" s="1892">
        <f>IFERROR(($FM95-FO95)*10000,"")</f>
        <v>490.78320333181932</v>
      </c>
      <c r="FR95" s="1583" t="s">
        <v>666</v>
      </c>
      <c r="FS95" s="120"/>
      <c r="FT95" s="120"/>
      <c r="FU95" s="120"/>
      <c r="FV95" s="120"/>
      <c r="FW95" s="120"/>
      <c r="FX95" s="120"/>
      <c r="FY95" s="120"/>
      <c r="FZ95" s="120"/>
      <c r="GA95" s="618"/>
      <c r="GB95"/>
      <c r="GC95"/>
      <c r="GD95"/>
      <c r="GE95"/>
      <c r="GF95"/>
      <c r="GG95"/>
      <c r="GH95" s="973"/>
      <c r="GI95" s="973"/>
      <c r="GJ95" s="973"/>
      <c r="GK95" s="973"/>
      <c r="GL95" s="973"/>
      <c r="GM95" s="973"/>
      <c r="GN95" s="973"/>
      <c r="GO95" s="973"/>
      <c r="GP95" s="973"/>
      <c r="GQ95" s="973"/>
      <c r="GR95" s="973"/>
      <c r="GS95" s="973"/>
      <c r="GT95" s="973"/>
      <c r="GU95" s="973"/>
      <c r="GV95" s="973"/>
      <c r="GW95" s="973"/>
      <c r="GX95" s="973"/>
      <c r="GY95" s="973"/>
      <c r="GZ95" s="973"/>
      <c r="HA95" s="973"/>
      <c r="HB95" s="973"/>
      <c r="HC95" s="973"/>
      <c r="HD95" s="973"/>
      <c r="HE95" s="973"/>
      <c r="HF95" s="973"/>
      <c r="HG95" s="973"/>
      <c r="HH95" s="973"/>
      <c r="HI95" s="973"/>
      <c r="HJ95" s="973"/>
      <c r="HK95" s="973"/>
      <c r="HL95" s="973"/>
      <c r="HM95" s="973"/>
      <c r="HN95" s="973"/>
      <c r="HO95" s="973"/>
      <c r="HP95" s="973"/>
      <c r="HQ95" s="973"/>
      <c r="HR95" s="973"/>
      <c r="HS95" s="973"/>
      <c r="HT95" s="973"/>
      <c r="HU95" s="973"/>
      <c r="HV95" s="973"/>
      <c r="HW95" s="973"/>
      <c r="HX95" s="973"/>
      <c r="HY95" s="973"/>
      <c r="HZ95" s="973"/>
      <c r="IA95" s="973"/>
      <c r="IB95" s="973"/>
      <c r="IC95" s="973"/>
      <c r="ID95" s="973"/>
      <c r="IE95" s="973"/>
      <c r="IF95" s="973"/>
      <c r="IG95" s="973"/>
      <c r="IH95" s="973"/>
      <c r="II95" s="973"/>
      <c r="IJ95" s="973"/>
      <c r="IK95" s="973"/>
      <c r="IL95" s="973"/>
      <c r="IM95" s="973"/>
      <c r="IN95" s="973"/>
      <c r="IO95" s="973"/>
      <c r="IP95" s="973"/>
      <c r="IQ95" s="973"/>
      <c r="IR95" s="973"/>
      <c r="IS95" s="973"/>
      <c r="IT95" s="973"/>
      <c r="IU95" s="973"/>
      <c r="IV95" s="973"/>
    </row>
    <row r="96" spans="1:256" s="51" customFormat="1" ht="12.75" x14ac:dyDescent="0.2">
      <c r="A96" s="13" t="s">
        <v>216</v>
      </c>
      <c r="B96" s="15"/>
      <c r="C96" s="15"/>
      <c r="D96" s="15"/>
      <c r="E96" s="195"/>
      <c r="F96" s="14"/>
      <c r="G96" s="15"/>
      <c r="H96" s="15"/>
      <c r="I96" s="15"/>
      <c r="J96" s="195"/>
      <c r="K96" s="14"/>
      <c r="L96" s="15">
        <f t="shared" ref="L96:AQ96" si="349">L94/L$135</f>
        <v>0.10689848569826135</v>
      </c>
      <c r="M96" s="15">
        <f t="shared" si="349"/>
        <v>0.10143171806167398</v>
      </c>
      <c r="N96" s="15">
        <f t="shared" si="349"/>
        <v>0.10234632126552713</v>
      </c>
      <c r="O96" s="195">
        <f t="shared" si="349"/>
        <v>0.10583981593075491</v>
      </c>
      <c r="P96" s="14">
        <f t="shared" si="349"/>
        <v>0.10410224131797159</v>
      </c>
      <c r="Q96" s="15">
        <f t="shared" si="349"/>
        <v>0.10536627843692173</v>
      </c>
      <c r="R96" s="15">
        <f t="shared" si="349"/>
        <v>0.10537519957424162</v>
      </c>
      <c r="S96" s="15">
        <f t="shared" si="349"/>
        <v>0.10844640790996107</v>
      </c>
      <c r="T96" s="195">
        <f t="shared" si="349"/>
        <v>0.11362462555521123</v>
      </c>
      <c r="U96" s="14">
        <f t="shared" si="349"/>
        <v>0.10826052422557585</v>
      </c>
      <c r="V96" s="15">
        <f t="shared" si="349"/>
        <v>0.11442411194833152</v>
      </c>
      <c r="W96" s="15">
        <f t="shared" si="349"/>
        <v>9.5618770764119593E-2</v>
      </c>
      <c r="X96" s="15">
        <f t="shared" si="349"/>
        <v>0.10237340041561852</v>
      </c>
      <c r="Y96" s="195">
        <f t="shared" si="349"/>
        <v>0.10453480945284224</v>
      </c>
      <c r="Z96" s="14">
        <f t="shared" si="349"/>
        <v>0.10416722283029446</v>
      </c>
      <c r="AA96" s="15">
        <f t="shared" si="349"/>
        <v>0.10283349251830627</v>
      </c>
      <c r="AB96" s="15">
        <f t="shared" si="349"/>
        <v>0.10673481659651234</v>
      </c>
      <c r="AC96" s="15">
        <f t="shared" si="349"/>
        <v>0.11016601762656282</v>
      </c>
      <c r="AD96" s="195">
        <f t="shared" si="349"/>
        <v>0.11754140890041909</v>
      </c>
      <c r="AE96" s="14">
        <f t="shared" si="349"/>
        <v>0.10941527781322578</v>
      </c>
      <c r="AF96" s="15">
        <f t="shared" si="349"/>
        <v>0.11479183346677342</v>
      </c>
      <c r="AG96" s="15">
        <f t="shared" si="349"/>
        <v>0.11776859504132231</v>
      </c>
      <c r="AH96" s="15">
        <f t="shared" si="349"/>
        <v>0.11706827309236947</v>
      </c>
      <c r="AI96" s="195">
        <f t="shared" si="349"/>
        <v>0.12327534493101382</v>
      </c>
      <c r="AJ96" s="14">
        <f t="shared" si="349"/>
        <v>0.11822623261378933</v>
      </c>
      <c r="AK96" s="15">
        <f t="shared" si="349"/>
        <v>0.11684862791383889</v>
      </c>
      <c r="AL96" s="15">
        <f t="shared" si="349"/>
        <v>0.11213872832369942</v>
      </c>
      <c r="AM96" s="15">
        <f t="shared" si="349"/>
        <v>0.11989020684246643</v>
      </c>
      <c r="AN96" s="195">
        <f t="shared" si="349"/>
        <v>0.12641105488516935</v>
      </c>
      <c r="AO96" s="14">
        <f t="shared" si="349"/>
        <v>0.1188085023400936</v>
      </c>
      <c r="AP96" s="15">
        <f t="shared" si="349"/>
        <v>0.12017208413001912</v>
      </c>
      <c r="AQ96" s="15">
        <f t="shared" si="349"/>
        <v>0.12654668166479191</v>
      </c>
      <c r="AR96" s="15">
        <f t="shared" ref="AR96:BW96" si="350">AR94/AR$135</f>
        <v>0.13529243392806031</v>
      </c>
      <c r="AS96" s="195">
        <f t="shared" si="350"/>
        <v>0.13559322033898305</v>
      </c>
      <c r="AT96" s="14">
        <f t="shared" si="350"/>
        <v>0.12941343626417862</v>
      </c>
      <c r="AU96" s="15">
        <f t="shared" si="350"/>
        <v>0.12960705242427084</v>
      </c>
      <c r="AV96" s="15">
        <f t="shared" si="350"/>
        <v>0.13042673331481996</v>
      </c>
      <c r="AW96" s="15">
        <f t="shared" si="350"/>
        <v>0.12442154477362723</v>
      </c>
      <c r="AX96" s="195">
        <f t="shared" si="350"/>
        <v>0.12642962732436008</v>
      </c>
      <c r="AY96" s="14">
        <f t="shared" si="350"/>
        <v>0.12775611015205227</v>
      </c>
      <c r="AZ96" s="15">
        <f t="shared" si="350"/>
        <v>0.1213356629780625</v>
      </c>
      <c r="BA96" s="15">
        <f t="shared" si="350"/>
        <v>0.14492753623188406</v>
      </c>
      <c r="BB96" s="15">
        <f t="shared" si="350"/>
        <v>0.17818930864148153</v>
      </c>
      <c r="BC96" s="195">
        <f t="shared" si="350"/>
        <v>0.17998912452419794</v>
      </c>
      <c r="BD96" s="14">
        <f t="shared" si="350"/>
        <v>0.15978241411767422</v>
      </c>
      <c r="BE96" s="15">
        <f t="shared" si="350"/>
        <v>0.16312997347480107</v>
      </c>
      <c r="BF96" s="15">
        <f t="shared" si="350"/>
        <v>0.17148241206030151</v>
      </c>
      <c r="BG96" s="15">
        <f t="shared" si="350"/>
        <v>0.19153094462540718</v>
      </c>
      <c r="BH96" s="195">
        <f t="shared" si="350"/>
        <v>0.20078740157480315</v>
      </c>
      <c r="BI96" s="14">
        <f t="shared" si="350"/>
        <v>0.18168533852898197</v>
      </c>
      <c r="BJ96" s="15">
        <f t="shared" si="350"/>
        <v>0.17922077922077922</v>
      </c>
      <c r="BK96" s="15">
        <f t="shared" si="350"/>
        <v>0.1727386934673367</v>
      </c>
      <c r="BL96" s="15">
        <f t="shared" si="350"/>
        <v>0.1856763925729443</v>
      </c>
      <c r="BM96" s="195">
        <f t="shared" si="350"/>
        <v>0.19084967320261437</v>
      </c>
      <c r="BN96" s="14">
        <f t="shared" si="350"/>
        <v>0.18200972447325769</v>
      </c>
      <c r="BO96" s="15">
        <f t="shared" si="350"/>
        <v>0.18024032042723631</v>
      </c>
      <c r="BP96" s="15">
        <f t="shared" si="350"/>
        <v>0.18518518518518517</v>
      </c>
      <c r="BQ96" s="15">
        <f t="shared" si="350"/>
        <v>0.19399249061326659</v>
      </c>
      <c r="BR96" s="195">
        <f t="shared" si="350"/>
        <v>0.19354838709677419</v>
      </c>
      <c r="BS96" s="14">
        <f t="shared" si="350"/>
        <v>0.18835725677830942</v>
      </c>
      <c r="BT96" s="15">
        <f t="shared" si="350"/>
        <v>0.185137732222934</v>
      </c>
      <c r="BU96" s="15">
        <f t="shared" si="350"/>
        <v>0.18371096142069809</v>
      </c>
      <c r="BV96" s="15">
        <f t="shared" si="350"/>
        <v>0.19712140175219023</v>
      </c>
      <c r="BW96" s="195">
        <f t="shared" si="350"/>
        <v>0.19988066825775655</v>
      </c>
      <c r="BX96" s="14">
        <f t="shared" ref="BX96:DC96" si="351">BX94/BX$135</f>
        <v>0.19155844155844157</v>
      </c>
      <c r="BY96" s="15">
        <f t="shared" si="351"/>
        <v>0.19373892498523332</v>
      </c>
      <c r="BZ96" s="15">
        <f t="shared" si="351"/>
        <v>0.20077220077220076</v>
      </c>
      <c r="CA96" s="15">
        <f t="shared" si="351"/>
        <v>0.21755519655358105</v>
      </c>
      <c r="CB96" s="195">
        <f t="shared" si="351"/>
        <v>0.2262698819907645</v>
      </c>
      <c r="CC96" s="14">
        <f t="shared" si="351"/>
        <v>0.21020240700218817</v>
      </c>
      <c r="CD96" s="15">
        <f t="shared" si="351"/>
        <v>0.20805711371749108</v>
      </c>
      <c r="CE96" s="15">
        <f t="shared" si="351"/>
        <v>0.2039066222010481</v>
      </c>
      <c r="CF96" s="15">
        <f t="shared" si="351"/>
        <v>0.21856148491879351</v>
      </c>
      <c r="CG96" s="195">
        <f t="shared" si="351"/>
        <v>0.22995126273814798</v>
      </c>
      <c r="CH96" s="14">
        <f t="shared" si="351"/>
        <v>0.21553352219074598</v>
      </c>
      <c r="CI96" s="15">
        <f t="shared" si="351"/>
        <v>0.20234476769431176</v>
      </c>
      <c r="CJ96" s="15">
        <f t="shared" si="351"/>
        <v>0.20777591973244147</v>
      </c>
      <c r="CK96" s="15">
        <f t="shared" si="351"/>
        <v>0.21521103217718346</v>
      </c>
      <c r="CL96" s="195">
        <f t="shared" si="351"/>
        <v>0.21259163432514014</v>
      </c>
      <c r="CM96" s="14">
        <f t="shared" si="351"/>
        <v>0.20952482194110769</v>
      </c>
      <c r="CN96" s="15">
        <f t="shared" si="351"/>
        <v>0.20560747663551401</v>
      </c>
      <c r="CO96" s="15">
        <f t="shared" si="351"/>
        <v>0.20142977291841885</v>
      </c>
      <c r="CP96" s="15">
        <f t="shared" si="351"/>
        <v>0.2056948576285593</v>
      </c>
      <c r="CQ96" s="195">
        <f t="shared" si="351"/>
        <v>0.20211898940505296</v>
      </c>
      <c r="CR96" s="14">
        <f t="shared" si="351"/>
        <v>0.20366836301950805</v>
      </c>
      <c r="CS96" s="15">
        <f t="shared" si="351"/>
        <v>0.19439999999999999</v>
      </c>
      <c r="CT96" s="15">
        <f t="shared" si="351"/>
        <v>0.19240506329113924</v>
      </c>
      <c r="CU96" s="15">
        <f t="shared" si="351"/>
        <v>0.19350380096751901</v>
      </c>
      <c r="CV96" s="195">
        <f t="shared" si="351"/>
        <v>0.19184652278177458</v>
      </c>
      <c r="CW96" s="14">
        <f t="shared" si="351"/>
        <v>0.19304005252790546</v>
      </c>
      <c r="CX96" s="15">
        <f t="shared" si="351"/>
        <v>0.18836850231600619</v>
      </c>
      <c r="CY96" s="15">
        <f t="shared" si="351"/>
        <v>0.1981690899299946</v>
      </c>
      <c r="CZ96" s="15">
        <f t="shared" si="351"/>
        <v>0.1885603490063015</v>
      </c>
      <c r="DA96" s="15">
        <f t="shared" si="351"/>
        <v>0.19325735992402659</v>
      </c>
      <c r="DB96" s="14">
        <f t="shared" si="351"/>
        <v>0.19199397665955578</v>
      </c>
      <c r="DC96" s="15">
        <f t="shared" si="351"/>
        <v>0.18319928507596067</v>
      </c>
      <c r="DD96" s="15">
        <f t="shared" ref="DD96:EI96" si="352">DD94/DD$135</f>
        <v>0.18559670781893003</v>
      </c>
      <c r="DE96" s="15">
        <f t="shared" si="352"/>
        <v>0.18892508143322476</v>
      </c>
      <c r="DF96" s="15">
        <f t="shared" si="352"/>
        <v>0.19691679506879639</v>
      </c>
      <c r="DG96" s="14">
        <f t="shared" si="352"/>
        <v>0.1887372778945221</v>
      </c>
      <c r="DH96" s="15">
        <f t="shared" si="352"/>
        <v>0.1851145038167939</v>
      </c>
      <c r="DI96" s="15">
        <f t="shared" si="352"/>
        <v>0.18841591067690161</v>
      </c>
      <c r="DJ96" s="15">
        <f t="shared" si="352"/>
        <v>0.19072343371408793</v>
      </c>
      <c r="DK96" s="15">
        <f t="shared" si="352"/>
        <v>0.19806936002860207</v>
      </c>
      <c r="DL96" s="14">
        <f t="shared" si="352"/>
        <v>0.19065520945220193</v>
      </c>
      <c r="DM96" s="15">
        <f t="shared" si="352"/>
        <v>0.18895661527429186</v>
      </c>
      <c r="DN96" s="15">
        <f t="shared" si="352"/>
        <v>0.19589422407794016</v>
      </c>
      <c r="DO96" s="15">
        <f t="shared" si="352"/>
        <v>0.21054585963609357</v>
      </c>
      <c r="DP96" s="15">
        <f t="shared" si="352"/>
        <v>0.21758569299552907</v>
      </c>
      <c r="DQ96" s="14">
        <f t="shared" si="352"/>
        <v>0.20298913043478262</v>
      </c>
      <c r="DR96" s="15">
        <f t="shared" si="352"/>
        <v>0.20927684441197955</v>
      </c>
      <c r="DS96" s="15">
        <f t="shared" si="352"/>
        <v>0.20985010706638116</v>
      </c>
      <c r="DT96" s="15">
        <f t="shared" si="352"/>
        <v>0.21423512747875353</v>
      </c>
      <c r="DU96" s="15">
        <f t="shared" si="352"/>
        <v>0.21450885109337037</v>
      </c>
      <c r="DV96" s="14">
        <f t="shared" si="352"/>
        <v>0.21200533570475766</v>
      </c>
      <c r="DW96" s="15">
        <f t="shared" si="352"/>
        <v>0.22164373373001114</v>
      </c>
      <c r="DX96" s="15">
        <f t="shared" si="352"/>
        <v>0.21367521367521367</v>
      </c>
      <c r="DY96" s="15">
        <f t="shared" si="352"/>
        <v>0.22064174660932848</v>
      </c>
      <c r="DZ96" s="15">
        <f t="shared" si="352"/>
        <v>0.22613240418118466</v>
      </c>
      <c r="EA96" s="14">
        <f t="shared" si="352"/>
        <v>0.22040605643496214</v>
      </c>
      <c r="EB96" s="15">
        <f t="shared" si="352"/>
        <v>0.23061940007791196</v>
      </c>
      <c r="EC96" s="15">
        <f t="shared" si="352"/>
        <v>0.23332104681164761</v>
      </c>
      <c r="ED96" s="15">
        <f t="shared" si="352"/>
        <v>0.22889789900479174</v>
      </c>
      <c r="EE96" s="15">
        <f t="shared" si="352"/>
        <v>0.22359015091342335</v>
      </c>
      <c r="EF96" s="14">
        <f t="shared" si="352"/>
        <v>0.22918846922271904</v>
      </c>
      <c r="EG96" s="15">
        <f t="shared" si="352"/>
        <v>0.21570247933884298</v>
      </c>
      <c r="EH96" s="15">
        <f t="shared" si="352"/>
        <v>0.21923390383048086</v>
      </c>
      <c r="EI96" s="15">
        <f t="shared" si="352"/>
        <v>0.22781299524564183</v>
      </c>
      <c r="EJ96" s="15">
        <f t="shared" ref="EJ96:ER96" si="353">EJ94/EJ$135</f>
        <v>0.23413654618473895</v>
      </c>
      <c r="EK96" s="14">
        <f t="shared" si="353"/>
        <v>0.22431229773462782</v>
      </c>
      <c r="EL96" s="15">
        <f t="shared" si="353"/>
        <v>0.22174757281553398</v>
      </c>
      <c r="EM96" s="15">
        <f t="shared" si="353"/>
        <v>0.2248767538869928</v>
      </c>
      <c r="EN96" s="15">
        <f t="shared" si="353"/>
        <v>0.23258426966292134</v>
      </c>
      <c r="EO96" s="15">
        <f t="shared" ref="EO96:EQ96" si="354">EO94/EO$135</f>
        <v>0.2499063319595354</v>
      </c>
      <c r="EP96" s="14">
        <f t="shared" si="354"/>
        <v>0.2323950336460999</v>
      </c>
      <c r="EQ96" s="15">
        <f t="shared" si="354"/>
        <v>0.24953993375046007</v>
      </c>
      <c r="ER96" s="1629">
        <f t="shared" si="353"/>
        <v>0.24895689838850835</v>
      </c>
      <c r="ES96" s="1629">
        <f t="shared" ref="ES96:EU96" si="355">ES94/ES$135</f>
        <v>0.25820365581410759</v>
      </c>
      <c r="ET96" s="1629">
        <f t="shared" si="355"/>
        <v>0.26793241071684409</v>
      </c>
      <c r="EU96" s="2111">
        <f t="shared" si="355"/>
        <v>0.25620327071697341</v>
      </c>
      <c r="EV96" s="954"/>
      <c r="EW96" s="954"/>
      <c r="EX96" s="954"/>
      <c r="EY96" s="954"/>
      <c r="EZ96" s="2112">
        <f>EZ94/EZ$135</f>
        <v>0.27393944611615545</v>
      </c>
      <c r="FA96" s="954"/>
      <c r="FB96" s="954"/>
      <c r="FC96" s="954"/>
      <c r="FD96" s="954"/>
      <c r="FE96" s="2112">
        <f>FE94/FE$135</f>
        <v>0.28699510087150887</v>
      </c>
      <c r="FF96" s="757"/>
      <c r="FG96" s="651"/>
      <c r="FH96" s="1026"/>
      <c r="FI96" s="1026"/>
      <c r="FJ96" s="1026"/>
      <c r="FK96" s="1026"/>
      <c r="FL96" s="1807"/>
      <c r="FM96" s="15">
        <f t="shared" si="338"/>
        <v>0.24953993375046007</v>
      </c>
      <c r="FN96" s="15">
        <f t="shared" si="339"/>
        <v>0.22174757281553398</v>
      </c>
      <c r="FO96" s="2042">
        <v>0.24336298732822984</v>
      </c>
      <c r="FP96" s="1892">
        <f>IFERROR(($FM96-FN96)*10000,"")</f>
        <v>277.92360934926097</v>
      </c>
      <c r="FQ96" s="1892">
        <f>IFERROR(($FM96-FO96)*10000,"")</f>
        <v>61.769464222302396</v>
      </c>
      <c r="FR96" s="567"/>
      <c r="FS96" s="567"/>
      <c r="FT96" s="567"/>
      <c r="FU96" s="571"/>
      <c r="FV96" s="571"/>
      <c r="FW96" s="571"/>
      <c r="FX96" s="571"/>
      <c r="FY96" s="571"/>
      <c r="FZ96" s="571"/>
      <c r="GA96" s="651"/>
      <c r="GB96"/>
      <c r="GC96"/>
      <c r="GD96"/>
      <c r="GE96"/>
      <c r="GF96"/>
      <c r="GG96"/>
      <c r="GH96" s="957"/>
      <c r="GI96" s="957"/>
      <c r="GJ96" s="957"/>
      <c r="GK96" s="957"/>
      <c r="GL96" s="957"/>
      <c r="GM96" s="957"/>
      <c r="GN96" s="957"/>
      <c r="GO96" s="957"/>
      <c r="GP96" s="957"/>
      <c r="GQ96" s="957"/>
      <c r="GR96" s="957"/>
      <c r="GS96" s="957"/>
      <c r="GT96" s="957"/>
      <c r="GU96" s="957"/>
      <c r="GV96" s="957"/>
      <c r="GW96" s="957"/>
      <c r="GX96" s="957"/>
      <c r="GY96" s="957"/>
      <c r="GZ96" s="957"/>
      <c r="HA96" s="957"/>
      <c r="HB96" s="957"/>
      <c r="HC96" s="957"/>
      <c r="HD96" s="957"/>
      <c r="HE96" s="957"/>
      <c r="HF96" s="957"/>
      <c r="HG96" s="957"/>
      <c r="HH96" s="957"/>
      <c r="HI96" s="957"/>
      <c r="HJ96" s="957"/>
      <c r="HK96" s="957"/>
      <c r="HL96" s="957"/>
      <c r="HM96" s="957"/>
      <c r="HN96" s="957"/>
      <c r="HO96" s="957"/>
      <c r="HP96" s="957"/>
      <c r="HQ96" s="957"/>
      <c r="HR96" s="957"/>
      <c r="HS96" s="957"/>
      <c r="HT96" s="957"/>
      <c r="HU96" s="957"/>
      <c r="HV96" s="957"/>
      <c r="HW96" s="957"/>
      <c r="HX96" s="957"/>
      <c r="HY96" s="957"/>
      <c r="HZ96" s="957"/>
      <c r="IA96" s="957"/>
      <c r="IB96" s="957"/>
      <c r="IC96" s="957"/>
      <c r="ID96" s="957"/>
      <c r="IE96" s="957"/>
      <c r="IF96" s="957"/>
      <c r="IG96" s="957"/>
      <c r="IH96" s="957"/>
      <c r="II96" s="957"/>
      <c r="IJ96" s="957"/>
      <c r="IK96" s="957"/>
      <c r="IL96" s="957"/>
      <c r="IM96" s="957"/>
      <c r="IN96" s="957"/>
      <c r="IO96" s="957"/>
      <c r="IP96" s="957"/>
      <c r="IQ96" s="957"/>
      <c r="IR96" s="957"/>
      <c r="IS96" s="957"/>
      <c r="IT96" s="957"/>
      <c r="IU96" s="957"/>
      <c r="IV96" s="957"/>
    </row>
    <row r="97" spans="1:256" s="52" customFormat="1" ht="12.75" customHeight="1" x14ac:dyDescent="0.2">
      <c r="A97" s="35" t="s">
        <v>96</v>
      </c>
      <c r="B97" s="36"/>
      <c r="C97" s="36"/>
      <c r="D97" s="36"/>
      <c r="E97" s="200"/>
      <c r="F97" s="37"/>
      <c r="G97" s="36"/>
      <c r="H97" s="36"/>
      <c r="I97" s="36"/>
      <c r="J97" s="200"/>
      <c r="K97" s="37"/>
      <c r="L97" s="36">
        <f t="shared" ref="L97:AQ97" si="356">L9</f>
        <v>205.5</v>
      </c>
      <c r="M97" s="36">
        <f t="shared" si="356"/>
        <v>209.8</v>
      </c>
      <c r="N97" s="36">
        <f t="shared" si="356"/>
        <v>222.9</v>
      </c>
      <c r="O97" s="200">
        <f t="shared" si="356"/>
        <v>224.6</v>
      </c>
      <c r="P97" s="37">
        <f t="shared" si="356"/>
        <v>862.80000000000007</v>
      </c>
      <c r="Q97" s="36">
        <f t="shared" si="356"/>
        <v>221.1</v>
      </c>
      <c r="R97" s="36">
        <f t="shared" si="356"/>
        <v>219.9</v>
      </c>
      <c r="S97" s="36">
        <f t="shared" si="356"/>
        <v>232.6</v>
      </c>
      <c r="T97" s="200">
        <f t="shared" si="356"/>
        <v>242.6</v>
      </c>
      <c r="U97" s="37">
        <f t="shared" si="356"/>
        <v>916.2</v>
      </c>
      <c r="V97" s="36">
        <f t="shared" si="356"/>
        <v>236.3</v>
      </c>
      <c r="W97" s="36">
        <f t="shared" si="356"/>
        <v>248.6</v>
      </c>
      <c r="X97" s="36">
        <f t="shared" si="356"/>
        <v>250.7</v>
      </c>
      <c r="Y97" s="200">
        <f t="shared" si="356"/>
        <v>259.10000000000002</v>
      </c>
      <c r="Z97" s="37">
        <f t="shared" si="356"/>
        <v>994.69999999999993</v>
      </c>
      <c r="AA97" s="36">
        <f t="shared" si="356"/>
        <v>249.1</v>
      </c>
      <c r="AB97" s="36">
        <f t="shared" si="356"/>
        <v>279.2</v>
      </c>
      <c r="AC97" s="36">
        <f t="shared" si="356"/>
        <v>286.5</v>
      </c>
      <c r="AD97" s="200">
        <f t="shared" si="356"/>
        <v>312.5</v>
      </c>
      <c r="AE97" s="37">
        <f t="shared" si="356"/>
        <v>1127.3</v>
      </c>
      <c r="AF97" s="36">
        <f t="shared" si="356"/>
        <v>306.89999999999998</v>
      </c>
      <c r="AG97" s="36">
        <f t="shared" si="356"/>
        <v>317.3</v>
      </c>
      <c r="AH97" s="36">
        <f t="shared" si="356"/>
        <v>313.89999999999998</v>
      </c>
      <c r="AI97" s="200">
        <f t="shared" si="356"/>
        <v>324.5</v>
      </c>
      <c r="AJ97" s="37">
        <f t="shared" si="356"/>
        <v>1262.5999999999999</v>
      </c>
      <c r="AK97" s="36">
        <f t="shared" si="356"/>
        <v>319.2</v>
      </c>
      <c r="AL97" s="36">
        <f t="shared" si="356"/>
        <v>323.2</v>
      </c>
      <c r="AM97" s="36">
        <f t="shared" si="356"/>
        <v>334.1</v>
      </c>
      <c r="AN97" s="200">
        <f t="shared" si="356"/>
        <v>354.5</v>
      </c>
      <c r="AO97" s="37">
        <f t="shared" si="356"/>
        <v>1331</v>
      </c>
      <c r="AP97" s="36">
        <f t="shared" si="356"/>
        <v>342.2</v>
      </c>
      <c r="AQ97" s="36">
        <f t="shared" si="356"/>
        <v>373</v>
      </c>
      <c r="AR97" s="36">
        <f t="shared" ref="AR97:BW97" si="357">AR9</f>
        <v>379.8</v>
      </c>
      <c r="AS97" s="200">
        <f t="shared" si="357"/>
        <v>376.6</v>
      </c>
      <c r="AT97" s="37">
        <f t="shared" si="357"/>
        <v>1471.6</v>
      </c>
      <c r="AU97" s="36">
        <f t="shared" si="357"/>
        <v>366.7</v>
      </c>
      <c r="AV97" s="36">
        <f t="shared" si="357"/>
        <v>375.2</v>
      </c>
      <c r="AW97" s="36">
        <f t="shared" si="357"/>
        <v>349.6</v>
      </c>
      <c r="AX97" s="200">
        <f t="shared" si="357"/>
        <v>351.4</v>
      </c>
      <c r="AY97" s="37">
        <f t="shared" si="357"/>
        <v>1442.9</v>
      </c>
      <c r="AZ97" s="36">
        <f t="shared" si="357"/>
        <v>346.1</v>
      </c>
      <c r="BA97" s="36">
        <f t="shared" si="357"/>
        <v>425.2</v>
      </c>
      <c r="BB97" s="36">
        <f t="shared" si="357"/>
        <v>565.1</v>
      </c>
      <c r="BC97" s="200">
        <f t="shared" si="357"/>
        <v>559.5</v>
      </c>
      <c r="BD97" s="37">
        <f t="shared" si="357"/>
        <v>1895.9</v>
      </c>
      <c r="BE97" s="36">
        <f t="shared" si="357"/>
        <v>508</v>
      </c>
      <c r="BF97" s="36">
        <f t="shared" si="357"/>
        <v>554.6</v>
      </c>
      <c r="BG97" s="36">
        <f t="shared" si="357"/>
        <v>590.4</v>
      </c>
      <c r="BH97" s="200">
        <f t="shared" si="357"/>
        <v>589.1</v>
      </c>
      <c r="BI97" s="37">
        <f t="shared" si="357"/>
        <v>2242.1</v>
      </c>
      <c r="BJ97" s="36">
        <f t="shared" si="357"/>
        <v>542.79999999999995</v>
      </c>
      <c r="BK97" s="36">
        <f t="shared" si="357"/>
        <v>538.1</v>
      </c>
      <c r="BL97" s="36">
        <f t="shared" si="357"/>
        <v>557.29999999999995</v>
      </c>
      <c r="BM97" s="200">
        <f t="shared" si="357"/>
        <v>575.29999999999995</v>
      </c>
      <c r="BN97" s="37">
        <f t="shared" si="357"/>
        <v>2213.5</v>
      </c>
      <c r="BO97" s="36">
        <f t="shared" si="357"/>
        <v>548.79999999999995</v>
      </c>
      <c r="BP97" s="36">
        <f t="shared" si="357"/>
        <v>599.6</v>
      </c>
      <c r="BQ97" s="36">
        <f t="shared" si="357"/>
        <v>625.29999999999995</v>
      </c>
      <c r="BR97" s="200">
        <f t="shared" si="357"/>
        <v>580.4</v>
      </c>
      <c r="BS97" s="37">
        <f t="shared" si="357"/>
        <v>2354.1</v>
      </c>
      <c r="BT97" s="36">
        <f t="shared" si="357"/>
        <v>578.20000000000005</v>
      </c>
      <c r="BU97" s="36">
        <f t="shared" si="357"/>
        <v>607.9</v>
      </c>
      <c r="BV97" s="36">
        <f t="shared" si="357"/>
        <v>627.20000000000005</v>
      </c>
      <c r="BW97" s="200">
        <f t="shared" si="357"/>
        <v>653.29999999999995</v>
      </c>
      <c r="BX97" s="37">
        <f t="shared" ref="BX97:DC97" si="358">BX9</f>
        <v>2466.6</v>
      </c>
      <c r="BY97" s="36">
        <f t="shared" si="358"/>
        <v>648.1</v>
      </c>
      <c r="BZ97" s="36">
        <f t="shared" si="358"/>
        <v>708.1</v>
      </c>
      <c r="CA97" s="36">
        <f t="shared" si="358"/>
        <v>759.4</v>
      </c>
      <c r="CB97" s="200">
        <f t="shared" si="358"/>
        <v>775.9</v>
      </c>
      <c r="CC97" s="37">
        <f t="shared" si="358"/>
        <v>2891.5</v>
      </c>
      <c r="CD97" s="36">
        <f t="shared" si="358"/>
        <v>726.51599999999996</v>
      </c>
      <c r="CE97" s="36">
        <f t="shared" si="358"/>
        <v>762</v>
      </c>
      <c r="CF97" s="36">
        <f t="shared" si="358"/>
        <v>827.4</v>
      </c>
      <c r="CG97" s="200">
        <f t="shared" si="358"/>
        <v>839</v>
      </c>
      <c r="CH97" s="37">
        <f t="shared" si="358"/>
        <v>3154.9160000000002</v>
      </c>
      <c r="CI97" s="36">
        <f t="shared" si="358"/>
        <v>783.1</v>
      </c>
      <c r="CJ97" s="36">
        <f t="shared" si="358"/>
        <v>821.2</v>
      </c>
      <c r="CK97" s="36">
        <f t="shared" si="358"/>
        <v>841.2</v>
      </c>
      <c r="CL97" s="200">
        <f t="shared" si="358"/>
        <v>811</v>
      </c>
      <c r="CM97" s="37">
        <f t="shared" si="358"/>
        <v>3256.5</v>
      </c>
      <c r="CN97" s="36">
        <f t="shared" si="358"/>
        <v>771.5</v>
      </c>
      <c r="CO97" s="36">
        <f t="shared" si="358"/>
        <v>783.4</v>
      </c>
      <c r="CP97" s="36">
        <f t="shared" si="358"/>
        <v>790.1</v>
      </c>
      <c r="CQ97" s="200">
        <f t="shared" si="358"/>
        <v>775.7</v>
      </c>
      <c r="CR97" s="37">
        <f t="shared" si="358"/>
        <v>3120.7</v>
      </c>
      <c r="CS97" s="36">
        <f t="shared" si="358"/>
        <v>740.4</v>
      </c>
      <c r="CT97" s="36">
        <f t="shared" si="358"/>
        <v>763.1</v>
      </c>
      <c r="CU97" s="36">
        <f t="shared" si="358"/>
        <v>790.9</v>
      </c>
      <c r="CV97" s="200">
        <f t="shared" si="358"/>
        <v>734.6</v>
      </c>
      <c r="CW97" s="37">
        <f t="shared" si="358"/>
        <v>3029</v>
      </c>
      <c r="CX97" s="36">
        <f t="shared" si="358"/>
        <v>606.79999999999995</v>
      </c>
      <c r="CY97" s="36">
        <f t="shared" si="358"/>
        <v>612.79999999999995</v>
      </c>
      <c r="CZ97" s="36">
        <f t="shared" si="358"/>
        <v>640.1</v>
      </c>
      <c r="DA97" s="36">
        <f t="shared" si="358"/>
        <v>670.8</v>
      </c>
      <c r="DB97" s="37">
        <f t="shared" si="358"/>
        <v>2530.5</v>
      </c>
      <c r="DC97" s="36">
        <f t="shared" si="358"/>
        <v>676.6</v>
      </c>
      <c r="DD97" s="36">
        <f t="shared" ref="DD97:EI97" si="359">DD9</f>
        <v>733.3</v>
      </c>
      <c r="DE97" s="36">
        <f t="shared" si="359"/>
        <v>762.2</v>
      </c>
      <c r="DF97" s="36">
        <f t="shared" si="359"/>
        <v>755</v>
      </c>
      <c r="DG97" s="37">
        <f t="shared" si="359"/>
        <v>2927.1000000000004</v>
      </c>
      <c r="DH97" s="36">
        <f t="shared" si="359"/>
        <v>746.9</v>
      </c>
      <c r="DI97" s="36">
        <f t="shared" si="359"/>
        <v>802</v>
      </c>
      <c r="DJ97" s="36">
        <f t="shared" si="359"/>
        <v>826.7</v>
      </c>
      <c r="DK97" s="36">
        <f t="shared" si="359"/>
        <v>834.9</v>
      </c>
      <c r="DL97" s="37">
        <f t="shared" si="359"/>
        <v>3210.5000000000005</v>
      </c>
      <c r="DM97" s="36">
        <f t="shared" si="359"/>
        <v>785</v>
      </c>
      <c r="DN97" s="36">
        <f t="shared" si="359"/>
        <v>840.4</v>
      </c>
      <c r="DO97" s="36">
        <f t="shared" si="359"/>
        <v>867.1</v>
      </c>
      <c r="DP97" s="36">
        <f t="shared" si="359"/>
        <v>865.8</v>
      </c>
      <c r="DQ97" s="37">
        <f t="shared" si="359"/>
        <v>3358.3</v>
      </c>
      <c r="DR97" s="36">
        <f t="shared" si="359"/>
        <v>856.4</v>
      </c>
      <c r="DS97" s="36">
        <f t="shared" si="359"/>
        <v>881</v>
      </c>
      <c r="DT97" s="36">
        <f t="shared" si="359"/>
        <v>912.9</v>
      </c>
      <c r="DU97" s="36">
        <f t="shared" si="359"/>
        <v>922</v>
      </c>
      <c r="DV97" s="37">
        <f t="shared" si="359"/>
        <v>3572.3</v>
      </c>
      <c r="DW97" s="36">
        <f t="shared" si="359"/>
        <v>885.1</v>
      </c>
      <c r="DX97" s="36">
        <f t="shared" si="359"/>
        <v>976.1</v>
      </c>
      <c r="DY97" s="36">
        <f t="shared" si="359"/>
        <v>1004.7</v>
      </c>
      <c r="DZ97" s="36">
        <f t="shared" si="359"/>
        <v>979.3</v>
      </c>
      <c r="EA97" s="37">
        <f t="shared" si="359"/>
        <v>3845.2</v>
      </c>
      <c r="EB97" s="36">
        <f t="shared" si="359"/>
        <v>926.7</v>
      </c>
      <c r="EC97" s="36">
        <f t="shared" si="359"/>
        <v>999.9</v>
      </c>
      <c r="ED97" s="36">
        <f t="shared" si="359"/>
        <v>999.5</v>
      </c>
      <c r="EE97" s="36">
        <f t="shared" si="359"/>
        <v>934.9</v>
      </c>
      <c r="EF97" s="37">
        <f t="shared" si="359"/>
        <v>3861</v>
      </c>
      <c r="EG97" s="36">
        <f t="shared" si="359"/>
        <v>929.1</v>
      </c>
      <c r="EH97" s="36">
        <f t="shared" si="359"/>
        <v>951.8</v>
      </c>
      <c r="EI97" s="36">
        <f t="shared" si="359"/>
        <v>993.5</v>
      </c>
      <c r="EJ97" s="36">
        <f t="shared" ref="EJ97:EU97" si="360">EJ9</f>
        <v>996</v>
      </c>
      <c r="EK97" s="37">
        <f t="shared" si="360"/>
        <v>3870.4</v>
      </c>
      <c r="EL97" s="36">
        <f t="shared" si="360"/>
        <v>969.4</v>
      </c>
      <c r="EM97" s="36">
        <f t="shared" si="360"/>
        <v>1009.1</v>
      </c>
      <c r="EN97" s="36">
        <f t="shared" si="360"/>
        <v>1035.2</v>
      </c>
      <c r="EO97" s="36">
        <f t="shared" ref="EO97:EQ97" si="361">EO9</f>
        <v>1060.4000000000001</v>
      </c>
      <c r="EP97" s="37">
        <f t="shared" si="361"/>
        <v>4074.1</v>
      </c>
      <c r="EQ97" s="36">
        <f t="shared" si="361"/>
        <v>1049.2</v>
      </c>
      <c r="ER97" s="1630">
        <f t="shared" si="360"/>
        <v>1089.8280000000002</v>
      </c>
      <c r="ES97" s="1630">
        <f t="shared" si="360"/>
        <v>1128.3680000000002</v>
      </c>
      <c r="ET97" s="1630">
        <f t="shared" si="360"/>
        <v>1124.0240000000001</v>
      </c>
      <c r="EU97" s="2113">
        <f t="shared" si="360"/>
        <v>4391.420000000001</v>
      </c>
      <c r="EV97" s="955"/>
      <c r="EW97" s="955"/>
      <c r="EX97" s="955"/>
      <c r="EY97" s="955"/>
      <c r="EZ97" s="2114">
        <f>EZ9</f>
        <v>4589.0339000000004</v>
      </c>
      <c r="FA97" s="955"/>
      <c r="FB97" s="955"/>
      <c r="FC97" s="955"/>
      <c r="FD97" s="955"/>
      <c r="FE97" s="2114">
        <f>FE9</f>
        <v>4795.5404255000003</v>
      </c>
      <c r="FF97" s="758"/>
      <c r="FG97" s="652"/>
      <c r="FH97" s="1059"/>
      <c r="FI97" s="1059"/>
      <c r="FJ97" s="1059"/>
      <c r="FK97" s="1059"/>
      <c r="FL97" s="1808"/>
      <c r="FM97" s="36">
        <f t="shared" si="338"/>
        <v>1049.2</v>
      </c>
      <c r="FN97" s="36">
        <f t="shared" si="339"/>
        <v>969.4</v>
      </c>
      <c r="FO97" s="36">
        <v>1046.952</v>
      </c>
      <c r="FP97" s="1862">
        <f>IFERROR(($FM97/FN97)-1,"")</f>
        <v>8.2318960181555711E-2</v>
      </c>
      <c r="FQ97" s="1862">
        <f>IFERROR(($FM97/FO97)-1,"")</f>
        <v>2.1471853532921692E-3</v>
      </c>
      <c r="FR97" s="572"/>
      <c r="FS97" s="572"/>
      <c r="FT97" s="572"/>
      <c r="FU97" s="572"/>
      <c r="FV97" s="572"/>
      <c r="FW97" s="572"/>
      <c r="FX97" s="572"/>
      <c r="FY97" s="572"/>
      <c r="FZ97" s="572"/>
      <c r="GA97" s="652"/>
      <c r="GB97"/>
      <c r="GC97"/>
      <c r="GD97"/>
      <c r="GE97"/>
      <c r="GF97"/>
      <c r="GG97"/>
      <c r="GH97" s="958"/>
      <c r="GI97" s="958"/>
      <c r="GJ97" s="958"/>
      <c r="GK97" s="958"/>
      <c r="GL97" s="958"/>
      <c r="GM97" s="958"/>
      <c r="GN97" s="958"/>
      <c r="GO97" s="958"/>
      <c r="GP97" s="958"/>
      <c r="GQ97" s="958"/>
      <c r="GR97" s="958"/>
      <c r="GS97" s="958"/>
      <c r="GT97" s="958"/>
      <c r="GU97" s="958"/>
      <c r="GV97" s="958"/>
      <c r="GW97" s="958"/>
      <c r="GX97" s="958"/>
      <c r="GY97" s="958"/>
      <c r="GZ97" s="958"/>
      <c r="HA97" s="958"/>
      <c r="HB97" s="958"/>
      <c r="HC97" s="958"/>
      <c r="HD97" s="958"/>
      <c r="HE97" s="958"/>
      <c r="HF97" s="958"/>
      <c r="HG97" s="958"/>
      <c r="HH97" s="958"/>
      <c r="HI97" s="958"/>
      <c r="HJ97" s="958"/>
      <c r="HK97" s="958"/>
      <c r="HL97" s="958"/>
      <c r="HM97" s="958"/>
      <c r="HN97" s="958"/>
      <c r="HO97" s="958"/>
      <c r="HP97" s="958"/>
      <c r="HQ97" s="958"/>
      <c r="HR97" s="958"/>
      <c r="HS97" s="958"/>
      <c r="HT97" s="958"/>
      <c r="HU97" s="958"/>
      <c r="HV97" s="958"/>
      <c r="HW97" s="958"/>
      <c r="HX97" s="958"/>
      <c r="HY97" s="958"/>
      <c r="HZ97" s="958"/>
      <c r="IA97" s="958"/>
      <c r="IB97" s="958"/>
      <c r="IC97" s="958"/>
      <c r="ID97" s="958"/>
      <c r="IE97" s="958"/>
      <c r="IF97" s="958"/>
      <c r="IG97" s="958"/>
      <c r="IH97" s="958"/>
      <c r="II97" s="958"/>
      <c r="IJ97" s="958"/>
      <c r="IK97" s="958"/>
      <c r="IL97" s="958"/>
      <c r="IM97" s="958"/>
      <c r="IN97" s="958"/>
      <c r="IO97" s="958"/>
      <c r="IP97" s="958"/>
      <c r="IQ97" s="958"/>
      <c r="IR97" s="958"/>
      <c r="IS97" s="958"/>
      <c r="IT97" s="958"/>
      <c r="IU97" s="958"/>
      <c r="IV97" s="958"/>
    </row>
    <row r="98" spans="1:256" s="191" customFormat="1" ht="12.75" x14ac:dyDescent="0.2">
      <c r="A98" s="242" t="s">
        <v>74</v>
      </c>
      <c r="B98" s="22"/>
      <c r="C98" s="22"/>
      <c r="D98" s="22"/>
      <c r="E98" s="197"/>
      <c r="F98" s="21"/>
      <c r="G98" s="22"/>
      <c r="H98" s="22"/>
      <c r="I98" s="22"/>
      <c r="J98" s="197"/>
      <c r="K98" s="21"/>
      <c r="L98" s="22"/>
      <c r="M98" s="22"/>
      <c r="N98" s="22"/>
      <c r="O98" s="197"/>
      <c r="P98" s="21"/>
      <c r="Q98" s="22">
        <f t="shared" ref="Q98:CB98" si="362">Q97/L97-1</f>
        <v>7.5912408759124084E-2</v>
      </c>
      <c r="R98" s="22">
        <f t="shared" si="362"/>
        <v>4.8141086749285078E-2</v>
      </c>
      <c r="S98" s="22">
        <f t="shared" si="362"/>
        <v>4.3517272319425704E-2</v>
      </c>
      <c r="T98" s="197">
        <f t="shared" si="362"/>
        <v>8.0142475512021472E-2</v>
      </c>
      <c r="U98" s="21">
        <f t="shared" si="362"/>
        <v>6.1891515994436652E-2</v>
      </c>
      <c r="V98" s="22">
        <f t="shared" si="362"/>
        <v>6.8747173224785296E-2</v>
      </c>
      <c r="W98" s="22">
        <f t="shared" si="362"/>
        <v>0.1305138699408821</v>
      </c>
      <c r="X98" s="22">
        <f t="shared" si="362"/>
        <v>7.7815993121238103E-2</v>
      </c>
      <c r="Y98" s="197">
        <f t="shared" si="362"/>
        <v>6.8013190436933435E-2</v>
      </c>
      <c r="Z98" s="21">
        <f t="shared" si="362"/>
        <v>8.5679982536563948E-2</v>
      </c>
      <c r="AA98" s="22">
        <f t="shared" si="362"/>
        <v>5.4168429961912734E-2</v>
      </c>
      <c r="AB98" s="22">
        <f t="shared" si="362"/>
        <v>0.12308930008045049</v>
      </c>
      <c r="AC98" s="22">
        <f t="shared" si="362"/>
        <v>0.14280015955325087</v>
      </c>
      <c r="AD98" s="197">
        <f t="shared" si="362"/>
        <v>0.20609803164801233</v>
      </c>
      <c r="AE98" s="21">
        <f t="shared" si="362"/>
        <v>0.13330652458027559</v>
      </c>
      <c r="AF98" s="22">
        <f t="shared" si="362"/>
        <v>0.23203532717784014</v>
      </c>
      <c r="AG98" s="22">
        <f t="shared" si="362"/>
        <v>0.13646131805157591</v>
      </c>
      <c r="AH98" s="22">
        <f t="shared" si="362"/>
        <v>9.5636998254799321E-2</v>
      </c>
      <c r="AI98" s="197">
        <f t="shared" si="362"/>
        <v>3.839999999999999E-2</v>
      </c>
      <c r="AJ98" s="21">
        <f t="shared" si="362"/>
        <v>0.12002128980750459</v>
      </c>
      <c r="AK98" s="22">
        <f t="shared" si="362"/>
        <v>4.0078201368523914E-2</v>
      </c>
      <c r="AL98" s="22">
        <f t="shared" si="362"/>
        <v>1.8594390167034236E-2</v>
      </c>
      <c r="AM98" s="22">
        <f t="shared" si="362"/>
        <v>6.4351704364447482E-2</v>
      </c>
      <c r="AN98" s="197">
        <f t="shared" si="362"/>
        <v>9.244992295839749E-2</v>
      </c>
      <c r="AO98" s="21">
        <f t="shared" si="362"/>
        <v>5.4173926817677964E-2</v>
      </c>
      <c r="AP98" s="22">
        <f t="shared" si="362"/>
        <v>7.2055137844611483E-2</v>
      </c>
      <c r="AQ98" s="22">
        <f t="shared" si="362"/>
        <v>0.15408415841584167</v>
      </c>
      <c r="AR98" s="22">
        <f t="shared" si="362"/>
        <v>0.13678539359473207</v>
      </c>
      <c r="AS98" s="197">
        <f t="shared" si="362"/>
        <v>6.2341325811001491E-2</v>
      </c>
      <c r="AT98" s="21">
        <f t="shared" si="362"/>
        <v>0.10563486100676167</v>
      </c>
      <c r="AU98" s="22">
        <f t="shared" si="362"/>
        <v>7.1595558153126904E-2</v>
      </c>
      <c r="AV98" s="22">
        <f t="shared" si="362"/>
        <v>5.8981233243966535E-3</v>
      </c>
      <c r="AW98" s="22">
        <f t="shared" si="362"/>
        <v>-7.9515534491837792E-2</v>
      </c>
      <c r="AX98" s="197">
        <f t="shared" si="362"/>
        <v>-6.6914498141264045E-2</v>
      </c>
      <c r="AY98" s="21">
        <f t="shared" si="362"/>
        <v>-1.9502582223430154E-2</v>
      </c>
      <c r="AZ98" s="22">
        <f t="shared" si="362"/>
        <v>-5.6176711208071883E-2</v>
      </c>
      <c r="BA98" s="22">
        <f t="shared" si="362"/>
        <v>0.13326226012793185</v>
      </c>
      <c r="BB98" s="22">
        <f t="shared" si="362"/>
        <v>0.61641876430205955</v>
      </c>
      <c r="BC98" s="197">
        <f t="shared" si="362"/>
        <v>0.59220261809903252</v>
      </c>
      <c r="BD98" s="21">
        <f t="shared" si="362"/>
        <v>0.3139510707602744</v>
      </c>
      <c r="BE98" s="22">
        <f t="shared" si="362"/>
        <v>0.46778387749205419</v>
      </c>
      <c r="BF98" s="22">
        <f t="shared" si="362"/>
        <v>0.30432737535277532</v>
      </c>
      <c r="BG98" s="22">
        <f t="shared" si="362"/>
        <v>4.4770837019996401E-2</v>
      </c>
      <c r="BH98" s="197">
        <f t="shared" si="362"/>
        <v>5.2904378909740979E-2</v>
      </c>
      <c r="BI98" s="21">
        <f t="shared" si="362"/>
        <v>0.18260456775146361</v>
      </c>
      <c r="BJ98" s="22">
        <f t="shared" si="362"/>
        <v>6.8503937007873938E-2</v>
      </c>
      <c r="BK98" s="22">
        <f t="shared" si="362"/>
        <v>-2.97511720158673E-2</v>
      </c>
      <c r="BL98" s="22">
        <f t="shared" si="362"/>
        <v>-5.6063685636856375E-2</v>
      </c>
      <c r="BM98" s="197">
        <f t="shared" si="362"/>
        <v>-2.3425564420302303E-2</v>
      </c>
      <c r="BN98" s="21">
        <f t="shared" si="362"/>
        <v>-1.2755898488024608E-2</v>
      </c>
      <c r="BO98" s="22">
        <f t="shared" si="362"/>
        <v>1.1053795136330091E-2</v>
      </c>
      <c r="BP98" s="22">
        <f t="shared" si="362"/>
        <v>0.11429102397323909</v>
      </c>
      <c r="BQ98" s="22">
        <f t="shared" si="362"/>
        <v>0.12201686703750236</v>
      </c>
      <c r="BR98" s="197">
        <f t="shared" si="362"/>
        <v>8.8649400312881266E-3</v>
      </c>
      <c r="BS98" s="21">
        <f t="shared" si="362"/>
        <v>6.3519313304720937E-2</v>
      </c>
      <c r="BT98" s="22">
        <f t="shared" si="362"/>
        <v>5.3571428571428825E-2</v>
      </c>
      <c r="BU98" s="22">
        <f t="shared" si="362"/>
        <v>1.3842561707805068E-2</v>
      </c>
      <c r="BV98" s="22">
        <f t="shared" si="362"/>
        <v>3.0385415000802052E-3</v>
      </c>
      <c r="BW98" s="197">
        <f t="shared" si="362"/>
        <v>0.12560303239145409</v>
      </c>
      <c r="BX98" s="21">
        <f t="shared" si="362"/>
        <v>4.7788963935261775E-2</v>
      </c>
      <c r="BY98" s="22">
        <f t="shared" si="362"/>
        <v>0.12089242476651663</v>
      </c>
      <c r="BZ98" s="22">
        <f t="shared" si="362"/>
        <v>0.1648297417338378</v>
      </c>
      <c r="CA98" s="22">
        <f t="shared" si="362"/>
        <v>0.21077806122448961</v>
      </c>
      <c r="CB98" s="197">
        <f t="shared" si="362"/>
        <v>0.18766263584876786</v>
      </c>
      <c r="CC98" s="21">
        <f t="shared" ref="CC98:DY98" si="363">CC97/BX97-1</f>
        <v>0.17226141247060744</v>
      </c>
      <c r="CD98" s="22">
        <f t="shared" si="363"/>
        <v>0.12099367381576909</v>
      </c>
      <c r="CE98" s="22">
        <f t="shared" si="363"/>
        <v>7.6119192204490815E-2</v>
      </c>
      <c r="CF98" s="22">
        <f t="shared" si="363"/>
        <v>8.9544377139847198E-2</v>
      </c>
      <c r="CG98" s="197">
        <f t="shared" si="363"/>
        <v>8.1324913004253263E-2</v>
      </c>
      <c r="CH98" s="21">
        <f t="shared" si="363"/>
        <v>9.1100121044440652E-2</v>
      </c>
      <c r="CI98" s="22">
        <f t="shared" si="363"/>
        <v>7.7884038341894835E-2</v>
      </c>
      <c r="CJ98" s="22">
        <f t="shared" si="363"/>
        <v>7.7690288713910816E-2</v>
      </c>
      <c r="CK98" s="22">
        <f t="shared" si="363"/>
        <v>1.6678752719361922E-2</v>
      </c>
      <c r="CL98" s="197">
        <f t="shared" si="363"/>
        <v>-3.3373063170440975E-2</v>
      </c>
      <c r="CM98" s="21">
        <f t="shared" si="363"/>
        <v>3.2198638569140847E-2</v>
      </c>
      <c r="CN98" s="22">
        <f t="shared" si="363"/>
        <v>-1.4812922998339917E-2</v>
      </c>
      <c r="CO98" s="22">
        <f t="shared" si="363"/>
        <v>-4.6030199707744801E-2</v>
      </c>
      <c r="CP98" s="22">
        <f t="shared" si="363"/>
        <v>-6.0746552543984755E-2</v>
      </c>
      <c r="CQ98" s="197">
        <f t="shared" si="363"/>
        <v>-4.3526510480887737E-2</v>
      </c>
      <c r="CR98" s="21">
        <f t="shared" si="363"/>
        <v>-4.1701212958697997E-2</v>
      </c>
      <c r="CS98" s="22">
        <f t="shared" si="363"/>
        <v>-4.0311082307193824E-2</v>
      </c>
      <c r="CT98" s="22">
        <f t="shared" si="363"/>
        <v>-2.5912688281848339E-2</v>
      </c>
      <c r="CU98" s="22">
        <f t="shared" si="363"/>
        <v>1.0125300594860942E-3</v>
      </c>
      <c r="CV98" s="197">
        <f t="shared" si="363"/>
        <v>-5.2984401186025543E-2</v>
      </c>
      <c r="CW98" s="21">
        <f t="shared" si="363"/>
        <v>-2.9384432979780106E-2</v>
      </c>
      <c r="CX98" s="22">
        <f t="shared" si="363"/>
        <v>-0.18044300378173961</v>
      </c>
      <c r="CY98" s="22">
        <f t="shared" si="363"/>
        <v>-0.1969597693618137</v>
      </c>
      <c r="CZ98" s="22">
        <f t="shared" si="363"/>
        <v>-0.19066885826273861</v>
      </c>
      <c r="DA98" s="22">
        <f>DA97/CV97-1</f>
        <v>-8.684998638714958E-2</v>
      </c>
      <c r="DB98" s="21">
        <f>DB97/CW97-1</f>
        <v>-0.16457576758005943</v>
      </c>
      <c r="DC98" s="22">
        <f t="shared" si="363"/>
        <v>0.11502966381015178</v>
      </c>
      <c r="DD98" s="22">
        <f t="shared" si="363"/>
        <v>0.19663838120104438</v>
      </c>
      <c r="DE98" s="22">
        <f t="shared" si="363"/>
        <v>0.19075144508670516</v>
      </c>
      <c r="DF98" s="22">
        <f>DF97/DA97-1</f>
        <v>0.12552176505664892</v>
      </c>
      <c r="DG98" s="21">
        <f t="shared" si="363"/>
        <v>0.15672791938352115</v>
      </c>
      <c r="DH98" s="22">
        <f>DH97/DC97-1</f>
        <v>0.10390186225243858</v>
      </c>
      <c r="DI98" s="22">
        <f t="shared" si="363"/>
        <v>9.3686076639847293E-2</v>
      </c>
      <c r="DJ98" s="22">
        <f t="shared" si="363"/>
        <v>8.4623458409866181E-2</v>
      </c>
      <c r="DK98" s="22">
        <f t="shared" si="363"/>
        <v>0.10582781456953638</v>
      </c>
      <c r="DL98" s="21">
        <f t="shared" si="363"/>
        <v>9.6819377540910745E-2</v>
      </c>
      <c r="DM98" s="22">
        <f t="shared" si="363"/>
        <v>5.1010844825277957E-2</v>
      </c>
      <c r="DN98" s="22">
        <f t="shared" si="363"/>
        <v>4.7880299251870317E-2</v>
      </c>
      <c r="DO98" s="22">
        <f t="shared" si="363"/>
        <v>4.8868997217853982E-2</v>
      </c>
      <c r="DP98" s="22">
        <f t="shared" si="363"/>
        <v>3.7010420409629763E-2</v>
      </c>
      <c r="DQ98" s="21">
        <f t="shared" si="363"/>
        <v>4.603644292166309E-2</v>
      </c>
      <c r="DR98" s="22">
        <f t="shared" si="363"/>
        <v>9.0955414012738878E-2</v>
      </c>
      <c r="DS98" s="22">
        <f t="shared" si="363"/>
        <v>4.8310328415040571E-2</v>
      </c>
      <c r="DT98" s="22">
        <f t="shared" si="363"/>
        <v>5.2819743974166666E-2</v>
      </c>
      <c r="DU98" s="22">
        <f t="shared" si="363"/>
        <v>6.4911064911064909E-2</v>
      </c>
      <c r="DV98" s="21">
        <f t="shared" si="363"/>
        <v>6.3722716850787675E-2</v>
      </c>
      <c r="DW98" s="22">
        <f>DW97/DR97-1</f>
        <v>3.3512377393741355E-2</v>
      </c>
      <c r="DX98" s="22">
        <f t="shared" si="363"/>
        <v>0.10794551645856987</v>
      </c>
      <c r="DY98" s="22">
        <f t="shared" si="363"/>
        <v>0.1005586592178771</v>
      </c>
      <c r="DZ98" s="22">
        <f t="shared" ref="DZ98:EI98" si="364">DZ97/DU97-1</f>
        <v>6.214750542299341E-2</v>
      </c>
      <c r="EA98" s="21">
        <f t="shared" si="364"/>
        <v>7.6393360020154955E-2</v>
      </c>
      <c r="EB98" s="22">
        <f t="shared" si="364"/>
        <v>4.7000338944751974E-2</v>
      </c>
      <c r="EC98" s="22">
        <f t="shared" si="364"/>
        <v>2.4382747669296156E-2</v>
      </c>
      <c r="ED98" s="22">
        <f t="shared" si="364"/>
        <v>-5.1756743306460296E-3</v>
      </c>
      <c r="EE98" s="22">
        <f t="shared" si="364"/>
        <v>-4.53385070969059E-2</v>
      </c>
      <c r="EF98" s="21">
        <f t="shared" si="364"/>
        <v>4.1090190367212287E-3</v>
      </c>
      <c r="EG98" s="22">
        <f t="shared" si="364"/>
        <v>2.5898348980253338E-3</v>
      </c>
      <c r="EH98" s="22">
        <f t="shared" si="364"/>
        <v>-4.8104810481048088E-2</v>
      </c>
      <c r="EI98" s="22">
        <f t="shared" si="364"/>
        <v>-6.0030015007503934E-3</v>
      </c>
      <c r="EJ98" s="22">
        <f t="shared" ref="EJ98:EN98" si="365">EJ97/EE97-1</f>
        <v>6.5354583377901454E-2</v>
      </c>
      <c r="EK98" s="21">
        <f t="shared" si="365"/>
        <v>2.4346024346024731E-3</v>
      </c>
      <c r="EL98" s="22">
        <f t="shared" si="365"/>
        <v>4.3375309439242171E-2</v>
      </c>
      <c r="EM98" s="22">
        <f t="shared" si="365"/>
        <v>6.0201723051061196E-2</v>
      </c>
      <c r="EN98" s="22">
        <f t="shared" si="365"/>
        <v>4.1972823351786648E-2</v>
      </c>
      <c r="EO98" s="22">
        <f t="shared" ref="EO98" si="366">EO97/EJ97-1</f>
        <v>6.4658634538152793E-2</v>
      </c>
      <c r="EP98" s="21">
        <f t="shared" ref="EP98:EQ98" si="367">EP97/EK97-1</f>
        <v>5.2630219098801057E-2</v>
      </c>
      <c r="EQ98" s="22">
        <f t="shared" si="367"/>
        <v>8.2318960181555711E-2</v>
      </c>
      <c r="ER98" s="1582">
        <f t="shared" ref="ER98" si="368">ER97/EM97-1</f>
        <v>8.0000000000000071E-2</v>
      </c>
      <c r="ES98" s="1582">
        <f t="shared" ref="ES98:EU98" si="369">ES97/EN97-1</f>
        <v>9.000000000000008E-2</v>
      </c>
      <c r="ET98" s="1582">
        <f t="shared" si="369"/>
        <v>6.0000000000000053E-2</v>
      </c>
      <c r="EU98" s="1956">
        <f t="shared" si="369"/>
        <v>7.7887140718195802E-2</v>
      </c>
      <c r="EV98" s="1906"/>
      <c r="EW98" s="1906"/>
      <c r="EX98" s="1906"/>
      <c r="EY98" s="1906"/>
      <c r="EZ98" s="1637">
        <f>EZ97/EU97-1</f>
        <v>4.4999999999999929E-2</v>
      </c>
      <c r="FA98" s="1906"/>
      <c r="FB98" s="1906"/>
      <c r="FC98" s="1906"/>
      <c r="FD98" s="1906"/>
      <c r="FE98" s="1637">
        <f>FE97/EZ97-1</f>
        <v>4.4999999999999929E-2</v>
      </c>
      <c r="FF98" s="790"/>
      <c r="FG98" s="653"/>
      <c r="FH98" s="1073"/>
      <c r="FI98" s="1073"/>
      <c r="FJ98" s="1073"/>
      <c r="FK98" s="1073"/>
      <c r="FL98" s="1806"/>
      <c r="FM98" s="22">
        <f t="shared" si="338"/>
        <v>8.2318960181555711E-2</v>
      </c>
      <c r="FN98" s="22">
        <f t="shared" si="339"/>
        <v>4.3375309439242171E-2</v>
      </c>
      <c r="FO98" s="2041">
        <v>8.0000000000000071E-2</v>
      </c>
      <c r="FP98" s="1892">
        <f>IFERROR(($FM98-FN98)*10000,"")</f>
        <v>389.43650742313542</v>
      </c>
      <c r="FQ98" s="1892">
        <f>IFERROR(($FM98-FO98)*10000,"")</f>
        <v>23.189601815556404</v>
      </c>
      <c r="FR98" s="587"/>
      <c r="FS98" s="587"/>
      <c r="FT98" s="587"/>
      <c r="FU98" s="587"/>
      <c r="FV98" s="587"/>
      <c r="FW98" s="587"/>
      <c r="FX98" s="587"/>
      <c r="FY98" s="587"/>
      <c r="FZ98" s="587"/>
      <c r="GA98" s="653"/>
      <c r="GB98"/>
      <c r="GC98"/>
      <c r="GD98"/>
      <c r="GE98"/>
      <c r="GF98"/>
      <c r="GG98"/>
      <c r="GH98" s="978"/>
      <c r="GI98" s="978"/>
      <c r="GJ98" s="978"/>
      <c r="GK98" s="978"/>
      <c r="GL98" s="978"/>
      <c r="GM98" s="978"/>
      <c r="GN98" s="978"/>
      <c r="GO98" s="978"/>
      <c r="GP98" s="978"/>
      <c r="GQ98" s="978"/>
      <c r="GR98" s="978"/>
      <c r="GS98" s="978"/>
      <c r="GT98" s="978"/>
      <c r="GU98" s="978"/>
      <c r="GV98" s="978"/>
      <c r="GW98" s="978"/>
      <c r="GX98" s="978"/>
      <c r="GY98" s="978"/>
      <c r="GZ98" s="978"/>
      <c r="HA98" s="978"/>
      <c r="HB98" s="978"/>
      <c r="HC98" s="978"/>
      <c r="HD98" s="978"/>
      <c r="HE98" s="978"/>
      <c r="HF98" s="978"/>
      <c r="HG98" s="978"/>
      <c r="HH98" s="978"/>
      <c r="HI98" s="978"/>
      <c r="HJ98" s="978"/>
      <c r="HK98" s="978"/>
      <c r="HL98" s="978"/>
      <c r="HM98" s="978"/>
      <c r="HN98" s="978"/>
      <c r="HO98" s="978"/>
      <c r="HP98" s="978"/>
      <c r="HQ98" s="978"/>
      <c r="HR98" s="978"/>
      <c r="HS98" s="978"/>
      <c r="HT98" s="978"/>
      <c r="HU98" s="978"/>
      <c r="HV98" s="978"/>
      <c r="HW98" s="978"/>
      <c r="HX98" s="978"/>
      <c r="HY98" s="978"/>
      <c r="HZ98" s="978"/>
      <c r="IA98" s="978"/>
      <c r="IB98" s="978"/>
      <c r="IC98" s="978"/>
      <c r="ID98" s="978"/>
      <c r="IE98" s="978"/>
      <c r="IF98" s="978"/>
      <c r="IG98" s="978"/>
      <c r="IH98" s="978"/>
      <c r="II98" s="978"/>
      <c r="IJ98" s="978"/>
      <c r="IK98" s="978"/>
      <c r="IL98" s="978"/>
      <c r="IM98" s="978"/>
      <c r="IN98" s="978"/>
      <c r="IO98" s="978"/>
      <c r="IP98" s="978"/>
      <c r="IQ98" s="978"/>
      <c r="IR98" s="978"/>
      <c r="IS98" s="978"/>
      <c r="IT98" s="978"/>
      <c r="IU98" s="978"/>
      <c r="IV98" s="978"/>
    </row>
    <row r="99" spans="1:256" s="53" customFormat="1" ht="12.75" x14ac:dyDescent="0.2">
      <c r="A99" s="13" t="s">
        <v>217</v>
      </c>
      <c r="B99" s="16"/>
      <c r="C99" s="16"/>
      <c r="D99" s="16"/>
      <c r="E99" s="201"/>
      <c r="F99" s="40"/>
      <c r="G99" s="16"/>
      <c r="H99" s="16"/>
      <c r="I99" s="16"/>
      <c r="J99" s="201"/>
      <c r="K99" s="40"/>
      <c r="L99" s="16">
        <f t="shared" ref="L99:BR99" si="370">L97/L$13</f>
        <v>0.21617925520723755</v>
      </c>
      <c r="M99" s="16">
        <f t="shared" si="370"/>
        <v>0.22114472435965005</v>
      </c>
      <c r="N99" s="16">
        <f t="shared" si="370"/>
        <v>0.22661651077673853</v>
      </c>
      <c r="O99" s="201">
        <f t="shared" si="370"/>
        <v>0.23405585660691952</v>
      </c>
      <c r="P99" s="40">
        <f t="shared" si="370"/>
        <v>0.22454131424853613</v>
      </c>
      <c r="Q99" s="16">
        <f t="shared" si="370"/>
        <v>0.22843268932740982</v>
      </c>
      <c r="R99" s="16">
        <f t="shared" si="370"/>
        <v>0.22473173224322945</v>
      </c>
      <c r="S99" s="16">
        <f t="shared" si="370"/>
        <v>0.23383934854730071</v>
      </c>
      <c r="T99" s="201">
        <f t="shared" si="370"/>
        <v>0.23955761824824726</v>
      </c>
      <c r="U99" s="40">
        <f t="shared" si="370"/>
        <v>0.23172644038646364</v>
      </c>
      <c r="V99" s="16">
        <f t="shared" si="370"/>
        <v>0.2431570281951019</v>
      </c>
      <c r="W99" s="16">
        <f t="shared" si="370"/>
        <v>0.24161726115268736</v>
      </c>
      <c r="X99" s="16">
        <f t="shared" si="370"/>
        <v>0.25188385411433739</v>
      </c>
      <c r="Y99" s="201">
        <f t="shared" si="370"/>
        <v>0.25111455708470637</v>
      </c>
      <c r="Z99" s="40">
        <f t="shared" si="370"/>
        <v>0.24695863746958635</v>
      </c>
      <c r="AA99" s="16">
        <f t="shared" si="370"/>
        <v>0.24556388012618297</v>
      </c>
      <c r="AB99" s="16">
        <f t="shared" si="370"/>
        <v>0.25361068216913435</v>
      </c>
      <c r="AC99" s="16">
        <f t="shared" si="370"/>
        <v>0.26574529264446717</v>
      </c>
      <c r="AD99" s="201">
        <f t="shared" si="370"/>
        <v>0.28052064631956913</v>
      </c>
      <c r="AE99" s="40">
        <f t="shared" si="370"/>
        <v>0.26171240191298695</v>
      </c>
      <c r="AF99" s="16">
        <f t="shared" si="370"/>
        <v>0.27603885590933619</v>
      </c>
      <c r="AG99" s="16">
        <f t="shared" si="370"/>
        <v>0.28259707873174206</v>
      </c>
      <c r="AH99" s="16">
        <f t="shared" si="370"/>
        <v>0.28520806832636741</v>
      </c>
      <c r="AI99" s="201">
        <f t="shared" si="370"/>
        <v>0.2914496137955811</v>
      </c>
      <c r="AJ99" s="40">
        <f t="shared" si="370"/>
        <v>0.28381962864721483</v>
      </c>
      <c r="AK99" s="16">
        <f t="shared" si="370"/>
        <v>0.28892107168718323</v>
      </c>
      <c r="AL99" s="16">
        <f t="shared" si="370"/>
        <v>0.28306183219478015</v>
      </c>
      <c r="AM99" s="16">
        <f t="shared" si="370"/>
        <v>0.29151033941191873</v>
      </c>
      <c r="AN99" s="201">
        <f t="shared" si="370"/>
        <v>0.3055507671091191</v>
      </c>
      <c r="AO99" s="40">
        <f t="shared" si="370"/>
        <v>0.29234114520415561</v>
      </c>
      <c r="AP99" s="16">
        <f t="shared" si="370"/>
        <v>0.29614885331025531</v>
      </c>
      <c r="AQ99" s="16">
        <f t="shared" si="370"/>
        <v>0.310367781660842</v>
      </c>
      <c r="AR99" s="16">
        <f t="shared" si="370"/>
        <v>0.31822371177209891</v>
      </c>
      <c r="AS99" s="201">
        <f t="shared" si="370"/>
        <v>0.31178077655435055</v>
      </c>
      <c r="AT99" s="40">
        <f t="shared" si="370"/>
        <v>0.30924412129363055</v>
      </c>
      <c r="AU99" s="16">
        <f t="shared" si="370"/>
        <v>0.30325835262983791</v>
      </c>
      <c r="AV99" s="16">
        <f t="shared" si="370"/>
        <v>0.30484237894052646</v>
      </c>
      <c r="AW99" s="16">
        <f t="shared" si="370"/>
        <v>0.2956448202959831</v>
      </c>
      <c r="AX99" s="201">
        <f t="shared" si="370"/>
        <v>0.29759485094850946</v>
      </c>
      <c r="AY99" s="40">
        <f t="shared" si="370"/>
        <v>0.30039764328690688</v>
      </c>
      <c r="AZ99" s="16">
        <f t="shared" si="370"/>
        <v>0.29869681539656512</v>
      </c>
      <c r="BA99" s="16">
        <f t="shared" si="370"/>
        <v>0.31050094932087047</v>
      </c>
      <c r="BB99" s="16">
        <f t="shared" si="370"/>
        <v>0.32975433273034949</v>
      </c>
      <c r="BC99" s="201">
        <f t="shared" si="370"/>
        <v>0.3254685700324596</v>
      </c>
      <c r="BD99" s="40">
        <f t="shared" si="370"/>
        <v>0.31805813255134324</v>
      </c>
      <c r="BE99" s="16">
        <f t="shared" si="370"/>
        <v>0.3028315946348733</v>
      </c>
      <c r="BF99" s="16">
        <f t="shared" si="370"/>
        <v>0.31586741086684128</v>
      </c>
      <c r="BG99" s="16">
        <f t="shared" si="370"/>
        <v>0.34083824038794597</v>
      </c>
      <c r="BH99" s="201">
        <f t="shared" si="370"/>
        <v>0.3503211227402474</v>
      </c>
      <c r="BI99" s="40">
        <f t="shared" si="370"/>
        <v>0.32745249813789779</v>
      </c>
      <c r="BJ99" s="16">
        <f t="shared" si="370"/>
        <v>0.32825350749879045</v>
      </c>
      <c r="BK99" s="16">
        <f t="shared" si="370"/>
        <v>0.3189874918489537</v>
      </c>
      <c r="BL99" s="16">
        <f t="shared" si="370"/>
        <v>0.34327071142593157</v>
      </c>
      <c r="BM99" s="201">
        <f t="shared" si="370"/>
        <v>0.34636011819471296</v>
      </c>
      <c r="BN99" s="40">
        <f t="shared" si="370"/>
        <v>0.33411381273445323</v>
      </c>
      <c r="BO99" s="16">
        <f t="shared" si="370"/>
        <v>0.34163346613545814</v>
      </c>
      <c r="BP99" s="16">
        <f t="shared" si="370"/>
        <v>0.34931546752111858</v>
      </c>
      <c r="BQ99" s="16">
        <f t="shared" si="370"/>
        <v>0.36023735453393246</v>
      </c>
      <c r="BR99" s="201">
        <f t="shared" si="370"/>
        <v>0.34921780986762935</v>
      </c>
      <c r="BS99" s="40">
        <f>BS97/BS$13</f>
        <v>0.35027601291532129</v>
      </c>
      <c r="BT99" s="16">
        <f t="shared" ref="BT99:DV99" si="371">BT97/BT$13</f>
        <v>0.35084951456310681</v>
      </c>
      <c r="BU99" s="16">
        <f t="shared" si="371"/>
        <v>0.35021315819794901</v>
      </c>
      <c r="BV99" s="16">
        <f t="shared" si="371"/>
        <v>0.36424879493582674</v>
      </c>
      <c r="BW99" s="201">
        <f t="shared" si="371"/>
        <v>0.37214468812304186</v>
      </c>
      <c r="BX99" s="40">
        <f t="shared" si="371"/>
        <v>0.35949979595406056</v>
      </c>
      <c r="BY99" s="16">
        <f t="shared" si="371"/>
        <v>0.36886738759248722</v>
      </c>
      <c r="BZ99" s="16">
        <f t="shared" si="371"/>
        <v>0.3776130546075086</v>
      </c>
      <c r="CA99" s="16">
        <f t="shared" si="371"/>
        <v>0.39869795768362465</v>
      </c>
      <c r="CB99" s="201">
        <f t="shared" si="371"/>
        <v>0.40258392569916468</v>
      </c>
      <c r="CC99" s="40">
        <f t="shared" si="371"/>
        <v>0.387382438841403</v>
      </c>
      <c r="CD99" s="16">
        <f t="shared" si="371"/>
        <v>0.38994673439549654</v>
      </c>
      <c r="CE99" s="16">
        <f t="shared" si="371"/>
        <v>0.39119051286000306</v>
      </c>
      <c r="CF99" s="16">
        <f t="shared" si="371"/>
        <v>0.41529890076795667</v>
      </c>
      <c r="CG99" s="201">
        <f t="shared" si="371"/>
        <v>0.42305365066559097</v>
      </c>
      <c r="CH99" s="40">
        <f t="shared" si="371"/>
        <v>0.40517684674378124</v>
      </c>
      <c r="CI99" s="16">
        <f t="shared" si="371"/>
        <v>0.40011240547721239</v>
      </c>
      <c r="CJ99" s="16">
        <f t="shared" si="371"/>
        <v>0.40559095174593768</v>
      </c>
      <c r="CK99" s="16">
        <f t="shared" si="371"/>
        <v>0.42252247727158571</v>
      </c>
      <c r="CL99" s="201">
        <f t="shared" si="371"/>
        <v>0.42062133706757948</v>
      </c>
      <c r="CM99" s="40">
        <f t="shared" si="371"/>
        <v>0.41216823399865837</v>
      </c>
      <c r="CN99" s="16">
        <f t="shared" si="371"/>
        <v>0.41223617419182473</v>
      </c>
      <c r="CO99" s="16">
        <f t="shared" si="371"/>
        <v>0.40333625083663693</v>
      </c>
      <c r="CP99" s="16">
        <f t="shared" si="371"/>
        <v>0.41385993400031429</v>
      </c>
      <c r="CQ99" s="201">
        <f t="shared" si="371"/>
        <v>0.41479065290626171</v>
      </c>
      <c r="CR99" s="40">
        <f t="shared" si="371"/>
        <v>0.41099697089424475</v>
      </c>
      <c r="CS99" s="16">
        <f t="shared" si="371"/>
        <v>0.40503282275711161</v>
      </c>
      <c r="CT99" s="16">
        <f t="shared" si="371"/>
        <v>0.40142030510257759</v>
      </c>
      <c r="CU99" s="16">
        <f t="shared" si="371"/>
        <v>0.41729541497388273</v>
      </c>
      <c r="CV99" s="201">
        <f t="shared" si="371"/>
        <v>0.42580570368652909</v>
      </c>
      <c r="CW99" s="40">
        <f t="shared" si="371"/>
        <v>0.41213688005986804</v>
      </c>
      <c r="CX99" s="16">
        <f t="shared" si="371"/>
        <v>0.41687276724374828</v>
      </c>
      <c r="CY99" s="16">
        <f t="shared" si="371"/>
        <v>0.43390214543652195</v>
      </c>
      <c r="CZ99" s="16">
        <f t="shared" si="371"/>
        <v>0.42050978846406523</v>
      </c>
      <c r="DA99" s="16">
        <f t="shared" si="371"/>
        <v>0.42802450229709033</v>
      </c>
      <c r="DB99" s="40">
        <f t="shared" si="371"/>
        <v>0.42477296761955918</v>
      </c>
      <c r="DC99" s="16">
        <f t="shared" si="371"/>
        <v>0.42744330027165328</v>
      </c>
      <c r="DD99" s="16">
        <f t="shared" si="371"/>
        <v>0.42638678916153044</v>
      </c>
      <c r="DE99" s="16">
        <f t="shared" si="371"/>
        <v>0.43489672486591358</v>
      </c>
      <c r="DF99" s="16">
        <f t="shared" si="371"/>
        <v>0.44183052434456926</v>
      </c>
      <c r="DG99" s="40">
        <f t="shared" si="371"/>
        <v>0.43274049762717881</v>
      </c>
      <c r="DH99" s="16">
        <f t="shared" si="371"/>
        <v>0.43647732585320242</v>
      </c>
      <c r="DI99" s="16">
        <f t="shared" si="371"/>
        <v>0.44882198220381664</v>
      </c>
      <c r="DJ99" s="16">
        <f t="shared" si="371"/>
        <v>0.45676556715840655</v>
      </c>
      <c r="DK99" s="16">
        <f t="shared" si="371"/>
        <v>0.46211324514307855</v>
      </c>
      <c r="DL99" s="40">
        <f t="shared" si="371"/>
        <v>0.45124882285971302</v>
      </c>
      <c r="DM99" s="16">
        <f t="shared" si="371"/>
        <v>0.45354749248902243</v>
      </c>
      <c r="DN99" s="16">
        <f t="shared" si="371"/>
        <v>0.4670705274273329</v>
      </c>
      <c r="DO99" s="16">
        <f t="shared" si="371"/>
        <v>0.48577030812324934</v>
      </c>
      <c r="DP99" s="16">
        <f t="shared" si="371"/>
        <v>0.48312036158696503</v>
      </c>
      <c r="DQ99" s="40">
        <f t="shared" si="371"/>
        <v>0.47252082395317424</v>
      </c>
      <c r="DR99" s="16">
        <f>DR97/DR$13</f>
        <v>0.48015250056066378</v>
      </c>
      <c r="DS99" s="16">
        <f>DS97/DS$13</f>
        <v>0.4792732020454793</v>
      </c>
      <c r="DT99" s="16">
        <f t="shared" si="371"/>
        <v>0.49157288245113351</v>
      </c>
      <c r="DU99" s="16">
        <f>DU97/DU$13</f>
        <v>0.49516648764769067</v>
      </c>
      <c r="DV99" s="40">
        <f t="shared" si="371"/>
        <v>0.48662970480458806</v>
      </c>
      <c r="DW99" s="16">
        <f t="shared" ref="DW99:EF99" si="372">DW97/DW$13</f>
        <v>0.50215590604788385</v>
      </c>
      <c r="DX99" s="16">
        <f t="shared" si="372"/>
        <v>0.49220916746507998</v>
      </c>
      <c r="DY99" s="16">
        <f t="shared" si="372"/>
        <v>0.50209895052473763</v>
      </c>
      <c r="DZ99" s="16">
        <f t="shared" si="372"/>
        <v>0.507882999688829</v>
      </c>
      <c r="EA99" s="40">
        <f t="shared" si="372"/>
        <v>0.50100978514378036</v>
      </c>
      <c r="EB99" s="16">
        <f t="shared" si="372"/>
        <v>0.51423339437323123</v>
      </c>
      <c r="EC99" s="16">
        <f t="shared" si="372"/>
        <v>0.51618398637137985</v>
      </c>
      <c r="ED99" s="16">
        <f t="shared" si="372"/>
        <v>0.51619067293291332</v>
      </c>
      <c r="EE99" s="16">
        <f t="shared" si="372"/>
        <v>0.51840967062215815</v>
      </c>
      <c r="EF99" s="40">
        <f t="shared" si="372"/>
        <v>0.51625239005736145</v>
      </c>
      <c r="EG99" s="16">
        <f t="shared" ref="EG99:ER99" si="373">EG97/EG$13</f>
        <v>0.52876899436571623</v>
      </c>
      <c r="EH99" s="16">
        <f t="shared" si="373"/>
        <v>0.52863093585115239</v>
      </c>
      <c r="EI99" s="16">
        <f t="shared" si="373"/>
        <v>0.5335087530877457</v>
      </c>
      <c r="EJ99" s="16">
        <f t="shared" si="373"/>
        <v>0.54133376813957279</v>
      </c>
      <c r="EK99" s="40">
        <f t="shared" si="373"/>
        <v>0.53313497802939513</v>
      </c>
      <c r="EL99" s="16">
        <f>EL97/EL$13</f>
        <v>0.5249648001732915</v>
      </c>
      <c r="EM99" s="16">
        <f t="shared" ref="EM99:EP99" si="374">EM97/EM$13</f>
        <v>0.52810341218337875</v>
      </c>
      <c r="EN99" s="16">
        <f t="shared" si="374"/>
        <v>0.53665111456713321</v>
      </c>
      <c r="EO99" s="16">
        <f t="shared" si="374"/>
        <v>0.55082852838813579</v>
      </c>
      <c r="EP99" s="40">
        <f t="shared" si="374"/>
        <v>0.53525586283912496</v>
      </c>
      <c r="EQ99" s="16">
        <f>EQ97/EQ$13</f>
        <v>0.55093467758874182</v>
      </c>
      <c r="ER99" s="946">
        <f t="shared" si="373"/>
        <v>0.54840625100640883</v>
      </c>
      <c r="ES99" s="946">
        <f t="shared" ref="ES99:EU99" si="375">ES97/ES$13</f>
        <v>0.56087372328517093</v>
      </c>
      <c r="ET99" s="946">
        <f t="shared" si="375"/>
        <v>0.56855622428052488</v>
      </c>
      <c r="EU99" s="2115">
        <f t="shared" si="375"/>
        <v>0.55725515587788643</v>
      </c>
      <c r="EV99" s="946"/>
      <c r="EW99" s="946"/>
      <c r="EX99" s="946"/>
      <c r="EY99" s="946"/>
      <c r="EZ99" s="2116">
        <f>EZ97/EZ$13</f>
        <v>0.57092238830118258</v>
      </c>
      <c r="FA99" s="946"/>
      <c r="FB99" s="946"/>
      <c r="FC99" s="946"/>
      <c r="FD99" s="946"/>
      <c r="FE99" s="2116">
        <f>FE97/FE$13</f>
        <v>0.58280286693309624</v>
      </c>
      <c r="FF99" s="759"/>
      <c r="FG99" s="652"/>
      <c r="FH99" s="1026"/>
      <c r="FI99" s="1026"/>
      <c r="FJ99" s="1026"/>
      <c r="FK99" s="1026"/>
      <c r="FL99" s="1807"/>
      <c r="FM99" s="16">
        <f t="shared" si="338"/>
        <v>0.55093467758874182</v>
      </c>
      <c r="FN99" s="16">
        <f t="shared" si="339"/>
        <v>0.5249648001732915</v>
      </c>
      <c r="FO99" s="2043">
        <v>0.55171992211275733</v>
      </c>
      <c r="FP99" s="11">
        <f>IFERROR(($FM99-FN99)*10000,"")</f>
        <v>259.69877415450316</v>
      </c>
      <c r="FQ99" s="11">
        <f>IFERROR(($FM99-FO99)*10000,"")</f>
        <v>-7.8524452401551592</v>
      </c>
      <c r="FR99" s="567"/>
      <c r="FS99" s="567"/>
      <c r="FT99" s="567"/>
      <c r="FU99" s="567"/>
      <c r="FV99" s="567"/>
      <c r="FW99" s="567"/>
      <c r="FX99" s="567"/>
      <c r="FY99" s="567"/>
      <c r="FZ99" s="567"/>
      <c r="GA99" s="652"/>
      <c r="GB99"/>
      <c r="GC99"/>
      <c r="GD99"/>
      <c r="GE99"/>
      <c r="GF99"/>
      <c r="GG99"/>
      <c r="GH99" s="959"/>
      <c r="GI99" s="959"/>
      <c r="GJ99" s="959"/>
      <c r="GK99" s="959"/>
      <c r="GL99" s="959"/>
      <c r="GM99" s="959"/>
      <c r="GN99" s="959"/>
      <c r="GO99" s="959"/>
      <c r="GP99" s="959"/>
      <c r="GQ99" s="959"/>
      <c r="GR99" s="959"/>
      <c r="GS99" s="959"/>
      <c r="GT99" s="959"/>
      <c r="GU99" s="959"/>
      <c r="GV99" s="959"/>
      <c r="GW99" s="959"/>
      <c r="GX99" s="959"/>
      <c r="GY99" s="959"/>
      <c r="GZ99" s="959"/>
      <c r="HA99" s="959"/>
      <c r="HB99" s="959"/>
      <c r="HC99" s="959"/>
      <c r="HD99" s="959"/>
      <c r="HE99" s="959"/>
      <c r="HF99" s="959"/>
      <c r="HG99" s="959"/>
      <c r="HH99" s="959"/>
      <c r="HI99" s="959"/>
      <c r="HJ99" s="959"/>
      <c r="HK99" s="959"/>
      <c r="HL99" s="959"/>
      <c r="HM99" s="959"/>
      <c r="HN99" s="959"/>
      <c r="HO99" s="959"/>
      <c r="HP99" s="959"/>
      <c r="HQ99" s="959"/>
      <c r="HR99" s="959"/>
      <c r="HS99" s="959"/>
      <c r="HT99" s="959"/>
      <c r="HU99" s="959"/>
      <c r="HV99" s="959"/>
      <c r="HW99" s="959"/>
      <c r="HX99" s="959"/>
      <c r="HY99" s="959"/>
      <c r="HZ99" s="959"/>
      <c r="IA99" s="959"/>
      <c r="IB99" s="959"/>
      <c r="IC99" s="959"/>
      <c r="ID99" s="959"/>
      <c r="IE99" s="959"/>
      <c r="IF99" s="959"/>
      <c r="IG99" s="959"/>
      <c r="IH99" s="959"/>
      <c r="II99" s="959"/>
      <c r="IJ99" s="959"/>
      <c r="IK99" s="959"/>
      <c r="IL99" s="959"/>
      <c r="IM99" s="959"/>
      <c r="IN99" s="959"/>
      <c r="IO99" s="959"/>
      <c r="IP99" s="959"/>
      <c r="IQ99" s="959"/>
      <c r="IR99" s="959"/>
      <c r="IS99" s="959"/>
      <c r="IT99" s="959"/>
      <c r="IU99" s="959"/>
      <c r="IV99" s="959"/>
    </row>
    <row r="100" spans="1:256" s="54" customFormat="1" ht="12.75" x14ac:dyDescent="0.2">
      <c r="A100" s="41" t="s">
        <v>106</v>
      </c>
      <c r="B100" s="42"/>
      <c r="C100" s="42"/>
      <c r="D100" s="42"/>
      <c r="E100" s="202"/>
      <c r="F100" s="43"/>
      <c r="G100" s="42"/>
      <c r="H100" s="42"/>
      <c r="I100" s="42"/>
      <c r="J100" s="202"/>
      <c r="K100" s="43"/>
      <c r="L100" s="42">
        <f t="shared" ref="L100:BR100" si="376">L94*1000/L97</f>
        <v>463.74695863746956</v>
      </c>
      <c r="M100" s="42">
        <f t="shared" si="376"/>
        <v>438.98951382268825</v>
      </c>
      <c r="N100" s="42">
        <f t="shared" si="376"/>
        <v>432.48093315388064</v>
      </c>
      <c r="O100" s="202">
        <f t="shared" si="376"/>
        <v>430.09795191451468</v>
      </c>
      <c r="P100" s="43">
        <f t="shared" si="376"/>
        <v>440.89012517385254</v>
      </c>
      <c r="Q100" s="42">
        <f t="shared" si="376"/>
        <v>437.81094527363183</v>
      </c>
      <c r="R100" s="42">
        <f t="shared" si="376"/>
        <v>450.20463847203274</v>
      </c>
      <c r="S100" s="42">
        <f t="shared" si="376"/>
        <v>443.25021496130699</v>
      </c>
      <c r="T100" s="202">
        <f t="shared" si="376"/>
        <v>453.42126957955486</v>
      </c>
      <c r="U100" s="43">
        <f t="shared" si="376"/>
        <v>446.29993451211521</v>
      </c>
      <c r="V100" s="42">
        <f t="shared" si="376"/>
        <v>449.85188319932286</v>
      </c>
      <c r="W100" s="42">
        <f t="shared" si="376"/>
        <v>370.47465808527755</v>
      </c>
      <c r="X100" s="42">
        <f t="shared" si="376"/>
        <v>373.35460710011967</v>
      </c>
      <c r="Y100" s="202">
        <f t="shared" si="376"/>
        <v>379.00424546507139</v>
      </c>
      <c r="Z100" s="43">
        <f t="shared" si="376"/>
        <v>392.27907911933249</v>
      </c>
      <c r="AA100" s="42">
        <f t="shared" si="376"/>
        <v>389.00040144520273</v>
      </c>
      <c r="AB100" s="42">
        <f t="shared" si="376"/>
        <v>381.4469914040115</v>
      </c>
      <c r="AC100" s="42">
        <f t="shared" si="376"/>
        <v>375.21815008726003</v>
      </c>
      <c r="AD100" s="202">
        <f t="shared" si="376"/>
        <v>376.96</v>
      </c>
      <c r="AE100" s="43">
        <f t="shared" si="376"/>
        <v>380.28918655193826</v>
      </c>
      <c r="AF100" s="42">
        <f t="shared" si="376"/>
        <v>373.73737373737379</v>
      </c>
      <c r="AG100" s="42">
        <f t="shared" si="376"/>
        <v>377.24550898203591</v>
      </c>
      <c r="AH100" s="42">
        <f t="shared" si="376"/>
        <v>371.45587766804715</v>
      </c>
      <c r="AI100" s="202">
        <f t="shared" si="376"/>
        <v>379.96918335901387</v>
      </c>
      <c r="AJ100" s="43">
        <f t="shared" si="376"/>
        <v>375.65341359100273</v>
      </c>
      <c r="AK100" s="42">
        <f t="shared" si="376"/>
        <v>372.18045112781954</v>
      </c>
      <c r="AL100" s="42">
        <f t="shared" si="376"/>
        <v>360.14851485148517</v>
      </c>
      <c r="AM100" s="42">
        <f t="shared" si="376"/>
        <v>366.05806644717148</v>
      </c>
      <c r="AN100" s="202">
        <f t="shared" si="376"/>
        <v>366.43159379407615</v>
      </c>
      <c r="AO100" s="43">
        <f t="shared" si="376"/>
        <v>366.19083395942903</v>
      </c>
      <c r="AP100" s="42">
        <f t="shared" si="376"/>
        <v>367.32904734073645</v>
      </c>
      <c r="AQ100" s="42">
        <f t="shared" si="376"/>
        <v>361.93029490616624</v>
      </c>
      <c r="AR100" s="42">
        <f t="shared" si="376"/>
        <v>373.3543970510795</v>
      </c>
      <c r="AS100" s="202">
        <f t="shared" si="376"/>
        <v>382.36856080722248</v>
      </c>
      <c r="AT100" s="43">
        <f t="shared" si="376"/>
        <v>371.36450122315847</v>
      </c>
      <c r="AU100" s="42">
        <f t="shared" si="376"/>
        <v>376.87482956094902</v>
      </c>
      <c r="AV100" s="42">
        <f t="shared" si="376"/>
        <v>375.53304904051174</v>
      </c>
      <c r="AW100" s="42">
        <f t="shared" si="376"/>
        <v>372.9977116704805</v>
      </c>
      <c r="AX100" s="202">
        <f t="shared" si="376"/>
        <v>369.94877632327837</v>
      </c>
      <c r="AY100" s="43">
        <f t="shared" si="376"/>
        <v>373.89978515489639</v>
      </c>
      <c r="AZ100" s="42">
        <f t="shared" si="376"/>
        <v>361.16729268997398</v>
      </c>
      <c r="BA100" s="42">
        <f t="shared" si="376"/>
        <v>406.86735653809973</v>
      </c>
      <c r="BB100" s="42">
        <f t="shared" si="376"/>
        <v>473.01362590691912</v>
      </c>
      <c r="BC100" s="202">
        <f t="shared" si="376"/>
        <v>473.2797140303843</v>
      </c>
      <c r="BD100" s="43">
        <f t="shared" si="376"/>
        <v>437.83954849939335</v>
      </c>
      <c r="BE100" s="42">
        <f t="shared" si="376"/>
        <v>484.25196850393701</v>
      </c>
      <c r="BF100" s="42">
        <f t="shared" si="376"/>
        <v>492.24666426253151</v>
      </c>
      <c r="BG100" s="42">
        <f t="shared" si="376"/>
        <v>497.96747967479678</v>
      </c>
      <c r="BH100" s="202">
        <f t="shared" si="376"/>
        <v>519.43642845017825</v>
      </c>
      <c r="BI100" s="43">
        <f t="shared" si="376"/>
        <v>499.08567860487938</v>
      </c>
      <c r="BJ100" s="42">
        <f t="shared" si="376"/>
        <v>508.47457627118649</v>
      </c>
      <c r="BK100" s="42">
        <f t="shared" si="376"/>
        <v>511.05742427058163</v>
      </c>
      <c r="BL100" s="42">
        <f t="shared" si="376"/>
        <v>502.42239368383281</v>
      </c>
      <c r="BM100" s="202">
        <f t="shared" si="376"/>
        <v>507.56127237962806</v>
      </c>
      <c r="BN100" s="43">
        <f t="shared" si="376"/>
        <v>507.34131466004067</v>
      </c>
      <c r="BO100" s="42">
        <f t="shared" si="376"/>
        <v>491.98250728862979</v>
      </c>
      <c r="BP100" s="42">
        <f t="shared" si="376"/>
        <v>491.99466310873913</v>
      </c>
      <c r="BQ100" s="42">
        <f t="shared" si="376"/>
        <v>495.7620342235727</v>
      </c>
      <c r="BR100" s="202">
        <f t="shared" si="376"/>
        <v>527.22260509993112</v>
      </c>
      <c r="BS100" s="43">
        <f>BS94*1000/BS97</f>
        <v>501.67792362261588</v>
      </c>
      <c r="BT100" s="42">
        <f>BT94*1000/BT97</f>
        <v>499.82704946385331</v>
      </c>
      <c r="BU100" s="42">
        <f>BU94*1000/BU97</f>
        <v>493.50222075999346</v>
      </c>
      <c r="BV100" s="42">
        <f t="shared" ref="BV100:DF100" si="377">BV94*1000/BV97</f>
        <v>502.23214285714283</v>
      </c>
      <c r="BW100" s="202">
        <f t="shared" si="377"/>
        <v>512.78126435022193</v>
      </c>
      <c r="BX100" s="43">
        <f t="shared" si="377"/>
        <v>502.31087326684508</v>
      </c>
      <c r="BY100" s="42">
        <f t="shared" si="377"/>
        <v>506.09473846628606</v>
      </c>
      <c r="BZ100" s="42">
        <f t="shared" si="377"/>
        <v>514.05168761474363</v>
      </c>
      <c r="CA100" s="42">
        <f t="shared" si="377"/>
        <v>531.9989465367396</v>
      </c>
      <c r="CB100" s="202">
        <f t="shared" si="377"/>
        <v>568.37221291403534</v>
      </c>
      <c r="CC100" s="43">
        <f t="shared" si="377"/>
        <v>531.55801487117412</v>
      </c>
      <c r="CD100" s="42">
        <f t="shared" si="377"/>
        <v>561.58432849379778</v>
      </c>
      <c r="CE100" s="42">
        <f t="shared" si="377"/>
        <v>561.67979002624668</v>
      </c>
      <c r="CF100" s="42">
        <f t="shared" si="377"/>
        <v>569.25308194343734</v>
      </c>
      <c r="CG100" s="202">
        <f t="shared" si="377"/>
        <v>618.59356376638857</v>
      </c>
      <c r="CH100" s="43">
        <f t="shared" si="377"/>
        <v>578.77927653224367</v>
      </c>
      <c r="CI100" s="42">
        <f t="shared" si="377"/>
        <v>595.07087217469029</v>
      </c>
      <c r="CJ100" s="42">
        <f t="shared" si="377"/>
        <v>605.21188504627366</v>
      </c>
      <c r="CK100" s="42">
        <f t="shared" si="377"/>
        <v>612.22063718497384</v>
      </c>
      <c r="CL100" s="202">
        <f t="shared" si="377"/>
        <v>607.8914919852034</v>
      </c>
      <c r="CM100" s="43">
        <f t="shared" si="377"/>
        <v>605.25103638876089</v>
      </c>
      <c r="CN100" s="42">
        <f t="shared" si="377"/>
        <v>598.83344134802337</v>
      </c>
      <c r="CO100" s="42">
        <f t="shared" si="377"/>
        <v>611.43732448302273</v>
      </c>
      <c r="CP100" s="42">
        <f t="shared" si="377"/>
        <v>612.5806859891153</v>
      </c>
      <c r="CQ100" s="202">
        <f t="shared" si="377"/>
        <v>639.4224571354905</v>
      </c>
      <c r="CR100" s="43">
        <f t="shared" si="377"/>
        <v>615.56702021982255</v>
      </c>
      <c r="CS100" s="42">
        <f t="shared" si="377"/>
        <v>656.40194489465159</v>
      </c>
      <c r="CT100" s="42">
        <f t="shared" si="377"/>
        <v>697.15633599790328</v>
      </c>
      <c r="CU100" s="42">
        <f t="shared" si="377"/>
        <v>708.05411556454669</v>
      </c>
      <c r="CV100" s="202">
        <f t="shared" si="377"/>
        <v>653.41682548325616</v>
      </c>
      <c r="CW100" s="43">
        <f t="shared" si="377"/>
        <v>679.43215582700566</v>
      </c>
      <c r="CX100" s="42">
        <f t="shared" si="377"/>
        <v>603.16413974950569</v>
      </c>
      <c r="CY100" s="42">
        <f t="shared" si="377"/>
        <v>600.52219321148834</v>
      </c>
      <c r="CZ100" s="42">
        <f t="shared" si="377"/>
        <v>607.71754413372912</v>
      </c>
      <c r="DA100" s="42">
        <f t="shared" si="377"/>
        <v>606.73822301729285</v>
      </c>
      <c r="DB100" s="43">
        <f t="shared" si="377"/>
        <v>604.62359217545941</v>
      </c>
      <c r="DC100" s="42">
        <f t="shared" si="377"/>
        <v>605.97103162873191</v>
      </c>
      <c r="DD100" s="42">
        <f t="shared" si="377"/>
        <v>615.02795581617352</v>
      </c>
      <c r="DE100" s="42">
        <f t="shared" si="377"/>
        <v>608.7641039097349</v>
      </c>
      <c r="DF100" s="42">
        <f t="shared" si="377"/>
        <v>623.84105960264901</v>
      </c>
      <c r="DG100" s="43">
        <f>(DC100*DC97+DD100*DD97+DE100*DE97+DF100*DF97)/DG97</f>
        <v>613.57657749991449</v>
      </c>
      <c r="DH100" s="42">
        <f>DH94*1000/DH97</f>
        <v>649.35064935064941</v>
      </c>
      <c r="DI100" s="42">
        <f>DI94*1000/DI97</f>
        <v>673.31670822942647</v>
      </c>
      <c r="DJ100" s="42">
        <f>DJ94*1000/DJ97</f>
        <v>666.50538284746574</v>
      </c>
      <c r="DK100" s="42">
        <f>DK94*1000/DK97</f>
        <v>663.5525212600312</v>
      </c>
      <c r="DL100" s="43">
        <f>(DH100*DH97+DI100*DI97+DJ100*DJ97+DK100*DK97)/DL97</f>
        <v>663.44806104968063</v>
      </c>
      <c r="DM100" s="42">
        <f>DM94*1000/DM97</f>
        <v>671.33757961783442</v>
      </c>
      <c r="DN100" s="42">
        <f>DN94*1000/DN97</f>
        <v>669.91908614945271</v>
      </c>
      <c r="DO100" s="42">
        <f>DO94*1000/DO97</f>
        <v>653.90381732210813</v>
      </c>
      <c r="DP100" s="42">
        <f>DP94*1000/DP97</f>
        <v>674.52067452067456</v>
      </c>
      <c r="DQ100" s="43">
        <f>(DM100*DM97+DN100*DN97+DO100*DO97+DP100*DP97)/DQ97</f>
        <v>667.30190870380841</v>
      </c>
      <c r="DR100" s="42">
        <f>DR94*1000/DR97</f>
        <v>669.07986921999066</v>
      </c>
      <c r="DS100" s="42">
        <f>DS94*1000/DS97</f>
        <v>667.42338251986382</v>
      </c>
      <c r="DT100" s="42">
        <f>DT94*1000/DT97</f>
        <v>662.72318983459309</v>
      </c>
      <c r="DU100" s="42">
        <f>DU94*1000/DU97</f>
        <v>670.28199566160515</v>
      </c>
      <c r="DV100" s="43">
        <f>(DR100*DR97+DS100*DS97+DT100*DT97+DU100*DU97)/DV97</f>
        <v>667.35716485177613</v>
      </c>
      <c r="DW100" s="42">
        <f>DW94*1000/DW97</f>
        <v>673.37024065077389</v>
      </c>
      <c r="DX100" s="42">
        <f>DX94*1000/DX97</f>
        <v>665.91537752279476</v>
      </c>
      <c r="DY100" s="42">
        <f>DY94*1000/DY97</f>
        <v>663.87976510401108</v>
      </c>
      <c r="DZ100" s="42">
        <f>DZ94*1000/DZ97</f>
        <v>662.71826815071995</v>
      </c>
      <c r="EA100" s="43">
        <f>(DW100*DW97+DX100*DX97+DY100*DY97+DZ100*DZ97)/EA97</f>
        <v>666.28523873920733</v>
      </c>
      <c r="EB100" s="42">
        <f>EB94*1000/EB97</f>
        <v>638.82594151289516</v>
      </c>
      <c r="EC100" s="42">
        <f>EC94*1000/EC97</f>
        <v>633.06330633063305</v>
      </c>
      <c r="ED100" s="42">
        <f>ED94*1000/ED97</f>
        <v>621.31065532766388</v>
      </c>
      <c r="EE100" s="42">
        <f>EE94*1000/EE97</f>
        <v>602.20344421863297</v>
      </c>
      <c r="EF100" s="43">
        <f>(EB100*EB97+EC100*EC97+ED100*ED97+EE100*EE97)/EF97</f>
        <v>623.9316239316239</v>
      </c>
      <c r="EG100" s="42">
        <f>EG94*1000/EG97</f>
        <v>561.83403293509843</v>
      </c>
      <c r="EH100" s="42">
        <f>EH94*1000/EH97</f>
        <v>565.24479932758982</v>
      </c>
      <c r="EI100" s="42">
        <f>EI94*1000/EI97</f>
        <v>578.76195269250127</v>
      </c>
      <c r="EJ100" s="42">
        <f>EJ94*1000/EJ97</f>
        <v>585.34136546184743</v>
      </c>
      <c r="EK100" s="43">
        <f>(EG100*EG97+EH100*EH97+EI100*EI97+EJ100*EJ97)/EK97</f>
        <v>573.06738321620503</v>
      </c>
      <c r="EL100" s="42">
        <f>EL94*1000/EL97</f>
        <v>589.02413864245932</v>
      </c>
      <c r="EM100" s="42">
        <f>EM94*1000/EM97</f>
        <v>587.65236349222073</v>
      </c>
      <c r="EN100" s="42">
        <f>EN94*1000/EN97</f>
        <v>599.8840803709428</v>
      </c>
      <c r="EO100" s="42">
        <f>EO94*1000/EO97</f>
        <v>629.00792153904183</v>
      </c>
      <c r="EP100" s="43">
        <f>(EL100*EL97+EM100*EM97+EN100*EN97+EO100*EO97)/EP97</f>
        <v>601.85071549544682</v>
      </c>
      <c r="EQ100" s="42">
        <f>EQ94*1000/EQ97</f>
        <v>646.20663362561947</v>
      </c>
      <c r="ER100" s="1638">
        <f>ER94*1000/ER97</f>
        <v>645.28964234249213</v>
      </c>
      <c r="ES100" s="1638">
        <f>ES94*1000/ES97</f>
        <v>652.8527403103426</v>
      </c>
      <c r="ET100" s="1638">
        <f>ET94*1000/ET97</f>
        <v>667.94438497467138</v>
      </c>
      <c r="EU100" s="1957">
        <f>(EQ100*EQ97+ER100*ER97+ES100*ES97+ET100*ET97)/EU97</f>
        <v>653.25074362964688</v>
      </c>
      <c r="EV100" s="1638"/>
      <c r="EW100" s="1638"/>
      <c r="EX100" s="1638"/>
      <c r="EY100" s="1638"/>
      <c r="EZ100" s="1639">
        <f>EZ94*1000/EZ97</f>
        <v>692.95865889797358</v>
      </c>
      <c r="FA100" s="1638"/>
      <c r="FB100" s="1638"/>
      <c r="FC100" s="1638"/>
      <c r="FD100" s="1638"/>
      <c r="FE100" s="1639">
        <f>FE94*1000/FE97</f>
        <v>721.01470822858653</v>
      </c>
      <c r="FF100" s="760"/>
      <c r="FG100" s="653"/>
      <c r="FH100" s="1027"/>
      <c r="FI100" s="1027"/>
      <c r="FJ100" s="1027"/>
      <c r="FK100" s="1027"/>
      <c r="FL100" s="1809"/>
      <c r="FM100" s="42">
        <f t="shared" si="338"/>
        <v>646.20663362561947</v>
      </c>
      <c r="FN100" s="42">
        <f t="shared" si="339"/>
        <v>589.02413864245932</v>
      </c>
      <c r="FO100" s="42">
        <v>620.82720037762317</v>
      </c>
      <c r="FP100" s="1863">
        <f>IFERROR(($FM100/FN100)-1,"")</f>
        <v>9.708005365442296E-2</v>
      </c>
      <c r="FQ100" s="1863">
        <f>IFERROR(($FM100/FO100)-1,"")</f>
        <v>4.0880027860504597E-2</v>
      </c>
      <c r="FR100" s="122"/>
      <c r="FS100" s="122"/>
      <c r="FT100" s="122"/>
      <c r="FU100" s="122"/>
      <c r="FV100" s="122"/>
      <c r="FW100" s="122"/>
      <c r="FX100" s="122"/>
      <c r="FY100" s="122"/>
      <c r="FZ100" s="122"/>
      <c r="GA100" s="653"/>
      <c r="GB100"/>
      <c r="GC100"/>
      <c r="GD100"/>
      <c r="GE100"/>
      <c r="GF100"/>
      <c r="GG100"/>
      <c r="GH100" s="956"/>
      <c r="GI100" s="956"/>
      <c r="GJ100" s="956"/>
      <c r="GK100" s="956"/>
      <c r="GL100" s="956"/>
      <c r="GM100" s="956"/>
      <c r="GN100" s="956"/>
      <c r="GO100" s="956"/>
      <c r="GP100" s="956"/>
      <c r="GQ100" s="956"/>
      <c r="GR100" s="956"/>
      <c r="GS100" s="956"/>
      <c r="GT100" s="956"/>
      <c r="GU100" s="956"/>
      <c r="GV100" s="956"/>
      <c r="GW100" s="956"/>
      <c r="GX100" s="956"/>
      <c r="GY100" s="956"/>
      <c r="GZ100" s="956"/>
      <c r="HA100" s="956"/>
      <c r="HB100" s="956"/>
      <c r="HC100" s="956"/>
      <c r="HD100" s="956"/>
      <c r="HE100" s="956"/>
      <c r="HF100" s="956"/>
      <c r="HG100" s="956"/>
      <c r="HH100" s="956"/>
      <c r="HI100" s="956"/>
      <c r="HJ100" s="956"/>
      <c r="HK100" s="956"/>
      <c r="HL100" s="956"/>
      <c r="HM100" s="956"/>
      <c r="HN100" s="956"/>
      <c r="HO100" s="956"/>
      <c r="HP100" s="956"/>
      <c r="HQ100" s="956"/>
      <c r="HR100" s="956"/>
      <c r="HS100" s="956"/>
      <c r="HT100" s="956"/>
      <c r="HU100" s="956"/>
      <c r="HV100" s="956"/>
      <c r="HW100" s="956"/>
      <c r="HX100" s="956"/>
      <c r="HY100" s="956"/>
      <c r="HZ100" s="956"/>
      <c r="IA100" s="956"/>
      <c r="IB100" s="956"/>
      <c r="IC100" s="956"/>
      <c r="ID100" s="956"/>
      <c r="IE100" s="956"/>
      <c r="IF100" s="956"/>
      <c r="IG100" s="956"/>
      <c r="IH100" s="956"/>
      <c r="II100" s="956"/>
      <c r="IJ100" s="956"/>
      <c r="IK100" s="956"/>
      <c r="IL100" s="956"/>
      <c r="IM100" s="956"/>
      <c r="IN100" s="956"/>
      <c r="IO100" s="956"/>
      <c r="IP100" s="956"/>
      <c r="IQ100" s="956"/>
      <c r="IR100" s="956"/>
      <c r="IS100" s="956"/>
      <c r="IT100" s="956"/>
      <c r="IU100" s="956"/>
      <c r="IV100" s="956"/>
    </row>
    <row r="101" spans="1:256" s="191" customFormat="1" ht="12.75" x14ac:dyDescent="0.2">
      <c r="A101" s="242" t="s">
        <v>218</v>
      </c>
      <c r="B101" s="22"/>
      <c r="C101" s="22"/>
      <c r="D101" s="22"/>
      <c r="E101" s="197"/>
      <c r="F101" s="21"/>
      <c r="G101" s="22"/>
      <c r="H101" s="22"/>
      <c r="I101" s="22"/>
      <c r="J101" s="197"/>
      <c r="K101" s="21"/>
      <c r="L101" s="22"/>
      <c r="M101" s="22"/>
      <c r="N101" s="22"/>
      <c r="O101" s="197"/>
      <c r="P101" s="21"/>
      <c r="Q101" s="22">
        <f t="shared" ref="Q101:BX101" si="378">Q100/L100-1</f>
        <v>-5.5927080233668991E-2</v>
      </c>
      <c r="R101" s="22">
        <f t="shared" si="378"/>
        <v>2.554759122076522E-2</v>
      </c>
      <c r="S101" s="22">
        <f t="shared" si="378"/>
        <v>2.490117131613423E-2</v>
      </c>
      <c r="T101" s="197">
        <f t="shared" si="378"/>
        <v>5.4227920782277783E-2</v>
      </c>
      <c r="U101" s="21">
        <f t="shared" si="378"/>
        <v>1.2270198467542182E-2</v>
      </c>
      <c r="V101" s="22">
        <f t="shared" si="378"/>
        <v>2.7502596852998717E-2</v>
      </c>
      <c r="W101" s="22">
        <f t="shared" si="378"/>
        <v>-0.17709719885906527</v>
      </c>
      <c r="X101" s="22">
        <f t="shared" si="378"/>
        <v>-0.15768883015045754</v>
      </c>
      <c r="Y101" s="197">
        <f t="shared" si="378"/>
        <v>-0.16412336409248807</v>
      </c>
      <c r="Z101" s="21">
        <f t="shared" si="378"/>
        <v>-0.12104159381478974</v>
      </c>
      <c r="AA101" s="22">
        <f t="shared" si="378"/>
        <v>-0.13527003893225387</v>
      </c>
      <c r="AB101" s="22">
        <f t="shared" si="378"/>
        <v>2.9616960510719492E-2</v>
      </c>
      <c r="AC101" s="22">
        <f t="shared" si="378"/>
        <v>4.9913485777359767E-3</v>
      </c>
      <c r="AD101" s="197">
        <f t="shared" si="378"/>
        <v>-5.3937270875763499E-3</v>
      </c>
      <c r="AE101" s="21">
        <f t="shared" si="378"/>
        <v>-3.0564700504323583E-2</v>
      </c>
      <c r="AF101" s="22">
        <f t="shared" si="378"/>
        <v>-3.9236534592571592E-2</v>
      </c>
      <c r="AG101" s="22">
        <f t="shared" si="378"/>
        <v>-1.1014590537235525E-2</v>
      </c>
      <c r="AH101" s="22">
        <f t="shared" si="378"/>
        <v>-1.0026893470739484E-2</v>
      </c>
      <c r="AI101" s="197">
        <f t="shared" si="378"/>
        <v>7.9827657019679865E-3</v>
      </c>
      <c r="AJ101" s="21">
        <f t="shared" si="378"/>
        <v>-1.2190125632989601E-2</v>
      </c>
      <c r="AK101" s="22">
        <f t="shared" si="378"/>
        <v>-4.165819955293748E-3</v>
      </c>
      <c r="AL101" s="22">
        <f t="shared" si="378"/>
        <v>-4.5320603488920197E-2</v>
      </c>
      <c r="AM101" s="22">
        <f t="shared" si="378"/>
        <v>-1.4531500362202965E-2</v>
      </c>
      <c r="AN101" s="197">
        <f t="shared" si="378"/>
        <v>-3.562812501072421E-2</v>
      </c>
      <c r="AO101" s="21">
        <f t="shared" si="378"/>
        <v>-2.518965431757314E-2</v>
      </c>
      <c r="AP101" s="22">
        <f t="shared" si="378"/>
        <v>-1.3035084922869755E-2</v>
      </c>
      <c r="AQ101" s="22">
        <f t="shared" si="378"/>
        <v>4.9473480556092575E-3</v>
      </c>
      <c r="AR101" s="22">
        <f t="shared" si="378"/>
        <v>1.9932167250741317E-2</v>
      </c>
      <c r="AS101" s="197">
        <f t="shared" si="378"/>
        <v>4.3492338769517858E-2</v>
      </c>
      <c r="AT101" s="21">
        <f t="shared" si="378"/>
        <v>1.4128336331604263E-2</v>
      </c>
      <c r="AU101" s="22">
        <f t="shared" si="378"/>
        <v>2.5987006171493521E-2</v>
      </c>
      <c r="AV101" s="22">
        <f t="shared" si="378"/>
        <v>3.7583905867487832E-2</v>
      </c>
      <c r="AW101" s="22">
        <f t="shared" si="378"/>
        <v>-9.5535336778207469E-4</v>
      </c>
      <c r="AX101" s="197">
        <f t="shared" si="378"/>
        <v>-3.248118636564834E-2</v>
      </c>
      <c r="AY101" s="21">
        <f t="shared" si="378"/>
        <v>6.8269420566249295E-3</v>
      </c>
      <c r="AZ101" s="22">
        <f t="shared" si="378"/>
        <v>-4.1678391972406303E-2</v>
      </c>
      <c r="BA101" s="22">
        <f t="shared" si="378"/>
        <v>8.3439547005642378E-2</v>
      </c>
      <c r="BB101" s="22">
        <f t="shared" si="378"/>
        <v>0.26814082528419436</v>
      </c>
      <c r="BC101" s="197">
        <f t="shared" si="378"/>
        <v>0.27931147315597715</v>
      </c>
      <c r="BD101" s="21">
        <f t="shared" si="378"/>
        <v>0.17100775631098175</v>
      </c>
      <c r="BE101" s="22">
        <f t="shared" si="378"/>
        <v>0.34079685039370089</v>
      </c>
      <c r="BF101" s="22">
        <f t="shared" si="378"/>
        <v>0.20984555863831433</v>
      </c>
      <c r="BG101" s="22">
        <f t="shared" si="378"/>
        <v>5.2755042140769426E-2</v>
      </c>
      <c r="BH101" s="197">
        <f t="shared" si="378"/>
        <v>9.7525233073544992E-2</v>
      </c>
      <c r="BI101" s="21">
        <f t="shared" si="378"/>
        <v>0.13988259013009396</v>
      </c>
      <c r="BJ101" s="22">
        <f t="shared" si="378"/>
        <v>5.0020669698222608E-2</v>
      </c>
      <c r="BK101" s="22">
        <f t="shared" si="378"/>
        <v>3.8214093408295291E-2</v>
      </c>
      <c r="BL101" s="22">
        <f t="shared" si="378"/>
        <v>8.946194663043805E-3</v>
      </c>
      <c r="BM101" s="197">
        <f t="shared" si="378"/>
        <v>-2.2861615820787939E-2</v>
      </c>
      <c r="BN101" s="21">
        <f t="shared" si="378"/>
        <v>1.654152064278569E-2</v>
      </c>
      <c r="BO101" s="22">
        <f t="shared" si="378"/>
        <v>-3.24344023323615E-2</v>
      </c>
      <c r="BP101" s="22">
        <f t="shared" si="378"/>
        <v>-3.7300624658863413E-2</v>
      </c>
      <c r="BQ101" s="22">
        <f t="shared" si="378"/>
        <v>-1.3256494025724819E-2</v>
      </c>
      <c r="BR101" s="197">
        <f t="shared" si="378"/>
        <v>3.8736865458871117E-2</v>
      </c>
      <c r="BS101" s="21">
        <f t="shared" si="378"/>
        <v>-1.1162881621851972E-2</v>
      </c>
      <c r="BT101" s="22">
        <f t="shared" si="378"/>
        <v>1.5944758317639529E-2</v>
      </c>
      <c r="BU101" s="22">
        <f t="shared" si="378"/>
        <v>3.064174805735842E-3</v>
      </c>
      <c r="BV101" s="22">
        <f t="shared" si="378"/>
        <v>1.3050835253456183E-2</v>
      </c>
      <c r="BW101" s="197">
        <f t="shared" si="378"/>
        <v>-2.7391353500428761E-2</v>
      </c>
      <c r="BX101" s="21">
        <f t="shared" si="378"/>
        <v>1.261665332328521E-3</v>
      </c>
      <c r="BY101" s="22">
        <f>BY100/BT100-1</f>
        <v>1.2539715505905269E-2</v>
      </c>
      <c r="BZ101" s="22">
        <f>BZ100/BU100-1</f>
        <v>4.1640069670008772E-2</v>
      </c>
      <c r="CA101" s="22">
        <f t="shared" ref="CA101:DY101" si="379">CA100/BV100-1</f>
        <v>5.9269013548708172E-2</v>
      </c>
      <c r="CB101" s="197">
        <f t="shared" si="379"/>
        <v>0.10841064685593826</v>
      </c>
      <c r="CC101" s="21">
        <f t="shared" si="379"/>
        <v>5.8225181179368812E-2</v>
      </c>
      <c r="CD101" s="22">
        <f t="shared" si="379"/>
        <v>0.10964269297814133</v>
      </c>
      <c r="CE101" s="22">
        <f t="shared" si="379"/>
        <v>9.2652360762597086E-2</v>
      </c>
      <c r="CF101" s="22">
        <f t="shared" si="379"/>
        <v>7.0026708979817442E-2</v>
      </c>
      <c r="CG101" s="197">
        <f t="shared" si="379"/>
        <v>8.8359968540455469E-2</v>
      </c>
      <c r="CH101" s="21">
        <f t="shared" si="379"/>
        <v>8.8835574556267227E-2</v>
      </c>
      <c r="CI101" s="22">
        <f t="shared" si="379"/>
        <v>5.9628700413890456E-2</v>
      </c>
      <c r="CJ101" s="22">
        <f t="shared" si="379"/>
        <v>7.7503402816029299E-2</v>
      </c>
      <c r="CK101" s="22">
        <f t="shared" si="379"/>
        <v>7.5480584303285081E-2</v>
      </c>
      <c r="CL101" s="197">
        <f t="shared" si="379"/>
        <v>-1.7300651684806101E-2</v>
      </c>
      <c r="CM101" s="21">
        <f t="shared" si="379"/>
        <v>4.5737228214394188E-2</v>
      </c>
      <c r="CN101" s="22">
        <f t="shared" si="379"/>
        <v>6.3228925314100515E-3</v>
      </c>
      <c r="CO101" s="22">
        <f t="shared" si="379"/>
        <v>1.0286380010982477E-2</v>
      </c>
      <c r="CP101" s="22">
        <f t="shared" si="379"/>
        <v>5.8810301756073713E-4</v>
      </c>
      <c r="CQ101" s="197">
        <f t="shared" si="379"/>
        <v>5.1869397032216824E-2</v>
      </c>
      <c r="CR101" s="21">
        <f t="shared" si="379"/>
        <v>1.704414071326843E-2</v>
      </c>
      <c r="CS101" s="22">
        <f t="shared" si="379"/>
        <v>9.6134416636847853E-2</v>
      </c>
      <c r="CT101" s="22">
        <f t="shared" si="379"/>
        <v>0.1401926380391596</v>
      </c>
      <c r="CU101" s="22">
        <f t="shared" si="379"/>
        <v>0.15585445600733139</v>
      </c>
      <c r="CV101" s="197">
        <f t="shared" si="379"/>
        <v>2.1885950660003761E-2</v>
      </c>
      <c r="CW101" s="21">
        <f t="shared" si="379"/>
        <v>0.10375009301891525</v>
      </c>
      <c r="CX101" s="22">
        <f t="shared" si="379"/>
        <v>-8.1105495739641986E-2</v>
      </c>
      <c r="CY101" s="22">
        <f t="shared" si="379"/>
        <v>-0.13861186909833312</v>
      </c>
      <c r="CZ101" s="22">
        <f t="shared" si="379"/>
        <v>-0.14170748990113147</v>
      </c>
      <c r="DA101" s="22">
        <f>DA100/CV100-1</f>
        <v>-7.1437711190618036E-2</v>
      </c>
      <c r="DB101" s="21">
        <f>DB100/CW100-1</f>
        <v>-0.11010453804690645</v>
      </c>
      <c r="DC101" s="22">
        <f t="shared" si="379"/>
        <v>4.6536120008591197E-3</v>
      </c>
      <c r="DD101" s="22">
        <f t="shared" si="379"/>
        <v>2.4155248163453935E-2</v>
      </c>
      <c r="DE101" s="22">
        <f t="shared" si="379"/>
        <v>1.7221154566100516E-3</v>
      </c>
      <c r="DF101" s="22">
        <f t="shared" si="379"/>
        <v>2.8188164082203704E-2</v>
      </c>
      <c r="DG101" s="21">
        <f t="shared" si="379"/>
        <v>1.4807535531721205E-2</v>
      </c>
      <c r="DH101" s="22">
        <f t="shared" si="379"/>
        <v>7.1586949635730202E-2</v>
      </c>
      <c r="DI101" s="22">
        <f t="shared" si="379"/>
        <v>9.477415109675924E-2</v>
      </c>
      <c r="DJ101" s="22">
        <f t="shared" si="379"/>
        <v>9.4850006048143198E-2</v>
      </c>
      <c r="DK101" s="22">
        <f t="shared" si="379"/>
        <v>6.3656376966716666E-2</v>
      </c>
      <c r="DL101" s="21">
        <f t="shared" si="379"/>
        <v>8.127996631320733E-2</v>
      </c>
      <c r="DM101" s="22">
        <f t="shared" si="379"/>
        <v>3.3859872611464947E-2</v>
      </c>
      <c r="DN101" s="22">
        <f t="shared" si="379"/>
        <v>-5.0460979780351245E-3</v>
      </c>
      <c r="DO101" s="22">
        <f t="shared" si="379"/>
        <v>-1.8906922359007483E-2</v>
      </c>
      <c r="DP101" s="22">
        <f t="shared" si="379"/>
        <v>1.6529442522222215E-2</v>
      </c>
      <c r="DQ101" s="21">
        <f t="shared" si="379"/>
        <v>5.8088159124776162E-3</v>
      </c>
      <c r="DR101" s="22">
        <f t="shared" si="379"/>
        <v>-3.3630031542833949E-3</v>
      </c>
      <c r="DS101" s="22">
        <f t="shared" si="379"/>
        <v>-3.7253806932620037E-3</v>
      </c>
      <c r="DT101" s="22">
        <f t="shared" si="379"/>
        <v>1.3487262620063056E-2</v>
      </c>
      <c r="DU101" s="22">
        <f t="shared" si="379"/>
        <v>-6.2839865688052443E-3</v>
      </c>
      <c r="DV101" s="21">
        <f t="shared" si="379"/>
        <v>8.2805319821410706E-5</v>
      </c>
      <c r="DW101" s="22">
        <f>DW100/DR100-1</f>
        <v>6.412345712605072E-3</v>
      </c>
      <c r="DX101" s="22">
        <f t="shared" si="379"/>
        <v>-2.2594428612547901E-3</v>
      </c>
      <c r="DY101" s="22">
        <f t="shared" si="379"/>
        <v>1.7451860552919474E-3</v>
      </c>
      <c r="DZ101" s="22">
        <f t="shared" ref="DZ101:EI101" si="380">DZ100/DU100-1</f>
        <v>-1.1284396059929036E-2</v>
      </c>
      <c r="EA101" s="21">
        <f t="shared" si="380"/>
        <v>-1.6062255251382274E-3</v>
      </c>
      <c r="EB101" s="22">
        <f t="shared" si="380"/>
        <v>-5.1300602629088088E-2</v>
      </c>
      <c r="EC101" s="22">
        <f t="shared" si="380"/>
        <v>-4.9333702601029317E-2</v>
      </c>
      <c r="ED101" s="22">
        <f t="shared" si="380"/>
        <v>-6.4121716030428821E-2</v>
      </c>
      <c r="EE101" s="22">
        <f t="shared" si="380"/>
        <v>-9.1313046343132198E-2</v>
      </c>
      <c r="EF101" s="21">
        <f t="shared" si="380"/>
        <v>-6.3566791435643921E-2</v>
      </c>
      <c r="EG101" s="22">
        <f t="shared" si="380"/>
        <v>-0.12052094878216935</v>
      </c>
      <c r="EH101" s="22">
        <f t="shared" si="380"/>
        <v>-0.10712752788679769</v>
      </c>
      <c r="EI101" s="22">
        <f t="shared" si="380"/>
        <v>-6.8482171149508941E-2</v>
      </c>
      <c r="EJ101" s="2122">
        <f t="shared" ref="EJ101:EN101" si="381">EJ100/EE100-1</f>
        <v>-2.8000634866285568E-2</v>
      </c>
      <c r="EK101" s="21">
        <f t="shared" si="381"/>
        <v>-8.152213922882201E-2</v>
      </c>
      <c r="EL101" s="22">
        <f t="shared" si="381"/>
        <v>4.8395262859595833E-2</v>
      </c>
      <c r="EM101" s="22">
        <f t="shared" si="381"/>
        <v>3.9642229687538499E-2</v>
      </c>
      <c r="EN101" s="22">
        <f t="shared" si="381"/>
        <v>3.6495363214837706E-2</v>
      </c>
      <c r="EO101" s="1582">
        <f t="shared" ref="EO101" si="382">EO100/EJ100-1</f>
        <v>7.4600154121587714E-2</v>
      </c>
      <c r="EP101" s="2093">
        <f t="shared" ref="EP101:EQ101" si="383">EP100/EK100-1</f>
        <v>5.022678505571565E-2</v>
      </c>
      <c r="EQ101" s="1582">
        <f t="shared" si="383"/>
        <v>9.708005365442296E-2</v>
      </c>
      <c r="ER101" s="1582">
        <f t="shared" ref="ER101" si="384">ER100/EM100-1</f>
        <v>9.8080570131212186E-2</v>
      </c>
      <c r="ES101" s="1582">
        <f t="shared" ref="ES101:EU101" si="385">ES100/EN100-1</f>
        <v>8.8298159048738611E-2</v>
      </c>
      <c r="ET101" s="1582">
        <f t="shared" si="385"/>
        <v>6.1901388046688988E-2</v>
      </c>
      <c r="EU101" s="1956">
        <f t="shared" si="385"/>
        <v>8.5403284919063793E-2</v>
      </c>
      <c r="EV101" s="1906"/>
      <c r="EW101" s="1906"/>
      <c r="EX101" s="1906"/>
      <c r="EY101" s="1906"/>
      <c r="EZ101" s="1637">
        <f>EZ100/EU100-1</f>
        <v>6.078510534515158E-2</v>
      </c>
      <c r="FA101" s="1906"/>
      <c r="FB101" s="1906"/>
      <c r="FC101" s="1906"/>
      <c r="FD101" s="1906"/>
      <c r="FE101" s="1637">
        <f>FE100/EZ100-1</f>
        <v>4.0487334951887499E-2</v>
      </c>
      <c r="FF101" s="790"/>
      <c r="FG101" s="650"/>
      <c r="FH101" s="1073"/>
      <c r="FI101" s="1073"/>
      <c r="FJ101" s="1073"/>
      <c r="FK101" s="1073"/>
      <c r="FL101" s="1806"/>
      <c r="FM101" s="22">
        <f t="shared" si="338"/>
        <v>9.708005365442296E-2</v>
      </c>
      <c r="FN101" s="22">
        <f t="shared" si="339"/>
        <v>4.8395262859595833E-2</v>
      </c>
      <c r="FO101" s="2049">
        <v>5.3992798679628473E-2</v>
      </c>
      <c r="FP101" s="1892">
        <f>IFERROR(($FM101-FN101)*10000,"")</f>
        <v>486.84790794827126</v>
      </c>
      <c r="FQ101" s="1892">
        <f>IFERROR(($FM101-FO101)*10000,"")</f>
        <v>430.87254974794484</v>
      </c>
      <c r="FR101" s="1583" t="s">
        <v>720</v>
      </c>
      <c r="FS101" s="587"/>
      <c r="FT101" s="587"/>
      <c r="FU101" s="587"/>
      <c r="FV101" s="587"/>
      <c r="FW101" s="587"/>
      <c r="FX101" s="587"/>
      <c r="FY101" s="587"/>
      <c r="FZ101" s="587"/>
      <c r="GA101" s="650"/>
      <c r="GB101"/>
      <c r="GC101"/>
      <c r="GD101"/>
      <c r="GE101"/>
      <c r="GF101"/>
      <c r="GG101"/>
      <c r="GH101" s="978"/>
      <c r="GI101" s="978"/>
      <c r="GJ101" s="978"/>
      <c r="GK101" s="978"/>
      <c r="GL101" s="978"/>
      <c r="GM101" s="978"/>
      <c r="GN101" s="978"/>
      <c r="GO101" s="978"/>
      <c r="GP101" s="978"/>
      <c r="GQ101" s="978"/>
      <c r="GR101" s="978"/>
      <c r="GS101" s="978"/>
      <c r="GT101" s="978"/>
      <c r="GU101" s="978"/>
      <c r="GV101" s="978"/>
      <c r="GW101" s="978"/>
      <c r="GX101" s="978"/>
      <c r="GY101" s="978"/>
      <c r="GZ101" s="978"/>
      <c r="HA101" s="978"/>
      <c r="HB101" s="978"/>
      <c r="HC101" s="978"/>
      <c r="HD101" s="978"/>
      <c r="HE101" s="978"/>
      <c r="HF101" s="978"/>
      <c r="HG101" s="978"/>
      <c r="HH101" s="978"/>
      <c r="HI101" s="978"/>
      <c r="HJ101" s="978"/>
      <c r="HK101" s="978"/>
      <c r="HL101" s="978"/>
      <c r="HM101" s="978"/>
      <c r="HN101" s="978"/>
      <c r="HO101" s="978"/>
      <c r="HP101" s="978"/>
      <c r="HQ101" s="978"/>
      <c r="HR101" s="978"/>
      <c r="HS101" s="978"/>
      <c r="HT101" s="978"/>
      <c r="HU101" s="978"/>
      <c r="HV101" s="978"/>
      <c r="HW101" s="978"/>
      <c r="HX101" s="978"/>
      <c r="HY101" s="978"/>
      <c r="HZ101" s="978"/>
      <c r="IA101" s="978"/>
      <c r="IB101" s="978"/>
      <c r="IC101" s="978"/>
      <c r="ID101" s="978"/>
      <c r="IE101" s="978"/>
      <c r="IF101" s="978"/>
      <c r="IG101" s="978"/>
      <c r="IH101" s="978"/>
      <c r="II101" s="978"/>
      <c r="IJ101" s="978"/>
      <c r="IK101" s="978"/>
      <c r="IL101" s="978"/>
      <c r="IM101" s="978"/>
      <c r="IN101" s="978"/>
      <c r="IO101" s="978"/>
      <c r="IP101" s="978"/>
      <c r="IQ101" s="978"/>
      <c r="IR101" s="978"/>
      <c r="IS101" s="978"/>
      <c r="IT101" s="978"/>
      <c r="IU101" s="978"/>
      <c r="IV101" s="978"/>
    </row>
    <row r="102" spans="1:256" s="458" customFormat="1" ht="12.75" x14ac:dyDescent="0.2">
      <c r="A102" s="460" t="s">
        <v>13</v>
      </c>
      <c r="F102" s="462"/>
      <c r="K102" s="462"/>
      <c r="P102" s="462"/>
      <c r="U102" s="462"/>
      <c r="Z102" s="462"/>
      <c r="AE102" s="462"/>
      <c r="AJ102" s="462"/>
      <c r="AO102" s="462"/>
      <c r="AT102" s="462"/>
      <c r="AY102" s="462"/>
      <c r="BD102" s="462"/>
      <c r="BI102" s="462"/>
      <c r="BN102" s="462"/>
      <c r="BS102" s="462"/>
      <c r="BX102" s="462"/>
      <c r="BZ102" s="458">
        <f>BZ100/BY100-1</f>
        <v>1.5722252265595538E-2</v>
      </c>
      <c r="CA102" s="458">
        <f>CA100/BZ100-1</f>
        <v>3.4913335282047653E-2</v>
      </c>
      <c r="CB102" s="458">
        <f>CB100/CA100-1</f>
        <v>6.8370936848807906E-2</v>
      </c>
      <c r="CC102" s="462"/>
      <c r="CD102" s="458">
        <f>CD100/CB100-1</f>
        <v>-1.1942674652295482E-2</v>
      </c>
      <c r="CE102" s="458">
        <f>CE100/CD100-1</f>
        <v>1.6998610467799935E-4</v>
      </c>
      <c r="CF102" s="458">
        <f>CF100/CE100-1</f>
        <v>1.348329074976462E-2</v>
      </c>
      <c r="CG102" s="458">
        <f>CG100/CF100-1</f>
        <v>8.667582730426715E-2</v>
      </c>
      <c r="CH102" s="462"/>
      <c r="CI102" s="458">
        <f>CI100/CG100-1</f>
        <v>-3.8026085251319564E-2</v>
      </c>
      <c r="CJ102" s="458">
        <f>CJ100/CI100-1</f>
        <v>1.7041689226903411E-2</v>
      </c>
      <c r="CK102" s="458">
        <f>CK100/CJ100-1</f>
        <v>1.1580658463381521E-2</v>
      </c>
      <c r="CL102" s="458">
        <f>CL100/CK100-1</f>
        <v>-7.0712173631978237E-3</v>
      </c>
      <c r="CM102" s="462"/>
      <c r="CN102" s="458">
        <f>CN100/CL100-1</f>
        <v>-1.490076889807912E-2</v>
      </c>
      <c r="CO102" s="458">
        <f>CO100/CN100-1</f>
        <v>2.1047393590155838E-2</v>
      </c>
      <c r="CP102" s="458">
        <f>CP100/CO100-1</f>
        <v>1.8699570018223532E-3</v>
      </c>
      <c r="CQ102" s="458">
        <f>CQ100/CP100-1</f>
        <v>4.3817527650312105E-2</v>
      </c>
      <c r="CR102" s="462"/>
      <c r="CS102" s="458">
        <f>CS100/CQ100-1</f>
        <v>2.6554412610445999E-2</v>
      </c>
      <c r="CT102" s="458">
        <f>CT100/CS100-1</f>
        <v>6.2087553853595878E-2</v>
      </c>
      <c r="CU102" s="458">
        <f>CU100/CT100-1</f>
        <v>1.5631758622754788E-2</v>
      </c>
      <c r="CV102" s="458">
        <f>CV100/CU100-1</f>
        <v>-7.7165415580879748E-2</v>
      </c>
      <c r="CW102" s="462"/>
      <c r="CX102" s="458">
        <f>CX100/CV100-1</f>
        <v>-7.6907547791693953E-2</v>
      </c>
      <c r="CY102" s="458">
        <f>CY100/CX100-1</f>
        <v>-4.3801452439041766E-3</v>
      </c>
      <c r="CZ102" s="458">
        <f>CZ100/CY100-1</f>
        <v>1.1981823492253074E-2</v>
      </c>
      <c r="DA102" s="458">
        <f>DA100/CZ100-1</f>
        <v>-1.6114741558633794E-3</v>
      </c>
      <c r="DB102" s="462"/>
      <c r="DC102" s="458">
        <f>DC100/DA100-1</f>
        <v>-1.2644520477805843E-3</v>
      </c>
      <c r="DD102" s="458">
        <f>DD100/DC100-1</f>
        <v>1.4946133915177962E-2</v>
      </c>
      <c r="DE102" s="458">
        <f>DE100/DD100-1</f>
        <v>-1.0184662090890084E-2</v>
      </c>
      <c r="DF102" s="458">
        <f>DF100/DE100-1</f>
        <v>2.4766499200730818E-2</v>
      </c>
      <c r="DG102" s="462"/>
      <c r="DH102" s="458">
        <f>DH100/DF100-1</f>
        <v>4.0891168279703294E-2</v>
      </c>
      <c r="DI102" s="458">
        <f>DI100/DH100-1</f>
        <v>3.6907730673316763E-2</v>
      </c>
      <c r="DJ102" s="458">
        <f>DJ100/DI100-1</f>
        <v>-1.0116079548763923E-2</v>
      </c>
      <c r="DK102" s="458">
        <f>DK100/DJ100-1</f>
        <v>-4.4303642002397892E-3</v>
      </c>
      <c r="DL102" s="462"/>
      <c r="DM102" s="458">
        <f>DM100/DK100-1</f>
        <v>1.1732392099151445E-2</v>
      </c>
      <c r="DN102" s="458">
        <f>DN100/DM100-1</f>
        <v>-2.1129361910429134E-3</v>
      </c>
      <c r="DO102" s="458">
        <f>DO100/DN100-1</f>
        <v>-2.3906273396981148E-2</v>
      </c>
      <c r="DP102" s="458">
        <f>DP100/DO100-1</f>
        <v>3.1528883380735451E-2</v>
      </c>
      <c r="DQ102" s="462"/>
      <c r="DR102" s="458">
        <f>DR100/DP100-1</f>
        <v>-8.0661801872125016E-3</v>
      </c>
      <c r="DS102" s="458">
        <f>DS100/DR100-1</f>
        <v>-2.4757682547794646E-3</v>
      </c>
      <c r="DT102" s="458">
        <f>DT100/DS100-1</f>
        <v>-7.0422955029311174E-3</v>
      </c>
      <c r="DU102" s="458">
        <f>DU100/DT100-1</f>
        <v>1.1405675767734325E-2</v>
      </c>
      <c r="DV102" s="462"/>
      <c r="DW102" s="458">
        <f>DW100/DU100-1</f>
        <v>4.6073816828697822E-3</v>
      </c>
      <c r="DX102" s="458">
        <f>DX100/DW100-1</f>
        <v>-1.1070972071433482E-2</v>
      </c>
      <c r="DY102" s="458">
        <f>DY100/DX100-1</f>
        <v>-3.0568635107304232E-3</v>
      </c>
      <c r="DZ102" s="458">
        <f>DZ100/DY100-1</f>
        <v>-1.7495592038554442E-3</v>
      </c>
      <c r="EA102" s="462"/>
      <c r="EB102" s="458">
        <f>EB100/DZ100-1</f>
        <v>-3.6052011519910332E-2</v>
      </c>
      <c r="EC102" s="458">
        <f>EC100/EB100-1</f>
        <v>-9.0206655800714186E-3</v>
      </c>
      <c r="ED102" s="458">
        <f>ED100/EC100-1</f>
        <v>-1.8564732603268408E-2</v>
      </c>
      <c r="EE102" s="458">
        <f>EE100/ED100-1</f>
        <v>-3.075307166421315E-2</v>
      </c>
      <c r="EF102" s="462"/>
      <c r="EG102" s="458">
        <f>EG100/EE100-1</f>
        <v>-6.7036168044363076E-2</v>
      </c>
      <c r="EH102" s="458">
        <f>EH100/EG100-1</f>
        <v>6.0707721365205192E-3</v>
      </c>
      <c r="EI102" s="458">
        <f>EI100/EH100-1</f>
        <v>2.3913804038518061E-2</v>
      </c>
      <c r="EJ102" s="458">
        <f>EJ100/EI100-1</f>
        <v>1.1368081019731191E-2</v>
      </c>
      <c r="EK102" s="462"/>
      <c r="EL102" s="458">
        <f>EL100/EJ100-1</f>
        <v>6.291667389175748E-3</v>
      </c>
      <c r="EM102" s="458">
        <f>EM100/EL100-1</f>
        <v>-2.3288946245907383E-3</v>
      </c>
      <c r="EN102" s="458">
        <f>EN100/EM100-1</f>
        <v>2.0814545535106976E-2</v>
      </c>
      <c r="EO102" s="458">
        <f>EO100/EN100-1</f>
        <v>4.8549114939156368E-2</v>
      </c>
      <c r="EP102" s="462"/>
      <c r="EQ102" s="458">
        <f>EQ100/EO100-1</f>
        <v>2.7342600144838025E-2</v>
      </c>
      <c r="ER102" s="458">
        <f>ER100/EQ100-1</f>
        <v>-1.4190372481669433E-3</v>
      </c>
      <c r="ES102" s="458">
        <f>ES100/ER100-1</f>
        <v>1.1720470113847359E-2</v>
      </c>
      <c r="ET102" s="458">
        <f>ET100/ES100-1</f>
        <v>2.3116460623501034E-2</v>
      </c>
      <c r="EU102" s="1932"/>
      <c r="EZ102" s="740"/>
      <c r="FE102" s="740"/>
      <c r="FF102" s="740"/>
      <c r="FG102" s="650"/>
      <c r="FH102" s="1088">
        <f>AVERAGE(CI102,CN102,CS102,CX102,DC102,DH102,DM102,DR102,DW102,EB102,EG102,EL102,EQ102)</f>
        <v>-9.602583964167296E-3</v>
      </c>
      <c r="FI102" s="1088">
        <f>AVERAGE(CJ102,CO102,CT102,CY102,DD102,DI102,DN102,DS102,DX102,EC102,EH102,EM102)</f>
        <v>1.0559324285820681E-2</v>
      </c>
      <c r="FJ102" s="1088">
        <f>AVERAGE(CK102,CP102,CU102,CZ102,DE102,DJ102,DO102,DT102,DY102,ED102,EI102,EN102)</f>
        <v>1.0768033750226391E-3</v>
      </c>
      <c r="FK102" s="1088">
        <f>AVERAGE(CL102,CQ102,CV102,DA102,DF102,DK102,DP102,DU102,DZ102,EE102,EJ102,EO102)</f>
        <v>4.0545566491792433E-3</v>
      </c>
      <c r="FL102" s="1795"/>
      <c r="FM102" s="458">
        <f t="shared" si="338"/>
        <v>2.7342600144838025E-2</v>
      </c>
      <c r="FN102" s="458">
        <f t="shared" si="339"/>
        <v>6.291667389175748E-3</v>
      </c>
      <c r="FO102" s="2040">
        <v>-1.3005752203250842E-2</v>
      </c>
      <c r="FP102" s="1888">
        <f>IFERROR(($FM102-FN102)*10000,"")</f>
        <v>210.50932755662276</v>
      </c>
      <c r="FQ102" s="1888">
        <f>IFERROR(($FM102-FO102)*10000,"")</f>
        <v>403.48352348088866</v>
      </c>
      <c r="FR102" s="566"/>
      <c r="FS102" s="566"/>
      <c r="FT102" s="566"/>
      <c r="FU102" s="566"/>
      <c r="FV102" s="566"/>
      <c r="FW102" s="566"/>
      <c r="FX102" s="566"/>
      <c r="FY102" s="566"/>
      <c r="FZ102" s="566"/>
      <c r="GA102" s="650"/>
      <c r="GB102"/>
      <c r="GC102"/>
      <c r="GD102"/>
      <c r="GE102"/>
      <c r="GF102"/>
      <c r="GG102"/>
      <c r="GH102" s="913"/>
      <c r="GI102" s="913"/>
      <c r="GJ102" s="913"/>
      <c r="GK102" s="913"/>
      <c r="GL102" s="913"/>
      <c r="GM102" s="913"/>
      <c r="GN102" s="913"/>
      <c r="GO102" s="913"/>
      <c r="GP102" s="913"/>
      <c r="GQ102" s="913"/>
      <c r="GR102" s="913"/>
      <c r="GS102" s="913"/>
      <c r="GT102" s="913"/>
      <c r="GU102" s="913"/>
      <c r="GV102" s="913"/>
      <c r="GW102" s="913"/>
      <c r="GX102" s="913"/>
      <c r="GY102" s="913"/>
      <c r="GZ102" s="913"/>
      <c r="HA102" s="913"/>
      <c r="HB102" s="913"/>
      <c r="HC102" s="913"/>
      <c r="HD102" s="913"/>
      <c r="HE102" s="913"/>
      <c r="HF102" s="913"/>
      <c r="HG102" s="913"/>
      <c r="HH102" s="913"/>
      <c r="HI102" s="913"/>
      <c r="HJ102" s="913"/>
      <c r="HK102" s="913"/>
      <c r="HL102" s="913"/>
      <c r="HM102" s="913"/>
      <c r="HN102" s="913"/>
      <c r="HO102" s="913"/>
      <c r="HP102" s="913"/>
      <c r="HQ102" s="913"/>
      <c r="HR102" s="913"/>
      <c r="HS102" s="913"/>
      <c r="HT102" s="913"/>
      <c r="HU102" s="913"/>
      <c r="HV102" s="913"/>
      <c r="HW102" s="913"/>
      <c r="HX102" s="913"/>
      <c r="HY102" s="913"/>
      <c r="HZ102" s="913"/>
      <c r="IA102" s="913"/>
      <c r="IB102" s="913"/>
      <c r="IC102" s="913"/>
      <c r="ID102" s="913"/>
      <c r="IE102" s="913"/>
      <c r="IF102" s="913"/>
      <c r="IG102" s="913"/>
      <c r="IH102" s="913"/>
      <c r="II102" s="913"/>
      <c r="IJ102" s="913"/>
      <c r="IK102" s="913"/>
      <c r="IL102" s="913"/>
      <c r="IM102" s="913"/>
      <c r="IN102" s="913"/>
      <c r="IO102" s="913"/>
      <c r="IP102" s="913"/>
      <c r="IQ102" s="913"/>
      <c r="IR102" s="913"/>
      <c r="IS102" s="913"/>
      <c r="IT102" s="913"/>
      <c r="IU102" s="913"/>
      <c r="IV102" s="913"/>
    </row>
    <row r="103" spans="1:256" s="125" customFormat="1" ht="12.75" x14ac:dyDescent="0.2">
      <c r="A103" s="121" t="s">
        <v>577</v>
      </c>
      <c r="B103" s="122">
        <f>324.8+108.4+100.2+99.5+82.3+54.2+53.2+40.2+15.8+12+4.2</f>
        <v>894.80000000000018</v>
      </c>
      <c r="C103" s="122">
        <f>329.7+109.1+107.1+104.5+90.2+61.7+54.5+38.3+16.3+12.8+3.8</f>
        <v>927.99999999999989</v>
      </c>
      <c r="D103" s="122">
        <f>320.5+103.7+102.4+88+82.1+58.8+50.5+37.7+16.3+11.9+2.9</f>
        <v>874.8</v>
      </c>
      <c r="E103" s="533">
        <f>324+106.9+97.4+94.3+90.6+54.1+53.4+34.8+15.6+8.3+3</f>
        <v>882.39999999999986</v>
      </c>
      <c r="F103" s="534">
        <f>B103+C103+D103+E103</f>
        <v>3580</v>
      </c>
      <c r="G103" s="122">
        <f t="shared" ref="G103:AL103" si="386">G94+G80+G58+G49</f>
        <v>923.3</v>
      </c>
      <c r="H103" s="122">
        <f t="shared" si="386"/>
        <v>932.59999999999991</v>
      </c>
      <c r="I103" s="122">
        <f t="shared" si="386"/>
        <v>906</v>
      </c>
      <c r="J103" s="533">
        <f t="shared" si="386"/>
        <v>901.3</v>
      </c>
      <c r="K103" s="534">
        <f t="shared" si="386"/>
        <v>3663.2000000000003</v>
      </c>
      <c r="L103" s="122">
        <f t="shared" si="386"/>
        <v>861</v>
      </c>
      <c r="M103" s="122">
        <f t="shared" si="386"/>
        <v>875.30000000000018</v>
      </c>
      <c r="N103" s="122">
        <f t="shared" si="386"/>
        <v>911.4</v>
      </c>
      <c r="O103" s="533">
        <f t="shared" si="386"/>
        <v>882.59999999999991</v>
      </c>
      <c r="P103" s="534">
        <f t="shared" si="386"/>
        <v>3530.2999999999997</v>
      </c>
      <c r="Q103" s="122">
        <f t="shared" si="386"/>
        <v>885.7</v>
      </c>
      <c r="R103" s="122">
        <f t="shared" si="386"/>
        <v>910.4</v>
      </c>
      <c r="S103" s="122">
        <f t="shared" si="386"/>
        <v>921.6</v>
      </c>
      <c r="T103" s="533">
        <f t="shared" si="386"/>
        <v>937.6</v>
      </c>
      <c r="U103" s="534">
        <f t="shared" si="386"/>
        <v>3655.3</v>
      </c>
      <c r="V103" s="122">
        <f t="shared" si="386"/>
        <v>897.00000000000011</v>
      </c>
      <c r="W103" s="122">
        <f t="shared" si="386"/>
        <v>931.7</v>
      </c>
      <c r="X103" s="122">
        <f t="shared" si="386"/>
        <v>884.39999999999986</v>
      </c>
      <c r="Y103" s="533">
        <f t="shared" si="386"/>
        <v>911.3</v>
      </c>
      <c r="Z103" s="534">
        <f t="shared" si="386"/>
        <v>3624.3999999999996</v>
      </c>
      <c r="AA103" s="122">
        <f t="shared" si="386"/>
        <v>942.30000000000007</v>
      </c>
      <c r="AB103" s="122">
        <f t="shared" si="386"/>
        <v>997.8</v>
      </c>
      <c r="AC103" s="122">
        <f t="shared" si="386"/>
        <v>975.8</v>
      </c>
      <c r="AD103" s="533">
        <f t="shared" si="386"/>
        <v>1002.1999999999999</v>
      </c>
      <c r="AE103" s="534">
        <f t="shared" si="386"/>
        <v>3918.1000000000004</v>
      </c>
      <c r="AF103" s="122">
        <f t="shared" si="386"/>
        <v>999.2</v>
      </c>
      <c r="AG103" s="122">
        <f t="shared" si="386"/>
        <v>1016.4000000000001</v>
      </c>
      <c r="AH103" s="122">
        <f t="shared" si="386"/>
        <v>996</v>
      </c>
      <c r="AI103" s="533">
        <f t="shared" si="386"/>
        <v>1000.1999999999998</v>
      </c>
      <c r="AJ103" s="534">
        <f t="shared" si="386"/>
        <v>4011.8</v>
      </c>
      <c r="AK103" s="122">
        <f t="shared" si="386"/>
        <v>1016.6999999999999</v>
      </c>
      <c r="AL103" s="122">
        <f t="shared" si="386"/>
        <v>1038</v>
      </c>
      <c r="AM103" s="122">
        <f t="shared" ref="AM103:BW103" si="387">AM94+AM80+AM58+AM49</f>
        <v>1020.0999999999999</v>
      </c>
      <c r="AN103" s="533">
        <f t="shared" si="387"/>
        <v>1027.5999999999999</v>
      </c>
      <c r="AO103" s="534">
        <f t="shared" si="387"/>
        <v>4102.3999999999996</v>
      </c>
      <c r="AP103" s="122">
        <f t="shared" si="387"/>
        <v>1046</v>
      </c>
      <c r="AQ103" s="122">
        <f t="shared" si="387"/>
        <v>1066.8</v>
      </c>
      <c r="AR103" s="122">
        <f t="shared" si="387"/>
        <v>1048.0999999999999</v>
      </c>
      <c r="AS103" s="533">
        <f t="shared" si="387"/>
        <v>1062</v>
      </c>
      <c r="AT103" s="534">
        <f t="shared" si="387"/>
        <v>4222.9000000000005</v>
      </c>
      <c r="AU103" s="122">
        <f t="shared" si="387"/>
        <v>1066.3</v>
      </c>
      <c r="AV103" s="122">
        <f t="shared" si="387"/>
        <v>1080.3</v>
      </c>
      <c r="AW103" s="122">
        <f t="shared" si="387"/>
        <v>1048.05</v>
      </c>
      <c r="AX103" s="533">
        <f t="shared" si="387"/>
        <v>1028.24</v>
      </c>
      <c r="AY103" s="534">
        <f t="shared" si="387"/>
        <v>4222.8900000000003</v>
      </c>
      <c r="AZ103" s="122">
        <f t="shared" si="387"/>
        <v>1030.2</v>
      </c>
      <c r="BA103" s="122">
        <f t="shared" si="387"/>
        <v>1193.7</v>
      </c>
      <c r="BB103" s="122">
        <f t="shared" si="387"/>
        <v>1500.09</v>
      </c>
      <c r="BC103" s="533">
        <f t="shared" si="387"/>
        <v>1471.2</v>
      </c>
      <c r="BD103" s="534">
        <f t="shared" si="387"/>
        <v>5195.1899999999996</v>
      </c>
      <c r="BE103" s="122">
        <f t="shared" si="387"/>
        <v>1508</v>
      </c>
      <c r="BF103" s="122">
        <f t="shared" si="387"/>
        <v>1592</v>
      </c>
      <c r="BG103" s="122">
        <f t="shared" si="387"/>
        <v>1535</v>
      </c>
      <c r="BH103" s="533">
        <f t="shared" si="387"/>
        <v>1524</v>
      </c>
      <c r="BI103" s="534">
        <f t="shared" si="387"/>
        <v>6159</v>
      </c>
      <c r="BJ103" s="122">
        <f t="shared" si="387"/>
        <v>1540</v>
      </c>
      <c r="BK103" s="122">
        <f t="shared" si="387"/>
        <v>1592</v>
      </c>
      <c r="BL103" s="122">
        <f t="shared" si="387"/>
        <v>1508</v>
      </c>
      <c r="BM103" s="533">
        <f t="shared" si="387"/>
        <v>1530</v>
      </c>
      <c r="BN103" s="534">
        <f t="shared" si="387"/>
        <v>6170</v>
      </c>
      <c r="BO103" s="122">
        <f t="shared" si="387"/>
        <v>1498</v>
      </c>
      <c r="BP103" s="122">
        <f t="shared" si="387"/>
        <v>1593</v>
      </c>
      <c r="BQ103" s="122">
        <f t="shared" si="387"/>
        <v>1598</v>
      </c>
      <c r="BR103" s="533">
        <f t="shared" si="387"/>
        <v>1581</v>
      </c>
      <c r="BS103" s="534">
        <f t="shared" si="387"/>
        <v>6270</v>
      </c>
      <c r="BT103" s="122">
        <f t="shared" si="387"/>
        <v>1561</v>
      </c>
      <c r="BU103" s="122">
        <f t="shared" si="387"/>
        <v>1633</v>
      </c>
      <c r="BV103" s="122">
        <f t="shared" si="387"/>
        <v>1598</v>
      </c>
      <c r="BW103" s="533">
        <f t="shared" si="387"/>
        <v>1676</v>
      </c>
      <c r="BX103" s="534">
        <f>SUM(BT103:BW103)</f>
        <v>6468</v>
      </c>
      <c r="BY103" s="122">
        <f>BY94+BY80+BY58+BY49</f>
        <v>1693</v>
      </c>
      <c r="BZ103" s="122">
        <f>BZ94+BZ80+BZ58+BZ49</f>
        <v>1813</v>
      </c>
      <c r="CA103" s="122">
        <f>CA94+CA80+CA58+CA49</f>
        <v>1857</v>
      </c>
      <c r="CB103" s="533">
        <f>CB94+CB80+CB58+CB49</f>
        <v>1949</v>
      </c>
      <c r="CC103" s="534">
        <f>SUM(BY103:CB103)</f>
        <v>7312</v>
      </c>
      <c r="CD103" s="122">
        <f>CD94+CD80+CD58+CD49</f>
        <v>1961</v>
      </c>
      <c r="CE103" s="122">
        <f>CE94+CE80+CE58+CE49</f>
        <v>2099</v>
      </c>
      <c r="CF103" s="122">
        <f>CF94+CF80+CF58+CF49</f>
        <v>2155</v>
      </c>
      <c r="CG103" s="533">
        <f>CG94+CG80+CG58+CG49</f>
        <v>2257</v>
      </c>
      <c r="CH103" s="534">
        <f>SUM(CD103:CG103)</f>
        <v>8472</v>
      </c>
      <c r="CI103" s="122">
        <f>CI94+CI80+CI58+CI49</f>
        <v>2303</v>
      </c>
      <c r="CJ103" s="122">
        <f>CJ94+CJ80+CJ58+CJ49</f>
        <v>2392</v>
      </c>
      <c r="CK103" s="122">
        <f>CK94+CK80+CK58+CK49</f>
        <v>2393</v>
      </c>
      <c r="CL103" s="533">
        <f>CL94+CL80+CL58+CL49</f>
        <v>2319</v>
      </c>
      <c r="CM103" s="534">
        <f>SUM(CI103:CL103)</f>
        <v>9407</v>
      </c>
      <c r="CN103" s="122">
        <f>CN94+CN80+CN58+CN49</f>
        <v>2247</v>
      </c>
      <c r="CO103" s="122">
        <f>CO94+CO80+CO58+CO49</f>
        <v>2378</v>
      </c>
      <c r="CP103" s="122">
        <f>CP94+CP80+CP58+CP49</f>
        <v>2353</v>
      </c>
      <c r="CQ103" s="533">
        <f>CQ94+CQ80+CQ58+CQ49</f>
        <v>2454</v>
      </c>
      <c r="CR103" s="534">
        <f>SUM(CN103:CQ103)</f>
        <v>9432</v>
      </c>
      <c r="CS103" s="122">
        <f>CS94+CS80+CS58+CS49</f>
        <v>2500</v>
      </c>
      <c r="CT103" s="122">
        <f>CT94+CT80+CT58+CT49</f>
        <v>2765</v>
      </c>
      <c r="CU103" s="122">
        <f>CU94+CU80+CU58+CU49</f>
        <v>2894</v>
      </c>
      <c r="CV103" s="533">
        <f>CV94+CV80+CV58+CV49</f>
        <v>2502</v>
      </c>
      <c r="CW103" s="534">
        <f>SUM(CS103:CV103)</f>
        <v>10661</v>
      </c>
      <c r="CX103" s="122">
        <f>CX94+CX80+CX58+CX49</f>
        <v>1943</v>
      </c>
      <c r="CY103" s="122">
        <f>CY94+CY80+CY58+CY49</f>
        <v>1857</v>
      </c>
      <c r="CZ103" s="122">
        <f>CZ94+CZ80+CZ58+CZ49</f>
        <v>2063</v>
      </c>
      <c r="DA103" s="122">
        <f>DA94+DA80+DA58+DA49</f>
        <v>2106</v>
      </c>
      <c r="DB103" s="534">
        <f>SUM(CX103:DA103)</f>
        <v>7969</v>
      </c>
      <c r="DC103" s="122">
        <f>DC94+DC80+DC58+DC49</f>
        <v>2238</v>
      </c>
      <c r="DD103" s="122">
        <f>DD94+DD80+DD58+DD49</f>
        <v>2430</v>
      </c>
      <c r="DE103" s="122">
        <f>DE94+DE80+DE58+DE49</f>
        <v>2456</v>
      </c>
      <c r="DF103" s="122">
        <f>DF94+DF80+DF58+DF49</f>
        <v>2391.8731758530184</v>
      </c>
      <c r="DG103" s="534">
        <f>SUM(DC103:DF103)</f>
        <v>9515.8731758530193</v>
      </c>
      <c r="DH103" s="122">
        <f>DH94+DH80+DH58+DH49</f>
        <v>2620</v>
      </c>
      <c r="DI103" s="122">
        <f>DI94+DI80+DI58+DI49</f>
        <v>2866</v>
      </c>
      <c r="DJ103" s="122">
        <f>DJ94+DJ80+DJ58+DJ49</f>
        <v>2889</v>
      </c>
      <c r="DK103" s="122">
        <f>DK94+DK80+DK58+DK49</f>
        <v>2797</v>
      </c>
      <c r="DL103" s="534">
        <f>SUM(DH103:DK103)</f>
        <v>11172</v>
      </c>
      <c r="DM103" s="122">
        <f>DM94+DM80+DM58+DM49</f>
        <v>2789</v>
      </c>
      <c r="DN103" s="122">
        <f>DN94+DN80+DN58+DN49</f>
        <v>2874</v>
      </c>
      <c r="DO103" s="122">
        <f>DO94+DO80+DO58+DO49</f>
        <v>2693</v>
      </c>
      <c r="DP103" s="122">
        <f>DP94+DP80+DP58+DP49</f>
        <v>2684</v>
      </c>
      <c r="DQ103" s="534">
        <f>SUM(DM103:DP103)</f>
        <v>11040</v>
      </c>
      <c r="DR103" s="122">
        <f>DR94+DR80+DR58+DR49</f>
        <v>2738</v>
      </c>
      <c r="DS103" s="122">
        <f>DS94+DS80+DS58+DS49</f>
        <v>2802</v>
      </c>
      <c r="DT103" s="122">
        <f>DT94+DT80+DT58+DT49</f>
        <v>2824</v>
      </c>
      <c r="DU103" s="122">
        <f>DU94+DU80+DU58+DU49</f>
        <v>2881</v>
      </c>
      <c r="DV103" s="534">
        <f>SUM(DR103:DU103)</f>
        <v>11245</v>
      </c>
      <c r="DW103" s="122">
        <f>DW94+DW80+DW58+DW49</f>
        <v>2689</v>
      </c>
      <c r="DX103" s="122">
        <f>DX94+DX80+DX58+DX49</f>
        <v>3042</v>
      </c>
      <c r="DY103" s="122">
        <f>DY94+DY80+DY58+DY49</f>
        <v>3023</v>
      </c>
      <c r="DZ103" s="122">
        <f>DZ94+DZ80+DZ58+DZ49</f>
        <v>2870</v>
      </c>
      <c r="EA103" s="534">
        <f>SUM(DW103:DZ103)</f>
        <v>11624</v>
      </c>
      <c r="EB103" s="122">
        <f>EB94+EB80+EB58+EB49</f>
        <v>2567</v>
      </c>
      <c r="EC103" s="122">
        <f>EC94+EC80+EC58+EC49</f>
        <v>2713</v>
      </c>
      <c r="ED103" s="122">
        <f>ED94+ED80+ED58+ED49</f>
        <v>2713</v>
      </c>
      <c r="EE103" s="122">
        <f>EE94+EE80+EE58+EE49</f>
        <v>2518</v>
      </c>
      <c r="EF103" s="534">
        <f>SUM(EB103:EE103)</f>
        <v>10511</v>
      </c>
      <c r="EG103" s="122">
        <f>EG94+EG80+EG58+EG49</f>
        <v>2420</v>
      </c>
      <c r="EH103" s="122">
        <f>EH94+EH80+EH58+EH49</f>
        <v>2454</v>
      </c>
      <c r="EI103" s="122">
        <f>EI94+EI80+EI58+EI49</f>
        <v>2524</v>
      </c>
      <c r="EJ103" s="122">
        <f>EJ94+EJ80+EJ58+EJ49</f>
        <v>2490</v>
      </c>
      <c r="EK103" s="534">
        <f>SUM(EG103:EJ103)</f>
        <v>9888</v>
      </c>
      <c r="EL103" s="122">
        <f>EL94+EL80+EL58+EL49</f>
        <v>2575</v>
      </c>
      <c r="EM103" s="122">
        <f>EM94+EM80+EM58+EM49</f>
        <v>2637</v>
      </c>
      <c r="EN103" s="122">
        <f>EN94+EN80+EN58+EN49</f>
        <v>2670</v>
      </c>
      <c r="EO103" s="122">
        <f>EO94+EO80+EO58+EO49</f>
        <v>2669</v>
      </c>
      <c r="EP103" s="534">
        <f>SUM(EL103:EO103)</f>
        <v>10551</v>
      </c>
      <c r="EQ103" s="122">
        <f>EQ94+EQ80+EQ58+EQ49</f>
        <v>2717</v>
      </c>
      <c r="ER103" s="122">
        <f>ER105*ER107/1000</f>
        <v>2824.8051164156664</v>
      </c>
      <c r="ES103" s="122">
        <f>ES105*ES107/1000</f>
        <v>2853.0120480124183</v>
      </c>
      <c r="ET103" s="122">
        <f>ET105*ET107/1000</f>
        <v>2802.1452028445119</v>
      </c>
      <c r="EU103" s="1942">
        <f>SUM(EQ103:ET103)</f>
        <v>11196.962367272597</v>
      </c>
      <c r="EV103" s="122"/>
      <c r="EW103" s="122"/>
      <c r="EX103" s="122"/>
      <c r="EY103" s="122"/>
      <c r="EZ103" s="752">
        <f>EZ105*EZ107/1000</f>
        <v>11608.44420935623</v>
      </c>
      <c r="FA103" s="122"/>
      <c r="FB103" s="122"/>
      <c r="FC103" s="122"/>
      <c r="FD103" s="122"/>
      <c r="FE103" s="752">
        <f>FE105*FE107/1000</f>
        <v>12047.784684095732</v>
      </c>
      <c r="FF103" s="756"/>
      <c r="FG103" s="653"/>
      <c r="FH103" s="1027"/>
      <c r="FI103" s="1027"/>
      <c r="FJ103" s="1027"/>
      <c r="FK103" s="1027"/>
      <c r="FL103" s="1809"/>
      <c r="FM103" s="122">
        <f t="shared" si="338"/>
        <v>2717</v>
      </c>
      <c r="FN103" s="122">
        <f t="shared" si="339"/>
        <v>2575</v>
      </c>
      <c r="FO103" s="122">
        <v>2670.8099133132096</v>
      </c>
      <c r="FP103" s="571">
        <f>IFERROR(($FM103/FN103)-1,"")</f>
        <v>5.514563106796122E-2</v>
      </c>
      <c r="FQ103" s="571">
        <f>IFERROR(($FM103/FO103)-1,"")</f>
        <v>1.7294411877290861E-2</v>
      </c>
      <c r="FR103" s="537"/>
      <c r="FS103" s="122"/>
      <c r="FT103" s="122"/>
      <c r="FU103" s="122"/>
      <c r="FV103" s="122"/>
      <c r="FW103" s="122"/>
      <c r="FX103" s="122"/>
      <c r="FY103" s="122"/>
      <c r="FZ103" s="122"/>
      <c r="GA103" s="653"/>
      <c r="GB103"/>
      <c r="GC103"/>
      <c r="GD103"/>
      <c r="GE103"/>
      <c r="GF103"/>
      <c r="GG103"/>
      <c r="GH103" s="956"/>
      <c r="GI103" s="956"/>
      <c r="GJ103" s="956"/>
      <c r="GK103" s="956"/>
      <c r="GL103" s="956"/>
      <c r="GM103" s="956"/>
      <c r="GN103" s="956"/>
      <c r="GO103" s="956"/>
      <c r="GP103" s="956"/>
      <c r="GQ103" s="956"/>
      <c r="GR103" s="956"/>
      <c r="GS103" s="956"/>
      <c r="GT103" s="956"/>
      <c r="GU103" s="956"/>
      <c r="GV103" s="956"/>
      <c r="GW103" s="956"/>
      <c r="GX103" s="956"/>
      <c r="GY103" s="956"/>
      <c r="GZ103" s="956"/>
      <c r="HA103" s="956"/>
      <c r="HB103" s="956"/>
      <c r="HC103" s="956"/>
      <c r="HD103" s="956"/>
      <c r="HE103" s="956"/>
      <c r="HF103" s="956"/>
      <c r="HG103" s="956"/>
      <c r="HH103" s="956"/>
      <c r="HI103" s="956"/>
      <c r="HJ103" s="956"/>
      <c r="HK103" s="956"/>
      <c r="HL103" s="956"/>
      <c r="HM103" s="956"/>
      <c r="HN103" s="956"/>
      <c r="HO103" s="956"/>
      <c r="HP103" s="956"/>
      <c r="HQ103" s="956"/>
      <c r="HR103" s="956"/>
      <c r="HS103" s="956"/>
      <c r="HT103" s="956"/>
      <c r="HU103" s="956"/>
      <c r="HV103" s="956"/>
      <c r="HW103" s="956"/>
      <c r="HX103" s="956"/>
      <c r="HY103" s="956"/>
      <c r="HZ103" s="956"/>
      <c r="IA103" s="956"/>
      <c r="IB103" s="956"/>
      <c r="IC103" s="956"/>
      <c r="ID103" s="956"/>
      <c r="IE103" s="956"/>
      <c r="IF103" s="956"/>
      <c r="IG103" s="956"/>
      <c r="IH103" s="956"/>
      <c r="II103" s="956"/>
      <c r="IJ103" s="956"/>
      <c r="IK103" s="956"/>
      <c r="IL103" s="956"/>
      <c r="IM103" s="956"/>
      <c r="IN103" s="956"/>
      <c r="IO103" s="956"/>
      <c r="IP103" s="956"/>
      <c r="IQ103" s="956"/>
      <c r="IR103" s="956"/>
      <c r="IS103" s="956"/>
      <c r="IT103" s="956"/>
      <c r="IU103" s="956"/>
      <c r="IV103" s="956"/>
    </row>
    <row r="104" spans="1:256" s="244" customFormat="1" ht="12.75" x14ac:dyDescent="0.2">
      <c r="A104" s="242" t="s">
        <v>74</v>
      </c>
      <c r="B104" s="22"/>
      <c r="C104" s="22"/>
      <c r="D104" s="22"/>
      <c r="E104" s="197"/>
      <c r="F104" s="21"/>
      <c r="G104" s="22"/>
      <c r="H104" s="22"/>
      <c r="I104" s="22"/>
      <c r="J104" s="197"/>
      <c r="K104" s="21"/>
      <c r="L104" s="22">
        <f t="shared" ref="L104:BW104" si="388">L103/G103-1</f>
        <v>-6.7475360121303951E-2</v>
      </c>
      <c r="M104" s="22">
        <f t="shared" si="388"/>
        <v>-6.1441132318249769E-2</v>
      </c>
      <c r="N104" s="22">
        <f t="shared" si="388"/>
        <v>5.9602649006622599E-3</v>
      </c>
      <c r="O104" s="197">
        <f t="shared" si="388"/>
        <v>-2.0747808720736782E-2</v>
      </c>
      <c r="P104" s="21">
        <f t="shared" si="388"/>
        <v>-3.6279755405110414E-2</v>
      </c>
      <c r="Q104" s="22">
        <f t="shared" si="388"/>
        <v>2.8687572590011756E-2</v>
      </c>
      <c r="R104" s="22">
        <f t="shared" si="388"/>
        <v>4.0100536958756816E-2</v>
      </c>
      <c r="S104" s="22">
        <f t="shared" si="388"/>
        <v>1.1191573403555033E-2</v>
      </c>
      <c r="T104" s="197">
        <f t="shared" si="388"/>
        <v>6.2315884885565609E-2</v>
      </c>
      <c r="U104" s="21">
        <f t="shared" si="388"/>
        <v>3.5407755714811806E-2</v>
      </c>
      <c r="V104" s="22">
        <f t="shared" si="388"/>
        <v>1.2758270294682239E-2</v>
      </c>
      <c r="W104" s="22">
        <f t="shared" si="388"/>
        <v>2.3396309314587027E-2</v>
      </c>
      <c r="X104" s="22">
        <f t="shared" si="388"/>
        <v>-4.0364583333333481E-2</v>
      </c>
      <c r="Y104" s="197">
        <f t="shared" si="388"/>
        <v>-2.8050341296928405E-2</v>
      </c>
      <c r="Z104" s="21">
        <f t="shared" si="388"/>
        <v>-8.4534785106559207E-3</v>
      </c>
      <c r="AA104" s="22">
        <f t="shared" si="388"/>
        <v>5.0501672240802709E-2</v>
      </c>
      <c r="AB104" s="22">
        <f t="shared" si="388"/>
        <v>7.0945583342277407E-2</v>
      </c>
      <c r="AC104" s="22">
        <f t="shared" si="388"/>
        <v>0.10334690185436468</v>
      </c>
      <c r="AD104" s="197">
        <f t="shared" si="388"/>
        <v>9.9747613299681737E-2</v>
      </c>
      <c r="AE104" s="21">
        <f t="shared" si="388"/>
        <v>8.1034102196225755E-2</v>
      </c>
      <c r="AF104" s="22">
        <f t="shared" si="388"/>
        <v>6.0384166401358241E-2</v>
      </c>
      <c r="AG104" s="22">
        <f t="shared" si="388"/>
        <v>1.8641010222489651E-2</v>
      </c>
      <c r="AH104" s="22">
        <f t="shared" si="388"/>
        <v>2.0700963312154208E-2</v>
      </c>
      <c r="AI104" s="197">
        <f t="shared" si="388"/>
        <v>-1.9956096587508965E-3</v>
      </c>
      <c r="AJ104" s="21">
        <f t="shared" si="388"/>
        <v>2.391465251014524E-2</v>
      </c>
      <c r="AK104" s="22">
        <f t="shared" si="388"/>
        <v>1.7514011208967117E-2</v>
      </c>
      <c r="AL104" s="22">
        <f t="shared" si="388"/>
        <v>2.1251475796930208E-2</v>
      </c>
      <c r="AM104" s="22">
        <f t="shared" si="388"/>
        <v>2.419678714859419E-2</v>
      </c>
      <c r="AN104" s="197">
        <f t="shared" si="388"/>
        <v>2.7394521095780888E-2</v>
      </c>
      <c r="AO104" s="21">
        <f t="shared" si="388"/>
        <v>2.2583379031855921E-2</v>
      </c>
      <c r="AP104" s="22">
        <f t="shared" si="388"/>
        <v>2.8818727254844134E-2</v>
      </c>
      <c r="AQ104" s="22">
        <f t="shared" si="388"/>
        <v>2.7745664739884379E-2</v>
      </c>
      <c r="AR104" s="22">
        <f t="shared" si="388"/>
        <v>2.7448289383393831E-2</v>
      </c>
      <c r="AS104" s="197">
        <f t="shared" si="388"/>
        <v>3.3476060724017209E-2</v>
      </c>
      <c r="AT104" s="21">
        <f t="shared" si="388"/>
        <v>2.9373049921997074E-2</v>
      </c>
      <c r="AU104" s="22">
        <f t="shared" si="388"/>
        <v>1.9407265774378457E-2</v>
      </c>
      <c r="AV104" s="22">
        <f t="shared" si="388"/>
        <v>1.2654668166479199E-2</v>
      </c>
      <c r="AW104" s="22">
        <f t="shared" si="388"/>
        <v>-4.770537162479549E-5</v>
      </c>
      <c r="AX104" s="197">
        <f t="shared" si="388"/>
        <v>-3.1789077212805994E-2</v>
      </c>
      <c r="AY104" s="21">
        <f t="shared" si="388"/>
        <v>-2.3680409197979202E-6</v>
      </c>
      <c r="AZ104" s="22">
        <f t="shared" si="388"/>
        <v>-3.3855387789552549E-2</v>
      </c>
      <c r="BA104" s="22">
        <f t="shared" si="388"/>
        <v>0.10497084143293534</v>
      </c>
      <c r="BB104" s="22">
        <f t="shared" si="388"/>
        <v>0.43131529984256467</v>
      </c>
      <c r="BC104" s="197">
        <f t="shared" si="388"/>
        <v>0.43079436707383501</v>
      </c>
      <c r="BD104" s="21">
        <f t="shared" si="388"/>
        <v>0.23024516385697935</v>
      </c>
      <c r="BE104" s="22">
        <f t="shared" si="388"/>
        <v>0.46379343816734608</v>
      </c>
      <c r="BF104" s="22">
        <f t="shared" si="388"/>
        <v>0.33366842590265566</v>
      </c>
      <c r="BG104" s="22">
        <f t="shared" si="388"/>
        <v>2.3271937017112387E-2</v>
      </c>
      <c r="BH104" s="197">
        <f t="shared" si="388"/>
        <v>3.5889070146818858E-2</v>
      </c>
      <c r="BI104" s="21">
        <f t="shared" si="388"/>
        <v>0.18551968262950935</v>
      </c>
      <c r="BJ104" s="22">
        <f t="shared" si="388"/>
        <v>2.1220159151193574E-2</v>
      </c>
      <c r="BK104" s="22">
        <f t="shared" si="388"/>
        <v>0</v>
      </c>
      <c r="BL104" s="22">
        <f t="shared" si="388"/>
        <v>-1.7589576547231256E-2</v>
      </c>
      <c r="BM104" s="197">
        <f t="shared" si="388"/>
        <v>3.937007874015741E-3</v>
      </c>
      <c r="BN104" s="21">
        <f t="shared" si="388"/>
        <v>1.7860042214645766E-3</v>
      </c>
      <c r="BO104" s="22">
        <f t="shared" si="388"/>
        <v>-2.7272727272727226E-2</v>
      </c>
      <c r="BP104" s="22">
        <f t="shared" si="388"/>
        <v>6.2814070351757678E-4</v>
      </c>
      <c r="BQ104" s="22">
        <f t="shared" si="388"/>
        <v>5.9681697612732121E-2</v>
      </c>
      <c r="BR104" s="197">
        <f t="shared" si="388"/>
        <v>3.3333333333333437E-2</v>
      </c>
      <c r="BS104" s="21">
        <f t="shared" si="388"/>
        <v>1.620745542949753E-2</v>
      </c>
      <c r="BT104" s="22">
        <f t="shared" si="388"/>
        <v>4.20560747663552E-2</v>
      </c>
      <c r="BU104" s="22">
        <f t="shared" si="388"/>
        <v>2.5109855618330235E-2</v>
      </c>
      <c r="BV104" s="22">
        <f t="shared" si="388"/>
        <v>0</v>
      </c>
      <c r="BW104" s="197">
        <f t="shared" si="388"/>
        <v>6.0088551549652092E-2</v>
      </c>
      <c r="BX104" s="21">
        <f t="shared" ref="BX104:CC104" si="389">BX103/BS103-1</f>
        <v>3.1578947368421151E-2</v>
      </c>
      <c r="BY104" s="22">
        <f t="shared" si="389"/>
        <v>8.4561178731582309E-2</v>
      </c>
      <c r="BZ104" s="22">
        <f t="shared" si="389"/>
        <v>0.11022657685241888</v>
      </c>
      <c r="CA104" s="22">
        <f t="shared" si="389"/>
        <v>0.16207759699624535</v>
      </c>
      <c r="CB104" s="197">
        <f t="shared" si="389"/>
        <v>0.16288782816229119</v>
      </c>
      <c r="CC104" s="21">
        <f t="shared" si="389"/>
        <v>0.13048855905998757</v>
      </c>
      <c r="CD104" s="22">
        <f t="shared" ref="CD104:DY104" si="390">CD103/BY103-1</f>
        <v>0.15829887773183704</v>
      </c>
      <c r="CE104" s="22">
        <f t="shared" si="390"/>
        <v>0.15774958632101499</v>
      </c>
      <c r="CF104" s="22">
        <f t="shared" si="390"/>
        <v>0.16047388260635431</v>
      </c>
      <c r="CG104" s="197">
        <f t="shared" si="390"/>
        <v>0.1580297588506927</v>
      </c>
      <c r="CH104" s="21">
        <f t="shared" si="390"/>
        <v>0.15864332603938736</v>
      </c>
      <c r="CI104" s="22">
        <f t="shared" si="390"/>
        <v>0.17440081591024992</v>
      </c>
      <c r="CJ104" s="22">
        <f t="shared" si="390"/>
        <v>0.1395902810862315</v>
      </c>
      <c r="CK104" s="22">
        <f t="shared" si="390"/>
        <v>0.11044083526682136</v>
      </c>
      <c r="CL104" s="197">
        <f t="shared" si="390"/>
        <v>2.7470093043863608E-2</v>
      </c>
      <c r="CM104" s="21">
        <f t="shared" si="390"/>
        <v>0.11036355051935787</v>
      </c>
      <c r="CN104" s="22">
        <f t="shared" si="390"/>
        <v>-2.4316109422492405E-2</v>
      </c>
      <c r="CO104" s="22">
        <f t="shared" si="390"/>
        <v>-5.8528428093646001E-3</v>
      </c>
      <c r="CP104" s="22">
        <f t="shared" si="390"/>
        <v>-1.6715419974926871E-2</v>
      </c>
      <c r="CQ104" s="197">
        <f t="shared" si="390"/>
        <v>5.8214747736093253E-2</v>
      </c>
      <c r="CR104" s="21">
        <f t="shared" si="390"/>
        <v>2.657595407675073E-3</v>
      </c>
      <c r="CS104" s="22">
        <f t="shared" si="390"/>
        <v>0.11259457053849586</v>
      </c>
      <c r="CT104" s="22">
        <f t="shared" si="390"/>
        <v>0.16274179983179149</v>
      </c>
      <c r="CU104" s="22">
        <f t="shared" si="390"/>
        <v>0.22991925201869945</v>
      </c>
      <c r="CV104" s="197">
        <f t="shared" si="390"/>
        <v>1.9559902200489088E-2</v>
      </c>
      <c r="CW104" s="21">
        <f t="shared" si="390"/>
        <v>0.1303011026293468</v>
      </c>
      <c r="CX104" s="22">
        <f t="shared" si="390"/>
        <v>-0.2228</v>
      </c>
      <c r="CY104" s="22">
        <f t="shared" si="390"/>
        <v>-0.32839059674502713</v>
      </c>
      <c r="CZ104" s="22">
        <f t="shared" si="390"/>
        <v>-0.2871458189357291</v>
      </c>
      <c r="DA104" s="22">
        <f>DA103/CV103-1</f>
        <v>-0.15827338129496404</v>
      </c>
      <c r="DB104" s="21">
        <f>DB103/CW103-1</f>
        <v>-0.25250914548353809</v>
      </c>
      <c r="DC104" s="22">
        <f t="shared" si="390"/>
        <v>0.15182707153885744</v>
      </c>
      <c r="DD104" s="22">
        <f t="shared" si="390"/>
        <v>0.30856219709208399</v>
      </c>
      <c r="DE104" s="22">
        <f t="shared" si="390"/>
        <v>0.19049927290353863</v>
      </c>
      <c r="DF104" s="22">
        <f>DF103/DA103-1</f>
        <v>0.13574224874312368</v>
      </c>
      <c r="DG104" s="21">
        <f t="shared" si="390"/>
        <v>0.1941113283790965</v>
      </c>
      <c r="DH104" s="22">
        <f>DH103/DC103-1</f>
        <v>0.17068811438784626</v>
      </c>
      <c r="DI104" s="22">
        <f t="shared" si="390"/>
        <v>0.17942386831275714</v>
      </c>
      <c r="DJ104" s="22">
        <f t="shared" si="390"/>
        <v>0.17630293159609112</v>
      </c>
      <c r="DK104" s="22">
        <f t="shared" si="390"/>
        <v>0.16937638175673775</v>
      </c>
      <c r="DL104" s="21">
        <f t="shared" si="390"/>
        <v>0.17403834556659303</v>
      </c>
      <c r="DM104" s="22">
        <f t="shared" si="390"/>
        <v>6.4503816793893165E-2</v>
      </c>
      <c r="DN104" s="22">
        <f t="shared" si="390"/>
        <v>2.7913468248430551E-3</v>
      </c>
      <c r="DO104" s="22">
        <f t="shared" si="390"/>
        <v>-6.7843544479058493E-2</v>
      </c>
      <c r="DP104" s="22">
        <f t="shared" si="390"/>
        <v>-4.0400429031104745E-2</v>
      </c>
      <c r="DQ104" s="21">
        <f t="shared" si="390"/>
        <v>-1.1815252416756183E-2</v>
      </c>
      <c r="DR104" s="22">
        <f t="shared" si="390"/>
        <v>-1.8286124058802478E-2</v>
      </c>
      <c r="DS104" s="22">
        <f t="shared" si="390"/>
        <v>-2.5052192066805867E-2</v>
      </c>
      <c r="DT104" s="22">
        <f t="shared" si="390"/>
        <v>4.8644634236910456E-2</v>
      </c>
      <c r="DU104" s="22">
        <f t="shared" si="390"/>
        <v>7.3397913561847883E-2</v>
      </c>
      <c r="DV104" s="21">
        <f t="shared" si="390"/>
        <v>1.85688405797102E-2</v>
      </c>
      <c r="DW104" s="22">
        <f>DW103/DR103-1</f>
        <v>-1.7896274653031452E-2</v>
      </c>
      <c r="DX104" s="22">
        <f t="shared" si="390"/>
        <v>8.5653104925053514E-2</v>
      </c>
      <c r="DY104" s="22">
        <f t="shared" si="390"/>
        <v>7.0467422096317289E-2</v>
      </c>
      <c r="DZ104" s="22">
        <f t="shared" ref="DZ104:EI104" si="391">DZ103/DU103-1</f>
        <v>-3.8181187087816815E-3</v>
      </c>
      <c r="EA104" s="21">
        <f t="shared" si="391"/>
        <v>3.3703868385949409E-2</v>
      </c>
      <c r="EB104" s="22">
        <f t="shared" si="391"/>
        <v>-4.5370026031982147E-2</v>
      </c>
      <c r="EC104" s="22">
        <f t="shared" si="391"/>
        <v>-0.10815253122945434</v>
      </c>
      <c r="ED104" s="22">
        <f t="shared" si="391"/>
        <v>-0.10254713860403575</v>
      </c>
      <c r="EE104" s="22">
        <f t="shared" si="391"/>
        <v>-0.12264808362369339</v>
      </c>
      <c r="EF104" s="21">
        <f t="shared" si="391"/>
        <v>-9.5750172057811445E-2</v>
      </c>
      <c r="EG104" s="22">
        <f t="shared" si="391"/>
        <v>-5.726529022204907E-2</v>
      </c>
      <c r="EH104" s="22">
        <f t="shared" si="391"/>
        <v>-9.5466273497972765E-2</v>
      </c>
      <c r="EI104" s="22">
        <f t="shared" si="391"/>
        <v>-6.9664577957980089E-2</v>
      </c>
      <c r="EJ104" s="22">
        <f t="shared" ref="EJ104:EN104" si="392">EJ103/EE103-1</f>
        <v>-1.1119936457505974E-2</v>
      </c>
      <c r="EK104" s="21">
        <f t="shared" si="392"/>
        <v>-5.9271239653696073E-2</v>
      </c>
      <c r="EL104" s="22">
        <f t="shared" si="392"/>
        <v>6.4049586776859568E-2</v>
      </c>
      <c r="EM104" s="22">
        <f t="shared" si="392"/>
        <v>7.457212713936423E-2</v>
      </c>
      <c r="EN104" s="22">
        <f t="shared" si="392"/>
        <v>5.7844690966719403E-2</v>
      </c>
      <c r="EO104" s="22">
        <f t="shared" ref="EO104" si="393">EO103/EJ103-1</f>
        <v>7.1887550200803174E-2</v>
      </c>
      <c r="EP104" s="21">
        <f t="shared" ref="EP104:EQ104" si="394">EP103/EK103-1</f>
        <v>6.7050970873786309E-2</v>
      </c>
      <c r="EQ104" s="22">
        <f t="shared" si="394"/>
        <v>5.514563106796122E-2</v>
      </c>
      <c r="ER104" s="22">
        <f t="shared" ref="ER104" si="395">ER103/EM103-1</f>
        <v>7.1219232618758621E-2</v>
      </c>
      <c r="ES104" s="22">
        <f t="shared" ref="ES104:EU104" si="396">ES103/EN103-1</f>
        <v>6.8543838206898133E-2</v>
      </c>
      <c r="ET104" s="22">
        <f t="shared" si="396"/>
        <v>4.9885800990824958E-2</v>
      </c>
      <c r="EU104" s="270">
        <f t="shared" si="396"/>
        <v>6.1222857290550436E-2</v>
      </c>
      <c r="EV104" s="243"/>
      <c r="EW104" s="243"/>
      <c r="EX104" s="243"/>
      <c r="EY104" s="243"/>
      <c r="EZ104" s="844">
        <f>EZ103/EU103-1</f>
        <v>3.6749417260376394E-2</v>
      </c>
      <c r="FA104" s="243"/>
      <c r="FB104" s="243"/>
      <c r="FC104" s="243"/>
      <c r="FD104" s="243"/>
      <c r="FE104" s="844">
        <f>FE103/EZ103-1</f>
        <v>3.7846628438408692E-2</v>
      </c>
      <c r="FF104" s="791"/>
      <c r="FG104" s="650"/>
      <c r="FH104" s="1073"/>
      <c r="FI104" s="1073"/>
      <c r="FJ104" s="1073"/>
      <c r="FK104" s="1073"/>
      <c r="FL104" s="1806"/>
      <c r="FM104" s="22">
        <f t="shared" si="338"/>
        <v>5.514563106796122E-2</v>
      </c>
      <c r="FN104" s="22">
        <f t="shared" si="339"/>
        <v>6.4049586776859568E-2</v>
      </c>
      <c r="FO104" s="2041">
        <v>3.72077333255183E-2</v>
      </c>
      <c r="FP104" s="1892">
        <f>IFERROR(($FM104-FN104)*10000,"")</f>
        <v>-89.039557088983486</v>
      </c>
      <c r="FQ104" s="1892">
        <f>IFERROR(($FM104-FO104)*10000,"")</f>
        <v>179.37897742442919</v>
      </c>
      <c r="FR104" s="120"/>
      <c r="FS104" s="120"/>
      <c r="FT104" s="120"/>
      <c r="FU104" s="120"/>
      <c r="FV104" s="120"/>
      <c r="FW104" s="120"/>
      <c r="FX104" s="120"/>
      <c r="FY104" s="120"/>
      <c r="FZ104" s="120"/>
      <c r="GA104" s="650"/>
      <c r="GB104"/>
      <c r="GC104"/>
      <c r="GD104"/>
      <c r="GE104"/>
      <c r="GF104"/>
      <c r="GG104"/>
      <c r="GH104" s="973"/>
      <c r="GI104" s="973"/>
      <c r="GJ104" s="973"/>
      <c r="GK104" s="973"/>
      <c r="GL104" s="973"/>
      <c r="GM104" s="973"/>
      <c r="GN104" s="973"/>
      <c r="GO104" s="973"/>
      <c r="GP104" s="973"/>
      <c r="GQ104" s="973"/>
      <c r="GR104" s="973"/>
      <c r="GS104" s="973"/>
      <c r="GT104" s="973"/>
      <c r="GU104" s="973"/>
      <c r="GV104" s="973"/>
      <c r="GW104" s="973"/>
      <c r="GX104" s="973"/>
      <c r="GY104" s="973"/>
      <c r="GZ104" s="973"/>
      <c r="HA104" s="973"/>
      <c r="HB104" s="973"/>
      <c r="HC104" s="973"/>
      <c r="HD104" s="973"/>
      <c r="HE104" s="973"/>
      <c r="HF104" s="973"/>
      <c r="HG104" s="973"/>
      <c r="HH104" s="973"/>
      <c r="HI104" s="973"/>
      <c r="HJ104" s="973"/>
      <c r="HK104" s="973"/>
      <c r="HL104" s="973"/>
      <c r="HM104" s="973"/>
      <c r="HN104" s="973"/>
      <c r="HO104" s="973"/>
      <c r="HP104" s="973"/>
      <c r="HQ104" s="973"/>
      <c r="HR104" s="973"/>
      <c r="HS104" s="973"/>
      <c r="HT104" s="973"/>
      <c r="HU104" s="973"/>
      <c r="HV104" s="973"/>
      <c r="HW104" s="973"/>
      <c r="HX104" s="973"/>
      <c r="HY104" s="973"/>
      <c r="HZ104" s="973"/>
      <c r="IA104" s="973"/>
      <c r="IB104" s="973"/>
      <c r="IC104" s="973"/>
      <c r="ID104" s="973"/>
      <c r="IE104" s="973"/>
      <c r="IF104" s="973"/>
      <c r="IG104" s="973"/>
      <c r="IH104" s="973"/>
      <c r="II104" s="973"/>
      <c r="IJ104" s="973"/>
      <c r="IK104" s="973"/>
      <c r="IL104" s="973"/>
      <c r="IM104" s="973"/>
      <c r="IN104" s="973"/>
      <c r="IO104" s="973"/>
      <c r="IP104" s="973"/>
      <c r="IQ104" s="973"/>
      <c r="IR104" s="973"/>
      <c r="IS104" s="973"/>
      <c r="IT104" s="973"/>
      <c r="IU104" s="973"/>
      <c r="IV104" s="973"/>
    </row>
    <row r="105" spans="1:256" s="52" customFormat="1" ht="12.75" customHeight="1" x14ac:dyDescent="0.2">
      <c r="A105" s="35" t="s">
        <v>72</v>
      </c>
      <c r="B105" s="36"/>
      <c r="C105" s="36"/>
      <c r="D105" s="36"/>
      <c r="E105" s="200"/>
      <c r="F105" s="37"/>
      <c r="G105" s="36"/>
      <c r="H105" s="36"/>
      <c r="I105" s="36"/>
      <c r="J105" s="200"/>
      <c r="K105" s="37"/>
      <c r="L105" s="36">
        <f t="shared" ref="L105:AQ105" si="397">L13</f>
        <v>950.59999999999991</v>
      </c>
      <c r="M105" s="36">
        <f t="shared" si="397"/>
        <v>948.7</v>
      </c>
      <c r="N105" s="36">
        <f t="shared" si="397"/>
        <v>983.59999999999991</v>
      </c>
      <c r="O105" s="200">
        <f t="shared" si="397"/>
        <v>959.60000000000014</v>
      </c>
      <c r="P105" s="37">
        <f t="shared" si="397"/>
        <v>3842.5</v>
      </c>
      <c r="Q105" s="36">
        <f t="shared" si="397"/>
        <v>967.90000000000009</v>
      </c>
      <c r="R105" s="36">
        <f t="shared" si="397"/>
        <v>978.49999999999989</v>
      </c>
      <c r="S105" s="36">
        <f t="shared" si="397"/>
        <v>994.69999999999993</v>
      </c>
      <c r="T105" s="200">
        <f t="shared" si="397"/>
        <v>1012.7</v>
      </c>
      <c r="U105" s="37">
        <f t="shared" si="397"/>
        <v>3953.8</v>
      </c>
      <c r="V105" s="36">
        <f t="shared" si="397"/>
        <v>971.8</v>
      </c>
      <c r="W105" s="36">
        <f t="shared" si="397"/>
        <v>1028.8999999999999</v>
      </c>
      <c r="X105" s="36">
        <f t="shared" si="397"/>
        <v>995.3</v>
      </c>
      <c r="Y105" s="200">
        <f t="shared" si="397"/>
        <v>1031.8</v>
      </c>
      <c r="Z105" s="37">
        <f t="shared" si="397"/>
        <v>4027.8</v>
      </c>
      <c r="AA105" s="36">
        <f t="shared" si="397"/>
        <v>1014.4</v>
      </c>
      <c r="AB105" s="36">
        <f t="shared" si="397"/>
        <v>1100.8999999999999</v>
      </c>
      <c r="AC105" s="36">
        <f t="shared" si="397"/>
        <v>1078.0999999999999</v>
      </c>
      <c r="AD105" s="200">
        <f t="shared" si="397"/>
        <v>1114</v>
      </c>
      <c r="AE105" s="37">
        <f t="shared" si="397"/>
        <v>4307.3999999999996</v>
      </c>
      <c r="AF105" s="36">
        <f t="shared" si="397"/>
        <v>1111.8</v>
      </c>
      <c r="AG105" s="36">
        <f t="shared" si="397"/>
        <v>1122.8000000000002</v>
      </c>
      <c r="AH105" s="36">
        <f t="shared" si="397"/>
        <v>1100.5999999999999</v>
      </c>
      <c r="AI105" s="200">
        <f t="shared" si="397"/>
        <v>1113.4000000000001</v>
      </c>
      <c r="AJ105" s="37">
        <f t="shared" si="397"/>
        <v>4448.6000000000004</v>
      </c>
      <c r="AK105" s="36">
        <f t="shared" si="397"/>
        <v>1104.8</v>
      </c>
      <c r="AL105" s="36">
        <f t="shared" si="397"/>
        <v>1141.8</v>
      </c>
      <c r="AM105" s="36">
        <f t="shared" si="397"/>
        <v>1146.0999999999999</v>
      </c>
      <c r="AN105" s="200">
        <f t="shared" si="397"/>
        <v>1160.2</v>
      </c>
      <c r="AO105" s="37">
        <f t="shared" si="397"/>
        <v>4552.8999999999996</v>
      </c>
      <c r="AP105" s="36">
        <f t="shared" si="397"/>
        <v>1155.5</v>
      </c>
      <c r="AQ105" s="36">
        <f t="shared" si="397"/>
        <v>1201.8000000000002</v>
      </c>
      <c r="AR105" s="36">
        <f t="shared" ref="AR105:BW105" si="398">AR13</f>
        <v>1193.5</v>
      </c>
      <c r="AS105" s="200">
        <f t="shared" si="398"/>
        <v>1207.9000000000001</v>
      </c>
      <c r="AT105" s="37">
        <f t="shared" si="398"/>
        <v>4758.7000000000007</v>
      </c>
      <c r="AU105" s="36">
        <f t="shared" si="398"/>
        <v>1209.2</v>
      </c>
      <c r="AV105" s="36">
        <f t="shared" si="398"/>
        <v>1230.8000000000002</v>
      </c>
      <c r="AW105" s="36">
        <f t="shared" si="398"/>
        <v>1182.5</v>
      </c>
      <c r="AX105" s="200">
        <f t="shared" si="398"/>
        <v>1180.8</v>
      </c>
      <c r="AY105" s="37">
        <f t="shared" si="398"/>
        <v>4803.3000000000011</v>
      </c>
      <c r="AZ105" s="36">
        <f t="shared" si="398"/>
        <v>1158.7</v>
      </c>
      <c r="BA105" s="36">
        <f t="shared" si="398"/>
        <v>1369.3999999999999</v>
      </c>
      <c r="BB105" s="36">
        <f t="shared" si="398"/>
        <v>1713.7000000000003</v>
      </c>
      <c r="BC105" s="200">
        <f t="shared" si="398"/>
        <v>1719.06</v>
      </c>
      <c r="BD105" s="37">
        <f t="shared" si="398"/>
        <v>5960.8600000000006</v>
      </c>
      <c r="BE105" s="36">
        <f t="shared" si="398"/>
        <v>1677.5</v>
      </c>
      <c r="BF105" s="36">
        <f t="shared" si="398"/>
        <v>1755.8000000000002</v>
      </c>
      <c r="BG105" s="36">
        <f t="shared" si="398"/>
        <v>1732.1999999999998</v>
      </c>
      <c r="BH105" s="200">
        <f t="shared" si="398"/>
        <v>1681.6</v>
      </c>
      <c r="BI105" s="37">
        <f t="shared" si="398"/>
        <v>6847.1</v>
      </c>
      <c r="BJ105" s="36">
        <f t="shared" si="398"/>
        <v>1653.6000000000001</v>
      </c>
      <c r="BK105" s="36">
        <f t="shared" si="398"/>
        <v>1686.9</v>
      </c>
      <c r="BL105" s="36">
        <f t="shared" si="398"/>
        <v>1623.5</v>
      </c>
      <c r="BM105" s="200">
        <f t="shared" si="398"/>
        <v>1660.9880000000001</v>
      </c>
      <c r="BN105" s="37">
        <f t="shared" si="398"/>
        <v>6624.9880000000003</v>
      </c>
      <c r="BO105" s="36">
        <f t="shared" si="398"/>
        <v>1606.3999999999999</v>
      </c>
      <c r="BP105" s="36">
        <f t="shared" si="398"/>
        <v>1716.5</v>
      </c>
      <c r="BQ105" s="36">
        <f t="shared" si="398"/>
        <v>1735.8</v>
      </c>
      <c r="BR105" s="200">
        <f t="shared" si="398"/>
        <v>1662</v>
      </c>
      <c r="BS105" s="37">
        <f t="shared" si="398"/>
        <v>6720.7000000000007</v>
      </c>
      <c r="BT105" s="36">
        <f t="shared" si="398"/>
        <v>1648</v>
      </c>
      <c r="BU105" s="36">
        <f t="shared" si="398"/>
        <v>1735.8000000000002</v>
      </c>
      <c r="BV105" s="36">
        <f t="shared" si="398"/>
        <v>1721.9</v>
      </c>
      <c r="BW105" s="200">
        <f t="shared" si="398"/>
        <v>1755.5</v>
      </c>
      <c r="BX105" s="37">
        <f t="shared" ref="BX105:DC105" si="399">BX13</f>
        <v>6861.1999999999989</v>
      </c>
      <c r="BY105" s="36">
        <f t="shared" si="399"/>
        <v>1757</v>
      </c>
      <c r="BZ105" s="36">
        <f t="shared" si="399"/>
        <v>1875.1999999999998</v>
      </c>
      <c r="CA105" s="36">
        <f t="shared" si="399"/>
        <v>1904.7000000000003</v>
      </c>
      <c r="CB105" s="200">
        <f t="shared" si="399"/>
        <v>1927.2999999999997</v>
      </c>
      <c r="CC105" s="37">
        <f t="shared" si="399"/>
        <v>7464.2</v>
      </c>
      <c r="CD105" s="36">
        <f t="shared" si="399"/>
        <v>1863.116</v>
      </c>
      <c r="CE105" s="36">
        <f t="shared" si="399"/>
        <v>1947.9</v>
      </c>
      <c r="CF105" s="36">
        <f t="shared" si="399"/>
        <v>1992.2999999999997</v>
      </c>
      <c r="CG105" s="200">
        <f t="shared" si="399"/>
        <v>1983.2</v>
      </c>
      <c r="CH105" s="37">
        <f t="shared" si="399"/>
        <v>7786.5159999999996</v>
      </c>
      <c r="CI105" s="36">
        <f t="shared" si="399"/>
        <v>1957.1999999999998</v>
      </c>
      <c r="CJ105" s="36">
        <f t="shared" si="399"/>
        <v>2024.7</v>
      </c>
      <c r="CK105" s="36">
        <f t="shared" si="399"/>
        <v>1990.9</v>
      </c>
      <c r="CL105" s="200">
        <f t="shared" si="399"/>
        <v>1928.1</v>
      </c>
      <c r="CM105" s="37">
        <f t="shared" si="399"/>
        <v>7900.9</v>
      </c>
      <c r="CN105" s="36">
        <f t="shared" si="399"/>
        <v>1871.5</v>
      </c>
      <c r="CO105" s="36">
        <f t="shared" si="399"/>
        <v>1942.3000000000002</v>
      </c>
      <c r="CP105" s="36">
        <f t="shared" si="399"/>
        <v>1909.1</v>
      </c>
      <c r="CQ105" s="200">
        <f t="shared" si="399"/>
        <v>1870.1</v>
      </c>
      <c r="CR105" s="37">
        <f t="shared" si="399"/>
        <v>7592.9999999999991</v>
      </c>
      <c r="CS105" s="36">
        <f t="shared" si="399"/>
        <v>1828</v>
      </c>
      <c r="CT105" s="36">
        <f t="shared" si="399"/>
        <v>1901</v>
      </c>
      <c r="CU105" s="36">
        <f t="shared" si="399"/>
        <v>1895.3000000000002</v>
      </c>
      <c r="CV105" s="200">
        <f t="shared" si="399"/>
        <v>1725.2</v>
      </c>
      <c r="CW105" s="37">
        <f t="shared" si="399"/>
        <v>7349.5</v>
      </c>
      <c r="CX105" s="36">
        <f t="shared" si="399"/>
        <v>1455.6</v>
      </c>
      <c r="CY105" s="36">
        <f t="shared" si="399"/>
        <v>1412.3</v>
      </c>
      <c r="CZ105" s="36">
        <f t="shared" si="399"/>
        <v>1522.1999999999998</v>
      </c>
      <c r="DA105" s="36">
        <f t="shared" si="399"/>
        <v>1567.2</v>
      </c>
      <c r="DB105" s="37">
        <f t="shared" si="399"/>
        <v>5957.3</v>
      </c>
      <c r="DC105" s="36">
        <f t="shared" si="399"/>
        <v>1582.9</v>
      </c>
      <c r="DD105" s="36">
        <f t="shared" ref="DD105:EI105" si="400">DD13</f>
        <v>1719.7999999999997</v>
      </c>
      <c r="DE105" s="36">
        <f t="shared" si="400"/>
        <v>1752.6</v>
      </c>
      <c r="DF105" s="36">
        <f t="shared" si="400"/>
        <v>1708.8000000000002</v>
      </c>
      <c r="DG105" s="37">
        <f t="shared" si="400"/>
        <v>6764.1</v>
      </c>
      <c r="DH105" s="36">
        <f t="shared" si="400"/>
        <v>1711.2</v>
      </c>
      <c r="DI105" s="36">
        <f t="shared" si="400"/>
        <v>1786.9</v>
      </c>
      <c r="DJ105" s="36">
        <f t="shared" si="400"/>
        <v>1809.9</v>
      </c>
      <c r="DK105" s="36">
        <f t="shared" si="400"/>
        <v>1806.6999999999998</v>
      </c>
      <c r="DL105" s="37">
        <f t="shared" si="400"/>
        <v>7114.7000000000007</v>
      </c>
      <c r="DM105" s="36">
        <f t="shared" si="400"/>
        <v>1730.8</v>
      </c>
      <c r="DN105" s="36">
        <f t="shared" si="400"/>
        <v>1799.2999999999997</v>
      </c>
      <c r="DO105" s="36">
        <f t="shared" si="400"/>
        <v>1785</v>
      </c>
      <c r="DP105" s="36">
        <f t="shared" si="400"/>
        <v>1792.1</v>
      </c>
      <c r="DQ105" s="37">
        <f t="shared" si="400"/>
        <v>7107.2000000000007</v>
      </c>
      <c r="DR105" s="36">
        <f t="shared" si="400"/>
        <v>1783.6000000000001</v>
      </c>
      <c r="DS105" s="36">
        <f t="shared" si="400"/>
        <v>1838.1999999999998</v>
      </c>
      <c r="DT105" s="36">
        <f t="shared" si="400"/>
        <v>1857.1</v>
      </c>
      <c r="DU105" s="36">
        <f t="shared" si="400"/>
        <v>1862</v>
      </c>
      <c r="DV105" s="37">
        <f t="shared" si="400"/>
        <v>7340.9</v>
      </c>
      <c r="DW105" s="36">
        <f t="shared" si="400"/>
        <v>1762.6</v>
      </c>
      <c r="DX105" s="36">
        <f t="shared" si="400"/>
        <v>1983.1</v>
      </c>
      <c r="DY105" s="36">
        <f t="shared" si="400"/>
        <v>2001</v>
      </c>
      <c r="DZ105" s="36">
        <f t="shared" si="400"/>
        <v>1928.1999999999998</v>
      </c>
      <c r="EA105" s="37">
        <f t="shared" si="400"/>
        <v>7674.9</v>
      </c>
      <c r="EB105" s="36">
        <f t="shared" si="400"/>
        <v>1802.1</v>
      </c>
      <c r="EC105" s="36">
        <f t="shared" si="400"/>
        <v>1937.1000000000001</v>
      </c>
      <c r="ED105" s="36">
        <f t="shared" si="400"/>
        <v>1936.3</v>
      </c>
      <c r="EE105" s="36">
        <f t="shared" si="400"/>
        <v>1803.4</v>
      </c>
      <c r="EF105" s="37">
        <f t="shared" si="400"/>
        <v>7478.9</v>
      </c>
      <c r="EG105" s="36">
        <f t="shared" si="400"/>
        <v>1757.1</v>
      </c>
      <c r="EH105" s="36">
        <f t="shared" si="400"/>
        <v>1800.5</v>
      </c>
      <c r="EI105" s="36">
        <f t="shared" si="400"/>
        <v>1862.1999999999998</v>
      </c>
      <c r="EJ105" s="36">
        <f t="shared" ref="EJ105:EU105" si="401">EJ13</f>
        <v>1839.9</v>
      </c>
      <c r="EK105" s="37">
        <f t="shared" si="401"/>
        <v>7259.7000000000007</v>
      </c>
      <c r="EL105" s="36">
        <f t="shared" si="401"/>
        <v>1846.6</v>
      </c>
      <c r="EM105" s="36">
        <f t="shared" si="401"/>
        <v>1910.8</v>
      </c>
      <c r="EN105" s="36">
        <f t="shared" si="401"/>
        <v>1929</v>
      </c>
      <c r="EO105" s="36">
        <f t="shared" ref="EO105:EQ105" si="402">EO13</f>
        <v>1925.1</v>
      </c>
      <c r="EP105" s="37">
        <f t="shared" si="402"/>
        <v>7611.5</v>
      </c>
      <c r="EQ105" s="36">
        <f t="shared" si="402"/>
        <v>1904.4</v>
      </c>
      <c r="ER105" s="36">
        <f t="shared" si="401"/>
        <v>1987.2640000000001</v>
      </c>
      <c r="ES105" s="36">
        <f t="shared" si="401"/>
        <v>2011.8040000000003</v>
      </c>
      <c r="ET105" s="36">
        <f t="shared" si="401"/>
        <v>1976.9795000000001</v>
      </c>
      <c r="EU105" s="1944">
        <f t="shared" si="401"/>
        <v>7880.4475000000002</v>
      </c>
      <c r="EV105" s="38"/>
      <c r="EW105" s="38"/>
      <c r="EX105" s="38"/>
      <c r="EY105" s="38"/>
      <c r="EZ105" s="838">
        <f>EZ13</f>
        <v>8037.9294874999996</v>
      </c>
      <c r="FA105" s="38"/>
      <c r="FB105" s="38"/>
      <c r="FC105" s="38"/>
      <c r="FD105" s="38"/>
      <c r="FE105" s="838">
        <f>FE13</f>
        <v>8228.4091201124993</v>
      </c>
      <c r="FF105" s="758"/>
      <c r="FG105" s="650"/>
      <c r="FH105" s="1059"/>
      <c r="FI105" s="1059"/>
      <c r="FJ105" s="1059"/>
      <c r="FK105" s="1059"/>
      <c r="FL105" s="1808"/>
      <c r="FM105" s="36">
        <f t="shared" si="338"/>
        <v>1904.4</v>
      </c>
      <c r="FN105" s="36">
        <f t="shared" si="339"/>
        <v>1846.6</v>
      </c>
      <c r="FO105" s="36">
        <v>1897.615</v>
      </c>
      <c r="FP105" s="1862">
        <f>IFERROR(($FM105/FN105)-1,"")</f>
        <v>3.1300768980829785E-2</v>
      </c>
      <c r="FQ105" s="1862">
        <f>IFERROR(($FM105/FO105)-1,"")</f>
        <v>3.5755408763105123E-3</v>
      </c>
      <c r="FR105" s="572"/>
      <c r="FS105" s="572"/>
      <c r="FT105" s="572"/>
      <c r="FU105" s="572"/>
      <c r="FV105" s="572"/>
      <c r="FW105" s="572"/>
      <c r="FX105" s="572"/>
      <c r="FY105" s="572"/>
      <c r="FZ105" s="572"/>
      <c r="GA105" s="650"/>
      <c r="GB105"/>
      <c r="GC105"/>
      <c r="GD105"/>
      <c r="GE105"/>
      <c r="GF105"/>
      <c r="GG105"/>
      <c r="GH105" s="958"/>
      <c r="GI105" s="958"/>
      <c r="GJ105" s="958"/>
      <c r="GK105" s="958"/>
      <c r="GL105" s="958"/>
      <c r="GM105" s="958"/>
      <c r="GN105" s="958"/>
      <c r="GO105" s="958"/>
      <c r="GP105" s="958"/>
      <c r="GQ105" s="958"/>
      <c r="GR105" s="958"/>
      <c r="GS105" s="958"/>
      <c r="GT105" s="958"/>
      <c r="GU105" s="958"/>
      <c r="GV105" s="958"/>
      <c r="GW105" s="958"/>
      <c r="GX105" s="958"/>
      <c r="GY105" s="958"/>
      <c r="GZ105" s="958"/>
      <c r="HA105" s="958"/>
      <c r="HB105" s="958"/>
      <c r="HC105" s="958"/>
      <c r="HD105" s="958"/>
      <c r="HE105" s="958"/>
      <c r="HF105" s="958"/>
      <c r="HG105" s="958"/>
      <c r="HH105" s="958"/>
      <c r="HI105" s="958"/>
      <c r="HJ105" s="958"/>
      <c r="HK105" s="958"/>
      <c r="HL105" s="958"/>
      <c r="HM105" s="958"/>
      <c r="HN105" s="958"/>
      <c r="HO105" s="958"/>
      <c r="HP105" s="958"/>
      <c r="HQ105" s="958"/>
      <c r="HR105" s="958"/>
      <c r="HS105" s="958"/>
      <c r="HT105" s="958"/>
      <c r="HU105" s="958"/>
      <c r="HV105" s="958"/>
      <c r="HW105" s="958"/>
      <c r="HX105" s="958"/>
      <c r="HY105" s="958"/>
      <c r="HZ105" s="958"/>
      <c r="IA105" s="958"/>
      <c r="IB105" s="958"/>
      <c r="IC105" s="958"/>
      <c r="ID105" s="958"/>
      <c r="IE105" s="958"/>
      <c r="IF105" s="958"/>
      <c r="IG105" s="958"/>
      <c r="IH105" s="958"/>
      <c r="II105" s="958"/>
      <c r="IJ105" s="958"/>
      <c r="IK105" s="958"/>
      <c r="IL105" s="958"/>
      <c r="IM105" s="958"/>
      <c r="IN105" s="958"/>
      <c r="IO105" s="958"/>
      <c r="IP105" s="958"/>
      <c r="IQ105" s="958"/>
      <c r="IR105" s="958"/>
      <c r="IS105" s="958"/>
      <c r="IT105" s="958"/>
      <c r="IU105" s="958"/>
      <c r="IV105" s="958"/>
    </row>
    <row r="106" spans="1:256" s="191" customFormat="1" ht="12.75" x14ac:dyDescent="0.2">
      <c r="A106" s="242" t="s">
        <v>74</v>
      </c>
      <c r="B106" s="22"/>
      <c r="C106" s="22"/>
      <c r="D106" s="22"/>
      <c r="E106" s="197"/>
      <c r="F106" s="21"/>
      <c r="G106" s="22"/>
      <c r="H106" s="22"/>
      <c r="I106" s="22"/>
      <c r="J106" s="197"/>
      <c r="K106" s="21"/>
      <c r="L106" s="22"/>
      <c r="M106" s="22"/>
      <c r="N106" s="22"/>
      <c r="O106" s="197"/>
      <c r="P106" s="21"/>
      <c r="Q106" s="22">
        <f t="shared" ref="Q106:BX106" si="403">Q105/L105-1</f>
        <v>1.8199032190195918E-2</v>
      </c>
      <c r="R106" s="22">
        <f t="shared" si="403"/>
        <v>3.1411405080636445E-2</v>
      </c>
      <c r="S106" s="22">
        <f t="shared" si="403"/>
        <v>1.1285075233834929E-2</v>
      </c>
      <c r="T106" s="197">
        <f t="shared" si="403"/>
        <v>5.5335556481867387E-2</v>
      </c>
      <c r="U106" s="21">
        <f t="shared" si="403"/>
        <v>2.8965517241379413E-2</v>
      </c>
      <c r="V106" s="22">
        <f t="shared" si="403"/>
        <v>4.0293418741603748E-3</v>
      </c>
      <c r="W106" s="22">
        <f t="shared" si="403"/>
        <v>5.1507409299948792E-2</v>
      </c>
      <c r="X106" s="22">
        <f t="shared" si="403"/>
        <v>6.0319694380206457E-4</v>
      </c>
      <c r="Y106" s="197">
        <f t="shared" si="403"/>
        <v>1.8860472005529649E-2</v>
      </c>
      <c r="Z106" s="21">
        <f t="shared" si="403"/>
        <v>1.871617178410645E-2</v>
      </c>
      <c r="AA106" s="22">
        <f t="shared" si="403"/>
        <v>4.3836180284009041E-2</v>
      </c>
      <c r="AB106" s="22">
        <f t="shared" si="403"/>
        <v>6.9977646029740548E-2</v>
      </c>
      <c r="AC106" s="22">
        <f t="shared" si="403"/>
        <v>8.3190997689138957E-2</v>
      </c>
      <c r="AD106" s="197">
        <f t="shared" si="403"/>
        <v>7.9666602054661695E-2</v>
      </c>
      <c r="AE106" s="21">
        <f t="shared" si="403"/>
        <v>6.9417548041114108E-2</v>
      </c>
      <c r="AF106" s="22">
        <f t="shared" si="403"/>
        <v>9.6017350157728609E-2</v>
      </c>
      <c r="AG106" s="22">
        <f t="shared" si="403"/>
        <v>1.9892814969570738E-2</v>
      </c>
      <c r="AH106" s="22">
        <f t="shared" si="403"/>
        <v>2.0870049160560233E-2</v>
      </c>
      <c r="AI106" s="197">
        <f t="shared" si="403"/>
        <v>-5.3859964093350143E-4</v>
      </c>
      <c r="AJ106" s="21">
        <f t="shared" si="403"/>
        <v>3.2780795839717936E-2</v>
      </c>
      <c r="AK106" s="22">
        <f t="shared" si="403"/>
        <v>-6.2960964202194436E-3</v>
      </c>
      <c r="AL106" s="22">
        <f t="shared" si="403"/>
        <v>1.6921980762379496E-2</v>
      </c>
      <c r="AM106" s="22">
        <f t="shared" si="403"/>
        <v>4.1341086679992811E-2</v>
      </c>
      <c r="AN106" s="197">
        <f t="shared" si="403"/>
        <v>4.2033411172983648E-2</v>
      </c>
      <c r="AO106" s="21">
        <f t="shared" si="403"/>
        <v>2.3445578384210686E-2</v>
      </c>
      <c r="AP106" s="22">
        <f t="shared" si="403"/>
        <v>4.5890658942795204E-2</v>
      </c>
      <c r="AQ106" s="22">
        <f t="shared" si="403"/>
        <v>5.2548607461902375E-2</v>
      </c>
      <c r="AR106" s="22">
        <f t="shared" si="403"/>
        <v>4.1357647674723053E-2</v>
      </c>
      <c r="AS106" s="197">
        <f t="shared" si="403"/>
        <v>4.1113601103258013E-2</v>
      </c>
      <c r="AT106" s="21">
        <f t="shared" si="403"/>
        <v>4.5201959190845686E-2</v>
      </c>
      <c r="AU106" s="22">
        <f t="shared" si="403"/>
        <v>4.6473388143660754E-2</v>
      </c>
      <c r="AV106" s="22">
        <f t="shared" si="403"/>
        <v>2.4130470960226358E-2</v>
      </c>
      <c r="AW106" s="22">
        <f t="shared" si="403"/>
        <v>-9.2165898617511122E-3</v>
      </c>
      <c r="AX106" s="197">
        <f t="shared" si="403"/>
        <v>-2.2435632088749213E-2</v>
      </c>
      <c r="AY106" s="21">
        <f t="shared" si="403"/>
        <v>9.3723075629899011E-3</v>
      </c>
      <c r="AZ106" s="22">
        <f t="shared" si="403"/>
        <v>-4.1763149189546822E-2</v>
      </c>
      <c r="BA106" s="22">
        <f t="shared" si="403"/>
        <v>0.1126096847578808</v>
      </c>
      <c r="BB106" s="22">
        <f t="shared" si="403"/>
        <v>0.44921775898520111</v>
      </c>
      <c r="BC106" s="197">
        <f t="shared" si="403"/>
        <v>0.45584349593495932</v>
      </c>
      <c r="BD106" s="21">
        <f t="shared" si="403"/>
        <v>0.24099265088584909</v>
      </c>
      <c r="BE106" s="22">
        <f t="shared" si="403"/>
        <v>0.44774316043842233</v>
      </c>
      <c r="BF106" s="22">
        <f t="shared" si="403"/>
        <v>0.28216737257192959</v>
      </c>
      <c r="BG106" s="22">
        <f t="shared" si="403"/>
        <v>1.0795355079652014E-2</v>
      </c>
      <c r="BH106" s="197">
        <f t="shared" si="403"/>
        <v>-2.1790978790734439E-2</v>
      </c>
      <c r="BI106" s="21">
        <f t="shared" si="403"/>
        <v>0.14867653325191332</v>
      </c>
      <c r="BJ106" s="22">
        <f t="shared" si="403"/>
        <v>-1.4247391952309951E-2</v>
      </c>
      <c r="BK106" s="22">
        <f t="shared" si="403"/>
        <v>-3.9241371454607599E-2</v>
      </c>
      <c r="BL106" s="22">
        <f t="shared" si="403"/>
        <v>-6.275256898741477E-2</v>
      </c>
      <c r="BM106" s="197">
        <f t="shared" si="403"/>
        <v>-1.2257373929590809E-2</v>
      </c>
      <c r="BN106" s="21">
        <f t="shared" si="403"/>
        <v>-3.243884272173625E-2</v>
      </c>
      <c r="BO106" s="22">
        <f t="shared" si="403"/>
        <v>-2.8543783260764566E-2</v>
      </c>
      <c r="BP106" s="22">
        <f t="shared" si="403"/>
        <v>1.7546979666844376E-2</v>
      </c>
      <c r="BQ106" s="22">
        <f t="shared" si="403"/>
        <v>6.9171542962734867E-2</v>
      </c>
      <c r="BR106" s="197">
        <f t="shared" si="403"/>
        <v>6.0927592493142946E-4</v>
      </c>
      <c r="BS106" s="21">
        <f t="shared" si="403"/>
        <v>1.4447120507991906E-2</v>
      </c>
      <c r="BT106" s="22">
        <f t="shared" si="403"/>
        <v>2.5896414342629459E-2</v>
      </c>
      <c r="BU106" s="22">
        <f t="shared" si="403"/>
        <v>1.1243810078648497E-2</v>
      </c>
      <c r="BV106" s="22">
        <f t="shared" si="403"/>
        <v>-8.0078350040326818E-3</v>
      </c>
      <c r="BW106" s="197">
        <f t="shared" si="403"/>
        <v>5.6257521058965088E-2</v>
      </c>
      <c r="BX106" s="21">
        <f t="shared" si="403"/>
        <v>2.0905560432692649E-2</v>
      </c>
      <c r="BY106" s="22">
        <f>BY105/BT105-1</f>
        <v>6.614077669902918E-2</v>
      </c>
      <c r="BZ106" s="22">
        <f>BZ105/BU105-1</f>
        <v>8.0308791335407026E-2</v>
      </c>
      <c r="CA106" s="22">
        <f>CA105/BV105-1</f>
        <v>0.10616179801382208</v>
      </c>
      <c r="CB106" s="197">
        <f>CB105/BW105-1</f>
        <v>9.7863856451153364E-2</v>
      </c>
      <c r="CC106" s="21">
        <f>CC105/BX105-1</f>
        <v>8.7885501078528661E-2</v>
      </c>
      <c r="CD106" s="22">
        <f t="shared" ref="CD106:DY106" si="404">CD105/BY105-1</f>
        <v>6.0396129766647766E-2</v>
      </c>
      <c r="CE106" s="22">
        <f t="shared" si="404"/>
        <v>3.876919795221867E-2</v>
      </c>
      <c r="CF106" s="22">
        <f t="shared" si="404"/>
        <v>4.5991494723578219E-2</v>
      </c>
      <c r="CG106" s="197">
        <f t="shared" si="404"/>
        <v>2.9004306542832037E-2</v>
      </c>
      <c r="CH106" s="21">
        <f t="shared" si="404"/>
        <v>4.3181586774202252E-2</v>
      </c>
      <c r="CI106" s="22">
        <f t="shared" si="404"/>
        <v>5.049819764308805E-2</v>
      </c>
      <c r="CJ106" s="22">
        <f t="shared" si="404"/>
        <v>3.9427075311874393E-2</v>
      </c>
      <c r="CK106" s="22">
        <f t="shared" si="404"/>
        <v>-7.0270541585082391E-4</v>
      </c>
      <c r="CL106" s="197">
        <f t="shared" si="404"/>
        <v>-2.77833803953208E-2</v>
      </c>
      <c r="CM106" s="21">
        <f t="shared" si="404"/>
        <v>1.4690010269034381E-2</v>
      </c>
      <c r="CN106" s="22">
        <f t="shared" si="404"/>
        <v>-4.3787042714081292E-2</v>
      </c>
      <c r="CO106" s="22">
        <f t="shared" si="404"/>
        <v>-4.0697387267249363E-2</v>
      </c>
      <c r="CP106" s="22">
        <f t="shared" si="404"/>
        <v>-4.1086945602491376E-2</v>
      </c>
      <c r="CQ106" s="197">
        <f t="shared" si="404"/>
        <v>-3.0081427311861364E-2</v>
      </c>
      <c r="CR106" s="21">
        <f t="shared" si="404"/>
        <v>-3.8970243896265022E-2</v>
      </c>
      <c r="CS106" s="22">
        <f t="shared" si="404"/>
        <v>-2.3243387656959658E-2</v>
      </c>
      <c r="CT106" s="22">
        <f t="shared" si="404"/>
        <v>-2.1263450548319129E-2</v>
      </c>
      <c r="CU106" s="22">
        <f t="shared" si="404"/>
        <v>-7.2285370069664623E-3</v>
      </c>
      <c r="CV106" s="197">
        <f t="shared" si="404"/>
        <v>-7.7482487567509639E-2</v>
      </c>
      <c r="CW106" s="21">
        <f t="shared" si="404"/>
        <v>-3.2069010931120689E-2</v>
      </c>
      <c r="CX106" s="22">
        <f t="shared" si="404"/>
        <v>-0.20371991247264776</v>
      </c>
      <c r="CY106" s="22">
        <f t="shared" si="404"/>
        <v>-0.257075223566544</v>
      </c>
      <c r="CZ106" s="22">
        <f t="shared" si="404"/>
        <v>-0.19685537909565787</v>
      </c>
      <c r="DA106" s="22">
        <f>DA105/CV105-1</f>
        <v>-9.1583584511940597E-2</v>
      </c>
      <c r="DB106" s="21">
        <f>DB105/CW105-1</f>
        <v>-0.18942785223484593</v>
      </c>
      <c r="DC106" s="22">
        <f t="shared" si="404"/>
        <v>8.7455344874965757E-2</v>
      </c>
      <c r="DD106" s="22">
        <f t="shared" si="404"/>
        <v>0.21772994406287594</v>
      </c>
      <c r="DE106" s="22">
        <f t="shared" si="404"/>
        <v>0.15135987386677185</v>
      </c>
      <c r="DF106" s="22">
        <f>DF105/DA105-1</f>
        <v>9.0352220520673932E-2</v>
      </c>
      <c r="DG106" s="21">
        <f t="shared" si="404"/>
        <v>0.13543048025112059</v>
      </c>
      <c r="DH106" s="22">
        <f>DH105/DC105-1</f>
        <v>8.1053762082254011E-2</v>
      </c>
      <c r="DI106" s="22">
        <f t="shared" si="404"/>
        <v>3.901616467031066E-2</v>
      </c>
      <c r="DJ106" s="22">
        <f t="shared" si="404"/>
        <v>3.2694282779869965E-2</v>
      </c>
      <c r="DK106" s="22">
        <f t="shared" si="404"/>
        <v>5.7291666666666519E-2</v>
      </c>
      <c r="DL106" s="21">
        <f t="shared" si="404"/>
        <v>5.1832468473263393E-2</v>
      </c>
      <c r="DM106" s="22">
        <f t="shared" si="404"/>
        <v>1.1453950444132666E-2</v>
      </c>
      <c r="DN106" s="22">
        <f t="shared" si="404"/>
        <v>6.9393922435501132E-3</v>
      </c>
      <c r="DO106" s="22">
        <f t="shared" si="404"/>
        <v>-1.3757666169401661E-2</v>
      </c>
      <c r="DP106" s="22">
        <f t="shared" si="404"/>
        <v>-8.0810317152819611E-3</v>
      </c>
      <c r="DQ106" s="21">
        <f t="shared" si="404"/>
        <v>-1.0541554809057052E-3</v>
      </c>
      <c r="DR106" s="22">
        <f t="shared" si="404"/>
        <v>3.0506124335567542E-2</v>
      </c>
      <c r="DS106" s="22">
        <f t="shared" si="404"/>
        <v>2.1619518701717411E-2</v>
      </c>
      <c r="DT106" s="22">
        <f t="shared" si="404"/>
        <v>4.0392156862744999E-2</v>
      </c>
      <c r="DU106" s="22">
        <f t="shared" si="404"/>
        <v>3.9004519837062768E-2</v>
      </c>
      <c r="DV106" s="21">
        <f t="shared" si="404"/>
        <v>3.2882147681224438E-2</v>
      </c>
      <c r="DW106" s="22">
        <f>DW105/DR105-1</f>
        <v>-1.1773940345369049E-2</v>
      </c>
      <c r="DX106" s="22">
        <f t="shared" si="404"/>
        <v>7.8827113480578914E-2</v>
      </c>
      <c r="DY106" s="22">
        <f t="shared" si="404"/>
        <v>7.7486403532389225E-2</v>
      </c>
      <c r="DZ106" s="22">
        <f t="shared" ref="DZ106:EI106" si="405">DZ105/DU105-1</f>
        <v>3.555316863587521E-2</v>
      </c>
      <c r="EA106" s="21">
        <f t="shared" si="405"/>
        <v>4.5498508357285861E-2</v>
      </c>
      <c r="EB106" s="22">
        <f t="shared" si="405"/>
        <v>2.2410076024055314E-2</v>
      </c>
      <c r="EC106" s="22">
        <f t="shared" si="405"/>
        <v>-2.3196006252836354E-2</v>
      </c>
      <c r="ED106" s="22">
        <f t="shared" si="405"/>
        <v>-3.2333833083458274E-2</v>
      </c>
      <c r="EE106" s="22">
        <f t="shared" si="405"/>
        <v>-6.4723576392490267E-2</v>
      </c>
      <c r="EF106" s="21">
        <f t="shared" si="405"/>
        <v>-2.5537792023348826E-2</v>
      </c>
      <c r="EG106" s="22">
        <f t="shared" si="405"/>
        <v>-2.4970867321458257E-2</v>
      </c>
      <c r="EH106" s="22">
        <f t="shared" si="405"/>
        <v>-7.0517784316762255E-2</v>
      </c>
      <c r="EI106" s="22">
        <f t="shared" si="405"/>
        <v>-3.8268863295976896E-2</v>
      </c>
      <c r="EJ106" s="22">
        <f t="shared" ref="EJ106:EN106" si="406">EJ105/EE105-1</f>
        <v>2.02395475213486E-2</v>
      </c>
      <c r="EK106" s="21">
        <f t="shared" si="406"/>
        <v>-2.9309122999371384E-2</v>
      </c>
      <c r="EL106" s="22">
        <f t="shared" si="406"/>
        <v>5.0936201695976235E-2</v>
      </c>
      <c r="EM106" s="22">
        <f t="shared" si="406"/>
        <v>6.1260760899749966E-2</v>
      </c>
      <c r="EN106" s="22">
        <f t="shared" si="406"/>
        <v>3.5871549779830314E-2</v>
      </c>
      <c r="EO106" s="22">
        <f t="shared" ref="EO106" si="407">EO105/EJ105-1</f>
        <v>4.6306864503505629E-2</v>
      </c>
      <c r="EP106" s="21">
        <f t="shared" ref="EP106:EQ106" si="408">EP105/EK105-1</f>
        <v>4.8459302726007847E-2</v>
      </c>
      <c r="EQ106" s="22">
        <f t="shared" si="408"/>
        <v>3.1300768980829785E-2</v>
      </c>
      <c r="ER106" s="22">
        <f t="shared" ref="ER106" si="409">ER105/EM105-1</f>
        <v>4.001674691228807E-2</v>
      </c>
      <c r="ES106" s="22">
        <f t="shared" ref="ES106:EU106" si="410">ES105/EN105-1</f>
        <v>4.2925868325557337E-2</v>
      </c>
      <c r="ET106" s="22">
        <f t="shared" si="410"/>
        <v>2.6948989662874734E-2</v>
      </c>
      <c r="EU106" s="270">
        <f t="shared" si="410"/>
        <v>3.5334362477829728E-2</v>
      </c>
      <c r="EV106" s="1127"/>
      <c r="EW106" s="1127"/>
      <c r="EX106" s="1127"/>
      <c r="EY106" s="1127"/>
      <c r="EZ106" s="844">
        <f>EZ105/EU105-1</f>
        <v>1.9983888922551651E-2</v>
      </c>
      <c r="FA106" s="1127"/>
      <c r="FB106" s="1127"/>
      <c r="FC106" s="1127"/>
      <c r="FD106" s="1127"/>
      <c r="FE106" s="844">
        <f>FE105/EZ105-1</f>
        <v>2.369759935176341E-2</v>
      </c>
      <c r="FF106" s="790"/>
      <c r="FG106" s="653"/>
      <c r="FH106" s="1073"/>
      <c r="FI106" s="1073"/>
      <c r="FJ106" s="1073"/>
      <c r="FK106" s="1073"/>
      <c r="FL106" s="1806"/>
      <c r="FM106" s="22">
        <f t="shared" si="338"/>
        <v>3.1300768980829785E-2</v>
      </c>
      <c r="FN106" s="22">
        <f t="shared" si="339"/>
        <v>5.0936201695976235E-2</v>
      </c>
      <c r="FO106" s="2041">
        <v>2.762644860825314E-2</v>
      </c>
      <c r="FP106" s="1892">
        <f>IFERROR(($FM106-FN106)*10000,"")</f>
        <v>-196.3543271514645</v>
      </c>
      <c r="FQ106" s="1892">
        <f>IFERROR(($FM106-FO106)*10000,"")</f>
        <v>36.743203725766449</v>
      </c>
      <c r="FR106" s="587"/>
      <c r="FS106" s="587"/>
      <c r="FT106" s="587"/>
      <c r="FU106" s="587"/>
      <c r="FV106" s="587"/>
      <c r="FW106" s="587"/>
      <c r="FX106" s="587"/>
      <c r="FY106" s="587"/>
      <c r="FZ106" s="587"/>
      <c r="GA106" s="653"/>
      <c r="GB106"/>
      <c r="GC106"/>
      <c r="GD106"/>
      <c r="GE106"/>
      <c r="GF106"/>
      <c r="GG106"/>
      <c r="GH106" s="978"/>
      <c r="GI106" s="978"/>
      <c r="GJ106" s="978"/>
      <c r="GK106" s="978"/>
      <c r="GL106" s="978"/>
      <c r="GM106" s="978"/>
      <c r="GN106" s="978"/>
      <c r="GO106" s="978"/>
      <c r="GP106" s="978"/>
      <c r="GQ106" s="978"/>
      <c r="GR106" s="978"/>
      <c r="GS106" s="978"/>
      <c r="GT106" s="978"/>
      <c r="GU106" s="978"/>
      <c r="GV106" s="978"/>
      <c r="GW106" s="978"/>
      <c r="GX106" s="978"/>
      <c r="GY106" s="978"/>
      <c r="GZ106" s="978"/>
      <c r="HA106" s="978"/>
      <c r="HB106" s="978"/>
      <c r="HC106" s="978"/>
      <c r="HD106" s="978"/>
      <c r="HE106" s="978"/>
      <c r="HF106" s="978"/>
      <c r="HG106" s="978"/>
      <c r="HH106" s="978"/>
      <c r="HI106" s="978"/>
      <c r="HJ106" s="978"/>
      <c r="HK106" s="978"/>
      <c r="HL106" s="978"/>
      <c r="HM106" s="978"/>
      <c r="HN106" s="978"/>
      <c r="HO106" s="978"/>
      <c r="HP106" s="978"/>
      <c r="HQ106" s="978"/>
      <c r="HR106" s="978"/>
      <c r="HS106" s="978"/>
      <c r="HT106" s="978"/>
      <c r="HU106" s="978"/>
      <c r="HV106" s="978"/>
      <c r="HW106" s="978"/>
      <c r="HX106" s="978"/>
      <c r="HY106" s="978"/>
      <c r="HZ106" s="978"/>
      <c r="IA106" s="978"/>
      <c r="IB106" s="978"/>
      <c r="IC106" s="978"/>
      <c r="ID106" s="978"/>
      <c r="IE106" s="978"/>
      <c r="IF106" s="978"/>
      <c r="IG106" s="978"/>
      <c r="IH106" s="978"/>
      <c r="II106" s="978"/>
      <c r="IJ106" s="978"/>
      <c r="IK106" s="978"/>
      <c r="IL106" s="978"/>
      <c r="IM106" s="978"/>
      <c r="IN106" s="978"/>
      <c r="IO106" s="978"/>
      <c r="IP106" s="978"/>
      <c r="IQ106" s="978"/>
      <c r="IR106" s="978"/>
      <c r="IS106" s="978"/>
      <c r="IT106" s="978"/>
      <c r="IU106" s="978"/>
      <c r="IV106" s="978"/>
    </row>
    <row r="107" spans="1:256" s="54" customFormat="1" ht="12.75" x14ac:dyDescent="0.2">
      <c r="A107" s="41" t="s">
        <v>106</v>
      </c>
      <c r="B107" s="42"/>
      <c r="C107" s="42"/>
      <c r="D107" s="42"/>
      <c r="E107" s="202"/>
      <c r="F107" s="43"/>
      <c r="G107" s="42"/>
      <c r="H107" s="42"/>
      <c r="I107" s="42"/>
      <c r="J107" s="202"/>
      <c r="K107" s="43"/>
      <c r="L107" s="42">
        <f t="shared" ref="L107:BW107" si="411">L103*1000/L105</f>
        <v>905.74374079528729</v>
      </c>
      <c r="M107" s="42">
        <f t="shared" si="411"/>
        <v>922.63096869400249</v>
      </c>
      <c r="N107" s="42">
        <f t="shared" si="411"/>
        <v>926.59617730784885</v>
      </c>
      <c r="O107" s="202">
        <f t="shared" si="411"/>
        <v>919.75823259691515</v>
      </c>
      <c r="P107" s="43">
        <f t="shared" si="411"/>
        <v>918.75081327260887</v>
      </c>
      <c r="Q107" s="42">
        <f t="shared" si="411"/>
        <v>915.07387126769288</v>
      </c>
      <c r="R107" s="42">
        <f t="shared" si="411"/>
        <v>930.40367910066436</v>
      </c>
      <c r="S107" s="42">
        <f t="shared" si="411"/>
        <v>926.51050568010464</v>
      </c>
      <c r="T107" s="202">
        <f t="shared" si="411"/>
        <v>925.84180902537764</v>
      </c>
      <c r="U107" s="43">
        <f t="shared" si="411"/>
        <v>924.5030097627598</v>
      </c>
      <c r="V107" s="42">
        <f t="shared" si="411"/>
        <v>923.02942992385283</v>
      </c>
      <c r="W107" s="42">
        <f t="shared" si="411"/>
        <v>905.53017785985048</v>
      </c>
      <c r="X107" s="42">
        <f t="shared" si="411"/>
        <v>888.57630865065801</v>
      </c>
      <c r="Y107" s="202">
        <f t="shared" si="411"/>
        <v>883.2138011242489</v>
      </c>
      <c r="Z107" s="43">
        <f t="shared" si="411"/>
        <v>899.84606981478703</v>
      </c>
      <c r="AA107" s="42">
        <f t="shared" si="411"/>
        <v>928.9235015772872</v>
      </c>
      <c r="AB107" s="42">
        <f t="shared" si="411"/>
        <v>906.34935053138349</v>
      </c>
      <c r="AC107" s="42">
        <f t="shared" si="411"/>
        <v>905.11084314998618</v>
      </c>
      <c r="AD107" s="202">
        <f t="shared" si="411"/>
        <v>899.64093357271088</v>
      </c>
      <c r="AE107" s="43">
        <f t="shared" si="411"/>
        <v>909.62065283001368</v>
      </c>
      <c r="AF107" s="42">
        <f t="shared" si="411"/>
        <v>898.7227918690412</v>
      </c>
      <c r="AG107" s="42">
        <f t="shared" si="411"/>
        <v>905.23690773067324</v>
      </c>
      <c r="AH107" s="42">
        <f t="shared" si="411"/>
        <v>904.96093040159917</v>
      </c>
      <c r="AI107" s="202">
        <f t="shared" si="411"/>
        <v>898.32944135081698</v>
      </c>
      <c r="AJ107" s="43">
        <f t="shared" si="411"/>
        <v>901.81180596142599</v>
      </c>
      <c r="AK107" s="42">
        <f t="shared" si="411"/>
        <v>920.25706010137571</v>
      </c>
      <c r="AL107" s="42">
        <f t="shared" si="411"/>
        <v>909.09090909090912</v>
      </c>
      <c r="AM107" s="42">
        <f t="shared" si="411"/>
        <v>890.06194921909082</v>
      </c>
      <c r="AN107" s="202">
        <f t="shared" si="411"/>
        <v>885.70936045509382</v>
      </c>
      <c r="AO107" s="43">
        <f t="shared" si="411"/>
        <v>901.05207669836807</v>
      </c>
      <c r="AP107" s="42">
        <f t="shared" si="411"/>
        <v>905.23582864560797</v>
      </c>
      <c r="AQ107" s="42">
        <f t="shared" si="411"/>
        <v>887.66849725411873</v>
      </c>
      <c r="AR107" s="42">
        <f t="shared" si="411"/>
        <v>878.17343946376195</v>
      </c>
      <c r="AS107" s="202">
        <f t="shared" si="411"/>
        <v>879.2118552860336</v>
      </c>
      <c r="AT107" s="43">
        <f t="shared" si="411"/>
        <v>887.40622438901391</v>
      </c>
      <c r="AU107" s="42">
        <f t="shared" si="411"/>
        <v>881.82269268938137</v>
      </c>
      <c r="AV107" s="42">
        <f t="shared" si="411"/>
        <v>877.72180695482598</v>
      </c>
      <c r="AW107" s="42">
        <f t="shared" si="411"/>
        <v>886.30021141649047</v>
      </c>
      <c r="AX107" s="202">
        <f t="shared" si="411"/>
        <v>870.79945799457994</v>
      </c>
      <c r="AY107" s="43">
        <f t="shared" si="411"/>
        <v>879.16432452688753</v>
      </c>
      <c r="AZ107" s="42">
        <f t="shared" si="411"/>
        <v>889.09985328385255</v>
      </c>
      <c r="BA107" s="42">
        <f t="shared" si="411"/>
        <v>871.695633123996</v>
      </c>
      <c r="BB107" s="42">
        <f t="shared" si="411"/>
        <v>875.35157845597234</v>
      </c>
      <c r="BC107" s="202">
        <f t="shared" si="411"/>
        <v>855.81655090572758</v>
      </c>
      <c r="BD107" s="43">
        <f t="shared" si="411"/>
        <v>871.55041386645541</v>
      </c>
      <c r="BE107" s="42">
        <f t="shared" si="411"/>
        <v>898.95678092399407</v>
      </c>
      <c r="BF107" s="42">
        <f t="shared" si="411"/>
        <v>906.7091923909328</v>
      </c>
      <c r="BG107" s="42">
        <f t="shared" si="411"/>
        <v>886.15633298695309</v>
      </c>
      <c r="BH107" s="202">
        <f t="shared" si="411"/>
        <v>906.27973358706004</v>
      </c>
      <c r="BI107" s="43">
        <f t="shared" si="411"/>
        <v>899.50489988462266</v>
      </c>
      <c r="BJ107" s="42">
        <f t="shared" si="411"/>
        <v>931.30140299951609</v>
      </c>
      <c r="BK107" s="42">
        <f t="shared" si="411"/>
        <v>943.74296046001541</v>
      </c>
      <c r="BL107" s="42">
        <f t="shared" si="411"/>
        <v>928.85740683708036</v>
      </c>
      <c r="BM107" s="202">
        <f t="shared" si="411"/>
        <v>921.13850310778878</v>
      </c>
      <c r="BN107" s="43">
        <f t="shared" si="411"/>
        <v>931.322441640649</v>
      </c>
      <c r="BO107" s="42">
        <f t="shared" si="411"/>
        <v>932.51992031872521</v>
      </c>
      <c r="BP107" s="42">
        <f t="shared" si="411"/>
        <v>928.05126711331195</v>
      </c>
      <c r="BQ107" s="42">
        <f t="shared" si="411"/>
        <v>920.61297384491309</v>
      </c>
      <c r="BR107" s="202">
        <f t="shared" si="411"/>
        <v>951.26353790613723</v>
      </c>
      <c r="BS107" s="43">
        <f t="shared" si="411"/>
        <v>932.93853318850699</v>
      </c>
      <c r="BT107" s="42">
        <f t="shared" si="411"/>
        <v>947.20873786407765</v>
      </c>
      <c r="BU107" s="42">
        <f t="shared" si="411"/>
        <v>940.77658716441977</v>
      </c>
      <c r="BV107" s="42">
        <f t="shared" si="411"/>
        <v>928.04460189325744</v>
      </c>
      <c r="BW107" s="202">
        <f t="shared" si="411"/>
        <v>954.71375676445462</v>
      </c>
      <c r="BX107" s="43">
        <f>(BT107*BT105+BU107*BU105+BV107*BV105+BW107*BW105)/BX105</f>
        <v>942.69224042441567</v>
      </c>
      <c r="BY107" s="42">
        <f>BY103*1000/BY105</f>
        <v>963.57427433124644</v>
      </c>
      <c r="BZ107" s="42">
        <f>BZ103*1000/BZ105</f>
        <v>966.83020477815705</v>
      </c>
      <c r="CA107" s="42">
        <f>CA103*1000/CA105</f>
        <v>974.9566860922979</v>
      </c>
      <c r="CB107" s="202">
        <f>CB103*1000/CB105</f>
        <v>1011.2592746329062</v>
      </c>
      <c r="CC107" s="43">
        <f>(BY107*BY105+BZ107*BZ105+CA107*CA105+CB107*CB105)/CC105</f>
        <v>979.60933522681603</v>
      </c>
      <c r="CD107" s="42">
        <f>CD103*1000/CD105</f>
        <v>1052.5377915277418</v>
      </c>
      <c r="CE107" s="42">
        <f>CE103*1000/CE105</f>
        <v>1077.5707171826068</v>
      </c>
      <c r="CF107" s="42">
        <f>CF103*1000/CF105</f>
        <v>1081.6644079706873</v>
      </c>
      <c r="CG107" s="202">
        <f>CG103*1000/CG105</f>
        <v>1138.0597014925372</v>
      </c>
      <c r="CH107" s="43">
        <f>(CD107*CD105+CE107*CE105+CF107*CF105+CG107*CG105)/CH105</f>
        <v>1088.0347513573465</v>
      </c>
      <c r="CI107" s="42">
        <f>CI103*1000/CI105</f>
        <v>1176.6809728183121</v>
      </c>
      <c r="CJ107" s="42">
        <f>CJ103*1000/CJ105</f>
        <v>1181.4095915444263</v>
      </c>
      <c r="CK107" s="42">
        <f>CK103*1000/CK105</f>
        <v>1201.9689587623686</v>
      </c>
      <c r="CL107" s="202">
        <f>CL103*1000/CL105</f>
        <v>1202.7384471759765</v>
      </c>
      <c r="CM107" s="43">
        <f>(CI107*CI105+CJ107*CJ105+CK107*CK105+CL107*CL105)/CM105</f>
        <v>1190.6238529787747</v>
      </c>
      <c r="CN107" s="42">
        <f>CN103*1000/CN105</f>
        <v>1200.6411969008816</v>
      </c>
      <c r="CO107" s="42">
        <f>CO103*1000/CO105</f>
        <v>1224.3216804819028</v>
      </c>
      <c r="CP107" s="42">
        <f>CP103*1000/CP105</f>
        <v>1232.51794039076</v>
      </c>
      <c r="CQ107" s="202">
        <f>CQ103*1000/CQ105</f>
        <v>1312.2292925512006</v>
      </c>
      <c r="CR107" s="43">
        <f>(CN107*CN105+CO107*CO105+CP107*CP105+CQ107*CQ105)/CR105</f>
        <v>1242.1967601738445</v>
      </c>
      <c r="CS107" s="42">
        <f>CS103*1000/CS105</f>
        <v>1367.6148796498906</v>
      </c>
      <c r="CT107" s="42">
        <f>CT103*1000/CT105</f>
        <v>1454.497632824829</v>
      </c>
      <c r="CU107" s="42">
        <f>CU103*1000/CU105</f>
        <v>1526.9350498601802</v>
      </c>
      <c r="CV107" s="202">
        <f>CV103*1000/CV105</f>
        <v>1450.2666357523765</v>
      </c>
      <c r="CW107" s="43">
        <f>(CS107*CS105+CT107*CT105+CU107*CU105+CV107*CV105)/CW105</f>
        <v>1450.5748690387102</v>
      </c>
      <c r="CX107" s="42">
        <f>CX103*1000/CX105</f>
        <v>1334.8447375652652</v>
      </c>
      <c r="CY107" s="42">
        <f>CY103*1000/CY105</f>
        <v>1314.8764426821497</v>
      </c>
      <c r="CZ107" s="42">
        <f>CZ103*1000/CZ105</f>
        <v>1355.2752594928395</v>
      </c>
      <c r="DA107" s="42">
        <f>DA103*1000/DA105</f>
        <v>1343.7978560490046</v>
      </c>
      <c r="DB107" s="43">
        <f>(CX107*CX105+CY107*CY105+CZ107*CZ105+DA107*DA105)/DB105</f>
        <v>1337.6865358467762</v>
      </c>
      <c r="DC107" s="42">
        <f>DC103*1000/DC105</f>
        <v>1413.860635542359</v>
      </c>
      <c r="DD107" s="42">
        <f>DD103*1000/DD105</f>
        <v>1412.9549947668336</v>
      </c>
      <c r="DE107" s="42">
        <f>DE103*1000/DE105</f>
        <v>1401.3465708090837</v>
      </c>
      <c r="DF107" s="42">
        <f>DF103*1000/DF105</f>
        <v>1399.7385158315885</v>
      </c>
      <c r="DG107" s="43">
        <f>(DC107*DC105+DD107*DD105+DE107*DE105+DF107*DF105)/DG105</f>
        <v>1406.8202977266772</v>
      </c>
      <c r="DH107" s="42">
        <f>DH103*1000/DH105</f>
        <v>1531.0892940626461</v>
      </c>
      <c r="DI107" s="42">
        <f>DI103*1000/DI105</f>
        <v>1603.8950137108959</v>
      </c>
      <c r="DJ107" s="42">
        <f>DJ103*1000/DJ105</f>
        <v>1596.2207856787668</v>
      </c>
      <c r="DK107" s="42">
        <f>DK103*1000/DK105</f>
        <v>1548.1264183317653</v>
      </c>
      <c r="DL107" s="43">
        <f>(DH107*DH105+DI107*DI105+DJ107*DJ105+DK107*DK105)/DL105</f>
        <v>1570.2700043571758</v>
      </c>
      <c r="DM107" s="42">
        <f>DM103*1000/DM105</f>
        <v>1611.3935752253294</v>
      </c>
      <c r="DN107" s="42">
        <f>DN103*1000/DN105</f>
        <v>1597.2878341577282</v>
      </c>
      <c r="DO107" s="42">
        <f>DO103*1000/DO105</f>
        <v>1508.6834733893556</v>
      </c>
      <c r="DP107" s="42">
        <f>DP103*1000/DP105</f>
        <v>1497.6842810111043</v>
      </c>
      <c r="DQ107" s="43">
        <f>(DM107*DM105+DN107*DN105+DO107*DO105+DP107*DP105)/DQ105</f>
        <v>1553.3543448896892</v>
      </c>
      <c r="DR107" s="42">
        <f>DR103*1000/DR105</f>
        <v>1535.0975555057187</v>
      </c>
      <c r="DS107" s="42">
        <f>DS103*1000/DS105</f>
        <v>1524.3172668915245</v>
      </c>
      <c r="DT107" s="42">
        <f>DT103*1000/DT105</f>
        <v>1520.650476549459</v>
      </c>
      <c r="DU107" s="42">
        <f>DU103*1000/DU105</f>
        <v>1547.2610096670246</v>
      </c>
      <c r="DV107" s="43">
        <f>(DR107*DR105+DS107*DS105+DT107*DT105+DU107*DU105)/DV105</f>
        <v>1531.8285223882631</v>
      </c>
      <c r="DW107" s="42">
        <f>DW103*1000/DW105</f>
        <v>1525.5872007262001</v>
      </c>
      <c r="DX107" s="42">
        <f>DX103*1000/DX105</f>
        <v>1533.9619787201857</v>
      </c>
      <c r="DY107" s="42">
        <f>DY103*1000/DY105</f>
        <v>1510.7446276861569</v>
      </c>
      <c r="DZ107" s="42">
        <f>DZ103*1000/DZ105</f>
        <v>1488.4348096670471</v>
      </c>
      <c r="EA107" s="43">
        <f>(DW107*DW105+DX107*DX105+DY107*DY105+DZ107*DZ105)/EA105</f>
        <v>1514.5474208133005</v>
      </c>
      <c r="EB107" s="42">
        <f>EB103*1000/EB105</f>
        <v>1424.4492536485213</v>
      </c>
      <c r="EC107" s="42">
        <f>EC103*1000/EC105</f>
        <v>1400.5472097465283</v>
      </c>
      <c r="ED107" s="42">
        <f>ED103*1000/ED105</f>
        <v>1401.1258585962919</v>
      </c>
      <c r="EE107" s="42">
        <f>EE103*1000/EE105</f>
        <v>1396.2515248974159</v>
      </c>
      <c r="EF107" s="43">
        <f>(EB107*EB105+EC107*EC105+ED107*ED105+EE107*EE105)/EF105</f>
        <v>1405.4205832408511</v>
      </c>
      <c r="EG107" s="42">
        <f>EG103*1000/EG105</f>
        <v>1377.2693642934382</v>
      </c>
      <c r="EH107" s="1638">
        <f>EH103*1000/EH105</f>
        <v>1362.9547347958901</v>
      </c>
      <c r="EI107" s="42">
        <f>EI103*1000/EI105</f>
        <v>1355.3861024594567</v>
      </c>
      <c r="EJ107" s="42">
        <f>EJ103*1000/EJ105</f>
        <v>1353.3344203489319</v>
      </c>
      <c r="EK107" s="43">
        <f>(EG107*EG105+EH107*EH105+EI107*EI105+EJ107*EJ105)/EK105</f>
        <v>1362.0397537088309</v>
      </c>
      <c r="EL107" s="42">
        <f>EL103*1000/EL105</f>
        <v>1394.4546734539153</v>
      </c>
      <c r="EM107" s="1638">
        <f>EM103*1000/EM105</f>
        <v>1380.0502407368642</v>
      </c>
      <c r="EN107" s="42">
        <f>EN103*1000/EN105</f>
        <v>1384.1368584758943</v>
      </c>
      <c r="EO107" s="42">
        <f>EO103*1000/EO105</f>
        <v>1386.4214845982028</v>
      </c>
      <c r="EP107" s="43">
        <f>(EL107*EL105+EM107*EM105+EN107*EN105+EO107*EO105)/EP105</f>
        <v>1386.1919463968995</v>
      </c>
      <c r="EQ107" s="42">
        <f>EQ103*1000/EQ105</f>
        <v>1426.6960722537281</v>
      </c>
      <c r="ER107" s="1638">
        <f>EM107*(1+ER108)</f>
        <v>1421.4543796977484</v>
      </c>
      <c r="ES107" s="1638">
        <f>EN107*(1+ES108)</f>
        <v>1418.1361842467843</v>
      </c>
      <c r="ET107" s="1638">
        <f>EO107*(1+ET108)</f>
        <v>1417.3870810721667</v>
      </c>
      <c r="EU107" s="1957">
        <f>(EQ107*EQ105+ER107*ER105+ES107*ES105+ET107*ET105)/EU105</f>
        <v>1420.853621228058</v>
      </c>
      <c r="EV107" s="1638"/>
      <c r="EW107" s="1638"/>
      <c r="EX107" s="1638"/>
      <c r="EY107" s="1638"/>
      <c r="EZ107" s="1639">
        <f>EU107*(1+EZ108)</f>
        <v>1444.2082662467783</v>
      </c>
      <c r="FA107" s="1638"/>
      <c r="FB107" s="1638"/>
      <c r="FC107" s="1638"/>
      <c r="FD107" s="1638"/>
      <c r="FE107" s="1639">
        <f>EZ107*(1+FE108)</f>
        <v>1464.1693805243137</v>
      </c>
      <c r="FF107" s="760"/>
      <c r="FG107" s="650"/>
      <c r="FH107" s="1027"/>
      <c r="FI107" s="1027"/>
      <c r="FJ107" s="1027"/>
      <c r="FK107" s="1027"/>
      <c r="FL107" s="1809"/>
      <c r="FM107" s="42">
        <f t="shared" si="338"/>
        <v>1426.6960722537281</v>
      </c>
      <c r="FN107" s="42">
        <f t="shared" si="339"/>
        <v>1394.4546734539153</v>
      </c>
      <c r="FO107" s="1638">
        <v>1407.4561559184606</v>
      </c>
      <c r="FP107" s="1863">
        <f>IFERROR(($FM107/FN107)-1,"")</f>
        <v>2.3121152242226772E-2</v>
      </c>
      <c r="FQ107" s="1863">
        <f>IFERROR(($FM107/FO107)-1,"")</f>
        <v>1.3669993380868162E-2</v>
      </c>
      <c r="FR107" s="1583" t="s">
        <v>850</v>
      </c>
      <c r="FS107" s="122"/>
      <c r="FT107" s="122"/>
      <c r="FU107" s="122"/>
      <c r="FV107" s="122"/>
      <c r="FW107" s="122"/>
      <c r="FX107" s="122"/>
      <c r="FY107" s="122"/>
      <c r="FZ107" s="122"/>
      <c r="GA107" s="650"/>
      <c r="GB107"/>
      <c r="GC107"/>
      <c r="GD107"/>
      <c r="GE107"/>
      <c r="GF107"/>
      <c r="GG107"/>
      <c r="GH107" s="956"/>
      <c r="GI107" s="956"/>
      <c r="GJ107" s="956"/>
      <c r="GK107" s="956"/>
      <c r="GL107" s="956"/>
      <c r="GM107" s="956"/>
      <c r="GN107" s="956"/>
      <c r="GO107" s="956"/>
      <c r="GP107" s="956"/>
      <c r="GQ107" s="956"/>
      <c r="GR107" s="956"/>
      <c r="GS107" s="956"/>
      <c r="GT107" s="956"/>
      <c r="GU107" s="956"/>
      <c r="GV107" s="956"/>
      <c r="GW107" s="956"/>
      <c r="GX107" s="956"/>
      <c r="GY107" s="956"/>
      <c r="GZ107" s="956"/>
      <c r="HA107" s="956"/>
      <c r="HB107" s="956"/>
      <c r="HC107" s="956"/>
      <c r="HD107" s="956"/>
      <c r="HE107" s="956"/>
      <c r="HF107" s="956"/>
      <c r="HG107" s="956"/>
      <c r="HH107" s="956"/>
      <c r="HI107" s="956"/>
      <c r="HJ107" s="956"/>
      <c r="HK107" s="956"/>
      <c r="HL107" s="956"/>
      <c r="HM107" s="956"/>
      <c r="HN107" s="956"/>
      <c r="HO107" s="956"/>
      <c r="HP107" s="956"/>
      <c r="HQ107" s="956"/>
      <c r="HR107" s="956"/>
      <c r="HS107" s="956"/>
      <c r="HT107" s="956"/>
      <c r="HU107" s="956"/>
      <c r="HV107" s="956"/>
      <c r="HW107" s="956"/>
      <c r="HX107" s="956"/>
      <c r="HY107" s="956"/>
      <c r="HZ107" s="956"/>
      <c r="IA107" s="956"/>
      <c r="IB107" s="956"/>
      <c r="IC107" s="956"/>
      <c r="ID107" s="956"/>
      <c r="IE107" s="956"/>
      <c r="IF107" s="956"/>
      <c r="IG107" s="956"/>
      <c r="IH107" s="956"/>
      <c r="II107" s="956"/>
      <c r="IJ107" s="956"/>
      <c r="IK107" s="956"/>
      <c r="IL107" s="956"/>
      <c r="IM107" s="956"/>
      <c r="IN107" s="956"/>
      <c r="IO107" s="956"/>
      <c r="IP107" s="956"/>
      <c r="IQ107" s="956"/>
      <c r="IR107" s="956"/>
      <c r="IS107" s="956"/>
      <c r="IT107" s="956"/>
      <c r="IU107" s="956"/>
      <c r="IV107" s="956"/>
    </row>
    <row r="108" spans="1:256" s="56" customFormat="1" ht="12.75" x14ac:dyDescent="0.2">
      <c r="A108" s="44" t="s">
        <v>218</v>
      </c>
      <c r="B108" s="22"/>
      <c r="C108" s="22"/>
      <c r="D108" s="22"/>
      <c r="E108" s="197"/>
      <c r="F108" s="21"/>
      <c r="G108" s="22"/>
      <c r="H108" s="22"/>
      <c r="I108" s="22"/>
      <c r="J108" s="197"/>
      <c r="K108" s="21"/>
      <c r="L108" s="22"/>
      <c r="M108" s="22"/>
      <c r="N108" s="22"/>
      <c r="O108" s="197"/>
      <c r="P108" s="21"/>
      <c r="Q108" s="22">
        <f t="shared" ref="Q108:BX108" si="412">Q107/L107-1</f>
        <v>1.0301070879290108E-2</v>
      </c>
      <c r="R108" s="22">
        <f t="shared" si="412"/>
        <v>8.4245062981835872E-3</v>
      </c>
      <c r="S108" s="22">
        <f t="shared" si="412"/>
        <v>-9.2458429942099407E-5</v>
      </c>
      <c r="T108" s="197">
        <f t="shared" si="412"/>
        <v>6.6143212562346232E-3</v>
      </c>
      <c r="U108" s="21">
        <f t="shared" si="412"/>
        <v>6.2608885968344907E-3</v>
      </c>
      <c r="V108" s="22">
        <f t="shared" si="412"/>
        <v>8.6938977343313795E-3</v>
      </c>
      <c r="W108" s="22">
        <f t="shared" si="412"/>
        <v>-2.6734095962364202E-2</v>
      </c>
      <c r="X108" s="22">
        <f t="shared" si="412"/>
        <v>-4.0943083534278002E-2</v>
      </c>
      <c r="Y108" s="197">
        <f t="shared" si="412"/>
        <v>-4.6042431315564292E-2</v>
      </c>
      <c r="Z108" s="21">
        <f t="shared" si="412"/>
        <v>-2.667048099097058E-2</v>
      </c>
      <c r="AA108" s="22">
        <f t="shared" si="412"/>
        <v>6.3855728347910201E-3</v>
      </c>
      <c r="AB108" s="22">
        <f t="shared" si="412"/>
        <v>9.0463320998201979E-4</v>
      </c>
      <c r="AC108" s="22">
        <f t="shared" si="412"/>
        <v>1.8607894829467897E-2</v>
      </c>
      <c r="AD108" s="197">
        <f t="shared" si="412"/>
        <v>1.8599270558897318E-2</v>
      </c>
      <c r="AE108" s="21">
        <f t="shared" si="412"/>
        <v>1.0862505647480925E-2</v>
      </c>
      <c r="AF108" s="22">
        <f t="shared" si="412"/>
        <v>-3.2511514303347866E-2</v>
      </c>
      <c r="AG108" s="22">
        <f t="shared" si="412"/>
        <v>-1.2273885340768897E-3</v>
      </c>
      <c r="AH108" s="22">
        <f t="shared" si="412"/>
        <v>-1.6562915970075309E-4</v>
      </c>
      <c r="AI108" s="197">
        <f t="shared" si="412"/>
        <v>-1.4577951857810412E-3</v>
      </c>
      <c r="AJ108" s="21">
        <f t="shared" si="412"/>
        <v>-8.5847290783171992E-3</v>
      </c>
      <c r="AK108" s="22">
        <f t="shared" si="412"/>
        <v>2.3960968195265719E-2</v>
      </c>
      <c r="AL108" s="22">
        <f t="shared" si="412"/>
        <v>4.2574505384422867E-3</v>
      </c>
      <c r="AM108" s="22">
        <f t="shared" si="412"/>
        <v>-1.6463673383000699E-2</v>
      </c>
      <c r="AN108" s="197">
        <f t="shared" si="412"/>
        <v>-1.4048388391619815E-2</v>
      </c>
      <c r="AO108" s="21">
        <f t="shared" si="412"/>
        <v>-8.4244767925600872E-4</v>
      </c>
      <c r="AP108" s="22">
        <f t="shared" si="412"/>
        <v>-1.6322864672304704E-2</v>
      </c>
      <c r="AQ108" s="22">
        <f t="shared" si="412"/>
        <v>-2.3564653020469395E-2</v>
      </c>
      <c r="AR108" s="22">
        <f t="shared" si="412"/>
        <v>-1.3356946407785952E-2</v>
      </c>
      <c r="AS108" s="197">
        <f t="shared" si="412"/>
        <v>-7.3359337262978164E-3</v>
      </c>
      <c r="AT108" s="21">
        <f t="shared" si="412"/>
        <v>-1.5144354762884782E-2</v>
      </c>
      <c r="AU108" s="22">
        <f t="shared" si="412"/>
        <v>-2.5864128678221632E-2</v>
      </c>
      <c r="AV108" s="22">
        <f t="shared" si="412"/>
        <v>-1.1205410950215655E-2</v>
      </c>
      <c r="AW108" s="22">
        <f t="shared" si="412"/>
        <v>9.2541764388718306E-3</v>
      </c>
      <c r="AX108" s="197">
        <f t="shared" si="412"/>
        <v>-9.5681117592719689E-3</v>
      </c>
      <c r="AY108" s="21">
        <f t="shared" si="412"/>
        <v>-9.2876290875703038E-3</v>
      </c>
      <c r="AZ108" s="22">
        <f t="shared" si="412"/>
        <v>8.2524079441381737E-3</v>
      </c>
      <c r="BA108" s="22">
        <f t="shared" si="412"/>
        <v>-6.865699112270196E-3</v>
      </c>
      <c r="BB108" s="22">
        <f t="shared" si="412"/>
        <v>-1.2353187801929955E-2</v>
      </c>
      <c r="BC108" s="197">
        <f t="shared" si="412"/>
        <v>-1.7205921468253393E-2</v>
      </c>
      <c r="BD108" s="21">
        <f t="shared" si="412"/>
        <v>-8.6603953868685801E-3</v>
      </c>
      <c r="BE108" s="22">
        <f t="shared" si="412"/>
        <v>1.1086412402088852E-2</v>
      </c>
      <c r="BF108" s="22">
        <f t="shared" si="412"/>
        <v>4.0167184435070169E-2</v>
      </c>
      <c r="BG108" s="22">
        <f t="shared" si="412"/>
        <v>1.2343331293283466E-2</v>
      </c>
      <c r="BH108" s="197">
        <f t="shared" si="412"/>
        <v>5.8964952977277996E-2</v>
      </c>
      <c r="BI108" s="21">
        <f t="shared" si="412"/>
        <v>3.2074433760122867E-2</v>
      </c>
      <c r="BJ108" s="22">
        <f t="shared" si="412"/>
        <v>3.5980174755761318E-2</v>
      </c>
      <c r="BK108" s="22">
        <f t="shared" si="412"/>
        <v>4.0844151994783529E-2</v>
      </c>
      <c r="BL108" s="22">
        <f t="shared" si="412"/>
        <v>4.8186840471133863E-2</v>
      </c>
      <c r="BM108" s="197">
        <f t="shared" si="412"/>
        <v>1.6395345686389451E-2</v>
      </c>
      <c r="BN108" s="21">
        <f t="shared" si="412"/>
        <v>3.5372282863725957E-2</v>
      </c>
      <c r="BO108" s="22">
        <f t="shared" si="412"/>
        <v>1.3084027526260034E-3</v>
      </c>
      <c r="BP108" s="22">
        <f t="shared" si="412"/>
        <v>-1.6627083860900838E-2</v>
      </c>
      <c r="BQ108" s="22">
        <f t="shared" si="412"/>
        <v>-8.8758865800951936E-3</v>
      </c>
      <c r="BR108" s="197">
        <f t="shared" si="412"/>
        <v>3.2704131568391581E-2</v>
      </c>
      <c r="BS108" s="21">
        <f t="shared" si="412"/>
        <v>1.7352653341102808E-3</v>
      </c>
      <c r="BT108" s="22">
        <f t="shared" si="412"/>
        <v>1.5751746665456645E-2</v>
      </c>
      <c r="BU108" s="22">
        <f t="shared" si="412"/>
        <v>1.3711871856702196E-2</v>
      </c>
      <c r="BV108" s="22">
        <f t="shared" si="412"/>
        <v>8.0724780765433213E-3</v>
      </c>
      <c r="BW108" s="197">
        <f t="shared" si="412"/>
        <v>3.6269852893886512E-3</v>
      </c>
      <c r="BX108" s="21">
        <f t="shared" si="412"/>
        <v>1.0454823001654123E-2</v>
      </c>
      <c r="BY108" s="22">
        <f>BY107/BT107-1</f>
        <v>1.7277645162007804E-2</v>
      </c>
      <c r="BZ108" s="22">
        <f>BZ107/BU107-1</f>
        <v>2.7693735121815832E-2</v>
      </c>
      <c r="CA108" s="22">
        <f>CA107/BV107-1</f>
        <v>5.054938534563691E-2</v>
      </c>
      <c r="CB108" s="197">
        <f>CB107/BW107-1</f>
        <v>5.9227718745863189E-2</v>
      </c>
      <c r="CC108" s="21">
        <f>CC107/BX107-1</f>
        <v>3.9161343670103488E-2</v>
      </c>
      <c r="CD108" s="22">
        <f t="shared" ref="CD108:DU108" si="413">CD107/BY107-1</f>
        <v>9.2326579866652381E-2</v>
      </c>
      <c r="CE108" s="22">
        <f t="shared" si="413"/>
        <v>0.1145397732271507</v>
      </c>
      <c r="CF108" s="22">
        <f t="shared" si="413"/>
        <v>0.10944867951629966</v>
      </c>
      <c r="CG108" s="197">
        <f t="shared" si="413"/>
        <v>0.12538864170680686</v>
      </c>
      <c r="CH108" s="21">
        <f t="shared" si="413"/>
        <v>0.11068230184375083</v>
      </c>
      <c r="CI108" s="22">
        <f t="shared" si="413"/>
        <v>0.11794653103180108</v>
      </c>
      <c r="CJ108" s="22">
        <f t="shared" si="413"/>
        <v>9.636386058570201E-2</v>
      </c>
      <c r="CK108" s="22">
        <f t="shared" si="413"/>
        <v>0.11122169677135352</v>
      </c>
      <c r="CL108" s="197">
        <f t="shared" si="413"/>
        <v>5.683247161692373E-2</v>
      </c>
      <c r="CM108" s="21">
        <f t="shared" si="413"/>
        <v>9.428844206809206E-2</v>
      </c>
      <c r="CN108" s="22">
        <f t="shared" si="413"/>
        <v>2.036254909874291E-2</v>
      </c>
      <c r="CO108" s="22">
        <f t="shared" si="413"/>
        <v>3.6322786986500155E-2</v>
      </c>
      <c r="CP108" s="22">
        <f t="shared" si="413"/>
        <v>2.541578250061205E-2</v>
      </c>
      <c r="CQ108" s="197">
        <f t="shared" si="413"/>
        <v>9.1034626549361564E-2</v>
      </c>
      <c r="CR108" s="21">
        <f t="shared" si="413"/>
        <v>4.3315869294942688E-2</v>
      </c>
      <c r="CS108" s="22">
        <f t="shared" si="413"/>
        <v>0.1390704260190343</v>
      </c>
      <c r="CT108" s="22">
        <f t="shared" si="413"/>
        <v>0.18800283945990981</v>
      </c>
      <c r="CU108" s="22">
        <f t="shared" si="413"/>
        <v>0.23887450220487461</v>
      </c>
      <c r="CV108" s="197">
        <f t="shared" si="413"/>
        <v>0.10519300550958399</v>
      </c>
      <c r="CW108" s="21">
        <f t="shared" si="413"/>
        <v>0.1677496798781728</v>
      </c>
      <c r="CX108" s="22">
        <f t="shared" si="413"/>
        <v>-2.3961527892278123E-2</v>
      </c>
      <c r="CY108" s="22">
        <f t="shared" si="413"/>
        <v>-9.5992724217444314E-2</v>
      </c>
      <c r="CZ108" s="22">
        <f t="shared" si="413"/>
        <v>-0.11242114743718756</v>
      </c>
      <c r="DA108" s="22">
        <f t="shared" si="413"/>
        <v>-7.3413244901781471E-2</v>
      </c>
      <c r="DB108" s="21">
        <f t="shared" si="413"/>
        <v>-7.7823169007984139E-2</v>
      </c>
      <c r="DC108" s="22">
        <f t="shared" si="413"/>
        <v>5.9194823003323682E-2</v>
      </c>
      <c r="DD108" s="22">
        <f t="shared" si="413"/>
        <v>7.4591458863327409E-2</v>
      </c>
      <c r="DE108" s="22">
        <f t="shared" si="413"/>
        <v>3.3994062087051358E-2</v>
      </c>
      <c r="DF108" s="22">
        <f t="shared" si="413"/>
        <v>4.162877588379188E-2</v>
      </c>
      <c r="DG108" s="21">
        <f t="shared" si="413"/>
        <v>5.1681586102037214E-2</v>
      </c>
      <c r="DH108" s="22">
        <f t="shared" si="413"/>
        <v>8.2913871122324512E-2</v>
      </c>
      <c r="DI108" s="22">
        <f t="shared" si="413"/>
        <v>0.13513524468312688</v>
      </c>
      <c r="DJ108" s="22">
        <f t="shared" si="413"/>
        <v>0.13906211277711988</v>
      </c>
      <c r="DK108" s="22">
        <f t="shared" si="413"/>
        <v>0.10601115909996883</v>
      </c>
      <c r="DL108" s="21">
        <f>DL107/DG107-1</f>
        <v>0.11618378473400037</v>
      </c>
      <c r="DM108" s="22">
        <f t="shared" si="413"/>
        <v>5.2449116765489912E-2</v>
      </c>
      <c r="DN108" s="22">
        <f t="shared" si="413"/>
        <v>-4.1194588777234697E-3</v>
      </c>
      <c r="DO108" s="22">
        <f t="shared" si="413"/>
        <v>-5.4840353586917745E-2</v>
      </c>
      <c r="DP108" s="22">
        <f t="shared" si="413"/>
        <v>-3.2582699140950355E-2</v>
      </c>
      <c r="DQ108" s="21">
        <f>DQ107/DL107-1</f>
        <v>-1.077245277598704E-2</v>
      </c>
      <c r="DR108" s="22">
        <f t="shared" si="413"/>
        <v>-4.7347849024991895E-2</v>
      </c>
      <c r="DS108" s="22">
        <f t="shared" si="413"/>
        <v>-4.5684043730716883E-2</v>
      </c>
      <c r="DT108" s="22">
        <f t="shared" si="413"/>
        <v>7.932083416555713E-3</v>
      </c>
      <c r="DU108" s="22">
        <f t="shared" si="413"/>
        <v>3.3102256119327489E-2</v>
      </c>
      <c r="DV108" s="21">
        <f t="shared" ref="DV108:ED108" si="414">DV107/DQ107-1</f>
        <v>-1.3857638195845623E-2</v>
      </c>
      <c r="DW108" s="22">
        <f t="shared" si="414"/>
        <v>-6.1952771310260779E-3</v>
      </c>
      <c r="DX108" s="22">
        <f t="shared" si="414"/>
        <v>6.3272338627569091E-3</v>
      </c>
      <c r="DY108" s="22">
        <f t="shared" si="414"/>
        <v>-6.5142181034129054E-3</v>
      </c>
      <c r="DZ108" s="22">
        <f t="shared" si="414"/>
        <v>-3.8019571121123974E-2</v>
      </c>
      <c r="EA108" s="21">
        <f t="shared" si="414"/>
        <v>-1.1281355140208338E-2</v>
      </c>
      <c r="EB108" s="22">
        <f>EB107/DW107-1</f>
        <v>-6.6294438646008369E-2</v>
      </c>
      <c r="EC108" s="22">
        <f t="shared" si="414"/>
        <v>-8.6973973817113692E-2</v>
      </c>
      <c r="ED108" s="22">
        <f t="shared" si="414"/>
        <v>-7.2559430019457527E-2</v>
      </c>
      <c r="EE108" s="22">
        <f t="shared" ref="EE108:EN108" si="415">EE107/DZ107-1</f>
        <v>-6.1933034736168291E-2</v>
      </c>
      <c r="EF108" s="21">
        <f t="shared" si="415"/>
        <v>-7.2052440268822404E-2</v>
      </c>
      <c r="EG108" s="22">
        <f t="shared" si="415"/>
        <v>-3.3121495366885578E-2</v>
      </c>
      <c r="EH108" s="1582">
        <f t="shared" si="415"/>
        <v>-2.6841276530365388E-2</v>
      </c>
      <c r="EI108" s="22">
        <f t="shared" si="415"/>
        <v>-3.2645001772117266E-2</v>
      </c>
      <c r="EJ108" s="22">
        <f t="shared" si="415"/>
        <v>-3.0737373448266991E-2</v>
      </c>
      <c r="EK108" s="21">
        <f t="shared" si="415"/>
        <v>-3.0866795356010446E-2</v>
      </c>
      <c r="EL108" s="22">
        <f t="shared" si="415"/>
        <v>1.2477812696642276E-2</v>
      </c>
      <c r="EM108" s="1582">
        <f t="shared" si="415"/>
        <v>1.2542974102169424E-2</v>
      </c>
      <c r="EN108" s="22">
        <f t="shared" si="415"/>
        <v>2.1212225774092763E-2</v>
      </c>
      <c r="EO108" s="22">
        <f t="shared" ref="EO108" si="416">EO107/EJ107-1</f>
        <v>2.4448550004913194E-2</v>
      </c>
      <c r="EP108" s="21">
        <f t="shared" ref="EP108:EQ108" si="417">EP107/EK107-1</f>
        <v>1.7732369868282083E-2</v>
      </c>
      <c r="EQ108" s="22">
        <f t="shared" si="417"/>
        <v>2.3121152242226772E-2</v>
      </c>
      <c r="ER108" s="1582">
        <f>ER110+ER114</f>
        <v>3.0001906987659435E-2</v>
      </c>
      <c r="ES108" s="1582">
        <f>ES110+ES114</f>
        <v>2.4563557832227172E-2</v>
      </c>
      <c r="ET108" s="1582">
        <f>ET110+ET114</f>
        <v>2.2334908119905596E-2</v>
      </c>
      <c r="EU108" s="1956">
        <f>EU107/EP107-1</f>
        <v>2.5004960475534244E-2</v>
      </c>
      <c r="EV108" s="362"/>
      <c r="EW108" s="362"/>
      <c r="EX108" s="362"/>
      <c r="EY108" s="362"/>
      <c r="EZ108" s="844">
        <f>EZ110+EZ114</f>
        <v>1.6437052114161174E-2</v>
      </c>
      <c r="FA108" s="362"/>
      <c r="FB108" s="362"/>
      <c r="FC108" s="362"/>
      <c r="FD108" s="362"/>
      <c r="FE108" s="844">
        <f>FE110+FE114</f>
        <v>1.3821492885794481E-2</v>
      </c>
      <c r="FF108" s="768"/>
      <c r="FG108" s="650"/>
      <c r="FH108" s="1038"/>
      <c r="FI108" s="1038"/>
      <c r="FJ108" s="1038"/>
      <c r="FK108" s="1038"/>
      <c r="FL108" s="1813"/>
      <c r="FM108" s="22">
        <f t="shared" si="338"/>
        <v>2.3121152242226772E-2</v>
      </c>
      <c r="FN108" s="22">
        <f t="shared" si="339"/>
        <v>1.2477812696642276E-2</v>
      </c>
      <c r="FO108" s="2049">
        <v>9.3237038908851044E-3</v>
      </c>
      <c r="FP108" s="1892">
        <f>IFERROR(($FM108-FN108)*10000,"")</f>
        <v>106.43339545584496</v>
      </c>
      <c r="FQ108" s="1892">
        <f>IFERROR(($FM108-FO108)*10000,"")</f>
        <v>137.97448351341669</v>
      </c>
      <c r="FR108" s="575"/>
      <c r="FS108" s="575"/>
      <c r="FT108" s="575"/>
      <c r="FU108" s="575"/>
      <c r="FV108" s="575"/>
      <c r="FW108" s="575"/>
      <c r="FX108" s="575"/>
      <c r="FY108" s="575"/>
      <c r="FZ108" s="575"/>
      <c r="GA108" s="650"/>
      <c r="GB108"/>
      <c r="GC108"/>
      <c r="GD108"/>
      <c r="GE108"/>
      <c r="GF108"/>
      <c r="GG108"/>
      <c r="GH108" s="964"/>
      <c r="GI108" s="964"/>
      <c r="GJ108" s="964"/>
      <c r="GK108" s="964"/>
      <c r="GL108" s="964"/>
      <c r="GM108" s="964"/>
      <c r="GN108" s="964"/>
      <c r="GO108" s="964"/>
      <c r="GP108" s="964"/>
      <c r="GQ108" s="964"/>
      <c r="GR108" s="964"/>
      <c r="GS108" s="964"/>
      <c r="GT108" s="964"/>
      <c r="GU108" s="964"/>
      <c r="GV108" s="964"/>
      <c r="GW108" s="964"/>
      <c r="GX108" s="964"/>
      <c r="GY108" s="964"/>
      <c r="GZ108" s="964"/>
      <c r="HA108" s="964"/>
      <c r="HB108" s="964"/>
      <c r="HC108" s="964"/>
      <c r="HD108" s="964"/>
      <c r="HE108" s="964"/>
      <c r="HF108" s="964"/>
      <c r="HG108" s="964"/>
      <c r="HH108" s="964"/>
      <c r="HI108" s="964"/>
      <c r="HJ108" s="964"/>
      <c r="HK108" s="964"/>
      <c r="HL108" s="964"/>
      <c r="HM108" s="964"/>
      <c r="HN108" s="964"/>
      <c r="HO108" s="964"/>
      <c r="HP108" s="964"/>
      <c r="HQ108" s="964"/>
      <c r="HR108" s="964"/>
      <c r="HS108" s="964"/>
      <c r="HT108" s="964"/>
      <c r="HU108" s="964"/>
      <c r="HV108" s="964"/>
      <c r="HW108" s="964"/>
      <c r="HX108" s="964"/>
      <c r="HY108" s="964"/>
      <c r="HZ108" s="964"/>
      <c r="IA108" s="964"/>
      <c r="IB108" s="964"/>
      <c r="IC108" s="964"/>
      <c r="ID108" s="964"/>
      <c r="IE108" s="964"/>
      <c r="IF108" s="964"/>
      <c r="IG108" s="964"/>
      <c r="IH108" s="964"/>
      <c r="II108" s="964"/>
      <c r="IJ108" s="964"/>
      <c r="IK108" s="964"/>
      <c r="IL108" s="964"/>
      <c r="IM108" s="964"/>
      <c r="IN108" s="964"/>
      <c r="IO108" s="964"/>
      <c r="IP108" s="964"/>
      <c r="IQ108" s="964"/>
      <c r="IR108" s="964"/>
      <c r="IS108" s="964"/>
      <c r="IT108" s="964"/>
      <c r="IU108" s="964"/>
      <c r="IV108" s="964"/>
    </row>
    <row r="109" spans="1:256" s="520" customFormat="1" ht="12.75" x14ac:dyDescent="0.2">
      <c r="A109" s="516" t="s">
        <v>392</v>
      </c>
      <c r="B109" s="517"/>
      <c r="C109" s="517"/>
      <c r="D109" s="517"/>
      <c r="E109" s="518"/>
      <c r="F109" s="519"/>
      <c r="G109" s="517"/>
      <c r="H109" s="517"/>
      <c r="I109" s="517"/>
      <c r="J109" s="518"/>
      <c r="K109" s="519"/>
      <c r="L109" s="517"/>
      <c r="M109" s="517"/>
      <c r="N109" s="517"/>
      <c r="O109" s="518"/>
      <c r="P109" s="519"/>
      <c r="Q109" s="517"/>
      <c r="R109" s="517"/>
      <c r="S109" s="517"/>
      <c r="T109" s="518"/>
      <c r="U109" s="519"/>
      <c r="V109" s="517"/>
      <c r="W109" s="517"/>
      <c r="X109" s="517"/>
      <c r="Y109" s="518"/>
      <c r="Z109" s="519"/>
      <c r="AA109" s="517"/>
      <c r="AB109" s="517"/>
      <c r="AC109" s="517"/>
      <c r="AD109" s="518"/>
      <c r="AE109" s="519"/>
      <c r="AF109" s="517"/>
      <c r="AG109" s="517"/>
      <c r="AH109" s="517"/>
      <c r="AI109" s="518"/>
      <c r="AJ109" s="519"/>
      <c r="AK109" s="517"/>
      <c r="AL109" s="517"/>
      <c r="AM109" s="517"/>
      <c r="AN109" s="518"/>
      <c r="AO109" s="519"/>
      <c r="AP109" s="517"/>
      <c r="AQ109" s="517"/>
      <c r="AR109" s="517"/>
      <c r="AS109" s="518"/>
      <c r="AT109" s="519"/>
      <c r="AU109" s="517"/>
      <c r="AV109" s="517"/>
      <c r="AW109" s="517"/>
      <c r="AX109" s="518"/>
      <c r="AY109" s="519"/>
      <c r="AZ109" s="517"/>
      <c r="BA109" s="517"/>
      <c r="BB109" s="517"/>
      <c r="BC109" s="518"/>
      <c r="BD109" s="519"/>
      <c r="BE109" s="517"/>
      <c r="BF109" s="517"/>
      <c r="BG109" s="517"/>
      <c r="BH109" s="518"/>
      <c r="BI109" s="519"/>
      <c r="BJ109" s="517"/>
      <c r="BK109" s="517"/>
      <c r="BL109" s="517"/>
      <c r="BM109" s="518"/>
      <c r="BN109" s="519"/>
      <c r="BO109" s="517"/>
      <c r="BP109" s="517"/>
      <c r="BQ109" s="517"/>
      <c r="BR109" s="518"/>
      <c r="BS109" s="519"/>
      <c r="BT109" s="517"/>
      <c r="BU109" s="517"/>
      <c r="BV109" s="517"/>
      <c r="BW109" s="518"/>
      <c r="BX109" s="519"/>
      <c r="BY109" s="517"/>
      <c r="BZ109" s="517"/>
      <c r="CA109" s="517"/>
      <c r="CB109" s="518"/>
      <c r="CC109" s="519"/>
      <c r="CD109" s="517"/>
      <c r="CE109" s="517"/>
      <c r="CF109" s="517"/>
      <c r="CG109" s="518"/>
      <c r="CH109" s="519"/>
      <c r="CI109" s="517">
        <f t="shared" ref="CI109:DP109" si="418">CI107-(CI117/CI105*1000)</f>
        <v>1104.4761327681565</v>
      </c>
      <c r="CJ109" s="517">
        <f t="shared" si="418"/>
        <v>1099.2708184871051</v>
      </c>
      <c r="CK109" s="517">
        <f t="shared" si="418"/>
        <v>1086.6971465876368</v>
      </c>
      <c r="CL109" s="518">
        <f t="shared" si="418"/>
        <v>1099.9806930226159</v>
      </c>
      <c r="CM109" s="519">
        <f t="shared" si="418"/>
        <v>1097.5651427815706</v>
      </c>
      <c r="CN109" s="517">
        <f t="shared" si="418"/>
        <v>1119.5748095256406</v>
      </c>
      <c r="CO109" s="517">
        <f t="shared" si="418"/>
        <v>1131.636442627587</v>
      </c>
      <c r="CP109" s="517">
        <f t="shared" si="418"/>
        <v>1121.5274365346136</v>
      </c>
      <c r="CQ109" s="518">
        <f t="shared" si="418"/>
        <v>1182.4367680872683</v>
      </c>
      <c r="CR109" s="519">
        <f t="shared" si="418"/>
        <v>1138.6335766668026</v>
      </c>
      <c r="CS109" s="517">
        <f t="shared" si="418"/>
        <v>1192.9091903719911</v>
      </c>
      <c r="CT109" s="517">
        <f t="shared" si="418"/>
        <v>1238.5291951604418</v>
      </c>
      <c r="CU109" s="517">
        <f t="shared" si="418"/>
        <v>1243.9386904447842</v>
      </c>
      <c r="CV109" s="518">
        <f t="shared" si="418"/>
        <v>1241.2131926733132</v>
      </c>
      <c r="CW109" s="519">
        <f t="shared" si="418"/>
        <v>1229.207429076808</v>
      </c>
      <c r="CX109" s="517">
        <f t="shared" si="418"/>
        <v>1270.3860950810663</v>
      </c>
      <c r="CY109" s="517">
        <f t="shared" si="418"/>
        <v>1270.6492954754656</v>
      </c>
      <c r="CZ109" s="517">
        <f t="shared" si="418"/>
        <v>1290.2529234003418</v>
      </c>
      <c r="DA109" s="517">
        <f t="shared" si="418"/>
        <v>1269.9980857580399</v>
      </c>
      <c r="DB109" s="519">
        <f t="shared" si="418"/>
        <v>1275.4227586322663</v>
      </c>
      <c r="DC109" s="517">
        <f t="shared" si="418"/>
        <v>1313.5220165518986</v>
      </c>
      <c r="DD109" s="517">
        <f t="shared" si="418"/>
        <v>1296.9752296778697</v>
      </c>
      <c r="DE109" s="517">
        <f t="shared" si="418"/>
        <v>1299.2125984251968</v>
      </c>
      <c r="DF109" s="517">
        <f t="shared" si="418"/>
        <v>1290.3049952323377</v>
      </c>
      <c r="DG109" s="519">
        <f t="shared" si="418"/>
        <v>1299.7420463702513</v>
      </c>
      <c r="DH109" s="517">
        <f t="shared" si="418"/>
        <v>1385.5773726040206</v>
      </c>
      <c r="DI109" s="517">
        <f t="shared" si="418"/>
        <v>1401.6106105545916</v>
      </c>
      <c r="DJ109" s="517">
        <f t="shared" si="418"/>
        <v>1398.4198021990164</v>
      </c>
      <c r="DK109" s="517">
        <f t="shared" si="418"/>
        <v>1389.2732606409477</v>
      </c>
      <c r="DL109" s="519">
        <f t="shared" si="418"/>
        <v>1393.8097179079932</v>
      </c>
      <c r="DM109" s="517">
        <f t="shared" si="418"/>
        <v>1423.6191356598106</v>
      </c>
      <c r="DN109" s="517">
        <f t="shared" si="418"/>
        <v>1394.4311676763186</v>
      </c>
      <c r="DO109" s="517">
        <f t="shared" si="418"/>
        <v>1348.4593837535012</v>
      </c>
      <c r="DP109" s="517">
        <f t="shared" si="418"/>
        <v>1329.1668991685733</v>
      </c>
      <c r="DQ109" s="519">
        <f>DL109*(1+DQ110)</f>
        <v>1375.9801785973725</v>
      </c>
      <c r="DR109" s="517">
        <f>DR107-(DR117/DR105*1000)</f>
        <v>1381.4756671899529</v>
      </c>
      <c r="DS109" s="517">
        <f>DS107-(DS117/DS105*1000)</f>
        <v>1357.850070721358</v>
      </c>
      <c r="DT109" s="517">
        <f>DO109*(1+DT110)</f>
        <v>1342.3104188233704</v>
      </c>
      <c r="DU109" s="517">
        <f>DU107-(DU117/DU105*1000)</f>
        <v>1357.6799140708913</v>
      </c>
      <c r="DV109" s="519">
        <f>(DR109*DR105+DS109*DS105+DT109*DT105+DU109*DU105)/DV105</f>
        <v>1359.6159433852633</v>
      </c>
      <c r="DW109" s="517">
        <f>DW107-(DW117/DW105*1000)</f>
        <v>1358.2208101667993</v>
      </c>
      <c r="DX109" s="1425">
        <f>DX107-(DX117/DX105*1000)</f>
        <v>1353.4365387524583</v>
      </c>
      <c r="DY109" s="1425">
        <f>DY107-(DY117/DY105*1000)</f>
        <v>1326.8365817091455</v>
      </c>
      <c r="DZ109" s="517">
        <f>DZ107-(DZ117/DZ105*1000)</f>
        <v>1328.7003422881446</v>
      </c>
      <c r="EA109" s="519">
        <f>(DW109*DW105+DX109*DX105+DY109*DY105+DZ109*DZ105)/EA105</f>
        <v>1341.385555512124</v>
      </c>
      <c r="EB109" s="517">
        <f>EB107-(EB117/EB105*1000)</f>
        <v>1333.9992231285723</v>
      </c>
      <c r="EC109" s="1425">
        <f>EC107-(EC117/EC105*1000)</f>
        <v>1339.1151721645758</v>
      </c>
      <c r="ED109" s="1425">
        <f>ED107-(ED117/ED105*1000)</f>
        <v>1342.7671331921706</v>
      </c>
      <c r="EE109" s="517">
        <f>EE107-(EE117/EE105*1000)</f>
        <v>1350.7818564932904</v>
      </c>
      <c r="EF109" s="519">
        <f>(EB109*EB105+EC109*EC105+ED109*ED105+EE109*EE105)/EF105</f>
        <v>1341.6411504365617</v>
      </c>
      <c r="EG109" s="517">
        <f>EG107-(EG117/EG105*1000)</f>
        <v>1349.3825052643563</v>
      </c>
      <c r="EH109" s="1425">
        <f>EH107-(EH117/EH105*1000)</f>
        <v>1335.1846709247432</v>
      </c>
      <c r="EI109" s="1425">
        <f>EI107-(EI117/EI105*1000)</f>
        <v>1319.4071528299862</v>
      </c>
      <c r="EJ109" s="517">
        <f>EJ107-(EJ117/EJ105*1000)</f>
        <v>1315.2888743953474</v>
      </c>
      <c r="EK109" s="519">
        <f>(EG109*EG105+EH109*EH105+EI109*EI105+EJ109*EJ105)/EK105</f>
        <v>1329.5315233411848</v>
      </c>
      <c r="EL109" s="1425">
        <f>EL107-(EL117/EL105*1000)</f>
        <v>1351.1318098126287</v>
      </c>
      <c r="EM109" s="1425">
        <f>EM107-(EM117/EM105*1000)</f>
        <v>1335.5662549717397</v>
      </c>
      <c r="EN109" s="1425">
        <f>EN107-(EN117/EN105*1000)</f>
        <v>1340.5909797822708</v>
      </c>
      <c r="EO109" s="1425">
        <f>EO107-(EO117/EO105*1000)</f>
        <v>1329.2815957612593</v>
      </c>
      <c r="EP109" s="2124">
        <f>(EL109*EL105+EM109*EM105+EN109*EN105+EO109*EO105)/EP105</f>
        <v>1339.0264730999147</v>
      </c>
      <c r="EQ109" s="1425">
        <f>EQ107-(EQ117/EQ105*1000)</f>
        <v>1357.9080025204787</v>
      </c>
      <c r="ER109" s="517">
        <f>EM109*(1+ER110)</f>
        <v>1339.1119657740792</v>
      </c>
      <c r="ES109" s="517">
        <f>EN109*(1+ES110)</f>
        <v>1334.524973710053</v>
      </c>
      <c r="ET109" s="517">
        <f>EO109*(1+ET110)</f>
        <v>1332.2973411281018</v>
      </c>
      <c r="EU109" s="1958">
        <f>(EQ109*EQ105+ER109*ER105+ES109*ES105+ET109*ET105)/EU105</f>
        <v>1340.7736315833083</v>
      </c>
      <c r="EV109" s="517"/>
      <c r="EW109" s="517"/>
      <c r="EX109" s="517"/>
      <c r="EY109" s="517"/>
      <c r="EZ109" s="845">
        <f>EU109*(1+EZ110)</f>
        <v>1361.3550849122939</v>
      </c>
      <c r="FA109" s="517"/>
      <c r="FB109" s="517"/>
      <c r="FC109" s="517"/>
      <c r="FD109" s="517"/>
      <c r="FE109" s="845">
        <f>EZ109*(1+FE110)</f>
        <v>1378.4514938567927</v>
      </c>
      <c r="FF109" s="769"/>
      <c r="FG109" s="650"/>
      <c r="FH109" s="1027"/>
      <c r="FI109" s="1027"/>
      <c r="FJ109" s="1027"/>
      <c r="FK109" s="1027"/>
      <c r="FL109" s="1809"/>
      <c r="FM109" s="1425">
        <f t="shared" si="338"/>
        <v>1357.9080025204787</v>
      </c>
      <c r="FN109" s="1425">
        <f t="shared" si="339"/>
        <v>1351.1318098126287</v>
      </c>
      <c r="FO109" s="2050">
        <v>1325.4339746126304</v>
      </c>
      <c r="FP109" s="1866">
        <f>IFERROR(($FM109/FN109)-1,"")</f>
        <v>5.0151973764793745E-3</v>
      </c>
      <c r="FQ109" s="1866">
        <f>IFERROR(($FM109/FO109)-1,"")</f>
        <v>2.4500675650282133E-2</v>
      </c>
      <c r="FR109" s="122"/>
      <c r="FS109" s="537"/>
      <c r="FT109" s="537"/>
      <c r="FU109" s="537"/>
      <c r="FV109" s="537"/>
      <c r="FW109" s="537"/>
      <c r="FX109" s="537"/>
      <c r="FY109" s="537"/>
      <c r="FZ109" s="537"/>
      <c r="GA109" s="650"/>
      <c r="GB109"/>
      <c r="GC109"/>
      <c r="GD109"/>
      <c r="GE109"/>
      <c r="GF109"/>
      <c r="GG109"/>
      <c r="GH109" s="963"/>
      <c r="GI109" s="963"/>
      <c r="GJ109" s="963"/>
      <c r="GK109" s="963"/>
      <c r="GL109" s="963"/>
      <c r="GM109" s="963"/>
      <c r="GN109" s="963"/>
      <c r="GO109" s="963"/>
      <c r="GP109" s="963"/>
      <c r="GQ109" s="963"/>
      <c r="GR109" s="963"/>
      <c r="GS109" s="963"/>
      <c r="GT109" s="963"/>
      <c r="GU109" s="963"/>
      <c r="GV109" s="963"/>
      <c r="GW109" s="963"/>
      <c r="GX109" s="963"/>
      <c r="GY109" s="963"/>
      <c r="GZ109" s="963"/>
      <c r="HA109" s="963"/>
      <c r="HB109" s="963"/>
      <c r="HC109" s="963"/>
      <c r="HD109" s="963"/>
      <c r="HE109" s="963"/>
      <c r="HF109" s="963"/>
      <c r="HG109" s="963"/>
      <c r="HH109" s="963"/>
      <c r="HI109" s="963"/>
      <c r="HJ109" s="963"/>
      <c r="HK109" s="963"/>
      <c r="HL109" s="963"/>
      <c r="HM109" s="963"/>
      <c r="HN109" s="963"/>
      <c r="HO109" s="963"/>
      <c r="HP109" s="963"/>
      <c r="HQ109" s="963"/>
      <c r="HR109" s="963"/>
      <c r="HS109" s="963"/>
      <c r="HT109" s="963"/>
      <c r="HU109" s="963"/>
      <c r="HV109" s="963"/>
      <c r="HW109" s="963"/>
      <c r="HX109" s="963"/>
      <c r="HY109" s="963"/>
      <c r="HZ109" s="963"/>
      <c r="IA109" s="963"/>
      <c r="IB109" s="963"/>
      <c r="IC109" s="963"/>
      <c r="ID109" s="963"/>
      <c r="IE109" s="963"/>
      <c r="IF109" s="963"/>
      <c r="IG109" s="963"/>
      <c r="IH109" s="963"/>
      <c r="II109" s="963"/>
      <c r="IJ109" s="963"/>
      <c r="IK109" s="963"/>
      <c r="IL109" s="963"/>
      <c r="IM109" s="963"/>
      <c r="IN109" s="963"/>
      <c r="IO109" s="963"/>
      <c r="IP109" s="963"/>
      <c r="IQ109" s="963"/>
      <c r="IR109" s="963"/>
      <c r="IS109" s="963"/>
      <c r="IT109" s="963"/>
      <c r="IU109" s="963"/>
      <c r="IV109" s="963"/>
    </row>
    <row r="110" spans="1:256" s="366" customFormat="1" ht="12.75" customHeight="1" x14ac:dyDescent="0.2">
      <c r="A110" s="44" t="s">
        <v>86</v>
      </c>
      <c r="B110" s="68"/>
      <c r="C110" s="68"/>
      <c r="D110" s="68"/>
      <c r="E110" s="206"/>
      <c r="F110" s="67"/>
      <c r="G110" s="68"/>
      <c r="H110" s="68"/>
      <c r="I110" s="68"/>
      <c r="J110" s="206"/>
      <c r="K110" s="67"/>
      <c r="L110" s="68"/>
      <c r="M110" s="68"/>
      <c r="N110" s="68"/>
      <c r="O110" s="206"/>
      <c r="P110" s="67"/>
      <c r="Q110" s="68"/>
      <c r="R110" s="68"/>
      <c r="S110" s="68"/>
      <c r="T110" s="206"/>
      <c r="U110" s="67"/>
      <c r="V110" s="68"/>
      <c r="W110" s="68"/>
      <c r="X110" s="68"/>
      <c r="Y110" s="206"/>
      <c r="Z110" s="67"/>
      <c r="AA110" s="68"/>
      <c r="AB110" s="68"/>
      <c r="AC110" s="68"/>
      <c r="AD110" s="206"/>
      <c r="AE110" s="67"/>
      <c r="AF110" s="68"/>
      <c r="AG110" s="68"/>
      <c r="AH110" s="68"/>
      <c r="AI110" s="206"/>
      <c r="AJ110" s="67"/>
      <c r="AK110" s="68"/>
      <c r="AL110" s="68"/>
      <c r="AM110" s="68"/>
      <c r="AN110" s="206"/>
      <c r="AO110" s="67"/>
      <c r="AP110" s="68"/>
      <c r="AQ110" s="68"/>
      <c r="AR110" s="68"/>
      <c r="AS110" s="206"/>
      <c r="AT110" s="67"/>
      <c r="AU110" s="68"/>
      <c r="AV110" s="68"/>
      <c r="AW110" s="68"/>
      <c r="AX110" s="206"/>
      <c r="AY110" s="67"/>
      <c r="AZ110" s="68"/>
      <c r="BA110" s="68"/>
      <c r="BB110" s="68"/>
      <c r="BC110" s="206"/>
      <c r="BD110" s="67"/>
      <c r="BE110" s="68"/>
      <c r="BF110" s="68"/>
      <c r="BG110" s="68"/>
      <c r="BH110" s="206"/>
      <c r="BI110" s="67"/>
      <c r="BJ110" s="68"/>
      <c r="BK110" s="68"/>
      <c r="BL110" s="68"/>
      <c r="BM110" s="206"/>
      <c r="BN110" s="67"/>
      <c r="BO110" s="68"/>
      <c r="BP110" s="68"/>
      <c r="BQ110" s="68"/>
      <c r="BR110" s="206"/>
      <c r="BS110" s="67"/>
      <c r="BT110" s="68"/>
      <c r="BU110" s="68"/>
      <c r="BV110" s="68"/>
      <c r="BW110" s="206"/>
      <c r="BX110" s="67"/>
      <c r="BY110" s="68"/>
      <c r="BZ110" s="68"/>
      <c r="CA110" s="68"/>
      <c r="CB110" s="206"/>
      <c r="CC110" s="67"/>
      <c r="CD110" s="68"/>
      <c r="CE110" s="68"/>
      <c r="CF110" s="68"/>
      <c r="CG110" s="206"/>
      <c r="CH110" s="67"/>
      <c r="CI110" s="68"/>
      <c r="CJ110" s="68"/>
      <c r="CK110" s="68"/>
      <c r="CL110" s="206"/>
      <c r="CM110" s="67"/>
      <c r="CN110" s="68">
        <f t="shared" ref="CN110:EH110" si="419">CN108-CN114</f>
        <v>1.5641530467755006E-2</v>
      </c>
      <c r="CO110" s="68">
        <f t="shared" si="419"/>
        <v>3.0345338304108085E-2</v>
      </c>
      <c r="CP110" s="68">
        <f t="shared" si="419"/>
        <v>3.3086868701998895E-2</v>
      </c>
      <c r="CQ110" s="206">
        <f t="shared" si="419"/>
        <v>7.1206706444359794E-2</v>
      </c>
      <c r="CR110" s="67">
        <f t="shared" si="419"/>
        <v>3.7662618346326115E-2</v>
      </c>
      <c r="CS110" s="68">
        <f t="shared" si="419"/>
        <v>6.2686069109658044E-2</v>
      </c>
      <c r="CT110" s="68">
        <f t="shared" si="419"/>
        <v>8.8952420632057091E-2</v>
      </c>
      <c r="CU110" s="68">
        <f t="shared" si="419"/>
        <v>9.9973712764105549E-2</v>
      </c>
      <c r="CV110" s="206">
        <f t="shared" si="419"/>
        <v>5.3098748150764138E-2</v>
      </c>
      <c r="CW110" s="67">
        <f t="shared" si="419"/>
        <v>7.5676462548033979E-2</v>
      </c>
      <c r="CX110" s="365">
        <f t="shared" si="419"/>
        <v>8.9333280571585599E-2</v>
      </c>
      <c r="CY110" s="68">
        <f t="shared" si="419"/>
        <v>7.3463123201108704E-2</v>
      </c>
      <c r="CZ110" s="68">
        <f t="shared" si="419"/>
        <v>7.5758476414988035E-2</v>
      </c>
      <c r="DA110" s="68">
        <f t="shared" si="419"/>
        <v>3.438056089074637E-2</v>
      </c>
      <c r="DB110" s="67">
        <f t="shared" si="419"/>
        <v>6.7523656761280249E-2</v>
      </c>
      <c r="DC110" s="365">
        <f t="shared" si="419"/>
        <v>2.8431791950948335E-2</v>
      </c>
      <c r="DD110" s="68">
        <f t="shared" si="419"/>
        <v>1.4007495956217995E-2</v>
      </c>
      <c r="DE110" s="68">
        <f t="shared" si="419"/>
        <v>3.0379057630538359E-4</v>
      </c>
      <c r="DF110" s="68">
        <f t="shared" si="419"/>
        <v>1.0560724596405342E-2</v>
      </c>
      <c r="DG110" s="67">
        <f t="shared" si="419"/>
        <v>1.262826906809647E-2</v>
      </c>
      <c r="DH110" s="68">
        <f t="shared" si="419"/>
        <v>4.5642620964086153E-2</v>
      </c>
      <c r="DI110" s="68">
        <f t="shared" si="419"/>
        <v>7.0971982422601221E-2</v>
      </c>
      <c r="DJ110" s="68">
        <f t="shared" si="419"/>
        <v>6.8486786301832775E-2</v>
      </c>
      <c r="DK110" s="68">
        <f t="shared" si="419"/>
        <v>6.6468393311625296E-2</v>
      </c>
      <c r="DL110" s="67">
        <f t="shared" si="419"/>
        <v>6.3114700803433066E-2</v>
      </c>
      <c r="DM110" s="68">
        <f t="shared" si="419"/>
        <v>2.3769972672920088E-2</v>
      </c>
      <c r="DN110" s="68">
        <f t="shared" si="419"/>
        <v>-5.3454245543033668E-3</v>
      </c>
      <c r="DO110" s="68">
        <f t="shared" si="419"/>
        <v>-2.9570582126931883E-2</v>
      </c>
      <c r="DP110" s="68">
        <f t="shared" si="419"/>
        <v>-3.7989278691205851E-2</v>
      </c>
      <c r="DQ110" s="67">
        <f t="shared" si="419"/>
        <v>-1.2791946477013745E-2</v>
      </c>
      <c r="DR110" s="68">
        <f t="shared" si="419"/>
        <v>-2.9603050011213439E-2</v>
      </c>
      <c r="DS110" s="68">
        <f t="shared" si="419"/>
        <v>-2.5589596400278729E-2</v>
      </c>
      <c r="DT110" s="904">
        <f t="shared" si="419"/>
        <v>-4.5599926881112317E-3</v>
      </c>
      <c r="DU110" s="68">
        <f t="shared" si="419"/>
        <v>1.4814087059249147E-2</v>
      </c>
      <c r="DV110" s="67">
        <f t="shared" si="419"/>
        <v>-1.175293239919825E-2</v>
      </c>
      <c r="DW110" s="68">
        <f t="shared" si="419"/>
        <v>-1.3956489172769645E-2</v>
      </c>
      <c r="DX110" s="68">
        <f t="shared" si="419"/>
        <v>-1.0874941075067996E-2</v>
      </c>
      <c r="DY110" s="904">
        <f t="shared" si="419"/>
        <v>-2.1960407898034006E-2</v>
      </c>
      <c r="DZ110" s="68">
        <f t="shared" si="419"/>
        <v>-2.2936254292012678E-2</v>
      </c>
      <c r="EA110" s="67">
        <f t="shared" si="419"/>
        <v>-1.7660733870807476E-2</v>
      </c>
      <c r="EB110" s="68">
        <f t="shared" si="419"/>
        <v>-1.8281530933220332E-2</v>
      </c>
      <c r="EC110" s="68">
        <f t="shared" si="419"/>
        <v>-6.5415299329596999E-3</v>
      </c>
      <c r="ED110" s="904">
        <f t="shared" si="419"/>
        <v>1.4612462846387786E-2</v>
      </c>
      <c r="EE110" s="904">
        <f t="shared" si="419"/>
        <v>2.226201456868715E-2</v>
      </c>
      <c r="EF110" s="2075">
        <f t="shared" si="419"/>
        <v>3.1650767030131227E-3</v>
      </c>
      <c r="EG110" s="904">
        <f t="shared" si="419"/>
        <v>1.242567385963303E-2</v>
      </c>
      <c r="EH110" s="904">
        <f t="shared" si="419"/>
        <v>5.2137706352409219E-4</v>
      </c>
      <c r="EI110" s="904">
        <f>EI108-EI114</f>
        <v>-1.5014918603146344E-2</v>
      </c>
      <c r="EJ110" s="2121">
        <f>EJ108-EJ114</f>
        <v>-2.6066228260065868E-2</v>
      </c>
      <c r="EK110" s="2075">
        <f>EK108-EK114</f>
        <v>-7.2461337136963816E-3</v>
      </c>
      <c r="EL110" s="904">
        <f>EL108-EL114</f>
        <v>2.8875941757590222E-4</v>
      </c>
      <c r="EM110" s="904">
        <f t="shared" ref="EM110" si="420">EM108-EM114</f>
        <v>-8.9616283130647054E-4</v>
      </c>
      <c r="EN110" s="904">
        <f>EN108-EN114</f>
        <v>1.4710125460175319E-2</v>
      </c>
      <c r="EO110" s="904">
        <f>EO108-EO114</f>
        <v>9.0952558871925052E-3</v>
      </c>
      <c r="EP110" s="2075">
        <f>EP108-EP114</f>
        <v>5.8679890992745301E-3</v>
      </c>
      <c r="EQ110" s="904">
        <f>EQ108-EQ114</f>
        <v>3.9164489796748511E-3</v>
      </c>
      <c r="ER110" s="904">
        <f>ER113+ER123</f>
        <v>2.6548370694006243E-3</v>
      </c>
      <c r="ES110" s="904">
        <f>ES113+ES123</f>
        <v>-4.5248745991136111E-3</v>
      </c>
      <c r="ET110" s="904">
        <f>ET113+ET123</f>
        <v>2.268703167529737E-3</v>
      </c>
      <c r="EU110" s="1916">
        <f>EU108-EU114</f>
        <v>1.0206609096507467E-3</v>
      </c>
      <c r="EV110" s="904"/>
      <c r="EW110" s="904"/>
      <c r="EX110" s="904"/>
      <c r="EY110" s="904"/>
      <c r="EZ110" s="1905">
        <f>EZ113+EZ123</f>
        <v>1.5350431157182889E-2</v>
      </c>
      <c r="FA110" s="904"/>
      <c r="FB110" s="904"/>
      <c r="FC110" s="904"/>
      <c r="FD110" s="904"/>
      <c r="FE110" s="1905">
        <f>FE113+FE123</f>
        <v>1.2558375940249555E-2</v>
      </c>
      <c r="FF110" s="770"/>
      <c r="FG110" s="650"/>
      <c r="FH110" s="1062"/>
      <c r="FI110" s="1062"/>
      <c r="FJ110" s="1062"/>
      <c r="FK110" s="1062"/>
      <c r="FL110" s="1814"/>
      <c r="FM110" s="68">
        <f t="shared" si="338"/>
        <v>3.9164489796748511E-3</v>
      </c>
      <c r="FN110" s="68">
        <f t="shared" si="339"/>
        <v>2.8875941757590222E-4</v>
      </c>
      <c r="FO110" s="2051">
        <v>-1.9019487968062826E-2</v>
      </c>
      <c r="FP110" s="11">
        <f>IFERROR(($FM110-FN110)*10000,"")</f>
        <v>36.276895620989492</v>
      </c>
      <c r="FQ110" s="11">
        <f>IFERROR(($FM110-FO110)*10000,"")</f>
        <v>229.35936947737676</v>
      </c>
      <c r="FR110" s="122" t="s">
        <v>796</v>
      </c>
      <c r="FS110" s="576"/>
      <c r="FT110" s="576"/>
      <c r="FU110" s="576"/>
      <c r="FV110" s="576"/>
      <c r="FW110" s="576"/>
      <c r="FX110" s="576"/>
      <c r="FY110" s="576"/>
      <c r="FZ110" s="576"/>
      <c r="GA110" s="650"/>
      <c r="GB110"/>
      <c r="GC110"/>
      <c r="GD110"/>
      <c r="GE110"/>
      <c r="GF110"/>
      <c r="GG110"/>
      <c r="GH110" s="965"/>
      <c r="GI110" s="965"/>
      <c r="GJ110" s="965"/>
      <c r="GK110" s="965"/>
      <c r="GL110" s="965"/>
      <c r="GM110" s="965"/>
      <c r="GN110" s="965"/>
      <c r="GO110" s="965"/>
      <c r="GP110" s="965"/>
      <c r="GQ110" s="965"/>
      <c r="GR110" s="965"/>
      <c r="GS110" s="965"/>
      <c r="GT110" s="965"/>
      <c r="GU110" s="965"/>
      <c r="GV110" s="965"/>
      <c r="GW110" s="965"/>
      <c r="GX110" s="965"/>
      <c r="GY110" s="965"/>
      <c r="GZ110" s="965"/>
      <c r="HA110" s="965"/>
      <c r="HB110" s="965"/>
      <c r="HC110" s="965"/>
      <c r="HD110" s="965"/>
      <c r="HE110" s="965"/>
      <c r="HF110" s="965"/>
      <c r="HG110" s="965"/>
      <c r="HH110" s="965"/>
      <c r="HI110" s="965"/>
      <c r="HJ110" s="965"/>
      <c r="HK110" s="965"/>
      <c r="HL110" s="965"/>
      <c r="HM110" s="965"/>
      <c r="HN110" s="965"/>
      <c r="HO110" s="965"/>
      <c r="HP110" s="965"/>
      <c r="HQ110" s="965"/>
      <c r="HR110" s="965"/>
      <c r="HS110" s="965"/>
      <c r="HT110" s="965"/>
      <c r="HU110" s="965"/>
      <c r="HV110" s="965"/>
      <c r="HW110" s="965"/>
      <c r="HX110" s="965"/>
      <c r="HY110" s="965"/>
      <c r="HZ110" s="965"/>
      <c r="IA110" s="965"/>
      <c r="IB110" s="965"/>
      <c r="IC110" s="965"/>
      <c r="ID110" s="965"/>
      <c r="IE110" s="965"/>
      <c r="IF110" s="965"/>
      <c r="IG110" s="965"/>
      <c r="IH110" s="965"/>
      <c r="II110" s="965"/>
      <c r="IJ110" s="965"/>
      <c r="IK110" s="965"/>
      <c r="IL110" s="965"/>
      <c r="IM110" s="965"/>
      <c r="IN110" s="965"/>
      <c r="IO110" s="965"/>
      <c r="IP110" s="965"/>
      <c r="IQ110" s="965"/>
      <c r="IR110" s="965"/>
      <c r="IS110" s="965"/>
      <c r="IT110" s="965"/>
      <c r="IU110" s="965"/>
      <c r="IV110" s="965"/>
    </row>
    <row r="111" spans="1:256" s="458" customFormat="1" ht="12.75" x14ac:dyDescent="0.2">
      <c r="A111" s="460" t="s">
        <v>13</v>
      </c>
      <c r="F111" s="462"/>
      <c r="K111" s="462"/>
      <c r="P111" s="462"/>
      <c r="U111" s="462"/>
      <c r="Z111" s="462"/>
      <c r="AE111" s="462"/>
      <c r="AJ111" s="462"/>
      <c r="AO111" s="462"/>
      <c r="AT111" s="462"/>
      <c r="AY111" s="462"/>
      <c r="BD111" s="462"/>
      <c r="BI111" s="462"/>
      <c r="BN111" s="462"/>
      <c r="BS111" s="462"/>
      <c r="BX111" s="462"/>
      <c r="CC111" s="462"/>
      <c r="CH111" s="462"/>
      <c r="CJ111" s="458">
        <f>CJ109/CI109-1</f>
        <v>-4.7129259986862237E-3</v>
      </c>
      <c r="CK111" s="458">
        <f>CK109/CJ109-1</f>
        <v>-1.143819310765759E-2</v>
      </c>
      <c r="CL111" s="458">
        <f>CL109/CK109-1</f>
        <v>1.2223779621296726E-2</v>
      </c>
      <c r="CM111" s="462"/>
      <c r="CN111" s="458">
        <f>CN109/CL109-1</f>
        <v>1.7813145837298539E-2</v>
      </c>
      <c r="CO111" s="458">
        <f>CO109/CN109-1</f>
        <v>1.0773405224307364E-2</v>
      </c>
      <c r="CP111" s="458">
        <f>CP109/CO109-1</f>
        <v>-8.9330863801990734E-3</v>
      </c>
      <c r="CQ111" s="458">
        <f>CQ109/CP109-1</f>
        <v>5.430926571075001E-2</v>
      </c>
      <c r="CR111" s="462"/>
      <c r="CS111" s="458">
        <f>CS109/CQ109-1</f>
        <v>8.8566446573403734E-3</v>
      </c>
      <c r="CT111" s="458">
        <f>CT109/CS109-1</f>
        <v>3.8242646763602117E-2</v>
      </c>
      <c r="CU111" s="458">
        <f>CU109/CT109-1</f>
        <v>4.3676768424032453E-3</v>
      </c>
      <c r="CV111" s="458">
        <f>CV109/CU109-1</f>
        <v>-2.191022590105729E-3</v>
      </c>
      <c r="CW111" s="462"/>
      <c r="CX111" s="458">
        <f>CX109/CV109-1</f>
        <v>2.3503538779603872E-2</v>
      </c>
      <c r="CY111" s="458">
        <f>CY109/CX109-1</f>
        <v>2.0718141942710488E-4</v>
      </c>
      <c r="CZ111" s="458">
        <f>CZ109/CY109-1</f>
        <v>1.5428039817659389E-2</v>
      </c>
      <c r="DA111" s="458">
        <f>DA109/CZ109-1</f>
        <v>-1.5698346638054694E-2</v>
      </c>
      <c r="DB111" s="462"/>
      <c r="DC111" s="458">
        <f>DC109/DA109-1</f>
        <v>3.4270863304396215E-2</v>
      </c>
      <c r="DD111" s="458">
        <f>DD109/DC109-1</f>
        <v>-1.2597266483180491E-2</v>
      </c>
      <c r="DE111" s="458">
        <f>DE109/DD109-1</f>
        <v>1.7250666752384181E-3</v>
      </c>
      <c r="DF111" s="458">
        <f>DF109/DE109-1</f>
        <v>-6.8561551848067559E-3</v>
      </c>
      <c r="DG111" s="462"/>
      <c r="DH111" s="458">
        <f>DH109/DF109-1</f>
        <v>7.3837098766348586E-2</v>
      </c>
      <c r="DI111" s="458">
        <f>DI109/DH109-1</f>
        <v>1.1571521206671154E-2</v>
      </c>
      <c r="DJ111" s="458">
        <f>DJ109/DI109-1</f>
        <v>-2.2765298232957365E-3</v>
      </c>
      <c r="DK111" s="458">
        <f>DK109/DJ109-1</f>
        <v>-6.5406264582965612E-3</v>
      </c>
      <c r="DL111" s="462"/>
      <c r="DM111" s="458">
        <f>DM109/DK109-1</f>
        <v>2.4722188205808626E-2</v>
      </c>
      <c r="DN111" s="458">
        <f>DN109/DM109-1</f>
        <v>-2.0502652185806713E-2</v>
      </c>
      <c r="DO111" s="458">
        <f>DO109/DN109-1</f>
        <v>-3.2968127067487196E-2</v>
      </c>
      <c r="DP111" s="458">
        <f>DP109/DO109-1</f>
        <v>-1.4307056495262316E-2</v>
      </c>
      <c r="DQ111" s="462"/>
      <c r="DR111" s="458">
        <f>DR109/DP109-1</f>
        <v>3.9354552128931353E-2</v>
      </c>
      <c r="DS111" s="458">
        <f>DS109/DR109-1</f>
        <v>-1.7101710171017026E-2</v>
      </c>
      <c r="DT111" s="458">
        <f>DT109/DS109-1</f>
        <v>-1.1444306137372129E-2</v>
      </c>
      <c r="DU111" s="458">
        <f>DU109/DT109-1</f>
        <v>1.1450030508586284E-2</v>
      </c>
      <c r="DV111" s="462"/>
      <c r="DW111" s="458">
        <f>DW109/DU109-1</f>
        <v>3.9839736178026719E-4</v>
      </c>
      <c r="DX111" s="458">
        <f>DX109/DW109-1</f>
        <v>-3.5224548015527768E-3</v>
      </c>
      <c r="DY111" s="458">
        <f>DY109/DX109-1</f>
        <v>-1.9653641882486417E-2</v>
      </c>
      <c r="DZ111" s="458">
        <f>DZ109/DY109-1</f>
        <v>1.4046647527596878E-3</v>
      </c>
      <c r="EA111" s="462"/>
      <c r="EB111" s="458">
        <f>EB109/DZ109-1</f>
        <v>3.9880179689746331E-3</v>
      </c>
      <c r="EC111" s="458">
        <f>EC109/EB109-1</f>
        <v>3.8350464882619395E-3</v>
      </c>
      <c r="ED111" s="458">
        <f>ED109/EC109-1</f>
        <v>2.7271448367593987E-3</v>
      </c>
      <c r="EE111" s="458">
        <f>EE109/ED109-1</f>
        <v>5.9688110492146507E-3</v>
      </c>
      <c r="EF111" s="462"/>
      <c r="EG111" s="913">
        <f>EG109/EE109-1</f>
        <v>-1.0359564886124328E-3</v>
      </c>
      <c r="EH111" s="913">
        <f>EH109/EG109-1</f>
        <v>-1.0521727000478376E-2</v>
      </c>
      <c r="EI111" s="913">
        <f>EI109/EH109-1</f>
        <v>-1.1816731002333603E-2</v>
      </c>
      <c r="EJ111" s="913">
        <f>EJ109/EI109-1</f>
        <v>-3.1213097684104074E-3</v>
      </c>
      <c r="EK111" s="2076"/>
      <c r="EL111" s="913">
        <f>EL109/EJ109-1</f>
        <v>2.7250998708370222E-2</v>
      </c>
      <c r="EM111" s="913">
        <f>EM109/EL109-1</f>
        <v>-1.152038219205842E-2</v>
      </c>
      <c r="EN111" s="913">
        <f>EN109/EM109-1</f>
        <v>3.7622430125245909E-3</v>
      </c>
      <c r="EO111" s="913">
        <f>EO109/EN109-1</f>
        <v>-8.4361182430514603E-3</v>
      </c>
      <c r="EP111" s="2076"/>
      <c r="EQ111" s="913">
        <f>EQ109/EO109-1</f>
        <v>2.1535246444772671E-2</v>
      </c>
      <c r="ER111" s="913">
        <f>ER109/EQ109-1</f>
        <v>-1.3841907339459891E-2</v>
      </c>
      <c r="ES111" s="913">
        <f>ES109/ER109-1</f>
        <v>-3.4253984590262299E-3</v>
      </c>
      <c r="ET111" s="913">
        <f>ET109/ES109-1</f>
        <v>-1.66923259274665E-3</v>
      </c>
      <c r="EU111" s="2140"/>
      <c r="EV111" s="913"/>
      <c r="EW111" s="913"/>
      <c r="EX111" s="913"/>
      <c r="EY111" s="913"/>
      <c r="EZ111" s="2141"/>
      <c r="FA111" s="913"/>
      <c r="FB111" s="913"/>
      <c r="FC111" s="913"/>
      <c r="FD111" s="913"/>
      <c r="FE111" s="2141"/>
      <c r="FF111" s="740"/>
      <c r="FG111" s="650"/>
      <c r="FH111" s="1088">
        <f>AVERAGE(CI111,CN111,CS111,CX111,DC111,DH111,DM111,DR111,DW111,EB111,EG111,EL111,EQ111)</f>
        <v>2.2874561306251078E-2</v>
      </c>
      <c r="FI111" s="1088">
        <f>AVERAGE(CJ111,CO111,CT111,CY111,DD111,DI111,DN111,DS111,DX111,EC111,EH111,EM111)</f>
        <v>-1.320776477542529E-3</v>
      </c>
      <c r="FJ111" s="1088">
        <f>AVERAGE(CK111,CP111,CU111,CZ111,DE111,DJ111,DO111,DT111,DY111,ED111,EI111,EN111)</f>
        <v>-5.8767036846872249E-3</v>
      </c>
      <c r="FK111" s="1088">
        <f>AVERAGE(CL111,CQ111,CV111,DA111,DF111,DK111,DP111,DU111,DZ111,EE111,EJ111,EO111)</f>
        <v>2.3504930220516196E-3</v>
      </c>
      <c r="FL111" s="1795"/>
      <c r="FM111" s="458">
        <f t="shared" si="338"/>
        <v>2.1535246444772671E-2</v>
      </c>
      <c r="FN111" s="458">
        <f t="shared" si="339"/>
        <v>2.7250998708370222E-2</v>
      </c>
      <c r="FO111" s="2040">
        <v>-2.8945117128664766E-3</v>
      </c>
      <c r="FP111" s="1888">
        <f>IFERROR(($FM111-FN111)*10000,"")</f>
        <v>-57.157522635975511</v>
      </c>
      <c r="FQ111" s="1888">
        <f>IFERROR(($FM111-FO111)*10000,"")</f>
        <v>244.29758157639148</v>
      </c>
      <c r="FR111" s="566"/>
      <c r="FS111" s="1583" t="s">
        <v>786</v>
      </c>
      <c r="FT111" s="566"/>
      <c r="FU111" s="566"/>
      <c r="FV111" s="566"/>
      <c r="FW111" s="566"/>
      <c r="FX111" s="566"/>
      <c r="FY111" s="566"/>
      <c r="FZ111" s="566"/>
      <c r="GA111" s="650"/>
      <c r="GB111"/>
      <c r="GC111"/>
      <c r="GD111"/>
      <c r="GE111"/>
      <c r="GF111"/>
      <c r="GG111"/>
      <c r="GH111" s="913"/>
      <c r="GI111" s="913"/>
      <c r="GJ111" s="913"/>
      <c r="GK111" s="913"/>
      <c r="GL111" s="913"/>
      <c r="GM111" s="913"/>
      <c r="GN111" s="913"/>
      <c r="GO111" s="913"/>
      <c r="GP111" s="913"/>
      <c r="GQ111" s="913"/>
      <c r="GR111" s="913"/>
      <c r="GS111" s="913"/>
      <c r="GT111" s="913"/>
      <c r="GU111" s="913"/>
      <c r="GV111" s="913"/>
      <c r="GW111" s="913"/>
      <c r="GX111" s="913"/>
      <c r="GY111" s="913"/>
      <c r="GZ111" s="913"/>
      <c r="HA111" s="913"/>
      <c r="HB111" s="913"/>
      <c r="HC111" s="913"/>
      <c r="HD111" s="913"/>
      <c r="HE111" s="913"/>
      <c r="HF111" s="913"/>
      <c r="HG111" s="913"/>
      <c r="HH111" s="913"/>
      <c r="HI111" s="913"/>
      <c r="HJ111" s="913"/>
      <c r="HK111" s="913"/>
      <c r="HL111" s="913"/>
      <c r="HM111" s="913"/>
      <c r="HN111" s="913"/>
      <c r="HO111" s="913"/>
      <c r="HP111" s="913"/>
      <c r="HQ111" s="913"/>
      <c r="HR111" s="913"/>
      <c r="HS111" s="913"/>
      <c r="HT111" s="913"/>
      <c r="HU111" s="913"/>
      <c r="HV111" s="913"/>
      <c r="HW111" s="913"/>
      <c r="HX111" s="913"/>
      <c r="HY111" s="913"/>
      <c r="HZ111" s="913"/>
      <c r="IA111" s="913"/>
      <c r="IB111" s="913"/>
      <c r="IC111" s="913"/>
      <c r="ID111" s="913"/>
      <c r="IE111" s="913"/>
      <c r="IF111" s="913"/>
      <c r="IG111" s="913"/>
      <c r="IH111" s="913"/>
      <c r="II111" s="913"/>
      <c r="IJ111" s="913"/>
      <c r="IK111" s="913"/>
      <c r="IL111" s="913"/>
      <c r="IM111" s="913"/>
      <c r="IN111" s="913"/>
      <c r="IO111" s="913"/>
      <c r="IP111" s="913"/>
      <c r="IQ111" s="913"/>
      <c r="IR111" s="913"/>
      <c r="IS111" s="913"/>
      <c r="IT111" s="913"/>
      <c r="IU111" s="913"/>
      <c r="IV111" s="913"/>
    </row>
    <row r="112" spans="1:256" s="366" customFormat="1" ht="12.75" customHeight="1" x14ac:dyDescent="0.2">
      <c r="A112" s="239" t="s">
        <v>591</v>
      </c>
      <c r="B112" s="68"/>
      <c r="C112" s="68"/>
      <c r="D112" s="68"/>
      <c r="E112" s="206"/>
      <c r="F112" s="67"/>
      <c r="G112" s="68"/>
      <c r="H112" s="68"/>
      <c r="I112" s="68"/>
      <c r="J112" s="206"/>
      <c r="K112" s="67"/>
      <c r="L112" s="68"/>
      <c r="M112" s="68"/>
      <c r="N112" s="68"/>
      <c r="O112" s="206"/>
      <c r="P112" s="67"/>
      <c r="Q112" s="68"/>
      <c r="R112" s="68"/>
      <c r="S112" s="68"/>
      <c r="T112" s="206"/>
      <c r="U112" s="67"/>
      <c r="V112" s="68"/>
      <c r="W112" s="68"/>
      <c r="X112" s="68"/>
      <c r="Y112" s="206"/>
      <c r="Z112" s="67"/>
      <c r="AA112" s="68"/>
      <c r="AB112" s="68"/>
      <c r="AC112" s="68"/>
      <c r="AD112" s="206"/>
      <c r="AE112" s="67"/>
      <c r="AF112" s="68"/>
      <c r="AG112" s="68"/>
      <c r="AH112" s="68"/>
      <c r="AI112" s="206"/>
      <c r="AJ112" s="67"/>
      <c r="AK112" s="68"/>
      <c r="AL112" s="68"/>
      <c r="AM112" s="68"/>
      <c r="AN112" s="206"/>
      <c r="AO112" s="67"/>
      <c r="AP112" s="68"/>
      <c r="AQ112" s="68"/>
      <c r="AR112" s="68"/>
      <c r="AS112" s="206"/>
      <c r="AT112" s="67"/>
      <c r="AU112" s="68"/>
      <c r="AV112" s="68"/>
      <c r="AW112" s="68"/>
      <c r="AX112" s="206"/>
      <c r="AY112" s="67"/>
      <c r="AZ112" s="68"/>
      <c r="BA112" s="68"/>
      <c r="BB112" s="68"/>
      <c r="BC112" s="206"/>
      <c r="BD112" s="67"/>
      <c r="BE112" s="68"/>
      <c r="BF112" s="68"/>
      <c r="BG112" s="68"/>
      <c r="BH112" s="206"/>
      <c r="BI112" s="67"/>
      <c r="BJ112" s="68"/>
      <c r="BK112" s="68"/>
      <c r="BL112" s="68"/>
      <c r="BM112" s="206"/>
      <c r="BN112" s="67"/>
      <c r="BO112" s="68"/>
      <c r="BP112" s="68"/>
      <c r="BQ112" s="68"/>
      <c r="BR112" s="206"/>
      <c r="BS112" s="67"/>
      <c r="BT112" s="68"/>
      <c r="BU112" s="68"/>
      <c r="BV112" s="68"/>
      <c r="BW112" s="206"/>
      <c r="BX112" s="67"/>
      <c r="BY112" s="68"/>
      <c r="BZ112" s="68"/>
      <c r="CA112" s="68"/>
      <c r="CB112" s="206"/>
      <c r="CC112" s="67"/>
      <c r="CD112" s="68"/>
      <c r="CE112" s="68"/>
      <c r="CF112" s="68"/>
      <c r="CG112" s="206"/>
      <c r="CH112" s="67"/>
      <c r="CI112" s="68"/>
      <c r="CJ112" s="68"/>
      <c r="CK112" s="68"/>
      <c r="CL112" s="206"/>
      <c r="CM112" s="67"/>
      <c r="CN112" s="68"/>
      <c r="CO112" s="68"/>
      <c r="CP112" s="68"/>
      <c r="CQ112" s="206"/>
      <c r="CR112" s="67"/>
      <c r="CS112" s="68">
        <v>7.0000000000000007E-2</v>
      </c>
      <c r="CT112" s="68">
        <v>0.09</v>
      </c>
      <c r="CU112" s="68">
        <v>9.5000000000000001E-2</v>
      </c>
      <c r="CV112" s="206">
        <v>7.0000000000000007E-2</v>
      </c>
      <c r="CW112" s="67">
        <f>AVERAGE(CS112:CV112)</f>
        <v>8.1250000000000003E-2</v>
      </c>
      <c r="CX112" s="365">
        <v>7.0000000000000007E-2</v>
      </c>
      <c r="CY112" s="68">
        <v>7.0000000000000007E-2</v>
      </c>
      <c r="CZ112" s="68">
        <v>6.2E-2</v>
      </c>
      <c r="DA112" s="68">
        <v>0.04</v>
      </c>
      <c r="DB112" s="67">
        <f>AVERAGE(CX112:DA112)</f>
        <v>6.0500000000000005E-2</v>
      </c>
      <c r="DC112" s="365">
        <v>0.03</v>
      </c>
      <c r="DD112" s="68">
        <v>3.5000000000000003E-2</v>
      </c>
      <c r="DE112" s="68">
        <v>0.03</v>
      </c>
      <c r="DF112" s="68">
        <v>0.04</v>
      </c>
      <c r="DG112" s="67">
        <f>AVERAGE(DC112:DF112)</f>
        <v>3.3750000000000002E-2</v>
      </c>
      <c r="DH112" s="68">
        <v>0.05</v>
      </c>
      <c r="DI112" s="68">
        <v>0.06</v>
      </c>
      <c r="DJ112" s="68">
        <v>6.5000000000000002E-2</v>
      </c>
      <c r="DK112" s="904">
        <v>6.5000000000000002E-2</v>
      </c>
      <c r="DL112" s="67">
        <f>AVERAGE(DH112:DK112)</f>
        <v>0.06</v>
      </c>
      <c r="DM112" s="68">
        <v>5.8999999999999997E-2</v>
      </c>
      <c r="DN112" s="68">
        <v>1.7000000000000001E-2</v>
      </c>
      <c r="DO112" s="68">
        <v>1.4999999999999999E-2</v>
      </c>
      <c r="DP112" s="68">
        <v>1.6E-2</v>
      </c>
      <c r="DQ112" s="67">
        <f>AVERAGE(DM112:DP112)</f>
        <v>2.6749999999999999E-2</v>
      </c>
      <c r="DR112" s="68">
        <v>3.0000000000000001E-3</v>
      </c>
      <c r="DS112" s="68">
        <v>2.3E-2</v>
      </c>
      <c r="DT112" s="68">
        <v>0.01</v>
      </c>
      <c r="DU112" s="904">
        <v>1.6E-2</v>
      </c>
      <c r="DV112" s="67">
        <f>AVERAGE(DR112:DU112)</f>
        <v>1.2999999999999999E-2</v>
      </c>
      <c r="DW112" s="904">
        <v>5.0000000000000001E-3</v>
      </c>
      <c r="DX112" s="904">
        <v>-6.0000000000000001E-3</v>
      </c>
      <c r="DY112" s="904">
        <v>2E-3</v>
      </c>
      <c r="DZ112" s="904">
        <v>7.0000000000000001E-3</v>
      </c>
      <c r="EA112" s="67">
        <f>AVERAGE(DW112:DZ112)</f>
        <v>2E-3</v>
      </c>
      <c r="EB112" s="904">
        <v>0.02</v>
      </c>
      <c r="EC112" s="904">
        <v>3.5000000000000003E-2</v>
      </c>
      <c r="ED112" s="904">
        <v>4.5999999999999999E-2</v>
      </c>
      <c r="EE112" s="904">
        <v>4.1000000000000002E-2</v>
      </c>
      <c r="EF112" s="67">
        <f>AVERAGE(EB112:EE112)</f>
        <v>3.5500000000000004E-2</v>
      </c>
      <c r="EG112" s="904">
        <v>0.03</v>
      </c>
      <c r="EH112" s="904">
        <v>3.5000000000000003E-2</v>
      </c>
      <c r="EI112" s="904">
        <v>3.5000000000000003E-2</v>
      </c>
      <c r="EJ112" s="904">
        <v>3.5000000000000003E-2</v>
      </c>
      <c r="EK112" s="67">
        <f>AVERAGE(EG112:EJ112)</f>
        <v>3.3750000000000002E-2</v>
      </c>
      <c r="EL112" s="904">
        <v>3.5000000000000003E-2</v>
      </c>
      <c r="EM112" s="904">
        <v>3.5000000000000003E-2</v>
      </c>
      <c r="EN112" s="904">
        <v>3.5000000000000003E-2</v>
      </c>
      <c r="EO112" s="904">
        <v>3.5000000000000003E-2</v>
      </c>
      <c r="EP112" s="67">
        <f>AVERAGE(EL112:EO112)</f>
        <v>3.5000000000000003E-2</v>
      </c>
      <c r="EQ112" s="904">
        <v>3.5000000000000003E-2</v>
      </c>
      <c r="ER112" s="1096"/>
      <c r="ES112" s="1096"/>
      <c r="ET112" s="1096"/>
      <c r="EU112" s="1916"/>
      <c r="EV112" s="1096"/>
      <c r="EW112" s="1096"/>
      <c r="EX112" s="1096"/>
      <c r="EY112" s="1096"/>
      <c r="EZ112" s="1097"/>
      <c r="FA112" s="1096"/>
      <c r="FB112" s="1096"/>
      <c r="FC112" s="1096"/>
      <c r="FD112" s="1096"/>
      <c r="FE112" s="1097"/>
      <c r="FF112" s="770"/>
      <c r="FG112" s="622"/>
      <c r="FH112" s="1062"/>
      <c r="FI112" s="1062"/>
      <c r="FJ112" s="1062"/>
      <c r="FK112" s="1062"/>
      <c r="FL112" s="1814"/>
      <c r="FM112" s="1603">
        <f t="shared" si="338"/>
        <v>3.5000000000000003E-2</v>
      </c>
      <c r="FN112" s="1603">
        <f t="shared" si="339"/>
        <v>3.5000000000000003E-2</v>
      </c>
      <c r="FO112" s="2052"/>
      <c r="FP112" s="1603"/>
      <c r="FQ112" s="1603"/>
      <c r="FR112" s="1431"/>
      <c r="FS112" s="576"/>
      <c r="FT112" s="576"/>
      <c r="FU112" s="576"/>
      <c r="FV112" s="576"/>
      <c r="FW112" s="576"/>
      <c r="FX112" s="576"/>
      <c r="FY112" s="576"/>
      <c r="FZ112" s="576"/>
      <c r="GA112" s="622"/>
      <c r="GB112"/>
      <c r="GC112"/>
      <c r="GD112"/>
      <c r="GE112"/>
      <c r="GF112"/>
      <c r="GG112"/>
      <c r="GH112" s="965"/>
      <c r="GI112" s="965"/>
      <c r="GJ112" s="965"/>
      <c r="GK112" s="965"/>
      <c r="GL112" s="965"/>
      <c r="GM112" s="965"/>
      <c r="GN112" s="965"/>
      <c r="GO112" s="965"/>
      <c r="GP112" s="965"/>
      <c r="GQ112" s="965"/>
      <c r="GR112" s="965"/>
      <c r="GS112" s="965"/>
      <c r="GT112" s="965"/>
      <c r="GU112" s="965"/>
      <c r="GV112" s="965"/>
      <c r="GW112" s="965"/>
      <c r="GX112" s="965"/>
      <c r="GY112" s="965"/>
      <c r="GZ112" s="965"/>
      <c r="HA112" s="965"/>
      <c r="HB112" s="965"/>
      <c r="HC112" s="965"/>
      <c r="HD112" s="965"/>
      <c r="HE112" s="965"/>
      <c r="HF112" s="965"/>
      <c r="HG112" s="965"/>
      <c r="HH112" s="965"/>
      <c r="HI112" s="965"/>
      <c r="HJ112" s="965"/>
      <c r="HK112" s="965"/>
      <c r="HL112" s="965"/>
      <c r="HM112" s="965"/>
      <c r="HN112" s="965"/>
      <c r="HO112" s="965"/>
      <c r="HP112" s="965"/>
      <c r="HQ112" s="965"/>
      <c r="HR112" s="965"/>
      <c r="HS112" s="965"/>
      <c r="HT112" s="965"/>
      <c r="HU112" s="965"/>
      <c r="HV112" s="965"/>
      <c r="HW112" s="965"/>
      <c r="HX112" s="965"/>
      <c r="HY112" s="965"/>
      <c r="HZ112" s="965"/>
      <c r="IA112" s="965"/>
      <c r="IB112" s="965"/>
      <c r="IC112" s="965"/>
      <c r="ID112" s="965"/>
      <c r="IE112" s="965"/>
      <c r="IF112" s="965"/>
      <c r="IG112" s="965"/>
      <c r="IH112" s="965"/>
      <c r="II112" s="965"/>
      <c r="IJ112" s="965"/>
      <c r="IK112" s="965"/>
      <c r="IL112" s="965"/>
      <c r="IM112" s="965"/>
      <c r="IN112" s="965"/>
      <c r="IO112" s="965"/>
      <c r="IP112" s="965"/>
      <c r="IQ112" s="965"/>
      <c r="IR112" s="965"/>
      <c r="IS112" s="965"/>
      <c r="IT112" s="965"/>
      <c r="IU112" s="965"/>
      <c r="IV112" s="965"/>
    </row>
    <row r="113" spans="1:256" s="366" customFormat="1" ht="12.75" customHeight="1" x14ac:dyDescent="0.2">
      <c r="A113" s="44" t="s">
        <v>663</v>
      </c>
      <c r="B113" s="68"/>
      <c r="C113" s="68"/>
      <c r="D113" s="68"/>
      <c r="E113" s="206"/>
      <c r="F113" s="67"/>
      <c r="G113" s="68"/>
      <c r="H113" s="68"/>
      <c r="I113" s="68"/>
      <c r="J113" s="206"/>
      <c r="K113" s="67"/>
      <c r="L113" s="68"/>
      <c r="M113" s="68"/>
      <c r="N113" s="68"/>
      <c r="O113" s="206"/>
      <c r="P113" s="67"/>
      <c r="Q113" s="68"/>
      <c r="R113" s="68"/>
      <c r="S113" s="68"/>
      <c r="T113" s="206"/>
      <c r="U113" s="67"/>
      <c r="V113" s="68"/>
      <c r="W113" s="68"/>
      <c r="X113" s="68"/>
      <c r="Y113" s="206"/>
      <c r="Z113" s="67"/>
      <c r="AA113" s="68"/>
      <c r="AB113" s="68"/>
      <c r="AC113" s="68"/>
      <c r="AD113" s="206"/>
      <c r="AE113" s="67"/>
      <c r="AF113" s="68"/>
      <c r="AG113" s="68"/>
      <c r="AH113" s="68"/>
      <c r="AI113" s="206"/>
      <c r="AJ113" s="67"/>
      <c r="AK113" s="68"/>
      <c r="AL113" s="68"/>
      <c r="AM113" s="68"/>
      <c r="AN113" s="206"/>
      <c r="AO113" s="67"/>
      <c r="AP113" s="68"/>
      <c r="AQ113" s="68"/>
      <c r="AR113" s="68"/>
      <c r="AS113" s="206"/>
      <c r="AT113" s="67"/>
      <c r="AU113" s="68"/>
      <c r="AV113" s="68"/>
      <c r="AW113" s="68"/>
      <c r="AX113" s="206"/>
      <c r="AY113" s="67"/>
      <c r="AZ113" s="68"/>
      <c r="BA113" s="68"/>
      <c r="BB113" s="68"/>
      <c r="BC113" s="206"/>
      <c r="BD113" s="67"/>
      <c r="BE113" s="68"/>
      <c r="BF113" s="68"/>
      <c r="BG113" s="68"/>
      <c r="BH113" s="206"/>
      <c r="BI113" s="67"/>
      <c r="BJ113" s="68"/>
      <c r="BK113" s="68"/>
      <c r="BL113" s="68"/>
      <c r="BM113" s="206"/>
      <c r="BN113" s="67"/>
      <c r="BO113" s="68"/>
      <c r="BP113" s="68"/>
      <c r="BQ113" s="68"/>
      <c r="BR113" s="206"/>
      <c r="BS113" s="67"/>
      <c r="BT113" s="68"/>
      <c r="BU113" s="68"/>
      <c r="BV113" s="68"/>
      <c r="BW113" s="206"/>
      <c r="BX113" s="67"/>
      <c r="BY113" s="68"/>
      <c r="BZ113" s="68"/>
      <c r="CA113" s="68"/>
      <c r="CB113" s="206"/>
      <c r="CC113" s="67"/>
      <c r="CD113" s="68"/>
      <c r="CE113" s="68"/>
      <c r="CF113" s="68"/>
      <c r="CG113" s="206"/>
      <c r="CH113" s="67"/>
      <c r="CI113" s="68"/>
      <c r="CJ113" s="68"/>
      <c r="CK113" s="68"/>
      <c r="CL113" s="206"/>
      <c r="CM113" s="67"/>
      <c r="CN113" s="68"/>
      <c r="CO113" s="68"/>
      <c r="CP113" s="68"/>
      <c r="CQ113" s="206"/>
      <c r="CR113" s="67"/>
      <c r="CS113" s="68">
        <f t="shared" ref="CS113:EK113" si="421">CS110-CS123</f>
        <v>7.0000000000000007E-2</v>
      </c>
      <c r="CT113" s="68">
        <f t="shared" si="421"/>
        <v>9.0087851763616222E-2</v>
      </c>
      <c r="CU113" s="68">
        <f t="shared" si="421"/>
        <v>9.5335190179324722E-2</v>
      </c>
      <c r="CV113" s="206">
        <f t="shared" si="421"/>
        <v>6.9715460581464189E-2</v>
      </c>
      <c r="CW113" s="67">
        <f t="shared" si="421"/>
        <v>8.0657815093253593E-2</v>
      </c>
      <c r="CX113" s="365">
        <f t="shared" si="421"/>
        <v>6.9899367287053621E-2</v>
      </c>
      <c r="CY113" s="68">
        <f t="shared" si="421"/>
        <v>7.0016164059138644E-2</v>
      </c>
      <c r="CZ113" s="68">
        <f t="shared" si="421"/>
        <v>6.2272949279396334E-2</v>
      </c>
      <c r="DA113" s="68">
        <f t="shared" si="421"/>
        <v>3.9531722047565665E-2</v>
      </c>
      <c r="DB113" s="67">
        <f t="shared" si="421"/>
        <v>5.9955030751103658E-2</v>
      </c>
      <c r="DC113" s="365">
        <f t="shared" si="421"/>
        <v>3.009153300644718E-2</v>
      </c>
      <c r="DD113" s="68">
        <f t="shared" si="421"/>
        <v>3.4730969359038202E-2</v>
      </c>
      <c r="DE113" s="68">
        <f t="shared" si="421"/>
        <v>3.0243452921228153E-2</v>
      </c>
      <c r="DF113" s="68">
        <f t="shared" si="421"/>
        <v>3.9924406724515707E-2</v>
      </c>
      <c r="DG113" s="67">
        <f t="shared" si="421"/>
        <v>3.3506464881674018E-2</v>
      </c>
      <c r="DH113" s="68">
        <f t="shared" si="421"/>
        <v>4.9577941185975846E-2</v>
      </c>
      <c r="DI113" s="68">
        <f t="shared" si="421"/>
        <v>6.0105891373840613E-2</v>
      </c>
      <c r="DJ113" s="68">
        <f t="shared" si="421"/>
        <v>6.5327136375508091E-2</v>
      </c>
      <c r="DK113" s="68">
        <f t="shared" si="421"/>
        <v>6.5023052361816672E-2</v>
      </c>
      <c r="DL113" s="67">
        <f t="shared" si="421"/>
        <v>6.015912714812098E-2</v>
      </c>
      <c r="DM113" s="68">
        <f t="shared" si="421"/>
        <v>5.94892396941957E-2</v>
      </c>
      <c r="DN113" s="68">
        <f t="shared" si="421"/>
        <v>1.6770669474297756E-2</v>
      </c>
      <c r="DO113" s="68">
        <f t="shared" si="421"/>
        <v>1.4939761662720801E-2</v>
      </c>
      <c r="DP113" s="68">
        <f t="shared" si="421"/>
        <v>1.5981311979187236E-2</v>
      </c>
      <c r="DQ113" s="67">
        <f t="shared" si="421"/>
        <v>2.6189184377683972E-2</v>
      </c>
      <c r="DR113" s="68">
        <f t="shared" si="421"/>
        <v>2.6253083260892249E-3</v>
      </c>
      <c r="DS113" s="68">
        <f t="shared" si="421"/>
        <v>2.3325923125482217E-2</v>
      </c>
      <c r="DT113" s="666">
        <f t="shared" si="421"/>
        <v>9.6118202157833982E-3</v>
      </c>
      <c r="DU113" s="68">
        <f t="shared" si="421"/>
        <v>1.5821346875012923E-2</v>
      </c>
      <c r="DV113" s="67">
        <f t="shared" si="421"/>
        <v>1.2693633676641931E-2</v>
      </c>
      <c r="DW113" s="666">
        <f t="shared" si="421"/>
        <v>5.1953741292417657E-3</v>
      </c>
      <c r="DX113" s="68">
        <f t="shared" si="421"/>
        <v>-6.012449471319928E-3</v>
      </c>
      <c r="DY113" s="666">
        <f t="shared" si="421"/>
        <v>1.7640581490788732E-3</v>
      </c>
      <c r="DZ113" s="68">
        <f t="shared" si="421"/>
        <v>7.0834254282079942E-3</v>
      </c>
      <c r="EA113" s="67">
        <f t="shared" si="421"/>
        <v>1.7555424479475217E-3</v>
      </c>
      <c r="EB113" s="68">
        <f t="shared" si="421"/>
        <v>2.0000000000000011E-2</v>
      </c>
      <c r="EC113" s="904">
        <f t="shared" si="421"/>
        <v>3.4999999999999996E-2</v>
      </c>
      <c r="ED113" s="1619">
        <f t="shared" si="421"/>
        <v>4.6000000000000013E-2</v>
      </c>
      <c r="EE113" s="1619">
        <f t="shared" si="421"/>
        <v>4.0999999999999988E-2</v>
      </c>
      <c r="EF113" s="67">
        <f t="shared" si="421"/>
        <v>3.5900396517160822E-2</v>
      </c>
      <c r="EG113" s="68">
        <f t="shared" si="421"/>
        <v>2.9999999999999992E-2</v>
      </c>
      <c r="EH113" s="68">
        <f t="shared" si="421"/>
        <v>3.4726030699932395E-2</v>
      </c>
      <c r="EI113" s="1619">
        <f t="shared" si="421"/>
        <v>3.5496643989320967E-2</v>
      </c>
      <c r="EJ113" s="1619">
        <f t="shared" si="421"/>
        <v>3.5088285756966021E-2</v>
      </c>
      <c r="EK113" s="67">
        <f t="shared" si="421"/>
        <v>3.3833963285588811E-2</v>
      </c>
      <c r="EL113" s="904">
        <f>EL110-EL123</f>
        <v>3.5246841792102003E-2</v>
      </c>
      <c r="EM113" s="68">
        <f t="shared" ref="EM113:EP113" si="422">EM110-EM123</f>
        <v>3.4754218309524743E-2</v>
      </c>
      <c r="EN113" s="1619">
        <f t="shared" si="422"/>
        <v>3.5014746117878991E-2</v>
      </c>
      <c r="EO113" s="1619">
        <f t="shared" si="422"/>
        <v>3.4861829007668051E-2</v>
      </c>
      <c r="EP113" s="67">
        <f t="shared" si="422"/>
        <v>3.499554374483585E-2</v>
      </c>
      <c r="EQ113" s="904">
        <f>EQ110-EQ123</f>
        <v>3.4871609886487728E-2</v>
      </c>
      <c r="ER113" s="1596">
        <v>3.5000000000000003E-2</v>
      </c>
      <c r="ES113" s="1596">
        <v>0.03</v>
      </c>
      <c r="ET113" s="1596">
        <v>0.03</v>
      </c>
      <c r="EU113" s="1916">
        <f>EU110-EU123</f>
        <v>3.242542251999786E-2</v>
      </c>
      <c r="EV113" s="1096"/>
      <c r="EW113" s="1096"/>
      <c r="EX113" s="1096"/>
      <c r="EY113" s="1096"/>
      <c r="EZ113" s="1097">
        <v>2.5000000000000001E-2</v>
      </c>
      <c r="FA113" s="1096"/>
      <c r="FB113" s="1096"/>
      <c r="FC113" s="1096"/>
      <c r="FD113" s="1096"/>
      <c r="FE113" s="1097">
        <v>0.02</v>
      </c>
      <c r="FF113" s="770"/>
      <c r="FG113" s="618"/>
      <c r="FH113" s="1062"/>
      <c r="FI113" s="1062"/>
      <c r="FJ113" s="1062"/>
      <c r="FK113" s="1062"/>
      <c r="FL113" s="1814"/>
      <c r="FM113" s="68">
        <f t="shared" si="338"/>
        <v>3.4871609886487728E-2</v>
      </c>
      <c r="FN113" s="68">
        <f t="shared" si="339"/>
        <v>3.5246841792102003E-2</v>
      </c>
      <c r="FO113" s="1596">
        <v>0.03</v>
      </c>
      <c r="FP113" s="11">
        <f>IFERROR(($FM113-FN113)*10000,"")</f>
        <v>-3.7523190561427473</v>
      </c>
      <c r="FQ113" s="11">
        <f>IFERROR(($FM113-FO113)*10000,"")</f>
        <v>48.716098864877296</v>
      </c>
      <c r="FR113" s="2139" t="s">
        <v>874</v>
      </c>
      <c r="FS113" s="576"/>
      <c r="FT113" s="576"/>
      <c r="FU113" s="576"/>
      <c r="FV113" s="576"/>
      <c r="FW113" s="576"/>
      <c r="FX113" s="576"/>
      <c r="FY113" s="576"/>
      <c r="FZ113" s="576"/>
      <c r="GA113" s="618"/>
      <c r="GB113"/>
      <c r="GC113"/>
      <c r="GD113"/>
      <c r="GE113"/>
      <c r="GF113"/>
      <c r="GG113"/>
      <c r="GH113" s="965"/>
      <c r="GI113" s="965"/>
      <c r="GJ113" s="965"/>
      <c r="GK113" s="965"/>
      <c r="GL113" s="965"/>
      <c r="GM113" s="965"/>
      <c r="GN113" s="965"/>
      <c r="GO113" s="965"/>
      <c r="GP113" s="965"/>
      <c r="GQ113" s="965"/>
      <c r="GR113" s="965"/>
      <c r="GS113" s="965"/>
      <c r="GT113" s="965"/>
      <c r="GU113" s="965"/>
      <c r="GV113" s="965"/>
      <c r="GW113" s="965"/>
      <c r="GX113" s="965"/>
      <c r="GY113" s="965"/>
      <c r="GZ113" s="965"/>
      <c r="HA113" s="965"/>
      <c r="HB113" s="965"/>
      <c r="HC113" s="965"/>
      <c r="HD113" s="965"/>
      <c r="HE113" s="965"/>
      <c r="HF113" s="965"/>
      <c r="HG113" s="965"/>
      <c r="HH113" s="965"/>
      <c r="HI113" s="965"/>
      <c r="HJ113" s="965"/>
      <c r="HK113" s="965"/>
      <c r="HL113" s="965"/>
      <c r="HM113" s="965"/>
      <c r="HN113" s="965"/>
      <c r="HO113" s="965"/>
      <c r="HP113" s="965"/>
      <c r="HQ113" s="965"/>
      <c r="HR113" s="965"/>
      <c r="HS113" s="965"/>
      <c r="HT113" s="965"/>
      <c r="HU113" s="965"/>
      <c r="HV113" s="965"/>
      <c r="HW113" s="965"/>
      <c r="HX113" s="965"/>
      <c r="HY113" s="965"/>
      <c r="HZ113" s="965"/>
      <c r="IA113" s="965"/>
      <c r="IB113" s="965"/>
      <c r="IC113" s="965"/>
      <c r="ID113" s="965"/>
      <c r="IE113" s="965"/>
      <c r="IF113" s="965"/>
      <c r="IG113" s="965"/>
      <c r="IH113" s="965"/>
      <c r="II113" s="965"/>
      <c r="IJ113" s="965"/>
      <c r="IK113" s="965"/>
      <c r="IL113" s="965"/>
      <c r="IM113" s="965"/>
      <c r="IN113" s="965"/>
      <c r="IO113" s="965"/>
      <c r="IP113" s="965"/>
      <c r="IQ113" s="965"/>
      <c r="IR113" s="965"/>
      <c r="IS113" s="965"/>
      <c r="IT113" s="965"/>
      <c r="IU113" s="965"/>
      <c r="IV113" s="965"/>
    </row>
    <row r="114" spans="1:256" s="72" customFormat="1" ht="12.75" x14ac:dyDescent="0.2">
      <c r="A114" s="69" t="s">
        <v>301</v>
      </c>
      <c r="B114" s="70"/>
      <c r="C114" s="70"/>
      <c r="D114" s="70"/>
      <c r="E114" s="207"/>
      <c r="F114" s="71"/>
      <c r="G114" s="70"/>
      <c r="H114" s="70"/>
      <c r="I114" s="70"/>
      <c r="J114" s="207"/>
      <c r="K114" s="71"/>
      <c r="L114" s="70"/>
      <c r="M114" s="70"/>
      <c r="N114" s="70"/>
      <c r="O114" s="207"/>
      <c r="P114" s="71"/>
      <c r="Q114" s="70"/>
      <c r="R114" s="70"/>
      <c r="S114" s="70"/>
      <c r="T114" s="207"/>
      <c r="U114" s="71"/>
      <c r="V114" s="70"/>
      <c r="W114" s="70"/>
      <c r="X114" s="70"/>
      <c r="Y114" s="207"/>
      <c r="Z114" s="71"/>
      <c r="AA114" s="70"/>
      <c r="AB114" s="70"/>
      <c r="AC114" s="70"/>
      <c r="AD114" s="207"/>
      <c r="AE114" s="71"/>
      <c r="AF114" s="70"/>
      <c r="AG114" s="70"/>
      <c r="AH114" s="70"/>
      <c r="AI114" s="207"/>
      <c r="AJ114" s="71"/>
      <c r="AK114" s="70"/>
      <c r="AL114" s="70"/>
      <c r="AM114" s="70"/>
      <c r="AN114" s="207"/>
      <c r="AO114" s="71"/>
      <c r="AP114" s="70"/>
      <c r="AQ114" s="70"/>
      <c r="AR114" s="70"/>
      <c r="AS114" s="207"/>
      <c r="AT114" s="71"/>
      <c r="AU114" s="70"/>
      <c r="AV114" s="70"/>
      <c r="AW114" s="70"/>
      <c r="AX114" s="207"/>
      <c r="AY114" s="71"/>
      <c r="AZ114" s="70"/>
      <c r="BA114" s="70"/>
      <c r="BB114" s="70"/>
      <c r="BC114" s="207"/>
      <c r="BD114" s="71"/>
      <c r="BE114" s="70"/>
      <c r="BF114" s="70"/>
      <c r="BG114" s="70"/>
      <c r="BH114" s="207"/>
      <c r="BI114" s="71"/>
      <c r="BJ114" s="70"/>
      <c r="BK114" s="70"/>
      <c r="BL114" s="70"/>
      <c r="BM114" s="207"/>
      <c r="BN114" s="71"/>
      <c r="BO114" s="70"/>
      <c r="BP114" s="70"/>
      <c r="BQ114" s="70"/>
      <c r="BR114" s="207"/>
      <c r="BS114" s="71"/>
      <c r="BT114" s="70"/>
      <c r="BU114" s="70"/>
      <c r="BV114" s="70"/>
      <c r="BW114" s="207"/>
      <c r="BX114" s="71"/>
      <c r="BY114" s="70"/>
      <c r="BZ114" s="70"/>
      <c r="CA114" s="70"/>
      <c r="CB114" s="207"/>
      <c r="CC114" s="71"/>
      <c r="CD114" s="70"/>
      <c r="CE114" s="70"/>
      <c r="CF114" s="70"/>
      <c r="CG114" s="207"/>
      <c r="CH114" s="71"/>
      <c r="CI114" s="70"/>
      <c r="CJ114" s="70"/>
      <c r="CK114" s="70"/>
      <c r="CL114" s="207"/>
      <c r="CM114" s="71"/>
      <c r="CN114" s="70">
        <f t="shared" ref="CN114:DS114" si="423">CN115*1000/CN13/CI107</f>
        <v>4.7210186309879047E-3</v>
      </c>
      <c r="CO114" s="70">
        <f t="shared" si="423"/>
        <v>5.9774486823920706E-3</v>
      </c>
      <c r="CP114" s="70">
        <f t="shared" si="423"/>
        <v>-7.6710862013868444E-3</v>
      </c>
      <c r="CQ114" s="207">
        <f t="shared" si="423"/>
        <v>1.9827920105001774E-2</v>
      </c>
      <c r="CR114" s="71">
        <f t="shared" si="423"/>
        <v>5.6532509486165693E-3</v>
      </c>
      <c r="CS114" s="70">
        <f t="shared" si="423"/>
        <v>7.6384356909376255E-2</v>
      </c>
      <c r="CT114" s="70">
        <f t="shared" si="423"/>
        <v>9.9050418827852718E-2</v>
      </c>
      <c r="CU114" s="70">
        <f t="shared" si="423"/>
        <v>0.13890078944076906</v>
      </c>
      <c r="CV114" s="207">
        <f t="shared" si="423"/>
        <v>5.2094257358819854E-2</v>
      </c>
      <c r="CW114" s="71">
        <f t="shared" si="423"/>
        <v>9.2073217330138818E-2</v>
      </c>
      <c r="CX114" s="70">
        <f t="shared" si="423"/>
        <v>-0.11329480846386372</v>
      </c>
      <c r="CY114" s="367">
        <f t="shared" si="423"/>
        <v>-0.16945584741855302</v>
      </c>
      <c r="CZ114" s="367">
        <f t="shared" si="423"/>
        <v>-0.1881796238521756</v>
      </c>
      <c r="DA114" s="70">
        <f t="shared" si="423"/>
        <v>-0.10779380579252784</v>
      </c>
      <c r="DB114" s="71">
        <f t="shared" si="423"/>
        <v>-0.14534682576926439</v>
      </c>
      <c r="DC114" s="70">
        <f t="shared" si="423"/>
        <v>3.0763031052375347E-2</v>
      </c>
      <c r="DD114" s="367">
        <f t="shared" si="423"/>
        <v>6.0583962907109414E-2</v>
      </c>
      <c r="DE114" s="367">
        <f t="shared" si="423"/>
        <v>3.3690271510745974E-2</v>
      </c>
      <c r="DF114" s="70">
        <f t="shared" si="423"/>
        <v>3.1068051287386537E-2</v>
      </c>
      <c r="DG114" s="71">
        <f t="shared" si="423"/>
        <v>3.9053317033940743E-2</v>
      </c>
      <c r="DH114" s="70">
        <f t="shared" si="423"/>
        <v>3.7271250158238359E-2</v>
      </c>
      <c r="DI114" s="367">
        <f t="shared" si="423"/>
        <v>6.4163262260525655E-2</v>
      </c>
      <c r="DJ114" s="367">
        <f t="shared" si="423"/>
        <v>7.0575326475287109E-2</v>
      </c>
      <c r="DK114" s="70">
        <f t="shared" si="423"/>
        <v>3.9542765788343544E-2</v>
      </c>
      <c r="DL114" s="71">
        <f t="shared" si="423"/>
        <v>5.3069083930567307E-2</v>
      </c>
      <c r="DM114" s="70">
        <f t="shared" si="423"/>
        <v>2.8679144092569823E-2</v>
      </c>
      <c r="DN114" s="367">
        <f t="shared" si="423"/>
        <v>1.2259656765798974E-3</v>
      </c>
      <c r="DO114" s="367">
        <f t="shared" si="423"/>
        <v>-2.5269771459985862E-2</v>
      </c>
      <c r="DP114" s="70">
        <f t="shared" si="423"/>
        <v>5.4065795502554938E-3</v>
      </c>
      <c r="DQ114" s="71">
        <f t="shared" si="423"/>
        <v>2.0194937010267044E-3</v>
      </c>
      <c r="DR114" s="70">
        <f t="shared" si="423"/>
        <v>-1.7744799013778456E-2</v>
      </c>
      <c r="DS114" s="367">
        <f t="shared" si="423"/>
        <v>-2.0094447330438154E-2</v>
      </c>
      <c r="DT114" s="70">
        <f t="shared" ref="DT114:EU114" si="424">DT115*1000/DT13/DO107</f>
        <v>1.2492076104666945E-2</v>
      </c>
      <c r="DU114" s="70">
        <f t="shared" si="424"/>
        <v>1.8288169060078342E-2</v>
      </c>
      <c r="DV114" s="71">
        <f t="shared" si="424"/>
        <v>-2.1047057966473728E-3</v>
      </c>
      <c r="DW114" s="70">
        <f t="shared" si="424"/>
        <v>7.7612120417435669E-3</v>
      </c>
      <c r="DX114" s="367">
        <f t="shared" si="424"/>
        <v>1.7202174937824905E-2</v>
      </c>
      <c r="DY114" s="70">
        <f t="shared" si="424"/>
        <v>1.5446189794621101E-2</v>
      </c>
      <c r="DZ114" s="70">
        <f t="shared" si="424"/>
        <v>-1.5083316829111296E-2</v>
      </c>
      <c r="EA114" s="71">
        <f t="shared" si="424"/>
        <v>6.3793787305991383E-3</v>
      </c>
      <c r="EB114" s="70">
        <f t="shared" si="424"/>
        <v>-4.8012907712788037E-2</v>
      </c>
      <c r="EC114" s="367">
        <f t="shared" si="424"/>
        <v>-8.0432443884153992E-2</v>
      </c>
      <c r="ED114" s="70">
        <f t="shared" si="424"/>
        <v>-8.7171892865845313E-2</v>
      </c>
      <c r="EE114" s="1581">
        <f t="shared" si="424"/>
        <v>-8.419504930485544E-2</v>
      </c>
      <c r="EF114" s="71">
        <f t="shared" si="424"/>
        <v>-7.5217516971835527E-2</v>
      </c>
      <c r="EG114" s="70">
        <f t="shared" si="424"/>
        <v>-4.5547169226518608E-2</v>
      </c>
      <c r="EH114" s="367">
        <f t="shared" si="424"/>
        <v>-2.736265359388948E-2</v>
      </c>
      <c r="EI114" s="70">
        <f t="shared" si="424"/>
        <v>-1.7630083168970922E-2</v>
      </c>
      <c r="EJ114" s="1581">
        <f t="shared" si="424"/>
        <v>-4.6711451882011238E-3</v>
      </c>
      <c r="EK114" s="71">
        <f t="shared" si="424"/>
        <v>-2.3620661642314064E-2</v>
      </c>
      <c r="EL114" s="1581">
        <f t="shared" si="424"/>
        <v>1.2189053279066374E-2</v>
      </c>
      <c r="EM114" s="367">
        <f t="shared" si="424"/>
        <v>1.3439136933475895E-2</v>
      </c>
      <c r="EN114" s="70">
        <f t="shared" si="424"/>
        <v>6.5021003139174444E-3</v>
      </c>
      <c r="EO114" s="1581">
        <f t="shared" ref="EO114" si="425">EO115*1000/EO13/EJ107</f>
        <v>1.5353294117720689E-2</v>
      </c>
      <c r="EP114" s="71">
        <f t="shared" ref="EP114" si="426">EP115*1000/EP13/EK107</f>
        <v>1.1864380769007553E-2</v>
      </c>
      <c r="EQ114" s="1581">
        <f t="shared" si="424"/>
        <v>1.9204703262551921E-2</v>
      </c>
      <c r="ER114" s="1581">
        <f t="shared" si="424"/>
        <v>2.7347069918258811E-2</v>
      </c>
      <c r="ES114" s="1581">
        <f t="shared" si="424"/>
        <v>2.9088432431340783E-2</v>
      </c>
      <c r="ET114" s="1581">
        <f t="shared" si="424"/>
        <v>2.0066204952375859E-2</v>
      </c>
      <c r="EU114" s="1959">
        <f t="shared" si="424"/>
        <v>2.3984299565883497E-2</v>
      </c>
      <c r="EV114" s="70"/>
      <c r="EW114" s="70"/>
      <c r="EX114" s="70"/>
      <c r="EY114" s="70"/>
      <c r="EZ114" s="848">
        <f>EZ115*1000/EZ13/EU107</f>
        <v>1.0866209569782848E-3</v>
      </c>
      <c r="FA114" s="70"/>
      <c r="FB114" s="70"/>
      <c r="FC114" s="70"/>
      <c r="FD114" s="70"/>
      <c r="FE114" s="848">
        <f>FE115*1000/FE13/EZ107</f>
        <v>1.2631169455449261E-3</v>
      </c>
      <c r="FF114" s="771"/>
      <c r="FG114" s="628"/>
      <c r="FH114" s="1029"/>
      <c r="FI114" s="1029"/>
      <c r="FJ114" s="1029"/>
      <c r="FK114" s="1029"/>
      <c r="FL114" s="1815"/>
      <c r="FM114" s="367">
        <f t="shared" si="338"/>
        <v>1.9204703262551921E-2</v>
      </c>
      <c r="FN114" s="367">
        <f t="shared" si="339"/>
        <v>1.2189053279066374E-2</v>
      </c>
      <c r="FO114" s="1581">
        <v>2.834319185894793E-2</v>
      </c>
      <c r="FP114" s="1895">
        <f>IFERROR(($FM114-FN114)*10000,"")</f>
        <v>70.156499834855467</v>
      </c>
      <c r="FQ114" s="1895">
        <f>IFERROR(($FM114-FO114)*10000,"")</f>
        <v>-91.384885963960087</v>
      </c>
      <c r="FR114" s="566"/>
      <c r="FS114" s="1431" t="s">
        <v>831</v>
      </c>
      <c r="FT114" s="1431"/>
      <c r="FU114" s="577"/>
      <c r="FV114" s="577"/>
      <c r="FW114" s="577"/>
      <c r="FX114" s="577"/>
      <c r="FY114" s="577"/>
      <c r="FZ114" s="577"/>
      <c r="GA114" s="628"/>
      <c r="GB114"/>
      <c r="GC114"/>
      <c r="GD114"/>
      <c r="GE114"/>
      <c r="GF114"/>
      <c r="GG114"/>
      <c r="GH114" s="1008"/>
      <c r="GI114" s="1008"/>
      <c r="GJ114" s="1008"/>
      <c r="GK114" s="1008"/>
      <c r="GL114" s="1008"/>
      <c r="GM114" s="1008"/>
      <c r="GN114" s="1008"/>
      <c r="GO114" s="1008"/>
      <c r="GP114" s="1008"/>
      <c r="GQ114" s="1008"/>
      <c r="GR114" s="1008"/>
      <c r="GS114" s="1008"/>
      <c r="GT114" s="1008"/>
      <c r="GU114" s="1008"/>
      <c r="GV114" s="1008"/>
      <c r="GW114" s="1008"/>
      <c r="GX114" s="1008"/>
      <c r="GY114" s="1008"/>
      <c r="GZ114" s="1008"/>
      <c r="HA114" s="1008"/>
      <c r="HB114" s="1008"/>
      <c r="HC114" s="1008"/>
      <c r="HD114" s="1008"/>
      <c r="HE114" s="1008"/>
      <c r="HF114" s="1008"/>
      <c r="HG114" s="1008"/>
      <c r="HH114" s="1008"/>
      <c r="HI114" s="1008"/>
      <c r="HJ114" s="1008"/>
      <c r="HK114" s="1008"/>
      <c r="HL114" s="1008"/>
      <c r="HM114" s="1008"/>
      <c r="HN114" s="1008"/>
      <c r="HO114" s="1008"/>
      <c r="HP114" s="1008"/>
      <c r="HQ114" s="1008"/>
      <c r="HR114" s="1008"/>
      <c r="HS114" s="1008"/>
      <c r="HT114" s="1008"/>
      <c r="HU114" s="1008"/>
      <c r="HV114" s="1008"/>
      <c r="HW114" s="1008"/>
      <c r="HX114" s="1008"/>
      <c r="HY114" s="1008"/>
      <c r="HZ114" s="1008"/>
      <c r="IA114" s="1008"/>
      <c r="IB114" s="1008"/>
      <c r="IC114" s="1008"/>
      <c r="ID114" s="1008"/>
      <c r="IE114" s="1008"/>
      <c r="IF114" s="1008"/>
      <c r="IG114" s="1008"/>
      <c r="IH114" s="1008"/>
      <c r="II114" s="1008"/>
      <c r="IJ114" s="1008"/>
      <c r="IK114" s="1008"/>
      <c r="IL114" s="1008"/>
      <c r="IM114" s="1008"/>
      <c r="IN114" s="1008"/>
      <c r="IO114" s="1008"/>
      <c r="IP114" s="1008"/>
      <c r="IQ114" s="1008"/>
      <c r="IR114" s="1008"/>
      <c r="IS114" s="1008"/>
      <c r="IT114" s="1008"/>
      <c r="IU114" s="1008"/>
      <c r="IV114" s="1008"/>
    </row>
    <row r="115" spans="1:256" s="49" customFormat="1" ht="12.75" x14ac:dyDescent="0.2">
      <c r="A115" s="235" t="s">
        <v>306</v>
      </c>
      <c r="B115" s="76"/>
      <c r="C115" s="76"/>
      <c r="D115" s="76"/>
      <c r="E115" s="208"/>
      <c r="F115" s="77"/>
      <c r="G115" s="76"/>
      <c r="H115" s="76"/>
      <c r="I115" s="76"/>
      <c r="J115" s="208"/>
      <c r="K115" s="77"/>
      <c r="L115" s="76"/>
      <c r="M115" s="76"/>
      <c r="N115" s="76"/>
      <c r="O115" s="208"/>
      <c r="P115" s="77"/>
      <c r="Q115" s="76"/>
      <c r="R115" s="76"/>
      <c r="S115" s="76"/>
      <c r="T115" s="208"/>
      <c r="U115" s="77"/>
      <c r="V115" s="76"/>
      <c r="W115" s="76"/>
      <c r="X115" s="76"/>
      <c r="Y115" s="208"/>
      <c r="Z115" s="77"/>
      <c r="AA115" s="76"/>
      <c r="AB115" s="76"/>
      <c r="AC115" s="76"/>
      <c r="AD115" s="208"/>
      <c r="AE115" s="77"/>
      <c r="AF115" s="76"/>
      <c r="AG115" s="76"/>
      <c r="AH115" s="76"/>
      <c r="AI115" s="208"/>
      <c r="AJ115" s="77"/>
      <c r="AK115" s="76"/>
      <c r="AL115" s="76"/>
      <c r="AM115" s="76"/>
      <c r="AN115" s="208"/>
      <c r="AO115" s="77"/>
      <c r="AP115" s="76"/>
      <c r="AQ115" s="76"/>
      <c r="AR115" s="76"/>
      <c r="AS115" s="208"/>
      <c r="AT115" s="77"/>
      <c r="AU115" s="76"/>
      <c r="AV115" s="76"/>
      <c r="AW115" s="76"/>
      <c r="AX115" s="208"/>
      <c r="AY115" s="77"/>
      <c r="AZ115" s="76"/>
      <c r="BA115" s="76"/>
      <c r="BB115" s="76"/>
      <c r="BC115" s="208"/>
      <c r="BD115" s="77"/>
      <c r="BE115" s="76"/>
      <c r="BF115" s="76"/>
      <c r="BG115" s="76"/>
      <c r="BH115" s="208"/>
      <c r="BI115" s="77"/>
      <c r="BJ115" s="76"/>
      <c r="BK115" s="76"/>
      <c r="BL115" s="76"/>
      <c r="BM115" s="208"/>
      <c r="BN115" s="77"/>
      <c r="BO115" s="76"/>
      <c r="BP115" s="76"/>
      <c r="BQ115" s="76"/>
      <c r="BR115" s="208"/>
      <c r="BS115" s="77"/>
      <c r="BT115" s="76"/>
      <c r="BU115" s="76"/>
      <c r="BV115" s="76"/>
      <c r="BW115" s="208"/>
      <c r="BX115" s="77"/>
      <c r="BY115" s="76"/>
      <c r="BZ115" s="76"/>
      <c r="CA115" s="76"/>
      <c r="CB115" s="208"/>
      <c r="CC115" s="77"/>
      <c r="CD115" s="76"/>
      <c r="CE115" s="76"/>
      <c r="CF115" s="76"/>
      <c r="CG115" s="208"/>
      <c r="CH115" s="77"/>
      <c r="CI115" s="76"/>
      <c r="CJ115" s="76"/>
      <c r="CK115" s="76"/>
      <c r="CL115" s="208"/>
      <c r="CM115" s="77"/>
      <c r="CN115" s="76">
        <f>CN117-CI117</f>
        <v>10.396431026599004</v>
      </c>
      <c r="CO115" s="76">
        <f>CO117-CJ117</f>
        <v>13.716163675279205</v>
      </c>
      <c r="CP115" s="76">
        <f>CP117-CK117</f>
        <v>-17.602679946904829</v>
      </c>
      <c r="CQ115" s="208">
        <f>CQ117-CL117</f>
        <v>44.597774216905606</v>
      </c>
      <c r="CR115" s="77">
        <f>SUM(CN115:CQ115)</f>
        <v>51.107688971878986</v>
      </c>
      <c r="CS115" s="76">
        <f>CS117-CN117</f>
        <v>167.64625602723669</v>
      </c>
      <c r="CT115" s="76">
        <f>CT117-CO117</f>
        <v>230.53346251556238</v>
      </c>
      <c r="CU115" s="76">
        <f>CU117-CP117</f>
        <v>324.47102908823103</v>
      </c>
      <c r="CV115" s="208">
        <f>CV117-CQ117</f>
        <v>117.934</v>
      </c>
      <c r="CW115" s="77">
        <f>SUM(CS115:CV115)</f>
        <v>840.58474763103004</v>
      </c>
      <c r="CX115" s="76">
        <f>CX117-CS117</f>
        <v>-225.53600000000003</v>
      </c>
      <c r="CY115" s="76">
        <f>CY117-CT117</f>
        <v>-348.09399999999999</v>
      </c>
      <c r="CZ115" s="76">
        <f>CZ117-CU117</f>
        <v>-437.38600000000008</v>
      </c>
      <c r="DA115" s="208">
        <f>DA117-CV117</f>
        <v>-245.00000000000011</v>
      </c>
      <c r="DB115" s="77">
        <f>SUM(CX115:DA115)</f>
        <v>-1256.0160000000001</v>
      </c>
      <c r="DC115" s="76">
        <f>DC117-CX117</f>
        <v>65</v>
      </c>
      <c r="DD115" s="76">
        <f>DD117-CY117</f>
        <v>137</v>
      </c>
      <c r="DE115" s="76">
        <f>DE117-CZ117</f>
        <v>80.022999999999996</v>
      </c>
      <c r="DF115" s="208">
        <f>DF117-DA117</f>
        <v>71.341000000000122</v>
      </c>
      <c r="DG115" s="77">
        <f>SUM(DC115:DF115)</f>
        <v>353.36400000000015</v>
      </c>
      <c r="DH115" s="76">
        <f>DH117-DC117</f>
        <v>90.174000000000007</v>
      </c>
      <c r="DI115" s="76">
        <f>DI117-DD117</f>
        <v>162</v>
      </c>
      <c r="DJ115" s="76">
        <f>DJ117-DE117</f>
        <v>179</v>
      </c>
      <c r="DK115" s="208">
        <f>DK117-DF117</f>
        <v>100</v>
      </c>
      <c r="DL115" s="77">
        <f>SUM(DH115:DK115)</f>
        <v>531.17399999999998</v>
      </c>
      <c r="DM115" s="76">
        <f>DM117-DH117</f>
        <v>76</v>
      </c>
      <c r="DN115" s="76">
        <f>DN117-DI117</f>
        <v>3.5380000000000109</v>
      </c>
      <c r="DO115" s="76">
        <f>DO117-DJ117</f>
        <v>-72</v>
      </c>
      <c r="DP115" s="208">
        <f>DP117-DK117</f>
        <v>15</v>
      </c>
      <c r="DQ115" s="77">
        <f>SUM(DM115:DP115)</f>
        <v>22.538000000000011</v>
      </c>
      <c r="DR115" s="76">
        <f>DR117-DM117</f>
        <v>-51</v>
      </c>
      <c r="DS115" s="76">
        <f>DS117-DN117</f>
        <v>-59</v>
      </c>
      <c r="DT115" s="76">
        <f>DT117-DO117</f>
        <v>35</v>
      </c>
      <c r="DU115" s="208">
        <f>DU117-DP117</f>
        <v>51</v>
      </c>
      <c r="DV115" s="77">
        <f>SUM(DR115:DU115)</f>
        <v>-24</v>
      </c>
      <c r="DW115" s="76">
        <f>DW117-DR117</f>
        <v>21</v>
      </c>
      <c r="DX115" s="76">
        <f>DX117-DS117</f>
        <v>52</v>
      </c>
      <c r="DY115" s="76">
        <f>DY117-DT117</f>
        <v>47</v>
      </c>
      <c r="DZ115" s="208">
        <f>DZ117-DU117</f>
        <v>-45</v>
      </c>
      <c r="EA115" s="77">
        <f>SUM(DW115:DZ115)</f>
        <v>75</v>
      </c>
      <c r="EB115" s="76">
        <f>EB117-DW117</f>
        <v>-132</v>
      </c>
      <c r="EC115" s="76">
        <f>EC117-DX117</f>
        <v>-239</v>
      </c>
      <c r="ED115" s="76">
        <f>ED117-DY117</f>
        <v>-255</v>
      </c>
      <c r="EE115" s="1626">
        <f>EE117-DZ117</f>
        <v>-226</v>
      </c>
      <c r="EF115" s="77">
        <f>SUM(EB115:EE115)</f>
        <v>-852</v>
      </c>
      <c r="EG115" s="76">
        <f>EG117-EB117</f>
        <v>-114</v>
      </c>
      <c r="EH115" s="76">
        <f>EH117-EC117</f>
        <v>-69</v>
      </c>
      <c r="EI115" s="76">
        <f>EI117-ED117</f>
        <v>-46</v>
      </c>
      <c r="EJ115" s="1626">
        <f>EJ117-EE117</f>
        <v>-12</v>
      </c>
      <c r="EK115" s="77">
        <f>SUM(EG115:EJ115)</f>
        <v>-241</v>
      </c>
      <c r="EL115" s="126">
        <f>EL117-EG117</f>
        <v>31</v>
      </c>
      <c r="EM115" s="76">
        <f>EM117-EH117</f>
        <v>35</v>
      </c>
      <c r="EN115" s="76">
        <f>EN117-EI117</f>
        <v>17</v>
      </c>
      <c r="EO115" s="1626">
        <f>EO117-EJ117</f>
        <v>40</v>
      </c>
      <c r="EP115" s="77">
        <f>SUM(EL115:EO115)</f>
        <v>123</v>
      </c>
      <c r="EQ115" s="126">
        <f>EQ117-EL117</f>
        <v>51</v>
      </c>
      <c r="ER115" s="76">
        <f>ER117-EM117</f>
        <v>75</v>
      </c>
      <c r="ES115" s="76">
        <f>ES117-EN117</f>
        <v>81</v>
      </c>
      <c r="ET115" s="76">
        <f>ET117-EO117</f>
        <v>55</v>
      </c>
      <c r="EU115" s="1960">
        <f>SUM(EQ115:ET115)</f>
        <v>262</v>
      </c>
      <c r="EV115" s="189"/>
      <c r="EW115" s="189"/>
      <c r="EX115" s="189"/>
      <c r="EY115" s="189"/>
      <c r="EZ115" s="849">
        <f>EZ117-EU117</f>
        <v>12.409995020904603</v>
      </c>
      <c r="FA115" s="189"/>
      <c r="FB115" s="189"/>
      <c r="FC115" s="189"/>
      <c r="FD115" s="189"/>
      <c r="FE115" s="849">
        <f>FE117-EZ117</f>
        <v>15.010296287407868</v>
      </c>
      <c r="FF115" s="767"/>
      <c r="FG115" s="622"/>
      <c r="FH115" s="1027"/>
      <c r="FI115" s="1027"/>
      <c r="FJ115" s="1027"/>
      <c r="FK115" s="1027"/>
      <c r="FL115" s="1809"/>
      <c r="FM115" s="76">
        <f t="shared" si="338"/>
        <v>51</v>
      </c>
      <c r="FN115" s="76">
        <f t="shared" si="339"/>
        <v>31</v>
      </c>
      <c r="FO115" s="2053">
        <v>75</v>
      </c>
      <c r="FP115" s="15">
        <f t="shared" ref="FP115:FQ117" si="427">IFERROR(($FM115/FN115)-1,"")</f>
        <v>0.64516129032258074</v>
      </c>
      <c r="FQ115" s="15">
        <f t="shared" si="427"/>
        <v>-0.31999999999999995</v>
      </c>
      <c r="FR115" s="122"/>
      <c r="FS115" s="537"/>
      <c r="FT115" s="537"/>
      <c r="FU115" s="537"/>
      <c r="FV115" s="537"/>
      <c r="FW115" s="537"/>
      <c r="FX115" s="537"/>
      <c r="FY115" s="537"/>
      <c r="FZ115" s="537"/>
      <c r="GA115" s="622"/>
      <c r="GB115"/>
      <c r="GC115"/>
      <c r="GD115"/>
      <c r="GE115"/>
      <c r="GF115"/>
      <c r="GG115"/>
      <c r="GH115" s="963"/>
      <c r="GI115" s="963"/>
      <c r="GJ115" s="963"/>
      <c r="GK115" s="963"/>
      <c r="GL115" s="963"/>
      <c r="GM115" s="963"/>
      <c r="GN115" s="963"/>
      <c r="GO115" s="963"/>
      <c r="GP115" s="963"/>
      <c r="GQ115" s="963"/>
      <c r="GR115" s="963"/>
      <c r="GS115" s="963"/>
      <c r="GT115" s="963"/>
      <c r="GU115" s="963"/>
      <c r="GV115" s="963"/>
      <c r="GW115" s="963"/>
      <c r="GX115" s="963"/>
      <c r="GY115" s="963"/>
      <c r="GZ115" s="963"/>
      <c r="HA115" s="963"/>
      <c r="HB115" s="963"/>
      <c r="HC115" s="963"/>
      <c r="HD115" s="963"/>
      <c r="HE115" s="963"/>
      <c r="HF115" s="963"/>
      <c r="HG115" s="963"/>
      <c r="HH115" s="963"/>
      <c r="HI115" s="963"/>
      <c r="HJ115" s="963"/>
      <c r="HK115" s="963"/>
      <c r="HL115" s="963"/>
      <c r="HM115" s="963"/>
      <c r="HN115" s="963"/>
      <c r="HO115" s="963"/>
      <c r="HP115" s="963"/>
      <c r="HQ115" s="963"/>
      <c r="HR115" s="963"/>
      <c r="HS115" s="963"/>
      <c r="HT115" s="963"/>
      <c r="HU115" s="963"/>
      <c r="HV115" s="963"/>
      <c r="HW115" s="963"/>
      <c r="HX115" s="963"/>
      <c r="HY115" s="963"/>
      <c r="HZ115" s="963"/>
      <c r="IA115" s="963"/>
      <c r="IB115" s="963"/>
      <c r="IC115" s="963"/>
      <c r="ID115" s="963"/>
      <c r="IE115" s="963"/>
      <c r="IF115" s="963"/>
      <c r="IG115" s="963"/>
      <c r="IH115" s="963"/>
      <c r="II115" s="963"/>
      <c r="IJ115" s="963"/>
      <c r="IK115" s="963"/>
      <c r="IL115" s="963"/>
      <c r="IM115" s="963"/>
      <c r="IN115" s="963"/>
      <c r="IO115" s="963"/>
      <c r="IP115" s="963"/>
      <c r="IQ115" s="963"/>
      <c r="IR115" s="963"/>
      <c r="IS115" s="963"/>
      <c r="IT115" s="963"/>
      <c r="IU115" s="963"/>
      <c r="IV115" s="963"/>
    </row>
    <row r="116" spans="1:256" s="426" customFormat="1" ht="12.75" x14ac:dyDescent="0.2">
      <c r="A116" s="427" t="s">
        <v>121</v>
      </c>
      <c r="B116" s="76"/>
      <c r="C116" s="76"/>
      <c r="D116" s="76"/>
      <c r="E116" s="76"/>
      <c r="F116" s="77"/>
      <c r="G116" s="76"/>
      <c r="H116" s="76"/>
      <c r="I116" s="76"/>
      <c r="J116" s="76"/>
      <c r="K116" s="77"/>
      <c r="L116" s="76"/>
      <c r="M116" s="76"/>
      <c r="N116" s="76"/>
      <c r="O116" s="76"/>
      <c r="P116" s="77"/>
      <c r="Q116" s="76"/>
      <c r="R116" s="76"/>
      <c r="S116" s="76"/>
      <c r="T116" s="76"/>
      <c r="U116" s="77"/>
      <c r="V116" s="76"/>
      <c r="W116" s="76"/>
      <c r="X116" s="76"/>
      <c r="Y116" s="76"/>
      <c r="Z116" s="77"/>
      <c r="AA116" s="76"/>
      <c r="AB116" s="76"/>
      <c r="AC116" s="76"/>
      <c r="AD116" s="76"/>
      <c r="AE116" s="77"/>
      <c r="AF116" s="76"/>
      <c r="AG116" s="76"/>
      <c r="AH116" s="76"/>
      <c r="AI116" s="76"/>
      <c r="AJ116" s="77"/>
      <c r="AK116" s="76"/>
      <c r="AL116" s="76"/>
      <c r="AM116" s="76"/>
      <c r="AN116" s="76"/>
      <c r="AO116" s="77"/>
      <c r="AP116" s="76"/>
      <c r="AQ116" s="76"/>
      <c r="AR116" s="76"/>
      <c r="AS116" s="76"/>
      <c r="AT116" s="77"/>
      <c r="AU116" s="76"/>
      <c r="AV116" s="76"/>
      <c r="AW116" s="76"/>
      <c r="AX116" s="76"/>
      <c r="AY116" s="77"/>
      <c r="AZ116" s="76"/>
      <c r="BA116" s="76"/>
      <c r="BB116" s="76"/>
      <c r="BC116" s="76"/>
      <c r="BD116" s="77"/>
      <c r="BE116" s="76"/>
      <c r="BF116" s="76"/>
      <c r="BG116" s="76"/>
      <c r="BH116" s="76"/>
      <c r="BI116" s="77"/>
      <c r="BJ116" s="76"/>
      <c r="BK116" s="76"/>
      <c r="BL116" s="76"/>
      <c r="BM116" s="76"/>
      <c r="BN116" s="77"/>
      <c r="BO116" s="76"/>
      <c r="BP116" s="76"/>
      <c r="BQ116" s="76"/>
      <c r="BR116" s="76"/>
      <c r="BS116" s="77"/>
      <c r="BT116" s="76"/>
      <c r="BU116" s="76"/>
      <c r="BV116" s="76"/>
      <c r="BW116" s="76"/>
      <c r="BX116" s="77"/>
      <c r="BY116" s="76"/>
      <c r="BZ116" s="76"/>
      <c r="CA116" s="76"/>
      <c r="CB116" s="76"/>
      <c r="CC116" s="77"/>
      <c r="CD116" s="76"/>
      <c r="CE116" s="76"/>
      <c r="CF116" s="76"/>
      <c r="CG116" s="76"/>
      <c r="CH116" s="77"/>
      <c r="CI116" s="76"/>
      <c r="CJ116" s="76"/>
      <c r="CK116" s="76"/>
      <c r="CL116" s="76"/>
      <c r="CM116" s="77"/>
      <c r="CN116" s="76">
        <f t="shared" ref="CN116:DS116" si="428">CN115-(CN153-CI153)</f>
        <v>22.396431026599004</v>
      </c>
      <c r="CO116" s="76">
        <f t="shared" si="428"/>
        <v>25.716163675279205</v>
      </c>
      <c r="CP116" s="76">
        <f t="shared" si="428"/>
        <v>-18.602679946904829</v>
      </c>
      <c r="CQ116" s="76">
        <f t="shared" si="428"/>
        <v>-52.402225783094394</v>
      </c>
      <c r="CR116" s="77">
        <f t="shared" si="428"/>
        <v>-22.892311028121014</v>
      </c>
      <c r="CS116" s="76">
        <f t="shared" si="428"/>
        <v>11.646256027236689</v>
      </c>
      <c r="CT116" s="76">
        <f t="shared" si="428"/>
        <v>18.533462515562377</v>
      </c>
      <c r="CU116" s="76">
        <f t="shared" si="428"/>
        <v>139.47102908823103</v>
      </c>
      <c r="CV116" s="76">
        <f t="shared" si="428"/>
        <v>201.934</v>
      </c>
      <c r="CW116" s="77">
        <f t="shared" si="428"/>
        <v>371.58474763103004</v>
      </c>
      <c r="CX116" s="76">
        <f t="shared" si="428"/>
        <v>19.46399999999997</v>
      </c>
      <c r="CY116" s="76">
        <f t="shared" si="428"/>
        <v>-10.093999999999994</v>
      </c>
      <c r="CZ116" s="76">
        <f t="shared" si="428"/>
        <v>-155.38600000000008</v>
      </c>
      <c r="DA116" s="76">
        <f t="shared" si="428"/>
        <v>-197.00000000000011</v>
      </c>
      <c r="DB116" s="77">
        <f t="shared" si="428"/>
        <v>-343.01600000000008</v>
      </c>
      <c r="DC116" s="76">
        <f t="shared" si="428"/>
        <v>-30</v>
      </c>
      <c r="DD116" s="76">
        <f t="shared" si="428"/>
        <v>32</v>
      </c>
      <c r="DE116" s="76">
        <f t="shared" si="428"/>
        <v>13.022999999999996</v>
      </c>
      <c r="DF116" s="76">
        <f t="shared" si="428"/>
        <v>-15.658999999999878</v>
      </c>
      <c r="DG116" s="77">
        <f t="shared" si="428"/>
        <v>-0.63599999999985357</v>
      </c>
      <c r="DH116" s="76">
        <f t="shared" si="428"/>
        <v>-44.825999999999993</v>
      </c>
      <c r="DI116" s="76">
        <f t="shared" si="428"/>
        <v>8</v>
      </c>
      <c r="DJ116" s="76">
        <f t="shared" si="428"/>
        <v>53</v>
      </c>
      <c r="DK116" s="76">
        <f t="shared" si="428"/>
        <v>5</v>
      </c>
      <c r="DL116" s="77">
        <f t="shared" si="428"/>
        <v>21.173999999999978</v>
      </c>
      <c r="DM116" s="76">
        <f t="shared" si="428"/>
        <v>52</v>
      </c>
      <c r="DN116" s="76">
        <f t="shared" si="428"/>
        <v>25.538000000000011</v>
      </c>
      <c r="DO116" s="76">
        <f t="shared" si="428"/>
        <v>-66</v>
      </c>
      <c r="DP116" s="76">
        <f t="shared" si="428"/>
        <v>23</v>
      </c>
      <c r="DQ116" s="77">
        <f t="shared" si="428"/>
        <v>34.538000000000011</v>
      </c>
      <c r="DR116" s="76">
        <f t="shared" si="428"/>
        <v>-67</v>
      </c>
      <c r="DS116" s="76">
        <f t="shared" si="428"/>
        <v>-60</v>
      </c>
      <c r="DT116" s="76">
        <f t="shared" ref="DT116:EN116" si="429">DT115-(DT153-DO153)</f>
        <v>24</v>
      </c>
      <c r="DU116" s="76">
        <f t="shared" si="429"/>
        <v>43</v>
      </c>
      <c r="DV116" s="77">
        <f t="shared" si="429"/>
        <v>-60</v>
      </c>
      <c r="DW116" s="76">
        <f t="shared" si="429"/>
        <v>18</v>
      </c>
      <c r="DX116" s="76">
        <f t="shared" si="429"/>
        <v>35</v>
      </c>
      <c r="DY116" s="76">
        <f t="shared" si="429"/>
        <v>50.5</v>
      </c>
      <c r="DZ116" s="76">
        <f t="shared" si="429"/>
        <v>11</v>
      </c>
      <c r="EA116" s="77">
        <f t="shared" si="429"/>
        <v>114.5</v>
      </c>
      <c r="EB116" s="76">
        <f t="shared" si="429"/>
        <v>36</v>
      </c>
      <c r="EC116" s="76">
        <f t="shared" si="429"/>
        <v>-86</v>
      </c>
      <c r="ED116" s="76">
        <f t="shared" si="429"/>
        <v>-89.5</v>
      </c>
      <c r="EE116" s="126">
        <f t="shared" si="429"/>
        <v>-73</v>
      </c>
      <c r="EF116" s="77">
        <f t="shared" si="429"/>
        <v>-212.5</v>
      </c>
      <c r="EG116" s="76">
        <f t="shared" si="429"/>
        <v>1</v>
      </c>
      <c r="EH116" s="126">
        <f t="shared" si="429"/>
        <v>12</v>
      </c>
      <c r="EI116" s="76">
        <f t="shared" si="429"/>
        <v>-6</v>
      </c>
      <c r="EJ116" s="126">
        <f t="shared" si="429"/>
        <v>-12</v>
      </c>
      <c r="EK116" s="77">
        <f t="shared" si="429"/>
        <v>-5</v>
      </c>
      <c r="EL116" s="126">
        <f t="shared" si="429"/>
        <v>-33</v>
      </c>
      <c r="EM116" s="126">
        <f t="shared" si="429"/>
        <v>19</v>
      </c>
      <c r="EN116" s="76">
        <f t="shared" si="429"/>
        <v>0</v>
      </c>
      <c r="EO116" s="126">
        <f t="shared" ref="EO116" si="430">EO115-(EO153-EJ153)</f>
        <v>-5</v>
      </c>
      <c r="EP116" s="77">
        <f t="shared" ref="EP116:EQ116" si="431">EP115-(EP153-EK153)</f>
        <v>-19</v>
      </c>
      <c r="EQ116" s="126">
        <f t="shared" si="431"/>
        <v>-2</v>
      </c>
      <c r="ER116" s="76">
        <f t="shared" ref="ER116" si="432">ER115-(ER153-EM153)</f>
        <v>1.6150519602657596</v>
      </c>
      <c r="ES116" s="76">
        <f t="shared" ref="ES116:EU116" si="433">ES115-(ES153-EN153)</f>
        <v>21.560223790618352</v>
      </c>
      <c r="ET116" s="76">
        <f t="shared" si="433"/>
        <v>28.421672017785795</v>
      </c>
      <c r="EU116" s="1960">
        <f t="shared" si="433"/>
        <v>49.596947768669907</v>
      </c>
      <c r="EV116" s="370"/>
      <c r="EW116" s="370"/>
      <c r="EX116" s="370"/>
      <c r="EY116" s="370"/>
      <c r="EZ116" s="849">
        <f>EZ115-(EZ153-EU153)</f>
        <v>-13.390909050097548</v>
      </c>
      <c r="FA116" s="370"/>
      <c r="FB116" s="370"/>
      <c r="FC116" s="370"/>
      <c r="FD116" s="370"/>
      <c r="FE116" s="849">
        <f>FE115-(FE153-EZ153)</f>
        <v>-2.510481171825063</v>
      </c>
      <c r="FF116" s="772"/>
      <c r="FG116" s="650"/>
      <c r="FH116" s="1063"/>
      <c r="FI116" s="1063"/>
      <c r="FJ116" s="1063"/>
      <c r="FK116" s="1063"/>
      <c r="FL116" s="1816"/>
      <c r="FM116" s="76">
        <f t="shared" si="338"/>
        <v>-2</v>
      </c>
      <c r="FN116" s="76">
        <f t="shared" si="339"/>
        <v>-33</v>
      </c>
      <c r="FO116" s="2053">
        <v>24.431718466441907</v>
      </c>
      <c r="FP116" s="15">
        <f t="shared" si="427"/>
        <v>-0.93939393939393945</v>
      </c>
      <c r="FQ116" s="15">
        <f t="shared" si="427"/>
        <v>-1.0818607992207789</v>
      </c>
      <c r="FR116" s="578"/>
      <c r="FS116" s="578"/>
      <c r="FT116" s="578"/>
      <c r="FU116" s="578"/>
      <c r="FV116" s="578"/>
      <c r="FW116" s="578"/>
      <c r="FX116" s="578"/>
      <c r="FY116" s="578"/>
      <c r="FZ116" s="578"/>
      <c r="GA116" s="650"/>
      <c r="GB116"/>
      <c r="GC116"/>
      <c r="GD116"/>
      <c r="GE116"/>
      <c r="GF116"/>
      <c r="GG116"/>
      <c r="GH116" s="966"/>
      <c r="GI116" s="966"/>
      <c r="GJ116" s="966"/>
      <c r="GK116" s="966"/>
      <c r="GL116" s="966"/>
      <c r="GM116" s="966"/>
      <c r="GN116" s="966"/>
      <c r="GO116" s="966"/>
      <c r="GP116" s="966"/>
      <c r="GQ116" s="966"/>
      <c r="GR116" s="966"/>
      <c r="GS116" s="966"/>
      <c r="GT116" s="966"/>
      <c r="GU116" s="966"/>
      <c r="GV116" s="966"/>
      <c r="GW116" s="966"/>
      <c r="GX116" s="966"/>
      <c r="GY116" s="966"/>
      <c r="GZ116" s="966"/>
      <c r="HA116" s="966"/>
      <c r="HB116" s="966"/>
      <c r="HC116" s="966"/>
      <c r="HD116" s="966"/>
      <c r="HE116" s="966"/>
      <c r="HF116" s="966"/>
      <c r="HG116" s="966"/>
      <c r="HH116" s="966"/>
      <c r="HI116" s="966"/>
      <c r="HJ116" s="966"/>
      <c r="HK116" s="966"/>
      <c r="HL116" s="966"/>
      <c r="HM116" s="966"/>
      <c r="HN116" s="966"/>
      <c r="HO116" s="966"/>
      <c r="HP116" s="966"/>
      <c r="HQ116" s="966"/>
      <c r="HR116" s="966"/>
      <c r="HS116" s="966"/>
      <c r="HT116" s="966"/>
      <c r="HU116" s="966"/>
      <c r="HV116" s="966"/>
      <c r="HW116" s="966"/>
      <c r="HX116" s="966"/>
      <c r="HY116" s="966"/>
      <c r="HZ116" s="966"/>
      <c r="IA116" s="966"/>
      <c r="IB116" s="966"/>
      <c r="IC116" s="966"/>
      <c r="ID116" s="966"/>
      <c r="IE116" s="966"/>
      <c r="IF116" s="966"/>
      <c r="IG116" s="966"/>
      <c r="IH116" s="966"/>
      <c r="II116" s="966"/>
      <c r="IJ116" s="966"/>
      <c r="IK116" s="966"/>
      <c r="IL116" s="966"/>
      <c r="IM116" s="966"/>
      <c r="IN116" s="966"/>
      <c r="IO116" s="966"/>
      <c r="IP116" s="966"/>
      <c r="IQ116" s="966"/>
      <c r="IR116" s="966"/>
      <c r="IS116" s="966"/>
      <c r="IT116" s="966"/>
      <c r="IU116" s="966"/>
      <c r="IV116" s="966"/>
    </row>
    <row r="117" spans="1:256" s="369" customFormat="1" ht="12.75" x14ac:dyDescent="0.2">
      <c r="A117" s="188" t="s">
        <v>407</v>
      </c>
      <c r="B117" s="251"/>
      <c r="C117" s="251"/>
      <c r="D117" s="251"/>
      <c r="E117" s="368"/>
      <c r="F117" s="77"/>
      <c r="G117" s="251"/>
      <c r="H117" s="251"/>
      <c r="I117" s="251"/>
      <c r="J117" s="368"/>
      <c r="K117" s="77"/>
      <c r="L117" s="251"/>
      <c r="M117" s="251"/>
      <c r="N117" s="251"/>
      <c r="O117" s="368"/>
      <c r="P117" s="77"/>
      <c r="Q117" s="251"/>
      <c r="R117" s="251"/>
      <c r="S117" s="251"/>
      <c r="T117" s="368"/>
      <c r="U117" s="77"/>
      <c r="V117" s="251"/>
      <c r="W117" s="251"/>
      <c r="X117" s="251"/>
      <c r="Y117" s="368"/>
      <c r="Z117" s="77"/>
      <c r="AA117" s="251"/>
      <c r="AB117" s="251"/>
      <c r="AC117" s="251"/>
      <c r="AD117" s="368"/>
      <c r="AE117" s="77"/>
      <c r="AF117" s="251"/>
      <c r="AG117" s="251"/>
      <c r="AH117" s="251"/>
      <c r="AI117" s="368"/>
      <c r="AJ117" s="77"/>
      <c r="AK117" s="251"/>
      <c r="AL117" s="251"/>
      <c r="AM117" s="251"/>
      <c r="AN117" s="368"/>
      <c r="AO117" s="77"/>
      <c r="AP117" s="251"/>
      <c r="AQ117" s="251"/>
      <c r="AR117" s="251"/>
      <c r="AS117" s="368"/>
      <c r="AT117" s="77"/>
      <c r="AU117" s="251"/>
      <c r="AV117" s="251"/>
      <c r="AW117" s="251"/>
      <c r="AX117" s="368"/>
      <c r="AY117" s="77"/>
      <c r="AZ117" s="251"/>
      <c r="BA117" s="251"/>
      <c r="BB117" s="251"/>
      <c r="BC117" s="368"/>
      <c r="BD117" s="77"/>
      <c r="BE117" s="251"/>
      <c r="BF117" s="251"/>
      <c r="BG117" s="251"/>
      <c r="BH117" s="368"/>
      <c r="BI117" s="77"/>
      <c r="BJ117" s="251"/>
      <c r="BK117" s="251"/>
      <c r="BL117" s="251"/>
      <c r="BM117" s="368"/>
      <c r="BN117" s="77"/>
      <c r="BO117" s="251"/>
      <c r="BP117" s="251"/>
      <c r="BQ117" s="251"/>
      <c r="BR117" s="368"/>
      <c r="BS117" s="77"/>
      <c r="BT117" s="251"/>
      <c r="BU117" s="251"/>
      <c r="BV117" s="251"/>
      <c r="BW117" s="368"/>
      <c r="BX117" s="77"/>
      <c r="BY117" s="251"/>
      <c r="BZ117" s="251"/>
      <c r="CA117" s="251"/>
      <c r="CB117" s="368"/>
      <c r="CC117" s="77"/>
      <c r="CD117" s="251"/>
      <c r="CE117" s="251"/>
      <c r="CF117" s="251"/>
      <c r="CG117" s="368"/>
      <c r="CH117" s="77"/>
      <c r="CI117" s="251">
        <v>141.31931294616433</v>
      </c>
      <c r="CJ117" s="251">
        <v>166.3063738091584</v>
      </c>
      <c r="CK117" s="251">
        <v>229.49465085867388</v>
      </c>
      <c r="CL117" s="368">
        <v>198.12722578309439</v>
      </c>
      <c r="CM117" s="77">
        <f>SUM(CI117:CL117)</f>
        <v>735.24756339709097</v>
      </c>
      <c r="CN117" s="251">
        <v>151.71574397276333</v>
      </c>
      <c r="CO117" s="251">
        <v>180.02253748443761</v>
      </c>
      <c r="CP117" s="251">
        <v>211.89197091176905</v>
      </c>
      <c r="CQ117" s="368">
        <v>242.72499999999999</v>
      </c>
      <c r="CR117" s="77">
        <f>SUM(CN117:CQ117)</f>
        <v>786.35525236897001</v>
      </c>
      <c r="CS117" s="251">
        <v>319.36200000000002</v>
      </c>
      <c r="CT117" s="251">
        <v>410.55599999999998</v>
      </c>
      <c r="CU117" s="251">
        <v>536.36300000000006</v>
      </c>
      <c r="CV117" s="368">
        <v>360.65899999999999</v>
      </c>
      <c r="CW117" s="77">
        <f>SUM(CS117:CV117)</f>
        <v>1626.94</v>
      </c>
      <c r="CX117" s="251">
        <v>93.825999999999993</v>
      </c>
      <c r="CY117" s="251">
        <v>62.462000000000003</v>
      </c>
      <c r="CZ117" s="251">
        <v>98.977000000000004</v>
      </c>
      <c r="DA117" s="251">
        <v>115.65899999999988</v>
      </c>
      <c r="DB117" s="77">
        <f>SUM(CX117:DA117)</f>
        <v>370.92399999999986</v>
      </c>
      <c r="DC117" s="251">
        <v>158.82599999999999</v>
      </c>
      <c r="DD117" s="251">
        <v>199.46199999999999</v>
      </c>
      <c r="DE117" s="251">
        <v>179</v>
      </c>
      <c r="DF117" s="251">
        <v>187</v>
      </c>
      <c r="DG117" s="77">
        <f>SUM(DC117:DF117)</f>
        <v>724.28800000000001</v>
      </c>
      <c r="DH117" s="251">
        <v>249</v>
      </c>
      <c r="DI117" s="251">
        <v>361.46199999999999</v>
      </c>
      <c r="DJ117" s="251">
        <v>358</v>
      </c>
      <c r="DK117" s="251">
        <f>DP117-15</f>
        <v>287</v>
      </c>
      <c r="DL117" s="77">
        <f>SUM(DH117:DK117)</f>
        <v>1255.462</v>
      </c>
      <c r="DM117" s="251">
        <v>325</v>
      </c>
      <c r="DN117" s="251">
        <v>365</v>
      </c>
      <c r="DO117" s="251">
        <v>286</v>
      </c>
      <c r="DP117" s="251">
        <v>302</v>
      </c>
      <c r="DQ117" s="77">
        <f>SUM(DM117:DP117)</f>
        <v>1278</v>
      </c>
      <c r="DR117" s="251">
        <v>274</v>
      </c>
      <c r="DS117" s="251">
        <v>306</v>
      </c>
      <c r="DT117" s="251">
        <v>321</v>
      </c>
      <c r="DU117" s="1278">
        <v>353</v>
      </c>
      <c r="DV117" s="77">
        <f>SUM(DR117:DU117)</f>
        <v>1254</v>
      </c>
      <c r="DW117" s="1278">
        <f>DR117+21</f>
        <v>295</v>
      </c>
      <c r="DX117" s="251">
        <v>358</v>
      </c>
      <c r="DY117" s="1278">
        <v>368</v>
      </c>
      <c r="DZ117" s="1278">
        <f>DU117-45</f>
        <v>308</v>
      </c>
      <c r="EA117" s="77">
        <f>SUM(DW117:DZ117)</f>
        <v>1329</v>
      </c>
      <c r="EB117" s="1278">
        <v>163</v>
      </c>
      <c r="EC117" s="1278">
        <v>119</v>
      </c>
      <c r="ED117" s="1278">
        <v>113</v>
      </c>
      <c r="EE117" s="1278">
        <f>+DZ117-226</f>
        <v>82</v>
      </c>
      <c r="EF117" s="77">
        <f>SUM(EB117:EE117)</f>
        <v>477</v>
      </c>
      <c r="EG117" s="1278">
        <f>+EB117-114</f>
        <v>49</v>
      </c>
      <c r="EH117" s="1278">
        <f>+EC117-69</f>
        <v>50</v>
      </c>
      <c r="EI117" s="1278">
        <f>+ED117-46</f>
        <v>67</v>
      </c>
      <c r="EJ117" s="1278">
        <f>+EE117-12</f>
        <v>70</v>
      </c>
      <c r="EK117" s="77">
        <f>SUM(EG117:EJ117)</f>
        <v>236</v>
      </c>
      <c r="EL117" s="1278">
        <f>+EG117+31</f>
        <v>80</v>
      </c>
      <c r="EM117" s="1278">
        <f>+EH117+10+19+6</f>
        <v>85</v>
      </c>
      <c r="EN117" s="1278">
        <v>84</v>
      </c>
      <c r="EO117" s="1278">
        <f>+EJ117+40</f>
        <v>110</v>
      </c>
      <c r="EP117" s="77">
        <f>SUM(EL117:EO117)</f>
        <v>359</v>
      </c>
      <c r="EQ117" s="1278">
        <v>131</v>
      </c>
      <c r="ER117" s="1597">
        <v>160</v>
      </c>
      <c r="ES117" s="1597">
        <v>165</v>
      </c>
      <c r="ET117" s="1597">
        <v>165</v>
      </c>
      <c r="EU117" s="1960">
        <f>SUM(EQ117:ET117)</f>
        <v>621</v>
      </c>
      <c r="EV117" s="1590"/>
      <c r="EW117" s="1590"/>
      <c r="EX117" s="1590"/>
      <c r="EY117" s="1590"/>
      <c r="EZ117" s="1763">
        <f>EU117*(1+EZ106)</f>
        <v>633.4099950209046</v>
      </c>
      <c r="FA117" s="1590"/>
      <c r="FB117" s="1590"/>
      <c r="FC117" s="1590"/>
      <c r="FD117" s="1590"/>
      <c r="FE117" s="1763">
        <f>EZ117*(1+FE106)</f>
        <v>648.42029130831247</v>
      </c>
      <c r="FF117" s="773"/>
      <c r="FG117" s="654"/>
      <c r="FH117" s="1762"/>
      <c r="FI117" s="1064"/>
      <c r="FJ117" s="1064"/>
      <c r="FK117" s="1064"/>
      <c r="FL117" s="1817"/>
      <c r="FM117" s="1781">
        <f t="shared" si="338"/>
        <v>131</v>
      </c>
      <c r="FN117" s="1781">
        <f t="shared" si="339"/>
        <v>80</v>
      </c>
      <c r="FO117" s="1597">
        <v>155</v>
      </c>
      <c r="FP117" s="1867">
        <f t="shared" si="427"/>
        <v>0.63749999999999996</v>
      </c>
      <c r="FQ117" s="1867">
        <f t="shared" si="427"/>
        <v>-0.15483870967741931</v>
      </c>
      <c r="FR117" s="1580"/>
      <c r="FS117" s="579"/>
      <c r="FT117" s="579"/>
      <c r="FU117" s="579"/>
      <c r="FV117" s="579"/>
      <c r="FW117" s="579"/>
      <c r="FX117" s="579"/>
      <c r="FY117" s="579"/>
      <c r="FZ117" s="579"/>
      <c r="GA117" s="654"/>
      <c r="GB117"/>
      <c r="GC117"/>
      <c r="GD117"/>
      <c r="GE117"/>
      <c r="GF117"/>
      <c r="GG117"/>
      <c r="GH117" s="967"/>
      <c r="GI117" s="967"/>
      <c r="GJ117" s="967"/>
      <c r="GK117" s="967"/>
      <c r="GL117" s="967"/>
      <c r="GM117" s="967"/>
      <c r="GN117" s="967"/>
      <c r="GO117" s="967"/>
      <c r="GP117" s="967"/>
      <c r="GQ117" s="967"/>
      <c r="GR117" s="967"/>
      <c r="GS117" s="967"/>
      <c r="GT117" s="967"/>
      <c r="GU117" s="967"/>
      <c r="GV117" s="967"/>
      <c r="GW117" s="967"/>
      <c r="GX117" s="967"/>
      <c r="GY117" s="967"/>
      <c r="GZ117" s="967"/>
      <c r="HA117" s="967"/>
      <c r="HB117" s="967"/>
      <c r="HC117" s="967"/>
      <c r="HD117" s="967"/>
      <c r="HE117" s="967"/>
      <c r="HF117" s="967"/>
      <c r="HG117" s="967"/>
      <c r="HH117" s="967"/>
      <c r="HI117" s="967"/>
      <c r="HJ117" s="967"/>
      <c r="HK117" s="967"/>
      <c r="HL117" s="967"/>
      <c r="HM117" s="967"/>
      <c r="HN117" s="967"/>
      <c r="HO117" s="967"/>
      <c r="HP117" s="967"/>
      <c r="HQ117" s="967"/>
      <c r="HR117" s="967"/>
      <c r="HS117" s="967"/>
      <c r="HT117" s="967"/>
      <c r="HU117" s="967"/>
      <c r="HV117" s="967"/>
      <c r="HW117" s="967"/>
      <c r="HX117" s="967"/>
      <c r="HY117" s="967"/>
      <c r="HZ117" s="967"/>
      <c r="IA117" s="967"/>
      <c r="IB117" s="967"/>
      <c r="IC117" s="967"/>
      <c r="ID117" s="967"/>
      <c r="IE117" s="967"/>
      <c r="IF117" s="967"/>
      <c r="IG117" s="967"/>
      <c r="IH117" s="967"/>
      <c r="II117" s="967"/>
      <c r="IJ117" s="967"/>
      <c r="IK117" s="967"/>
      <c r="IL117" s="967"/>
      <c r="IM117" s="967"/>
      <c r="IN117" s="967"/>
      <c r="IO117" s="967"/>
      <c r="IP117" s="967"/>
      <c r="IQ117" s="967"/>
      <c r="IR117" s="967"/>
      <c r="IS117" s="967"/>
      <c r="IT117" s="967"/>
      <c r="IU117" s="967"/>
      <c r="IV117" s="967"/>
    </row>
    <row r="118" spans="1:256" s="244" customFormat="1" ht="12.75" x14ac:dyDescent="0.2">
      <c r="A118" s="1137" t="s">
        <v>74</v>
      </c>
      <c r="B118" s="22"/>
      <c r="C118" s="22"/>
      <c r="D118" s="22"/>
      <c r="E118" s="197"/>
      <c r="F118" s="21"/>
      <c r="G118" s="22"/>
      <c r="H118" s="22"/>
      <c r="I118" s="22"/>
      <c r="J118" s="197"/>
      <c r="K118" s="21"/>
      <c r="L118" s="22"/>
      <c r="M118" s="22"/>
      <c r="N118" s="22"/>
      <c r="O118" s="197"/>
      <c r="P118" s="21"/>
      <c r="Q118" s="22"/>
      <c r="R118" s="22"/>
      <c r="S118" s="22"/>
      <c r="T118" s="197"/>
      <c r="U118" s="21"/>
      <c r="V118" s="22"/>
      <c r="W118" s="22"/>
      <c r="X118" s="22"/>
      <c r="Y118" s="197"/>
      <c r="Z118" s="21"/>
      <c r="AA118" s="22"/>
      <c r="AB118" s="22"/>
      <c r="AC118" s="22"/>
      <c r="AD118" s="197"/>
      <c r="AE118" s="21"/>
      <c r="AF118" s="22"/>
      <c r="AG118" s="22"/>
      <c r="AH118" s="22"/>
      <c r="AI118" s="197"/>
      <c r="AJ118" s="21"/>
      <c r="AK118" s="22"/>
      <c r="AL118" s="22"/>
      <c r="AM118" s="22"/>
      <c r="AN118" s="197"/>
      <c r="AO118" s="21"/>
      <c r="AP118" s="22"/>
      <c r="AQ118" s="22"/>
      <c r="AR118" s="22"/>
      <c r="AS118" s="197"/>
      <c r="AT118" s="21"/>
      <c r="AU118" s="22"/>
      <c r="AV118" s="22"/>
      <c r="AW118" s="22"/>
      <c r="AX118" s="197"/>
      <c r="AY118" s="21"/>
      <c r="AZ118" s="22"/>
      <c r="BA118" s="22"/>
      <c r="BB118" s="22"/>
      <c r="BC118" s="197"/>
      <c r="BD118" s="21"/>
      <c r="BE118" s="22"/>
      <c r="BF118" s="22"/>
      <c r="BG118" s="22"/>
      <c r="BH118" s="197"/>
      <c r="BI118" s="21"/>
      <c r="BJ118" s="22"/>
      <c r="BK118" s="22"/>
      <c r="BL118" s="22"/>
      <c r="BM118" s="197"/>
      <c r="BN118" s="21"/>
      <c r="BO118" s="22"/>
      <c r="BP118" s="22"/>
      <c r="BQ118" s="22"/>
      <c r="BR118" s="197"/>
      <c r="BS118" s="21"/>
      <c r="BT118" s="22"/>
      <c r="BU118" s="22"/>
      <c r="BV118" s="22"/>
      <c r="BW118" s="197"/>
      <c r="BX118" s="21"/>
      <c r="BY118" s="22"/>
      <c r="BZ118" s="22"/>
      <c r="CA118" s="22"/>
      <c r="CB118" s="197"/>
      <c r="CC118" s="21"/>
      <c r="CD118" s="22"/>
      <c r="CE118" s="22"/>
      <c r="CF118" s="22"/>
      <c r="CG118" s="197"/>
      <c r="CH118" s="21"/>
      <c r="CI118" s="22"/>
      <c r="CJ118" s="22"/>
      <c r="CK118" s="22"/>
      <c r="CL118" s="197"/>
      <c r="CM118" s="21"/>
      <c r="CN118" s="22">
        <f t="shared" ref="CN118:DS118" si="434">CN117/CI117-1</f>
        <v>7.3566951394389513E-2</v>
      </c>
      <c r="CO118" s="22">
        <f t="shared" si="434"/>
        <v>8.2475273563591189E-2</v>
      </c>
      <c r="CP118" s="22">
        <f t="shared" si="434"/>
        <v>-7.6701918240982492E-2</v>
      </c>
      <c r="CQ118" s="197">
        <f t="shared" si="434"/>
        <v>0.22509664706924393</v>
      </c>
      <c r="CR118" s="21">
        <f t="shared" si="434"/>
        <v>6.9510857996923248E-2</v>
      </c>
      <c r="CS118" s="22">
        <f t="shared" si="434"/>
        <v>1.1050023658542205</v>
      </c>
      <c r="CT118" s="22">
        <f t="shared" si="434"/>
        <v>1.280581119102886</v>
      </c>
      <c r="CU118" s="22">
        <f t="shared" si="434"/>
        <v>1.5313040305021253</v>
      </c>
      <c r="CV118" s="197">
        <f t="shared" si="434"/>
        <v>0.48587496137604291</v>
      </c>
      <c r="CW118" s="21">
        <f t="shared" si="434"/>
        <v>1.0689630991828292</v>
      </c>
      <c r="CX118" s="22">
        <f t="shared" si="434"/>
        <v>-0.70620800220439506</v>
      </c>
      <c r="CY118" s="22">
        <f t="shared" si="434"/>
        <v>-0.84785997525307144</v>
      </c>
      <c r="CZ118" s="22">
        <f t="shared" si="434"/>
        <v>-0.81546639123131159</v>
      </c>
      <c r="DA118" s="22">
        <f t="shared" si="434"/>
        <v>-0.67931203713202803</v>
      </c>
      <c r="DB118" s="21">
        <f t="shared" si="434"/>
        <v>-0.77201126040296519</v>
      </c>
      <c r="DC118" s="22">
        <f t="shared" si="434"/>
        <v>0.69277172638714224</v>
      </c>
      <c r="DD118" s="22">
        <f t="shared" si="434"/>
        <v>2.1933335467964521</v>
      </c>
      <c r="DE118" s="22">
        <f t="shared" si="434"/>
        <v>0.8085009648706265</v>
      </c>
      <c r="DF118" s="22">
        <f t="shared" si="434"/>
        <v>0.61682186427342622</v>
      </c>
      <c r="DG118" s="21">
        <f t="shared" si="434"/>
        <v>0.95265876567706664</v>
      </c>
      <c r="DH118" s="22">
        <f t="shared" si="434"/>
        <v>0.56775339050281448</v>
      </c>
      <c r="DI118" s="22">
        <f t="shared" si="434"/>
        <v>0.81218477705026526</v>
      </c>
      <c r="DJ118" s="22">
        <f t="shared" si="434"/>
        <v>1</v>
      </c>
      <c r="DK118" s="22">
        <f t="shared" si="434"/>
        <v>0.53475935828876997</v>
      </c>
      <c r="DL118" s="21">
        <f t="shared" si="434"/>
        <v>0.73337401696562687</v>
      </c>
      <c r="DM118" s="22">
        <f t="shared" si="434"/>
        <v>0.30522088353413657</v>
      </c>
      <c r="DN118" s="22">
        <f t="shared" si="434"/>
        <v>9.7880275104991199E-3</v>
      </c>
      <c r="DO118" s="22">
        <f t="shared" si="434"/>
        <v>-0.2011173184357542</v>
      </c>
      <c r="DP118" s="22">
        <f t="shared" si="434"/>
        <v>5.2264808362369353E-2</v>
      </c>
      <c r="DQ118" s="21">
        <f t="shared" si="434"/>
        <v>1.7951957128133023E-2</v>
      </c>
      <c r="DR118" s="22">
        <f t="shared" si="434"/>
        <v>-0.15692307692307694</v>
      </c>
      <c r="DS118" s="22">
        <f t="shared" si="434"/>
        <v>-0.16164383561643836</v>
      </c>
      <c r="DT118" s="22">
        <f t="shared" ref="DT118:EN118" si="435">DT117/DO117-1</f>
        <v>0.12237762237762229</v>
      </c>
      <c r="DU118" s="22">
        <f t="shared" si="435"/>
        <v>0.16887417218543055</v>
      </c>
      <c r="DV118" s="21">
        <f t="shared" si="435"/>
        <v>-1.8779342723004744E-2</v>
      </c>
      <c r="DW118" s="22">
        <f t="shared" si="435"/>
        <v>7.6642335766423431E-2</v>
      </c>
      <c r="DX118" s="22">
        <f t="shared" si="435"/>
        <v>0.16993464052287588</v>
      </c>
      <c r="DY118" s="22">
        <f t="shared" si="435"/>
        <v>0.14641744548286595</v>
      </c>
      <c r="DZ118" s="22">
        <f t="shared" si="435"/>
        <v>-0.12747875354107652</v>
      </c>
      <c r="EA118" s="21">
        <f t="shared" si="435"/>
        <v>5.9808612440191311E-2</v>
      </c>
      <c r="EB118" s="22">
        <f t="shared" si="435"/>
        <v>-0.44745762711864412</v>
      </c>
      <c r="EC118" s="22">
        <f t="shared" si="435"/>
        <v>-0.66759776536312843</v>
      </c>
      <c r="ED118" s="22">
        <f t="shared" si="435"/>
        <v>-0.69293478260869568</v>
      </c>
      <c r="EE118" s="1582">
        <f t="shared" si="435"/>
        <v>-0.73376623376623384</v>
      </c>
      <c r="EF118" s="21">
        <f t="shared" si="435"/>
        <v>-0.64108352144469527</v>
      </c>
      <c r="EG118" s="22">
        <f t="shared" si="435"/>
        <v>-0.69938650306748462</v>
      </c>
      <c r="EH118" s="22">
        <f t="shared" si="435"/>
        <v>-0.57983193277310918</v>
      </c>
      <c r="EI118" s="22">
        <f t="shared" si="435"/>
        <v>-0.40707964601769908</v>
      </c>
      <c r="EJ118" s="1582">
        <f t="shared" si="435"/>
        <v>-0.14634146341463417</v>
      </c>
      <c r="EK118" s="21">
        <f t="shared" si="435"/>
        <v>-0.50524109014675056</v>
      </c>
      <c r="EL118" s="22">
        <f t="shared" si="435"/>
        <v>0.63265306122448983</v>
      </c>
      <c r="EM118" s="22">
        <f t="shared" si="435"/>
        <v>0.7</v>
      </c>
      <c r="EN118" s="22">
        <f t="shared" si="435"/>
        <v>0.25373134328358216</v>
      </c>
      <c r="EO118" s="1582">
        <f t="shared" ref="EO118" si="436">EO117/EJ117-1</f>
        <v>0.5714285714285714</v>
      </c>
      <c r="EP118" s="21">
        <f t="shared" ref="EP118:EQ118" si="437">EP117/EK117-1</f>
        <v>0.52118644067796605</v>
      </c>
      <c r="EQ118" s="1582">
        <f t="shared" si="437"/>
        <v>0.63749999999999996</v>
      </c>
      <c r="ER118" s="22">
        <f t="shared" ref="ER118" si="438">ER117/EM117-1</f>
        <v>0.88235294117647056</v>
      </c>
      <c r="ES118" s="22">
        <f t="shared" ref="ES118:EU118" si="439">ES117/EN117-1</f>
        <v>0.96428571428571419</v>
      </c>
      <c r="ET118" s="22">
        <f t="shared" si="439"/>
        <v>0.5</v>
      </c>
      <c r="EU118" s="270">
        <f t="shared" si="439"/>
        <v>0.72980501392757668</v>
      </c>
      <c r="EV118" s="243"/>
      <c r="EW118" s="243"/>
      <c r="EX118" s="243"/>
      <c r="EY118" s="243"/>
      <c r="EZ118" s="844">
        <f>EZ117/EU117-1</f>
        <v>1.9983888922551651E-2</v>
      </c>
      <c r="FA118" s="243"/>
      <c r="FB118" s="243"/>
      <c r="FC118" s="243"/>
      <c r="FD118" s="243"/>
      <c r="FE118" s="844">
        <f>FE117/EZ117-1</f>
        <v>2.369759935176341E-2</v>
      </c>
      <c r="FF118" s="791"/>
      <c r="FG118" s="654"/>
      <c r="FH118" s="1762"/>
      <c r="FI118" s="1073"/>
      <c r="FJ118" s="1073"/>
      <c r="FK118" s="1073"/>
      <c r="FL118" s="1806"/>
      <c r="FM118" s="22">
        <f t="shared" si="338"/>
        <v>0.63749999999999996</v>
      </c>
      <c r="FN118" s="22">
        <f t="shared" si="339"/>
        <v>0.63265306122448983</v>
      </c>
      <c r="FO118" s="2041">
        <v>0.9375</v>
      </c>
      <c r="FP118" s="1892">
        <f>IFERROR(($FM118-FN118)*10000,"")</f>
        <v>48.469387755101238</v>
      </c>
      <c r="FQ118" s="1892">
        <f>IFERROR(($FM118-FO118)*10000,"")</f>
        <v>-3000.0000000000005</v>
      </c>
      <c r="FR118" s="1427" t="s">
        <v>778</v>
      </c>
      <c r="FS118" s="1580"/>
      <c r="FT118" s="1580"/>
      <c r="FU118" s="120"/>
      <c r="FV118" s="120"/>
      <c r="FW118" s="120"/>
      <c r="FX118" s="120"/>
      <c r="FY118" s="120"/>
      <c r="FZ118" s="120"/>
      <c r="GA118" s="654"/>
      <c r="GB118"/>
      <c r="GC118"/>
      <c r="GD118"/>
      <c r="GE118"/>
      <c r="GF118"/>
      <c r="GG118"/>
      <c r="GH118" s="973"/>
      <c r="GI118" s="973"/>
      <c r="GJ118" s="973"/>
      <c r="GK118" s="973"/>
      <c r="GL118" s="973"/>
      <c r="GM118" s="973"/>
      <c r="GN118" s="973"/>
      <c r="GO118" s="973"/>
      <c r="GP118" s="973"/>
      <c r="GQ118" s="973"/>
      <c r="GR118" s="973"/>
      <c r="GS118" s="973"/>
      <c r="GT118" s="973"/>
      <c r="GU118" s="973"/>
      <c r="GV118" s="973"/>
      <c r="GW118" s="973"/>
      <c r="GX118" s="973"/>
      <c r="GY118" s="973"/>
      <c r="GZ118" s="973"/>
      <c r="HA118" s="973"/>
      <c r="HB118" s="973"/>
      <c r="HC118" s="973"/>
      <c r="HD118" s="973"/>
      <c r="HE118" s="973"/>
      <c r="HF118" s="973"/>
      <c r="HG118" s="973"/>
      <c r="HH118" s="973"/>
      <c r="HI118" s="973"/>
      <c r="HJ118" s="973"/>
      <c r="HK118" s="973"/>
      <c r="HL118" s="973"/>
      <c r="HM118" s="973"/>
      <c r="HN118" s="973"/>
      <c r="HO118" s="973"/>
      <c r="HP118" s="973"/>
      <c r="HQ118" s="973"/>
      <c r="HR118" s="973"/>
      <c r="HS118" s="973"/>
      <c r="HT118" s="973"/>
      <c r="HU118" s="973"/>
      <c r="HV118" s="973"/>
      <c r="HW118" s="973"/>
      <c r="HX118" s="973"/>
      <c r="HY118" s="973"/>
      <c r="HZ118" s="973"/>
      <c r="IA118" s="973"/>
      <c r="IB118" s="973"/>
      <c r="IC118" s="973"/>
      <c r="ID118" s="973"/>
      <c r="IE118" s="973"/>
      <c r="IF118" s="973"/>
      <c r="IG118" s="973"/>
      <c r="IH118" s="973"/>
      <c r="II118" s="973"/>
      <c r="IJ118" s="973"/>
      <c r="IK118" s="973"/>
      <c r="IL118" s="973"/>
      <c r="IM118" s="973"/>
      <c r="IN118" s="973"/>
      <c r="IO118" s="973"/>
      <c r="IP118" s="973"/>
      <c r="IQ118" s="973"/>
      <c r="IR118" s="973"/>
      <c r="IS118" s="973"/>
      <c r="IT118" s="973"/>
      <c r="IU118" s="973"/>
      <c r="IV118" s="973"/>
    </row>
    <row r="119" spans="1:256" s="51" customFormat="1" ht="12.75" x14ac:dyDescent="0.2">
      <c r="A119" s="1122" t="s">
        <v>463</v>
      </c>
      <c r="B119" s="1123"/>
      <c r="C119" s="1123"/>
      <c r="D119" s="1123"/>
      <c r="E119" s="1124"/>
      <c r="F119" s="1125"/>
      <c r="G119" s="1123"/>
      <c r="H119" s="1123"/>
      <c r="I119" s="1123"/>
      <c r="J119" s="1124"/>
      <c r="K119" s="1125"/>
      <c r="L119" s="1123"/>
      <c r="M119" s="1123"/>
      <c r="N119" s="1123"/>
      <c r="O119" s="1124"/>
      <c r="P119" s="1125"/>
      <c r="Q119" s="1123"/>
      <c r="R119" s="1123"/>
      <c r="S119" s="1123"/>
      <c r="T119" s="1124"/>
      <c r="U119" s="1125"/>
      <c r="V119" s="1123"/>
      <c r="W119" s="1123"/>
      <c r="X119" s="1123"/>
      <c r="Y119" s="1124"/>
      <c r="Z119" s="1125"/>
      <c r="AA119" s="1123"/>
      <c r="AB119" s="1123"/>
      <c r="AC119" s="1123"/>
      <c r="AD119" s="1124"/>
      <c r="AE119" s="1125"/>
      <c r="AF119" s="1123"/>
      <c r="AG119" s="1123"/>
      <c r="AH119" s="1123"/>
      <c r="AI119" s="1124"/>
      <c r="AJ119" s="1125"/>
      <c r="AK119" s="1123"/>
      <c r="AL119" s="1123"/>
      <c r="AM119" s="1123"/>
      <c r="AN119" s="1124"/>
      <c r="AO119" s="1125"/>
      <c r="AP119" s="1123"/>
      <c r="AQ119" s="1123"/>
      <c r="AR119" s="1123"/>
      <c r="AS119" s="1124"/>
      <c r="AT119" s="1125"/>
      <c r="AU119" s="1123"/>
      <c r="AV119" s="1123"/>
      <c r="AW119" s="1123"/>
      <c r="AX119" s="1124"/>
      <c r="AY119" s="1125"/>
      <c r="AZ119" s="1123"/>
      <c r="BA119" s="1123"/>
      <c r="BB119" s="1123"/>
      <c r="BC119" s="1124"/>
      <c r="BD119" s="1125"/>
      <c r="BE119" s="1123"/>
      <c r="BF119" s="1123"/>
      <c r="BG119" s="1123"/>
      <c r="BH119" s="1124"/>
      <c r="BI119" s="1125"/>
      <c r="BJ119" s="1123"/>
      <c r="BK119" s="1123"/>
      <c r="BL119" s="1123"/>
      <c r="BM119" s="1124"/>
      <c r="BN119" s="1125"/>
      <c r="BO119" s="1123"/>
      <c r="BP119" s="1123"/>
      <c r="BQ119" s="1123"/>
      <c r="BR119" s="1124"/>
      <c r="BS119" s="1125"/>
      <c r="BT119" s="1123"/>
      <c r="BU119" s="1123"/>
      <c r="BV119" s="1123"/>
      <c r="BW119" s="1124"/>
      <c r="BX119" s="1125"/>
      <c r="BY119" s="1123"/>
      <c r="BZ119" s="1123"/>
      <c r="CA119" s="1123"/>
      <c r="CB119" s="1124"/>
      <c r="CC119" s="1125"/>
      <c r="CD119" s="1123"/>
      <c r="CE119" s="1123"/>
      <c r="CF119" s="1123"/>
      <c r="CG119" s="1124"/>
      <c r="CH119" s="1125"/>
      <c r="CI119" s="1123"/>
      <c r="CJ119" s="1123"/>
      <c r="CK119" s="1123"/>
      <c r="CL119" s="1124"/>
      <c r="CM119" s="1125"/>
      <c r="CN119" s="1123"/>
      <c r="CO119" s="1123"/>
      <c r="CP119" s="1123"/>
      <c r="CQ119" s="1124"/>
      <c r="CR119" s="1125"/>
      <c r="CS119" s="1123"/>
      <c r="CT119" s="1123"/>
      <c r="CU119" s="1123"/>
      <c r="CV119" s="1124"/>
      <c r="CW119" s="1125"/>
      <c r="CX119" s="1123"/>
      <c r="CY119" s="1123"/>
      <c r="CZ119" s="1123"/>
      <c r="DA119" s="1123"/>
      <c r="DB119" s="1125"/>
      <c r="DC119" s="1123"/>
      <c r="DD119" s="1123"/>
      <c r="DE119" s="1123"/>
      <c r="DF119" s="1123"/>
      <c r="DG119" s="1125"/>
      <c r="DH119" s="1126"/>
      <c r="DI119" s="1126"/>
      <c r="DJ119" s="1123"/>
      <c r="DK119" s="1123"/>
      <c r="DL119" s="1125"/>
      <c r="DM119" s="1126"/>
      <c r="DN119" s="1126"/>
      <c r="DO119" s="1123"/>
      <c r="DP119" s="1123"/>
      <c r="DQ119" s="1125"/>
      <c r="DR119" s="1126"/>
      <c r="DS119" s="1126"/>
      <c r="DT119" s="1126"/>
      <c r="DU119" s="1123"/>
      <c r="DV119" s="1125"/>
      <c r="DW119" s="1126"/>
      <c r="DX119" s="1126"/>
      <c r="DY119" s="1126"/>
      <c r="DZ119" s="1123"/>
      <c r="EA119" s="1125"/>
      <c r="EB119" s="1617">
        <f t="shared" ref="EB119:EG119" si="440">EB120-EB121</f>
        <v>1.0416968258031456E-2</v>
      </c>
      <c r="EC119" s="1617">
        <f t="shared" si="440"/>
        <v>6.0312502224067477E-3</v>
      </c>
      <c r="ED119" s="1617">
        <f t="shared" si="440"/>
        <v>-6.9506923076922897E-3</v>
      </c>
      <c r="EE119" s="1907">
        <f t="shared" si="440"/>
        <v>5.4838944044461185E-3</v>
      </c>
      <c r="EF119" s="1908">
        <f t="shared" si="440"/>
        <v>3.5832156973980706E-3</v>
      </c>
      <c r="EG119" s="1617">
        <f t="shared" si="440"/>
        <v>7.2632316452000169E-3</v>
      </c>
      <c r="EH119" s="1617">
        <f t="shared" ref="EH119:ER119" si="441">EH120-EH121</f>
        <v>8.9783611928836611E-3</v>
      </c>
      <c r="EI119" s="1617">
        <f t="shared" si="441"/>
        <v>-4.5451265771265827E-3</v>
      </c>
      <c r="EJ119" s="1907">
        <f t="shared" si="441"/>
        <v>-2.3068417037507977E-3</v>
      </c>
      <c r="EK119" s="1908">
        <f t="shared" si="441"/>
        <v>2.3833717762759415E-3</v>
      </c>
      <c r="EL119" s="1617">
        <f t="shared" si="441"/>
        <v>-5.7701025127177633E-3</v>
      </c>
      <c r="EM119" s="1617">
        <f t="shared" ref="EM119:EQ119" si="442">EM120-EM121</f>
        <v>-7.0233284301904828E-3</v>
      </c>
      <c r="EN119" s="1617">
        <f t="shared" si="442"/>
        <v>8.7890630019632487E-4</v>
      </c>
      <c r="EO119" s="1907">
        <f t="shared" si="442"/>
        <v>5.7768489193495073E-3</v>
      </c>
      <c r="EP119" s="1908">
        <f t="shared" si="442"/>
        <v>-1.5205835949764351E-3</v>
      </c>
      <c r="EQ119" s="1907">
        <f t="shared" si="442"/>
        <v>-4.503383306561963E-3</v>
      </c>
      <c r="ER119" s="1617">
        <f t="shared" si="441"/>
        <v>-3.9655473983347539E-3</v>
      </c>
      <c r="ES119" s="1617">
        <f t="shared" ref="ES119:EU119" si="443">ES120-ES121</f>
        <v>-9.8613465591587887E-3</v>
      </c>
      <c r="ET119" s="1617">
        <f t="shared" si="443"/>
        <v>-8.6773416768914924E-3</v>
      </c>
      <c r="EU119" s="1909">
        <f t="shared" si="443"/>
        <v>-6.6964970152302364E-3</v>
      </c>
      <c r="EV119" s="1910"/>
      <c r="EW119" s="1910"/>
      <c r="EX119" s="1910"/>
      <c r="EY119" s="1910"/>
      <c r="EZ119" s="1909">
        <f>EZ120-EZ121</f>
        <v>-1.3531285158586558E-2</v>
      </c>
      <c r="FA119" s="1910"/>
      <c r="FB119" s="1910"/>
      <c r="FC119" s="1910"/>
      <c r="FD119" s="1910"/>
      <c r="FE119" s="1909">
        <f>FE120-FE121</f>
        <v>-1.4362855613197174E-2</v>
      </c>
      <c r="FF119" s="757"/>
      <c r="FG119" s="654"/>
      <c r="FH119" s="1026"/>
      <c r="FI119" s="1026"/>
      <c r="FJ119" s="1026"/>
      <c r="FK119" s="1026"/>
      <c r="FL119" s="1807"/>
      <c r="FM119" s="1617"/>
      <c r="FN119" s="1617"/>
      <c r="FO119" s="1617">
        <v>2.6411473359544066E-3</v>
      </c>
      <c r="FP119" s="1617"/>
      <c r="FQ119" s="1617"/>
      <c r="FR119" s="571"/>
      <c r="FS119" s="567"/>
      <c r="FT119" s="567"/>
      <c r="FU119" s="571"/>
      <c r="FV119" s="571"/>
      <c r="FW119" s="571"/>
      <c r="FX119" s="571"/>
      <c r="FY119" s="571"/>
      <c r="FZ119" s="571"/>
      <c r="GA119" s="654"/>
      <c r="GB119"/>
      <c r="GC119"/>
      <c r="GD119"/>
      <c r="GE119"/>
      <c r="GF119"/>
      <c r="GG119"/>
      <c r="GH119" s="957"/>
      <c r="GI119" s="957"/>
      <c r="GJ119" s="957"/>
      <c r="GK119" s="957"/>
      <c r="GL119" s="957"/>
      <c r="GM119" s="957"/>
      <c r="GN119" s="957"/>
      <c r="GO119" s="957"/>
      <c r="GP119" s="957"/>
      <c r="GQ119" s="957"/>
      <c r="GR119" s="957"/>
      <c r="GS119" s="957"/>
      <c r="GT119" s="957"/>
      <c r="GU119" s="957"/>
      <c r="GV119" s="957"/>
      <c r="GW119" s="957"/>
      <c r="GX119" s="957"/>
      <c r="GY119" s="957"/>
      <c r="GZ119" s="957"/>
      <c r="HA119" s="957"/>
      <c r="HB119" s="957"/>
      <c r="HC119" s="957"/>
      <c r="HD119" s="957"/>
      <c r="HE119" s="957"/>
      <c r="HF119" s="957"/>
      <c r="HG119" s="957"/>
      <c r="HH119" s="957"/>
      <c r="HI119" s="957"/>
      <c r="HJ119" s="957"/>
      <c r="HK119" s="957"/>
      <c r="HL119" s="957"/>
      <c r="HM119" s="957"/>
      <c r="HN119" s="957"/>
      <c r="HO119" s="957"/>
      <c r="HP119" s="957"/>
      <c r="HQ119" s="957"/>
      <c r="HR119" s="957"/>
      <c r="HS119" s="957"/>
      <c r="HT119" s="957"/>
      <c r="HU119" s="957"/>
      <c r="HV119" s="957"/>
      <c r="HW119" s="957"/>
      <c r="HX119" s="957"/>
      <c r="HY119" s="957"/>
      <c r="HZ119" s="957"/>
      <c r="IA119" s="957"/>
      <c r="IB119" s="957"/>
      <c r="IC119" s="957"/>
      <c r="ID119" s="957"/>
      <c r="IE119" s="957"/>
      <c r="IF119" s="957"/>
      <c r="IG119" s="957"/>
      <c r="IH119" s="957"/>
      <c r="II119" s="957"/>
      <c r="IJ119" s="957"/>
      <c r="IK119" s="957"/>
      <c r="IL119" s="957"/>
      <c r="IM119" s="957"/>
      <c r="IN119" s="957"/>
      <c r="IO119" s="957"/>
      <c r="IP119" s="957"/>
      <c r="IQ119" s="957"/>
      <c r="IR119" s="957"/>
      <c r="IS119" s="957"/>
      <c r="IT119" s="957"/>
      <c r="IU119" s="957"/>
      <c r="IV119" s="957"/>
    </row>
    <row r="120" spans="1:256" s="669" customFormat="1" ht="12.75" x14ac:dyDescent="0.2">
      <c r="A120" s="521" t="s">
        <v>63</v>
      </c>
      <c r="B120" s="666"/>
      <c r="C120" s="666"/>
      <c r="D120" s="666"/>
      <c r="E120" s="667"/>
      <c r="F120" s="21"/>
      <c r="G120" s="666"/>
      <c r="H120" s="666"/>
      <c r="I120" s="666"/>
      <c r="J120" s="667"/>
      <c r="K120" s="21"/>
      <c r="L120" s="666"/>
      <c r="M120" s="666"/>
      <c r="N120" s="666"/>
      <c r="O120" s="667"/>
      <c r="P120" s="21"/>
      <c r="Q120" s="666"/>
      <c r="R120" s="666"/>
      <c r="S120" s="666"/>
      <c r="T120" s="667"/>
      <c r="U120" s="21"/>
      <c r="V120" s="666"/>
      <c r="W120" s="666"/>
      <c r="X120" s="666"/>
      <c r="Y120" s="667"/>
      <c r="Z120" s="21"/>
      <c r="AA120" s="666"/>
      <c r="AB120" s="666"/>
      <c r="AC120" s="666"/>
      <c r="AD120" s="667"/>
      <c r="AE120" s="21"/>
      <c r="AF120" s="666"/>
      <c r="AG120" s="666"/>
      <c r="AH120" s="666"/>
      <c r="AI120" s="667"/>
      <c r="AJ120" s="21"/>
      <c r="AK120" s="666"/>
      <c r="AL120" s="666"/>
      <c r="AM120" s="666"/>
      <c r="AN120" s="667"/>
      <c r="AO120" s="21"/>
      <c r="AP120" s="666"/>
      <c r="AQ120" s="666"/>
      <c r="AR120" s="666"/>
      <c r="AS120" s="667"/>
      <c r="AT120" s="21"/>
      <c r="AU120" s="666"/>
      <c r="AV120" s="666"/>
      <c r="AW120" s="666"/>
      <c r="AX120" s="667"/>
      <c r="AY120" s="21"/>
      <c r="AZ120" s="666"/>
      <c r="BA120" s="666"/>
      <c r="BB120" s="666"/>
      <c r="BC120" s="667"/>
      <c r="BD120" s="21"/>
      <c r="BE120" s="666"/>
      <c r="BF120" s="666"/>
      <c r="BG120" s="666"/>
      <c r="BH120" s="667"/>
      <c r="BI120" s="21"/>
      <c r="BJ120" s="666"/>
      <c r="BK120" s="666"/>
      <c r="BL120" s="666"/>
      <c r="BM120" s="667"/>
      <c r="BN120" s="21"/>
      <c r="BO120" s="666"/>
      <c r="BP120" s="666"/>
      <c r="BQ120" s="666"/>
      <c r="BR120" s="667"/>
      <c r="BS120" s="21"/>
      <c r="BT120" s="666"/>
      <c r="BU120" s="666"/>
      <c r="BV120" s="666"/>
      <c r="BW120" s="667"/>
      <c r="BX120" s="21"/>
      <c r="BY120" s="666"/>
      <c r="BZ120" s="666"/>
      <c r="CA120" s="666"/>
      <c r="CB120" s="667"/>
      <c r="CC120" s="21"/>
      <c r="CD120" s="666"/>
      <c r="CE120" s="666"/>
      <c r="CF120" s="666"/>
      <c r="CG120" s="667"/>
      <c r="CH120" s="21"/>
      <c r="CI120" s="666">
        <f t="shared" ref="CI120:DN120" si="444">CI117/(CI103-CI117)</f>
        <v>6.537474003099368E-2</v>
      </c>
      <c r="CJ120" s="666">
        <f t="shared" si="444"/>
        <v>7.4721143940095228E-2</v>
      </c>
      <c r="CK120" s="666">
        <f t="shared" si="444"/>
        <v>0.10607537945295954</v>
      </c>
      <c r="CL120" s="667">
        <f t="shared" si="444"/>
        <v>9.3417779789383787E-2</v>
      </c>
      <c r="CM120" s="21">
        <f t="shared" si="444"/>
        <v>8.4786502932631971E-2</v>
      </c>
      <c r="CN120" s="666">
        <f t="shared" si="444"/>
        <v>7.2408191650532402E-2</v>
      </c>
      <c r="CO120" s="666">
        <f t="shared" si="444"/>
        <v>8.1903723106607151E-2</v>
      </c>
      <c r="CP120" s="666">
        <f t="shared" si="444"/>
        <v>9.8963699184296219E-2</v>
      </c>
      <c r="CQ120" s="667">
        <f t="shared" si="444"/>
        <v>0.10976698963267797</v>
      </c>
      <c r="CR120" s="21">
        <f t="shared" si="444"/>
        <v>9.0953916720258154E-2</v>
      </c>
      <c r="CS120" s="666">
        <f t="shared" si="444"/>
        <v>0.14645346912233945</v>
      </c>
      <c r="CT120" s="666">
        <f t="shared" si="444"/>
        <v>0.17437492673429481</v>
      </c>
      <c r="CU120" s="666">
        <f t="shared" si="444"/>
        <v>0.22750024706941743</v>
      </c>
      <c r="CV120" s="667">
        <f t="shared" si="444"/>
        <v>0.16842670083839986</v>
      </c>
      <c r="CW120" s="21">
        <f t="shared" si="444"/>
        <v>0.18008957213036</v>
      </c>
      <c r="CX120" s="666">
        <f t="shared" si="444"/>
        <v>5.0739411218197958E-2</v>
      </c>
      <c r="CY120" s="666">
        <f t="shared" si="444"/>
        <v>3.4806730200196374E-2</v>
      </c>
      <c r="CZ120" s="666">
        <f t="shared" si="444"/>
        <v>5.0395031015420901E-2</v>
      </c>
      <c r="DA120" s="666">
        <f t="shared" si="444"/>
        <v>5.8110142935305996E-2</v>
      </c>
      <c r="DB120" s="21">
        <f t="shared" si="444"/>
        <v>4.8818148173300699E-2</v>
      </c>
      <c r="DC120" s="666">
        <f t="shared" si="444"/>
        <v>7.6388989088936279E-2</v>
      </c>
      <c r="DD120" s="666">
        <f t="shared" si="444"/>
        <v>8.9423269184385104E-2</v>
      </c>
      <c r="DE120" s="666">
        <f t="shared" si="444"/>
        <v>7.8612209046991649E-2</v>
      </c>
      <c r="DF120" s="666">
        <f t="shared" si="444"/>
        <v>8.4812134343125511E-2</v>
      </c>
      <c r="DG120" s="21">
        <f t="shared" si="444"/>
        <v>8.2384232821781728E-2</v>
      </c>
      <c r="DH120" s="666">
        <f t="shared" si="444"/>
        <v>0.10501897933361451</v>
      </c>
      <c r="DI120" s="22">
        <f t="shared" si="444"/>
        <v>0.144322825207683</v>
      </c>
      <c r="DJ120" s="666">
        <f t="shared" si="444"/>
        <v>0.14144606874753063</v>
      </c>
      <c r="DK120" s="666">
        <f t="shared" si="444"/>
        <v>0.11434262948207172</v>
      </c>
      <c r="DL120" s="21">
        <f t="shared" si="444"/>
        <v>0.12660285272945054</v>
      </c>
      <c r="DM120" s="666">
        <f t="shared" si="444"/>
        <v>0.13189935064935066</v>
      </c>
      <c r="DN120" s="22">
        <f t="shared" si="444"/>
        <v>0.14547628537265844</v>
      </c>
      <c r="DO120" s="666">
        <f t="shared" ref="DO120:ER120" si="445">DO117/(DO103-DO117)</f>
        <v>0.11882010801828001</v>
      </c>
      <c r="DP120" s="666">
        <f t="shared" si="445"/>
        <v>0.12678421494542402</v>
      </c>
      <c r="DQ120" s="21">
        <f t="shared" si="445"/>
        <v>0.13091579594345421</v>
      </c>
      <c r="DR120" s="666">
        <f t="shared" si="445"/>
        <v>0.1112012987012987</v>
      </c>
      <c r="DS120" s="22">
        <f t="shared" si="445"/>
        <v>0.12259615384615384</v>
      </c>
      <c r="DT120" s="22">
        <f t="shared" si="445"/>
        <v>0.12824610467439074</v>
      </c>
      <c r="DU120" s="666">
        <f t="shared" si="445"/>
        <v>0.13963607594936708</v>
      </c>
      <c r="DV120" s="21">
        <f t="shared" si="445"/>
        <v>0.12551296166549894</v>
      </c>
      <c r="DW120" s="666">
        <f t="shared" si="445"/>
        <v>0.12322472848788638</v>
      </c>
      <c r="DX120" s="22">
        <f t="shared" si="445"/>
        <v>0.13338301043219075</v>
      </c>
      <c r="DY120" s="22">
        <f t="shared" si="445"/>
        <v>0.13860640301318267</v>
      </c>
      <c r="DZ120" s="666">
        <f t="shared" si="445"/>
        <v>0.12021857923497267</v>
      </c>
      <c r="EA120" s="21">
        <f t="shared" si="445"/>
        <v>0.12909179213210295</v>
      </c>
      <c r="EB120" s="666">
        <f t="shared" si="445"/>
        <v>6.7803660565723789E-2</v>
      </c>
      <c r="EC120" s="22">
        <f t="shared" si="445"/>
        <v>4.5875096376252894E-2</v>
      </c>
      <c r="ED120" s="22">
        <f t="shared" si="445"/>
        <v>4.3461538461538461E-2</v>
      </c>
      <c r="EE120" s="1619">
        <f t="shared" si="445"/>
        <v>3.3661740558292283E-2</v>
      </c>
      <c r="EF120" s="21">
        <f t="shared" si="445"/>
        <v>4.7538369543551923E-2</v>
      </c>
      <c r="EG120" s="666">
        <f t="shared" si="445"/>
        <v>2.0666385491353859E-2</v>
      </c>
      <c r="EH120" s="22">
        <f t="shared" si="445"/>
        <v>2.0798668885191347E-2</v>
      </c>
      <c r="EI120" s="22">
        <f t="shared" si="445"/>
        <v>2.726902726902727E-2</v>
      </c>
      <c r="EJ120" s="1619">
        <f t="shared" si="445"/>
        <v>2.8925619834710745E-2</v>
      </c>
      <c r="EK120" s="21">
        <f t="shared" si="445"/>
        <v>2.4450891007045172E-2</v>
      </c>
      <c r="EL120" s="666">
        <f>EL117/(EL103-EL117)</f>
        <v>3.2064128256513023E-2</v>
      </c>
      <c r="EM120" s="22">
        <f t="shared" ref="EM120:EP120" si="446">EM117/(EM103-EM117)</f>
        <v>3.3307210031347963E-2</v>
      </c>
      <c r="EN120" s="22">
        <f t="shared" si="446"/>
        <v>3.248259860788863E-2</v>
      </c>
      <c r="EO120" s="1619">
        <f t="shared" si="446"/>
        <v>4.2985541227041811E-2</v>
      </c>
      <c r="EP120" s="21">
        <f t="shared" si="446"/>
        <v>3.5223704866562011E-2</v>
      </c>
      <c r="EQ120" s="1619">
        <f>EQ117/(EQ103-EQ117)</f>
        <v>5.0657385924207272E-2</v>
      </c>
      <c r="ER120" s="22">
        <f t="shared" si="445"/>
        <v>6.0041914140126787E-2</v>
      </c>
      <c r="ES120" s="22">
        <f t="shared" ref="ES120:EU120" si="447">ES117/(ES103-ES117)</f>
        <v>6.1383653440841172E-2</v>
      </c>
      <c r="ET120" s="22">
        <f t="shared" si="447"/>
        <v>6.2567658323108469E-2</v>
      </c>
      <c r="EU120" s="270">
        <f t="shared" si="447"/>
        <v>5.8718060677077445E-2</v>
      </c>
      <c r="EV120" s="668"/>
      <c r="EW120" s="668"/>
      <c r="EX120" s="668"/>
      <c r="EY120" s="668"/>
      <c r="EZ120" s="844">
        <f>EZ117/(EZ103-EZ117)</f>
        <v>5.7713714841413404E-2</v>
      </c>
      <c r="FA120" s="668"/>
      <c r="FB120" s="668"/>
      <c r="FC120" s="668"/>
      <c r="FD120" s="668"/>
      <c r="FE120" s="844">
        <f>FE117/(FE103-FE117)</f>
        <v>5.6882144386802787E-2</v>
      </c>
      <c r="FF120" s="774"/>
      <c r="FG120" s="618"/>
      <c r="FH120" s="1065"/>
      <c r="FI120" s="1065"/>
      <c r="FJ120" s="1065"/>
      <c r="FK120" s="1065"/>
      <c r="FL120" s="1818"/>
      <c r="FM120" s="22">
        <f t="shared" ref="FM120:FM136" si="448">EQ120</f>
        <v>5.0657385924207272E-2</v>
      </c>
      <c r="FN120" s="22">
        <f t="shared" ref="FN120:FN136" si="449">EL120</f>
        <v>3.2064128256513023E-2</v>
      </c>
      <c r="FO120" s="2041">
        <v>6.161037810518518E-2</v>
      </c>
      <c r="FP120" s="1892">
        <f>IFERROR(($FM120-FN120)*10000,"")</f>
        <v>185.93257667694249</v>
      </c>
      <c r="FQ120" s="1892">
        <f>IFERROR(($FM120-FO120)*10000,"")</f>
        <v>-109.52992180977908</v>
      </c>
      <c r="FR120" s="1580"/>
      <c r="FS120" s="670"/>
      <c r="FT120" s="670"/>
      <c r="FU120" s="670"/>
      <c r="FV120" s="670"/>
      <c r="FW120" s="670"/>
      <c r="FX120" s="670"/>
      <c r="FY120" s="670"/>
      <c r="FZ120" s="670"/>
      <c r="GA120" s="618"/>
      <c r="GB120"/>
      <c r="GC120"/>
      <c r="GD120"/>
      <c r="GE120"/>
      <c r="GF120"/>
      <c r="GG120"/>
      <c r="GH120" s="968"/>
      <c r="GI120" s="968"/>
      <c r="GJ120" s="968"/>
      <c r="GK120" s="968"/>
      <c r="GL120" s="968"/>
      <c r="GM120" s="968"/>
      <c r="GN120" s="968"/>
      <c r="GO120" s="968"/>
      <c r="GP120" s="968"/>
      <c r="GQ120" s="968"/>
      <c r="GR120" s="968"/>
      <c r="GS120" s="968"/>
      <c r="GT120" s="968"/>
      <c r="GU120" s="968"/>
      <c r="GV120" s="968"/>
      <c r="GW120" s="968"/>
      <c r="GX120" s="968"/>
      <c r="GY120" s="968"/>
      <c r="GZ120" s="968"/>
      <c r="HA120" s="968"/>
      <c r="HB120" s="968"/>
      <c r="HC120" s="968"/>
      <c r="HD120" s="968"/>
      <c r="HE120" s="968"/>
      <c r="HF120" s="968"/>
      <c r="HG120" s="968"/>
      <c r="HH120" s="968"/>
      <c r="HI120" s="968"/>
      <c r="HJ120" s="968"/>
      <c r="HK120" s="968"/>
      <c r="HL120" s="968"/>
      <c r="HM120" s="968"/>
      <c r="HN120" s="968"/>
      <c r="HO120" s="968"/>
      <c r="HP120" s="968"/>
      <c r="HQ120" s="968"/>
      <c r="HR120" s="968"/>
      <c r="HS120" s="968"/>
      <c r="HT120" s="968"/>
      <c r="HU120" s="968"/>
      <c r="HV120" s="968"/>
      <c r="HW120" s="968"/>
      <c r="HX120" s="968"/>
      <c r="HY120" s="968"/>
      <c r="HZ120" s="968"/>
      <c r="IA120" s="968"/>
      <c r="IB120" s="968"/>
      <c r="IC120" s="968"/>
      <c r="ID120" s="968"/>
      <c r="IE120" s="968"/>
      <c r="IF120" s="968"/>
      <c r="IG120" s="968"/>
      <c r="IH120" s="968"/>
      <c r="II120" s="968"/>
      <c r="IJ120" s="968"/>
      <c r="IK120" s="968"/>
      <c r="IL120" s="968"/>
      <c r="IM120" s="968"/>
      <c r="IN120" s="968"/>
      <c r="IO120" s="968"/>
      <c r="IP120" s="968"/>
      <c r="IQ120" s="968"/>
      <c r="IR120" s="968"/>
      <c r="IS120" s="968"/>
      <c r="IT120" s="968"/>
      <c r="IU120" s="968"/>
      <c r="IV120" s="968"/>
    </row>
    <row r="121" spans="1:256" s="669" customFormat="1" ht="12.75" x14ac:dyDescent="0.2">
      <c r="A121" s="521" t="s">
        <v>114</v>
      </c>
      <c r="B121" s="666"/>
      <c r="C121" s="666"/>
      <c r="D121" s="666"/>
      <c r="E121" s="667"/>
      <c r="F121" s="21"/>
      <c r="G121" s="666"/>
      <c r="H121" s="666"/>
      <c r="I121" s="666"/>
      <c r="J121" s="667"/>
      <c r="K121" s="21"/>
      <c r="L121" s="666"/>
      <c r="M121" s="666"/>
      <c r="N121" s="666"/>
      <c r="O121" s="667"/>
      <c r="P121" s="21"/>
      <c r="Q121" s="666"/>
      <c r="R121" s="666"/>
      <c r="S121" s="666"/>
      <c r="T121" s="667"/>
      <c r="U121" s="21"/>
      <c r="V121" s="666"/>
      <c r="W121" s="666"/>
      <c r="X121" s="666"/>
      <c r="Y121" s="667"/>
      <c r="Z121" s="21"/>
      <c r="AA121" s="666"/>
      <c r="AB121" s="666"/>
      <c r="AC121" s="666"/>
      <c r="AD121" s="667"/>
      <c r="AE121" s="21"/>
      <c r="AF121" s="666"/>
      <c r="AG121" s="666"/>
      <c r="AH121" s="666"/>
      <c r="AI121" s="667"/>
      <c r="AJ121" s="21"/>
      <c r="AK121" s="666"/>
      <c r="AL121" s="666"/>
      <c r="AM121" s="666"/>
      <c r="AN121" s="667"/>
      <c r="AO121" s="21"/>
      <c r="AP121" s="666"/>
      <c r="AQ121" s="666"/>
      <c r="AR121" s="666"/>
      <c r="AS121" s="667"/>
      <c r="AT121" s="21"/>
      <c r="AU121" s="666"/>
      <c r="AV121" s="666"/>
      <c r="AW121" s="666"/>
      <c r="AX121" s="667"/>
      <c r="AY121" s="21"/>
      <c r="AZ121" s="666"/>
      <c r="BA121" s="666"/>
      <c r="BB121" s="666"/>
      <c r="BC121" s="667"/>
      <c r="BD121" s="21"/>
      <c r="BE121" s="666"/>
      <c r="BF121" s="666"/>
      <c r="BG121" s="666"/>
      <c r="BH121" s="667"/>
      <c r="BI121" s="21"/>
      <c r="BJ121" s="666"/>
      <c r="BK121" s="666"/>
      <c r="BL121" s="666"/>
      <c r="BM121" s="667"/>
      <c r="BN121" s="21"/>
      <c r="BO121" s="666"/>
      <c r="BP121" s="666"/>
      <c r="BQ121" s="666"/>
      <c r="BR121" s="667"/>
      <c r="BS121" s="21"/>
      <c r="BT121" s="666"/>
      <c r="BU121" s="666"/>
      <c r="BV121" s="666"/>
      <c r="BW121" s="667"/>
      <c r="BX121" s="21"/>
      <c r="BY121" s="666"/>
      <c r="BZ121" s="666"/>
      <c r="CA121" s="666"/>
      <c r="CB121" s="667"/>
      <c r="CC121" s="21"/>
      <c r="CD121" s="666"/>
      <c r="CE121" s="666"/>
      <c r="CF121" s="666"/>
      <c r="CG121" s="667"/>
      <c r="CH121" s="21"/>
      <c r="CI121" s="666"/>
      <c r="CJ121" s="666"/>
      <c r="CK121" s="666"/>
      <c r="CL121" s="667"/>
      <c r="CM121" s="21"/>
      <c r="CN121" s="666"/>
      <c r="CO121" s="666"/>
      <c r="CP121" s="666"/>
      <c r="CQ121" s="667"/>
      <c r="CR121" s="21"/>
      <c r="CS121" s="666"/>
      <c r="CT121" s="666"/>
      <c r="CU121" s="666"/>
      <c r="CV121" s="667"/>
      <c r="CW121" s="21"/>
      <c r="CX121" s="666"/>
      <c r="CY121" s="666"/>
      <c r="CZ121" s="666"/>
      <c r="DA121" s="666"/>
      <c r="DB121" s="21"/>
      <c r="DC121" s="22">
        <f>+DC122*0.0021-0.0625</f>
        <v>9.8809076923076888E-2</v>
      </c>
      <c r="DD121" s="22">
        <f>+DD122*0.0021-0.0625</f>
        <v>0.10712992307692307</v>
      </c>
      <c r="DE121" s="22">
        <f>+DE122*0.0021-0.0625</f>
        <v>9.5237461538461521E-2</v>
      </c>
      <c r="DF121" s="22">
        <f>+DF122*0.0021-0.0625</f>
        <v>0.10097207692307689</v>
      </c>
      <c r="DG121" s="21"/>
      <c r="DH121" s="22">
        <f>+DH122*0.0021-0.0625</f>
        <v>0.12115630769230765</v>
      </c>
      <c r="DI121" s="22">
        <f>+DI122*0.0021-0.0625</f>
        <v>0.14862107692307686</v>
      </c>
      <c r="DJ121" s="22">
        <f>+DJ122*0.0021-0.0625</f>
        <v>0.14365053846153847</v>
      </c>
      <c r="DK121" s="22">
        <f>+DK122*0.0021-0.0625</f>
        <v>0.11806607692307688</v>
      </c>
      <c r="DL121" s="21"/>
      <c r="DM121" s="22">
        <f>+DM122*0.0021-0.0625</f>
        <v>0.14461492307692306</v>
      </c>
      <c r="DN121" s="22">
        <f>+DN122*0.0021-0.0625</f>
        <v>0.15554300000000001</v>
      </c>
      <c r="DO121" s="22">
        <f>+DO122*0.0021-0.0625</f>
        <v>0.12347600000000003</v>
      </c>
      <c r="DP121" s="22">
        <f>+DP122*0.0021-0.0625</f>
        <v>0.13248176923076921</v>
      </c>
      <c r="DQ121" s="21"/>
      <c r="DR121" s="22">
        <f t="shared" ref="DR121:EP121" si="450">+DR122*0.0019 - 0.0571</f>
        <v>0.11238292307692312</v>
      </c>
      <c r="DS121" s="22">
        <f t="shared" si="450"/>
        <v>0.12081161538461539</v>
      </c>
      <c r="DT121" s="22">
        <f t="shared" si="450"/>
        <v>0.12897869230769232</v>
      </c>
      <c r="DU121" s="22">
        <f t="shared" si="450"/>
        <v>0.1410157142857143</v>
      </c>
      <c r="DV121" s="21">
        <f t="shared" si="450"/>
        <v>0.12579723626373629</v>
      </c>
      <c r="DW121" s="22">
        <f t="shared" si="450"/>
        <v>0.12397633333333331</v>
      </c>
      <c r="DX121" s="22">
        <f t="shared" si="450"/>
        <v>0.13483946153846149</v>
      </c>
      <c r="DY121" s="22">
        <f t="shared" si="450"/>
        <v>0.13986078571428573</v>
      </c>
      <c r="DZ121" s="22">
        <f t="shared" si="450"/>
        <v>0.11600315384615383</v>
      </c>
      <c r="EA121" s="21">
        <f t="shared" si="450"/>
        <v>0.12866993360805862</v>
      </c>
      <c r="EB121" s="1582">
        <f t="shared" si="450"/>
        <v>5.7386692307692333E-2</v>
      </c>
      <c r="EC121" s="22">
        <f t="shared" si="450"/>
        <v>3.9843846153846146E-2</v>
      </c>
      <c r="ED121" s="22">
        <f t="shared" si="450"/>
        <v>5.0412230769230751E-2</v>
      </c>
      <c r="EE121" s="1582">
        <f t="shared" si="450"/>
        <v>2.8177846153846164E-2</v>
      </c>
      <c r="EF121" s="21">
        <f t="shared" si="450"/>
        <v>4.3955153846153852E-2</v>
      </c>
      <c r="EG121" s="1582">
        <f t="shared" si="450"/>
        <v>1.3403153846153842E-2</v>
      </c>
      <c r="EH121" s="22">
        <f t="shared" si="450"/>
        <v>1.1820307692307686E-2</v>
      </c>
      <c r="EI121" s="22">
        <f t="shared" si="450"/>
        <v>3.1814153846153853E-2</v>
      </c>
      <c r="EJ121" s="1582">
        <f t="shared" si="450"/>
        <v>3.1232461538461542E-2</v>
      </c>
      <c r="EK121" s="21">
        <f t="shared" si="450"/>
        <v>2.2067519230769231E-2</v>
      </c>
      <c r="EL121" s="1582">
        <f t="shared" si="450"/>
        <v>3.7834230769230787E-2</v>
      </c>
      <c r="EM121" s="22">
        <f t="shared" si="450"/>
        <v>4.0330538461538445E-2</v>
      </c>
      <c r="EN121" s="22">
        <f t="shared" si="450"/>
        <v>3.1603692307692305E-2</v>
      </c>
      <c r="EO121" s="1582">
        <f t="shared" si="450"/>
        <v>3.7208692307692304E-2</v>
      </c>
      <c r="EP121" s="21">
        <f t="shared" si="450"/>
        <v>3.6744288461538446E-2</v>
      </c>
      <c r="EQ121" s="1582">
        <f>+EQ122*0.0019 - 0.0571</f>
        <v>5.5160769230769235E-2</v>
      </c>
      <c r="ER121" s="97">
        <f t="shared" ref="ER121:FE121" si="451">+ER122*0.0019 - 0.0571</f>
        <v>6.4007461538461541E-2</v>
      </c>
      <c r="ES121" s="97">
        <f t="shared" si="451"/>
        <v>7.1244999999999961E-2</v>
      </c>
      <c r="ET121" s="97">
        <f t="shared" si="451"/>
        <v>7.1244999999999961E-2</v>
      </c>
      <c r="EU121" s="942">
        <f t="shared" si="451"/>
        <v>6.5414557692307682E-2</v>
      </c>
      <c r="EV121" s="363">
        <f t="shared" si="451"/>
        <v>-5.7099999999999998E-2</v>
      </c>
      <c r="EW121" s="363">
        <f t="shared" si="451"/>
        <v>-5.7099999999999998E-2</v>
      </c>
      <c r="EX121" s="363">
        <f t="shared" si="451"/>
        <v>-5.7099999999999998E-2</v>
      </c>
      <c r="EY121" s="363">
        <f t="shared" si="451"/>
        <v>-5.7099999999999998E-2</v>
      </c>
      <c r="EZ121" s="847">
        <f t="shared" si="451"/>
        <v>7.1244999999999961E-2</v>
      </c>
      <c r="FA121" s="363">
        <f t="shared" si="451"/>
        <v>-5.7099999999999998E-2</v>
      </c>
      <c r="FB121" s="363">
        <f t="shared" si="451"/>
        <v>-5.7099999999999998E-2</v>
      </c>
      <c r="FC121" s="363">
        <f t="shared" si="451"/>
        <v>-5.7099999999999998E-2</v>
      </c>
      <c r="FD121" s="363">
        <f t="shared" si="451"/>
        <v>-5.7099999999999998E-2</v>
      </c>
      <c r="FE121" s="847">
        <f t="shared" si="451"/>
        <v>7.1244999999999961E-2</v>
      </c>
      <c r="FF121" s="774"/>
      <c r="FG121" s="618"/>
      <c r="FH121" s="1065"/>
      <c r="FI121" s="1065"/>
      <c r="FJ121" s="1065"/>
      <c r="FK121" s="1065"/>
      <c r="FL121" s="1818"/>
      <c r="FM121" s="22">
        <f t="shared" si="448"/>
        <v>5.5160769230769235E-2</v>
      </c>
      <c r="FN121" s="22">
        <f t="shared" si="449"/>
        <v>3.7834230769230787E-2</v>
      </c>
      <c r="FO121" s="97">
        <v>5.8969230769230774E-2</v>
      </c>
      <c r="FP121" s="1892">
        <f>IFERROR(($FM121-FN121)*10000,"")</f>
        <v>173.26538461538448</v>
      </c>
      <c r="FQ121" s="1892">
        <f>IFERROR(($FM121-FO121)*10000,"")</f>
        <v>-38.084615384615383</v>
      </c>
      <c r="FR121" s="670"/>
      <c r="FS121" s="670"/>
      <c r="FT121" s="670"/>
      <c r="FU121" s="670"/>
      <c r="FV121" s="670"/>
      <c r="FW121" s="670"/>
      <c r="FX121" s="670"/>
      <c r="FY121" s="670"/>
      <c r="FZ121" s="670"/>
      <c r="GA121" s="618"/>
      <c r="GB121"/>
      <c r="GC121"/>
      <c r="GD121"/>
      <c r="GE121"/>
      <c r="GF121"/>
      <c r="GG121"/>
      <c r="GH121" s="968"/>
      <c r="GI121" s="968"/>
      <c r="GJ121" s="968"/>
      <c r="GK121" s="968"/>
      <c r="GL121" s="968"/>
      <c r="GM121" s="968"/>
      <c r="GN121" s="968"/>
      <c r="GO121" s="968"/>
      <c r="GP121" s="968"/>
      <c r="GQ121" s="968"/>
      <c r="GR121" s="968"/>
      <c r="GS121" s="968"/>
      <c r="GT121" s="968"/>
      <c r="GU121" s="968"/>
      <c r="GV121" s="968"/>
      <c r="GW121" s="968"/>
      <c r="GX121" s="968"/>
      <c r="GY121" s="968"/>
      <c r="GZ121" s="968"/>
      <c r="HA121" s="968"/>
      <c r="HB121" s="968"/>
      <c r="HC121" s="968"/>
      <c r="HD121" s="968"/>
      <c r="HE121" s="968"/>
      <c r="HF121" s="968"/>
      <c r="HG121" s="968"/>
      <c r="HH121" s="968"/>
      <c r="HI121" s="968"/>
      <c r="HJ121" s="968"/>
      <c r="HK121" s="968"/>
      <c r="HL121" s="968"/>
      <c r="HM121" s="968"/>
      <c r="HN121" s="968"/>
      <c r="HO121" s="968"/>
      <c r="HP121" s="968"/>
      <c r="HQ121" s="968"/>
      <c r="HR121" s="968"/>
      <c r="HS121" s="968"/>
      <c r="HT121" s="968"/>
      <c r="HU121" s="968"/>
      <c r="HV121" s="968"/>
      <c r="HW121" s="968"/>
      <c r="HX121" s="968"/>
      <c r="HY121" s="968"/>
      <c r="HZ121" s="968"/>
      <c r="IA121" s="968"/>
      <c r="IB121" s="968"/>
      <c r="IC121" s="968"/>
      <c r="ID121" s="968"/>
      <c r="IE121" s="968"/>
      <c r="IF121" s="968"/>
      <c r="IG121" s="968"/>
      <c r="IH121" s="968"/>
      <c r="II121" s="968"/>
      <c r="IJ121" s="968"/>
      <c r="IK121" s="968"/>
      <c r="IL121" s="968"/>
      <c r="IM121" s="968"/>
      <c r="IN121" s="968"/>
      <c r="IO121" s="968"/>
      <c r="IP121" s="968"/>
      <c r="IQ121" s="968"/>
      <c r="IR121" s="968"/>
      <c r="IS121" s="968"/>
      <c r="IT121" s="968"/>
      <c r="IU121" s="968"/>
      <c r="IV121" s="968"/>
    </row>
    <row r="122" spans="1:256" s="669" customFormat="1" ht="12.75" x14ac:dyDescent="0.2">
      <c r="A122" s="521" t="s">
        <v>64</v>
      </c>
      <c r="B122" s="666"/>
      <c r="C122" s="666"/>
      <c r="D122" s="666"/>
      <c r="E122" s="667"/>
      <c r="F122" s="21"/>
      <c r="G122" s="666"/>
      <c r="H122" s="666"/>
      <c r="I122" s="666"/>
      <c r="J122" s="667"/>
      <c r="K122" s="21"/>
      <c r="L122" s="666"/>
      <c r="M122" s="666"/>
      <c r="N122" s="666"/>
      <c r="O122" s="667"/>
      <c r="P122" s="21"/>
      <c r="Q122" s="666"/>
      <c r="R122" s="666"/>
      <c r="S122" s="666"/>
      <c r="T122" s="667"/>
      <c r="U122" s="21"/>
      <c r="V122" s="666"/>
      <c r="W122" s="666"/>
      <c r="X122" s="666"/>
      <c r="Y122" s="667"/>
      <c r="Z122" s="21"/>
      <c r="AA122" s="666"/>
      <c r="AB122" s="666"/>
      <c r="AC122" s="666"/>
      <c r="AD122" s="667"/>
      <c r="AE122" s="21"/>
      <c r="AF122" s="666"/>
      <c r="AG122" s="666"/>
      <c r="AH122" s="666"/>
      <c r="AI122" s="667"/>
      <c r="AJ122" s="21"/>
      <c r="AK122" s="666"/>
      <c r="AL122" s="666"/>
      <c r="AM122" s="666"/>
      <c r="AN122" s="667"/>
      <c r="AO122" s="21"/>
      <c r="AP122" s="666"/>
      <c r="AQ122" s="666"/>
      <c r="AR122" s="666"/>
      <c r="AS122" s="667"/>
      <c r="AT122" s="21"/>
      <c r="AU122" s="666"/>
      <c r="AV122" s="666"/>
      <c r="AW122" s="666"/>
      <c r="AX122" s="667"/>
      <c r="AY122" s="21"/>
      <c r="AZ122" s="666"/>
      <c r="BA122" s="666"/>
      <c r="BB122" s="666"/>
      <c r="BC122" s="667"/>
      <c r="BD122" s="21"/>
      <c r="BE122" s="666"/>
      <c r="BF122" s="666"/>
      <c r="BG122" s="666"/>
      <c r="BH122" s="667"/>
      <c r="BI122" s="21"/>
      <c r="BJ122" s="666"/>
      <c r="BK122" s="666"/>
      <c r="BL122" s="666"/>
      <c r="BM122" s="667"/>
      <c r="BN122" s="21"/>
      <c r="BO122" s="666"/>
      <c r="BP122" s="666"/>
      <c r="BQ122" s="666"/>
      <c r="BR122" s="667"/>
      <c r="BS122" s="21"/>
      <c r="BT122" s="666"/>
      <c r="BU122" s="666"/>
      <c r="BV122" s="666"/>
      <c r="BW122" s="667"/>
      <c r="BX122" s="21"/>
      <c r="BY122" s="666"/>
      <c r="BZ122" s="666"/>
      <c r="CA122" s="666"/>
      <c r="CB122" s="667"/>
      <c r="CC122" s="21"/>
      <c r="CD122" s="666"/>
      <c r="CE122" s="666"/>
      <c r="CF122" s="666"/>
      <c r="CG122" s="667"/>
      <c r="CH122" s="21"/>
      <c r="CI122" s="74">
        <f>'Fuel WTI'!AT5</f>
        <v>60.825384615384614</v>
      </c>
      <c r="CJ122" s="74">
        <f>'Fuel WTI'!AU5</f>
        <v>64.572307692307689</v>
      </c>
      <c r="CK122" s="74">
        <f>'Fuel WTI'!AV5</f>
        <v>71.993076923076927</v>
      </c>
      <c r="CL122" s="74">
        <f>'Fuel WTI'!AW5</f>
        <v>65.793076923076924</v>
      </c>
      <c r="CM122" s="1163">
        <f>'Fuel WTI'!AX5</f>
        <v>65.79596153846154</v>
      </c>
      <c r="CN122" s="74">
        <f>'Fuel WTI'!AY5</f>
        <v>58.428461538461534</v>
      </c>
      <c r="CO122" s="74">
        <f>'Fuel WTI'!AZ5</f>
        <v>60.97461538461539</v>
      </c>
      <c r="CP122" s="74">
        <f>'Fuel WTI'!BA5</f>
        <v>67.94076923076922</v>
      </c>
      <c r="CQ122" s="74">
        <f>'Fuel WTI'!BB5</f>
        <v>78.599230769230772</v>
      </c>
      <c r="CR122" s="1163">
        <f>'Fuel WTI'!BC5</f>
        <v>66.485769230769222</v>
      </c>
      <c r="CS122" s="74">
        <f>'Fuel WTI'!BD5</f>
        <v>93.366923076923086</v>
      </c>
      <c r="CT122" s="74">
        <f>'Fuel WTI'!BE5</f>
        <v>103.33769230769229</v>
      </c>
      <c r="CU122" s="74">
        <f>'Fuel WTI'!BF5</f>
        <v>130.33071428571432</v>
      </c>
      <c r="CV122" s="74">
        <f>'Fuel WTI'!BG5</f>
        <v>98.18</v>
      </c>
      <c r="CW122" s="1163">
        <f>'Fuel WTI'!BH5</f>
        <v>106.30383241758243</v>
      </c>
      <c r="CX122" s="74">
        <f>'Fuel WTI'!BI5</f>
        <v>46.133076923076928</v>
      </c>
      <c r="CY122" s="74">
        <f>'Fuel WTI'!BJ5</f>
        <v>45.842307692307699</v>
      </c>
      <c r="CZ122" s="74">
        <f>'Fuel WTI'!BK5</f>
        <v>64.699999999999989</v>
      </c>
      <c r="DA122" s="74">
        <f>'Fuel WTI'!BL5</f>
        <v>72.095384615384617</v>
      </c>
      <c r="DB122" s="1163">
        <f>'Fuel WTI'!BM5</f>
        <v>57.192692307692312</v>
      </c>
      <c r="DC122" s="74">
        <f>'Fuel WTI'!BN5</f>
        <v>76.813846153846143</v>
      </c>
      <c r="DD122" s="74">
        <f>'Fuel WTI'!BO5</f>
        <v>80.776153846153846</v>
      </c>
      <c r="DE122" s="74">
        <f>'Fuel WTI'!BP5</f>
        <v>75.113076923076918</v>
      </c>
      <c r="DF122" s="74">
        <f>'Fuel WTI'!BQ5</f>
        <v>77.843846153846144</v>
      </c>
      <c r="DG122" s="1163">
        <f>'Fuel WTI'!BR5</f>
        <v>77.636730769230752</v>
      </c>
      <c r="DH122" s="74">
        <f>'Fuel WTI'!BS5</f>
        <v>87.455384615384602</v>
      </c>
      <c r="DI122" s="74">
        <f>'Fuel WTI'!BT5</f>
        <v>100.53384615384613</v>
      </c>
      <c r="DJ122" s="74">
        <f>'Fuel WTI'!BU5</f>
        <v>98.166923076923084</v>
      </c>
      <c r="DK122" s="74">
        <f>'Fuel WTI'!BV5</f>
        <v>85.983846153846144</v>
      </c>
      <c r="DL122" s="1163">
        <f>'Fuel WTI'!BW5</f>
        <v>93.034999999999997</v>
      </c>
      <c r="DM122" s="74">
        <f>'Fuel WTI'!BX5</f>
        <v>98.626153846153841</v>
      </c>
      <c r="DN122" s="74">
        <f>'Fuel WTI'!BY5</f>
        <v>103.83000000000001</v>
      </c>
      <c r="DO122" s="74">
        <f>'Fuel WTI'!BZ5</f>
        <v>88.560000000000016</v>
      </c>
      <c r="DP122" s="74">
        <f>'Fuel WTI'!CA5</f>
        <v>92.848461538461535</v>
      </c>
      <c r="DQ122" s="1163">
        <f>'Fuel WTI'!CB5</f>
        <v>95.966153846153858</v>
      </c>
      <c r="DR122" s="74">
        <f>'Fuel WTI'!CC5</f>
        <v>89.201538461538476</v>
      </c>
      <c r="DS122" s="74">
        <f>'Fuel WTI'!CD5</f>
        <v>93.637692307692305</v>
      </c>
      <c r="DT122" s="74">
        <f>'Fuel WTI'!CE5</f>
        <v>97.936153846153857</v>
      </c>
      <c r="DU122" s="74">
        <f>'Fuel WTI'!CF5</f>
        <v>104.27142857142859</v>
      </c>
      <c r="DV122" s="1163">
        <f>'Fuel WTI'!CG5</f>
        <v>96.261703296703303</v>
      </c>
      <c r="DW122" s="74">
        <f>'Fuel WTI'!CH5</f>
        <v>95.303333333333327</v>
      </c>
      <c r="DX122" s="74">
        <f>'Fuel WTI'!CI5</f>
        <v>101.02076923076922</v>
      </c>
      <c r="DY122" s="74">
        <f>'Fuel WTI'!CJ5</f>
        <v>103.66357142857143</v>
      </c>
      <c r="DZ122" s="74">
        <f>'Fuel WTI'!CK5</f>
        <v>91.106923076923067</v>
      </c>
      <c r="EA122" s="1163">
        <f>'Fuel WTI'!CL5</f>
        <v>97.773649267399264</v>
      </c>
      <c r="EB122" s="74">
        <f>'Fuel WTI'!CM5</f>
        <v>60.256153846153858</v>
      </c>
      <c r="EC122" s="74">
        <f>'Fuel WTI'!CN5</f>
        <v>51.023076923076921</v>
      </c>
      <c r="ED122" s="74">
        <f>'Fuel WTI'!CO5</f>
        <v>56.585384615384605</v>
      </c>
      <c r="EE122" s="1627">
        <f>'Fuel WTI'!CP5</f>
        <v>44.883076923076928</v>
      </c>
      <c r="EF122" s="1163">
        <f>'Fuel WTI'!CQ5</f>
        <v>53.18692307692308</v>
      </c>
      <c r="EG122" s="74">
        <f>'Fuel WTI'!CR5</f>
        <v>37.106923076923074</v>
      </c>
      <c r="EH122" s="74">
        <f>'Fuel WTI'!CS5</f>
        <v>36.273846153846151</v>
      </c>
      <c r="EI122" s="74">
        <f>'Fuel WTI'!CT5</f>
        <v>46.796923076923079</v>
      </c>
      <c r="EJ122" s="1627">
        <f>'Fuel WTI'!CU5</f>
        <v>46.490769230769232</v>
      </c>
      <c r="EK122" s="1163">
        <f>'Fuel WTI'!CV5</f>
        <v>41.667115384615386</v>
      </c>
      <c r="EL122" s="74">
        <f>'Fuel WTI'!CW5</f>
        <v>49.965384615384622</v>
      </c>
      <c r="EM122" s="74">
        <f>'Fuel WTI'!CX5</f>
        <v>51.279230769230757</v>
      </c>
      <c r="EN122" s="74">
        <f>'Fuel WTI'!CY5</f>
        <v>46.686153846153843</v>
      </c>
      <c r="EO122" s="1627">
        <f>'Fuel WTI'!CZ5</f>
        <v>49.636153846153846</v>
      </c>
      <c r="EP122" s="1163">
        <f>'Fuel WTI'!DA5</f>
        <v>49.391730769230762</v>
      </c>
      <c r="EQ122" s="1627">
        <f>'Fuel WTI'!DB5</f>
        <v>59.08461538461539</v>
      </c>
      <c r="ER122" s="1627">
        <f>'Fuel WTI'!DC5</f>
        <v>63.740769230769232</v>
      </c>
      <c r="ES122" s="1627">
        <f>'Fuel WTI'!DD5</f>
        <v>67.549999999999983</v>
      </c>
      <c r="ET122" s="1627">
        <f>'Fuel WTI'!DE5</f>
        <v>67.549999999999983</v>
      </c>
      <c r="EU122" s="1163">
        <f>'Fuel WTI'!DF5</f>
        <v>64.481346153846147</v>
      </c>
      <c r="EV122" s="74"/>
      <c r="EW122" s="74"/>
      <c r="EX122" s="74"/>
      <c r="EY122" s="74"/>
      <c r="EZ122" s="1163">
        <f>'Fuel WTI'!DK5</f>
        <v>67.549999999999983</v>
      </c>
      <c r="FA122" s="74"/>
      <c r="FB122" s="74"/>
      <c r="FC122" s="74"/>
      <c r="FD122" s="74"/>
      <c r="FE122" s="2097">
        <f>'Fuel WTI'!DP5</f>
        <v>67.549999999999983</v>
      </c>
      <c r="FF122" s="774"/>
      <c r="FG122" s="618"/>
      <c r="FH122" s="1065"/>
      <c r="FI122" s="1065"/>
      <c r="FJ122" s="1065"/>
      <c r="FK122" s="1065"/>
      <c r="FL122" s="1818"/>
      <c r="FM122" s="74">
        <f t="shared" si="448"/>
        <v>59.08461538461539</v>
      </c>
      <c r="FN122" s="74">
        <f t="shared" si="449"/>
        <v>49.965384615384622</v>
      </c>
      <c r="FO122" s="2054">
        <v>59.08461538461539</v>
      </c>
      <c r="FP122" s="15">
        <f>IFERROR(($FM122/FN122)-1,"")</f>
        <v>0.18251096913247622</v>
      </c>
      <c r="FQ122" s="15">
        <f>IFERROR(($FM122/FO122)-1,"")</f>
        <v>0</v>
      </c>
      <c r="FR122" s="670"/>
      <c r="FS122" s="670"/>
      <c r="FT122" s="670"/>
      <c r="FU122" s="670"/>
      <c r="FV122" s="670"/>
      <c r="FW122" s="670"/>
      <c r="FX122" s="670"/>
      <c r="FY122" s="670"/>
      <c r="FZ122" s="670"/>
      <c r="GA122" s="618"/>
      <c r="GB122"/>
      <c r="GC122"/>
      <c r="GD122"/>
      <c r="GE122"/>
      <c r="GF122"/>
      <c r="GG122"/>
      <c r="GH122" s="968"/>
      <c r="GI122" s="968"/>
      <c r="GJ122" s="968"/>
      <c r="GK122" s="968"/>
      <c r="GL122" s="968"/>
      <c r="GM122" s="968"/>
      <c r="GN122" s="968"/>
      <c r="GO122" s="968"/>
      <c r="GP122" s="968"/>
      <c r="GQ122" s="968"/>
      <c r="GR122" s="968"/>
      <c r="GS122" s="968"/>
      <c r="GT122" s="968"/>
      <c r="GU122" s="968"/>
      <c r="GV122" s="968"/>
      <c r="GW122" s="968"/>
      <c r="GX122" s="968"/>
      <c r="GY122" s="968"/>
      <c r="GZ122" s="968"/>
      <c r="HA122" s="968"/>
      <c r="HB122" s="968"/>
      <c r="HC122" s="968"/>
      <c r="HD122" s="968"/>
      <c r="HE122" s="968"/>
      <c r="HF122" s="968"/>
      <c r="HG122" s="968"/>
      <c r="HH122" s="968"/>
      <c r="HI122" s="968"/>
      <c r="HJ122" s="968"/>
      <c r="HK122" s="968"/>
      <c r="HL122" s="968"/>
      <c r="HM122" s="968"/>
      <c r="HN122" s="968"/>
      <c r="HO122" s="968"/>
      <c r="HP122" s="968"/>
      <c r="HQ122" s="968"/>
      <c r="HR122" s="968"/>
      <c r="HS122" s="968"/>
      <c r="HT122" s="968"/>
      <c r="HU122" s="968"/>
      <c r="HV122" s="968"/>
      <c r="HW122" s="968"/>
      <c r="HX122" s="968"/>
      <c r="HY122" s="968"/>
      <c r="HZ122" s="968"/>
      <c r="IA122" s="968"/>
      <c r="IB122" s="968"/>
      <c r="IC122" s="968"/>
      <c r="ID122" s="968"/>
      <c r="IE122" s="968"/>
      <c r="IF122" s="968"/>
      <c r="IG122" s="968"/>
      <c r="IH122" s="968"/>
      <c r="II122" s="968"/>
      <c r="IJ122" s="968"/>
      <c r="IK122" s="968"/>
      <c r="IL122" s="968"/>
      <c r="IM122" s="968"/>
      <c r="IN122" s="968"/>
      <c r="IO122" s="968"/>
      <c r="IP122" s="968"/>
      <c r="IQ122" s="968"/>
      <c r="IR122" s="968"/>
      <c r="IS122" s="968"/>
      <c r="IT122" s="968"/>
      <c r="IU122" s="968"/>
      <c r="IV122" s="968"/>
    </row>
    <row r="123" spans="1:256" s="72" customFormat="1" ht="12.75" x14ac:dyDescent="0.2">
      <c r="A123" s="69" t="s">
        <v>662</v>
      </c>
      <c r="B123" s="70"/>
      <c r="C123" s="70"/>
      <c r="D123" s="70"/>
      <c r="E123" s="207"/>
      <c r="F123" s="71"/>
      <c r="G123" s="70"/>
      <c r="H123" s="70"/>
      <c r="I123" s="70"/>
      <c r="J123" s="207"/>
      <c r="K123" s="71"/>
      <c r="L123" s="70"/>
      <c r="M123" s="70"/>
      <c r="N123" s="70"/>
      <c r="O123" s="207"/>
      <c r="P123" s="71"/>
      <c r="Q123" s="70"/>
      <c r="R123" s="70"/>
      <c r="S123" s="70"/>
      <c r="T123" s="207"/>
      <c r="U123" s="71"/>
      <c r="V123" s="70"/>
      <c r="W123" s="70"/>
      <c r="X123" s="70"/>
      <c r="Y123" s="207"/>
      <c r="Z123" s="71"/>
      <c r="AA123" s="70"/>
      <c r="AB123" s="70"/>
      <c r="AC123" s="70"/>
      <c r="AD123" s="207"/>
      <c r="AE123" s="71"/>
      <c r="AF123" s="70"/>
      <c r="AG123" s="70"/>
      <c r="AH123" s="70"/>
      <c r="AI123" s="207"/>
      <c r="AJ123" s="71"/>
      <c r="AK123" s="70"/>
      <c r="AL123" s="70"/>
      <c r="AM123" s="70"/>
      <c r="AN123" s="207"/>
      <c r="AO123" s="71"/>
      <c r="AP123" s="70"/>
      <c r="AQ123" s="70"/>
      <c r="AR123" s="70"/>
      <c r="AS123" s="207"/>
      <c r="AT123" s="71"/>
      <c r="AU123" s="70"/>
      <c r="AV123" s="70"/>
      <c r="AW123" s="70"/>
      <c r="AX123" s="207"/>
      <c r="AY123" s="71"/>
      <c r="AZ123" s="70"/>
      <c r="BA123" s="70"/>
      <c r="BB123" s="70"/>
      <c r="BC123" s="207"/>
      <c r="BD123" s="71"/>
      <c r="BE123" s="70"/>
      <c r="BF123" s="70"/>
      <c r="BG123" s="70"/>
      <c r="BH123" s="207"/>
      <c r="BI123" s="71"/>
      <c r="BJ123" s="70"/>
      <c r="BK123" s="70"/>
      <c r="BL123" s="70"/>
      <c r="BM123" s="207"/>
      <c r="BN123" s="71"/>
      <c r="BO123" s="70"/>
      <c r="BP123" s="70"/>
      <c r="BQ123" s="70"/>
      <c r="BR123" s="207"/>
      <c r="BS123" s="71"/>
      <c r="BT123" s="70"/>
      <c r="BU123" s="70"/>
      <c r="BV123" s="70"/>
      <c r="BW123" s="207"/>
      <c r="BX123" s="71"/>
      <c r="BY123" s="70"/>
      <c r="BZ123" s="70"/>
      <c r="CA123" s="70"/>
      <c r="CB123" s="207"/>
      <c r="CC123" s="71"/>
      <c r="CD123" s="70">
        <f t="shared" ref="CD123:DI123" si="452">CD128*1000/CD105/BY107</f>
        <v>-1.4459386321304639E-2</v>
      </c>
      <c r="CE123" s="70">
        <f t="shared" si="452"/>
        <v>-5.2147356849076253E-3</v>
      </c>
      <c r="CF123" s="70">
        <f t="shared" si="452"/>
        <v>-3.2307319784102784E-2</v>
      </c>
      <c r="CG123" s="207">
        <f t="shared" si="452"/>
        <v>-3.6290265093014119E-2</v>
      </c>
      <c r="CH123" s="71">
        <f t="shared" si="452"/>
        <v>-2.2459355191868858E-2</v>
      </c>
      <c r="CI123" s="70">
        <f t="shared" si="452"/>
        <v>-2.5440891794490515E-2</v>
      </c>
      <c r="CJ123" s="70">
        <f t="shared" si="452"/>
        <v>-2.8806249353330309E-2</v>
      </c>
      <c r="CK123" s="70">
        <f t="shared" si="452"/>
        <v>4.9227106887445131E-3</v>
      </c>
      <c r="CL123" s="207">
        <f t="shared" si="452"/>
        <v>4.0269177928156661E-3</v>
      </c>
      <c r="CM123" s="71">
        <f t="shared" si="452"/>
        <v>-1.1146450643677185E-2</v>
      </c>
      <c r="CN123" s="70">
        <f t="shared" si="452"/>
        <v>-1.342868316814259E-2</v>
      </c>
      <c r="CO123" s="70">
        <f t="shared" si="452"/>
        <v>6.3947076227131739E-3</v>
      </c>
      <c r="CP123" s="70">
        <f t="shared" si="452"/>
        <v>-2.4060095344629337E-3</v>
      </c>
      <c r="CQ123" s="207">
        <f t="shared" si="452"/>
        <v>6.2483416097810036E-3</v>
      </c>
      <c r="CR123" s="71">
        <f t="shared" si="452"/>
        <v>-7.0411128426081909E-4</v>
      </c>
      <c r="CS123" s="70">
        <f t="shared" si="452"/>
        <v>-7.3139308903419683E-3</v>
      </c>
      <c r="CT123" s="70">
        <f t="shared" si="452"/>
        <v>-1.1354311315591289E-3</v>
      </c>
      <c r="CU123" s="70">
        <f t="shared" si="452"/>
        <v>4.6385225847808279E-3</v>
      </c>
      <c r="CV123" s="207">
        <f t="shared" si="452"/>
        <v>-1.6616712430700051E-2</v>
      </c>
      <c r="CW123" s="71">
        <f t="shared" si="452"/>
        <v>-4.9813525452196156E-3</v>
      </c>
      <c r="CX123" s="70">
        <f t="shared" si="452"/>
        <v>1.9433913284531971E-2</v>
      </c>
      <c r="CY123" s="367">
        <f t="shared" si="452"/>
        <v>3.4469591419700649E-3</v>
      </c>
      <c r="CZ123" s="367">
        <f t="shared" si="452"/>
        <v>1.3485527135591705E-2</v>
      </c>
      <c r="DA123" s="70">
        <f t="shared" si="452"/>
        <v>-5.151161156819295E-3</v>
      </c>
      <c r="DB123" s="71">
        <f t="shared" si="452"/>
        <v>7.5686260101765898E-3</v>
      </c>
      <c r="DC123" s="70">
        <f t="shared" si="452"/>
        <v>-1.6597410554988429E-3</v>
      </c>
      <c r="DD123" s="367">
        <f t="shared" si="452"/>
        <v>-2.0723473402820207E-2</v>
      </c>
      <c r="DE123" s="367">
        <f t="shared" si="452"/>
        <v>-2.993966234492277E-2</v>
      </c>
      <c r="DF123" s="70">
        <f t="shared" si="452"/>
        <v>-2.9363682128110361E-2</v>
      </c>
      <c r="DG123" s="71">
        <f t="shared" si="452"/>
        <v>-2.0878195813577548E-2</v>
      </c>
      <c r="DH123" s="440">
        <f t="shared" si="452"/>
        <v>-3.9353202218896958E-3</v>
      </c>
      <c r="DI123" s="367">
        <f t="shared" si="452"/>
        <v>1.0866091048760606E-2</v>
      </c>
      <c r="DJ123" s="367">
        <f t="shared" ref="DJ123:EN123" si="453">DJ128*1000/DJ105/DE107</f>
        <v>3.1596499263246854E-3</v>
      </c>
      <c r="DK123" s="70">
        <f t="shared" si="453"/>
        <v>1.4453409498086281E-3</v>
      </c>
      <c r="DL123" s="71">
        <f t="shared" si="453"/>
        <v>2.9555736553120845E-3</v>
      </c>
      <c r="DM123" s="440">
        <f t="shared" si="453"/>
        <v>-3.5719267021275612E-2</v>
      </c>
      <c r="DN123" s="367">
        <f t="shared" si="453"/>
        <v>-2.2116094028601124E-2</v>
      </c>
      <c r="DO123" s="367">
        <f t="shared" si="453"/>
        <v>-4.4510343789652684E-2</v>
      </c>
      <c r="DP123" s="70">
        <f t="shared" si="453"/>
        <v>-5.3970590670393087E-2</v>
      </c>
      <c r="DQ123" s="71">
        <f t="shared" si="453"/>
        <v>-3.8981130854697718E-2</v>
      </c>
      <c r="DR123" s="440">
        <f t="shared" si="453"/>
        <v>-3.2228358337302664E-2</v>
      </c>
      <c r="DS123" s="367">
        <f t="shared" si="453"/>
        <v>-4.8915519525760946E-2</v>
      </c>
      <c r="DT123" s="70">
        <f t="shared" si="453"/>
        <v>-1.417181290389463E-2</v>
      </c>
      <c r="DU123" s="70">
        <f t="shared" si="453"/>
        <v>-1.0072598157637763E-3</v>
      </c>
      <c r="DV123" s="71">
        <f t="shared" si="453"/>
        <v>-2.4446566075840181E-2</v>
      </c>
      <c r="DW123" s="440">
        <f t="shared" si="453"/>
        <v>-1.9151863302011411E-2</v>
      </c>
      <c r="DX123" s="367">
        <f t="shared" si="453"/>
        <v>-4.8624916037480681E-3</v>
      </c>
      <c r="DY123" s="70">
        <f t="shared" si="453"/>
        <v>-2.3724466047112879E-2</v>
      </c>
      <c r="DZ123" s="70">
        <f t="shared" si="453"/>
        <v>-3.0019679720220672E-2</v>
      </c>
      <c r="EA123" s="71">
        <f t="shared" si="453"/>
        <v>-1.9416276318754998E-2</v>
      </c>
      <c r="EB123" s="440">
        <f t="shared" si="453"/>
        <v>-3.8281530933220342E-2</v>
      </c>
      <c r="EC123" s="367">
        <f t="shared" si="453"/>
        <v>-4.1541529932959696E-2</v>
      </c>
      <c r="ED123" s="70">
        <f t="shared" si="453"/>
        <v>-3.1387537153612227E-2</v>
      </c>
      <c r="EE123" s="1581">
        <f t="shared" si="453"/>
        <v>-1.8737985431312838E-2</v>
      </c>
      <c r="EF123" s="71">
        <f t="shared" si="453"/>
        <v>-3.2735319814147699E-2</v>
      </c>
      <c r="EG123" s="440">
        <f t="shared" si="453"/>
        <v>-1.7574326140366962E-2</v>
      </c>
      <c r="EH123" s="1919">
        <f t="shared" si="453"/>
        <v>-3.4204653636408303E-2</v>
      </c>
      <c r="EI123" s="70">
        <f t="shared" si="453"/>
        <v>-5.0511562592467314E-2</v>
      </c>
      <c r="EJ123" s="1581">
        <f t="shared" si="453"/>
        <v>-6.115451401703189E-2</v>
      </c>
      <c r="EK123" s="71">
        <f t="shared" si="453"/>
        <v>-4.1080096999285193E-2</v>
      </c>
      <c r="EL123" s="440">
        <f t="shared" si="453"/>
        <v>-3.4958082374526099E-2</v>
      </c>
      <c r="EM123" s="1919">
        <f t="shared" si="453"/>
        <v>-3.5650381140831217E-2</v>
      </c>
      <c r="EN123" s="70">
        <f t="shared" si="453"/>
        <v>-2.0304620657703672E-2</v>
      </c>
      <c r="EO123" s="1581">
        <f t="shared" ref="EO123" si="454">EO128*1000/EO105/EJ107</f>
        <v>-2.5766573120475544E-2</v>
      </c>
      <c r="EP123" s="71">
        <f t="shared" ref="EP123:EQ123" si="455">EP128*1000/EP105/EK107</f>
        <v>-2.9127554645561323E-2</v>
      </c>
      <c r="EQ123" s="2130">
        <f t="shared" si="455"/>
        <v>-3.0955160906812877E-2</v>
      </c>
      <c r="ER123" s="1581">
        <f t="shared" ref="ER123" si="456">ER128*1000/ER105/EM107</f>
        <v>-3.2345162930599379E-2</v>
      </c>
      <c r="ES123" s="1581">
        <f t="shared" ref="ES123:ET123" si="457">ES128*1000/ES105/EN107</f>
        <v>-3.452487459911361E-2</v>
      </c>
      <c r="ET123" s="1581">
        <f t="shared" si="457"/>
        <v>-2.7731296832470262E-2</v>
      </c>
      <c r="EU123" s="1959">
        <f>EU128*1000/EU105/EP107</f>
        <v>-3.1404761610347116E-2</v>
      </c>
      <c r="EV123" s="70"/>
      <c r="EW123" s="70"/>
      <c r="EX123" s="70"/>
      <c r="EY123" s="70"/>
      <c r="EZ123" s="848">
        <f>EZ128*1000/EZ105/EU107</f>
        <v>-9.649568842817112E-3</v>
      </c>
      <c r="FA123" s="70"/>
      <c r="FB123" s="70"/>
      <c r="FC123" s="70"/>
      <c r="FD123" s="70"/>
      <c r="FE123" s="848">
        <f>FE128*1000/FE105/EZ107</f>
        <v>-7.4416240597504459E-3</v>
      </c>
      <c r="FF123" s="771"/>
      <c r="FG123" s="655"/>
      <c r="FH123" s="1029"/>
      <c r="FI123" s="1029"/>
      <c r="FJ123" s="1029"/>
      <c r="FK123" s="1029"/>
      <c r="FL123" s="1815"/>
      <c r="FM123" s="367">
        <f t="shared" si="448"/>
        <v>-3.0955160906812877E-2</v>
      </c>
      <c r="FN123" s="367">
        <f t="shared" si="449"/>
        <v>-3.4958082374526099E-2</v>
      </c>
      <c r="FO123" s="2068">
        <v>-4.9019487968062825E-2</v>
      </c>
      <c r="FP123" s="1895">
        <f>IFERROR(($FM123-FN123)*10000,"")</f>
        <v>40.029214677132217</v>
      </c>
      <c r="FQ123" s="1895">
        <f>IFERROR(($FM123-FO123)*10000,"")</f>
        <v>180.64327061249946</v>
      </c>
      <c r="FR123" s="567"/>
      <c r="FS123" s="577"/>
      <c r="FT123" s="577"/>
      <c r="FU123" s="670"/>
      <c r="FV123" s="670"/>
      <c r="FW123" s="670"/>
      <c r="FX123" s="670"/>
      <c r="FY123" s="670"/>
      <c r="FZ123" s="577"/>
      <c r="GA123" s="655"/>
      <c r="GB123"/>
      <c r="GC123"/>
      <c r="GD123"/>
      <c r="GE123"/>
      <c r="GF123"/>
      <c r="GG123"/>
      <c r="GH123" s="1008"/>
      <c r="GI123" s="1008"/>
      <c r="GJ123" s="1008"/>
      <c r="GK123" s="1008"/>
      <c r="GL123" s="1008"/>
      <c r="GM123" s="1008"/>
      <c r="GN123" s="1008"/>
      <c r="GO123" s="1008"/>
      <c r="GP123" s="1008"/>
      <c r="GQ123" s="1008"/>
      <c r="GR123" s="1008"/>
      <c r="GS123" s="1008"/>
      <c r="GT123" s="1008"/>
      <c r="GU123" s="1008"/>
      <c r="GV123" s="1008"/>
      <c r="GW123" s="1008"/>
      <c r="GX123" s="1008"/>
      <c r="GY123" s="1008"/>
      <c r="GZ123" s="1008"/>
      <c r="HA123" s="1008"/>
      <c r="HB123" s="1008"/>
      <c r="HC123" s="1008"/>
      <c r="HD123" s="1008"/>
      <c r="HE123" s="1008"/>
      <c r="HF123" s="1008"/>
      <c r="HG123" s="1008"/>
      <c r="HH123" s="1008"/>
      <c r="HI123" s="1008"/>
      <c r="HJ123" s="1008"/>
      <c r="HK123" s="1008"/>
      <c r="HL123" s="1008"/>
      <c r="HM123" s="1008"/>
      <c r="HN123" s="1008"/>
      <c r="HO123" s="1008"/>
      <c r="HP123" s="1008"/>
      <c r="HQ123" s="1008"/>
      <c r="HR123" s="1008"/>
      <c r="HS123" s="1008"/>
      <c r="HT123" s="1008"/>
      <c r="HU123" s="1008"/>
      <c r="HV123" s="1008"/>
      <c r="HW123" s="1008"/>
      <c r="HX123" s="1008"/>
      <c r="HY123" s="1008"/>
      <c r="HZ123" s="1008"/>
      <c r="IA123" s="1008"/>
      <c r="IB123" s="1008"/>
      <c r="IC123" s="1008"/>
      <c r="ID123" s="1008"/>
      <c r="IE123" s="1008"/>
      <c r="IF123" s="1008"/>
      <c r="IG123" s="1008"/>
      <c r="IH123" s="1008"/>
      <c r="II123" s="1008"/>
      <c r="IJ123" s="1008"/>
      <c r="IK123" s="1008"/>
      <c r="IL123" s="1008"/>
      <c r="IM123" s="1008"/>
      <c r="IN123" s="1008"/>
      <c r="IO123" s="1008"/>
      <c r="IP123" s="1008"/>
      <c r="IQ123" s="1008"/>
      <c r="IR123" s="1008"/>
      <c r="IS123" s="1008"/>
      <c r="IT123" s="1008"/>
      <c r="IU123" s="1008"/>
      <c r="IV123" s="1008"/>
    </row>
    <row r="124" spans="1:256" s="377" customFormat="1" ht="12.75" customHeight="1" x14ac:dyDescent="0.2">
      <c r="A124" s="372" t="s">
        <v>87</v>
      </c>
      <c r="B124" s="373"/>
      <c r="C124" s="373"/>
      <c r="D124" s="373"/>
      <c r="E124" s="374"/>
      <c r="F124" s="375"/>
      <c r="G124" s="373"/>
      <c r="H124" s="373"/>
      <c r="I124" s="373"/>
      <c r="J124" s="374"/>
      <c r="K124" s="375"/>
      <c r="L124" s="373"/>
      <c r="M124" s="373"/>
      <c r="N124" s="373"/>
      <c r="O124" s="374"/>
      <c r="P124" s="375"/>
      <c r="Q124" s="373"/>
      <c r="R124" s="373"/>
      <c r="S124" s="373"/>
      <c r="T124" s="374"/>
      <c r="U124" s="375"/>
      <c r="V124" s="373"/>
      <c r="W124" s="373"/>
      <c r="X124" s="373"/>
      <c r="Y124" s="374"/>
      <c r="Z124" s="375"/>
      <c r="AA124" s="373"/>
      <c r="AB124" s="373"/>
      <c r="AC124" s="373"/>
      <c r="AD124" s="374"/>
      <c r="AE124" s="375"/>
      <c r="AF124" s="373"/>
      <c r="AG124" s="373"/>
      <c r="AH124" s="373"/>
      <c r="AI124" s="374"/>
      <c r="AJ124" s="375"/>
      <c r="AK124" s="373"/>
      <c r="AL124" s="373"/>
      <c r="AM124" s="373"/>
      <c r="AN124" s="374"/>
      <c r="AO124" s="375"/>
      <c r="AP124" s="373"/>
      <c r="AQ124" s="373"/>
      <c r="AR124" s="373"/>
      <c r="AS124" s="374"/>
      <c r="AT124" s="375"/>
      <c r="AU124" s="373"/>
      <c r="AV124" s="373"/>
      <c r="AW124" s="373"/>
      <c r="AX124" s="374"/>
      <c r="AY124" s="375"/>
      <c r="AZ124" s="373"/>
      <c r="BA124" s="373"/>
      <c r="BB124" s="373"/>
      <c r="BC124" s="374"/>
      <c r="BD124" s="375"/>
      <c r="BE124" s="373"/>
      <c r="BF124" s="373"/>
      <c r="BG124" s="373"/>
      <c r="BH124" s="374"/>
      <c r="BI124" s="375"/>
      <c r="BJ124" s="373"/>
      <c r="BK124" s="373"/>
      <c r="BL124" s="373"/>
      <c r="BM124" s="374"/>
      <c r="BN124" s="375"/>
      <c r="BO124" s="373"/>
      <c r="BP124" s="373"/>
      <c r="BQ124" s="373"/>
      <c r="BR124" s="374"/>
      <c r="BS124" s="375"/>
      <c r="BT124" s="373"/>
      <c r="BU124" s="373"/>
      <c r="BV124" s="373"/>
      <c r="BW124" s="374"/>
      <c r="BX124" s="375"/>
      <c r="BY124" s="373">
        <f t="shared" ref="BY124:DD124" si="458">BY107/BY126*100</f>
        <v>3.5664377390775153</v>
      </c>
      <c r="BZ124" s="373">
        <f t="shared" si="458"/>
        <v>3.6453754904604523</v>
      </c>
      <c r="CA124" s="373">
        <f t="shared" si="458"/>
        <v>3.6739546577674984</v>
      </c>
      <c r="CB124" s="374">
        <f t="shared" si="458"/>
        <v>3.8543111184722512</v>
      </c>
      <c r="CC124" s="375">
        <f t="shared" si="458"/>
        <v>3.6870388707141073</v>
      </c>
      <c r="CD124" s="373">
        <f t="shared" si="458"/>
        <v>3.9411496918059132</v>
      </c>
      <c r="CE124" s="373">
        <f t="shared" si="458"/>
        <v>4.0713959026725819</v>
      </c>
      <c r="CF124" s="373">
        <f t="shared" si="458"/>
        <v>4.2063320886305249</v>
      </c>
      <c r="CG124" s="374">
        <f t="shared" si="458"/>
        <v>4.495715216939784</v>
      </c>
      <c r="CH124" s="375">
        <f t="shared" si="458"/>
        <v>4.1785966129504848</v>
      </c>
      <c r="CI124" s="373">
        <f t="shared" si="458"/>
        <v>4.5192336831030655</v>
      </c>
      <c r="CJ124" s="373">
        <f t="shared" si="458"/>
        <v>4.5916154021673643</v>
      </c>
      <c r="CK124" s="373">
        <f t="shared" si="458"/>
        <v>4.6425475804949778</v>
      </c>
      <c r="CL124" s="374">
        <f t="shared" si="458"/>
        <v>4.7152944030913035</v>
      </c>
      <c r="CM124" s="375">
        <f t="shared" si="458"/>
        <v>4.6162463859871199</v>
      </c>
      <c r="CN124" s="373">
        <f t="shared" si="458"/>
        <v>4.6531011449104085</v>
      </c>
      <c r="CO124" s="373">
        <f t="shared" si="458"/>
        <v>4.7224686282637647</v>
      </c>
      <c r="CP124" s="373">
        <f t="shared" si="458"/>
        <v>4.7686244662343542</v>
      </c>
      <c r="CQ124" s="374">
        <f t="shared" si="458"/>
        <v>5.1161478642649003</v>
      </c>
      <c r="CR124" s="375">
        <f t="shared" si="458"/>
        <v>4.813361304952859</v>
      </c>
      <c r="CS124" s="373">
        <f t="shared" si="458"/>
        <v>5.14966050029643</v>
      </c>
      <c r="CT124" s="373">
        <f t="shared" si="458"/>
        <v>5.4172375123903631</v>
      </c>
      <c r="CU124" s="373">
        <f t="shared" si="458"/>
        <v>5.7385634235918701</v>
      </c>
      <c r="CV124" s="374">
        <f t="shared" si="458"/>
        <v>5.5201486921384237</v>
      </c>
      <c r="CW124" s="375">
        <f t="shared" si="458"/>
        <v>5.457572186950296</v>
      </c>
      <c r="CX124" s="373">
        <f t="shared" si="458"/>
        <v>4.9158241803743881</v>
      </c>
      <c r="CY124" s="373">
        <f t="shared" si="458"/>
        <v>4.9619583321814948</v>
      </c>
      <c r="CZ124" s="373">
        <f t="shared" si="458"/>
        <v>5.0624422033967313</v>
      </c>
      <c r="DA124" s="373">
        <f t="shared" si="458"/>
        <v>4.9944536036766722</v>
      </c>
      <c r="DB124" s="375">
        <f t="shared" si="458"/>
        <v>4.9847369709287976</v>
      </c>
      <c r="DC124" s="373">
        <f t="shared" si="458"/>
        <v>5.1685912240184759</v>
      </c>
      <c r="DD124" s="373">
        <f t="shared" si="458"/>
        <v>5.1923076923076925</v>
      </c>
      <c r="DE124" s="373">
        <f t="shared" ref="DE124:EJ124" si="459">DE107/DE126*100</f>
        <v>5.2931034482758621</v>
      </c>
      <c r="DF124" s="373">
        <f t="shared" si="459"/>
        <v>5.2453359119583745</v>
      </c>
      <c r="DG124" s="375">
        <f t="shared" si="459"/>
        <v>5.225630519414068</v>
      </c>
      <c r="DH124" s="373">
        <f t="shared" si="459"/>
        <v>5.5391120507399583</v>
      </c>
      <c r="DI124" s="373">
        <f t="shared" si="459"/>
        <v>5.778225806451613</v>
      </c>
      <c r="DJ124" s="373">
        <f t="shared" si="459"/>
        <v>5.9813664596273295</v>
      </c>
      <c r="DK124" s="373">
        <f t="shared" si="459"/>
        <v>5.8514644351464442</v>
      </c>
      <c r="DL124" s="375">
        <f t="shared" si="459"/>
        <v>5.78860103626943</v>
      </c>
      <c r="DM124" s="373">
        <f t="shared" si="459"/>
        <v>6.1162280701754392</v>
      </c>
      <c r="DN124" s="373">
        <f t="shared" si="459"/>
        <v>6.0889830508474576</v>
      </c>
      <c r="DO124" s="373">
        <f t="shared" si="459"/>
        <v>5.8416485900216912</v>
      </c>
      <c r="DP124" s="373">
        <f t="shared" si="459"/>
        <v>5.7350427350427351</v>
      </c>
      <c r="DQ124" s="375">
        <f t="shared" si="459"/>
        <v>5.9450726978998381</v>
      </c>
      <c r="DR124" s="373">
        <f t="shared" si="459"/>
        <v>5.7400419287211744</v>
      </c>
      <c r="DS124" s="373">
        <f t="shared" si="459"/>
        <v>5.7654320987654319</v>
      </c>
      <c r="DT124" s="373">
        <f t="shared" si="459"/>
        <v>5.8347107438016526</v>
      </c>
      <c r="DU124" s="373">
        <f t="shared" si="459"/>
        <v>5.8795918367346935</v>
      </c>
      <c r="DV124" s="375">
        <f t="shared" si="459"/>
        <v>5.8053691275167782</v>
      </c>
      <c r="DW124" s="373">
        <f t="shared" si="459"/>
        <v>5.7091295116772827</v>
      </c>
      <c r="DX124" s="373">
        <f t="shared" si="459"/>
        <v>5.7073170731707323</v>
      </c>
      <c r="DY124" s="373">
        <f t="shared" si="459"/>
        <v>5.7253787878787881</v>
      </c>
      <c r="DZ124" s="373">
        <f t="shared" si="459"/>
        <v>5.5298651252408479</v>
      </c>
      <c r="EA124" s="375">
        <f t="shared" si="459"/>
        <v>5.6674792784007799</v>
      </c>
      <c r="EB124" s="373">
        <f t="shared" si="459"/>
        <v>5.2602459016393448</v>
      </c>
      <c r="EC124" s="373">
        <f t="shared" si="459"/>
        <v>5.2679611650485434</v>
      </c>
      <c r="ED124" s="373">
        <f t="shared" si="459"/>
        <v>5.2884990253411299</v>
      </c>
      <c r="EE124" s="1628">
        <f t="shared" si="459"/>
        <v>5.2349272349272349</v>
      </c>
      <c r="EF124" s="375">
        <f t="shared" si="459"/>
        <v>5.2633950926389588</v>
      </c>
      <c r="EG124" s="373">
        <f t="shared" si="459"/>
        <v>5.2494577006507592</v>
      </c>
      <c r="EH124" s="373">
        <f t="shared" si="459"/>
        <v>5.1772151898734178</v>
      </c>
      <c r="EI124" s="373">
        <f t="shared" si="459"/>
        <v>5.1827515400410684</v>
      </c>
      <c r="EJ124" s="1628">
        <f t="shared" si="459"/>
        <v>5.1552795031055894</v>
      </c>
      <c r="EK124" s="375">
        <f t="shared" ref="EK124:ER124" si="460">EK107/EK126*100</f>
        <v>5.1905511811023626</v>
      </c>
      <c r="EL124" s="373">
        <f t="shared" si="460"/>
        <v>5.1915322580645169</v>
      </c>
      <c r="EM124" s="373">
        <f t="shared" si="460"/>
        <v>5.2011834319526624</v>
      </c>
      <c r="EN124" s="373">
        <f t="shared" si="460"/>
        <v>5.2250489236790614</v>
      </c>
      <c r="EO124" s="1628">
        <f t="shared" si="460"/>
        <v>5.3273453093812373</v>
      </c>
      <c r="EP124" s="375">
        <f t="shared" ref="EP124:EQ124" si="461">EP107/EP126*100</f>
        <v>5.2362282878411905</v>
      </c>
      <c r="EQ124" s="1628">
        <f t="shared" si="461"/>
        <v>5.4339999999999993</v>
      </c>
      <c r="ER124" s="373">
        <f t="shared" si="460"/>
        <v>5.427205015704752</v>
      </c>
      <c r="ES124" s="373">
        <f t="shared" ref="ES124:EU124" si="462">ES107/ES126*100</f>
        <v>5.4502664292094529</v>
      </c>
      <c r="ET124" s="373">
        <f t="shared" si="462"/>
        <v>5.4980703319943789</v>
      </c>
      <c r="EU124" s="1961">
        <f t="shared" si="462"/>
        <v>5.4523248893307672</v>
      </c>
      <c r="EV124" s="376"/>
      <c r="EW124" s="376"/>
      <c r="EX124" s="376"/>
      <c r="EY124" s="376"/>
      <c r="EZ124" s="850">
        <f>EZ107/EZ126*100</f>
        <v>5.5655042457822548</v>
      </c>
      <c r="FA124" s="376"/>
      <c r="FB124" s="376"/>
      <c r="FC124" s="376"/>
      <c r="FD124" s="376"/>
      <c r="FE124" s="850">
        <f>FE107/FE126*100</f>
        <v>5.6553597157614766</v>
      </c>
      <c r="FF124" s="776"/>
      <c r="FG124" s="655"/>
      <c r="FH124" s="1066"/>
      <c r="FI124" s="1066"/>
      <c r="FJ124" s="1066"/>
      <c r="FK124" s="1066"/>
      <c r="FL124" s="1819"/>
      <c r="FM124" s="373">
        <f t="shared" si="448"/>
        <v>5.4339999999999993</v>
      </c>
      <c r="FN124" s="373">
        <f t="shared" si="449"/>
        <v>5.1915322580645169</v>
      </c>
      <c r="FO124" s="373">
        <v>5.3583598489716744</v>
      </c>
      <c r="FP124" s="1862">
        <f>IFERROR(($FM124/FN124)-1,"")</f>
        <v>4.6704466019417135E-2</v>
      </c>
      <c r="FQ124" s="1862">
        <f>IFERROR(($FM124/FO124)-1,"")</f>
        <v>1.4116288035944669E-2</v>
      </c>
      <c r="FR124" s="581"/>
      <c r="FS124" s="581"/>
      <c r="FT124" s="581"/>
      <c r="FU124" s="670"/>
      <c r="FV124" s="670"/>
      <c r="FW124" s="670"/>
      <c r="FX124" s="670"/>
      <c r="FY124" s="670"/>
      <c r="FZ124" s="581"/>
      <c r="GA124" s="655"/>
      <c r="GB124"/>
      <c r="GC124"/>
      <c r="GD124"/>
      <c r="GE124"/>
      <c r="GF124"/>
      <c r="GG124"/>
      <c r="GH124" s="970"/>
      <c r="GI124" s="970"/>
      <c r="GJ124" s="970"/>
      <c r="GK124" s="970"/>
      <c r="GL124" s="970"/>
      <c r="GM124" s="970"/>
      <c r="GN124" s="970"/>
      <c r="GO124" s="970"/>
      <c r="GP124" s="970"/>
      <c r="GQ124" s="970"/>
      <c r="GR124" s="970"/>
      <c r="GS124" s="970"/>
      <c r="GT124" s="970"/>
      <c r="GU124" s="970"/>
      <c r="GV124" s="970"/>
      <c r="GW124" s="970"/>
      <c r="GX124" s="970"/>
      <c r="GY124" s="970"/>
      <c r="GZ124" s="970"/>
      <c r="HA124" s="970"/>
      <c r="HB124" s="970"/>
      <c r="HC124" s="970"/>
      <c r="HD124" s="970"/>
      <c r="HE124" s="970"/>
      <c r="HF124" s="970"/>
      <c r="HG124" s="970"/>
      <c r="HH124" s="970"/>
      <c r="HI124" s="970"/>
      <c r="HJ124" s="970"/>
      <c r="HK124" s="970"/>
      <c r="HL124" s="970"/>
      <c r="HM124" s="970"/>
      <c r="HN124" s="970"/>
      <c r="HO124" s="970"/>
      <c r="HP124" s="970"/>
      <c r="HQ124" s="970"/>
      <c r="HR124" s="970"/>
      <c r="HS124" s="970"/>
      <c r="HT124" s="970"/>
      <c r="HU124" s="970"/>
      <c r="HV124" s="970"/>
      <c r="HW124" s="970"/>
      <c r="HX124" s="970"/>
      <c r="HY124" s="970"/>
      <c r="HZ124" s="970"/>
      <c r="IA124" s="970"/>
      <c r="IB124" s="970"/>
      <c r="IC124" s="970"/>
      <c r="ID124" s="970"/>
      <c r="IE124" s="970"/>
      <c r="IF124" s="970"/>
      <c r="IG124" s="970"/>
      <c r="IH124" s="970"/>
      <c r="II124" s="970"/>
      <c r="IJ124" s="970"/>
      <c r="IK124" s="970"/>
      <c r="IL124" s="970"/>
      <c r="IM124" s="970"/>
      <c r="IN124" s="970"/>
      <c r="IO124" s="970"/>
      <c r="IP124" s="970"/>
      <c r="IQ124" s="970"/>
      <c r="IR124" s="970"/>
      <c r="IS124" s="970"/>
      <c r="IT124" s="970"/>
      <c r="IU124" s="970"/>
      <c r="IV124" s="970"/>
    </row>
    <row r="125" spans="1:256" s="53" customFormat="1" ht="12.75" x14ac:dyDescent="0.2">
      <c r="A125" s="78" t="s">
        <v>74</v>
      </c>
      <c r="B125" s="15"/>
      <c r="C125" s="15"/>
      <c r="D125" s="15"/>
      <c r="E125" s="195"/>
      <c r="F125" s="14"/>
      <c r="G125" s="15"/>
      <c r="H125" s="15"/>
      <c r="I125" s="15"/>
      <c r="J125" s="195"/>
      <c r="K125" s="14"/>
      <c r="L125" s="15"/>
      <c r="M125" s="15"/>
      <c r="N125" s="15"/>
      <c r="O125" s="195"/>
      <c r="P125" s="14"/>
      <c r="Q125" s="15"/>
      <c r="R125" s="15"/>
      <c r="S125" s="15"/>
      <c r="T125" s="195"/>
      <c r="U125" s="14"/>
      <c r="V125" s="15"/>
      <c r="W125" s="15"/>
      <c r="X125" s="15"/>
      <c r="Y125" s="195"/>
      <c r="Z125" s="14"/>
      <c r="AA125" s="15"/>
      <c r="AB125" s="15"/>
      <c r="AC125" s="15"/>
      <c r="AD125" s="195"/>
      <c r="AE125" s="14"/>
      <c r="AF125" s="15"/>
      <c r="AG125" s="15"/>
      <c r="AH125" s="15"/>
      <c r="AI125" s="195"/>
      <c r="AJ125" s="14"/>
      <c r="AK125" s="15"/>
      <c r="AL125" s="15"/>
      <c r="AM125" s="15"/>
      <c r="AN125" s="195"/>
      <c r="AO125" s="14"/>
      <c r="AP125" s="15"/>
      <c r="AQ125" s="15"/>
      <c r="AR125" s="15"/>
      <c r="AS125" s="195"/>
      <c r="AT125" s="14"/>
      <c r="AU125" s="15"/>
      <c r="AV125" s="15"/>
      <c r="AW125" s="15"/>
      <c r="AX125" s="195"/>
      <c r="AY125" s="14"/>
      <c r="AZ125" s="15"/>
      <c r="BA125" s="15"/>
      <c r="BB125" s="15"/>
      <c r="BC125" s="195"/>
      <c r="BD125" s="14"/>
      <c r="BE125" s="15"/>
      <c r="BF125" s="15"/>
      <c r="BG125" s="15"/>
      <c r="BH125" s="195"/>
      <c r="BI125" s="14"/>
      <c r="BJ125" s="15"/>
      <c r="BK125" s="15"/>
      <c r="BL125" s="15"/>
      <c r="BM125" s="195"/>
      <c r="BN125" s="14"/>
      <c r="BO125" s="15"/>
      <c r="BP125" s="15"/>
      <c r="BQ125" s="15"/>
      <c r="BR125" s="195"/>
      <c r="BS125" s="14"/>
      <c r="BT125" s="15"/>
      <c r="BU125" s="15"/>
      <c r="BV125" s="15"/>
      <c r="BW125" s="195"/>
      <c r="BX125" s="14"/>
      <c r="BY125" s="15"/>
      <c r="BZ125" s="15"/>
      <c r="CA125" s="15"/>
      <c r="CB125" s="195"/>
      <c r="CC125" s="14"/>
      <c r="CD125" s="15">
        <f t="shared" ref="CD125:DY125" si="463">CD124/BY124-1</f>
        <v>0.10506616970280258</v>
      </c>
      <c r="CE125" s="15">
        <f t="shared" si="463"/>
        <v>0.11686598906668966</v>
      </c>
      <c r="CF125" s="15">
        <f t="shared" si="463"/>
        <v>0.14490582504535565</v>
      </c>
      <c r="CG125" s="195">
        <f t="shared" si="463"/>
        <v>0.16641212365901814</v>
      </c>
      <c r="CH125" s="14">
        <f t="shared" si="463"/>
        <v>0.13332046649705442</v>
      </c>
      <c r="CI125" s="15">
        <f t="shared" si="463"/>
        <v>0.14667902427026625</v>
      </c>
      <c r="CJ125" s="15">
        <f t="shared" si="463"/>
        <v>0.1277742356505529</v>
      </c>
      <c r="CK125" s="15">
        <f t="shared" si="463"/>
        <v>0.103704482354952</v>
      </c>
      <c r="CL125" s="195">
        <f t="shared" si="463"/>
        <v>4.884188066987627E-2</v>
      </c>
      <c r="CM125" s="14">
        <f t="shared" si="463"/>
        <v>0.1047360665732251</v>
      </c>
      <c r="CN125" s="15">
        <f t="shared" si="463"/>
        <v>2.9621717130463798E-2</v>
      </c>
      <c r="CO125" s="15">
        <f t="shared" si="463"/>
        <v>2.8498298449524784E-2</v>
      </c>
      <c r="CP125" s="15">
        <f t="shared" si="463"/>
        <v>2.7156832224848104E-2</v>
      </c>
      <c r="CQ125" s="195">
        <f t="shared" si="463"/>
        <v>8.5011332677510154E-2</v>
      </c>
      <c r="CR125" s="14">
        <f t="shared" si="463"/>
        <v>4.2700259579751432E-2</v>
      </c>
      <c r="CS125" s="15">
        <f t="shared" si="463"/>
        <v>0.10671578801358339</v>
      </c>
      <c r="CT125" s="15">
        <f t="shared" si="463"/>
        <v>0.14711985167427843</v>
      </c>
      <c r="CU125" s="15">
        <f t="shared" si="463"/>
        <v>0.20340015537508838</v>
      </c>
      <c r="CV125" s="195">
        <f t="shared" si="463"/>
        <v>7.8965823231063048E-2</v>
      </c>
      <c r="CW125" s="14">
        <f t="shared" si="463"/>
        <v>0.13383804812960043</v>
      </c>
      <c r="CX125" s="15">
        <f t="shared" si="463"/>
        <v>-4.5408104069886046E-2</v>
      </c>
      <c r="CY125" s="15">
        <f t="shared" si="463"/>
        <v>-8.4042683963468257E-2</v>
      </c>
      <c r="CZ125" s="15">
        <f t="shared" si="463"/>
        <v>-0.11782064086205435</v>
      </c>
      <c r="DA125" s="15">
        <f>DA124/CV124-1</f>
        <v>-9.5232052210917018E-2</v>
      </c>
      <c r="DB125" s="14">
        <f>DB124/CW124-1</f>
        <v>-8.6638380551722904E-2</v>
      </c>
      <c r="DC125" s="15">
        <f t="shared" si="463"/>
        <v>5.1419056981984568E-2</v>
      </c>
      <c r="DD125" s="15">
        <f t="shared" si="463"/>
        <v>4.6423074259256403E-2</v>
      </c>
      <c r="DE125" s="15">
        <f t="shared" si="463"/>
        <v>4.5563235215676068E-2</v>
      </c>
      <c r="DF125" s="15">
        <f>DF124/DA124-1</f>
        <v>5.0232183175555889E-2</v>
      </c>
      <c r="DG125" s="14">
        <f t="shared" si="463"/>
        <v>4.8326230629654576E-2</v>
      </c>
      <c r="DH125" s="15">
        <f>DH124/DC124-1</f>
        <v>7.1687005348705091E-2</v>
      </c>
      <c r="DI125" s="15">
        <f t="shared" si="463"/>
        <v>0.11284348864994032</v>
      </c>
      <c r="DJ125" s="15">
        <f t="shared" si="463"/>
        <v>0.13003014546705249</v>
      </c>
      <c r="DK125" s="15">
        <f t="shared" si="463"/>
        <v>0.11555571146667876</v>
      </c>
      <c r="DL125" s="14">
        <f t="shared" si="463"/>
        <v>0.10773255299314322</v>
      </c>
      <c r="DM125" s="15">
        <f t="shared" si="463"/>
        <v>0.10418926610419188</v>
      </c>
      <c r="DN125" s="15">
        <f t="shared" si="463"/>
        <v>5.3780737341360352E-2</v>
      </c>
      <c r="DO125" s="15">
        <f t="shared" si="463"/>
        <v>-2.3358854627733905E-2</v>
      </c>
      <c r="DP125" s="15">
        <f t="shared" si="463"/>
        <v>-1.9896164694162666E-2</v>
      </c>
      <c r="DQ125" s="14">
        <f t="shared" si="463"/>
        <v>2.7030997757490738E-2</v>
      </c>
      <c r="DR125" s="15">
        <f t="shared" si="463"/>
        <v>-6.150623180464132E-2</v>
      </c>
      <c r="DS125" s="15">
        <f t="shared" si="463"/>
        <v>-5.3137108344716855E-2</v>
      </c>
      <c r="DT125" s="15">
        <f t="shared" si="463"/>
        <v>-1.1876521007938567E-3</v>
      </c>
      <c r="DU125" s="15">
        <f t="shared" si="463"/>
        <v>2.5204537850907816E-2</v>
      </c>
      <c r="DV125" s="14">
        <f t="shared" si="463"/>
        <v>-2.3499051648672276E-2</v>
      </c>
      <c r="DW125" s="15">
        <f>DW124/DR124-1</f>
        <v>-5.3853991709044147E-3</v>
      </c>
      <c r="DX125" s="15">
        <f t="shared" si="463"/>
        <v>-1.0079908079594579E-2</v>
      </c>
      <c r="DY125" s="15">
        <f t="shared" si="463"/>
        <v>-1.873819641170904E-2</v>
      </c>
      <c r="DZ125" s="15">
        <f t="shared" ref="DZ125:EI125" si="464">DZ124/DU124-1</f>
        <v>-5.9481460823319843E-2</v>
      </c>
      <c r="EA125" s="14">
        <f t="shared" si="464"/>
        <v>-2.3752124298593968E-2</v>
      </c>
      <c r="EB125" s="15">
        <f t="shared" si="464"/>
        <v>-7.8625578403818785E-2</v>
      </c>
      <c r="EC125" s="15">
        <f t="shared" si="464"/>
        <v>-7.6981163388930574E-2</v>
      </c>
      <c r="ED125" s="15">
        <f t="shared" si="464"/>
        <v>-7.6305826867311799E-2</v>
      </c>
      <c r="EE125" s="1629">
        <f t="shared" si="464"/>
        <v>-5.3335458213507048E-2</v>
      </c>
      <c r="EF125" s="14">
        <f t="shared" si="464"/>
        <v>-7.1298749569639996E-2</v>
      </c>
      <c r="EG125" s="1582">
        <f t="shared" si="464"/>
        <v>-2.0508929031670675E-3</v>
      </c>
      <c r="EH125" s="1582">
        <f t="shared" si="464"/>
        <v>-1.7226014454548411E-2</v>
      </c>
      <c r="EI125" s="1582">
        <f t="shared" si="464"/>
        <v>-1.9995746391054725E-2</v>
      </c>
      <c r="EJ125" s="1582">
        <f t="shared" ref="EJ125:EN125" si="465">EJ124/EE124-1</f>
        <v>-1.5214677921450148E-2</v>
      </c>
      <c r="EK125" s="2117">
        <f t="shared" si="465"/>
        <v>-1.3839719468992762E-2</v>
      </c>
      <c r="EL125" s="1582">
        <f t="shared" si="465"/>
        <v>-1.1034557451346183E-2</v>
      </c>
      <c r="EM125" s="1582">
        <f t="shared" si="465"/>
        <v>4.6295626510033383E-3</v>
      </c>
      <c r="EN125" s="1582">
        <f t="shared" si="465"/>
        <v>8.1611829761103483E-3</v>
      </c>
      <c r="EO125" s="1582">
        <f t="shared" ref="EO125" si="466">EO124/EJ124-1</f>
        <v>3.3376620253469103E-2</v>
      </c>
      <c r="EP125" s="2117">
        <f t="shared" ref="EP125:EQ125" si="467">EP124/EK124-1</f>
        <v>8.800049386879838E-3</v>
      </c>
      <c r="EQ125" s="1582">
        <f t="shared" si="467"/>
        <v>4.6704466019417135E-2</v>
      </c>
      <c r="ER125" s="1582">
        <f t="shared" ref="ER125" si="468">ER124/EM124-1</f>
        <v>4.3455799378956828E-2</v>
      </c>
      <c r="ES125" s="22">
        <f t="shared" ref="ES125:EU125" si="469">ES124/EN124-1</f>
        <v>4.310342521574162E-2</v>
      </c>
      <c r="ET125" s="22">
        <f t="shared" si="469"/>
        <v>3.2046922566198566E-2</v>
      </c>
      <c r="EU125" s="1943">
        <f t="shared" si="469"/>
        <v>4.1269514927636974E-2</v>
      </c>
      <c r="EV125" s="39"/>
      <c r="EW125" s="39"/>
      <c r="EX125" s="39"/>
      <c r="EY125" s="39"/>
      <c r="EZ125" s="837">
        <f>EZ124/EU124-1</f>
        <v>2.075799933950373E-2</v>
      </c>
      <c r="FA125" s="39"/>
      <c r="FB125" s="39"/>
      <c r="FC125" s="39"/>
      <c r="FD125" s="39"/>
      <c r="FE125" s="837">
        <f>FE124/EZ124-1</f>
        <v>1.6145072577622654E-2</v>
      </c>
      <c r="FF125" s="759"/>
      <c r="FG125" s="655"/>
      <c r="FH125" s="1026"/>
      <c r="FI125" s="1026"/>
      <c r="FJ125" s="1026"/>
      <c r="FK125" s="1026"/>
      <c r="FL125" s="1807"/>
      <c r="FM125" s="15">
        <f t="shared" si="448"/>
        <v>4.6704466019417135E-2</v>
      </c>
      <c r="FN125" s="15">
        <f t="shared" si="449"/>
        <v>-1.1034557451346183E-2</v>
      </c>
      <c r="FO125" s="2042">
        <v>3.2134557316485513E-2</v>
      </c>
      <c r="FP125" s="1892">
        <f>IFERROR(($FM125-FN125)*10000,"")</f>
        <v>577.39023470763323</v>
      </c>
      <c r="FQ125" s="1892">
        <f>IFERROR(($FM125-FO125)*10000,"")</f>
        <v>145.69908702931622</v>
      </c>
      <c r="FR125" s="567"/>
      <c r="FS125" s="567"/>
      <c r="FT125" s="567"/>
      <c r="FU125" s="670"/>
      <c r="FV125" s="670"/>
      <c r="FW125" s="670"/>
      <c r="FX125" s="670"/>
      <c r="FY125" s="670"/>
      <c r="FZ125" s="567"/>
      <c r="GA125" s="655"/>
      <c r="GB125"/>
      <c r="GC125"/>
      <c r="GD125"/>
      <c r="GE125"/>
      <c r="GF125"/>
      <c r="GG125"/>
      <c r="GH125" s="959"/>
      <c r="GI125" s="959"/>
      <c r="GJ125" s="959"/>
      <c r="GK125" s="959"/>
      <c r="GL125" s="959"/>
      <c r="GM125" s="959"/>
      <c r="GN125" s="959"/>
      <c r="GO125" s="959"/>
      <c r="GP125" s="959"/>
      <c r="GQ125" s="959"/>
      <c r="GR125" s="959"/>
      <c r="GS125" s="959"/>
      <c r="GT125" s="959"/>
      <c r="GU125" s="959"/>
      <c r="GV125" s="959"/>
      <c r="GW125" s="959"/>
      <c r="GX125" s="959"/>
      <c r="GY125" s="959"/>
      <c r="GZ125" s="959"/>
      <c r="HA125" s="959"/>
      <c r="HB125" s="959"/>
      <c r="HC125" s="959"/>
      <c r="HD125" s="959"/>
      <c r="HE125" s="959"/>
      <c r="HF125" s="959"/>
      <c r="HG125" s="959"/>
      <c r="HH125" s="959"/>
      <c r="HI125" s="959"/>
      <c r="HJ125" s="959"/>
      <c r="HK125" s="959"/>
      <c r="HL125" s="959"/>
      <c r="HM125" s="959"/>
      <c r="HN125" s="959"/>
      <c r="HO125" s="959"/>
      <c r="HP125" s="959"/>
      <c r="HQ125" s="959"/>
      <c r="HR125" s="959"/>
      <c r="HS125" s="959"/>
      <c r="HT125" s="959"/>
      <c r="HU125" s="959"/>
      <c r="HV125" s="959"/>
      <c r="HW125" s="959"/>
      <c r="HX125" s="959"/>
      <c r="HY125" s="959"/>
      <c r="HZ125" s="959"/>
      <c r="IA125" s="959"/>
      <c r="IB125" s="959"/>
      <c r="IC125" s="959"/>
      <c r="ID125" s="959"/>
      <c r="IE125" s="959"/>
      <c r="IF125" s="959"/>
      <c r="IG125" s="959"/>
      <c r="IH125" s="959"/>
      <c r="II125" s="959"/>
      <c r="IJ125" s="959"/>
      <c r="IK125" s="959"/>
      <c r="IL125" s="959"/>
      <c r="IM125" s="959"/>
      <c r="IN125" s="959"/>
      <c r="IO125" s="959"/>
      <c r="IP125" s="959"/>
      <c r="IQ125" s="959"/>
      <c r="IR125" s="959"/>
      <c r="IS125" s="959"/>
      <c r="IT125" s="959"/>
      <c r="IU125" s="959"/>
      <c r="IV125" s="959"/>
    </row>
    <row r="126" spans="1:256" s="52" customFormat="1" ht="12.75" customHeight="1" x14ac:dyDescent="0.2">
      <c r="A126" s="372" t="s">
        <v>88</v>
      </c>
      <c r="B126" s="36"/>
      <c r="C126" s="36"/>
      <c r="D126" s="36"/>
      <c r="E126" s="200"/>
      <c r="F126" s="37"/>
      <c r="G126" s="36"/>
      <c r="H126" s="36"/>
      <c r="I126" s="36"/>
      <c r="J126" s="200"/>
      <c r="K126" s="37"/>
      <c r="L126" s="36"/>
      <c r="M126" s="36"/>
      <c r="N126" s="36"/>
      <c r="O126" s="200"/>
      <c r="P126" s="37"/>
      <c r="Q126" s="36"/>
      <c r="R126" s="36"/>
      <c r="S126" s="36"/>
      <c r="T126" s="200"/>
      <c r="U126" s="37"/>
      <c r="V126" s="36"/>
      <c r="W126" s="36"/>
      <c r="X126" s="36"/>
      <c r="Y126" s="200"/>
      <c r="Z126" s="37"/>
      <c r="AA126" s="36"/>
      <c r="AB126" s="36"/>
      <c r="AC126" s="36"/>
      <c r="AD126" s="200"/>
      <c r="AE126" s="37"/>
      <c r="AF126" s="36"/>
      <c r="AG126" s="36"/>
      <c r="AH126" s="36"/>
      <c r="AI126" s="200"/>
      <c r="AJ126" s="37"/>
      <c r="AK126" s="36"/>
      <c r="AL126" s="36"/>
      <c r="AM126" s="36"/>
      <c r="AN126" s="200"/>
      <c r="AO126" s="37"/>
      <c r="AP126" s="36"/>
      <c r="AQ126" s="36"/>
      <c r="AR126" s="36"/>
      <c r="AS126" s="200"/>
      <c r="AT126" s="37"/>
      <c r="AU126" s="36"/>
      <c r="AV126" s="36"/>
      <c r="AW126" s="36"/>
      <c r="AX126" s="200"/>
      <c r="AY126" s="37"/>
      <c r="AZ126" s="36"/>
      <c r="BA126" s="36"/>
      <c r="BB126" s="36"/>
      <c r="BC126" s="200"/>
      <c r="BD126" s="37"/>
      <c r="BE126" s="36"/>
      <c r="BF126" s="36"/>
      <c r="BG126" s="36"/>
      <c r="BH126" s="200"/>
      <c r="BI126" s="37"/>
      <c r="BJ126" s="36"/>
      <c r="BK126" s="36"/>
      <c r="BL126" s="36"/>
      <c r="BM126" s="200"/>
      <c r="BN126" s="37"/>
      <c r="BO126" s="36"/>
      <c r="BP126" s="36"/>
      <c r="BQ126" s="36"/>
      <c r="BR126" s="200"/>
      <c r="BS126" s="37"/>
      <c r="BT126" s="36"/>
      <c r="BU126" s="36"/>
      <c r="BV126" s="36"/>
      <c r="BW126" s="200"/>
      <c r="BX126" s="37"/>
      <c r="BY126" s="36">
        <f t="shared" ref="BY126:EO126" si="470">BY$29</f>
        <v>27017.835297483191</v>
      </c>
      <c r="BZ126" s="36">
        <f t="shared" si="470"/>
        <v>26522.101970242729</v>
      </c>
      <c r="CA126" s="36">
        <f t="shared" si="470"/>
        <v>26536.981996526229</v>
      </c>
      <c r="CB126" s="200">
        <f t="shared" si="470"/>
        <v>26237.095126709519</v>
      </c>
      <c r="CC126" s="37">
        <f t="shared" si="470"/>
        <v>26568.99939427774</v>
      </c>
      <c r="CD126" s="36">
        <f t="shared" si="470"/>
        <v>26706.364229607527</v>
      </c>
      <c r="CE126" s="36">
        <f t="shared" si="470"/>
        <v>26466.861561541053</v>
      </c>
      <c r="CF126" s="36">
        <f t="shared" si="470"/>
        <v>25715.145289987071</v>
      </c>
      <c r="CG126" s="200">
        <f t="shared" si="470"/>
        <v>25314.319225656156</v>
      </c>
      <c r="CH126" s="37">
        <f t="shared" si="470"/>
        <v>26038.281560494805</v>
      </c>
      <c r="CI126" s="36">
        <f t="shared" si="470"/>
        <v>26037.179206240147</v>
      </c>
      <c r="CJ126" s="36">
        <f t="shared" si="470"/>
        <v>25729.715755086319</v>
      </c>
      <c r="CK126" s="36">
        <f t="shared" si="470"/>
        <v>25890.288422939917</v>
      </c>
      <c r="CL126" s="200">
        <f t="shared" si="470"/>
        <v>25507.176103097023</v>
      </c>
      <c r="CM126" s="37">
        <f t="shared" si="470"/>
        <v>25792.034337529767</v>
      </c>
      <c r="CN126" s="36">
        <f t="shared" si="470"/>
        <v>25803.032418802042</v>
      </c>
      <c r="CO126" s="36">
        <f t="shared" si="470"/>
        <v>25925.45926413131</v>
      </c>
      <c r="CP126" s="36">
        <f t="shared" si="470"/>
        <v>25846.403907834749</v>
      </c>
      <c r="CQ126" s="200">
        <f t="shared" si="470"/>
        <v>25648.775746237054</v>
      </c>
      <c r="CR126" s="37">
        <f t="shared" si="470"/>
        <v>25807.2619417879</v>
      </c>
      <c r="CS126" s="36">
        <f t="shared" si="470"/>
        <v>26557.379453872087</v>
      </c>
      <c r="CT126" s="36">
        <f t="shared" si="470"/>
        <v>26849.434411876653</v>
      </c>
      <c r="CU126" s="36">
        <f t="shared" si="470"/>
        <v>26608.315307325542</v>
      </c>
      <c r="CV126" s="200">
        <f t="shared" si="470"/>
        <v>26272.238605054037</v>
      </c>
      <c r="CW126" s="37">
        <f t="shared" si="470"/>
        <v>26579.12381822832</v>
      </c>
      <c r="CX126" s="36">
        <f t="shared" si="470"/>
        <v>27154.037422542719</v>
      </c>
      <c r="CY126" s="36">
        <f t="shared" si="470"/>
        <v>26499.143174063538</v>
      </c>
      <c r="CZ126" s="36">
        <f t="shared" si="470"/>
        <v>26771.174959459186</v>
      </c>
      <c r="DA126" s="36">
        <f t="shared" si="470"/>
        <v>26905.803170536339</v>
      </c>
      <c r="DB126" s="37">
        <f t="shared" si="470"/>
        <v>26835.649376250385</v>
      </c>
      <c r="DC126" s="36">
        <f t="shared" si="470"/>
        <v>27354.855012950909</v>
      </c>
      <c r="DD126" s="36">
        <f t="shared" si="470"/>
        <v>27212.466565879757</v>
      </c>
      <c r="DE126" s="36">
        <f t="shared" si="470"/>
        <v>26474.951500627642</v>
      </c>
      <c r="DF126" s="36">
        <f t="shared" si="470"/>
        <v>26685.393258426964</v>
      </c>
      <c r="DG126" s="37">
        <f t="shared" si="470"/>
        <v>26921.541668514656</v>
      </c>
      <c r="DH126" s="36">
        <f t="shared" si="470"/>
        <v>27641.421224871432</v>
      </c>
      <c r="DI126" s="36">
        <f t="shared" si="470"/>
        <v>27757.568974201127</v>
      </c>
      <c r="DJ126" s="36">
        <f t="shared" si="470"/>
        <v>26686.557268357366</v>
      </c>
      <c r="DK126" s="36">
        <f t="shared" si="470"/>
        <v>26457.076437704101</v>
      </c>
      <c r="DL126" s="37">
        <f t="shared" si="470"/>
        <v>27126.934375307461</v>
      </c>
      <c r="DM126" s="36">
        <f t="shared" si="470"/>
        <v>26346.198289808181</v>
      </c>
      <c r="DN126" s="36">
        <f t="shared" si="470"/>
        <v>26232.42372033569</v>
      </c>
      <c r="DO126" s="36">
        <f t="shared" si="470"/>
        <v>25826.330532212887</v>
      </c>
      <c r="DP126" s="36">
        <f t="shared" si="470"/>
        <v>26114.614139835947</v>
      </c>
      <c r="DQ126" s="37">
        <f t="shared" si="470"/>
        <v>26128.433138226021</v>
      </c>
      <c r="DR126" s="36">
        <f t="shared" si="470"/>
        <v>26743.664498766539</v>
      </c>
      <c r="DS126" s="36">
        <f t="shared" si="470"/>
        <v>26438.907627026441</v>
      </c>
      <c r="DT126" s="36">
        <f t="shared" si="470"/>
        <v>26062.139895536053</v>
      </c>
      <c r="DU126" s="36">
        <f t="shared" si="470"/>
        <v>26315.78947368421</v>
      </c>
      <c r="DV126" s="37">
        <f t="shared" si="470"/>
        <v>26386.410385647538</v>
      </c>
      <c r="DW126" s="36">
        <f>DW$29</f>
        <v>26721.88811982299</v>
      </c>
      <c r="DX126" s="36">
        <f t="shared" si="470"/>
        <v>26877.111592960518</v>
      </c>
      <c r="DY126" s="36">
        <f t="shared" si="470"/>
        <v>26386.806596701648</v>
      </c>
      <c r="DZ126" s="36">
        <f t="shared" si="470"/>
        <v>26916.294990146253</v>
      </c>
      <c r="EA126" s="37">
        <f t="shared" si="470"/>
        <v>26723.475224432892</v>
      </c>
      <c r="EB126" s="36">
        <f>EB$29</f>
        <v>27079.518339714778</v>
      </c>
      <c r="EC126" s="36">
        <f t="shared" si="470"/>
        <v>26586.133911517216</v>
      </c>
      <c r="ED126" s="36">
        <f t="shared" si="470"/>
        <v>26493.828435676292</v>
      </c>
      <c r="EE126" s="1630">
        <f t="shared" si="470"/>
        <v>26671.842076078516</v>
      </c>
      <c r="EF126" s="37">
        <f t="shared" si="470"/>
        <v>26701.78769605156</v>
      </c>
      <c r="EG126" s="36">
        <f>EG$29</f>
        <v>26236.412270217974</v>
      </c>
      <c r="EH126" s="36">
        <f t="shared" si="470"/>
        <v>26326.020549847264</v>
      </c>
      <c r="EI126" s="36">
        <f t="shared" si="470"/>
        <v>26151.863387391259</v>
      </c>
      <c r="EJ126" s="1630">
        <f t="shared" si="470"/>
        <v>26251.42670797326</v>
      </c>
      <c r="EK126" s="37">
        <f t="shared" si="470"/>
        <v>26240.753750154963</v>
      </c>
      <c r="EL126" s="36">
        <f>EL$29</f>
        <v>26860.175457597743</v>
      </c>
      <c r="EM126" s="36">
        <f t="shared" si="470"/>
        <v>26533.389156374295</v>
      </c>
      <c r="EN126" s="36">
        <f t="shared" si="470"/>
        <v>26490.409538621047</v>
      </c>
      <c r="EO126" s="1630">
        <f t="shared" si="470"/>
        <v>26024.622097553376</v>
      </c>
      <c r="EP126" s="37">
        <f t="shared" ref="EP126" si="471">EP$29</f>
        <v>26473.099914602906</v>
      </c>
      <c r="EQ126" s="1630">
        <f>EQ$29</f>
        <v>26254.988447805084</v>
      </c>
      <c r="ER126" s="36">
        <f t="shared" ref="ER126:EU126" si="472">ER$29</f>
        <v>26191.278486522493</v>
      </c>
      <c r="ES126" s="36">
        <f t="shared" si="472"/>
        <v>26019.575421975864</v>
      </c>
      <c r="ET126" s="36">
        <f t="shared" si="472"/>
        <v>25779.718982933078</v>
      </c>
      <c r="EU126" s="1944">
        <f t="shared" si="472"/>
        <v>26059.592010160959</v>
      </c>
      <c r="EV126" s="38"/>
      <c r="EW126" s="38"/>
      <c r="EX126" s="38"/>
      <c r="EY126" s="38"/>
      <c r="EZ126" s="838">
        <f>EZ$29</f>
        <v>25949.279750190701</v>
      </c>
      <c r="FA126" s="38"/>
      <c r="FB126" s="38"/>
      <c r="FC126" s="38"/>
      <c r="FD126" s="38"/>
      <c r="FE126" s="838">
        <f>FE$29</f>
        <v>25889.942534401067</v>
      </c>
      <c r="FF126" s="758"/>
      <c r="FG126" s="655"/>
      <c r="FH126" s="1059"/>
      <c r="FI126" s="1059"/>
      <c r="FJ126" s="1059"/>
      <c r="FK126" s="1059"/>
      <c r="FL126" s="1808"/>
      <c r="FM126" s="36">
        <f t="shared" si="448"/>
        <v>26254.988447805084</v>
      </c>
      <c r="FN126" s="36">
        <f t="shared" si="449"/>
        <v>26860.175457597743</v>
      </c>
      <c r="FO126" s="36">
        <v>26266.54789130234</v>
      </c>
      <c r="FP126" s="1862">
        <f>IFERROR(($FM126/FN126)-1,"")</f>
        <v>-2.2531014763772617E-2</v>
      </c>
      <c r="FQ126" s="1862">
        <f>IFERROR(($FM126/FO126)-1,"")</f>
        <v>-4.400823262002973E-4</v>
      </c>
      <c r="FR126" s="572"/>
      <c r="FS126" s="572"/>
      <c r="FT126" s="572"/>
      <c r="FU126" s="670"/>
      <c r="FV126" s="670"/>
      <c r="FW126" s="670"/>
      <c r="FX126" s="670"/>
      <c r="FY126" s="670"/>
      <c r="FZ126" s="572"/>
      <c r="GA126" s="655"/>
      <c r="GB126"/>
      <c r="GC126"/>
      <c r="GD126"/>
      <c r="GE126"/>
      <c r="GF126"/>
      <c r="GG126"/>
      <c r="GH126" s="958"/>
      <c r="GI126" s="958"/>
      <c r="GJ126" s="958"/>
      <c r="GK126" s="958"/>
      <c r="GL126" s="958"/>
      <c r="GM126" s="958"/>
      <c r="GN126" s="958"/>
      <c r="GO126" s="958"/>
      <c r="GP126" s="958"/>
      <c r="GQ126" s="958"/>
      <c r="GR126" s="958"/>
      <c r="GS126" s="958"/>
      <c r="GT126" s="958"/>
      <c r="GU126" s="958"/>
      <c r="GV126" s="958"/>
      <c r="GW126" s="958"/>
      <c r="GX126" s="958"/>
      <c r="GY126" s="958"/>
      <c r="GZ126" s="958"/>
      <c r="HA126" s="958"/>
      <c r="HB126" s="958"/>
      <c r="HC126" s="958"/>
      <c r="HD126" s="958"/>
      <c r="HE126" s="958"/>
      <c r="HF126" s="958"/>
      <c r="HG126" s="958"/>
      <c r="HH126" s="958"/>
      <c r="HI126" s="958"/>
      <c r="HJ126" s="958"/>
      <c r="HK126" s="958"/>
      <c r="HL126" s="958"/>
      <c r="HM126" s="958"/>
      <c r="HN126" s="958"/>
      <c r="HO126" s="958"/>
      <c r="HP126" s="958"/>
      <c r="HQ126" s="958"/>
      <c r="HR126" s="958"/>
      <c r="HS126" s="958"/>
      <c r="HT126" s="958"/>
      <c r="HU126" s="958"/>
      <c r="HV126" s="958"/>
      <c r="HW126" s="958"/>
      <c r="HX126" s="958"/>
      <c r="HY126" s="958"/>
      <c r="HZ126" s="958"/>
      <c r="IA126" s="958"/>
      <c r="IB126" s="958"/>
      <c r="IC126" s="958"/>
      <c r="ID126" s="958"/>
      <c r="IE126" s="958"/>
      <c r="IF126" s="958"/>
      <c r="IG126" s="958"/>
      <c r="IH126" s="958"/>
      <c r="II126" s="958"/>
      <c r="IJ126" s="958"/>
      <c r="IK126" s="958"/>
      <c r="IL126" s="958"/>
      <c r="IM126" s="958"/>
      <c r="IN126" s="958"/>
      <c r="IO126" s="958"/>
      <c r="IP126" s="958"/>
      <c r="IQ126" s="958"/>
      <c r="IR126" s="958"/>
      <c r="IS126" s="958"/>
      <c r="IT126" s="958"/>
      <c r="IU126" s="958"/>
      <c r="IV126" s="958"/>
    </row>
    <row r="127" spans="1:256" s="53" customFormat="1" ht="12.75" x14ac:dyDescent="0.2">
      <c r="A127" s="78" t="s">
        <v>74</v>
      </c>
      <c r="B127" s="15"/>
      <c r="C127" s="15"/>
      <c r="D127" s="15"/>
      <c r="E127" s="195"/>
      <c r="F127" s="14"/>
      <c r="G127" s="15"/>
      <c r="H127" s="15"/>
      <c r="I127" s="15"/>
      <c r="J127" s="195"/>
      <c r="K127" s="14"/>
      <c r="L127" s="15"/>
      <c r="M127" s="15"/>
      <c r="N127" s="15"/>
      <c r="O127" s="195"/>
      <c r="P127" s="14"/>
      <c r="Q127" s="15"/>
      <c r="R127" s="15"/>
      <c r="S127" s="15"/>
      <c r="T127" s="195"/>
      <c r="U127" s="14"/>
      <c r="V127" s="15"/>
      <c r="W127" s="15"/>
      <c r="X127" s="15"/>
      <c r="Y127" s="195"/>
      <c r="Z127" s="14"/>
      <c r="AA127" s="15"/>
      <c r="AB127" s="15"/>
      <c r="AC127" s="15"/>
      <c r="AD127" s="195"/>
      <c r="AE127" s="14"/>
      <c r="AF127" s="15"/>
      <c r="AG127" s="15"/>
      <c r="AH127" s="15"/>
      <c r="AI127" s="195"/>
      <c r="AJ127" s="14"/>
      <c r="AK127" s="15"/>
      <c r="AL127" s="15"/>
      <c r="AM127" s="15"/>
      <c r="AN127" s="195"/>
      <c r="AO127" s="14"/>
      <c r="AP127" s="15"/>
      <c r="AQ127" s="15"/>
      <c r="AR127" s="15"/>
      <c r="AS127" s="195"/>
      <c r="AT127" s="14"/>
      <c r="AU127" s="15"/>
      <c r="AV127" s="15"/>
      <c r="AW127" s="15"/>
      <c r="AX127" s="195"/>
      <c r="AY127" s="14"/>
      <c r="AZ127" s="15"/>
      <c r="BA127" s="15"/>
      <c r="BB127" s="15"/>
      <c r="BC127" s="195"/>
      <c r="BD127" s="14"/>
      <c r="BE127" s="15"/>
      <c r="BF127" s="15"/>
      <c r="BG127" s="15"/>
      <c r="BH127" s="195"/>
      <c r="BI127" s="14"/>
      <c r="BJ127" s="15"/>
      <c r="BK127" s="15"/>
      <c r="BL127" s="15"/>
      <c r="BM127" s="195"/>
      <c r="BN127" s="14"/>
      <c r="BO127" s="15"/>
      <c r="BP127" s="15"/>
      <c r="BQ127" s="15"/>
      <c r="BR127" s="195"/>
      <c r="BS127" s="14"/>
      <c r="BT127" s="15"/>
      <c r="BU127" s="15"/>
      <c r="BV127" s="15"/>
      <c r="BW127" s="195"/>
      <c r="BX127" s="14"/>
      <c r="BY127" s="15"/>
      <c r="BZ127" s="15"/>
      <c r="CA127" s="15"/>
      <c r="CB127" s="195"/>
      <c r="CC127" s="14"/>
      <c r="CD127" s="15">
        <f t="shared" ref="CD127:DU127" si="473">CD126/BY126-1</f>
        <v>-1.1528350234064733E-2</v>
      </c>
      <c r="CE127" s="15">
        <f t="shared" si="473"/>
        <v>-2.0828065876398183E-3</v>
      </c>
      <c r="CF127" s="15">
        <f t="shared" si="473"/>
        <v>-3.0969486531917556E-2</v>
      </c>
      <c r="CG127" s="195">
        <f t="shared" si="473"/>
        <v>-3.5170658054823001E-2</v>
      </c>
      <c r="CH127" s="14">
        <f t="shared" si="473"/>
        <v>-1.9975077943553909E-2</v>
      </c>
      <c r="CI127" s="15">
        <f t="shared" si="473"/>
        <v>-2.5057136853750328E-2</v>
      </c>
      <c r="CJ127" s="15">
        <f t="shared" si="473"/>
        <v>-2.7851651573448266E-2</v>
      </c>
      <c r="CK127" s="15">
        <f t="shared" si="473"/>
        <v>6.8108941628668429E-3</v>
      </c>
      <c r="CL127" s="195">
        <f t="shared" si="473"/>
        <v>7.6184895877193792E-3</v>
      </c>
      <c r="CM127" s="14">
        <f t="shared" si="473"/>
        <v>-9.4571226750479465E-3</v>
      </c>
      <c r="CN127" s="15">
        <f t="shared" si="473"/>
        <v>-8.9927862608860654E-3</v>
      </c>
      <c r="CO127" s="15">
        <f t="shared" si="473"/>
        <v>7.6076825297339834E-3</v>
      </c>
      <c r="CP127" s="15">
        <f t="shared" si="473"/>
        <v>-1.6950183940895869E-3</v>
      </c>
      <c r="CQ127" s="195">
        <f t="shared" si="473"/>
        <v>5.5513649401133236E-3</v>
      </c>
      <c r="CR127" s="14">
        <f t="shared" si="473"/>
        <v>5.9039950315109557E-4</v>
      </c>
      <c r="CS127" s="15">
        <f t="shared" si="473"/>
        <v>2.9234821040660774E-2</v>
      </c>
      <c r="CT127" s="15">
        <f t="shared" si="473"/>
        <v>3.56396829206298E-2</v>
      </c>
      <c r="CU127" s="15">
        <f t="shared" si="473"/>
        <v>2.9478429657281424E-2</v>
      </c>
      <c r="CV127" s="195">
        <f t="shared" si="473"/>
        <v>2.4307704390469809E-2</v>
      </c>
      <c r="CW127" s="14">
        <f t="shared" si="473"/>
        <v>2.9908708571311005E-2</v>
      </c>
      <c r="CX127" s="15">
        <f t="shared" si="473"/>
        <v>2.2466748637868239E-2</v>
      </c>
      <c r="CY127" s="15">
        <f t="shared" si="473"/>
        <v>-1.3046503417523225E-2</v>
      </c>
      <c r="CZ127" s="15">
        <f t="shared" si="473"/>
        <v>6.1206299704665845E-3</v>
      </c>
      <c r="DA127" s="15">
        <f t="shared" si="473"/>
        <v>2.4115362798220907E-2</v>
      </c>
      <c r="DB127" s="14">
        <f t="shared" si="473"/>
        <v>9.6513925656998012E-3</v>
      </c>
      <c r="DC127" s="15">
        <f t="shared" si="473"/>
        <v>7.3954965621971791E-3</v>
      </c>
      <c r="DD127" s="15">
        <f t="shared" si="473"/>
        <v>2.6918734207013628E-2</v>
      </c>
      <c r="DE127" s="15">
        <f t="shared" si="473"/>
        <v>-1.1065015236728648E-2</v>
      </c>
      <c r="DF127" s="15">
        <f t="shared" si="473"/>
        <v>-8.1919097791787188E-3</v>
      </c>
      <c r="DG127" s="14">
        <f t="shared" si="473"/>
        <v>3.200678733725093E-3</v>
      </c>
      <c r="DH127" s="15">
        <f t="shared" si="473"/>
        <v>1.0475881220531003E-2</v>
      </c>
      <c r="DI127" s="15">
        <f t="shared" si="473"/>
        <v>2.0031348757074685E-2</v>
      </c>
      <c r="DJ127" s="15">
        <f t="shared" si="473"/>
        <v>7.992678200929193E-3</v>
      </c>
      <c r="DK127" s="15">
        <f t="shared" si="473"/>
        <v>-8.5558724397198915E-3</v>
      </c>
      <c r="DL127" s="14">
        <f>DL126/DG126-1</f>
        <v>7.6293070182165135E-3</v>
      </c>
      <c r="DM127" s="15">
        <f t="shared" si="473"/>
        <v>-4.6858044111632857E-2</v>
      </c>
      <c r="DN127" s="15">
        <f t="shared" si="473"/>
        <v>-5.4945202704277274E-2</v>
      </c>
      <c r="DO127" s="15">
        <f t="shared" si="473"/>
        <v>-3.2234459000991533E-2</v>
      </c>
      <c r="DP127" s="15">
        <f t="shared" si="473"/>
        <v>-1.2944071831765602E-2</v>
      </c>
      <c r="DQ127" s="14">
        <f>DQ126/DL126-1</f>
        <v>-3.6808480577530167E-2</v>
      </c>
      <c r="DR127" s="15">
        <f t="shared" si="473"/>
        <v>1.5086283211954488E-2</v>
      </c>
      <c r="DS127" s="15">
        <f t="shared" si="473"/>
        <v>7.8713240107768367E-3</v>
      </c>
      <c r="DT127" s="15">
        <f>DT$30</f>
        <v>9.1305794692375652E-3</v>
      </c>
      <c r="DU127" s="15">
        <f t="shared" si="473"/>
        <v>7.7035537561853662E-3</v>
      </c>
      <c r="DV127" s="14">
        <f>DV126/DQ126-1</f>
        <v>9.8734296869908977E-3</v>
      </c>
      <c r="DW127" s="15">
        <f>DW126/DR126-1</f>
        <v>-8.1426309190169022E-4</v>
      </c>
      <c r="DX127" s="15">
        <f>DX126/DS126-1</f>
        <v>1.6574208439918081E-2</v>
      </c>
      <c r="DY127" s="15">
        <f>DY$30</f>
        <v>1.2457407659806297E-2</v>
      </c>
      <c r="DZ127" s="15">
        <f>DZ126/DU126-1</f>
        <v>2.2819209625557724E-2</v>
      </c>
      <c r="EA127" s="14">
        <f>EA126/DV126-1</f>
        <v>1.2774183144240725E-2</v>
      </c>
      <c r="EB127" s="15">
        <f>EB126/DW126-1</f>
        <v>1.3383418802149993E-2</v>
      </c>
      <c r="EC127" s="15">
        <f>EC126/DX126-1</f>
        <v>-1.0826225892499264E-2</v>
      </c>
      <c r="ED127" s="15">
        <f>ED$30</f>
        <v>4.055884465686832E-3</v>
      </c>
      <c r="EE127" s="1629">
        <f>EE126/DZ126-1</f>
        <v>-9.0819674162891939E-3</v>
      </c>
      <c r="EF127" s="14">
        <f>EF126/EA126-1</f>
        <v>-8.115534450213735E-4</v>
      </c>
      <c r="EG127" s="15">
        <f>EG126/EB126-1</f>
        <v>-3.1134455898364499E-2</v>
      </c>
      <c r="EH127" s="15">
        <f>EH126/EC126-1</f>
        <v>-9.7837979202108905E-3</v>
      </c>
      <c r="EI127" s="15">
        <f>EI$30</f>
        <v>-1.2907347426789673E-2</v>
      </c>
      <c r="EJ127" s="1629">
        <f>EJ126/EE126-1</f>
        <v>-1.5762517148461885E-2</v>
      </c>
      <c r="EK127" s="14">
        <f>EK126/EF126-1</f>
        <v>-1.7266032939239118E-2</v>
      </c>
      <c r="EL127" s="15">
        <f>EL126/EG126-1</f>
        <v>2.3774713590997587E-2</v>
      </c>
      <c r="EM127" s="15">
        <f>EM126/EH126-1</f>
        <v>7.8769446424455936E-3</v>
      </c>
      <c r="EN127" s="15">
        <f>EN$30</f>
        <v>1.2945393076388312E-2</v>
      </c>
      <c r="EO127" s="1629">
        <f>EO126/EJ126-1</f>
        <v>-8.6397060602804165E-3</v>
      </c>
      <c r="EP127" s="14">
        <f>EP126/EK126-1</f>
        <v>8.8544013125602117E-3</v>
      </c>
      <c r="EQ127" s="1629">
        <f>EQ126/EL126-1</f>
        <v>-2.2531014763772617E-2</v>
      </c>
      <c r="ER127" s="15">
        <f>ER$30</f>
        <v>-1.2893591083882106E-2</v>
      </c>
      <c r="ES127" s="15">
        <f>ES$30</f>
        <v>-1.7773757553983471E-2</v>
      </c>
      <c r="ET127" s="15">
        <f>ET$30</f>
        <v>-9.4104388414278928E-3</v>
      </c>
      <c r="EU127" s="1943">
        <f>EU126/EP126-1</f>
        <v>-1.5619927616178031E-2</v>
      </c>
      <c r="EV127" s="39"/>
      <c r="EW127" s="39"/>
      <c r="EX127" s="39"/>
      <c r="EY127" s="39"/>
      <c r="EZ127" s="837">
        <f>EZ$30</f>
        <v>-4.233077015451614E-3</v>
      </c>
      <c r="FA127" s="39"/>
      <c r="FB127" s="39"/>
      <c r="FC127" s="39"/>
      <c r="FD127" s="39"/>
      <c r="FE127" s="837">
        <f>FE$30</f>
        <v>-2.2866613779212175E-3</v>
      </c>
      <c r="FF127" s="759"/>
      <c r="FG127" s="625"/>
      <c r="FH127" s="1026"/>
      <c r="FI127" s="1026"/>
      <c r="FJ127" s="1026"/>
      <c r="FK127" s="1026"/>
      <c r="FL127" s="1807"/>
      <c r="FM127" s="15">
        <f t="shared" si="448"/>
        <v>-2.2531014763772617E-2</v>
      </c>
      <c r="FN127" s="15">
        <f t="shared" si="449"/>
        <v>2.3774713590997587E-2</v>
      </c>
      <c r="FO127" s="2042">
        <v>-2.2100658546796215E-2</v>
      </c>
      <c r="FP127" s="1892">
        <f>IFERROR(($FM127-FN127)*10000,"")</f>
        <v>-463.05728354770201</v>
      </c>
      <c r="FQ127" s="1892">
        <f>IFERROR(($FM127-FO127)*10000,"")</f>
        <v>-4.3035621697640192</v>
      </c>
      <c r="FR127" s="567"/>
      <c r="FS127" s="567"/>
      <c r="FT127" s="567"/>
      <c r="FU127" s="670"/>
      <c r="FV127" s="670"/>
      <c r="FW127" s="670"/>
      <c r="FX127" s="670"/>
      <c r="FY127" s="670"/>
      <c r="FZ127" s="567"/>
      <c r="GA127" s="625"/>
      <c r="GB127"/>
      <c r="GC127"/>
      <c r="GD127"/>
      <c r="GE127"/>
      <c r="GF127"/>
      <c r="GG127"/>
      <c r="GH127" s="959"/>
      <c r="GI127" s="959"/>
      <c r="GJ127" s="959"/>
      <c r="GK127" s="959"/>
      <c r="GL127" s="959"/>
      <c r="GM127" s="959"/>
      <c r="GN127" s="959"/>
      <c r="GO127" s="959"/>
      <c r="GP127" s="959"/>
      <c r="GQ127" s="959"/>
      <c r="GR127" s="959"/>
      <c r="GS127" s="959"/>
      <c r="GT127" s="959"/>
      <c r="GU127" s="959"/>
      <c r="GV127" s="959"/>
      <c r="GW127" s="959"/>
      <c r="GX127" s="959"/>
      <c r="GY127" s="959"/>
      <c r="GZ127" s="959"/>
      <c r="HA127" s="959"/>
      <c r="HB127" s="959"/>
      <c r="HC127" s="959"/>
      <c r="HD127" s="959"/>
      <c r="HE127" s="959"/>
      <c r="HF127" s="959"/>
      <c r="HG127" s="959"/>
      <c r="HH127" s="959"/>
      <c r="HI127" s="959"/>
      <c r="HJ127" s="959"/>
      <c r="HK127" s="959"/>
      <c r="HL127" s="959"/>
      <c r="HM127" s="959"/>
      <c r="HN127" s="959"/>
      <c r="HO127" s="959"/>
      <c r="HP127" s="959"/>
      <c r="HQ127" s="959"/>
      <c r="HR127" s="959"/>
      <c r="HS127" s="959"/>
      <c r="HT127" s="959"/>
      <c r="HU127" s="959"/>
      <c r="HV127" s="959"/>
      <c r="HW127" s="959"/>
      <c r="HX127" s="959"/>
      <c r="HY127" s="959"/>
      <c r="HZ127" s="959"/>
      <c r="IA127" s="959"/>
      <c r="IB127" s="959"/>
      <c r="IC127" s="959"/>
      <c r="ID127" s="959"/>
      <c r="IE127" s="959"/>
      <c r="IF127" s="959"/>
      <c r="IG127" s="959"/>
      <c r="IH127" s="959"/>
      <c r="II127" s="959"/>
      <c r="IJ127" s="959"/>
      <c r="IK127" s="959"/>
      <c r="IL127" s="959"/>
      <c r="IM127" s="959"/>
      <c r="IN127" s="959"/>
      <c r="IO127" s="959"/>
      <c r="IP127" s="959"/>
      <c r="IQ127" s="959"/>
      <c r="IR127" s="959"/>
      <c r="IS127" s="959"/>
      <c r="IT127" s="959"/>
      <c r="IU127" s="959"/>
      <c r="IV127" s="959"/>
    </row>
    <row r="128" spans="1:256" s="187" customFormat="1" ht="12.75" x14ac:dyDescent="0.2">
      <c r="A128" s="378" t="s">
        <v>245</v>
      </c>
      <c r="B128" s="186"/>
      <c r="C128" s="186"/>
      <c r="D128" s="186"/>
      <c r="E128" s="209"/>
      <c r="F128" s="185"/>
      <c r="G128" s="186"/>
      <c r="H128" s="186"/>
      <c r="I128" s="186"/>
      <c r="J128" s="209"/>
      <c r="K128" s="185"/>
      <c r="L128" s="186"/>
      <c r="M128" s="186"/>
      <c r="N128" s="186"/>
      <c r="O128" s="209"/>
      <c r="P128" s="185"/>
      <c r="Q128" s="186"/>
      <c r="R128" s="186"/>
      <c r="S128" s="186"/>
      <c r="T128" s="209"/>
      <c r="U128" s="185"/>
      <c r="V128" s="186"/>
      <c r="W128" s="186"/>
      <c r="X128" s="186"/>
      <c r="Y128" s="209"/>
      <c r="Z128" s="185"/>
      <c r="AA128" s="186"/>
      <c r="AB128" s="186"/>
      <c r="AC128" s="186"/>
      <c r="AD128" s="209"/>
      <c r="AE128" s="185"/>
      <c r="AF128" s="186"/>
      <c r="AG128" s="186"/>
      <c r="AH128" s="186"/>
      <c r="AI128" s="209"/>
      <c r="AJ128" s="185"/>
      <c r="AK128" s="186"/>
      <c r="AL128" s="186"/>
      <c r="AM128" s="186"/>
      <c r="AN128" s="209"/>
      <c r="AO128" s="185"/>
      <c r="AP128" s="186"/>
      <c r="AQ128" s="186"/>
      <c r="AR128" s="186"/>
      <c r="AS128" s="209"/>
      <c r="AT128" s="185"/>
      <c r="AU128" s="186"/>
      <c r="AV128" s="186"/>
      <c r="AW128" s="186"/>
      <c r="AX128" s="209"/>
      <c r="AY128" s="185"/>
      <c r="AZ128" s="186"/>
      <c r="BA128" s="186"/>
      <c r="BB128" s="186"/>
      <c r="BC128" s="209"/>
      <c r="BD128" s="185"/>
      <c r="BE128" s="186"/>
      <c r="BF128" s="186"/>
      <c r="BG128" s="186"/>
      <c r="BH128" s="209"/>
      <c r="BI128" s="185"/>
      <c r="BJ128" s="186"/>
      <c r="BK128" s="186"/>
      <c r="BL128" s="186"/>
      <c r="BM128" s="209"/>
      <c r="BN128" s="185"/>
      <c r="BO128" s="186"/>
      <c r="BP128" s="186"/>
      <c r="BQ128" s="186"/>
      <c r="BR128" s="209"/>
      <c r="BS128" s="185"/>
      <c r="BT128" s="186"/>
      <c r="BU128" s="186"/>
      <c r="BV128" s="186"/>
      <c r="BW128" s="209"/>
      <c r="BX128" s="185"/>
      <c r="BY128" s="186"/>
      <c r="BZ128" s="186"/>
      <c r="CA128" s="186"/>
      <c r="CB128" s="209"/>
      <c r="CC128" s="185"/>
      <c r="CD128" s="186">
        <f t="shared" ref="CD128:DV128" si="474">SUM(CD129:CD131)</f>
        <v>-25.958222658593428</v>
      </c>
      <c r="CE128" s="186">
        <f t="shared" si="474"/>
        <v>-9.8208520373640287</v>
      </c>
      <c r="CF128" s="186">
        <f t="shared" si="474"/>
        <v>-62.753938438230065</v>
      </c>
      <c r="CG128" s="209">
        <f t="shared" si="474"/>
        <v>-72.781193340204155</v>
      </c>
      <c r="CH128" s="185">
        <f t="shared" si="474"/>
        <v>-171.31420647439168</v>
      </c>
      <c r="CI128" s="186">
        <f t="shared" si="474"/>
        <v>-52.408923125004975</v>
      </c>
      <c r="CJ128" s="186">
        <f t="shared" si="474"/>
        <v>-62.848248588161013</v>
      </c>
      <c r="CK128" s="186">
        <f t="shared" si="474"/>
        <v>10.600986924924575</v>
      </c>
      <c r="CL128" s="209">
        <f t="shared" si="474"/>
        <v>8.8362371637313633</v>
      </c>
      <c r="CM128" s="185">
        <f t="shared" si="474"/>
        <v>-95.81994762451005</v>
      </c>
      <c r="CN128" s="186">
        <f t="shared" si="474"/>
        <v>-29.572087985264112</v>
      </c>
      <c r="CO128" s="186">
        <f t="shared" si="474"/>
        <v>14.673627674472835</v>
      </c>
      <c r="CP128" s="186">
        <f t="shared" si="474"/>
        <v>-5.5210194061821003</v>
      </c>
      <c r="CQ128" s="209">
        <f t="shared" si="474"/>
        <v>14.05402719334211</v>
      </c>
      <c r="CR128" s="185">
        <f t="shared" si="474"/>
        <v>-6.3654525236312693</v>
      </c>
      <c r="CS128" s="186">
        <f t="shared" si="474"/>
        <v>-16.052411517485375</v>
      </c>
      <c r="CT128" s="186">
        <f t="shared" si="474"/>
        <v>-2.6426427399687498</v>
      </c>
      <c r="CU128" s="186">
        <f t="shared" si="474"/>
        <v>10.835548182212719</v>
      </c>
      <c r="CV128" s="209">
        <f t="shared" si="474"/>
        <v>-37.617876962985356</v>
      </c>
      <c r="CW128" s="185">
        <f t="shared" si="474"/>
        <v>-45.477383038226748</v>
      </c>
      <c r="CX128" s="186">
        <f t="shared" si="474"/>
        <v>38.687095428015226</v>
      </c>
      <c r="CY128" s="186">
        <f t="shared" si="474"/>
        <v>7.0806986825381131</v>
      </c>
      <c r="CZ128" s="186">
        <f t="shared" si="474"/>
        <v>31.344417907654993</v>
      </c>
      <c r="DA128" s="186">
        <f t="shared" si="474"/>
        <v>-11.70785718290513</v>
      </c>
      <c r="DB128" s="185">
        <f t="shared" si="474"/>
        <v>65.404354835303209</v>
      </c>
      <c r="DC128" s="186">
        <f t="shared" si="474"/>
        <v>-3.506909589752361</v>
      </c>
      <c r="DD128" s="186">
        <f t="shared" si="474"/>
        <v>-46.862498257822025</v>
      </c>
      <c r="DE128" s="186">
        <f t="shared" si="474"/>
        <v>-71.11434525137507</v>
      </c>
      <c r="DF128" s="186">
        <f>SUM(DF129:DF131)</f>
        <v>-67.427288159267846</v>
      </c>
      <c r="DG128" s="185">
        <f t="shared" si="474"/>
        <v>-188.9110412582173</v>
      </c>
      <c r="DH128" s="186">
        <f t="shared" si="474"/>
        <v>-9.5211071316920446</v>
      </c>
      <c r="DI128" s="186">
        <f t="shared" si="474"/>
        <v>27.434807518853184</v>
      </c>
      <c r="DJ128" s="186">
        <f t="shared" si="474"/>
        <v>8.0138111300152914</v>
      </c>
      <c r="DK128" s="186">
        <f>SUM(DK129:DK131)</f>
        <v>3.6551336786732485</v>
      </c>
      <c r="DL128" s="185">
        <f t="shared" si="474"/>
        <v>29.582645195849693</v>
      </c>
      <c r="DM128" s="186">
        <f>SUM(DM129:DM131)</f>
        <v>-94.656391587371687</v>
      </c>
      <c r="DN128" s="186">
        <f>SUM(DN129:DN131)</f>
        <v>-63.824576958367714</v>
      </c>
      <c r="DO128" s="186">
        <f>SUM(DO129:DO131)</f>
        <v>-126.82127964353128</v>
      </c>
      <c r="DP128" s="186">
        <f>SUM(DP129:DP131)</f>
        <v>-149.73586396553432</v>
      </c>
      <c r="DQ128" s="185">
        <f t="shared" si="474"/>
        <v>-435.03811215480499</v>
      </c>
      <c r="DR128" s="186">
        <f>SUM(DR129:DR131)</f>
        <v>-92.626931075758023</v>
      </c>
      <c r="DS128" s="186">
        <f>SUM(DS129:DS131)</f>
        <v>-143.62254430597307</v>
      </c>
      <c r="DT128" s="186">
        <f t="shared" si="474"/>
        <v>-39.70624638213701</v>
      </c>
      <c r="DU128" s="186">
        <f>SUM(DU129:DU131)</f>
        <v>-2.8089334932981274</v>
      </c>
      <c r="DV128" s="185">
        <f t="shared" si="474"/>
        <v>-278.76465525716623</v>
      </c>
      <c r="DW128" s="186">
        <f t="shared" ref="DW128:EF128" si="475">SUM(DW129:DW131)</f>
        <v>-51.820402171602993</v>
      </c>
      <c r="DX128" s="186">
        <f t="shared" si="475"/>
        <v>-14.698697362908611</v>
      </c>
      <c r="DY128" s="186">
        <f t="shared" si="475"/>
        <v>-72.18931782144773</v>
      </c>
      <c r="DZ128" s="186">
        <f t="shared" si="475"/>
        <v>-89.561573406896599</v>
      </c>
      <c r="EA128" s="185">
        <f t="shared" si="475"/>
        <v>-228.26999076285594</v>
      </c>
      <c r="EB128" s="186">
        <f t="shared" si="475"/>
        <v>-105.24590831725854</v>
      </c>
      <c r="EC128" s="186">
        <f t="shared" si="475"/>
        <v>-123.43807019313218</v>
      </c>
      <c r="ED128" s="186">
        <f t="shared" si="475"/>
        <v>-91.816544427786326</v>
      </c>
      <c r="EE128" s="1631">
        <f t="shared" si="475"/>
        <v>-50.297312519448653</v>
      </c>
      <c r="EF128" s="185">
        <f t="shared" si="475"/>
        <v>-370.79783545762569</v>
      </c>
      <c r="EG128" s="186">
        <f t="shared" ref="EG128:ER128" si="476">SUM(EG129:EG131)</f>
        <v>-43.986777093391026</v>
      </c>
      <c r="EH128" s="186">
        <f t="shared" si="476"/>
        <v>-86.253370595577977</v>
      </c>
      <c r="EI128" s="186">
        <f t="shared" si="476"/>
        <v>-131.79358582623877</v>
      </c>
      <c r="EJ128" s="1631">
        <f t="shared" si="476"/>
        <v>-157.10369484083472</v>
      </c>
      <c r="EK128" s="185">
        <f t="shared" si="476"/>
        <v>-419.13742835604251</v>
      </c>
      <c r="EL128" s="186">
        <f>SUM(EL129:EL131)</f>
        <v>-88.907688628408039</v>
      </c>
      <c r="EM128" s="186">
        <f t="shared" ref="EM128:EP128" si="477">SUM(EM129:EM131)</f>
        <v>-92.845496411380907</v>
      </c>
      <c r="EN128" s="186">
        <f t="shared" si="477"/>
        <v>-53.087238663808947</v>
      </c>
      <c r="EO128" s="1631">
        <f t="shared" si="477"/>
        <v>-67.12975840340583</v>
      </c>
      <c r="EP128" s="185">
        <f t="shared" si="477"/>
        <v>-301.97018210700372</v>
      </c>
      <c r="EQ128" s="1631">
        <f>SUM(EQ129:EQ131)</f>
        <v>-82.204509211337708</v>
      </c>
      <c r="ER128" s="186">
        <f t="shared" si="476"/>
        <v>-88.70739084830663</v>
      </c>
      <c r="ES128" s="186">
        <f t="shared" ref="ES128:EU128" si="478">SUM(ES129:ES131)</f>
        <v>-96.138382469697831</v>
      </c>
      <c r="ET128" s="186">
        <f t="shared" si="478"/>
        <v>-76.009456168007318</v>
      </c>
      <c r="EU128" s="1962">
        <f t="shared" si="478"/>
        <v>-343.05973869734947</v>
      </c>
      <c r="EV128" s="379"/>
      <c r="EW128" s="379"/>
      <c r="EX128" s="379"/>
      <c r="EY128" s="379"/>
      <c r="EZ128" s="851">
        <f>SUM(EZ129:EZ131)</f>
        <v>-110.20503564209253</v>
      </c>
      <c r="FA128" s="379"/>
      <c r="FB128" s="379"/>
      <c r="FC128" s="379"/>
      <c r="FD128" s="379"/>
      <c r="FE128" s="851">
        <f>SUM(FE129:FE131)</f>
        <v>-88.432810905064557</v>
      </c>
      <c r="FF128" s="777"/>
      <c r="FG128" s="657"/>
      <c r="FH128" s="1067"/>
      <c r="FI128" s="1067"/>
      <c r="FJ128" s="1067"/>
      <c r="FK128" s="1067"/>
      <c r="FL128" s="1820"/>
      <c r="FM128" s="186">
        <f t="shared" si="448"/>
        <v>-82.204509211337708</v>
      </c>
      <c r="FN128" s="186">
        <f t="shared" si="449"/>
        <v>-88.907688628408039</v>
      </c>
      <c r="FO128" s="2055">
        <v>-129.71233500802964</v>
      </c>
      <c r="FP128" s="1868">
        <f t="shared" ref="FP128:FQ131" si="479">IFERROR(($FM128/FN128)-1,"")</f>
        <v>-7.5394822657986804E-2</v>
      </c>
      <c r="FQ128" s="1868">
        <f t="shared" si="479"/>
        <v>-0.36625526626863236</v>
      </c>
      <c r="FR128" s="582"/>
      <c r="FS128" s="582"/>
      <c r="FT128" s="582"/>
      <c r="FU128" s="670"/>
      <c r="FV128" s="670"/>
      <c r="FW128" s="670"/>
      <c r="FX128" s="670"/>
      <c r="FY128" s="670"/>
      <c r="FZ128" s="582"/>
      <c r="GA128" s="657"/>
      <c r="GB128"/>
      <c r="GC128"/>
      <c r="GD128"/>
      <c r="GE128"/>
      <c r="GF128"/>
      <c r="GG128"/>
      <c r="GH128" s="971"/>
      <c r="GI128" s="971"/>
      <c r="GJ128" s="971"/>
      <c r="GK128" s="971"/>
      <c r="GL128" s="971"/>
      <c r="GM128" s="971"/>
      <c r="GN128" s="971"/>
      <c r="GO128" s="971"/>
      <c r="GP128" s="971"/>
      <c r="GQ128" s="971"/>
      <c r="GR128" s="971"/>
      <c r="GS128" s="971"/>
      <c r="GT128" s="971"/>
      <c r="GU128" s="971"/>
      <c r="GV128" s="971"/>
      <c r="GW128" s="971"/>
      <c r="GX128" s="971"/>
      <c r="GY128" s="971"/>
      <c r="GZ128" s="971"/>
      <c r="HA128" s="971"/>
      <c r="HB128" s="971"/>
      <c r="HC128" s="971"/>
      <c r="HD128" s="971"/>
      <c r="HE128" s="971"/>
      <c r="HF128" s="971"/>
      <c r="HG128" s="971"/>
      <c r="HH128" s="971"/>
      <c r="HI128" s="971"/>
      <c r="HJ128" s="971"/>
      <c r="HK128" s="971"/>
      <c r="HL128" s="971"/>
      <c r="HM128" s="971"/>
      <c r="HN128" s="971"/>
      <c r="HO128" s="971"/>
      <c r="HP128" s="971"/>
      <c r="HQ128" s="971"/>
      <c r="HR128" s="971"/>
      <c r="HS128" s="971"/>
      <c r="HT128" s="971"/>
      <c r="HU128" s="971"/>
      <c r="HV128" s="971"/>
      <c r="HW128" s="971"/>
      <c r="HX128" s="971"/>
      <c r="HY128" s="971"/>
      <c r="HZ128" s="971"/>
      <c r="IA128" s="971"/>
      <c r="IB128" s="971"/>
      <c r="IC128" s="971"/>
      <c r="ID128" s="971"/>
      <c r="IE128" s="971"/>
      <c r="IF128" s="971"/>
      <c r="IG128" s="971"/>
      <c r="IH128" s="971"/>
      <c r="II128" s="971"/>
      <c r="IJ128" s="971"/>
      <c r="IK128" s="971"/>
      <c r="IL128" s="971"/>
      <c r="IM128" s="971"/>
      <c r="IN128" s="971"/>
      <c r="IO128" s="971"/>
      <c r="IP128" s="971"/>
      <c r="IQ128" s="971"/>
      <c r="IR128" s="971"/>
      <c r="IS128" s="971"/>
      <c r="IT128" s="971"/>
      <c r="IU128" s="971"/>
      <c r="IV128" s="971"/>
    </row>
    <row r="129" spans="1:256" s="81" customFormat="1" ht="12.75" x14ac:dyDescent="0.2">
      <c r="A129" s="380" t="s">
        <v>89</v>
      </c>
      <c r="B129" s="80"/>
      <c r="C129" s="80"/>
      <c r="D129" s="80"/>
      <c r="E129" s="210"/>
      <c r="F129" s="79"/>
      <c r="G129" s="80"/>
      <c r="H129" s="80"/>
      <c r="I129" s="80"/>
      <c r="J129" s="210"/>
      <c r="K129" s="79"/>
      <c r="L129" s="80"/>
      <c r="M129" s="80"/>
      <c r="N129" s="80"/>
      <c r="O129" s="210"/>
      <c r="P129" s="79"/>
      <c r="Q129" s="80"/>
      <c r="R129" s="80"/>
      <c r="S129" s="80"/>
      <c r="T129" s="210"/>
      <c r="U129" s="79"/>
      <c r="V129" s="80"/>
      <c r="W129" s="80"/>
      <c r="X129" s="80"/>
      <c r="Y129" s="210"/>
      <c r="Z129" s="79"/>
      <c r="AA129" s="80"/>
      <c r="AB129" s="80"/>
      <c r="AC129" s="80"/>
      <c r="AD129" s="210"/>
      <c r="AE129" s="79"/>
      <c r="AF129" s="80"/>
      <c r="AG129" s="80"/>
      <c r="AH129" s="80"/>
      <c r="AI129" s="210"/>
      <c r="AJ129" s="79"/>
      <c r="AK129" s="80"/>
      <c r="AL129" s="80"/>
      <c r="AM129" s="80"/>
      <c r="AN129" s="210"/>
      <c r="AO129" s="79"/>
      <c r="AP129" s="80"/>
      <c r="AQ129" s="80"/>
      <c r="AR129" s="80"/>
      <c r="AS129" s="210"/>
      <c r="AT129" s="79"/>
      <c r="AU129" s="80"/>
      <c r="AV129" s="80"/>
      <c r="AW129" s="80"/>
      <c r="AX129" s="210"/>
      <c r="AY129" s="79"/>
      <c r="AZ129" s="80"/>
      <c r="BA129" s="80"/>
      <c r="BB129" s="80"/>
      <c r="BC129" s="210"/>
      <c r="BD129" s="79"/>
      <c r="BE129" s="80"/>
      <c r="BF129" s="80"/>
      <c r="BG129" s="80"/>
      <c r="BH129" s="210"/>
      <c r="BI129" s="79"/>
      <c r="BJ129" s="80"/>
      <c r="BK129" s="80"/>
      <c r="BL129" s="80"/>
      <c r="BM129" s="210"/>
      <c r="BN129" s="79"/>
      <c r="BO129" s="80"/>
      <c r="BP129" s="80"/>
      <c r="BQ129" s="80"/>
      <c r="BR129" s="210"/>
      <c r="BS129" s="79"/>
      <c r="BT129" s="80"/>
      <c r="BU129" s="80"/>
      <c r="BV129" s="80"/>
      <c r="BW129" s="210"/>
      <c r="BX129" s="79"/>
      <c r="BY129" s="80"/>
      <c r="BZ129" s="80"/>
      <c r="CA129" s="80"/>
      <c r="CB129" s="210"/>
      <c r="CC129" s="79"/>
      <c r="CD129" s="80">
        <f>(CD126*BY124/100-BY126*BY124/100)*BY105/1000</f>
        <v>-19.517496946271752</v>
      </c>
      <c r="CE129" s="80">
        <f>(CE126*BZ124/100-BZ126*BZ124/100)*BZ105/1000</f>
        <v>-3.7761283433910875</v>
      </c>
      <c r="CF129" s="80">
        <f>(CF126*CA124/100-CA126*CA124/100)*CA105/1000</f>
        <v>-57.51033648977095</v>
      </c>
      <c r="CG129" s="210">
        <f>(CG126*CB124/100-CB126*CB124/100)*CB105/1000</f>
        <v>-68.547612548849798</v>
      </c>
      <c r="CH129" s="79">
        <f>SUM(CD129:CG129)</f>
        <v>-149.35157432828359</v>
      </c>
      <c r="CI129" s="80">
        <f>(CI126*CD124/100-CD126*CD124/100)*CD105/1000</f>
        <v>-49.137045370204312</v>
      </c>
      <c r="CJ129" s="80">
        <f>(CJ126*CE124/100-CE126*CE124/100)*CE105/1000</f>
        <v>-58.460616652667532</v>
      </c>
      <c r="CK129" s="80">
        <f>(CK126*CF124/100-CF126*CF124/100)*CF105/1000</f>
        <v>14.677476920978002</v>
      </c>
      <c r="CL129" s="210">
        <f>(CL126*CG124/100-CG126*CG124/100)*CG105/1000</f>
        <v>17.194930999482406</v>
      </c>
      <c r="CM129" s="79">
        <f>SUM(CI129:CL129)</f>
        <v>-75.725254102411441</v>
      </c>
      <c r="CN129" s="80">
        <f>(CN126*CI124/100-CI126*CI124/100)*CI105/1000</f>
        <v>-20.71038675882043</v>
      </c>
      <c r="CO129" s="80">
        <f>(CO126*CJ124/100-CJ126*CJ124/100)*CJ105/1000</f>
        <v>18.197576611123793</v>
      </c>
      <c r="CP129" s="80">
        <f>(CP126*CK124/100-CK126*CK124/100)*CK105/1000</f>
        <v>-4.0561790170562322</v>
      </c>
      <c r="CQ129" s="210">
        <f>(CQ126*CL124/100-CL126*CL124/100)*CL105/1000</f>
        <v>12.873615296123173</v>
      </c>
      <c r="CR129" s="79">
        <f>SUM(CN129:CQ129)</f>
        <v>6.3046261313703038</v>
      </c>
      <c r="CS129" s="80">
        <f>(CS126*CN124/100-CN126*CN124/100)*CN105/1000</f>
        <v>65.690642878364443</v>
      </c>
      <c r="CT129" s="80">
        <f>(CT126*CO124/100-CO126*CO124/100)*CO105/1000</f>
        <v>84.75116598525743</v>
      </c>
      <c r="CU129" s="80">
        <f>(CU126*CP124/100-CP126*CP124/100)*CP105/1000</f>
        <v>69.362744983583397</v>
      </c>
      <c r="CV129" s="210">
        <f>(CV126*CQ124/100-CQ126*CQ124/100)*CQ105/1000</f>
        <v>59.651106574212896</v>
      </c>
      <c r="CW129" s="79">
        <f>SUM(CS129:CV129)</f>
        <v>279.4556604214182</v>
      </c>
      <c r="CX129" s="80">
        <f>(CX126*CS124/100-CS126*CS124/100)*CS105/1000</f>
        <v>56.166871594670738</v>
      </c>
      <c r="CY129" s="80">
        <f>(CY126*CT124/100-CT126*CT124/100)*CT105/1000</f>
        <v>-36.073581949452041</v>
      </c>
      <c r="CZ129" s="80">
        <f>(CZ126*CU124/100-CU126*CU124/100)*CU105/1000</f>
        <v>17.713103134530733</v>
      </c>
      <c r="DA129" s="80">
        <f>(DA126*CV124/100-CV126*CV124/100)*CV105/1000</f>
        <v>60.336637721148776</v>
      </c>
      <c r="DB129" s="79">
        <f>SUM(CX129:DA129)</f>
        <v>98.143030500898206</v>
      </c>
      <c r="DC129" s="80">
        <f>(DC126*CX124/100-CX126*CX124/100)*CX105/1000</f>
        <v>14.369449820349443</v>
      </c>
      <c r="DD129" s="80">
        <f>(DD126*CY124/100-CY126*CY124/100)*CY105/1000</f>
        <v>49.98808942242411</v>
      </c>
      <c r="DE129" s="80">
        <f>(DE126*CZ124/100-CZ126*CZ124/100)*CZ105/1000</f>
        <v>-22.827126433371198</v>
      </c>
      <c r="DF129" s="80">
        <f>(DF126*DA124/100-DA126*DA124/100)*DA105/1000</f>
        <v>-17.252161994949891</v>
      </c>
      <c r="DG129" s="79">
        <f>SUM(DC129:DF129)</f>
        <v>24.278250814452466</v>
      </c>
      <c r="DH129" s="80">
        <f>(DH126*DC124/100-DC126*DC124/100)*DC105/1000</f>
        <v>23.445022171548867</v>
      </c>
      <c r="DI129" s="80">
        <f>(DI126*DD124/100-DD126*DD124/100)*DD105/1000</f>
        <v>48.676177479691198</v>
      </c>
      <c r="DJ129" s="80">
        <f>(DJ126*DE124/100-DE126*DE124/100)*DE105/1000</f>
        <v>19.630017661481713</v>
      </c>
      <c r="DK129" s="80">
        <f>(DK126*DF124/100-DF126*DF124/100)*DF105/1000</f>
        <v>-20.464561784586458</v>
      </c>
      <c r="DL129" s="79">
        <f>SUM(DH129:DK129)</f>
        <v>71.286655528135327</v>
      </c>
      <c r="DM129" s="80">
        <f>(DM126*DH124/100-DH126*DH124/100)*DH105/1000</f>
        <v>-122.76807557247756</v>
      </c>
      <c r="DN129" s="80">
        <f>(DN126*DI124/100-DI126*DI124/100)*DI105/1000</f>
        <v>-157.47295095045857</v>
      </c>
      <c r="DO129" s="80">
        <f>(DO126*DJ124/100-DJ126*DJ124/100)*DJ105/1000</f>
        <v>-93.12535205386456</v>
      </c>
      <c r="DP129" s="80">
        <f>(DP126*DK124/100-DK126*DK124/100)*DK105/1000</f>
        <v>-36.204568913447986</v>
      </c>
      <c r="DQ129" s="79">
        <f>SUM(DM129:DP129)</f>
        <v>-409.57094749024867</v>
      </c>
      <c r="DR129" s="80">
        <f>(DR126*DM124/100-DM126*DM124/100)*DM105/1000</f>
        <v>42.075643878141157</v>
      </c>
      <c r="DS129" s="80">
        <f>(DS126*DN124/100-DN126*DN124/100)*DN105/1000</f>
        <v>22.622185206972482</v>
      </c>
      <c r="DT129" s="80">
        <f>(DT126*DO124/100-DO126*DO124/100)*DO105/1000</f>
        <v>24.588650510657047</v>
      </c>
      <c r="DU129" s="80">
        <f>(DU126*DP124/100-DP126*DP124/100)*DP105/1000</f>
        <v>20.676338281601744</v>
      </c>
      <c r="DV129" s="79">
        <f>SUM(DR129:DU129)</f>
        <v>109.96281787737243</v>
      </c>
      <c r="DW129" s="80">
        <f>(DW126*DR124/100-DR126*DR124/100)*DR105/1000</f>
        <v>-2.2294523456270485</v>
      </c>
      <c r="DX129" s="80">
        <f>(DX126*DS124/100-DS126*DS124/100)*DS105/1000</f>
        <v>46.440932048650275</v>
      </c>
      <c r="DY129" s="80">
        <f>(DY126*DT124/100-DT126*DT124/100)*DT105/1000</f>
        <v>35.179719231292886</v>
      </c>
      <c r="DZ129" s="80">
        <f>(DZ126*DU124/100-DU126*DU124/100)*DU105/1000</f>
        <v>65.742142931231896</v>
      </c>
      <c r="EA129" s="79">
        <f>SUM(DW129:DZ129)</f>
        <v>145.133341865548</v>
      </c>
      <c r="EB129" s="80">
        <f>(EB126*DW124/100-DW126*DW124/100)*DW105/1000</f>
        <v>35.988013158981936</v>
      </c>
      <c r="EC129" s="80">
        <f>(EC126*DX124/100-DX126*DX124/100)*DX105/1000</f>
        <v>-32.933379164983201</v>
      </c>
      <c r="ED129" s="80">
        <f>(ED126*DY124/100-DY126*DY124/100)*DY105/1000</f>
        <v>12.260938739771085</v>
      </c>
      <c r="EE129" s="428">
        <f>(EE126*DZ124/100-DZ126*DZ124/100)*DZ105/1000</f>
        <v>-26.06524648475007</v>
      </c>
      <c r="EF129" s="79">
        <f>SUM(EB129:EE129)</f>
        <v>-10.74967375098025</v>
      </c>
      <c r="EG129" s="80">
        <f>(EG126*EB124/100-EB126*EB124/100)*EB105/1000</f>
        <v>-79.922148291101522</v>
      </c>
      <c r="EH129" s="80">
        <f>(EH126*EC124/100-EC126*EC124/100)*EC105/1000</f>
        <v>-26.543443757532312</v>
      </c>
      <c r="EI129" s="80">
        <f>(EI126*ED124/100-ED126*ED124/100)*ED105/1000</f>
        <v>-35.01763356888042</v>
      </c>
      <c r="EJ129" s="428">
        <f>(EJ126*EE124/100-EE126*EE124/100)*EE105/1000</f>
        <v>-39.690018179826936</v>
      </c>
      <c r="EK129" s="79">
        <f>SUM(EG129:EJ129)</f>
        <v>-181.17324379734117</v>
      </c>
      <c r="EL129" s="80">
        <f>(EL126*EG124/100-EG126*EG124/100)*EG105/1000</f>
        <v>57.534806890214462</v>
      </c>
      <c r="EM129" s="80">
        <f>(EM126*EH124/100-EH126*EH124/100)*EH105/1000</f>
        <v>19.330022152560844</v>
      </c>
      <c r="EN129" s="80">
        <f>(EN126*EI124/100-EI126*EI124/100)*EI105/1000</f>
        <v>32.674172124803924</v>
      </c>
      <c r="EO129" s="428">
        <f>(EO126*EJ124/100-EJ126*EJ124/100)*EJ105/1000</f>
        <v>-21.512868090098081</v>
      </c>
      <c r="EP129" s="79">
        <f>SUM(EL129:EO129)</f>
        <v>88.026133077481163</v>
      </c>
      <c r="EQ129" s="428">
        <f>(EQ126*EL124/100-EL126*EL124/100)*EL105/1000</f>
        <v>-58.017363016714519</v>
      </c>
      <c r="ER129" s="80">
        <f>(ER126*EM124/100-EM126*EM124/100)*EM105/1000</f>
        <v>-34.000399688197092</v>
      </c>
      <c r="ES129" s="80">
        <f>(ES126*EN124/100-EN126*EN124/100)*EN105/1000</f>
        <v>-47.455932669136139</v>
      </c>
      <c r="ET129" s="80">
        <f>(ET126*EO124/100-EO126*EO124/100)*EO105/1000</f>
        <v>-25.116461267771324</v>
      </c>
      <c r="EU129" s="1963">
        <f>SUM(EQ129:ET129)</f>
        <v>-164.59015664181905</v>
      </c>
      <c r="EV129" s="149"/>
      <c r="EW129" s="149"/>
      <c r="EX129" s="149"/>
      <c r="EY129" s="149"/>
      <c r="EZ129" s="852">
        <f>(EZ126*EU124/100-EU126*EU124/100)*EU105/1000</f>
        <v>-47.397604039778045</v>
      </c>
      <c r="FA129" s="149"/>
      <c r="FB129" s="149"/>
      <c r="FC129" s="149"/>
      <c r="FD129" s="149"/>
      <c r="FE129" s="852">
        <f>(FE126*EZ124/100-EZ126*EZ124/100)*EZ105/1000</f>
        <v>-26.544581031287528</v>
      </c>
      <c r="FF129" s="778"/>
      <c r="FG129" s="655"/>
      <c r="FH129" s="1067"/>
      <c r="FI129" s="1067"/>
      <c r="FJ129" s="1067"/>
      <c r="FK129" s="1067"/>
      <c r="FL129" s="1820"/>
      <c r="FM129" s="80">
        <f t="shared" si="448"/>
        <v>-58.017363016714519</v>
      </c>
      <c r="FN129" s="80">
        <f t="shared" si="449"/>
        <v>57.534806890214462</v>
      </c>
      <c r="FO129" s="2056">
        <v>-56.909195757999669</v>
      </c>
      <c r="FP129" s="1869">
        <f t="shared" si="479"/>
        <v>-2.008387203374487</v>
      </c>
      <c r="FQ129" s="1869">
        <f t="shared" si="479"/>
        <v>1.9472551737107935E-2</v>
      </c>
      <c r="FR129" s="582"/>
      <c r="FS129" s="582"/>
      <c r="FT129" s="582"/>
      <c r="FU129" s="670"/>
      <c r="FV129" s="670"/>
      <c r="FW129" s="670"/>
      <c r="FX129" s="670"/>
      <c r="FY129" s="670"/>
      <c r="FZ129" s="582"/>
      <c r="GA129" s="655"/>
      <c r="GB129"/>
      <c r="GC129"/>
      <c r="GD129"/>
      <c r="GE129"/>
      <c r="GF129"/>
      <c r="GG129"/>
      <c r="GH129" s="971"/>
      <c r="GI129" s="971"/>
      <c r="GJ129" s="971"/>
      <c r="GK129" s="971"/>
      <c r="GL129" s="971"/>
      <c r="GM129" s="971"/>
      <c r="GN129" s="971"/>
      <c r="GO129" s="971"/>
      <c r="GP129" s="971"/>
      <c r="GQ129" s="971"/>
      <c r="GR129" s="971"/>
      <c r="GS129" s="971"/>
      <c r="GT129" s="971"/>
      <c r="GU129" s="971"/>
      <c r="GV129" s="971"/>
      <c r="GW129" s="971"/>
      <c r="GX129" s="971"/>
      <c r="GY129" s="971"/>
      <c r="GZ129" s="971"/>
      <c r="HA129" s="971"/>
      <c r="HB129" s="971"/>
      <c r="HC129" s="971"/>
      <c r="HD129" s="971"/>
      <c r="HE129" s="971"/>
      <c r="HF129" s="971"/>
      <c r="HG129" s="971"/>
      <c r="HH129" s="971"/>
      <c r="HI129" s="971"/>
      <c r="HJ129" s="971"/>
      <c r="HK129" s="971"/>
      <c r="HL129" s="971"/>
      <c r="HM129" s="971"/>
      <c r="HN129" s="971"/>
      <c r="HO129" s="971"/>
      <c r="HP129" s="971"/>
      <c r="HQ129" s="971"/>
      <c r="HR129" s="971"/>
      <c r="HS129" s="971"/>
      <c r="HT129" s="971"/>
      <c r="HU129" s="971"/>
      <c r="HV129" s="971"/>
      <c r="HW129" s="971"/>
      <c r="HX129" s="971"/>
      <c r="HY129" s="971"/>
      <c r="HZ129" s="971"/>
      <c r="IA129" s="971"/>
      <c r="IB129" s="971"/>
      <c r="IC129" s="971"/>
      <c r="ID129" s="971"/>
      <c r="IE129" s="971"/>
      <c r="IF129" s="971"/>
      <c r="IG129" s="971"/>
      <c r="IH129" s="971"/>
      <c r="II129" s="971"/>
      <c r="IJ129" s="971"/>
      <c r="IK129" s="971"/>
      <c r="IL129" s="971"/>
      <c r="IM129" s="971"/>
      <c r="IN129" s="971"/>
      <c r="IO129" s="971"/>
      <c r="IP129" s="971"/>
      <c r="IQ129" s="971"/>
      <c r="IR129" s="971"/>
      <c r="IS129" s="971"/>
      <c r="IT129" s="971"/>
      <c r="IU129" s="971"/>
      <c r="IV129" s="971"/>
    </row>
    <row r="130" spans="1:256" s="81" customFormat="1" ht="12.75" x14ac:dyDescent="0.2">
      <c r="A130" s="371" t="s">
        <v>639</v>
      </c>
      <c r="B130" s="80"/>
      <c r="C130" s="80"/>
      <c r="D130" s="80"/>
      <c r="E130" s="210"/>
      <c r="F130" s="79"/>
      <c r="G130" s="80"/>
      <c r="H130" s="80"/>
      <c r="I130" s="80"/>
      <c r="J130" s="210"/>
      <c r="K130" s="79"/>
      <c r="L130" s="80"/>
      <c r="M130" s="80"/>
      <c r="N130" s="80"/>
      <c r="O130" s="210"/>
      <c r="P130" s="79"/>
      <c r="Q130" s="80"/>
      <c r="R130" s="80"/>
      <c r="S130" s="80"/>
      <c r="T130" s="210"/>
      <c r="U130" s="79"/>
      <c r="V130" s="80"/>
      <c r="W130" s="80"/>
      <c r="X130" s="80"/>
      <c r="Y130" s="210"/>
      <c r="Z130" s="79"/>
      <c r="AA130" s="80"/>
      <c r="AB130" s="80"/>
      <c r="AC130" s="80"/>
      <c r="AD130" s="210"/>
      <c r="AE130" s="79"/>
      <c r="AF130" s="80"/>
      <c r="AG130" s="80"/>
      <c r="AH130" s="80"/>
      <c r="AI130" s="210"/>
      <c r="AJ130" s="79"/>
      <c r="AK130" s="80"/>
      <c r="AL130" s="80"/>
      <c r="AM130" s="80"/>
      <c r="AN130" s="210"/>
      <c r="AO130" s="79"/>
      <c r="AP130" s="80"/>
      <c r="AQ130" s="80"/>
      <c r="AR130" s="80"/>
      <c r="AS130" s="210"/>
      <c r="AT130" s="79"/>
      <c r="AU130" s="80"/>
      <c r="AV130" s="80"/>
      <c r="AW130" s="80"/>
      <c r="AX130" s="210"/>
      <c r="AY130" s="79"/>
      <c r="AZ130" s="80"/>
      <c r="BA130" s="80"/>
      <c r="BB130" s="80"/>
      <c r="BC130" s="210"/>
      <c r="BD130" s="79"/>
      <c r="BE130" s="80"/>
      <c r="BF130" s="80"/>
      <c r="BG130" s="80"/>
      <c r="BH130" s="210"/>
      <c r="BI130" s="79"/>
      <c r="BJ130" s="80"/>
      <c r="BK130" s="80"/>
      <c r="BL130" s="80"/>
      <c r="BM130" s="210"/>
      <c r="BN130" s="79"/>
      <c r="BO130" s="80"/>
      <c r="BP130" s="80"/>
      <c r="BQ130" s="80"/>
      <c r="BR130" s="210"/>
      <c r="BS130" s="79"/>
      <c r="BT130" s="80"/>
      <c r="BU130" s="80"/>
      <c r="BV130" s="80"/>
      <c r="BW130" s="210"/>
      <c r="BX130" s="79"/>
      <c r="BY130" s="80"/>
      <c r="BZ130" s="80"/>
      <c r="CA130" s="80"/>
      <c r="CB130" s="210"/>
      <c r="CC130" s="79"/>
      <c r="CD130" s="80">
        <f>(CD99-BY99)*BY100*BY97/1000+(CD85-BY85)*BY86*BY83/1000+(CD63-BY63)*BY64*BY61/1000+(CD54-BY54)*BY55*BY52/1000</f>
        <v>-6.4407257123216759</v>
      </c>
      <c r="CE130" s="80">
        <f>(CE99-BZ99)*BZ100*BZ97/1000+(CE85-BZ85)*BZ86*BZ83/1000+(CE63-BZ63)*BZ64*BZ61/1000+(CE54-BZ54)*BZ55*BZ52/1000</f>
        <v>-6.0447236939729416</v>
      </c>
      <c r="CF130" s="80">
        <f>(CF99-CA99)*CA100*CA97/1000+(CF85-CA85)*CA86*CA83/1000+(CF63-CA63)*CA64*CA61/1000+(CF54-CA54)*CA55*CA52/1000</f>
        <v>-5.2436019484591192</v>
      </c>
      <c r="CG130" s="210">
        <f>(CG99-CB99)*CB100*CB97/1000+(CG85-CB85)*CB86*CB83/1000+(CG63-CB63)*CB64*CB61/1000+(CG54-CB54)*CB55*CB52/1000</f>
        <v>-4.2335807913543588</v>
      </c>
      <c r="CH130" s="79">
        <f>SUM(CD130:CG130)</f>
        <v>-21.962632146108096</v>
      </c>
      <c r="CI130" s="80">
        <f>(CI99-CD99)*CD100*CD97/1000+(CI85-CD85)*CD86*CD83/1000+(CI63-CD63)*CD64*CD61/1000+(CI54-CD54)*CD55*CD52/1000</f>
        <v>-3.2718777548006623</v>
      </c>
      <c r="CJ130" s="80">
        <f>(CJ99-CE99)*CE100*CE97/1000+(CJ85-CE85)*CE86*CE83/1000+(CJ63-CE63)*CE64*CE61/1000+(CJ54-CE54)*CE55*CE52/1000</f>
        <v>-4.3876319354934772</v>
      </c>
      <c r="CK130" s="80">
        <f>(CK99-CF99)*CF100*CF97/1000+(CK85-CF85)*CF86*CF83/1000+(CK63-CF63)*CF64*CF61/1000+(CK54-CF54)*CF55*CF52/1000</f>
        <v>-4.0764899960534269</v>
      </c>
      <c r="CL130" s="210">
        <f>(CL99-CG99)*CG100*CG97/1000+(CL85-CG85)*CG86*CG83/1000+(CL63-CG63)*CG64*CG61/1000+(CL54-CG54)*CG55*CG52/1000</f>
        <v>-8.3586938357510423</v>
      </c>
      <c r="CM130" s="79">
        <f>SUM(CI130:CL130)</f>
        <v>-20.094693522098609</v>
      </c>
      <c r="CN130" s="80">
        <f>(CN99-CI99)*CI100*CI97/1000+(CN85-CI85)*CI86*CI83/1000+(CN63-CI63)*CI64*CI61/1000+(CN54-CI54)*CI55*CI52/1000</f>
        <v>-8.8617012264436834</v>
      </c>
      <c r="CO130" s="80">
        <f>(CO99-CJ99)*CJ100*CJ97/1000+(CO85-CJ85)*CJ86*CJ83/1000+(CO63-CJ63)*CJ64*CJ61/1000+(CO54-CJ54)*CJ55*CJ52/1000</f>
        <v>-3.5239489366509589</v>
      </c>
      <c r="CP130" s="80">
        <f>(CP99-CK99)*CK100*CK97/1000+(CP85-CK85)*CK86*CK83/1000+(CP63-CK63)*CK64*CK61/1000+(CP54-CK54)*CK55*CK52/1000</f>
        <v>-1.4648403891258686</v>
      </c>
      <c r="CQ130" s="210">
        <f>(CQ99-CL99)*CL100*CL97/1000+(CQ85-CL85)*CL86*CL83/1000+(CQ63-CL63)*CL64*CL61/1000+(CQ54-CL54)*CL55*CL52/1000</f>
        <v>1.180411897218937</v>
      </c>
      <c r="CR130" s="79">
        <f>SUM(CN130:CQ130)</f>
        <v>-12.670078655001573</v>
      </c>
      <c r="CS130" s="80">
        <f>(CS99-CN99)*CN100*CN97/1000+(CS85-CN85)*CN86*CN83/1000+(CS63-CN63)*CN64*CN61/1000+(CS54-CN54)*CN55*CN52/1000</f>
        <v>-3.7105103267893673</v>
      </c>
      <c r="CT130" s="80">
        <f>(CT99-CO99)*CO100*CO97/1000+(CT85-CO85)*CO86*CO83/1000+(CT63-CO63)*CO64*CO61/1000+(CT54-CO54)*CO55*CO52/1000</f>
        <v>-9.3938087252261813</v>
      </c>
      <c r="CU130" s="80">
        <f>(CU99-CP99)*CP100*CP97/1000+(CU85-CP85)*CP86*CP83/1000+(CU63-CP63)*CP64*CP61/1000+(CU54-CP54)*CP55*CP52/1000</f>
        <v>-11.52719680137068</v>
      </c>
      <c r="CV130" s="210">
        <f>(CV99-CQ99)*CQ100*CQ97/1000+(CV85-CQ85)*CQ86*CQ83/1000+(CV63-CQ63)*CQ64*CQ61/1000+(CV54-CQ54)*CQ55*CQ52/1000</f>
        <v>-22.268983537198253</v>
      </c>
      <c r="CW130" s="79">
        <f>SUM(CS130:CV130)</f>
        <v>-46.900499390584478</v>
      </c>
      <c r="CX130" s="80">
        <f>(CX99-CS99)*CS100*CS97/1000+(CX85-CS85)*CS86*CS83/1000+(CX63-CS63)*CS64*CS61/1000+(CX54-CS54)*CS55*CS52/1000</f>
        <v>-22.479776166655512</v>
      </c>
      <c r="CY130" s="80">
        <f>(CY99-CT99)*CT100*CT97/1000+(CY85-CT85)*CT86*CT83/1000+(CY63-CT63)*CT64*CT61/1000+(CY54-CT54)*CT55*CT52/1000</f>
        <v>-29.845719368009842</v>
      </c>
      <c r="CZ130" s="80">
        <f>(CZ99-CU99)*CU100*CU97/1000+(CZ85-CU85)*CU86*CU83/1000+(CZ63-CU63)*CU64*CU61/1000+(CZ54-CU54)*CU55*CU52/1000</f>
        <v>-7.3686852268757423</v>
      </c>
      <c r="DA130" s="80">
        <f>(DA99-CV99)*CV100*CV97/1000+(DA85-CV85)*CV86*CV83/1000+(DA63-CV63)*CV64*CV61/1000+(DA54-CV54)*CV55*CV52/1000</f>
        <v>-7.0444949040539075</v>
      </c>
      <c r="DB130" s="79">
        <f>SUM(CX130:DA130)</f>
        <v>-66.738675665594997</v>
      </c>
      <c r="DC130" s="80">
        <f>(DC99-CX99)*CX100*CX97/1000+(DC85-CX85)*CX86*CX83/1000+(DC63-CX63)*CX64*CX61/1000+(DC54-CX54)*CX55*CX52/1000</f>
        <v>-4.8763594101018031</v>
      </c>
      <c r="DD130" s="80">
        <f>(DD99-CY99)*CY100*CY97/1000+(DD85-CY85)*CY86*CY83/1000+(DD63-CY63)*CY64*CY61/1000+(DD54-CY54)*CY55*CY52/1000</f>
        <v>6.1494123197538668</v>
      </c>
      <c r="DE130" s="80">
        <f>(DE99-CZ99)*CZ100*CZ97/1000+(DE85-CZ85)*CZ86*CZ83/1000+(DE63-CZ63)*CZ64*CZ61/1000+(DE54-CZ54)*CZ55*CZ52/1000</f>
        <v>-3.2872188180038733</v>
      </c>
      <c r="DF130" s="80">
        <f>(DF99-DA99)*DA100*DA97/1000+(DF85-DA85)*DA86*DA83/1000+(DF63-DA63)*DA64*DA61/1000+(DF54-DA54)*DA55*DA52/1000</f>
        <v>-4.1751261643179625</v>
      </c>
      <c r="DG130" s="79">
        <f>SUM(DC130:DF130)</f>
        <v>-6.1892920726697724</v>
      </c>
      <c r="DH130" s="80">
        <f>(DH99-DC99)*DC100*DC97/1000+(DH85-DC85)*DC86*DC83/1000+(DH63-DC63)*DC64*DC61/1000+(DH54-DC54)*DC55*DC52/1000</f>
        <v>-0.96612930324091284</v>
      </c>
      <c r="DI130" s="80">
        <f>(DI99-DD99)*DD100*DD97/1000+(DI85-DD85)*DD86*DD83/1000+(DI63-DD63)*DD64*DD61/1000+(DI54-DD54)*DD55*DD52/1000</f>
        <v>-7.2413699608380115</v>
      </c>
      <c r="DJ130" s="80">
        <f>(DJ99-DE99)*DE100*DE97/1000+(DJ85-DE85)*DE86*DE83/1000+(DJ63-DE63)*DE64*DE61/1000+(DJ54-DE54)*DE55*DE52/1000</f>
        <v>-3.6162065314664202</v>
      </c>
      <c r="DK130" s="80">
        <f>(DK99-DF99)*DF100*DF97/1000+(DK85-DF85)*DF86*DF83/1000+(DK63-DF63)*DF64*DF61/1000+(DK54-DF54)*DF55*DF52/1000</f>
        <v>-0.88030453674029374</v>
      </c>
      <c r="DL130" s="79">
        <f>SUM(DH130:DK130)</f>
        <v>-12.704010332285637</v>
      </c>
      <c r="DM130" s="80">
        <f>(DM99-DH99)*DH100*DH97/1000+(DM85-DH85)*DH86*DH83/1000+(DM63-DH63)*DH64*DH61/1000+(DM54-DH54)*DH55*DH52/1000</f>
        <v>-1.8883160148941296</v>
      </c>
      <c r="DN130" s="80">
        <f>(DN99-DI99)*DI100*DI97/1000+(DN85-DI85)*DI86*DI83/1000+(DN63-DI63)*DI64*DI61/1000+(DN54-DI54)*DI55*DI52/1000</f>
        <v>-4.3516260079091591</v>
      </c>
      <c r="DO130" s="80">
        <f>(DO99-DJ99)*DJ100*DJ97/1000+(DO85-DJ85)*DJ86*DJ83/1000+(DO63-DJ63)*DJ64*DJ61/1000+(DO54-DJ54)*DJ55*DJ52/1000</f>
        <v>-10.695927589666724</v>
      </c>
      <c r="DP130" s="80">
        <f>(DP99-DK99)*DK100*DK97/1000+(DP85-DK85)*DK86*DK83/1000+(DP63-DK63)*DK64*DK61/1000+(DP54-DK54)*DK55*DK52/1000</f>
        <v>-5.5312950520863255</v>
      </c>
      <c r="DQ130" s="79">
        <f>SUM(DM130:DP130)</f>
        <v>-22.467164664556339</v>
      </c>
      <c r="DR130" s="80">
        <f>(DR99-DM99)*DM100*DM97/1000+(DR85-DM85)*DM86*DM83/1000+(DR63-DM63)*DM64*DM61/1000+(DR54-DM54)*DM55*DM52/1000</f>
        <v>-6.702574953899183</v>
      </c>
      <c r="DS130" s="80">
        <f>(DS99-DN99)*DN100*DN97/1000+(DS85-DN85)*DN86*DN83/1000+(DS63-DN63)*DN64*DN61/1000+(DS54-DN54)*DN55*DN52/1000</f>
        <v>-0.24472951294555068</v>
      </c>
      <c r="DT130" s="80">
        <f>(DT99-DO99)*DO100*DO97/1000+(DT85-DO85)*DO86*DO83/1000+(DT63-DO63)*DO64*DO61/1000+(DT54-DO54)*DO55*DO52/1000</f>
        <v>5.7051031072059475</v>
      </c>
      <c r="DU130" s="80">
        <f>(DU99-DP99)*DP100*DP97/1000+(DU85-DP85)*DP86*DP83/1000+(DU63-DP63)*DP64*DP61/1000+(DU54-DP54)*DP55*DP52/1000</f>
        <v>2.5147282251001277</v>
      </c>
      <c r="DV130" s="79">
        <f>SUM(DR130:DU130)</f>
        <v>1.2725268654613417</v>
      </c>
      <c r="DW130" s="80">
        <f>(DW99-DR99)*DR100*DR97/1000+(DW85-DR85)*DR86*DR83/1000+(DW63-DR63)*DR64*DR61/1000+(DW54-DR54)*DR55*DR52/1000</f>
        <v>-1.5909498259759476</v>
      </c>
      <c r="DX130" s="80">
        <f>(DX99-DS99)*DS100*DS97/1000+(DX85-DS85)*DS86*DS83/1000+(DX63-DS63)*DS64*DS61/1000+(DX54-DS54)*DS55*DS52/1000</f>
        <v>-1.1396294115588881</v>
      </c>
      <c r="DY130" s="80">
        <f>(DY99-DT99)*DT100*DT97/1000+(DY85-DT85)*DT86*DT83/1000+(DY63-DT63)*DT64*DT61/1000+(DY54-DT54)*DT55*DT52/1000</f>
        <v>4.6309629472593823</v>
      </c>
      <c r="DZ130" s="80">
        <f>(DZ99-DU99)*DU100*DU97/1000+(DZ85-DU85)*DU86*DU83/1000+(DZ63-DU63)*DU64*DU61/1000+(DZ54-DU54)*DU55*DU52/1000</f>
        <v>6.696283661871508</v>
      </c>
      <c r="EA130" s="79">
        <f>SUM(DW130:DZ130)</f>
        <v>8.5966673715960553</v>
      </c>
      <c r="EB130" s="80">
        <f>(EB99-DW99)*DW100*DW97/1000+(EB85-DW85)*DW86*DW83/1000+(EB63-DW63)*DW64*DW61/1000+(EB54-DW54)*DW55*DW52/1000</f>
        <v>3.4624202062934879</v>
      </c>
      <c r="EC130" s="80">
        <f>(EC99-DX99)*DX100*DX97/1000+(EC85-DX85)*DX86*DX83/1000+(EC63-DX63)*DX64*DX61/1000+(EC54-DX54)*DX55*DX52/1000</f>
        <v>5.5489769143968726</v>
      </c>
      <c r="ED130" s="80">
        <f>(ED99-DY99)*DY100*DY97/1000+(ED85-DY85)*DY86*DY83/1000+(ED63-DY63)*DY64*DY61/1000+(ED54-DY54)*DY55*DY52/1000</f>
        <v>0.45242708140326604</v>
      </c>
      <c r="EE130" s="428">
        <f>(EE99-DZ99)*DZ100*DZ97/1000+(EE85-DZ85)*DZ86*DZ83/1000+(EE63-DZ63)*DZ64*DZ61/1000+(EE54-DZ54)*DZ55*DZ52/1000</f>
        <v>3.9284105532568505</v>
      </c>
      <c r="EF130" s="79">
        <f>SUM(EB130:EE130)</f>
        <v>13.392234755350479</v>
      </c>
      <c r="EG130" s="80">
        <f>(EG99-EB99)*EB100*EB97/1000+(EG85-EB85)*EB86*EB83/1000+(EG63-EB63)*EB64*EB61/1000+(EG54-EB54)*EB55*EB52/1000</f>
        <v>11.580578392421854</v>
      </c>
      <c r="EH130" s="80">
        <f>(EH99-EC99)*EC100*EC97/1000+(EH85-EC85)*EC86*EC83/1000+(EH63-EC63)*EC64*EC61/1000+(EH54-EC54)*EC55*EC52/1000</f>
        <v>10.290073161954339</v>
      </c>
      <c r="EI130" s="80">
        <f>(EI99-ED99)*ED100*ED97/1000+(EI85-ED85)*ED86*ED83/1000+(EI63-ED63)*ED64*ED61/1000+(EI54-ED54)*ED55*ED52/1000</f>
        <v>1.2240477426416432</v>
      </c>
      <c r="EJ130" s="428">
        <f>(EJ99-EE99)*EE100*EE97/1000+(EJ85-EE85)*EE86*EE83/1000+(EJ63-EE63)*EE64*EE61/1000+(EJ54-EE54)*EE55*EE52/1000</f>
        <v>-7.413676661007778</v>
      </c>
      <c r="EK130" s="79">
        <f>SUM(EG130:EJ130)</f>
        <v>15.681022636010063</v>
      </c>
      <c r="EL130" s="80">
        <f>(EL99-EG99)*EG100*EG97/1000+(EL85-EG85)*EG86*EG83/1000+(EL63-EG63)*EG64*EG61/1000+(EL54-EG54)*EG55*EG52/1000</f>
        <v>-8.442495518622497</v>
      </c>
      <c r="EM130" s="80">
        <f>(EM99-EH99)*EH100*EH97/1000+(EM85-EH85)*EH86*EH83/1000+(EM63-EH63)*EH64*EH61/1000+(EM54-EH54)*EH55*EH52/1000</f>
        <v>-14.175518563941758</v>
      </c>
      <c r="EN130" s="80">
        <f>(EN99-EI99)*EI100*EI97/1000+(EN85-EI85)*EI86*EI83/1000+(EN63-EI63)*EI64*EI61/1000+(EN54-EI54)*EI55*EI52/1000</f>
        <v>-7.7614107886128663</v>
      </c>
      <c r="EO130" s="428">
        <f>(EO99-EJ99)*EJ100*EJ97/1000+(EO85-EJ85)*EJ86*EJ83/1000+(EO63-EJ63)*EJ64*EJ61/1000+(EO54-EJ54)*EJ55*EJ52/1000</f>
        <v>-0.61689031330775235</v>
      </c>
      <c r="EP130" s="79">
        <f>SUM(EL130:EO130)</f>
        <v>-30.996315184484875</v>
      </c>
      <c r="EQ130" s="428">
        <f>(EQ99-EL99)*EL100*EL97/1000+(EQ85-EL85)*EL86*EL83/1000+(EQ63-EL63)*EL64*EL61/1000+(EQ54-EL54)*EL55*EL52/1000</f>
        <v>-6.1871461946231872</v>
      </c>
      <c r="ER130" s="80">
        <f>(ER99-EM99)*EM100*EM97/1000+(ER85-EM85)*EM86*EM83/1000+(ER63-EM63)*EM64*EM61/1000+(ER54-EM54)*EM55*EM52/1000</f>
        <v>0.29300883989045379</v>
      </c>
      <c r="ES130" s="80">
        <f>(ES99-EN99)*EN100*EN97/1000+(ES85-EN85)*EN86*EN83/1000+(ES63-EN63)*EN64*EN61/1000+(ES54-EN54)*EN55*EN52/1000</f>
        <v>1.3175501994382994</v>
      </c>
      <c r="ET130" s="80">
        <f>(ET99-EO99)*EO100*EO97/1000+(ET85-EO85)*EO86*EO83/1000+(ET63-EO63)*EO64*EO61/1000+(ET54-EO54)*EO55*EO52/1000</f>
        <v>-0.89299490023600192</v>
      </c>
      <c r="EU130" s="1963">
        <f>SUM(EQ130:ET130)</f>
        <v>-5.4695820555304362</v>
      </c>
      <c r="EV130" s="149"/>
      <c r="EW130" s="149"/>
      <c r="EX130" s="149"/>
      <c r="EY130" s="149"/>
      <c r="EZ130" s="852">
        <f>(EZ99-EU99)*EU100*EU97/1000+(EZ85-EU85)*EU86*EU83/1000+(EZ63-EU63)*EU64*EU61/1000+(EZ54-EU54)*EU55*EU52/1000</f>
        <v>2.1925683976855139</v>
      </c>
      <c r="FA130" s="149"/>
      <c r="FB130" s="149"/>
      <c r="FC130" s="149"/>
      <c r="FD130" s="149"/>
      <c r="FE130" s="852">
        <f>(FE99-EZ99)*EZ100*EZ97/1000+(FE85-EZ85)*EZ86*EZ83/1000+(FE63-EZ63)*EZ64*EZ61/1000+(FE54-EZ54)*EZ55*EZ52/1000</f>
        <v>8.1117701262229698</v>
      </c>
      <c r="FF130" s="778"/>
      <c r="FG130" s="655"/>
      <c r="FH130" s="1924"/>
      <c r="FI130" s="1067"/>
      <c r="FJ130" s="1067"/>
      <c r="FK130" s="1067"/>
      <c r="FL130" s="1820"/>
      <c r="FM130" s="80">
        <f t="shared" si="448"/>
        <v>-6.1871461946231872</v>
      </c>
      <c r="FN130" s="80">
        <f t="shared" si="449"/>
        <v>-8.442495518622497</v>
      </c>
      <c r="FO130" s="2056">
        <v>-2.8031392500299659</v>
      </c>
      <c r="FP130" s="1869">
        <f t="shared" si="479"/>
        <v>-0.26714249584432115</v>
      </c>
      <c r="FQ130" s="1869">
        <f t="shared" si="479"/>
        <v>1.2072204206612445</v>
      </c>
      <c r="FR130" s="582"/>
      <c r="FS130" s="582"/>
      <c r="FT130" s="582"/>
      <c r="FU130" s="670"/>
      <c r="FV130" s="670"/>
      <c r="FW130" s="670"/>
      <c r="FX130" s="670"/>
      <c r="FY130" s="670"/>
      <c r="FZ130" s="582"/>
      <c r="GA130" s="655"/>
      <c r="GB130"/>
      <c r="GC130"/>
      <c r="GD130"/>
      <c r="GE130"/>
      <c r="GF130"/>
      <c r="GG130"/>
      <c r="GH130" s="971"/>
      <c r="GI130" s="971"/>
      <c r="GJ130" s="971"/>
      <c r="GK130" s="971"/>
      <c r="GL130" s="971"/>
      <c r="GM130" s="971"/>
      <c r="GN130" s="971"/>
      <c r="GO130" s="971"/>
      <c r="GP130" s="971"/>
      <c r="GQ130" s="971"/>
      <c r="GR130" s="971"/>
      <c r="GS130" s="971"/>
      <c r="GT130" s="971"/>
      <c r="GU130" s="971"/>
      <c r="GV130" s="971"/>
      <c r="GW130" s="971"/>
      <c r="GX130" s="971"/>
      <c r="GY130" s="971"/>
      <c r="GZ130" s="971"/>
      <c r="HA130" s="971"/>
      <c r="HB130" s="971"/>
      <c r="HC130" s="971"/>
      <c r="HD130" s="971"/>
      <c r="HE130" s="971"/>
      <c r="HF130" s="971"/>
      <c r="HG130" s="971"/>
      <c r="HH130" s="971"/>
      <c r="HI130" s="971"/>
      <c r="HJ130" s="971"/>
      <c r="HK130" s="971"/>
      <c r="HL130" s="971"/>
      <c r="HM130" s="971"/>
      <c r="HN130" s="971"/>
      <c r="HO130" s="971"/>
      <c r="HP130" s="971"/>
      <c r="HQ130" s="971"/>
      <c r="HR130" s="971"/>
      <c r="HS130" s="971"/>
      <c r="HT130" s="971"/>
      <c r="HU130" s="971"/>
      <c r="HV130" s="971"/>
      <c r="HW130" s="971"/>
      <c r="HX130" s="971"/>
      <c r="HY130" s="971"/>
      <c r="HZ130" s="971"/>
      <c r="IA130" s="971"/>
      <c r="IB130" s="971"/>
      <c r="IC130" s="971"/>
      <c r="ID130" s="971"/>
      <c r="IE130" s="971"/>
      <c r="IF130" s="971"/>
      <c r="IG130" s="971"/>
      <c r="IH130" s="971"/>
      <c r="II130" s="971"/>
      <c r="IJ130" s="971"/>
      <c r="IK130" s="971"/>
      <c r="IL130" s="971"/>
      <c r="IM130" s="971"/>
      <c r="IN130" s="971"/>
      <c r="IO130" s="971"/>
      <c r="IP130" s="971"/>
      <c r="IQ130" s="971"/>
      <c r="IR130" s="971"/>
      <c r="IS130" s="971"/>
      <c r="IT130" s="971"/>
      <c r="IU130" s="971"/>
      <c r="IV130" s="971"/>
    </row>
    <row r="131" spans="1:256" s="81" customFormat="1" ht="12.75" x14ac:dyDescent="0.2">
      <c r="A131" s="371" t="s">
        <v>640</v>
      </c>
      <c r="B131" s="80"/>
      <c r="C131" s="80"/>
      <c r="D131" s="80"/>
      <c r="E131" s="210"/>
      <c r="F131" s="79"/>
      <c r="G131" s="80"/>
      <c r="H131" s="80"/>
      <c r="I131" s="80"/>
      <c r="J131" s="210"/>
      <c r="K131" s="79"/>
      <c r="L131" s="80"/>
      <c r="M131" s="80"/>
      <c r="N131" s="80"/>
      <c r="O131" s="210"/>
      <c r="P131" s="79"/>
      <c r="Q131" s="80"/>
      <c r="R131" s="80"/>
      <c r="S131" s="80"/>
      <c r="T131" s="210"/>
      <c r="U131" s="79"/>
      <c r="V131" s="80"/>
      <c r="W131" s="80"/>
      <c r="X131" s="80"/>
      <c r="Y131" s="210"/>
      <c r="Z131" s="79"/>
      <c r="AA131" s="80"/>
      <c r="AB131" s="80"/>
      <c r="AC131" s="80"/>
      <c r="AD131" s="210"/>
      <c r="AE131" s="79"/>
      <c r="AF131" s="80"/>
      <c r="AG131" s="80"/>
      <c r="AH131" s="80"/>
      <c r="AI131" s="210"/>
      <c r="AJ131" s="79"/>
      <c r="AK131" s="80"/>
      <c r="AL131" s="80"/>
      <c r="AM131" s="80"/>
      <c r="AN131" s="210"/>
      <c r="AO131" s="79"/>
      <c r="AP131" s="80"/>
      <c r="AQ131" s="80"/>
      <c r="AR131" s="80"/>
      <c r="AS131" s="210"/>
      <c r="AT131" s="79"/>
      <c r="AU131" s="80"/>
      <c r="AV131" s="80"/>
      <c r="AW131" s="80"/>
      <c r="AX131" s="210"/>
      <c r="AY131" s="79"/>
      <c r="AZ131" s="80"/>
      <c r="BA131" s="80"/>
      <c r="BB131" s="80"/>
      <c r="BC131" s="210"/>
      <c r="BD131" s="79"/>
      <c r="BE131" s="80"/>
      <c r="BF131" s="80"/>
      <c r="BG131" s="80"/>
      <c r="BH131" s="210"/>
      <c r="BI131" s="79"/>
      <c r="BJ131" s="80"/>
      <c r="BK131" s="80"/>
      <c r="BL131" s="80"/>
      <c r="BM131" s="210"/>
      <c r="BN131" s="79"/>
      <c r="BO131" s="80"/>
      <c r="BP131" s="80"/>
      <c r="BQ131" s="80"/>
      <c r="BR131" s="210"/>
      <c r="BS131" s="79"/>
      <c r="BT131" s="80"/>
      <c r="BU131" s="80"/>
      <c r="BV131" s="80"/>
      <c r="BW131" s="210"/>
      <c r="BX131" s="79"/>
      <c r="BY131" s="80"/>
      <c r="BZ131" s="80"/>
      <c r="CA131" s="80"/>
      <c r="CB131" s="210"/>
      <c r="CC131" s="79"/>
      <c r="CD131" s="80">
        <v>0</v>
      </c>
      <c r="CE131" s="80">
        <v>0</v>
      </c>
      <c r="CF131" s="80">
        <v>0</v>
      </c>
      <c r="CG131" s="210">
        <v>0</v>
      </c>
      <c r="CH131" s="79">
        <f>SUM(CD131:CG131)</f>
        <v>0</v>
      </c>
      <c r="CI131" s="80">
        <v>0</v>
      </c>
      <c r="CJ131" s="80">
        <v>0</v>
      </c>
      <c r="CK131" s="80">
        <v>0</v>
      </c>
      <c r="CL131" s="210">
        <v>0</v>
      </c>
      <c r="CM131" s="79">
        <f>SUM(CI131:CL131)</f>
        <v>0</v>
      </c>
      <c r="CN131" s="80">
        <v>0</v>
      </c>
      <c r="CO131" s="80">
        <v>0</v>
      </c>
      <c r="CP131" s="80">
        <v>0</v>
      </c>
      <c r="CQ131" s="210">
        <v>0</v>
      </c>
      <c r="CR131" s="79">
        <f>SUM(CN131:CQ131)</f>
        <v>0</v>
      </c>
      <c r="CS131" s="80">
        <v>-78.032544069060449</v>
      </c>
      <c r="CT131" s="80">
        <v>-78</v>
      </c>
      <c r="CU131" s="80">
        <v>-47</v>
      </c>
      <c r="CV131" s="210">
        <v>-75</v>
      </c>
      <c r="CW131" s="79">
        <f>SUM(CS131:CV131)</f>
        <v>-278.03254406906046</v>
      </c>
      <c r="CX131" s="80">
        <v>5</v>
      </c>
      <c r="CY131" s="80">
        <v>73</v>
      </c>
      <c r="CZ131" s="80">
        <v>21</v>
      </c>
      <c r="DA131" s="80">
        <v>-65</v>
      </c>
      <c r="DB131" s="79">
        <f>SUM(CX131:DA131)</f>
        <v>34</v>
      </c>
      <c r="DC131" s="80">
        <v>-13</v>
      </c>
      <c r="DD131" s="80">
        <v>-103</v>
      </c>
      <c r="DE131" s="80">
        <v>-45</v>
      </c>
      <c r="DF131" s="428">
        <v>-46</v>
      </c>
      <c r="DG131" s="79">
        <f>SUM(DC131:DF131)</f>
        <v>-207</v>
      </c>
      <c r="DH131" s="80">
        <v>-32</v>
      </c>
      <c r="DI131" s="80">
        <v>-14</v>
      </c>
      <c r="DJ131" s="80">
        <v>-8</v>
      </c>
      <c r="DK131" s="80">
        <v>25</v>
      </c>
      <c r="DL131" s="79">
        <f>SUM(DH131:DK131)</f>
        <v>-29</v>
      </c>
      <c r="DM131" s="80">
        <v>30</v>
      </c>
      <c r="DN131" s="80">
        <v>98</v>
      </c>
      <c r="DO131" s="80">
        <v>-23</v>
      </c>
      <c r="DP131" s="80">
        <v>-108</v>
      </c>
      <c r="DQ131" s="79">
        <f>SUM(DM131:DP131)</f>
        <v>-3</v>
      </c>
      <c r="DR131" s="80">
        <v>-128</v>
      </c>
      <c r="DS131" s="80">
        <v>-166</v>
      </c>
      <c r="DT131" s="80">
        <v>-70</v>
      </c>
      <c r="DU131" s="428">
        <v>-26</v>
      </c>
      <c r="DV131" s="79">
        <f>SUM(DR131:DU131)</f>
        <v>-390</v>
      </c>
      <c r="DW131" s="428">
        <v>-48</v>
      </c>
      <c r="DX131" s="428">
        <v>-60</v>
      </c>
      <c r="DY131" s="428">
        <v>-112</v>
      </c>
      <c r="DZ131" s="428">
        <v>-162</v>
      </c>
      <c r="EA131" s="79">
        <f>SUM(DW131:DZ131)</f>
        <v>-382</v>
      </c>
      <c r="EB131" s="428">
        <v>-144.69634168253396</v>
      </c>
      <c r="EC131" s="428">
        <v>-96.053667942545857</v>
      </c>
      <c r="ED131" s="428">
        <v>-104.52991024896068</v>
      </c>
      <c r="EE131" s="428">
        <v>-28.160476587955429</v>
      </c>
      <c r="EF131" s="79">
        <f>SUM(EB131:EE131)</f>
        <v>-373.44039646199593</v>
      </c>
      <c r="EG131" s="428">
        <v>24.354792805288636</v>
      </c>
      <c r="EH131" s="428">
        <v>-70</v>
      </c>
      <c r="EI131" s="428">
        <v>-98</v>
      </c>
      <c r="EJ131" s="428">
        <v>-110</v>
      </c>
      <c r="EK131" s="79">
        <f>SUM(EG131:EJ131)</f>
        <v>-253.64520719471136</v>
      </c>
      <c r="EL131" s="428">
        <v>-138</v>
      </c>
      <c r="EM131" s="428">
        <v>-98</v>
      </c>
      <c r="EN131" s="428">
        <v>-78</v>
      </c>
      <c r="EO131" s="428">
        <v>-45</v>
      </c>
      <c r="EP131" s="79">
        <f>SUM(EL131:EO131)</f>
        <v>-359</v>
      </c>
      <c r="EQ131" s="428">
        <v>-18</v>
      </c>
      <c r="ER131" s="364">
        <v>-55</v>
      </c>
      <c r="ES131" s="364">
        <v>-50</v>
      </c>
      <c r="ET131" s="364">
        <v>-50</v>
      </c>
      <c r="EU131" s="1963">
        <f>SUM(EQ131:ET131)</f>
        <v>-173</v>
      </c>
      <c r="EV131" s="381"/>
      <c r="EW131" s="381"/>
      <c r="EX131" s="381"/>
      <c r="EY131" s="381"/>
      <c r="EZ131" s="853">
        <v>-65</v>
      </c>
      <c r="FA131" s="381"/>
      <c r="FB131" s="381"/>
      <c r="FC131" s="381"/>
      <c r="FD131" s="381"/>
      <c r="FE131" s="853">
        <v>-70</v>
      </c>
      <c r="FF131" s="778"/>
      <c r="FG131" s="627"/>
      <c r="FH131" s="1067"/>
      <c r="FI131" s="1067"/>
      <c r="FJ131" s="1067"/>
      <c r="FK131" s="1067"/>
      <c r="FL131" s="1820"/>
      <c r="FM131" s="1782">
        <f t="shared" si="448"/>
        <v>-18</v>
      </c>
      <c r="FN131" s="1782">
        <f t="shared" si="449"/>
        <v>-138</v>
      </c>
      <c r="FO131" s="364">
        <v>-70</v>
      </c>
      <c r="FP131" s="1870">
        <f t="shared" si="479"/>
        <v>-0.86956521739130432</v>
      </c>
      <c r="FQ131" s="1870">
        <f t="shared" si="479"/>
        <v>-0.74285714285714288</v>
      </c>
      <c r="FR131" s="1595"/>
      <c r="FS131" s="582"/>
      <c r="FT131" s="582"/>
      <c r="FU131" s="670"/>
      <c r="FV131" s="670"/>
      <c r="FW131" s="670"/>
      <c r="FX131" s="670"/>
      <c r="FY131" s="670"/>
      <c r="FZ131" s="582"/>
      <c r="GA131" s="627"/>
      <c r="GB131"/>
      <c r="GC131"/>
      <c r="GD131"/>
      <c r="GE131"/>
      <c r="GF131"/>
      <c r="GG131"/>
      <c r="GH131" s="971"/>
      <c r="GI131" s="971"/>
      <c r="GJ131" s="971"/>
      <c r="GK131" s="971"/>
      <c r="GL131" s="971"/>
      <c r="GM131" s="971"/>
      <c r="GN131" s="971"/>
      <c r="GO131" s="971"/>
      <c r="GP131" s="971"/>
      <c r="GQ131" s="971"/>
      <c r="GR131" s="971"/>
      <c r="GS131" s="971"/>
      <c r="GT131" s="971"/>
      <c r="GU131" s="971"/>
      <c r="GV131" s="971"/>
      <c r="GW131" s="971"/>
      <c r="GX131" s="971"/>
      <c r="GY131" s="971"/>
      <c r="GZ131" s="971"/>
      <c r="HA131" s="971"/>
      <c r="HB131" s="971"/>
      <c r="HC131" s="971"/>
      <c r="HD131" s="971"/>
      <c r="HE131" s="971"/>
      <c r="HF131" s="971"/>
      <c r="HG131" s="971"/>
      <c r="HH131" s="971"/>
      <c r="HI131" s="971"/>
      <c r="HJ131" s="971"/>
      <c r="HK131" s="971"/>
      <c r="HL131" s="971"/>
      <c r="HM131" s="971"/>
      <c r="HN131" s="971"/>
      <c r="HO131" s="971"/>
      <c r="HP131" s="971"/>
      <c r="HQ131" s="971"/>
      <c r="HR131" s="971"/>
      <c r="HS131" s="971"/>
      <c r="HT131" s="971"/>
      <c r="HU131" s="971"/>
      <c r="HV131" s="971"/>
      <c r="HW131" s="971"/>
      <c r="HX131" s="971"/>
      <c r="HY131" s="971"/>
      <c r="HZ131" s="971"/>
      <c r="IA131" s="971"/>
      <c r="IB131" s="971"/>
      <c r="IC131" s="971"/>
      <c r="ID131" s="971"/>
      <c r="IE131" s="971"/>
      <c r="IF131" s="971"/>
      <c r="IG131" s="971"/>
      <c r="IH131" s="971"/>
      <c r="II131" s="971"/>
      <c r="IJ131" s="971"/>
      <c r="IK131" s="971"/>
      <c r="IL131" s="971"/>
      <c r="IM131" s="971"/>
      <c r="IN131" s="971"/>
      <c r="IO131" s="971"/>
      <c r="IP131" s="971"/>
      <c r="IQ131" s="971"/>
      <c r="IR131" s="971"/>
      <c r="IS131" s="971"/>
      <c r="IT131" s="971"/>
      <c r="IU131" s="971"/>
      <c r="IV131" s="971"/>
    </row>
    <row r="132" spans="1:256" s="50" customFormat="1" ht="12.75" hidden="1" x14ac:dyDescent="0.2">
      <c r="A132" s="31" t="s">
        <v>190</v>
      </c>
      <c r="B132" s="32">
        <v>28.3</v>
      </c>
      <c r="C132" s="32">
        <v>27.7</v>
      </c>
      <c r="D132" s="32">
        <v>28.5</v>
      </c>
      <c r="E132" s="199">
        <v>29.6</v>
      </c>
      <c r="F132" s="33">
        <f>SUM(B132:E132)</f>
        <v>114.1</v>
      </c>
      <c r="G132" s="32">
        <v>30.8</v>
      </c>
      <c r="H132" s="32">
        <v>31.5</v>
      </c>
      <c r="I132" s="32">
        <v>30.8</v>
      </c>
      <c r="J132" s="199">
        <v>29.7</v>
      </c>
      <c r="K132" s="33">
        <f>SUM(G132:J132)</f>
        <v>122.8</v>
      </c>
      <c r="L132" s="32">
        <v>30.5</v>
      </c>
      <c r="M132" s="32">
        <v>32.700000000000003</v>
      </c>
      <c r="N132" s="32">
        <v>30.5</v>
      </c>
      <c r="O132" s="199">
        <v>30.1</v>
      </c>
      <c r="P132" s="33">
        <f>SUM(L132:O132)</f>
        <v>123.80000000000001</v>
      </c>
      <c r="Q132" s="32">
        <v>33</v>
      </c>
      <c r="R132" s="32">
        <v>29.1</v>
      </c>
      <c r="S132" s="32">
        <v>29.1</v>
      </c>
      <c r="T132" s="199">
        <v>30.5</v>
      </c>
      <c r="U132" s="33">
        <f>SUM(Q132:T132)</f>
        <v>121.7</v>
      </c>
      <c r="V132" s="32">
        <v>32</v>
      </c>
      <c r="W132" s="32">
        <v>31.5</v>
      </c>
      <c r="X132" s="32">
        <v>29.9</v>
      </c>
      <c r="Y132" s="199">
        <v>28.1</v>
      </c>
      <c r="Z132" s="33">
        <f>SUM(V132:Y132)</f>
        <v>121.5</v>
      </c>
      <c r="AA132" s="32"/>
      <c r="AB132" s="32"/>
      <c r="AC132" s="32"/>
      <c r="AD132" s="199"/>
      <c r="AE132" s="33"/>
      <c r="AF132" s="32"/>
      <c r="AG132" s="32"/>
      <c r="AH132" s="32"/>
      <c r="AI132" s="199"/>
      <c r="AJ132" s="33"/>
      <c r="AK132" s="32"/>
      <c r="AL132" s="32"/>
      <c r="AM132" s="32"/>
      <c r="AN132" s="199"/>
      <c r="AO132" s="33"/>
      <c r="AP132" s="32"/>
      <c r="AQ132" s="32"/>
      <c r="AR132" s="32"/>
      <c r="AS132" s="199"/>
      <c r="AT132" s="33"/>
      <c r="AU132" s="32"/>
      <c r="AV132" s="32"/>
      <c r="AW132" s="32"/>
      <c r="AX132" s="199"/>
      <c r="AY132" s="33"/>
      <c r="AZ132" s="32"/>
      <c r="BA132" s="32"/>
      <c r="BB132" s="32"/>
      <c r="BC132" s="199"/>
      <c r="BD132" s="33"/>
      <c r="BE132" s="32"/>
      <c r="BF132" s="32"/>
      <c r="BG132" s="32"/>
      <c r="BH132" s="199"/>
      <c r="BI132" s="33"/>
      <c r="BJ132" s="32"/>
      <c r="BK132" s="32"/>
      <c r="BL132" s="32"/>
      <c r="BM132" s="199"/>
      <c r="BN132" s="33"/>
      <c r="BO132" s="32"/>
      <c r="BP132" s="32"/>
      <c r="BQ132" s="32"/>
      <c r="BR132" s="199"/>
      <c r="BS132" s="33"/>
      <c r="BT132" s="32"/>
      <c r="BU132" s="32"/>
      <c r="BV132" s="32"/>
      <c r="BW132" s="199"/>
      <c r="BX132" s="33"/>
      <c r="BY132" s="32"/>
      <c r="BZ132" s="32"/>
      <c r="CA132" s="32"/>
      <c r="CB132" s="199"/>
      <c r="CC132" s="33"/>
      <c r="CD132" s="32"/>
      <c r="CE132" s="32"/>
      <c r="CF132" s="32"/>
      <c r="CG132" s="199"/>
      <c r="CH132" s="33"/>
      <c r="CI132" s="32"/>
      <c r="CJ132" s="32"/>
      <c r="CK132" s="32"/>
      <c r="CL132" s="199"/>
      <c r="CM132" s="33"/>
      <c r="CN132" s="32"/>
      <c r="CO132" s="32"/>
      <c r="CP132" s="32"/>
      <c r="CQ132" s="199"/>
      <c r="CR132" s="33"/>
      <c r="CS132" s="32"/>
      <c r="CT132" s="32"/>
      <c r="CU132" s="32"/>
      <c r="CV132" s="199"/>
      <c r="CW132" s="33"/>
      <c r="CX132" s="32"/>
      <c r="CY132" s="32"/>
      <c r="CZ132" s="32"/>
      <c r="DA132" s="32"/>
      <c r="DB132" s="33"/>
      <c r="DC132" s="32"/>
      <c r="DD132" s="32"/>
      <c r="DE132" s="32"/>
      <c r="DF132" s="32"/>
      <c r="DG132" s="33"/>
      <c r="DH132" s="444"/>
      <c r="DI132" s="32"/>
      <c r="DJ132" s="32"/>
      <c r="DK132" s="32"/>
      <c r="DL132" s="33"/>
      <c r="DM132" s="444"/>
      <c r="DN132" s="32"/>
      <c r="DO132" s="32"/>
      <c r="DP132" s="32"/>
      <c r="DQ132" s="33"/>
      <c r="DR132" s="444"/>
      <c r="DS132" s="32"/>
      <c r="DT132" s="82"/>
      <c r="DU132" s="32"/>
      <c r="DV132" s="33"/>
      <c r="DW132" s="444"/>
      <c r="DX132" s="32"/>
      <c r="DY132" s="82"/>
      <c r="DZ132" s="32"/>
      <c r="EA132" s="33"/>
      <c r="EB132" s="444"/>
      <c r="EC132" s="32"/>
      <c r="ED132" s="82"/>
      <c r="EE132" s="32"/>
      <c r="EF132" s="33"/>
      <c r="EG132" s="444"/>
      <c r="EH132" s="32"/>
      <c r="EI132" s="82"/>
      <c r="EJ132" s="32"/>
      <c r="EK132" s="33"/>
      <c r="EL132" s="444"/>
      <c r="EM132" s="32"/>
      <c r="EN132" s="82"/>
      <c r="EO132" s="32"/>
      <c r="EP132" s="33"/>
      <c r="EQ132" s="444"/>
      <c r="ER132" s="82"/>
      <c r="ES132" s="82"/>
      <c r="ET132" s="82"/>
      <c r="EU132" s="1964"/>
      <c r="EV132" s="83"/>
      <c r="EW132" s="83"/>
      <c r="EX132" s="83"/>
      <c r="EY132" s="82"/>
      <c r="EZ132" s="854"/>
      <c r="FA132" s="83"/>
      <c r="FB132" s="83"/>
      <c r="FC132" s="83"/>
      <c r="FD132" s="82"/>
      <c r="FE132" s="854"/>
      <c r="FF132" s="779"/>
      <c r="FG132" s="622"/>
      <c r="FH132" s="1030"/>
      <c r="FI132" s="1030"/>
      <c r="FJ132" s="1030"/>
      <c r="FK132" s="1030"/>
      <c r="FL132" s="1809"/>
      <c r="FM132" s="32">
        <f t="shared" si="448"/>
        <v>0</v>
      </c>
      <c r="FN132" s="32">
        <f t="shared" si="449"/>
        <v>0</v>
      </c>
      <c r="FO132" s="82"/>
      <c r="FP132" s="32"/>
      <c r="FQ132" s="32"/>
      <c r="FR132" s="122"/>
      <c r="FS132" s="122"/>
      <c r="FT132" s="122"/>
      <c r="FU132" s="670"/>
      <c r="FV132" s="670"/>
      <c r="FW132" s="670"/>
      <c r="FX132" s="670"/>
      <c r="FY132" s="670"/>
      <c r="FZ132" s="122"/>
      <c r="GA132" s="622"/>
      <c r="GB132"/>
      <c r="GC132"/>
      <c r="GD132"/>
      <c r="GE132"/>
      <c r="GF132"/>
      <c r="GG132"/>
      <c r="GH132" s="956"/>
      <c r="GI132" s="956"/>
      <c r="GJ132" s="956"/>
      <c r="GK132" s="956"/>
      <c r="GL132" s="956"/>
      <c r="GM132" s="956"/>
      <c r="GN132" s="956"/>
      <c r="GO132" s="956"/>
      <c r="GP132" s="956"/>
      <c r="GQ132" s="956"/>
      <c r="GR132" s="956"/>
      <c r="GS132" s="956"/>
      <c r="GT132" s="956"/>
      <c r="GU132" s="956"/>
      <c r="GV132" s="956"/>
      <c r="GW132" s="956"/>
      <c r="GX132" s="956"/>
      <c r="GY132" s="956"/>
      <c r="GZ132" s="956"/>
      <c r="HA132" s="956"/>
      <c r="HB132" s="956"/>
      <c r="HC132" s="956"/>
      <c r="HD132" s="956"/>
      <c r="HE132" s="956"/>
      <c r="HF132" s="956"/>
      <c r="HG132" s="956"/>
      <c r="HH132" s="956"/>
      <c r="HI132" s="956"/>
      <c r="HJ132" s="956"/>
      <c r="HK132" s="956"/>
      <c r="HL132" s="956"/>
      <c r="HM132" s="956"/>
      <c r="HN132" s="956"/>
      <c r="HO132" s="956"/>
      <c r="HP132" s="956"/>
      <c r="HQ132" s="956"/>
      <c r="HR132" s="956"/>
      <c r="HS132" s="956"/>
      <c r="HT132" s="956"/>
      <c r="HU132" s="956"/>
      <c r="HV132" s="956"/>
      <c r="HW132" s="956"/>
      <c r="HX132" s="956"/>
      <c r="HY132" s="956"/>
      <c r="HZ132" s="956"/>
      <c r="IA132" s="956"/>
      <c r="IB132" s="956"/>
      <c r="IC132" s="956"/>
      <c r="ID132" s="956"/>
      <c r="IE132" s="956"/>
      <c r="IF132" s="956"/>
      <c r="IG132" s="956"/>
      <c r="IH132" s="956"/>
      <c r="II132" s="956"/>
      <c r="IJ132" s="956"/>
      <c r="IK132" s="956"/>
      <c r="IL132" s="956"/>
      <c r="IM132" s="956"/>
      <c r="IN132" s="956"/>
      <c r="IO132" s="956"/>
      <c r="IP132" s="956"/>
      <c r="IQ132" s="956"/>
      <c r="IR132" s="956"/>
      <c r="IS132" s="956"/>
      <c r="IT132" s="956"/>
      <c r="IU132" s="956"/>
      <c r="IV132" s="956"/>
    </row>
    <row r="133" spans="1:256" s="51" customFormat="1" ht="12.75" hidden="1" x14ac:dyDescent="0.2">
      <c r="A133" s="84" t="s">
        <v>194</v>
      </c>
      <c r="B133" s="15"/>
      <c r="C133" s="15"/>
      <c r="D133" s="15"/>
      <c r="E133" s="195"/>
      <c r="F133" s="14"/>
      <c r="G133" s="15">
        <f t="shared" ref="G133:Z133" si="480">G132/B132-1</f>
        <v>8.8339222614840951E-2</v>
      </c>
      <c r="H133" s="15">
        <f t="shared" si="480"/>
        <v>0.13718411552346566</v>
      </c>
      <c r="I133" s="15">
        <f t="shared" si="480"/>
        <v>8.0701754385964941E-2</v>
      </c>
      <c r="J133" s="195">
        <f t="shared" si="480"/>
        <v>3.3783783783782884E-3</v>
      </c>
      <c r="K133" s="14">
        <f t="shared" si="480"/>
        <v>7.6248904469763401E-2</v>
      </c>
      <c r="L133" s="15">
        <f t="shared" si="480"/>
        <v>-9.7402597402597157E-3</v>
      </c>
      <c r="M133" s="15">
        <f t="shared" si="480"/>
        <v>3.8095238095238182E-2</v>
      </c>
      <c r="N133" s="15">
        <f t="shared" si="480"/>
        <v>-9.7402597402597157E-3</v>
      </c>
      <c r="O133" s="195">
        <f t="shared" si="480"/>
        <v>1.3468013468013629E-2</v>
      </c>
      <c r="P133" s="14">
        <f t="shared" si="480"/>
        <v>8.1433224755702582E-3</v>
      </c>
      <c r="Q133" s="15">
        <f t="shared" si="480"/>
        <v>8.1967213114754189E-2</v>
      </c>
      <c r="R133" s="15">
        <f t="shared" si="480"/>
        <v>-0.11009174311926606</v>
      </c>
      <c r="S133" s="15">
        <f t="shared" si="480"/>
        <v>-4.5901639344262279E-2</v>
      </c>
      <c r="T133" s="195">
        <f t="shared" si="480"/>
        <v>1.3289036544850363E-2</v>
      </c>
      <c r="U133" s="14">
        <f t="shared" si="480"/>
        <v>-1.6962843295638241E-2</v>
      </c>
      <c r="V133" s="15">
        <f t="shared" si="480"/>
        <v>-3.0303030303030276E-2</v>
      </c>
      <c r="W133" s="15">
        <f t="shared" si="480"/>
        <v>8.247422680412364E-2</v>
      </c>
      <c r="X133" s="15">
        <f t="shared" si="480"/>
        <v>2.7491408934707806E-2</v>
      </c>
      <c r="Y133" s="195">
        <f t="shared" si="480"/>
        <v>-7.8688524590163844E-2</v>
      </c>
      <c r="Z133" s="14">
        <f t="shared" si="480"/>
        <v>-1.6433853738702098E-3</v>
      </c>
      <c r="AA133" s="15"/>
      <c r="AB133" s="15"/>
      <c r="AC133" s="15"/>
      <c r="AD133" s="195"/>
      <c r="AE133" s="14"/>
      <c r="AF133" s="15"/>
      <c r="AG133" s="15"/>
      <c r="AH133" s="15"/>
      <c r="AI133" s="195"/>
      <c r="AJ133" s="14"/>
      <c r="AK133" s="15"/>
      <c r="AL133" s="15"/>
      <c r="AM133" s="15"/>
      <c r="AN133" s="195"/>
      <c r="AO133" s="14"/>
      <c r="AP133" s="15"/>
      <c r="AQ133" s="15"/>
      <c r="AR133" s="15"/>
      <c r="AS133" s="195"/>
      <c r="AT133" s="14"/>
      <c r="AU133" s="15"/>
      <c r="AV133" s="15"/>
      <c r="AW133" s="15"/>
      <c r="AX133" s="195"/>
      <c r="AY133" s="14"/>
      <c r="AZ133" s="15"/>
      <c r="BA133" s="15"/>
      <c r="BB133" s="15"/>
      <c r="BC133" s="195"/>
      <c r="BD133" s="14"/>
      <c r="BE133" s="15"/>
      <c r="BF133" s="15"/>
      <c r="BG133" s="15"/>
      <c r="BH133" s="195"/>
      <c r="BI133" s="14"/>
      <c r="BJ133" s="15"/>
      <c r="BK133" s="15"/>
      <c r="BL133" s="15"/>
      <c r="BM133" s="195"/>
      <c r="BN133" s="14"/>
      <c r="BO133" s="15"/>
      <c r="BP133" s="15"/>
      <c r="BQ133" s="15"/>
      <c r="BR133" s="195"/>
      <c r="BS133" s="14"/>
      <c r="BT133" s="15"/>
      <c r="BU133" s="15"/>
      <c r="BV133" s="15"/>
      <c r="BW133" s="195"/>
      <c r="BX133" s="14"/>
      <c r="BY133" s="15"/>
      <c r="BZ133" s="15"/>
      <c r="CA133" s="15"/>
      <c r="CB133" s="195"/>
      <c r="CC133" s="14"/>
      <c r="CD133" s="15"/>
      <c r="CE133" s="15"/>
      <c r="CF133" s="15"/>
      <c r="CG133" s="195"/>
      <c r="CH133" s="14"/>
      <c r="CI133" s="15"/>
      <c r="CJ133" s="15"/>
      <c r="CK133" s="15"/>
      <c r="CL133" s="195"/>
      <c r="CM133" s="14"/>
      <c r="CN133" s="15"/>
      <c r="CO133" s="15"/>
      <c r="CP133" s="15"/>
      <c r="CQ133" s="195"/>
      <c r="CR133" s="14"/>
      <c r="CS133" s="15"/>
      <c r="CT133" s="15"/>
      <c r="CU133" s="15"/>
      <c r="CV133" s="195"/>
      <c r="CW133" s="14"/>
      <c r="CX133" s="15"/>
      <c r="CY133" s="15"/>
      <c r="CZ133" s="15"/>
      <c r="DA133" s="15"/>
      <c r="DB133" s="14"/>
      <c r="DC133" s="15"/>
      <c r="DD133" s="15"/>
      <c r="DE133" s="15"/>
      <c r="DF133" s="15"/>
      <c r="DG133" s="14"/>
      <c r="DH133" s="442"/>
      <c r="DI133" s="15"/>
      <c r="DJ133" s="15"/>
      <c r="DK133" s="15"/>
      <c r="DL133" s="14"/>
      <c r="DM133" s="442"/>
      <c r="DN133" s="15"/>
      <c r="DO133" s="15"/>
      <c r="DP133" s="15"/>
      <c r="DQ133" s="14"/>
      <c r="DR133" s="442"/>
      <c r="DS133" s="15"/>
      <c r="DT133" s="15"/>
      <c r="DU133" s="15"/>
      <c r="DV133" s="14"/>
      <c r="DW133" s="442"/>
      <c r="DX133" s="15"/>
      <c r="DY133" s="15"/>
      <c r="DZ133" s="15"/>
      <c r="EA133" s="14"/>
      <c r="EB133" s="442"/>
      <c r="EC133" s="15"/>
      <c r="ED133" s="15"/>
      <c r="EE133" s="15"/>
      <c r="EF133" s="14"/>
      <c r="EG133" s="442"/>
      <c r="EH133" s="15"/>
      <c r="EI133" s="15"/>
      <c r="EJ133" s="15"/>
      <c r="EK133" s="14"/>
      <c r="EL133" s="442"/>
      <c r="EM133" s="15"/>
      <c r="EN133" s="15"/>
      <c r="EO133" s="15"/>
      <c r="EP133" s="14"/>
      <c r="EQ133" s="442"/>
      <c r="ER133" s="15"/>
      <c r="ES133" s="15"/>
      <c r="ET133" s="15"/>
      <c r="EU133" s="1943"/>
      <c r="EV133" s="34"/>
      <c r="EW133" s="34"/>
      <c r="EX133" s="34"/>
      <c r="EY133" s="34"/>
      <c r="EZ133" s="837"/>
      <c r="FA133" s="34"/>
      <c r="FB133" s="34"/>
      <c r="FC133" s="34"/>
      <c r="FD133" s="34"/>
      <c r="FE133" s="837"/>
      <c r="FF133" s="757"/>
      <c r="FG133" s="618"/>
      <c r="FH133" s="1026"/>
      <c r="FI133" s="1026"/>
      <c r="FJ133" s="1026"/>
      <c r="FK133" s="1026"/>
      <c r="FL133" s="1807"/>
      <c r="FM133" s="15">
        <f t="shared" si="448"/>
        <v>0</v>
      </c>
      <c r="FN133" s="15">
        <f t="shared" si="449"/>
        <v>0</v>
      </c>
      <c r="FO133" s="2042"/>
      <c r="FP133" s="15"/>
      <c r="FQ133" s="15"/>
      <c r="FR133" s="571"/>
      <c r="FS133" s="571"/>
      <c r="FT133" s="571"/>
      <c r="FU133" s="670"/>
      <c r="FV133" s="670"/>
      <c r="FW133" s="670"/>
      <c r="FX133" s="670"/>
      <c r="FY133" s="670"/>
      <c r="FZ133" s="571"/>
      <c r="GA133" s="618"/>
      <c r="GB133"/>
      <c r="GC133"/>
      <c r="GD133"/>
      <c r="GE133"/>
      <c r="GF133"/>
      <c r="GG133"/>
      <c r="GH133" s="957"/>
      <c r="GI133" s="957"/>
      <c r="GJ133" s="957"/>
      <c r="GK133" s="957"/>
      <c r="GL133" s="957"/>
      <c r="GM133" s="957"/>
      <c r="GN133" s="957"/>
      <c r="GO133" s="957"/>
      <c r="GP133" s="957"/>
      <c r="GQ133" s="957"/>
      <c r="GR133" s="957"/>
      <c r="GS133" s="957"/>
      <c r="GT133" s="957"/>
      <c r="GU133" s="957"/>
      <c r="GV133" s="957"/>
      <c r="GW133" s="957"/>
      <c r="GX133" s="957"/>
      <c r="GY133" s="957"/>
      <c r="GZ133" s="957"/>
      <c r="HA133" s="957"/>
      <c r="HB133" s="957"/>
      <c r="HC133" s="957"/>
      <c r="HD133" s="957"/>
      <c r="HE133" s="957"/>
      <c r="HF133" s="957"/>
      <c r="HG133" s="957"/>
      <c r="HH133" s="957"/>
      <c r="HI133" s="957"/>
      <c r="HJ133" s="957"/>
      <c r="HK133" s="957"/>
      <c r="HL133" s="957"/>
      <c r="HM133" s="957"/>
      <c r="HN133" s="957"/>
      <c r="HO133" s="957"/>
      <c r="HP133" s="957"/>
      <c r="HQ133" s="957"/>
      <c r="HR133" s="957"/>
      <c r="HS133" s="957"/>
      <c r="HT133" s="957"/>
      <c r="HU133" s="957"/>
      <c r="HV133" s="957"/>
      <c r="HW133" s="957"/>
      <c r="HX133" s="957"/>
      <c r="HY133" s="957"/>
      <c r="HZ133" s="957"/>
      <c r="IA133" s="957"/>
      <c r="IB133" s="957"/>
      <c r="IC133" s="957"/>
      <c r="ID133" s="957"/>
      <c r="IE133" s="957"/>
      <c r="IF133" s="957"/>
      <c r="IG133" s="957"/>
      <c r="IH133" s="957"/>
      <c r="II133" s="957"/>
      <c r="IJ133" s="957"/>
      <c r="IK133" s="957"/>
      <c r="IL133" s="957"/>
      <c r="IM133" s="957"/>
      <c r="IN133" s="957"/>
      <c r="IO133" s="957"/>
      <c r="IP133" s="957"/>
      <c r="IQ133" s="957"/>
      <c r="IR133" s="957"/>
      <c r="IS133" s="957"/>
      <c r="IT133" s="957"/>
      <c r="IU133" s="957"/>
      <c r="IV133" s="957"/>
    </row>
    <row r="134" spans="1:256" s="51" customFormat="1" ht="12.75" hidden="1" x14ac:dyDescent="0.2">
      <c r="A134" s="13" t="s">
        <v>216</v>
      </c>
      <c r="B134" s="15">
        <f t="shared" ref="B134:Z134" si="481">B132/B135</f>
        <v>3.0657566894160975E-2</v>
      </c>
      <c r="C134" s="15">
        <f t="shared" si="481"/>
        <v>2.8983990792089569E-2</v>
      </c>
      <c r="D134" s="15">
        <f t="shared" si="481"/>
        <v>3.155097974094985E-2</v>
      </c>
      <c r="E134" s="195">
        <f t="shared" si="481"/>
        <v>3.2456140350877197E-2</v>
      </c>
      <c r="F134" s="14">
        <f t="shared" si="481"/>
        <v>3.0887090224953302E-2</v>
      </c>
      <c r="G134" s="15">
        <f t="shared" si="481"/>
        <v>3.2281731474688193E-2</v>
      </c>
      <c r="H134" s="15">
        <f t="shared" si="481"/>
        <v>3.2672959236593718E-2</v>
      </c>
      <c r="I134" s="15">
        <f t="shared" si="481"/>
        <v>3.2877882152006835E-2</v>
      </c>
      <c r="J134" s="195">
        <f t="shared" si="481"/>
        <v>3.1901181525241677E-2</v>
      </c>
      <c r="K134" s="14">
        <f t="shared" si="481"/>
        <v>3.2435287902799786E-2</v>
      </c>
      <c r="L134" s="15">
        <f t="shared" si="481"/>
        <v>3.4212002243409985E-2</v>
      </c>
      <c r="M134" s="15">
        <f t="shared" si="481"/>
        <v>3.6013215859030834E-2</v>
      </c>
      <c r="N134" s="15">
        <f t="shared" si="481"/>
        <v>3.2381356831935451E-2</v>
      </c>
      <c r="O134" s="195">
        <f t="shared" si="481"/>
        <v>3.2979073079872911E-2</v>
      </c>
      <c r="P134" s="14">
        <f t="shared" si="481"/>
        <v>3.387975151200022E-2</v>
      </c>
      <c r="Q134" s="15">
        <f t="shared" si="481"/>
        <v>3.5920322194405135E-2</v>
      </c>
      <c r="R134" s="15">
        <f t="shared" si="481"/>
        <v>3.0973922299095263E-2</v>
      </c>
      <c r="S134" s="15">
        <f t="shared" si="481"/>
        <v>3.0609024928999685E-2</v>
      </c>
      <c r="T134" s="195">
        <f t="shared" si="481"/>
        <v>3.1505009813035841E-2</v>
      </c>
      <c r="U134" s="14">
        <f t="shared" si="481"/>
        <v>3.2221339687582735E-2</v>
      </c>
      <c r="V134" s="15">
        <f t="shared" si="481"/>
        <v>3.4445640473627553E-2</v>
      </c>
      <c r="W134" s="15">
        <f t="shared" si="481"/>
        <v>3.2703488372093019E-2</v>
      </c>
      <c r="X134" s="15">
        <f t="shared" si="481"/>
        <v>3.2702614021655918E-2</v>
      </c>
      <c r="Y134" s="195">
        <f t="shared" si="481"/>
        <v>2.9912710240579097E-2</v>
      </c>
      <c r="Z134" s="14">
        <f t="shared" si="481"/>
        <v>3.2435462772631415E-2</v>
      </c>
      <c r="AA134" s="15"/>
      <c r="AB134" s="15"/>
      <c r="AC134" s="15"/>
      <c r="AD134" s="195"/>
      <c r="AE134" s="14"/>
      <c r="AF134" s="15"/>
      <c r="AG134" s="15"/>
      <c r="AH134" s="15"/>
      <c r="AI134" s="195"/>
      <c r="AJ134" s="14"/>
      <c r="AK134" s="15"/>
      <c r="AL134" s="15"/>
      <c r="AM134" s="15"/>
      <c r="AN134" s="195"/>
      <c r="AO134" s="14"/>
      <c r="AP134" s="15"/>
      <c r="AQ134" s="15"/>
      <c r="AR134" s="15"/>
      <c r="AS134" s="195"/>
      <c r="AT134" s="14"/>
      <c r="AU134" s="15"/>
      <c r="AV134" s="15"/>
      <c r="AW134" s="15"/>
      <c r="AX134" s="195"/>
      <c r="AY134" s="14"/>
      <c r="AZ134" s="15"/>
      <c r="BA134" s="15"/>
      <c r="BB134" s="15"/>
      <c r="BC134" s="195"/>
      <c r="BD134" s="14"/>
      <c r="BE134" s="15"/>
      <c r="BF134" s="15"/>
      <c r="BG134" s="15"/>
      <c r="BH134" s="195"/>
      <c r="BI134" s="14"/>
      <c r="BJ134" s="15"/>
      <c r="BK134" s="15"/>
      <c r="BL134" s="15"/>
      <c r="BM134" s="195"/>
      <c r="BN134" s="14"/>
      <c r="BO134" s="15"/>
      <c r="BP134" s="15"/>
      <c r="BQ134" s="15"/>
      <c r="BR134" s="195"/>
      <c r="BS134" s="14"/>
      <c r="BT134" s="15"/>
      <c r="BU134" s="15"/>
      <c r="BV134" s="15"/>
      <c r="BW134" s="195"/>
      <c r="BX134" s="14"/>
      <c r="BY134" s="15"/>
      <c r="BZ134" s="15"/>
      <c r="CA134" s="15"/>
      <c r="CB134" s="195"/>
      <c r="CC134" s="14"/>
      <c r="CD134" s="15"/>
      <c r="CE134" s="15"/>
      <c r="CF134" s="15"/>
      <c r="CG134" s="195"/>
      <c r="CH134" s="14"/>
      <c r="CI134" s="15"/>
      <c r="CJ134" s="15"/>
      <c r="CK134" s="15"/>
      <c r="CL134" s="195"/>
      <c r="CM134" s="14"/>
      <c r="CN134" s="15"/>
      <c r="CO134" s="15"/>
      <c r="CP134" s="15"/>
      <c r="CQ134" s="195"/>
      <c r="CR134" s="14"/>
      <c r="CS134" s="15"/>
      <c r="CT134" s="15"/>
      <c r="CU134" s="15"/>
      <c r="CV134" s="195"/>
      <c r="CW134" s="14"/>
      <c r="CX134" s="15"/>
      <c r="CY134" s="15"/>
      <c r="CZ134" s="15"/>
      <c r="DA134" s="15"/>
      <c r="DB134" s="14"/>
      <c r="DC134" s="15"/>
      <c r="DD134" s="15"/>
      <c r="DE134" s="15"/>
      <c r="DF134" s="15"/>
      <c r="DG134" s="14"/>
      <c r="DH134" s="442"/>
      <c r="DI134" s="15"/>
      <c r="DJ134" s="15"/>
      <c r="DK134" s="15"/>
      <c r="DL134" s="14"/>
      <c r="DM134" s="442"/>
      <c r="DN134" s="15"/>
      <c r="DO134" s="15"/>
      <c r="DP134" s="15"/>
      <c r="DQ134" s="14"/>
      <c r="DR134" s="442"/>
      <c r="DS134" s="15"/>
      <c r="DT134" s="15"/>
      <c r="DU134" s="15"/>
      <c r="DV134" s="14"/>
      <c r="DW134" s="442"/>
      <c r="DX134" s="15"/>
      <c r="DY134" s="15"/>
      <c r="DZ134" s="15"/>
      <c r="EA134" s="14"/>
      <c r="EB134" s="442"/>
      <c r="EC134" s="15"/>
      <c r="ED134" s="15"/>
      <c r="EE134" s="15"/>
      <c r="EF134" s="14"/>
      <c r="EG134" s="442"/>
      <c r="EH134" s="15"/>
      <c r="EI134" s="15"/>
      <c r="EJ134" s="15"/>
      <c r="EK134" s="14"/>
      <c r="EL134" s="442"/>
      <c r="EM134" s="15"/>
      <c r="EN134" s="15"/>
      <c r="EO134" s="15"/>
      <c r="EP134" s="14"/>
      <c r="EQ134" s="442"/>
      <c r="ER134" s="15"/>
      <c r="ES134" s="15"/>
      <c r="ET134" s="15"/>
      <c r="EU134" s="1943"/>
      <c r="EV134" s="34"/>
      <c r="EW134" s="34"/>
      <c r="EX134" s="34"/>
      <c r="EY134" s="34"/>
      <c r="EZ134" s="837"/>
      <c r="FA134" s="34"/>
      <c r="FB134" s="34"/>
      <c r="FC134" s="34"/>
      <c r="FD134" s="34"/>
      <c r="FE134" s="837"/>
      <c r="FF134" s="757"/>
      <c r="FG134" s="628"/>
      <c r="FH134" s="1026"/>
      <c r="FI134" s="1026"/>
      <c r="FJ134" s="1026"/>
      <c r="FK134" s="1026"/>
      <c r="FL134" s="1807"/>
      <c r="FM134" s="15">
        <f t="shared" si="448"/>
        <v>0</v>
      </c>
      <c r="FN134" s="15">
        <f t="shared" si="449"/>
        <v>0</v>
      </c>
      <c r="FO134" s="2042"/>
      <c r="FP134" s="15"/>
      <c r="FQ134" s="15"/>
      <c r="FR134" s="571"/>
      <c r="FS134" s="571"/>
      <c r="FT134" s="571"/>
      <c r="FU134" s="670"/>
      <c r="FV134" s="670"/>
      <c r="FW134" s="670"/>
      <c r="FX134" s="670"/>
      <c r="FY134" s="670"/>
      <c r="FZ134" s="571"/>
      <c r="GA134" s="628"/>
      <c r="GB134"/>
      <c r="GC134"/>
      <c r="GD134"/>
      <c r="GE134"/>
      <c r="GF134"/>
      <c r="GG134"/>
      <c r="GH134" s="957"/>
      <c r="GI134" s="957"/>
      <c r="GJ134" s="957"/>
      <c r="GK134" s="957"/>
      <c r="GL134" s="957"/>
      <c r="GM134" s="957"/>
      <c r="GN134" s="957"/>
      <c r="GO134" s="957"/>
      <c r="GP134" s="957"/>
      <c r="GQ134" s="957"/>
      <c r="GR134" s="957"/>
      <c r="GS134" s="957"/>
      <c r="GT134" s="957"/>
      <c r="GU134" s="957"/>
      <c r="GV134" s="957"/>
      <c r="GW134" s="957"/>
      <c r="GX134" s="957"/>
      <c r="GY134" s="957"/>
      <c r="GZ134" s="957"/>
      <c r="HA134" s="957"/>
      <c r="HB134" s="957"/>
      <c r="HC134" s="957"/>
      <c r="HD134" s="957"/>
      <c r="HE134" s="957"/>
      <c r="HF134" s="957"/>
      <c r="HG134" s="957"/>
      <c r="HH134" s="957"/>
      <c r="HI134" s="957"/>
      <c r="HJ134" s="957"/>
      <c r="HK134" s="957"/>
      <c r="HL134" s="957"/>
      <c r="HM134" s="957"/>
      <c r="HN134" s="957"/>
      <c r="HO134" s="957"/>
      <c r="HP134" s="957"/>
      <c r="HQ134" s="957"/>
      <c r="HR134" s="957"/>
      <c r="HS134" s="957"/>
      <c r="HT134" s="957"/>
      <c r="HU134" s="957"/>
      <c r="HV134" s="957"/>
      <c r="HW134" s="957"/>
      <c r="HX134" s="957"/>
      <c r="HY134" s="957"/>
      <c r="HZ134" s="957"/>
      <c r="IA134" s="957"/>
      <c r="IB134" s="957"/>
      <c r="IC134" s="957"/>
      <c r="ID134" s="957"/>
      <c r="IE134" s="957"/>
      <c r="IF134" s="957"/>
      <c r="IG134" s="957"/>
      <c r="IH134" s="957"/>
      <c r="II134" s="957"/>
      <c r="IJ134" s="957"/>
      <c r="IK134" s="957"/>
      <c r="IL134" s="957"/>
      <c r="IM134" s="957"/>
      <c r="IN134" s="957"/>
      <c r="IO134" s="957"/>
      <c r="IP134" s="957"/>
      <c r="IQ134" s="957"/>
      <c r="IR134" s="957"/>
      <c r="IS134" s="957"/>
      <c r="IT134" s="957"/>
      <c r="IU134" s="957"/>
      <c r="IV134" s="957"/>
    </row>
    <row r="135" spans="1:256" s="125" customFormat="1" ht="12.75" x14ac:dyDescent="0.2">
      <c r="A135" s="121" t="s">
        <v>90</v>
      </c>
      <c r="B135" s="122">
        <f t="shared" ref="B135:AD135" si="482">B103+B132</f>
        <v>923.10000000000014</v>
      </c>
      <c r="C135" s="122">
        <f t="shared" si="482"/>
        <v>955.69999999999993</v>
      </c>
      <c r="D135" s="122">
        <f t="shared" si="482"/>
        <v>903.3</v>
      </c>
      <c r="E135" s="533">
        <f t="shared" si="482"/>
        <v>911.99999999999989</v>
      </c>
      <c r="F135" s="534">
        <f t="shared" si="482"/>
        <v>3694.1</v>
      </c>
      <c r="G135" s="122">
        <f t="shared" si="482"/>
        <v>954.09999999999991</v>
      </c>
      <c r="H135" s="122">
        <f t="shared" si="482"/>
        <v>964.09999999999991</v>
      </c>
      <c r="I135" s="122">
        <f t="shared" si="482"/>
        <v>936.8</v>
      </c>
      <c r="J135" s="533">
        <f t="shared" si="482"/>
        <v>931</v>
      </c>
      <c r="K135" s="534">
        <f t="shared" si="482"/>
        <v>3786.0000000000005</v>
      </c>
      <c r="L135" s="122">
        <f t="shared" si="482"/>
        <v>891.5</v>
      </c>
      <c r="M135" s="122">
        <f t="shared" si="482"/>
        <v>908.00000000000023</v>
      </c>
      <c r="N135" s="122">
        <f t="shared" si="482"/>
        <v>941.9</v>
      </c>
      <c r="O135" s="533">
        <f t="shared" si="482"/>
        <v>912.69999999999993</v>
      </c>
      <c r="P135" s="534">
        <f t="shared" si="482"/>
        <v>3654.1</v>
      </c>
      <c r="Q135" s="122">
        <f t="shared" si="482"/>
        <v>918.7</v>
      </c>
      <c r="R135" s="122">
        <f t="shared" si="482"/>
        <v>939.5</v>
      </c>
      <c r="S135" s="122">
        <f t="shared" si="482"/>
        <v>950.7</v>
      </c>
      <c r="T135" s="533">
        <f t="shared" si="482"/>
        <v>968.1</v>
      </c>
      <c r="U135" s="534">
        <f t="shared" si="482"/>
        <v>3777</v>
      </c>
      <c r="V135" s="122">
        <f t="shared" si="482"/>
        <v>929.00000000000011</v>
      </c>
      <c r="W135" s="122">
        <f t="shared" si="482"/>
        <v>963.2</v>
      </c>
      <c r="X135" s="122">
        <f t="shared" si="482"/>
        <v>914.29999999999984</v>
      </c>
      <c r="Y135" s="533">
        <f t="shared" si="482"/>
        <v>939.4</v>
      </c>
      <c r="Z135" s="534">
        <f t="shared" si="482"/>
        <v>3745.8999999999996</v>
      </c>
      <c r="AA135" s="122">
        <f t="shared" si="482"/>
        <v>942.30000000000007</v>
      </c>
      <c r="AB135" s="122">
        <f t="shared" si="482"/>
        <v>997.8</v>
      </c>
      <c r="AC135" s="122">
        <f t="shared" si="482"/>
        <v>975.8</v>
      </c>
      <c r="AD135" s="533">
        <f t="shared" si="482"/>
        <v>1002.1999999999999</v>
      </c>
      <c r="AE135" s="534">
        <f>AE103</f>
        <v>3918.1000000000004</v>
      </c>
      <c r="AF135" s="122">
        <f>AF103+AF132</f>
        <v>999.2</v>
      </c>
      <c r="AG135" s="122">
        <f>AG103+AG132</f>
        <v>1016.4000000000001</v>
      </c>
      <c r="AH135" s="122">
        <f>AH103+AH132</f>
        <v>996</v>
      </c>
      <c r="AI135" s="533">
        <f>AI103+AI132</f>
        <v>1000.1999999999998</v>
      </c>
      <c r="AJ135" s="534">
        <f t="shared" ref="AJ135:BO135" si="483">AJ103</f>
        <v>4011.8</v>
      </c>
      <c r="AK135" s="122">
        <f t="shared" si="483"/>
        <v>1016.6999999999999</v>
      </c>
      <c r="AL135" s="122">
        <f t="shared" si="483"/>
        <v>1038</v>
      </c>
      <c r="AM135" s="122">
        <f t="shared" si="483"/>
        <v>1020.0999999999999</v>
      </c>
      <c r="AN135" s="533">
        <f t="shared" si="483"/>
        <v>1027.5999999999999</v>
      </c>
      <c r="AO135" s="534">
        <f t="shared" si="483"/>
        <v>4102.3999999999996</v>
      </c>
      <c r="AP135" s="122">
        <f t="shared" si="483"/>
        <v>1046</v>
      </c>
      <c r="AQ135" s="122">
        <f t="shared" si="483"/>
        <v>1066.8</v>
      </c>
      <c r="AR135" s="122">
        <f t="shared" si="483"/>
        <v>1048.0999999999999</v>
      </c>
      <c r="AS135" s="533">
        <f t="shared" si="483"/>
        <v>1062</v>
      </c>
      <c r="AT135" s="534">
        <f t="shared" si="483"/>
        <v>4222.9000000000005</v>
      </c>
      <c r="AU135" s="122">
        <f t="shared" si="483"/>
        <v>1066.3</v>
      </c>
      <c r="AV135" s="122">
        <f t="shared" si="483"/>
        <v>1080.3</v>
      </c>
      <c r="AW135" s="122">
        <f t="shared" si="483"/>
        <v>1048.05</v>
      </c>
      <c r="AX135" s="533">
        <f t="shared" si="483"/>
        <v>1028.24</v>
      </c>
      <c r="AY135" s="534">
        <f t="shared" si="483"/>
        <v>4222.8900000000003</v>
      </c>
      <c r="AZ135" s="122">
        <f t="shared" si="483"/>
        <v>1030.2</v>
      </c>
      <c r="BA135" s="122">
        <f t="shared" si="483"/>
        <v>1193.7</v>
      </c>
      <c r="BB135" s="122">
        <f t="shared" si="483"/>
        <v>1500.09</v>
      </c>
      <c r="BC135" s="533">
        <f t="shared" si="483"/>
        <v>1471.2</v>
      </c>
      <c r="BD135" s="534">
        <f t="shared" si="483"/>
        <v>5195.1899999999996</v>
      </c>
      <c r="BE135" s="122">
        <f t="shared" si="483"/>
        <v>1508</v>
      </c>
      <c r="BF135" s="122">
        <f t="shared" si="483"/>
        <v>1592</v>
      </c>
      <c r="BG135" s="122">
        <f t="shared" si="483"/>
        <v>1535</v>
      </c>
      <c r="BH135" s="533">
        <f t="shared" si="483"/>
        <v>1524</v>
      </c>
      <c r="BI135" s="534">
        <f t="shared" si="483"/>
        <v>6159</v>
      </c>
      <c r="BJ135" s="122">
        <f t="shared" si="483"/>
        <v>1540</v>
      </c>
      <c r="BK135" s="122">
        <f t="shared" si="483"/>
        <v>1592</v>
      </c>
      <c r="BL135" s="122">
        <f t="shared" si="483"/>
        <v>1508</v>
      </c>
      <c r="BM135" s="533">
        <f t="shared" si="483"/>
        <v>1530</v>
      </c>
      <c r="BN135" s="534">
        <f t="shared" si="483"/>
        <v>6170</v>
      </c>
      <c r="BO135" s="122">
        <f t="shared" si="483"/>
        <v>1498</v>
      </c>
      <c r="BP135" s="122">
        <f t="shared" ref="BP135:CU135" si="484">BP103</f>
        <v>1593</v>
      </c>
      <c r="BQ135" s="122">
        <f t="shared" si="484"/>
        <v>1598</v>
      </c>
      <c r="BR135" s="533">
        <f t="shared" si="484"/>
        <v>1581</v>
      </c>
      <c r="BS135" s="534">
        <f t="shared" si="484"/>
        <v>6270</v>
      </c>
      <c r="BT135" s="122">
        <f t="shared" si="484"/>
        <v>1561</v>
      </c>
      <c r="BU135" s="122">
        <f t="shared" si="484"/>
        <v>1633</v>
      </c>
      <c r="BV135" s="122">
        <f t="shared" si="484"/>
        <v>1598</v>
      </c>
      <c r="BW135" s="533">
        <f t="shared" si="484"/>
        <v>1676</v>
      </c>
      <c r="BX135" s="534">
        <f t="shared" si="484"/>
        <v>6468</v>
      </c>
      <c r="BY135" s="122">
        <f t="shared" si="484"/>
        <v>1693</v>
      </c>
      <c r="BZ135" s="122">
        <f t="shared" si="484"/>
        <v>1813</v>
      </c>
      <c r="CA135" s="122">
        <f t="shared" si="484"/>
        <v>1857</v>
      </c>
      <c r="CB135" s="533">
        <f t="shared" si="484"/>
        <v>1949</v>
      </c>
      <c r="CC135" s="534">
        <f t="shared" si="484"/>
        <v>7312</v>
      </c>
      <c r="CD135" s="122">
        <f t="shared" si="484"/>
        <v>1961</v>
      </c>
      <c r="CE135" s="122">
        <f t="shared" si="484"/>
        <v>2099</v>
      </c>
      <c r="CF135" s="122">
        <f t="shared" si="484"/>
        <v>2155</v>
      </c>
      <c r="CG135" s="533">
        <f t="shared" si="484"/>
        <v>2257</v>
      </c>
      <c r="CH135" s="534">
        <f t="shared" si="484"/>
        <v>8472</v>
      </c>
      <c r="CI135" s="122">
        <f t="shared" si="484"/>
        <v>2303</v>
      </c>
      <c r="CJ135" s="122">
        <f t="shared" si="484"/>
        <v>2392</v>
      </c>
      <c r="CK135" s="122">
        <f t="shared" si="484"/>
        <v>2393</v>
      </c>
      <c r="CL135" s="533">
        <f t="shared" si="484"/>
        <v>2319</v>
      </c>
      <c r="CM135" s="534">
        <f t="shared" si="484"/>
        <v>9407</v>
      </c>
      <c r="CN135" s="122">
        <f t="shared" si="484"/>
        <v>2247</v>
      </c>
      <c r="CO135" s="122">
        <f t="shared" si="484"/>
        <v>2378</v>
      </c>
      <c r="CP135" s="122">
        <f t="shared" si="484"/>
        <v>2353</v>
      </c>
      <c r="CQ135" s="533">
        <f t="shared" si="484"/>
        <v>2454</v>
      </c>
      <c r="CR135" s="534">
        <f t="shared" si="484"/>
        <v>9432</v>
      </c>
      <c r="CS135" s="122">
        <f t="shared" si="484"/>
        <v>2500</v>
      </c>
      <c r="CT135" s="122">
        <f t="shared" si="484"/>
        <v>2765</v>
      </c>
      <c r="CU135" s="122">
        <f t="shared" si="484"/>
        <v>2894</v>
      </c>
      <c r="CV135" s="533">
        <f t="shared" ref="CV135:EA135" si="485">CV103</f>
        <v>2502</v>
      </c>
      <c r="CW135" s="534">
        <f t="shared" si="485"/>
        <v>10661</v>
      </c>
      <c r="CX135" s="122">
        <f t="shared" si="485"/>
        <v>1943</v>
      </c>
      <c r="CY135" s="122">
        <f t="shared" si="485"/>
        <v>1857</v>
      </c>
      <c r="CZ135" s="122">
        <f t="shared" si="485"/>
        <v>2063</v>
      </c>
      <c r="DA135" s="122">
        <f t="shared" si="485"/>
        <v>2106</v>
      </c>
      <c r="DB135" s="534">
        <f t="shared" si="485"/>
        <v>7969</v>
      </c>
      <c r="DC135" s="122">
        <f t="shared" si="485"/>
        <v>2238</v>
      </c>
      <c r="DD135" s="122">
        <f t="shared" si="485"/>
        <v>2430</v>
      </c>
      <c r="DE135" s="122">
        <f t="shared" si="485"/>
        <v>2456</v>
      </c>
      <c r="DF135" s="122">
        <f t="shared" si="485"/>
        <v>2391.8731758530184</v>
      </c>
      <c r="DG135" s="534">
        <f t="shared" si="485"/>
        <v>9515.8731758530193</v>
      </c>
      <c r="DH135" s="538">
        <f t="shared" si="485"/>
        <v>2620</v>
      </c>
      <c r="DI135" s="122">
        <f t="shared" si="485"/>
        <v>2866</v>
      </c>
      <c r="DJ135" s="122">
        <f t="shared" si="485"/>
        <v>2889</v>
      </c>
      <c r="DK135" s="122">
        <f t="shared" si="485"/>
        <v>2797</v>
      </c>
      <c r="DL135" s="534">
        <f t="shared" si="485"/>
        <v>11172</v>
      </c>
      <c r="DM135" s="538">
        <f t="shared" si="485"/>
        <v>2789</v>
      </c>
      <c r="DN135" s="122">
        <f t="shared" si="485"/>
        <v>2874</v>
      </c>
      <c r="DO135" s="122">
        <f t="shared" si="485"/>
        <v>2693</v>
      </c>
      <c r="DP135" s="122">
        <f t="shared" si="485"/>
        <v>2684</v>
      </c>
      <c r="DQ135" s="534">
        <f t="shared" si="485"/>
        <v>11040</v>
      </c>
      <c r="DR135" s="538">
        <f t="shared" si="485"/>
        <v>2738</v>
      </c>
      <c r="DS135" s="122">
        <f t="shared" si="485"/>
        <v>2802</v>
      </c>
      <c r="DT135" s="122">
        <f t="shared" si="485"/>
        <v>2824</v>
      </c>
      <c r="DU135" s="122">
        <f t="shared" si="485"/>
        <v>2881</v>
      </c>
      <c r="DV135" s="534">
        <f t="shared" si="485"/>
        <v>11245</v>
      </c>
      <c r="DW135" s="538">
        <f t="shared" si="485"/>
        <v>2689</v>
      </c>
      <c r="DX135" s="122">
        <f t="shared" si="485"/>
        <v>3042</v>
      </c>
      <c r="DY135" s="122">
        <f t="shared" si="485"/>
        <v>3023</v>
      </c>
      <c r="DZ135" s="122">
        <f t="shared" si="485"/>
        <v>2870</v>
      </c>
      <c r="EA135" s="534">
        <f t="shared" si="485"/>
        <v>11624</v>
      </c>
      <c r="EB135" s="538">
        <f t="shared" ref="EB135:EZ135" si="486">EB103</f>
        <v>2567</v>
      </c>
      <c r="EC135" s="122">
        <f t="shared" si="486"/>
        <v>2713</v>
      </c>
      <c r="ED135" s="122">
        <f t="shared" si="486"/>
        <v>2713</v>
      </c>
      <c r="EE135" s="122">
        <f t="shared" si="486"/>
        <v>2518</v>
      </c>
      <c r="EF135" s="534">
        <f t="shared" si="486"/>
        <v>10511</v>
      </c>
      <c r="EG135" s="538">
        <f t="shared" si="486"/>
        <v>2420</v>
      </c>
      <c r="EH135" s="122">
        <f t="shared" si="486"/>
        <v>2454</v>
      </c>
      <c r="EI135" s="122">
        <f t="shared" si="486"/>
        <v>2524</v>
      </c>
      <c r="EJ135" s="122">
        <f t="shared" si="486"/>
        <v>2490</v>
      </c>
      <c r="EK135" s="534">
        <f t="shared" si="486"/>
        <v>9888</v>
      </c>
      <c r="EL135" s="538">
        <f>EL103</f>
        <v>2575</v>
      </c>
      <c r="EM135" s="122">
        <f t="shared" ref="EM135:EP135" si="487">EM103</f>
        <v>2637</v>
      </c>
      <c r="EN135" s="122">
        <f t="shared" si="487"/>
        <v>2670</v>
      </c>
      <c r="EO135" s="122">
        <f t="shared" si="487"/>
        <v>2669</v>
      </c>
      <c r="EP135" s="534">
        <f t="shared" si="487"/>
        <v>10551</v>
      </c>
      <c r="EQ135" s="538">
        <f>EQ103</f>
        <v>2717</v>
      </c>
      <c r="ER135" s="122">
        <f t="shared" ref="ER135" si="488">ER103</f>
        <v>2824.8051164156664</v>
      </c>
      <c r="ES135" s="122">
        <f t="shared" si="486"/>
        <v>2853.0120480124183</v>
      </c>
      <c r="ET135" s="122">
        <f t="shared" si="486"/>
        <v>2802.1452028445119</v>
      </c>
      <c r="EU135" s="1942">
        <f t="shared" ref="EU135" si="489">EU103</f>
        <v>11196.962367272597</v>
      </c>
      <c r="EV135" s="122">
        <f t="shared" si="486"/>
        <v>0</v>
      </c>
      <c r="EW135" s="122">
        <f t="shared" si="486"/>
        <v>0</v>
      </c>
      <c r="EX135" s="122">
        <f t="shared" si="486"/>
        <v>0</v>
      </c>
      <c r="EY135" s="122">
        <f t="shared" si="486"/>
        <v>0</v>
      </c>
      <c r="EZ135" s="752">
        <f t="shared" si="486"/>
        <v>11608.44420935623</v>
      </c>
      <c r="FA135" s="122">
        <f t="shared" ref="FA135:FE135" si="490">FA103</f>
        <v>0</v>
      </c>
      <c r="FB135" s="122">
        <f t="shared" si="490"/>
        <v>0</v>
      </c>
      <c r="FC135" s="122">
        <f t="shared" si="490"/>
        <v>0</v>
      </c>
      <c r="FD135" s="122">
        <f t="shared" si="490"/>
        <v>0</v>
      </c>
      <c r="FE135" s="752">
        <f t="shared" si="490"/>
        <v>12047.784684095732</v>
      </c>
      <c r="FF135" s="756"/>
      <c r="FG135" s="622"/>
      <c r="FH135" s="2034">
        <f>+EQ135/2689-1</f>
        <v>1.0412792859799236E-2</v>
      </c>
      <c r="FI135" s="1031"/>
      <c r="FJ135" s="1031"/>
      <c r="FK135" s="1031"/>
      <c r="FL135" s="1809"/>
      <c r="FM135" s="122">
        <f t="shared" si="448"/>
        <v>2717</v>
      </c>
      <c r="FN135" s="122">
        <f t="shared" si="449"/>
        <v>2575</v>
      </c>
      <c r="FO135" s="122">
        <v>2670.8099133132096</v>
      </c>
      <c r="FP135" s="571">
        <f>IFERROR(($FM135/FN135)-1,"")</f>
        <v>5.514563106796122E-2</v>
      </c>
      <c r="FQ135" s="571">
        <f>IFERROR(($FM135/FO135)-1,"")</f>
        <v>1.7294411877290861E-2</v>
      </c>
      <c r="FR135" s="537"/>
      <c r="FS135" s="537"/>
      <c r="FT135" s="537"/>
      <c r="FU135" s="670"/>
      <c r="FV135" s="670"/>
      <c r="FW135" s="670"/>
      <c r="FX135" s="670"/>
      <c r="FY135" s="670"/>
      <c r="FZ135" s="122"/>
      <c r="GA135" s="622"/>
      <c r="GB135"/>
      <c r="GC135"/>
      <c r="GD135"/>
      <c r="GE135"/>
      <c r="GF135"/>
      <c r="GG135"/>
      <c r="GH135" s="956"/>
      <c r="GI135" s="956"/>
      <c r="GJ135" s="956"/>
      <c r="GK135" s="956"/>
      <c r="GL135" s="956"/>
      <c r="GM135" s="956"/>
      <c r="GN135" s="956"/>
      <c r="GO135" s="956"/>
      <c r="GP135" s="956"/>
      <c r="GQ135" s="956"/>
      <c r="GR135" s="956"/>
      <c r="GS135" s="956"/>
      <c r="GT135" s="956"/>
      <c r="GU135" s="956"/>
      <c r="GV135" s="956"/>
      <c r="GW135" s="956"/>
      <c r="GX135" s="956"/>
      <c r="GY135" s="956"/>
      <c r="GZ135" s="956"/>
      <c r="HA135" s="956"/>
      <c r="HB135" s="956"/>
      <c r="HC135" s="956"/>
      <c r="HD135" s="956"/>
      <c r="HE135" s="956"/>
      <c r="HF135" s="956"/>
      <c r="HG135" s="956"/>
      <c r="HH135" s="956"/>
      <c r="HI135" s="956"/>
      <c r="HJ135" s="956"/>
      <c r="HK135" s="956"/>
      <c r="HL135" s="956"/>
      <c r="HM135" s="956"/>
      <c r="HN135" s="956"/>
      <c r="HO135" s="956"/>
      <c r="HP135" s="956"/>
      <c r="HQ135" s="956"/>
      <c r="HR135" s="956"/>
      <c r="HS135" s="956"/>
      <c r="HT135" s="956"/>
      <c r="HU135" s="956"/>
      <c r="HV135" s="956"/>
      <c r="HW135" s="956"/>
      <c r="HX135" s="956"/>
      <c r="HY135" s="956"/>
      <c r="HZ135" s="956"/>
      <c r="IA135" s="956"/>
      <c r="IB135" s="956"/>
      <c r="IC135" s="956"/>
      <c r="ID135" s="956"/>
      <c r="IE135" s="956"/>
      <c r="IF135" s="956"/>
      <c r="IG135" s="956"/>
      <c r="IH135" s="956"/>
      <c r="II135" s="956"/>
      <c r="IJ135" s="956"/>
      <c r="IK135" s="956"/>
      <c r="IL135" s="956"/>
      <c r="IM135" s="956"/>
      <c r="IN135" s="956"/>
      <c r="IO135" s="956"/>
      <c r="IP135" s="956"/>
      <c r="IQ135" s="956"/>
      <c r="IR135" s="956"/>
      <c r="IS135" s="956"/>
      <c r="IT135" s="956"/>
      <c r="IU135" s="956"/>
      <c r="IV135" s="956"/>
    </row>
    <row r="136" spans="1:256" s="1121" customFormat="1" ht="12.75" x14ac:dyDescent="0.2">
      <c r="A136" s="1115" t="s">
        <v>194</v>
      </c>
      <c r="B136" s="1116"/>
      <c r="C136" s="1116"/>
      <c r="D136" s="1116"/>
      <c r="E136" s="1117"/>
      <c r="F136" s="1118"/>
      <c r="G136" s="1116">
        <f t="shared" ref="G136:AE136" si="491">G135/B135-1</f>
        <v>3.3582493770988764E-2</v>
      </c>
      <c r="H136" s="1116">
        <f t="shared" si="491"/>
        <v>8.7893690488647369E-3</v>
      </c>
      <c r="I136" s="1116">
        <f t="shared" si="491"/>
        <v>3.7086239344625183E-2</v>
      </c>
      <c r="J136" s="1117">
        <f t="shared" si="491"/>
        <v>2.0833333333333481E-2</v>
      </c>
      <c r="K136" s="1118">
        <f t="shared" si="491"/>
        <v>2.4877507376627639E-2</v>
      </c>
      <c r="L136" s="1116">
        <f t="shared" si="491"/>
        <v>-6.5611571114138845E-2</v>
      </c>
      <c r="M136" s="1116">
        <f t="shared" si="491"/>
        <v>-5.8188984545171296E-2</v>
      </c>
      <c r="N136" s="1116">
        <f t="shared" si="491"/>
        <v>5.4440649017932774E-3</v>
      </c>
      <c r="O136" s="1117">
        <f t="shared" si="491"/>
        <v>-1.9656283566058086E-2</v>
      </c>
      <c r="P136" s="1118">
        <f t="shared" si="491"/>
        <v>-3.4838880084522073E-2</v>
      </c>
      <c r="Q136" s="1116">
        <f t="shared" si="491"/>
        <v>3.0510375771172216E-2</v>
      </c>
      <c r="R136" s="1116">
        <f t="shared" si="491"/>
        <v>3.4691629955946768E-2</v>
      </c>
      <c r="S136" s="1116">
        <f t="shared" si="491"/>
        <v>9.3428177088863418E-3</v>
      </c>
      <c r="T136" s="1117">
        <f t="shared" si="491"/>
        <v>6.0699024871261109E-2</v>
      </c>
      <c r="U136" s="1118">
        <f t="shared" si="491"/>
        <v>3.3633452833803146E-2</v>
      </c>
      <c r="V136" s="1116">
        <f t="shared" si="491"/>
        <v>1.1211494503102326E-2</v>
      </c>
      <c r="W136" s="1116">
        <f t="shared" si="491"/>
        <v>2.5226184140500374E-2</v>
      </c>
      <c r="X136" s="1116">
        <f t="shared" si="491"/>
        <v>-3.8287577574419029E-2</v>
      </c>
      <c r="Y136" s="1117">
        <f t="shared" si="491"/>
        <v>-2.9645697758496015E-2</v>
      </c>
      <c r="Z136" s="1118">
        <f t="shared" si="491"/>
        <v>-8.2340481863913961E-3</v>
      </c>
      <c r="AA136" s="1116">
        <f t="shared" si="491"/>
        <v>1.4316469321851377E-2</v>
      </c>
      <c r="AB136" s="1116">
        <f t="shared" si="491"/>
        <v>3.5921926910298829E-2</v>
      </c>
      <c r="AC136" s="1116">
        <f t="shared" si="491"/>
        <v>6.7264573991031584E-2</v>
      </c>
      <c r="AD136" s="1117">
        <f t="shared" si="491"/>
        <v>6.6851181605279919E-2</v>
      </c>
      <c r="AE136" s="1118">
        <f t="shared" si="491"/>
        <v>4.597026081849509E-2</v>
      </c>
      <c r="AF136" s="1116"/>
      <c r="AG136" s="1116"/>
      <c r="AH136" s="1116"/>
      <c r="AI136" s="1117"/>
      <c r="AJ136" s="1118"/>
      <c r="AK136" s="1116">
        <f t="shared" ref="AK136:CV136" si="492">AK135/AF135-1</f>
        <v>1.7514011208967117E-2</v>
      </c>
      <c r="AL136" s="1116">
        <f t="shared" si="492"/>
        <v>2.1251475796930208E-2</v>
      </c>
      <c r="AM136" s="1116">
        <f t="shared" si="492"/>
        <v>2.419678714859419E-2</v>
      </c>
      <c r="AN136" s="1117">
        <f t="shared" si="492"/>
        <v>2.7394521095780888E-2</v>
      </c>
      <c r="AO136" s="1118">
        <f t="shared" si="492"/>
        <v>2.2583379031855921E-2</v>
      </c>
      <c r="AP136" s="1116">
        <f t="shared" si="492"/>
        <v>2.8818727254844134E-2</v>
      </c>
      <c r="AQ136" s="1116">
        <f t="shared" si="492"/>
        <v>2.7745664739884379E-2</v>
      </c>
      <c r="AR136" s="1116">
        <f t="shared" si="492"/>
        <v>2.7448289383393831E-2</v>
      </c>
      <c r="AS136" s="1117">
        <f t="shared" si="492"/>
        <v>3.3476060724017209E-2</v>
      </c>
      <c r="AT136" s="1118">
        <f t="shared" si="492"/>
        <v>2.9373049921997074E-2</v>
      </c>
      <c r="AU136" s="1116">
        <f t="shared" si="492"/>
        <v>1.9407265774378457E-2</v>
      </c>
      <c r="AV136" s="1116">
        <f t="shared" si="492"/>
        <v>1.2654668166479199E-2</v>
      </c>
      <c r="AW136" s="1116">
        <f t="shared" si="492"/>
        <v>-4.770537162479549E-5</v>
      </c>
      <c r="AX136" s="1117">
        <f t="shared" si="492"/>
        <v>-3.1789077212805994E-2</v>
      </c>
      <c r="AY136" s="1118">
        <f t="shared" si="492"/>
        <v>-2.3680409197979202E-6</v>
      </c>
      <c r="AZ136" s="1116">
        <f t="shared" si="492"/>
        <v>-3.3855387789552549E-2</v>
      </c>
      <c r="BA136" s="1116">
        <f t="shared" si="492"/>
        <v>0.10497084143293534</v>
      </c>
      <c r="BB136" s="1116">
        <f t="shared" si="492"/>
        <v>0.43131529984256467</v>
      </c>
      <c r="BC136" s="1117">
        <f t="shared" si="492"/>
        <v>0.43079436707383501</v>
      </c>
      <c r="BD136" s="1118">
        <f t="shared" si="492"/>
        <v>0.23024516385697935</v>
      </c>
      <c r="BE136" s="1116">
        <f t="shared" si="492"/>
        <v>0.46379343816734608</v>
      </c>
      <c r="BF136" s="1116">
        <f t="shared" si="492"/>
        <v>0.33366842590265566</v>
      </c>
      <c r="BG136" s="1116">
        <f t="shared" si="492"/>
        <v>2.3271937017112387E-2</v>
      </c>
      <c r="BH136" s="1117">
        <f t="shared" si="492"/>
        <v>3.5889070146818858E-2</v>
      </c>
      <c r="BI136" s="1118">
        <f t="shared" si="492"/>
        <v>0.18551968262950935</v>
      </c>
      <c r="BJ136" s="1116">
        <f t="shared" si="492"/>
        <v>2.1220159151193574E-2</v>
      </c>
      <c r="BK136" s="1116">
        <f t="shared" si="492"/>
        <v>0</v>
      </c>
      <c r="BL136" s="1116">
        <f t="shared" si="492"/>
        <v>-1.7589576547231256E-2</v>
      </c>
      <c r="BM136" s="1117">
        <f t="shared" si="492"/>
        <v>3.937007874015741E-3</v>
      </c>
      <c r="BN136" s="1118">
        <f t="shared" si="492"/>
        <v>1.7860042214645766E-3</v>
      </c>
      <c r="BO136" s="1116">
        <f t="shared" si="492"/>
        <v>-2.7272727272727226E-2</v>
      </c>
      <c r="BP136" s="1116">
        <f t="shared" si="492"/>
        <v>6.2814070351757678E-4</v>
      </c>
      <c r="BQ136" s="1116">
        <f t="shared" si="492"/>
        <v>5.9681697612732121E-2</v>
      </c>
      <c r="BR136" s="1117">
        <f t="shared" si="492"/>
        <v>3.3333333333333437E-2</v>
      </c>
      <c r="BS136" s="1118">
        <f t="shared" si="492"/>
        <v>1.620745542949753E-2</v>
      </c>
      <c r="BT136" s="1116">
        <f t="shared" si="492"/>
        <v>4.20560747663552E-2</v>
      </c>
      <c r="BU136" s="1116">
        <f t="shared" si="492"/>
        <v>2.5109855618330235E-2</v>
      </c>
      <c r="BV136" s="1116">
        <f t="shared" si="492"/>
        <v>0</v>
      </c>
      <c r="BW136" s="1117">
        <f t="shared" si="492"/>
        <v>6.0088551549652092E-2</v>
      </c>
      <c r="BX136" s="1118">
        <f t="shared" si="492"/>
        <v>3.1578947368421151E-2</v>
      </c>
      <c r="BY136" s="1116">
        <f t="shared" si="492"/>
        <v>8.4561178731582309E-2</v>
      </c>
      <c r="BZ136" s="1116">
        <f t="shared" si="492"/>
        <v>0.11022657685241888</v>
      </c>
      <c r="CA136" s="1116">
        <f t="shared" si="492"/>
        <v>0.16207759699624535</v>
      </c>
      <c r="CB136" s="1117">
        <f t="shared" si="492"/>
        <v>0.16288782816229119</v>
      </c>
      <c r="CC136" s="1118">
        <f t="shared" si="492"/>
        <v>0.13048855905998757</v>
      </c>
      <c r="CD136" s="1116">
        <f t="shared" si="492"/>
        <v>0.15829887773183704</v>
      </c>
      <c r="CE136" s="1116">
        <f t="shared" si="492"/>
        <v>0.15774958632101499</v>
      </c>
      <c r="CF136" s="1116">
        <f t="shared" si="492"/>
        <v>0.16047388260635431</v>
      </c>
      <c r="CG136" s="1117">
        <f t="shared" si="492"/>
        <v>0.1580297588506927</v>
      </c>
      <c r="CH136" s="1118">
        <f t="shared" si="492"/>
        <v>0.15864332603938736</v>
      </c>
      <c r="CI136" s="1116">
        <f t="shared" si="492"/>
        <v>0.17440081591024992</v>
      </c>
      <c r="CJ136" s="1116">
        <f t="shared" si="492"/>
        <v>0.1395902810862315</v>
      </c>
      <c r="CK136" s="1116">
        <f t="shared" si="492"/>
        <v>0.11044083526682136</v>
      </c>
      <c r="CL136" s="1117">
        <f t="shared" si="492"/>
        <v>2.7470093043863608E-2</v>
      </c>
      <c r="CM136" s="1118">
        <f t="shared" si="492"/>
        <v>0.11036355051935787</v>
      </c>
      <c r="CN136" s="1116">
        <f t="shared" si="492"/>
        <v>-2.4316109422492405E-2</v>
      </c>
      <c r="CO136" s="1116">
        <f t="shared" si="492"/>
        <v>-5.8528428093646001E-3</v>
      </c>
      <c r="CP136" s="1116">
        <f t="shared" si="492"/>
        <v>-1.6715419974926871E-2</v>
      </c>
      <c r="CQ136" s="1117">
        <f t="shared" si="492"/>
        <v>5.8214747736093253E-2</v>
      </c>
      <c r="CR136" s="1118">
        <f t="shared" si="492"/>
        <v>2.657595407675073E-3</v>
      </c>
      <c r="CS136" s="1116">
        <f t="shared" si="492"/>
        <v>0.11259457053849586</v>
      </c>
      <c r="CT136" s="1116">
        <f t="shared" si="492"/>
        <v>0.16274179983179149</v>
      </c>
      <c r="CU136" s="1116">
        <f t="shared" si="492"/>
        <v>0.22991925201869945</v>
      </c>
      <c r="CV136" s="1117">
        <f t="shared" si="492"/>
        <v>1.9559902200489088E-2</v>
      </c>
      <c r="CW136" s="1118">
        <f t="shared" ref="CW136:DY136" si="493">CW135/CR135-1</f>
        <v>0.1303011026293468</v>
      </c>
      <c r="CX136" s="1116">
        <f t="shared" si="493"/>
        <v>-0.2228</v>
      </c>
      <c r="CY136" s="1116">
        <f t="shared" si="493"/>
        <v>-0.32839059674502713</v>
      </c>
      <c r="CZ136" s="1116">
        <f t="shared" si="493"/>
        <v>-0.2871458189357291</v>
      </c>
      <c r="DA136" s="1116">
        <f>DA135/CV135-1</f>
        <v>-0.15827338129496404</v>
      </c>
      <c r="DB136" s="1118">
        <f>DB135/CW135-1</f>
        <v>-0.25250914548353809</v>
      </c>
      <c r="DC136" s="1116">
        <f t="shared" si="493"/>
        <v>0.15182707153885744</v>
      </c>
      <c r="DD136" s="1116">
        <f t="shared" si="493"/>
        <v>0.30856219709208399</v>
      </c>
      <c r="DE136" s="1116">
        <f t="shared" si="493"/>
        <v>0.19049927290353863</v>
      </c>
      <c r="DF136" s="1116">
        <f>DF135/DA135-1</f>
        <v>0.13574224874312368</v>
      </c>
      <c r="DG136" s="1118">
        <f t="shared" si="493"/>
        <v>0.1941113283790965</v>
      </c>
      <c r="DH136" s="1116">
        <f>DH135/DC135-1</f>
        <v>0.17068811438784626</v>
      </c>
      <c r="DI136" s="1116">
        <f t="shared" si="493"/>
        <v>0.17942386831275714</v>
      </c>
      <c r="DJ136" s="1116">
        <f t="shared" si="493"/>
        <v>0.17630293159609112</v>
      </c>
      <c r="DK136" s="1116">
        <f t="shared" si="493"/>
        <v>0.16937638175673775</v>
      </c>
      <c r="DL136" s="1118">
        <f t="shared" si="493"/>
        <v>0.17403834556659303</v>
      </c>
      <c r="DM136" s="1116">
        <f t="shared" si="493"/>
        <v>6.4503816793893165E-2</v>
      </c>
      <c r="DN136" s="1116">
        <f t="shared" si="493"/>
        <v>2.7913468248430551E-3</v>
      </c>
      <c r="DO136" s="1116">
        <f t="shared" si="493"/>
        <v>-6.7843544479058493E-2</v>
      </c>
      <c r="DP136" s="1116">
        <f t="shared" si="493"/>
        <v>-4.0400429031104745E-2</v>
      </c>
      <c r="DQ136" s="1118">
        <f t="shared" si="493"/>
        <v>-1.1815252416756183E-2</v>
      </c>
      <c r="DR136" s="1116">
        <f t="shared" si="493"/>
        <v>-1.8286124058802478E-2</v>
      </c>
      <c r="DS136" s="1116">
        <f t="shared" si="493"/>
        <v>-2.5052192066805867E-2</v>
      </c>
      <c r="DT136" s="1116">
        <f t="shared" si="493"/>
        <v>4.8644634236910456E-2</v>
      </c>
      <c r="DU136" s="1116">
        <f t="shared" si="493"/>
        <v>7.3397913561847883E-2</v>
      </c>
      <c r="DV136" s="1118">
        <f t="shared" si="493"/>
        <v>1.85688405797102E-2</v>
      </c>
      <c r="DW136" s="1116">
        <f>DW135/DR135-1</f>
        <v>-1.7896274653031452E-2</v>
      </c>
      <c r="DX136" s="1116">
        <f t="shared" si="493"/>
        <v>8.5653104925053514E-2</v>
      </c>
      <c r="DY136" s="1116">
        <f t="shared" si="493"/>
        <v>7.0467422096317289E-2</v>
      </c>
      <c r="DZ136" s="1116">
        <f t="shared" ref="DZ136:EI136" si="494">DZ135/DU135-1</f>
        <v>-3.8181187087816815E-3</v>
      </c>
      <c r="EA136" s="1118">
        <f t="shared" si="494"/>
        <v>3.3703868385949409E-2</v>
      </c>
      <c r="EB136" s="1116">
        <f t="shared" si="494"/>
        <v>-4.5370026031982147E-2</v>
      </c>
      <c r="EC136" s="1116">
        <f t="shared" si="494"/>
        <v>-0.10815253122945434</v>
      </c>
      <c r="ED136" s="1116">
        <f t="shared" si="494"/>
        <v>-0.10254713860403575</v>
      </c>
      <c r="EE136" s="1116">
        <f t="shared" si="494"/>
        <v>-0.12264808362369339</v>
      </c>
      <c r="EF136" s="1118">
        <f t="shared" si="494"/>
        <v>-9.5750172057811445E-2</v>
      </c>
      <c r="EG136" s="1116">
        <f t="shared" si="494"/>
        <v>-5.726529022204907E-2</v>
      </c>
      <c r="EH136" s="1116">
        <f t="shared" si="494"/>
        <v>-9.5466273497972765E-2</v>
      </c>
      <c r="EI136" s="1116">
        <f t="shared" si="494"/>
        <v>-6.9664577957980089E-2</v>
      </c>
      <c r="EJ136" s="1116">
        <f t="shared" ref="EJ136:EN136" si="495">EJ135/EE135-1</f>
        <v>-1.1119936457505974E-2</v>
      </c>
      <c r="EK136" s="1118">
        <f t="shared" si="495"/>
        <v>-5.9271239653696073E-2</v>
      </c>
      <c r="EL136" s="1116">
        <f t="shared" si="495"/>
        <v>6.4049586776859568E-2</v>
      </c>
      <c r="EM136" s="1116">
        <f t="shared" si="495"/>
        <v>7.457212713936423E-2</v>
      </c>
      <c r="EN136" s="1116">
        <f t="shared" si="495"/>
        <v>5.7844690966719403E-2</v>
      </c>
      <c r="EO136" s="1116">
        <f t="shared" ref="EO136" si="496">EO135/EJ135-1</f>
        <v>7.1887550200803174E-2</v>
      </c>
      <c r="EP136" s="1118">
        <f t="shared" ref="EP136:EQ136" si="497">EP135/EK135-1</f>
        <v>6.7050970873786309E-2</v>
      </c>
      <c r="EQ136" s="1116">
        <f t="shared" si="497"/>
        <v>5.514563106796122E-2</v>
      </c>
      <c r="ER136" s="1116">
        <f t="shared" ref="ER136" si="498">ER135/EM135-1</f>
        <v>7.1219232618758621E-2</v>
      </c>
      <c r="ES136" s="1116">
        <f t="shared" ref="ES136:EU136" si="499">ES135/EN135-1</f>
        <v>6.8543838206898133E-2</v>
      </c>
      <c r="ET136" s="1116">
        <f t="shared" si="499"/>
        <v>4.9885800990824958E-2</v>
      </c>
      <c r="EU136" s="1965">
        <f t="shared" si="499"/>
        <v>6.1222857290550436E-2</v>
      </c>
      <c r="EV136" s="496"/>
      <c r="EW136" s="496"/>
      <c r="EX136" s="496"/>
      <c r="EY136" s="496"/>
      <c r="EZ136" s="1119">
        <f>EZ135/EU135-1</f>
        <v>3.6749417260376394E-2</v>
      </c>
      <c r="FA136" s="496"/>
      <c r="FB136" s="496"/>
      <c r="FC136" s="496"/>
      <c r="FD136" s="496"/>
      <c r="FE136" s="1119">
        <f>FE135/EZ135-1</f>
        <v>3.7846628438408692E-2</v>
      </c>
      <c r="FF136" s="1120"/>
      <c r="FG136" s="618"/>
      <c r="FH136" s="1041"/>
      <c r="FI136" s="1041"/>
      <c r="FJ136" s="1041"/>
      <c r="FK136" s="1041"/>
      <c r="FL136" s="1806"/>
      <c r="FM136" s="1116">
        <f t="shared" si="448"/>
        <v>5.514563106796122E-2</v>
      </c>
      <c r="FN136" s="1116">
        <f t="shared" si="449"/>
        <v>6.4049586776859568E-2</v>
      </c>
      <c r="FO136" s="2057">
        <v>3.72077333255183E-2</v>
      </c>
      <c r="FP136" s="1896">
        <f>IFERROR(($FM136-FN136)*10000,"")</f>
        <v>-89.039557088983486</v>
      </c>
      <c r="FQ136" s="1896">
        <f>IFERROR(($FM136-FO136)*10000,"")</f>
        <v>179.37897742442919</v>
      </c>
      <c r="FR136" s="120"/>
      <c r="FS136" s="120"/>
      <c r="FT136" s="120"/>
      <c r="FU136" s="120"/>
      <c r="FV136" s="120"/>
      <c r="FW136" s="120"/>
      <c r="FX136" s="120"/>
      <c r="FY136" s="120"/>
      <c r="FZ136" s="120"/>
      <c r="GA136" s="618"/>
      <c r="GB136"/>
      <c r="GC136"/>
      <c r="GD136"/>
      <c r="GE136"/>
      <c r="GF136"/>
      <c r="GG136"/>
      <c r="GH136" s="973"/>
      <c r="GI136" s="973"/>
      <c r="GJ136" s="973"/>
      <c r="GK136" s="973"/>
      <c r="GL136" s="973"/>
      <c r="GM136" s="973"/>
      <c r="GN136" s="973"/>
      <c r="GO136" s="973"/>
      <c r="GP136" s="973"/>
      <c r="GQ136" s="973"/>
      <c r="GR136" s="973"/>
      <c r="GS136" s="973"/>
      <c r="GT136" s="973"/>
      <c r="GU136" s="973"/>
      <c r="GV136" s="973"/>
      <c r="GW136" s="973"/>
      <c r="GX136" s="973"/>
      <c r="GY136" s="973"/>
      <c r="GZ136" s="973"/>
      <c r="HA136" s="973"/>
      <c r="HB136" s="973"/>
      <c r="HC136" s="973"/>
      <c r="HD136" s="973"/>
      <c r="HE136" s="973"/>
      <c r="HF136" s="973"/>
      <c r="HG136" s="973"/>
      <c r="HH136" s="973"/>
      <c r="HI136" s="973"/>
      <c r="HJ136" s="973"/>
      <c r="HK136" s="973"/>
      <c r="HL136" s="973"/>
      <c r="HM136" s="973"/>
      <c r="HN136" s="973"/>
      <c r="HO136" s="973"/>
      <c r="HP136" s="973"/>
      <c r="HQ136" s="973"/>
      <c r="HR136" s="973"/>
      <c r="HS136" s="973"/>
      <c r="HT136" s="973"/>
      <c r="HU136" s="973"/>
      <c r="HV136" s="973"/>
      <c r="HW136" s="973"/>
      <c r="HX136" s="973"/>
      <c r="HY136" s="973"/>
      <c r="HZ136" s="973"/>
      <c r="IA136" s="973"/>
      <c r="IB136" s="973"/>
      <c r="IC136" s="973"/>
      <c r="ID136" s="973"/>
      <c r="IE136" s="973"/>
      <c r="IF136" s="973"/>
      <c r="IG136" s="973"/>
      <c r="IH136" s="973"/>
      <c r="II136" s="973"/>
      <c r="IJ136" s="973"/>
      <c r="IK136" s="973"/>
      <c r="IL136" s="973"/>
      <c r="IM136" s="973"/>
      <c r="IN136" s="973"/>
      <c r="IO136" s="973"/>
      <c r="IP136" s="973"/>
      <c r="IQ136" s="973"/>
      <c r="IR136" s="973"/>
      <c r="IS136" s="973"/>
      <c r="IT136" s="973"/>
      <c r="IU136" s="973"/>
      <c r="IV136" s="973"/>
    </row>
    <row r="137" spans="1:256" s="527" customFormat="1" ht="12.75" x14ac:dyDescent="0.2">
      <c r="A137" s="522" t="s">
        <v>91</v>
      </c>
      <c r="B137" s="523"/>
      <c r="C137" s="523"/>
      <c r="D137" s="523"/>
      <c r="E137" s="524"/>
      <c r="F137" s="525"/>
      <c r="G137" s="523"/>
      <c r="H137" s="523"/>
      <c r="I137" s="523"/>
      <c r="J137" s="524"/>
      <c r="K137" s="525"/>
      <c r="L137" s="523"/>
      <c r="M137" s="523"/>
      <c r="N137" s="523"/>
      <c r="O137" s="524"/>
      <c r="P137" s="525"/>
      <c r="Q137" s="523"/>
      <c r="R137" s="523"/>
      <c r="S137" s="523"/>
      <c r="T137" s="524"/>
      <c r="U137" s="525"/>
      <c r="V137" s="523"/>
      <c r="W137" s="523"/>
      <c r="X137" s="523"/>
      <c r="Y137" s="524"/>
      <c r="Z137" s="525"/>
      <c r="AA137" s="523"/>
      <c r="AB137" s="523"/>
      <c r="AC137" s="523"/>
      <c r="AD137" s="524"/>
      <c r="AE137" s="525"/>
      <c r="AF137" s="523"/>
      <c r="AG137" s="523"/>
      <c r="AH137" s="523"/>
      <c r="AI137" s="524"/>
      <c r="AJ137" s="525"/>
      <c r="AK137" s="523"/>
      <c r="AL137" s="523"/>
      <c r="AM137" s="523"/>
      <c r="AN137" s="524"/>
      <c r="AO137" s="525"/>
      <c r="AP137" s="523"/>
      <c r="AQ137" s="523"/>
      <c r="AR137" s="523"/>
      <c r="AS137" s="524"/>
      <c r="AT137" s="525"/>
      <c r="AU137" s="523"/>
      <c r="AV137" s="523"/>
      <c r="AW137" s="523"/>
      <c r="AX137" s="524"/>
      <c r="AY137" s="525"/>
      <c r="AZ137" s="523"/>
      <c r="BA137" s="523"/>
      <c r="BB137" s="523"/>
      <c r="BC137" s="524"/>
      <c r="BD137" s="525"/>
      <c r="BE137" s="523"/>
      <c r="BF137" s="523"/>
      <c r="BG137" s="523"/>
      <c r="BH137" s="524"/>
      <c r="BI137" s="525"/>
      <c r="BJ137" s="523"/>
      <c r="BK137" s="523"/>
      <c r="BL137" s="523"/>
      <c r="BM137" s="524"/>
      <c r="BN137" s="525"/>
      <c r="BO137" s="523"/>
      <c r="BP137" s="523"/>
      <c r="BQ137" s="523"/>
      <c r="BR137" s="524"/>
      <c r="BS137" s="525"/>
      <c r="BT137" s="523"/>
      <c r="BU137" s="523"/>
      <c r="BV137" s="523"/>
      <c r="BW137" s="524"/>
      <c r="BX137" s="525"/>
      <c r="BY137" s="523"/>
      <c r="BZ137" s="523"/>
      <c r="CA137" s="523"/>
      <c r="CB137" s="524"/>
      <c r="CC137" s="525"/>
      <c r="CD137" s="523"/>
      <c r="CE137" s="523"/>
      <c r="CF137" s="523"/>
      <c r="CG137" s="524"/>
      <c r="CH137" s="525"/>
      <c r="CI137" s="523"/>
      <c r="CJ137" s="523"/>
      <c r="CK137" s="523"/>
      <c r="CL137" s="524"/>
      <c r="CM137" s="525"/>
      <c r="CN137" s="523"/>
      <c r="CO137" s="523"/>
      <c r="CP137" s="523"/>
      <c r="CQ137" s="524"/>
      <c r="CR137" s="525"/>
      <c r="CS137" s="523"/>
      <c r="CT137" s="523"/>
      <c r="CU137" s="523"/>
      <c r="CV137" s="524"/>
      <c r="CW137" s="525"/>
      <c r="CX137" s="523"/>
      <c r="CY137" s="523"/>
      <c r="CZ137" s="523"/>
      <c r="DA137" s="523"/>
      <c r="DB137" s="525"/>
      <c r="DC137" s="523"/>
      <c r="DD137" s="523"/>
      <c r="DE137" s="523"/>
      <c r="DF137" s="523"/>
      <c r="DG137" s="526"/>
      <c r="DH137" s="523"/>
      <c r="DI137" s="523"/>
      <c r="DJ137" s="1161"/>
      <c r="DK137" s="1161"/>
      <c r="DL137" s="526"/>
      <c r="DM137" s="1161"/>
      <c r="DN137" s="1161"/>
      <c r="DO137" s="1161"/>
      <c r="DP137" s="1161"/>
      <c r="DQ137" s="526"/>
      <c r="DR137" s="1161"/>
      <c r="DS137" s="1161"/>
      <c r="DU137" s="1161"/>
      <c r="DV137" s="526"/>
      <c r="DW137" s="1161"/>
      <c r="DX137" s="1161"/>
      <c r="DZ137" s="1161"/>
      <c r="EA137" s="526"/>
      <c r="EB137" s="1161"/>
      <c r="EC137" s="1161"/>
      <c r="ED137" s="1618"/>
      <c r="EE137" s="1634"/>
      <c r="EF137" s="526"/>
      <c r="EG137" s="1161"/>
      <c r="EH137" s="1911">
        <f>+EC138*(1+EH143)*1.025-10</f>
        <v>679.81091030121479</v>
      </c>
      <c r="EI137" s="1911">
        <f>+(ED138)*(1+EI143)*1.025+39-9</f>
        <v>691.52369203820604</v>
      </c>
      <c r="EJ137" s="1911">
        <f>+EE138*(1+EJ143)*1.025+21-10-13</f>
        <v>660.27489495798318</v>
      </c>
      <c r="EK137" s="526"/>
      <c r="EL137" s="1911">
        <f>+EG138*(1+EL143)*1.07-12+(EL149-EG149)</f>
        <v>744.41682978950746</v>
      </c>
      <c r="EM137" s="1911">
        <f>+EH138*(1+EM143)*1.07-16+EM149+21</f>
        <v>702.22410197651107</v>
      </c>
      <c r="EN137" s="1911">
        <f>+EI138*(1+EN143)*1.07-26+EN149+47</f>
        <v>739.30174245964702</v>
      </c>
      <c r="EO137" s="1911">
        <f>+EJ138*(1+EO143)*1.07-24+EO149+55</f>
        <v>717.59768848954752</v>
      </c>
      <c r="EP137" s="526"/>
      <c r="EQ137" s="2135">
        <f>+EL138*(1+EQ143)*1.015-8+(EQ149-EL149)+17</f>
        <v>739.67761446836403</v>
      </c>
      <c r="ER137" s="2135">
        <f>+EM138*(1+ER143)*1.015+(ER149-EM149)+10</f>
        <v>736.83822499999997</v>
      </c>
      <c r="ES137" s="2136">
        <f>+EN138*(1+ES143)*1.015+(ES149-EN149)+30</f>
        <v>822.47782499999983</v>
      </c>
      <c r="ET137" s="2136">
        <f>+EO138*(1+ET143)*1.015+(ET149-EO149)+30</f>
        <v>785.76900000000001</v>
      </c>
      <c r="EU137" s="2072"/>
      <c r="EZ137" s="735"/>
      <c r="FE137" s="735"/>
      <c r="FF137" s="735"/>
      <c r="FG137" s="620"/>
      <c r="FH137" s="2110"/>
      <c r="FI137" s="1033"/>
      <c r="FJ137" s="1033"/>
      <c r="FK137" s="1033"/>
      <c r="FL137" s="1821"/>
      <c r="FM137" s="1161"/>
      <c r="FN137" s="1161"/>
      <c r="FO137" s="1911">
        <v>740.74992499999996</v>
      </c>
      <c r="FP137" s="1161"/>
      <c r="FQ137" s="1161"/>
      <c r="FR137" s="563"/>
      <c r="FS137" s="1427"/>
      <c r="FT137" s="1427"/>
      <c r="FU137" s="563"/>
      <c r="FV137" s="563"/>
      <c r="FW137" s="563"/>
      <c r="FX137" s="563"/>
      <c r="FY137" s="563"/>
      <c r="FZ137" s="563"/>
      <c r="GA137" s="620"/>
      <c r="GB137"/>
      <c r="GC137"/>
      <c r="GD137"/>
      <c r="GE137"/>
      <c r="GF137"/>
      <c r="GG137"/>
      <c r="GH137" s="943"/>
      <c r="GI137" s="943"/>
      <c r="GJ137" s="943"/>
      <c r="GK137" s="943"/>
      <c r="GL137" s="943"/>
      <c r="GM137" s="943"/>
      <c r="GN137" s="943"/>
      <c r="GO137" s="943"/>
      <c r="GP137" s="943"/>
      <c r="GQ137" s="943"/>
      <c r="GR137" s="943"/>
      <c r="GS137" s="943"/>
      <c r="GT137" s="943"/>
      <c r="GU137" s="943"/>
      <c r="GV137" s="943"/>
      <c r="GW137" s="943"/>
      <c r="GX137" s="943"/>
      <c r="GY137" s="943"/>
      <c r="GZ137" s="943"/>
      <c r="HA137" s="943"/>
      <c r="HB137" s="943"/>
      <c r="HC137" s="943"/>
      <c r="HD137" s="943"/>
      <c r="HE137" s="943"/>
      <c r="HF137" s="943"/>
      <c r="HG137" s="943"/>
      <c r="HH137" s="943"/>
      <c r="HI137" s="943"/>
      <c r="HJ137" s="943"/>
      <c r="HK137" s="943"/>
      <c r="HL137" s="943"/>
      <c r="HM137" s="943"/>
      <c r="HN137" s="943"/>
      <c r="HO137" s="943"/>
      <c r="HP137" s="943"/>
      <c r="HQ137" s="943"/>
      <c r="HR137" s="943"/>
      <c r="HS137" s="943"/>
      <c r="HT137" s="943"/>
      <c r="HU137" s="943"/>
      <c r="HV137" s="943"/>
      <c r="HW137" s="943"/>
      <c r="HX137" s="943"/>
      <c r="HY137" s="943"/>
      <c r="HZ137" s="943"/>
      <c r="IA137" s="943"/>
      <c r="IB137" s="943"/>
      <c r="IC137" s="943"/>
      <c r="ID137" s="943"/>
      <c r="IE137" s="943"/>
      <c r="IF137" s="943"/>
      <c r="IG137" s="943"/>
      <c r="IH137" s="943"/>
      <c r="II137" s="943"/>
      <c r="IJ137" s="943"/>
      <c r="IK137" s="943"/>
      <c r="IL137" s="943"/>
      <c r="IM137" s="943"/>
      <c r="IN137" s="943"/>
      <c r="IO137" s="943"/>
      <c r="IP137" s="943"/>
      <c r="IQ137" s="943"/>
      <c r="IR137" s="943"/>
      <c r="IS137" s="943"/>
      <c r="IT137" s="943"/>
      <c r="IU137" s="943"/>
      <c r="IV137" s="943"/>
    </row>
    <row r="138" spans="1:256" s="541" customFormat="1" ht="12.75" x14ac:dyDescent="0.2">
      <c r="A138" s="121" t="s">
        <v>3</v>
      </c>
      <c r="B138" s="122">
        <v>384.6</v>
      </c>
      <c r="C138" s="122">
        <f>758.5-384.6</f>
        <v>373.9</v>
      </c>
      <c r="D138" s="122">
        <f>1130.7-758.5</f>
        <v>372.20000000000005</v>
      </c>
      <c r="E138" s="533">
        <f>1484.8-1130.7</f>
        <v>354.09999999999991</v>
      </c>
      <c r="F138" s="534">
        <f>SUM(B138:E138)</f>
        <v>1484.8</v>
      </c>
      <c r="G138" s="122">
        <v>375</v>
      </c>
      <c r="H138" s="122">
        <f>755-375</f>
        <v>380</v>
      </c>
      <c r="I138" s="122">
        <f>1115.2-755</f>
        <v>360.20000000000005</v>
      </c>
      <c r="J138" s="533">
        <f>1460.6-1115.2</f>
        <v>345.39999999999986</v>
      </c>
      <c r="K138" s="534">
        <f>SUM(G138:J138)</f>
        <v>1460.6</v>
      </c>
      <c r="L138" s="122">
        <v>355.3</v>
      </c>
      <c r="M138" s="122">
        <f>698.9-355.3</f>
        <v>343.59999999999997</v>
      </c>
      <c r="N138" s="122">
        <f>1054.4-698.9</f>
        <v>355.50000000000011</v>
      </c>
      <c r="O138" s="533">
        <f>1406-1054.4</f>
        <v>351.59999999999991</v>
      </c>
      <c r="P138" s="534">
        <f>SUM(L138:O138)</f>
        <v>1406</v>
      </c>
      <c r="Q138" s="122">
        <v>336.5</v>
      </c>
      <c r="R138" s="122">
        <f>690.5-336.5</f>
        <v>354</v>
      </c>
      <c r="S138" s="122">
        <f>1035.4-690.5</f>
        <v>344.90000000000009</v>
      </c>
      <c r="T138" s="533">
        <f>1379.2-1035.4</f>
        <v>343.79999999999995</v>
      </c>
      <c r="U138" s="534">
        <f>SUM(Q138:T138)</f>
        <v>1379.2</v>
      </c>
      <c r="V138" s="122">
        <v>351.7</v>
      </c>
      <c r="W138" s="122">
        <v>351</v>
      </c>
      <c r="X138" s="122">
        <f>349.3+46-42.4</f>
        <v>352.90000000000003</v>
      </c>
      <c r="Y138" s="533">
        <v>338.5</v>
      </c>
      <c r="Z138" s="534">
        <f>SUM(V138:Y138)</f>
        <v>1394.1000000000001</v>
      </c>
      <c r="AA138" s="122">
        <v>351.4</v>
      </c>
      <c r="AB138" s="122">
        <v>341.7</v>
      </c>
      <c r="AC138" s="122">
        <v>340.4</v>
      </c>
      <c r="AD138" s="533">
        <v>337.6</v>
      </c>
      <c r="AE138" s="534">
        <f>SUM(AA138:AD138)</f>
        <v>1371.1</v>
      </c>
      <c r="AF138" s="122">
        <v>375.3</v>
      </c>
      <c r="AG138" s="122">
        <f>356.6-2.8</f>
        <v>353.8</v>
      </c>
      <c r="AH138" s="122">
        <v>359.7</v>
      </c>
      <c r="AI138" s="533">
        <v>354.8</v>
      </c>
      <c r="AJ138" s="534">
        <f>SUM(AF138:AI138)</f>
        <v>1443.6</v>
      </c>
      <c r="AK138" s="122">
        <v>377.3</v>
      </c>
      <c r="AL138" s="122">
        <v>351.3</v>
      </c>
      <c r="AM138" s="122">
        <v>341.3</v>
      </c>
      <c r="AN138" s="533">
        <v>330</v>
      </c>
      <c r="AO138" s="534">
        <f>SUM(AK138:AN138)</f>
        <v>1399.9</v>
      </c>
      <c r="AP138" s="122">
        <v>361.9</v>
      </c>
      <c r="AQ138" s="122">
        <v>351.6</v>
      </c>
      <c r="AR138" s="122">
        <v>351.5</v>
      </c>
      <c r="AS138" s="533">
        <v>340</v>
      </c>
      <c r="AT138" s="534">
        <f>SUM(AP138:AS138)</f>
        <v>1405</v>
      </c>
      <c r="AU138" s="122">
        <v>396</v>
      </c>
      <c r="AV138" s="122">
        <v>365</v>
      </c>
      <c r="AW138" s="122">
        <v>370</v>
      </c>
      <c r="AX138" s="533">
        <v>361</v>
      </c>
      <c r="AY138" s="534">
        <f>SUM(AU138:AX138)</f>
        <v>1492</v>
      </c>
      <c r="AZ138" s="122">
        <f>368</f>
        <v>368</v>
      </c>
      <c r="BA138" s="122">
        <v>413</v>
      </c>
      <c r="BB138" s="122">
        <v>574</v>
      </c>
      <c r="BC138" s="533">
        <v>500</v>
      </c>
      <c r="BD138" s="534">
        <f>SUM(AZ138:BC138)</f>
        <v>1855</v>
      </c>
      <c r="BE138" s="122">
        <f>655-101</f>
        <v>554</v>
      </c>
      <c r="BF138" s="122">
        <v>516</v>
      </c>
      <c r="BG138" s="122">
        <v>507</v>
      </c>
      <c r="BH138" s="533">
        <v>492</v>
      </c>
      <c r="BI138" s="534">
        <f>SUM(BE138:BH138)</f>
        <v>2069</v>
      </c>
      <c r="BJ138" s="122">
        <v>519</v>
      </c>
      <c r="BK138" s="122">
        <v>502</v>
      </c>
      <c r="BL138" s="122">
        <v>478</v>
      </c>
      <c r="BM138" s="533">
        <v>515</v>
      </c>
      <c r="BN138" s="534">
        <f>SUM(BJ138:BM138)</f>
        <v>2014</v>
      </c>
      <c r="BO138" s="122">
        <v>523</v>
      </c>
      <c r="BP138" s="122">
        <v>497</v>
      </c>
      <c r="BQ138" s="122">
        <v>489</v>
      </c>
      <c r="BR138" s="533">
        <v>513</v>
      </c>
      <c r="BS138" s="534">
        <f>SUM(BO138:BR138)</f>
        <v>2022</v>
      </c>
      <c r="BT138" s="122">
        <v>526</v>
      </c>
      <c r="BU138" s="122">
        <v>535</v>
      </c>
      <c r="BV138" s="122">
        <v>531</v>
      </c>
      <c r="BW138" s="533">
        <f>683-107</f>
        <v>576</v>
      </c>
      <c r="BX138" s="534">
        <f>SUM(BT138:BW138)</f>
        <v>2168</v>
      </c>
      <c r="BY138" s="122">
        <v>545</v>
      </c>
      <c r="BZ138" s="122">
        <v>565</v>
      </c>
      <c r="CA138" s="122">
        <v>570</v>
      </c>
      <c r="CB138" s="533">
        <v>592</v>
      </c>
      <c r="CC138" s="534">
        <f>SUM(BY138:CB138)</f>
        <v>2272</v>
      </c>
      <c r="CD138" s="122">
        <v>604</v>
      </c>
      <c r="CE138" s="122">
        <f>624-21</f>
        <v>603</v>
      </c>
      <c r="CF138" s="122">
        <v>629</v>
      </c>
      <c r="CG138" s="533">
        <v>636</v>
      </c>
      <c r="CH138" s="534">
        <f>SUM(CD138:CG138)</f>
        <v>2472</v>
      </c>
      <c r="CI138" s="122">
        <f>721</f>
        <v>721</v>
      </c>
      <c r="CJ138" s="122">
        <v>637</v>
      </c>
      <c r="CK138" s="122">
        <v>624</v>
      </c>
      <c r="CL138" s="533">
        <v>655</v>
      </c>
      <c r="CM138" s="534">
        <f>SUM(CI138:CL138)</f>
        <v>2637</v>
      </c>
      <c r="CN138" s="122">
        <f>681</f>
        <v>681</v>
      </c>
      <c r="CO138" s="122">
        <v>629</v>
      </c>
      <c r="CP138" s="122">
        <v>619</v>
      </c>
      <c r="CQ138" s="533">
        <f>623</f>
        <v>623</v>
      </c>
      <c r="CR138" s="534">
        <f>SUM(CN138:CQ138)</f>
        <v>2552</v>
      </c>
      <c r="CS138" s="122">
        <f>705</f>
        <v>705</v>
      </c>
      <c r="CT138" s="122">
        <v>662</v>
      </c>
      <c r="CU138" s="122">
        <v>708</v>
      </c>
      <c r="CV138" s="533">
        <v>609</v>
      </c>
      <c r="CW138" s="534">
        <f>SUM(CS138:CV138)</f>
        <v>2684</v>
      </c>
      <c r="CX138" s="122">
        <v>639</v>
      </c>
      <c r="CY138" s="122">
        <v>551</v>
      </c>
      <c r="CZ138" s="122">
        <v>598</v>
      </c>
      <c r="DA138" s="122">
        <v>613</v>
      </c>
      <c r="DB138" s="534">
        <f>SUM(CX138:DA138)</f>
        <v>2401</v>
      </c>
      <c r="DC138" s="122">
        <v>699</v>
      </c>
      <c r="DD138" s="122">
        <v>670</v>
      </c>
      <c r="DE138" s="122">
        <v>680</v>
      </c>
      <c r="DF138" s="122">
        <v>659</v>
      </c>
      <c r="DG138" s="539">
        <f>SUM(DC138:DF138)</f>
        <v>2708</v>
      </c>
      <c r="DH138" s="122">
        <v>765</v>
      </c>
      <c r="DI138" s="122">
        <v>739</v>
      </c>
      <c r="DJ138" s="122">
        <v>736</v>
      </c>
      <c r="DK138" s="122">
        <v>734</v>
      </c>
      <c r="DL138" s="539">
        <f>SUM(DH138:DK138)</f>
        <v>2974</v>
      </c>
      <c r="DM138" s="122">
        <v>786</v>
      </c>
      <c r="DN138" s="122">
        <v>724</v>
      </c>
      <c r="DO138" s="122">
        <v>724</v>
      </c>
      <c r="DP138" s="122">
        <v>726</v>
      </c>
      <c r="DQ138" s="539">
        <f>SUM(DM138:DP138)</f>
        <v>2960</v>
      </c>
      <c r="DR138" s="122">
        <v>780</v>
      </c>
      <c r="DS138" s="122">
        <v>726</v>
      </c>
      <c r="DT138" s="540">
        <v>735</v>
      </c>
      <c r="DU138" s="122">
        <v>761</v>
      </c>
      <c r="DV138" s="539">
        <f>SUM(DR138:DU138)</f>
        <v>3002</v>
      </c>
      <c r="DW138" s="122">
        <v>740</v>
      </c>
      <c r="DX138" s="122">
        <v>715</v>
      </c>
      <c r="DY138" s="540">
        <v>728</v>
      </c>
      <c r="DZ138" s="122">
        <v>714</v>
      </c>
      <c r="EA138" s="539">
        <f>SUM(DW138:DZ138)</f>
        <v>2897</v>
      </c>
      <c r="EB138" s="122">
        <v>783</v>
      </c>
      <c r="EC138" s="122">
        <v>724</v>
      </c>
      <c r="ED138" s="540">
        <v>702</v>
      </c>
      <c r="EE138" s="122">
        <v>702</v>
      </c>
      <c r="EF138" s="539">
        <f>SUM(EB138:EE138)</f>
        <v>2911</v>
      </c>
      <c r="EG138" s="122">
        <v>723</v>
      </c>
      <c r="EH138" s="122">
        <v>667</v>
      </c>
      <c r="EI138" s="540">
        <v>691</v>
      </c>
      <c r="EJ138" s="122">
        <v>662</v>
      </c>
      <c r="EK138" s="539">
        <f>SUM(EG138:EJ138)</f>
        <v>2743</v>
      </c>
      <c r="EL138" s="2133">
        <v>759</v>
      </c>
      <c r="EM138" s="2133">
        <v>719</v>
      </c>
      <c r="EN138" s="2134">
        <v>771</v>
      </c>
      <c r="EO138" s="2133">
        <v>730</v>
      </c>
      <c r="EP138" s="539">
        <f>SUM(EL138:EO138)</f>
        <v>2979</v>
      </c>
      <c r="EQ138" s="122">
        <v>737</v>
      </c>
      <c r="ER138" s="540">
        <f>ER147*ER142/1000000</f>
        <v>737.38869999999997</v>
      </c>
      <c r="ES138" s="540">
        <f>ES147*ES142/1000000</f>
        <v>823.05009999999993</v>
      </c>
      <c r="ET138" s="540">
        <f>ET147*ET142/1000000</f>
        <v>785.09640000000002</v>
      </c>
      <c r="EU138" s="1966">
        <f>SUM(EQ138:ET138)</f>
        <v>3082.5351999999998</v>
      </c>
      <c r="EV138" s="540"/>
      <c r="EW138" s="540"/>
      <c r="EX138" s="540"/>
      <c r="EY138" s="540"/>
      <c r="EZ138" s="855">
        <f>EZ147*EZ142/1000000</f>
        <v>3189.1991122799996</v>
      </c>
      <c r="FA138" s="540"/>
      <c r="FB138" s="540"/>
      <c r="FC138" s="540"/>
      <c r="FD138" s="540"/>
      <c r="FE138" s="855">
        <f>FE147*FE142/1000000</f>
        <v>3283.4350856483998</v>
      </c>
      <c r="FF138" s="780"/>
      <c r="FG138" s="618"/>
      <c r="FH138" s="1034">
        <f>+EM138*1.02-20+10+10</f>
        <v>733.38</v>
      </c>
      <c r="FI138" s="1034"/>
      <c r="FJ138" s="1034"/>
      <c r="FK138" s="1034"/>
      <c r="FL138" s="1822"/>
      <c r="FM138" s="122">
        <f t="shared" ref="FM138:FM169" si="500">EQ138</f>
        <v>737</v>
      </c>
      <c r="FN138" s="122">
        <f t="shared" ref="FN138:FN169" si="501">EL138</f>
        <v>759</v>
      </c>
      <c r="FO138" s="540">
        <v>741.94169999999986</v>
      </c>
      <c r="FP138" s="571">
        <f>IFERROR(($FM138/FN138)-1,"")</f>
        <v>-2.8985507246376829E-2</v>
      </c>
      <c r="FQ138" s="571">
        <f>IFERROR(($FM138/FO138)-1,"")</f>
        <v>-6.6604963705367837E-3</v>
      </c>
      <c r="FR138" s="1427"/>
      <c r="FS138" s="1579"/>
      <c r="FT138" s="540"/>
      <c r="FU138" s="540"/>
      <c r="FV138" s="540"/>
      <c r="FW138" s="540"/>
      <c r="FX138" s="540"/>
      <c r="FY138" s="540"/>
      <c r="FZ138" s="540"/>
      <c r="GA138" s="618"/>
      <c r="GB138"/>
      <c r="GC138"/>
      <c r="GD138"/>
      <c r="GE138"/>
      <c r="GF138"/>
      <c r="GG138"/>
      <c r="GH138" s="972"/>
      <c r="GI138" s="972"/>
      <c r="GJ138" s="972"/>
      <c r="GK138" s="972"/>
      <c r="GL138" s="972"/>
      <c r="GM138" s="972"/>
      <c r="GN138" s="972"/>
      <c r="GO138" s="972"/>
      <c r="GP138" s="972"/>
      <c r="GQ138" s="972"/>
      <c r="GR138" s="972"/>
      <c r="GS138" s="972"/>
      <c r="GT138" s="972"/>
      <c r="GU138" s="972"/>
      <c r="GV138" s="972"/>
      <c r="GW138" s="972"/>
      <c r="GX138" s="972"/>
      <c r="GY138" s="972"/>
      <c r="GZ138" s="972"/>
      <c r="HA138" s="972"/>
      <c r="HB138" s="972"/>
      <c r="HC138" s="972"/>
      <c r="HD138" s="972"/>
      <c r="HE138" s="972"/>
      <c r="HF138" s="972"/>
      <c r="HG138" s="972"/>
      <c r="HH138" s="972"/>
      <c r="HI138" s="972"/>
      <c r="HJ138" s="972"/>
      <c r="HK138" s="972"/>
      <c r="HL138" s="972"/>
      <c r="HM138" s="972"/>
      <c r="HN138" s="972"/>
      <c r="HO138" s="972"/>
      <c r="HP138" s="972"/>
      <c r="HQ138" s="972"/>
      <c r="HR138" s="972"/>
      <c r="HS138" s="972"/>
      <c r="HT138" s="972"/>
      <c r="HU138" s="972"/>
      <c r="HV138" s="972"/>
      <c r="HW138" s="972"/>
      <c r="HX138" s="972"/>
      <c r="HY138" s="972"/>
      <c r="HZ138" s="972"/>
      <c r="IA138" s="972"/>
      <c r="IB138" s="972"/>
      <c r="IC138" s="972"/>
      <c r="ID138" s="972"/>
      <c r="IE138" s="972"/>
      <c r="IF138" s="972"/>
      <c r="IG138" s="972"/>
      <c r="IH138" s="972"/>
      <c r="II138" s="972"/>
      <c r="IJ138" s="972"/>
      <c r="IK138" s="972"/>
      <c r="IL138" s="972"/>
      <c r="IM138" s="972"/>
      <c r="IN138" s="972"/>
      <c r="IO138" s="972"/>
      <c r="IP138" s="972"/>
      <c r="IQ138" s="972"/>
      <c r="IR138" s="972"/>
      <c r="IS138" s="972"/>
      <c r="IT138" s="972"/>
      <c r="IU138" s="972"/>
      <c r="IV138" s="972"/>
    </row>
    <row r="139" spans="1:256" s="244" customFormat="1" ht="12.75" x14ac:dyDescent="0.2">
      <c r="A139" s="242" t="s">
        <v>74</v>
      </c>
      <c r="B139" s="22"/>
      <c r="C139" s="22"/>
      <c r="D139" s="22"/>
      <c r="E139" s="197"/>
      <c r="F139" s="21"/>
      <c r="G139" s="22">
        <f t="shared" ref="G139:BR139" si="502">G138/B138-1</f>
        <v>-2.4960998439937709E-2</v>
      </c>
      <c r="H139" s="22">
        <f t="shared" si="502"/>
        <v>1.6314522599625736E-2</v>
      </c>
      <c r="I139" s="22">
        <f t="shared" si="502"/>
        <v>-3.2240730789897865E-2</v>
      </c>
      <c r="J139" s="197">
        <f t="shared" si="502"/>
        <v>-2.456933069754319E-2</v>
      </c>
      <c r="K139" s="21">
        <f t="shared" si="502"/>
        <v>-1.6298491379310387E-2</v>
      </c>
      <c r="L139" s="22">
        <f t="shared" si="502"/>
        <v>-5.2533333333333321E-2</v>
      </c>
      <c r="M139" s="22">
        <f t="shared" si="502"/>
        <v>-9.5789473684210646E-2</v>
      </c>
      <c r="N139" s="22">
        <f t="shared" si="502"/>
        <v>-1.304830649639066E-2</v>
      </c>
      <c r="O139" s="197">
        <f t="shared" si="502"/>
        <v>1.7950202663578496E-2</v>
      </c>
      <c r="P139" s="21">
        <f t="shared" si="502"/>
        <v>-3.738189785019852E-2</v>
      </c>
      <c r="Q139" s="22">
        <f t="shared" si="502"/>
        <v>-5.2913031241204611E-2</v>
      </c>
      <c r="R139" s="22">
        <f t="shared" si="502"/>
        <v>3.0267753201397074E-2</v>
      </c>
      <c r="S139" s="22">
        <f t="shared" si="502"/>
        <v>-2.9817158931083054E-2</v>
      </c>
      <c r="T139" s="197">
        <f t="shared" si="502"/>
        <v>-2.2184300341296814E-2</v>
      </c>
      <c r="U139" s="21">
        <f t="shared" si="502"/>
        <v>-1.9061166429587439E-2</v>
      </c>
      <c r="V139" s="22">
        <f t="shared" si="502"/>
        <v>4.5170876671619675E-2</v>
      </c>
      <c r="W139" s="22">
        <f t="shared" si="502"/>
        <v>-8.4745762711864181E-3</v>
      </c>
      <c r="X139" s="22">
        <f t="shared" si="502"/>
        <v>2.3195129022905103E-2</v>
      </c>
      <c r="Y139" s="197">
        <f t="shared" si="502"/>
        <v>-1.5415939499708986E-2</v>
      </c>
      <c r="Z139" s="21">
        <f t="shared" si="502"/>
        <v>1.0803364269141635E-2</v>
      </c>
      <c r="AA139" s="22">
        <f t="shared" si="502"/>
        <v>-8.5299971566676902E-4</v>
      </c>
      <c r="AB139" s="22">
        <f t="shared" si="502"/>
        <v>-2.6495726495726513E-2</v>
      </c>
      <c r="AC139" s="22">
        <f t="shared" si="502"/>
        <v>-3.5420799093227706E-2</v>
      </c>
      <c r="AD139" s="197">
        <f t="shared" si="502"/>
        <v>-2.6587887740029403E-3</v>
      </c>
      <c r="AE139" s="21">
        <f t="shared" si="502"/>
        <v>-1.6498099132056687E-2</v>
      </c>
      <c r="AF139" s="22">
        <f t="shared" si="502"/>
        <v>6.8013659647125912E-2</v>
      </c>
      <c r="AG139" s="22">
        <f t="shared" si="502"/>
        <v>3.541117939713212E-2</v>
      </c>
      <c r="AH139" s="22">
        <f t="shared" si="502"/>
        <v>5.6698002350176191E-2</v>
      </c>
      <c r="AI139" s="197">
        <f t="shared" si="502"/>
        <v>5.0947867298578142E-2</v>
      </c>
      <c r="AJ139" s="21">
        <f t="shared" si="502"/>
        <v>5.2877251841586981E-2</v>
      </c>
      <c r="AK139" s="22">
        <f t="shared" si="502"/>
        <v>5.3290700772714583E-3</v>
      </c>
      <c r="AL139" s="22">
        <f t="shared" si="502"/>
        <v>-7.066139061616683E-3</v>
      </c>
      <c r="AM139" s="22">
        <f t="shared" si="502"/>
        <v>-5.1153739227133621E-2</v>
      </c>
      <c r="AN139" s="197">
        <f t="shared" si="502"/>
        <v>-6.9898534385569366E-2</v>
      </c>
      <c r="AO139" s="21">
        <f t="shared" si="502"/>
        <v>-3.0271543363812548E-2</v>
      </c>
      <c r="AP139" s="22">
        <f t="shared" si="502"/>
        <v>-4.081632653061229E-2</v>
      </c>
      <c r="AQ139" s="22">
        <f t="shared" si="502"/>
        <v>8.5397096498729397E-4</v>
      </c>
      <c r="AR139" s="22">
        <f t="shared" si="502"/>
        <v>2.9885731028420626E-2</v>
      </c>
      <c r="AS139" s="197">
        <f t="shared" si="502"/>
        <v>3.0303030303030276E-2</v>
      </c>
      <c r="AT139" s="21">
        <f t="shared" si="502"/>
        <v>3.6431173655260274E-3</v>
      </c>
      <c r="AU139" s="22">
        <f t="shared" si="502"/>
        <v>9.4224924012158207E-2</v>
      </c>
      <c r="AV139" s="22">
        <f t="shared" si="502"/>
        <v>3.8111490329920228E-2</v>
      </c>
      <c r="AW139" s="22">
        <f t="shared" si="502"/>
        <v>5.2631578947368363E-2</v>
      </c>
      <c r="AX139" s="197">
        <f t="shared" si="502"/>
        <v>6.1764705882352944E-2</v>
      </c>
      <c r="AY139" s="21">
        <f t="shared" si="502"/>
        <v>6.1921708185053381E-2</v>
      </c>
      <c r="AZ139" s="22">
        <f t="shared" si="502"/>
        <v>-7.0707070707070718E-2</v>
      </c>
      <c r="BA139" s="22">
        <f t="shared" si="502"/>
        <v>0.1315068493150684</v>
      </c>
      <c r="BB139" s="22">
        <f t="shared" si="502"/>
        <v>0.55135135135135127</v>
      </c>
      <c r="BC139" s="197">
        <f t="shared" si="502"/>
        <v>0.38504155124653749</v>
      </c>
      <c r="BD139" s="21">
        <f t="shared" si="502"/>
        <v>0.2432975871313674</v>
      </c>
      <c r="BE139" s="22">
        <f t="shared" si="502"/>
        <v>0.50543478260869557</v>
      </c>
      <c r="BF139" s="22">
        <f t="shared" si="502"/>
        <v>0.24939467312348662</v>
      </c>
      <c r="BG139" s="22">
        <f t="shared" si="502"/>
        <v>-0.11672473867595823</v>
      </c>
      <c r="BH139" s="197">
        <f t="shared" si="502"/>
        <v>-1.6000000000000014E-2</v>
      </c>
      <c r="BI139" s="21">
        <f t="shared" si="502"/>
        <v>0.11536388140161735</v>
      </c>
      <c r="BJ139" s="22">
        <f t="shared" si="502"/>
        <v>-6.3176895306859215E-2</v>
      </c>
      <c r="BK139" s="22">
        <f t="shared" si="502"/>
        <v>-2.7131782945736482E-2</v>
      </c>
      <c r="BL139" s="22">
        <f t="shared" si="502"/>
        <v>-5.7199211045364851E-2</v>
      </c>
      <c r="BM139" s="197">
        <f t="shared" si="502"/>
        <v>4.674796747967469E-2</v>
      </c>
      <c r="BN139" s="21">
        <f t="shared" si="502"/>
        <v>-2.658289028516192E-2</v>
      </c>
      <c r="BO139" s="22">
        <f t="shared" si="502"/>
        <v>7.7071290944124016E-3</v>
      </c>
      <c r="BP139" s="22">
        <f t="shared" si="502"/>
        <v>-9.960159362549792E-3</v>
      </c>
      <c r="BQ139" s="22">
        <f t="shared" si="502"/>
        <v>2.3012552301255207E-2</v>
      </c>
      <c r="BR139" s="197">
        <f t="shared" si="502"/>
        <v>-3.8834951456310218E-3</v>
      </c>
      <c r="BS139" s="21">
        <f t="shared" ref="BS139:DY139" si="503">BS138/BN138-1</f>
        <v>3.9721946375372852E-3</v>
      </c>
      <c r="BT139" s="22">
        <f t="shared" si="503"/>
        <v>5.7361376673039643E-3</v>
      </c>
      <c r="BU139" s="22">
        <f t="shared" si="503"/>
        <v>7.64587525150906E-2</v>
      </c>
      <c r="BV139" s="22">
        <f t="shared" si="503"/>
        <v>8.5889570552147187E-2</v>
      </c>
      <c r="BW139" s="197">
        <f t="shared" si="503"/>
        <v>0.12280701754385959</v>
      </c>
      <c r="BX139" s="21">
        <f t="shared" si="503"/>
        <v>7.2205736894164207E-2</v>
      </c>
      <c r="BY139" s="22">
        <f t="shared" si="503"/>
        <v>3.6121673003802313E-2</v>
      </c>
      <c r="BZ139" s="22">
        <f t="shared" si="503"/>
        <v>5.6074766355140193E-2</v>
      </c>
      <c r="CA139" s="22">
        <f t="shared" si="503"/>
        <v>7.344632768361592E-2</v>
      </c>
      <c r="CB139" s="197">
        <f t="shared" si="503"/>
        <v>2.7777777777777679E-2</v>
      </c>
      <c r="CC139" s="21">
        <f t="shared" si="503"/>
        <v>4.7970479704797064E-2</v>
      </c>
      <c r="CD139" s="22">
        <f t="shared" si="503"/>
        <v>0.10825688073394502</v>
      </c>
      <c r="CE139" s="22">
        <f t="shared" si="503"/>
        <v>6.7256637168141564E-2</v>
      </c>
      <c r="CF139" s="22">
        <f t="shared" si="503"/>
        <v>0.10350877192982466</v>
      </c>
      <c r="CG139" s="197">
        <f t="shared" si="503"/>
        <v>7.4324324324324342E-2</v>
      </c>
      <c r="CH139" s="21">
        <f t="shared" si="503"/>
        <v>8.8028169014084501E-2</v>
      </c>
      <c r="CI139" s="22">
        <f t="shared" si="503"/>
        <v>0.19370860927152322</v>
      </c>
      <c r="CJ139" s="22">
        <f t="shared" si="503"/>
        <v>5.6384742951907096E-2</v>
      </c>
      <c r="CK139" s="22">
        <f t="shared" si="503"/>
        <v>-7.9491255961844365E-3</v>
      </c>
      <c r="CL139" s="197">
        <f t="shared" si="503"/>
        <v>2.9874213836478036E-2</v>
      </c>
      <c r="CM139" s="21">
        <f t="shared" si="503"/>
        <v>6.6747572815534006E-2</v>
      </c>
      <c r="CN139" s="22">
        <f t="shared" si="503"/>
        <v>-5.5478502080443803E-2</v>
      </c>
      <c r="CO139" s="22">
        <f t="shared" si="503"/>
        <v>-1.2558869701726816E-2</v>
      </c>
      <c r="CP139" s="22">
        <f t="shared" si="503"/>
        <v>-8.0128205128204844E-3</v>
      </c>
      <c r="CQ139" s="197">
        <f t="shared" si="503"/>
        <v>-4.8854961832061061E-2</v>
      </c>
      <c r="CR139" s="21">
        <f t="shared" si="503"/>
        <v>-3.2233598786499784E-2</v>
      </c>
      <c r="CS139" s="22">
        <f t="shared" si="503"/>
        <v>3.524229074889873E-2</v>
      </c>
      <c r="CT139" s="22">
        <f t="shared" si="503"/>
        <v>5.246422893481717E-2</v>
      </c>
      <c r="CU139" s="22">
        <f t="shared" si="503"/>
        <v>0.14378029079159926</v>
      </c>
      <c r="CV139" s="197">
        <f t="shared" si="503"/>
        <v>-2.2471910112359605E-2</v>
      </c>
      <c r="CW139" s="21">
        <f t="shared" si="503"/>
        <v>5.1724137931034475E-2</v>
      </c>
      <c r="CX139" s="22">
        <f t="shared" si="503"/>
        <v>-9.3617021276595769E-2</v>
      </c>
      <c r="CY139" s="22">
        <f t="shared" si="503"/>
        <v>-0.16767371601208458</v>
      </c>
      <c r="CZ139" s="22">
        <f t="shared" si="503"/>
        <v>-0.15536723163841804</v>
      </c>
      <c r="DA139" s="22">
        <f>DA138/CV138-1</f>
        <v>6.5681444991789739E-3</v>
      </c>
      <c r="DB139" s="21">
        <f>DB138/CW138-1</f>
        <v>-0.10543964232488823</v>
      </c>
      <c r="DC139" s="22">
        <f t="shared" si="503"/>
        <v>9.3896713615023497E-2</v>
      </c>
      <c r="DD139" s="22">
        <f t="shared" si="503"/>
        <v>0.21597096188747722</v>
      </c>
      <c r="DE139" s="22">
        <f t="shared" si="503"/>
        <v>0.1371237458193979</v>
      </c>
      <c r="DF139" s="22">
        <f>DF138/DA138-1</f>
        <v>7.5040783034257652E-2</v>
      </c>
      <c r="DG139" s="21">
        <f t="shared" si="503"/>
        <v>0.1278633902540609</v>
      </c>
      <c r="DH139" s="22">
        <f>DH138/DC138-1</f>
        <v>9.4420600858369008E-2</v>
      </c>
      <c r="DI139" s="22">
        <f t="shared" si="503"/>
        <v>0.10298507462686568</v>
      </c>
      <c r="DJ139" s="22">
        <f t="shared" si="503"/>
        <v>8.2352941176470518E-2</v>
      </c>
      <c r="DK139" s="22">
        <f t="shared" si="503"/>
        <v>0.11380880121396064</v>
      </c>
      <c r="DL139" s="21">
        <f t="shared" si="503"/>
        <v>9.8227474150664795E-2</v>
      </c>
      <c r="DM139" s="22">
        <f t="shared" si="503"/>
        <v>2.7450980392156765E-2</v>
      </c>
      <c r="DN139" s="22">
        <f t="shared" si="503"/>
        <v>-2.0297699594046037E-2</v>
      </c>
      <c r="DO139" s="22">
        <f t="shared" si="503"/>
        <v>-1.6304347826086918E-2</v>
      </c>
      <c r="DP139" s="22">
        <f t="shared" si="503"/>
        <v>-1.0899182561307952E-2</v>
      </c>
      <c r="DQ139" s="21">
        <f t="shared" si="503"/>
        <v>-4.7074646940148401E-3</v>
      </c>
      <c r="DR139" s="22">
        <f t="shared" si="503"/>
        <v>-7.6335877862595547E-3</v>
      </c>
      <c r="DS139" s="22">
        <f t="shared" si="503"/>
        <v>2.7624309392264568E-3</v>
      </c>
      <c r="DT139" s="22">
        <f t="shared" si="503"/>
        <v>1.5193370165745845E-2</v>
      </c>
      <c r="DU139" s="22">
        <f t="shared" si="503"/>
        <v>4.8209366391184671E-2</v>
      </c>
      <c r="DV139" s="21">
        <f t="shared" si="503"/>
        <v>1.4189189189189211E-2</v>
      </c>
      <c r="DW139" s="22">
        <f>DW138/DR138-1</f>
        <v>-5.1282051282051322E-2</v>
      </c>
      <c r="DX139" s="22">
        <f t="shared" si="503"/>
        <v>-1.5151515151515138E-2</v>
      </c>
      <c r="DY139" s="22">
        <f t="shared" si="503"/>
        <v>-9.52380952380949E-3</v>
      </c>
      <c r="DZ139" s="22">
        <f t="shared" ref="DZ139:EI139" si="504">DZ138/DU138-1</f>
        <v>-6.1760840998685951E-2</v>
      </c>
      <c r="EA139" s="21">
        <f t="shared" si="504"/>
        <v>-3.4976682211858789E-2</v>
      </c>
      <c r="EB139" s="22">
        <f t="shared" si="504"/>
        <v>5.810810810810807E-2</v>
      </c>
      <c r="EC139" s="22">
        <f t="shared" si="504"/>
        <v>1.2587412587412583E-2</v>
      </c>
      <c r="ED139" s="22">
        <f t="shared" si="504"/>
        <v>-3.5714285714285698E-2</v>
      </c>
      <c r="EE139" s="22">
        <f t="shared" si="504"/>
        <v>-1.6806722689075682E-2</v>
      </c>
      <c r="EF139" s="21">
        <f t="shared" si="504"/>
        <v>4.8325854332067486E-3</v>
      </c>
      <c r="EG139" s="22">
        <f t="shared" si="504"/>
        <v>-7.6628352490421436E-2</v>
      </c>
      <c r="EH139" s="22">
        <f t="shared" si="504"/>
        <v>-7.8729281767955794E-2</v>
      </c>
      <c r="EI139" s="22">
        <f t="shared" si="504"/>
        <v>-1.5669515669515688E-2</v>
      </c>
      <c r="EJ139" s="22">
        <f t="shared" ref="EJ139:EN139" si="505">EJ138/EE138-1</f>
        <v>-5.6980056980056926E-2</v>
      </c>
      <c r="EK139" s="21">
        <f t="shared" si="505"/>
        <v>-5.7712126417038823E-2</v>
      </c>
      <c r="EL139" s="22">
        <f t="shared" si="505"/>
        <v>4.9792531120331995E-2</v>
      </c>
      <c r="EM139" s="22">
        <f t="shared" si="505"/>
        <v>7.7961019490254913E-2</v>
      </c>
      <c r="EN139" s="22">
        <f t="shared" si="505"/>
        <v>0.11577424023154848</v>
      </c>
      <c r="EO139" s="22">
        <f t="shared" ref="EO139" si="506">EO138/EJ138-1</f>
        <v>0.10271903323262843</v>
      </c>
      <c r="EP139" s="21">
        <f t="shared" ref="EP139:EQ139" si="507">EP138/EK138-1</f>
        <v>8.6037185563252017E-2</v>
      </c>
      <c r="EQ139" s="22">
        <f t="shared" si="507"/>
        <v>-2.8985507246376829E-2</v>
      </c>
      <c r="ER139" s="22">
        <f t="shared" ref="ER139" si="508">ER138/EM138-1</f>
        <v>2.5575382475660602E-2</v>
      </c>
      <c r="ES139" s="22">
        <f>ES138/EN138-1</f>
        <v>6.7509857328145184E-2</v>
      </c>
      <c r="ET139" s="22">
        <f t="shared" ref="ET139:EU139" si="509">ET138/EO138-1</f>
        <v>7.5474520547945234E-2</v>
      </c>
      <c r="EU139" s="270">
        <f t="shared" si="509"/>
        <v>3.4755018462571341E-2</v>
      </c>
      <c r="EV139" s="243"/>
      <c r="EW139" s="243"/>
      <c r="EX139" s="243"/>
      <c r="EY139" s="243"/>
      <c r="EZ139" s="844">
        <f>EZ138/EU138-1</f>
        <v>3.4602658318386714E-2</v>
      </c>
      <c r="FA139" s="243"/>
      <c r="FB139" s="243"/>
      <c r="FC139" s="243"/>
      <c r="FD139" s="243"/>
      <c r="FE139" s="844">
        <f>FE138/EZ138-1</f>
        <v>2.9548475981178157E-2</v>
      </c>
      <c r="FF139" s="791"/>
      <c r="FG139" s="618"/>
      <c r="FH139" s="1041"/>
      <c r="FI139" s="1041"/>
      <c r="FJ139" s="1041"/>
      <c r="FK139" s="1041"/>
      <c r="FL139" s="1806"/>
      <c r="FM139" s="22">
        <f t="shared" si="500"/>
        <v>-2.8985507246376829E-2</v>
      </c>
      <c r="FN139" s="22">
        <f t="shared" si="501"/>
        <v>4.9792531120331995E-2</v>
      </c>
      <c r="FO139" s="2041">
        <v>-1.4243606998656233E-3</v>
      </c>
      <c r="FP139" s="1892">
        <f t="shared" ref="FP139:FQ141" si="510">IFERROR(($FM139-FN139)*10000,"")</f>
        <v>-787.78038366708824</v>
      </c>
      <c r="FQ139" s="1892">
        <f t="shared" si="510"/>
        <v>-275.61146546511208</v>
      </c>
      <c r="FR139" s="1427"/>
      <c r="FS139" s="1427"/>
      <c r="FT139" s="120"/>
      <c r="FU139" s="540"/>
      <c r="FV139" s="120"/>
      <c r="FW139" s="120"/>
      <c r="FX139" s="120"/>
      <c r="FY139" s="120"/>
      <c r="FZ139" s="120"/>
      <c r="GA139" s="618"/>
      <c r="GB139"/>
      <c r="GC139"/>
      <c r="GD139"/>
      <c r="GE139"/>
      <c r="GF139"/>
      <c r="GG139"/>
      <c r="GH139" s="973"/>
      <c r="GI139" s="973"/>
      <c r="GJ139" s="973"/>
      <c r="GK139" s="973"/>
      <c r="GL139" s="973"/>
      <c r="GM139" s="973"/>
      <c r="GN139" s="973"/>
      <c r="GO139" s="973"/>
      <c r="GP139" s="973"/>
      <c r="GQ139" s="973"/>
      <c r="GR139" s="973"/>
      <c r="GS139" s="973"/>
      <c r="GT139" s="973"/>
      <c r="GU139" s="973"/>
      <c r="GV139" s="973"/>
      <c r="GW139" s="973"/>
      <c r="GX139" s="973"/>
      <c r="GY139" s="973"/>
      <c r="GZ139" s="973"/>
      <c r="HA139" s="973"/>
      <c r="HB139" s="973"/>
      <c r="HC139" s="973"/>
      <c r="HD139" s="973"/>
      <c r="HE139" s="973"/>
      <c r="HF139" s="973"/>
      <c r="HG139" s="973"/>
      <c r="HH139" s="973"/>
      <c r="HI139" s="973"/>
      <c r="HJ139" s="973"/>
      <c r="HK139" s="973"/>
      <c r="HL139" s="973"/>
      <c r="HM139" s="973"/>
      <c r="HN139" s="973"/>
      <c r="HO139" s="973"/>
      <c r="HP139" s="973"/>
      <c r="HQ139" s="973"/>
      <c r="HR139" s="973"/>
      <c r="HS139" s="973"/>
      <c r="HT139" s="973"/>
      <c r="HU139" s="973"/>
      <c r="HV139" s="973"/>
      <c r="HW139" s="973"/>
      <c r="HX139" s="973"/>
      <c r="HY139" s="973"/>
      <c r="HZ139" s="973"/>
      <c r="IA139" s="973"/>
      <c r="IB139" s="973"/>
      <c r="IC139" s="973"/>
      <c r="ID139" s="973"/>
      <c r="IE139" s="973"/>
      <c r="IF139" s="973"/>
      <c r="IG139" s="973"/>
      <c r="IH139" s="973"/>
      <c r="II139" s="973"/>
      <c r="IJ139" s="973"/>
      <c r="IK139" s="973"/>
      <c r="IL139" s="973"/>
      <c r="IM139" s="973"/>
      <c r="IN139" s="973"/>
      <c r="IO139" s="973"/>
      <c r="IP139" s="973"/>
      <c r="IQ139" s="973"/>
      <c r="IR139" s="973"/>
      <c r="IS139" s="973"/>
      <c r="IT139" s="973"/>
      <c r="IU139" s="973"/>
      <c r="IV139" s="973"/>
    </row>
    <row r="140" spans="1:256" s="53" customFormat="1" ht="12.75" x14ac:dyDescent="0.2">
      <c r="A140" s="91" t="s">
        <v>471</v>
      </c>
      <c r="B140" s="260">
        <f t="shared" ref="B140:AG140" si="511">B138/B$214</f>
        <v>0.5292417779000963</v>
      </c>
      <c r="C140" s="260">
        <f t="shared" si="511"/>
        <v>0.51551082310767948</v>
      </c>
      <c r="D140" s="260">
        <f t="shared" si="511"/>
        <v>0.52245929253228518</v>
      </c>
      <c r="E140" s="261">
        <f t="shared" si="511"/>
        <v>0.50585714285714289</v>
      </c>
      <c r="F140" s="262">
        <f t="shared" si="511"/>
        <v>0.51836335707303449</v>
      </c>
      <c r="G140" s="260">
        <f t="shared" si="511"/>
        <v>0.50382910116888346</v>
      </c>
      <c r="H140" s="260">
        <f t="shared" si="511"/>
        <v>0.51518438177874193</v>
      </c>
      <c r="I140" s="260">
        <f t="shared" si="511"/>
        <v>0.49539265575574204</v>
      </c>
      <c r="J140" s="261">
        <f t="shared" si="511"/>
        <v>0.47256806676699947</v>
      </c>
      <c r="K140" s="262">
        <f t="shared" si="511"/>
        <v>0.49681961971495625</v>
      </c>
      <c r="L140" s="260">
        <f t="shared" si="511"/>
        <v>0.48604651162790702</v>
      </c>
      <c r="M140" s="260">
        <f t="shared" si="511"/>
        <v>0.48723766307430516</v>
      </c>
      <c r="N140" s="260">
        <f t="shared" si="511"/>
        <v>0.50077475700802943</v>
      </c>
      <c r="O140" s="261">
        <f t="shared" si="511"/>
        <v>0.4909928780896522</v>
      </c>
      <c r="P140" s="262">
        <f t="shared" si="511"/>
        <v>0.49123052197610234</v>
      </c>
      <c r="Q140" s="260">
        <f t="shared" si="511"/>
        <v>0.48952574919988362</v>
      </c>
      <c r="R140" s="260">
        <f t="shared" si="511"/>
        <v>0.49559008819823597</v>
      </c>
      <c r="S140" s="260">
        <f t="shared" si="511"/>
        <v>0.47776700374013026</v>
      </c>
      <c r="T140" s="261">
        <f t="shared" si="511"/>
        <v>0.47270727347724456</v>
      </c>
      <c r="U140" s="262">
        <f t="shared" si="511"/>
        <v>0.48377705286050027</v>
      </c>
      <c r="V140" s="260">
        <f t="shared" si="511"/>
        <v>0.48637809431613888</v>
      </c>
      <c r="W140" s="260">
        <f t="shared" si="511"/>
        <v>0.49304677623261695</v>
      </c>
      <c r="X140" s="260">
        <f t="shared" si="511"/>
        <v>0.50007085163667286</v>
      </c>
      <c r="Y140" s="261">
        <f t="shared" si="511"/>
        <v>0.48810382119682766</v>
      </c>
      <c r="Z140" s="262">
        <f t="shared" si="511"/>
        <v>0.49188483522687187</v>
      </c>
      <c r="AA140" s="260">
        <f t="shared" si="511"/>
        <v>0.48941504178272976</v>
      </c>
      <c r="AB140" s="260">
        <f t="shared" si="511"/>
        <v>0.47118036403750685</v>
      </c>
      <c r="AC140" s="260">
        <f t="shared" si="511"/>
        <v>0.47815704452872593</v>
      </c>
      <c r="AD140" s="261">
        <f t="shared" si="511"/>
        <v>0.46908434069751287</v>
      </c>
      <c r="AE140" s="262">
        <f t="shared" si="511"/>
        <v>0.47693752608877138</v>
      </c>
      <c r="AF140" s="260">
        <f t="shared" si="511"/>
        <v>0.50093432995194875</v>
      </c>
      <c r="AG140" s="260">
        <f t="shared" si="511"/>
        <v>0.48719361057559901</v>
      </c>
      <c r="AH140" s="260">
        <f t="shared" ref="AH140:BM140" si="512">AH138/AH$214</f>
        <v>0.50076569678407346</v>
      </c>
      <c r="AI140" s="261">
        <f t="shared" si="512"/>
        <v>0.49539234850600389</v>
      </c>
      <c r="AJ140" s="262">
        <f t="shared" si="512"/>
        <v>0.4960995223203547</v>
      </c>
      <c r="AK140" s="260">
        <f t="shared" si="512"/>
        <v>0.4998675145733969</v>
      </c>
      <c r="AL140" s="260">
        <f t="shared" si="512"/>
        <v>0.47601626016260162</v>
      </c>
      <c r="AM140" s="260">
        <f t="shared" si="512"/>
        <v>0.47422537168264556</v>
      </c>
      <c r="AN140" s="261">
        <f t="shared" si="512"/>
        <v>0.45529801324503316</v>
      </c>
      <c r="AO140" s="262">
        <f t="shared" si="512"/>
        <v>0.47659415109113806</v>
      </c>
      <c r="AP140" s="260">
        <f t="shared" si="512"/>
        <v>0.47338129496402875</v>
      </c>
      <c r="AQ140" s="260">
        <f t="shared" si="512"/>
        <v>0.47106109324758849</v>
      </c>
      <c r="AR140" s="260">
        <f t="shared" si="512"/>
        <v>0.46810494073778125</v>
      </c>
      <c r="AS140" s="261">
        <f t="shared" si="512"/>
        <v>0.45454545454545453</v>
      </c>
      <c r="AT140" s="262">
        <f t="shared" si="512"/>
        <v>0.46680842580902382</v>
      </c>
      <c r="AU140" s="260">
        <f t="shared" si="512"/>
        <v>0.48565121412803525</v>
      </c>
      <c r="AV140" s="260">
        <f t="shared" si="512"/>
        <v>0.46437659033078882</v>
      </c>
      <c r="AW140" s="260">
        <f t="shared" si="512"/>
        <v>0.46835443037974683</v>
      </c>
      <c r="AX140" s="261">
        <f t="shared" si="512"/>
        <v>0.46401028277634959</v>
      </c>
      <c r="AY140" s="262">
        <f t="shared" si="512"/>
        <v>0.47075156180980632</v>
      </c>
      <c r="AZ140" s="260">
        <f t="shared" si="512"/>
        <v>0.46406052963430011</v>
      </c>
      <c r="BA140" s="260">
        <f t="shared" si="512"/>
        <v>0.4146586345381526</v>
      </c>
      <c r="BB140" s="260">
        <f t="shared" si="512"/>
        <v>0.4239290989660266</v>
      </c>
      <c r="BC140" s="261">
        <f t="shared" si="512"/>
        <v>0.3748125937031484</v>
      </c>
      <c r="BD140" s="262">
        <f t="shared" si="512"/>
        <v>0.41433995979450527</v>
      </c>
      <c r="BE140" s="260">
        <f t="shared" si="512"/>
        <v>0.40174039158810732</v>
      </c>
      <c r="BF140" s="260">
        <f t="shared" si="512"/>
        <v>0.39269406392694062</v>
      </c>
      <c r="BG140" s="260">
        <f t="shared" si="512"/>
        <v>0.38293051359516617</v>
      </c>
      <c r="BH140" s="261">
        <f t="shared" si="512"/>
        <v>0.36607142857142855</v>
      </c>
      <c r="BI140" s="262">
        <f t="shared" si="512"/>
        <v>0.38593545980227567</v>
      </c>
      <c r="BJ140" s="260">
        <f t="shared" si="512"/>
        <v>0.38876404494382022</v>
      </c>
      <c r="BK140" s="260">
        <f t="shared" si="512"/>
        <v>0.38320610687022899</v>
      </c>
      <c r="BL140" s="260">
        <f t="shared" si="512"/>
        <v>0.37846397466349962</v>
      </c>
      <c r="BM140" s="261">
        <f t="shared" si="512"/>
        <v>0.41035856573705182</v>
      </c>
      <c r="BN140" s="262">
        <f t="shared" ref="BN140:CS140" si="513">BN138/BN$214</f>
        <v>0.39008328491187294</v>
      </c>
      <c r="BO140" s="260">
        <f t="shared" si="513"/>
        <v>0.41475019825535292</v>
      </c>
      <c r="BP140" s="260">
        <f t="shared" si="513"/>
        <v>0.39103068450039341</v>
      </c>
      <c r="BQ140" s="260">
        <f t="shared" si="513"/>
        <v>0.37995337995337997</v>
      </c>
      <c r="BR140" s="261">
        <f t="shared" si="513"/>
        <v>0.39675174013921116</v>
      </c>
      <c r="BS140" s="262">
        <f t="shared" si="513"/>
        <v>0.39553990610328638</v>
      </c>
      <c r="BT140" s="260">
        <f t="shared" si="513"/>
        <v>0.39548872180451128</v>
      </c>
      <c r="BU140" s="260">
        <f t="shared" si="513"/>
        <v>0.40074906367041196</v>
      </c>
      <c r="BV140" s="260">
        <f t="shared" si="513"/>
        <v>0.41258741258741261</v>
      </c>
      <c r="BW140" s="261">
        <f t="shared" si="513"/>
        <v>0.42825278810408923</v>
      </c>
      <c r="BX140" s="262">
        <f t="shared" si="513"/>
        <v>0.4092882763828582</v>
      </c>
      <c r="BY140" s="260">
        <f t="shared" si="513"/>
        <v>0.40460282108389012</v>
      </c>
      <c r="BZ140" s="260">
        <f t="shared" si="513"/>
        <v>0.40706051873198845</v>
      </c>
      <c r="CA140" s="260">
        <f t="shared" si="513"/>
        <v>0.41066282420749278</v>
      </c>
      <c r="CB140" s="261">
        <f t="shared" si="513"/>
        <v>0.39811701412239409</v>
      </c>
      <c r="CC140" s="262">
        <f t="shared" si="513"/>
        <v>0.42940842940842938</v>
      </c>
      <c r="CD140" s="260">
        <f t="shared" si="513"/>
        <v>0.38767650834403083</v>
      </c>
      <c r="CE140" s="260">
        <f t="shared" si="513"/>
        <v>0.39130434782608697</v>
      </c>
      <c r="CF140" s="260">
        <f t="shared" si="513"/>
        <v>0.38660110633066996</v>
      </c>
      <c r="CG140" s="261">
        <f t="shared" si="513"/>
        <v>0.38244137101623571</v>
      </c>
      <c r="CH140" s="262">
        <f t="shared" si="513"/>
        <v>0.38691501017373608</v>
      </c>
      <c r="CI140" s="260">
        <f t="shared" si="513"/>
        <v>0.4115296803652968</v>
      </c>
      <c r="CJ140" s="260">
        <f t="shared" si="513"/>
        <v>0.37142857142857144</v>
      </c>
      <c r="CK140" s="260">
        <f t="shared" si="513"/>
        <v>0.37187127532777114</v>
      </c>
      <c r="CL140" s="261">
        <f t="shared" si="513"/>
        <v>0.38416422287390029</v>
      </c>
      <c r="CM140" s="262">
        <f t="shared" si="513"/>
        <v>0.38496350364963505</v>
      </c>
      <c r="CN140" s="260">
        <f t="shared" si="513"/>
        <v>0.39616055846422338</v>
      </c>
      <c r="CO140" s="260">
        <f t="shared" si="513"/>
        <v>0.37263033175355448</v>
      </c>
      <c r="CP140" s="260">
        <f t="shared" si="513"/>
        <v>0.37021531100478466</v>
      </c>
      <c r="CQ140" s="261">
        <f t="shared" si="513"/>
        <v>0.35237556561085975</v>
      </c>
      <c r="CR140" s="262">
        <f t="shared" si="513"/>
        <v>0.37271797867679274</v>
      </c>
      <c r="CS140" s="260">
        <f t="shared" si="513"/>
        <v>0.36930330015715035</v>
      </c>
      <c r="CT140" s="260">
        <f t="shared" ref="CT140:DY140" si="514">CT138/CT$214</f>
        <v>0.33672431332655139</v>
      </c>
      <c r="CU140" s="260">
        <f t="shared" si="514"/>
        <v>0.35399999999999998</v>
      </c>
      <c r="CV140" s="261">
        <f t="shared" si="514"/>
        <v>0.36056838365896982</v>
      </c>
      <c r="CW140" s="262">
        <f t="shared" si="514"/>
        <v>0.35483870967741937</v>
      </c>
      <c r="CX140" s="263">
        <f t="shared" si="514"/>
        <v>0.4096153846153846</v>
      </c>
      <c r="CY140" s="263">
        <f t="shared" si="514"/>
        <v>0.39668826493880488</v>
      </c>
      <c r="CZ140" s="263">
        <f t="shared" si="514"/>
        <v>0.39840106595602931</v>
      </c>
      <c r="DA140" s="260">
        <f t="shared" si="514"/>
        <v>0.39370584457289659</v>
      </c>
      <c r="DB140" s="262">
        <f t="shared" si="514"/>
        <v>0.39970034959214251</v>
      </c>
      <c r="DC140" s="382">
        <f t="shared" si="514"/>
        <v>0.41532976827094475</v>
      </c>
      <c r="DD140" s="382">
        <f t="shared" si="514"/>
        <v>0.39481437831467298</v>
      </c>
      <c r="DE140" s="382">
        <f t="shared" si="514"/>
        <v>0.39766081871345027</v>
      </c>
      <c r="DF140" s="260">
        <f t="shared" si="514"/>
        <v>0.37657142857142856</v>
      </c>
      <c r="DG140" s="264">
        <f t="shared" si="514"/>
        <v>0.39590643274853798</v>
      </c>
      <c r="DH140" s="260">
        <f t="shared" si="514"/>
        <v>0.38990825688073394</v>
      </c>
      <c r="DI140" s="382">
        <f t="shared" si="514"/>
        <v>0.37117026619789051</v>
      </c>
      <c r="DJ140" s="382">
        <f t="shared" si="514"/>
        <v>0.37724243977447464</v>
      </c>
      <c r="DK140" s="260">
        <f t="shared" si="514"/>
        <v>0.3675513269904857</v>
      </c>
      <c r="DL140" s="264">
        <f t="shared" si="514"/>
        <v>0.37640804961397289</v>
      </c>
      <c r="DM140" s="260">
        <f t="shared" si="514"/>
        <v>0.38454011741682975</v>
      </c>
      <c r="DN140" s="382">
        <f t="shared" si="514"/>
        <v>0.3731958762886598</v>
      </c>
      <c r="DO140" s="382">
        <f t="shared" si="514"/>
        <v>0.36901121304791029</v>
      </c>
      <c r="DP140" s="260">
        <f t="shared" si="514"/>
        <v>0.36852791878172586</v>
      </c>
      <c r="DQ140" s="264">
        <f t="shared" si="514"/>
        <v>0.37392622536634662</v>
      </c>
      <c r="DR140" s="260">
        <f t="shared" si="514"/>
        <v>0.38104543234000976</v>
      </c>
      <c r="DS140" s="382">
        <f t="shared" si="514"/>
        <v>0.36927772126144454</v>
      </c>
      <c r="DT140" s="260">
        <f t="shared" si="514"/>
        <v>0.3721518987341772</v>
      </c>
      <c r="DU140" s="260">
        <f t="shared" si="514"/>
        <v>0.3805</v>
      </c>
      <c r="DV140" s="264">
        <f t="shared" si="514"/>
        <v>0.37581372058087131</v>
      </c>
      <c r="DW140" s="260">
        <f t="shared" si="514"/>
        <v>0.36597428288822947</v>
      </c>
      <c r="DX140" s="382">
        <f t="shared" si="514"/>
        <v>0.35343549184379636</v>
      </c>
      <c r="DY140" s="260">
        <f t="shared" si="514"/>
        <v>0.35952392710751147</v>
      </c>
      <c r="DZ140" s="260">
        <f t="shared" ref="DZ140:EU140" si="515">DZ138/DZ$214</f>
        <v>0.36078827690752907</v>
      </c>
      <c r="EA140" s="264">
        <f t="shared" si="515"/>
        <v>0.35992495869000735</v>
      </c>
      <c r="EB140" s="260">
        <f t="shared" si="515"/>
        <v>0.39928607853136155</v>
      </c>
      <c r="EC140" s="382">
        <f t="shared" si="515"/>
        <v>0.38125329120589785</v>
      </c>
      <c r="ED140" s="260">
        <f t="shared" si="515"/>
        <v>0.37123215230037016</v>
      </c>
      <c r="EE140" s="260">
        <f t="shared" si="515"/>
        <v>0.3742004264392324</v>
      </c>
      <c r="EF140" s="264">
        <f t="shared" si="515"/>
        <v>0.38167038153926841</v>
      </c>
      <c r="EG140" s="260">
        <f t="shared" si="515"/>
        <v>0.42604596346493812</v>
      </c>
      <c r="EH140" s="382">
        <f t="shared" si="515"/>
        <v>0.39608076009501186</v>
      </c>
      <c r="EI140" s="260">
        <f t="shared" si="515"/>
        <v>0.40551643192488263</v>
      </c>
      <c r="EJ140" s="260">
        <f t="shared" si="515"/>
        <v>0.38288027761711974</v>
      </c>
      <c r="EK140" s="264">
        <f t="shared" si="515"/>
        <v>0.40255356618726151</v>
      </c>
      <c r="EL140" s="260">
        <f t="shared" si="515"/>
        <v>0.41749174917491749</v>
      </c>
      <c r="EM140" s="382">
        <f t="shared" si="515"/>
        <v>0.40736543909348444</v>
      </c>
      <c r="EN140" s="260">
        <f t="shared" si="515"/>
        <v>0.4343661971830986</v>
      </c>
      <c r="EO140" s="260">
        <f t="shared" ref="EO140:EQ140" si="516">EO138/EO$214</f>
        <v>0.40065861690450055</v>
      </c>
      <c r="EP140" s="264">
        <f t="shared" si="516"/>
        <v>0.41490250696378828</v>
      </c>
      <c r="EQ140" s="260">
        <f t="shared" si="516"/>
        <v>0.39160467587672687</v>
      </c>
      <c r="ER140" s="260">
        <f t="shared" si="515"/>
        <v>0.39346058841783327</v>
      </c>
      <c r="ES140" s="260">
        <f t="shared" si="515"/>
        <v>0.4193757731558056</v>
      </c>
      <c r="ET140" s="260">
        <f t="shared" si="515"/>
        <v>0.40318503964447261</v>
      </c>
      <c r="EU140" s="1967">
        <f t="shared" si="515"/>
        <v>0.40210967336696618</v>
      </c>
      <c r="EV140" s="265"/>
      <c r="EW140" s="265"/>
      <c r="EX140" s="265"/>
      <c r="EY140" s="265"/>
      <c r="EZ140" s="856">
        <f>EZ138/EZ$214</f>
        <v>0.40248350766718222</v>
      </c>
      <c r="FA140" s="265"/>
      <c r="FB140" s="265"/>
      <c r="FC140" s="265"/>
      <c r="FD140" s="265"/>
      <c r="FE140" s="856">
        <f>FE138/FE$214</f>
        <v>0.40164556170885773</v>
      </c>
      <c r="FF140" s="759"/>
      <c r="FG140" s="655"/>
      <c r="FH140" s="1026"/>
      <c r="FI140" s="1026"/>
      <c r="FJ140" s="1026"/>
      <c r="FK140" s="1026"/>
      <c r="FL140" s="1807"/>
      <c r="FM140" s="382">
        <f t="shared" si="500"/>
        <v>0.39160467587672687</v>
      </c>
      <c r="FN140" s="382">
        <f t="shared" si="501"/>
        <v>0.41749174917491749</v>
      </c>
      <c r="FO140" s="260">
        <v>0.39366592838660164</v>
      </c>
      <c r="FP140" s="1897">
        <f t="shared" si="510"/>
        <v>-258.8707329819062</v>
      </c>
      <c r="FQ140" s="1897">
        <f t="shared" si="510"/>
        <v>-20.612525098747668</v>
      </c>
      <c r="FR140" s="571"/>
      <c r="FS140" s="120"/>
      <c r="FT140" s="120"/>
      <c r="FU140" s="1580"/>
      <c r="FV140" s="567"/>
      <c r="FW140" s="567"/>
      <c r="FX140" s="567"/>
      <c r="FY140" s="567"/>
      <c r="FZ140" s="567"/>
      <c r="GA140" s="655"/>
      <c r="GB140"/>
      <c r="GC140"/>
      <c r="GD140"/>
      <c r="GE140"/>
      <c r="GF140"/>
      <c r="GG140"/>
      <c r="GH140" s="959"/>
      <c r="GI140" s="959"/>
      <c r="GJ140" s="959"/>
      <c r="GK140" s="959"/>
      <c r="GL140" s="959"/>
      <c r="GM140" s="959"/>
      <c r="GN140" s="959"/>
      <c r="GO140" s="959"/>
      <c r="GP140" s="959"/>
      <c r="GQ140" s="959"/>
      <c r="GR140" s="959"/>
      <c r="GS140" s="959"/>
      <c r="GT140" s="959"/>
      <c r="GU140" s="959"/>
      <c r="GV140" s="959"/>
      <c r="GW140" s="959"/>
      <c r="GX140" s="959"/>
      <c r="GY140" s="959"/>
      <c r="GZ140" s="959"/>
      <c r="HA140" s="959"/>
      <c r="HB140" s="959"/>
      <c r="HC140" s="959"/>
      <c r="HD140" s="959"/>
      <c r="HE140" s="959"/>
      <c r="HF140" s="959"/>
      <c r="HG140" s="959"/>
      <c r="HH140" s="959"/>
      <c r="HI140" s="959"/>
      <c r="HJ140" s="959"/>
      <c r="HK140" s="959"/>
      <c r="HL140" s="959"/>
      <c r="HM140" s="959"/>
      <c r="HN140" s="959"/>
      <c r="HO140" s="959"/>
      <c r="HP140" s="959"/>
      <c r="HQ140" s="959"/>
      <c r="HR140" s="959"/>
      <c r="HS140" s="959"/>
      <c r="HT140" s="959"/>
      <c r="HU140" s="959"/>
      <c r="HV140" s="959"/>
      <c r="HW140" s="959"/>
      <c r="HX140" s="959"/>
      <c r="HY140" s="959"/>
      <c r="HZ140" s="959"/>
      <c r="IA140" s="959"/>
      <c r="IB140" s="959"/>
      <c r="IC140" s="959"/>
      <c r="ID140" s="959"/>
      <c r="IE140" s="959"/>
      <c r="IF140" s="959"/>
      <c r="IG140" s="959"/>
      <c r="IH140" s="959"/>
      <c r="II140" s="959"/>
      <c r="IJ140" s="959"/>
      <c r="IK140" s="959"/>
      <c r="IL140" s="959"/>
      <c r="IM140" s="959"/>
      <c r="IN140" s="959"/>
      <c r="IO140" s="959"/>
      <c r="IP140" s="959"/>
      <c r="IQ140" s="959"/>
      <c r="IR140" s="959"/>
      <c r="IS140" s="959"/>
      <c r="IT140" s="959"/>
      <c r="IU140" s="959"/>
      <c r="IV140" s="959"/>
    </row>
    <row r="141" spans="1:256" s="244" customFormat="1" ht="12.75" x14ac:dyDescent="0.2">
      <c r="A141" s="242" t="s">
        <v>484</v>
      </c>
      <c r="B141" s="22"/>
      <c r="C141" s="22"/>
      <c r="D141" s="22"/>
      <c r="E141" s="197"/>
      <c r="F141" s="21"/>
      <c r="G141" s="22"/>
      <c r="H141" s="22"/>
      <c r="I141" s="22"/>
      <c r="J141" s="197"/>
      <c r="K141" s="21"/>
      <c r="L141" s="22">
        <f>L138/P138</f>
        <v>0.25270270270270273</v>
      </c>
      <c r="M141" s="22">
        <f>M138/P138</f>
        <v>0.24438122332859172</v>
      </c>
      <c r="N141" s="22">
        <f>N138/P138</f>
        <v>0.25284495021337133</v>
      </c>
      <c r="O141" s="22">
        <f>O138/P138</f>
        <v>0.25007112375533419</v>
      </c>
      <c r="P141" s="21"/>
      <c r="Q141" s="22">
        <f>Q138/U138</f>
        <v>0.24398201856148491</v>
      </c>
      <c r="R141" s="22">
        <f>R138/U138</f>
        <v>0.25667053364269143</v>
      </c>
      <c r="S141" s="22">
        <f>S138/U138</f>
        <v>0.25007250580046408</v>
      </c>
      <c r="T141" s="22">
        <f>T138/U138</f>
        <v>0.2492749419953596</v>
      </c>
      <c r="U141" s="21"/>
      <c r="V141" s="22">
        <f>V138/Z138</f>
        <v>0.25227745498888166</v>
      </c>
      <c r="W141" s="22">
        <f>W138/Z138</f>
        <v>0.25177533892834086</v>
      </c>
      <c r="X141" s="22">
        <f>X138/Z138</f>
        <v>0.25313822537838032</v>
      </c>
      <c r="Y141" s="22">
        <f>Y138/Z138</f>
        <v>0.24280898070439708</v>
      </c>
      <c r="Z141" s="21"/>
      <c r="AA141" s="22">
        <f>AA138/AE138</f>
        <v>0.25629056961563706</v>
      </c>
      <c r="AB141" s="22">
        <f>AB138/AE138</f>
        <v>0.24921595798993509</v>
      </c>
      <c r="AC141" s="22">
        <f>AC138/AE138</f>
        <v>0.24826781416381008</v>
      </c>
      <c r="AD141" s="22">
        <f>AD138/AE138</f>
        <v>0.24622565823061779</v>
      </c>
      <c r="AE141" s="21"/>
      <c r="AF141" s="22">
        <f>AF138/AJ138</f>
        <v>0.2599750623441397</v>
      </c>
      <c r="AG141" s="22">
        <f>AG138/AJ138</f>
        <v>0.24508174009420894</v>
      </c>
      <c r="AH141" s="22">
        <f>AH138/AJ138</f>
        <v>0.24916874480465503</v>
      </c>
      <c r="AI141" s="22">
        <f>AI138/AJ138</f>
        <v>0.24577445275699641</v>
      </c>
      <c r="AJ141" s="21"/>
      <c r="AK141" s="22">
        <f>AK138/AO138</f>
        <v>0.26951925137509819</v>
      </c>
      <c r="AL141" s="22">
        <f>AL138/AO138</f>
        <v>0.25094649617829845</v>
      </c>
      <c r="AM141" s="22">
        <f>AM138/AO138</f>
        <v>0.24380312879491392</v>
      </c>
      <c r="AN141" s="22">
        <f>AN138/AO138</f>
        <v>0.23573112365168938</v>
      </c>
      <c r="AO141" s="21"/>
      <c r="AP141" s="22">
        <f>AP138/AT138</f>
        <v>0.2575800711743772</v>
      </c>
      <c r="AQ141" s="22">
        <f>AQ138/AT138</f>
        <v>0.25024911032028474</v>
      </c>
      <c r="AR141" s="22">
        <f>AR138/AT138</f>
        <v>0.25017793594306048</v>
      </c>
      <c r="AS141" s="22">
        <f>AS138/AT138</f>
        <v>0.24199288256227758</v>
      </c>
      <c r="AT141" s="21"/>
      <c r="AU141" s="22">
        <f>AU138/AY138</f>
        <v>0.26541554959785524</v>
      </c>
      <c r="AV141" s="22">
        <f>AV138/AY138</f>
        <v>0.24463806970509383</v>
      </c>
      <c r="AW141" s="22">
        <f>AW138/AY138</f>
        <v>0.24798927613941019</v>
      </c>
      <c r="AX141" s="22">
        <f>AX138/AY138</f>
        <v>0.24195710455764075</v>
      </c>
      <c r="AY141" s="21"/>
      <c r="AZ141" s="22">
        <f>AZ138/BD138</f>
        <v>0.19838274932614555</v>
      </c>
      <c r="BA141" s="22">
        <f>BA138/BD138</f>
        <v>0.22264150943396227</v>
      </c>
      <c r="BB141" s="22">
        <f>BB138/BD138</f>
        <v>0.30943396226415093</v>
      </c>
      <c r="BC141" s="22">
        <f>BC138/BD138</f>
        <v>0.26954177897574122</v>
      </c>
      <c r="BD141" s="21"/>
      <c r="BE141" s="22">
        <f>BE138/BI138</f>
        <v>0.26776220396326728</v>
      </c>
      <c r="BF141" s="22">
        <f>BF138/BI138</f>
        <v>0.24939584340260995</v>
      </c>
      <c r="BG141" s="22">
        <f>BG138/BI138</f>
        <v>0.24504591590140165</v>
      </c>
      <c r="BH141" s="22">
        <f>BH138/BI138</f>
        <v>0.23779603673272112</v>
      </c>
      <c r="BI141" s="21"/>
      <c r="BJ141" s="22">
        <f>BJ138/BN138</f>
        <v>0.25769612711022838</v>
      </c>
      <c r="BK141" s="22">
        <f>BK138/BN138</f>
        <v>0.24925521350546176</v>
      </c>
      <c r="BL141" s="22">
        <f>BL138/BN138</f>
        <v>0.23733862959285004</v>
      </c>
      <c r="BM141" s="22">
        <f>BM138/BN138</f>
        <v>0.25571002979145979</v>
      </c>
      <c r="BN141" s="21"/>
      <c r="BO141" s="22">
        <f>BO138/BS138</f>
        <v>0.25865479723046486</v>
      </c>
      <c r="BP141" s="22">
        <f>BP138/BS138</f>
        <v>0.24579624134520278</v>
      </c>
      <c r="BQ141" s="22">
        <f>BQ138/BS138</f>
        <v>0.24183976261127596</v>
      </c>
      <c r="BR141" s="22">
        <f>BR138/BS138</f>
        <v>0.25370919881305637</v>
      </c>
      <c r="BS141" s="21"/>
      <c r="BT141" s="22">
        <f>BT138/BX138</f>
        <v>0.24261992619926198</v>
      </c>
      <c r="BU141" s="22">
        <f>BU138/BX138</f>
        <v>0.24677121771217711</v>
      </c>
      <c r="BV141" s="22">
        <f>BV138/BX138</f>
        <v>0.24492619926199263</v>
      </c>
      <c r="BW141" s="22">
        <f>BW138/BX138</f>
        <v>0.26568265682656828</v>
      </c>
      <c r="BX141" s="21"/>
      <c r="BY141" s="22">
        <f>BY138/CC138</f>
        <v>0.23987676056338028</v>
      </c>
      <c r="BZ141" s="22">
        <f>BZ138/CC138</f>
        <v>0.24867957746478872</v>
      </c>
      <c r="CA141" s="22">
        <f>CA138/CC138</f>
        <v>0.25088028169014087</v>
      </c>
      <c r="CB141" s="22">
        <f>CB138/CC138</f>
        <v>0.26056338028169013</v>
      </c>
      <c r="CC141" s="21"/>
      <c r="CD141" s="22">
        <f>CD138/CH138</f>
        <v>0.24433656957928804</v>
      </c>
      <c r="CE141" s="22">
        <f>CE138/CH138</f>
        <v>0.24393203883495146</v>
      </c>
      <c r="CF141" s="22">
        <f>CF138/CH138</f>
        <v>0.25444983818770228</v>
      </c>
      <c r="CG141" s="22">
        <f>CG138/CH138</f>
        <v>0.25728155339805825</v>
      </c>
      <c r="CH141" s="21"/>
      <c r="CI141" s="22">
        <f>CI138/CM138</f>
        <v>0.27341676147136901</v>
      </c>
      <c r="CJ141" s="22">
        <f>CJ138/CM138</f>
        <v>0.2415623814941221</v>
      </c>
      <c r="CK141" s="22">
        <f>CK138/CM138</f>
        <v>0.23663253697383391</v>
      </c>
      <c r="CL141" s="22">
        <f>CL138/CM138</f>
        <v>0.24838832006067502</v>
      </c>
      <c r="CM141" s="21"/>
      <c r="CN141" s="22">
        <f>CN138/CR138</f>
        <v>0.26684952978056425</v>
      </c>
      <c r="CO141" s="22">
        <f>CO138/CR138</f>
        <v>0.24647335423197492</v>
      </c>
      <c r="CP141" s="22">
        <f>CP138/CR138</f>
        <v>0.24255485893416928</v>
      </c>
      <c r="CQ141" s="22">
        <f>CQ138/CR138</f>
        <v>0.24412225705329155</v>
      </c>
      <c r="CR141" s="21"/>
      <c r="CS141" s="22">
        <f>CS138/CW138</f>
        <v>0.26266766020864379</v>
      </c>
      <c r="CT141" s="22">
        <f>CT138/CW138</f>
        <v>0.2466467958271237</v>
      </c>
      <c r="CU141" s="22">
        <f>CU138/CW138</f>
        <v>0.2637853949329359</v>
      </c>
      <c r="CV141" s="22">
        <f>CV138/CW138</f>
        <v>0.22690014903129657</v>
      </c>
      <c r="CW141" s="21"/>
      <c r="CX141" s="22">
        <f>CX138/DB138</f>
        <v>0.26613910870470636</v>
      </c>
      <c r="CY141" s="22">
        <f>CY138/DB138</f>
        <v>0.22948771345272803</v>
      </c>
      <c r="CZ141" s="22">
        <f>CZ138/DB138</f>
        <v>0.24906289046230737</v>
      </c>
      <c r="DA141" s="22">
        <f>DA138/DB138</f>
        <v>0.25531028738025824</v>
      </c>
      <c r="DB141" s="21"/>
      <c r="DC141" s="22">
        <f>DC138/DG138</f>
        <v>0.25812407680945348</v>
      </c>
      <c r="DD141" s="22">
        <f>DD138/DG138</f>
        <v>0.24741506646971936</v>
      </c>
      <c r="DE141" s="22">
        <f>DE138/DG138</f>
        <v>0.25110782865583459</v>
      </c>
      <c r="DF141" s="22">
        <f>DF138/DG138</f>
        <v>0.24335302806499262</v>
      </c>
      <c r="DG141" s="21"/>
      <c r="DH141" s="22">
        <f>DH138/DL138</f>
        <v>0.25722932078009414</v>
      </c>
      <c r="DI141" s="22">
        <f>DI138/DL138</f>
        <v>0.24848688634835239</v>
      </c>
      <c r="DJ141" s="22">
        <f>DJ138/DL138</f>
        <v>0.24747814391392065</v>
      </c>
      <c r="DK141" s="22">
        <f>DK138/DL138</f>
        <v>0.24680564895763282</v>
      </c>
      <c r="DL141" s="21"/>
      <c r="DM141" s="22">
        <f>DM138/DQ138</f>
        <v>0.26554054054054055</v>
      </c>
      <c r="DN141" s="22">
        <f>DN138/DQ138</f>
        <v>0.24459459459459459</v>
      </c>
      <c r="DO141" s="22">
        <f>DO138/DQ138</f>
        <v>0.24459459459459459</v>
      </c>
      <c r="DP141" s="22">
        <f>DP138/DQ138</f>
        <v>0.24527027027027026</v>
      </c>
      <c r="DQ141" s="21"/>
      <c r="DR141" s="22">
        <f>DR138/DV138</f>
        <v>0.25982678214523652</v>
      </c>
      <c r="DS141" s="22">
        <f>DS138/DV138</f>
        <v>0.24183877415056629</v>
      </c>
      <c r="DT141" s="22">
        <f>DT138/DV138</f>
        <v>0.24483677548301133</v>
      </c>
      <c r="DU141" s="22">
        <f>DU138/DV138</f>
        <v>0.25349766822118586</v>
      </c>
      <c r="DV141" s="21"/>
      <c r="DW141" s="22">
        <f>DW138/EA138</f>
        <v>0.25543665861235759</v>
      </c>
      <c r="DX141" s="22">
        <f>DX138/EA138</f>
        <v>0.24680704176734553</v>
      </c>
      <c r="DY141" s="22">
        <f>DY138/EA138</f>
        <v>0.25129444252675182</v>
      </c>
      <c r="DZ141" s="22">
        <f>DZ138/EA138</f>
        <v>0.24646185709354504</v>
      </c>
      <c r="EA141" s="21"/>
      <c r="EB141" s="22">
        <f>EB138/EF138</f>
        <v>0.26897973205084164</v>
      </c>
      <c r="EC141" s="22">
        <f>EC138/EF138</f>
        <v>0.24871178289247681</v>
      </c>
      <c r="ED141" s="22">
        <f>ED138/EF138</f>
        <v>0.24115424252834078</v>
      </c>
      <c r="EE141" s="22">
        <f>EE138/EF138</f>
        <v>0.24115424252834078</v>
      </c>
      <c r="EF141" s="21"/>
      <c r="EG141" s="22">
        <f>EG138/EK138</f>
        <v>0.26358002187386076</v>
      </c>
      <c r="EH141" s="22">
        <f>EH138/EK138</f>
        <v>0.24316441851986875</v>
      </c>
      <c r="EI141" s="22">
        <f>EI138/EK138</f>
        <v>0.25191396281443673</v>
      </c>
      <c r="EJ141" s="22">
        <f>EJ138/EK138</f>
        <v>0.24134159679183376</v>
      </c>
      <c r="EK141" s="21"/>
      <c r="EL141" s="22">
        <f>EL138/EP138</f>
        <v>0.25478348439073517</v>
      </c>
      <c r="EM141" s="22">
        <f>EM138/EP138</f>
        <v>0.24135615978516281</v>
      </c>
      <c r="EN141" s="22">
        <f>EN138/EP138</f>
        <v>0.25881168177240682</v>
      </c>
      <c r="EO141" s="22">
        <f>EO138/EP138</f>
        <v>0.2450486740516952</v>
      </c>
      <c r="EP141" s="21"/>
      <c r="EQ141" s="22">
        <f>EQ138/EU138</f>
        <v>0.23908891616225503</v>
      </c>
      <c r="ER141" s="22">
        <f t="shared" ref="ER141:ET141" si="517">ER138/$EU138</f>
        <v>0.23921501366797046</v>
      </c>
      <c r="ES141" s="22">
        <f t="shared" si="517"/>
        <v>0.2670042827085965</v>
      </c>
      <c r="ET141" s="22">
        <f t="shared" si="517"/>
        <v>0.2546917874611781</v>
      </c>
      <c r="EU141" s="270"/>
      <c r="EV141" s="243"/>
      <c r="EW141" s="243"/>
      <c r="EX141" s="243"/>
      <c r="EY141" s="243"/>
      <c r="EZ141" s="844"/>
      <c r="FA141" s="243"/>
      <c r="FB141" s="243"/>
      <c r="FC141" s="243"/>
      <c r="FD141" s="243"/>
      <c r="FE141" s="844"/>
      <c r="FF141" s="791"/>
      <c r="FG141" s="618"/>
      <c r="FH141" s="1088">
        <f>AVERAGE(CI141,CN141,CS141,CX141,DC141,DH141,DM141,DR141,DW141,EB141,EG141,EL141,EQ141)</f>
        <v>0.26089712257928138</v>
      </c>
      <c r="FI141" s="1088">
        <f>AVERAGE(CJ141,CO141,CT141,CY141,DD141,DI141,DN141,DS141,DX141,EC141,EH141,EM141)</f>
        <v>0.24387874746116964</v>
      </c>
      <c r="FJ141" s="1088">
        <f>AVERAGE(CK141,CP141,CU141,CZ141,DE141,DJ141,DO141,DT141,DY141,ED141,EI141,EN141)</f>
        <v>0.2486022794660453</v>
      </c>
      <c r="FK141" s="1088">
        <f>AVERAGE(CL141,CQ141,CV141,DA141,DF141,DK141,DP141,DU141,DZ141,EE141,EJ141,EO141)</f>
        <v>0.24480449995875145</v>
      </c>
      <c r="FL141" s="1795"/>
      <c r="FM141" s="22">
        <f t="shared" si="500"/>
        <v>0.23908891616225503</v>
      </c>
      <c r="FN141" s="22">
        <f t="shared" si="501"/>
        <v>0.25478348439073517</v>
      </c>
      <c r="FO141" s="2041">
        <v>0.24617057716572555</v>
      </c>
      <c r="FP141" s="1892">
        <f t="shared" si="510"/>
        <v>-156.94568228480142</v>
      </c>
      <c r="FQ141" s="1892">
        <f t="shared" si="510"/>
        <v>-70.816610034705178</v>
      </c>
      <c r="FR141" s="122"/>
      <c r="FS141" s="1427"/>
      <c r="FT141" s="571"/>
      <c r="FU141" s="120"/>
      <c r="FV141" s="120"/>
      <c r="FW141" s="120"/>
      <c r="FX141" s="120"/>
      <c r="FY141" s="120"/>
      <c r="FZ141" s="120"/>
      <c r="GA141" s="618"/>
      <c r="GB141"/>
      <c r="GC141"/>
      <c r="GD141"/>
      <c r="GE141"/>
      <c r="GF141"/>
      <c r="GG141"/>
      <c r="GH141" s="973"/>
      <c r="GI141" s="973"/>
      <c r="GJ141" s="973"/>
      <c r="GK141" s="973"/>
      <c r="GL141" s="973"/>
      <c r="GM141" s="973"/>
      <c r="GN141" s="973"/>
      <c r="GO141" s="973"/>
      <c r="GP141" s="973"/>
      <c r="GQ141" s="973"/>
      <c r="GR141" s="973"/>
      <c r="GS141" s="973"/>
      <c r="GT141" s="973"/>
      <c r="GU141" s="973"/>
      <c r="GV141" s="973"/>
      <c r="GW141" s="973"/>
      <c r="GX141" s="973"/>
      <c r="GY141" s="973"/>
      <c r="GZ141" s="973"/>
      <c r="HA141" s="973"/>
      <c r="HB141" s="973"/>
      <c r="HC141" s="973"/>
      <c r="HD141" s="973"/>
      <c r="HE141" s="973"/>
      <c r="HF141" s="973"/>
      <c r="HG141" s="973"/>
      <c r="HH141" s="973"/>
      <c r="HI141" s="973"/>
      <c r="HJ141" s="973"/>
      <c r="HK141" s="973"/>
      <c r="HL141" s="973"/>
      <c r="HM141" s="973"/>
      <c r="HN141" s="973"/>
      <c r="HO141" s="973"/>
      <c r="HP141" s="973"/>
      <c r="HQ141" s="973"/>
      <c r="HR141" s="973"/>
      <c r="HS141" s="973"/>
      <c r="HT141" s="973"/>
      <c r="HU141" s="973"/>
      <c r="HV141" s="973"/>
      <c r="HW141" s="973"/>
      <c r="HX141" s="973"/>
      <c r="HY141" s="973"/>
      <c r="HZ141" s="973"/>
      <c r="IA141" s="973"/>
      <c r="IB141" s="973"/>
      <c r="IC141" s="973"/>
      <c r="ID141" s="973"/>
      <c r="IE141" s="973"/>
      <c r="IF141" s="973"/>
      <c r="IG141" s="973"/>
      <c r="IH141" s="973"/>
      <c r="II141" s="973"/>
      <c r="IJ141" s="973"/>
      <c r="IK141" s="973"/>
      <c r="IL141" s="973"/>
      <c r="IM141" s="973"/>
      <c r="IN141" s="973"/>
      <c r="IO141" s="973"/>
      <c r="IP141" s="973"/>
      <c r="IQ141" s="973"/>
      <c r="IR141" s="973"/>
      <c r="IS141" s="973"/>
      <c r="IT141" s="973"/>
      <c r="IU141" s="973"/>
      <c r="IV141" s="973"/>
    </row>
    <row r="142" spans="1:256" s="417" customFormat="1" ht="12.75" x14ac:dyDescent="0.2">
      <c r="A142" s="423" t="s">
        <v>472</v>
      </c>
      <c r="B142" s="414"/>
      <c r="C142" s="414"/>
      <c r="D142" s="414"/>
      <c r="E142" s="415"/>
      <c r="F142" s="416">
        <v>29667</v>
      </c>
      <c r="G142" s="414"/>
      <c r="H142" s="414"/>
      <c r="I142" s="414"/>
      <c r="J142" s="415"/>
      <c r="K142" s="416">
        <v>28697</v>
      </c>
      <c r="L142" s="414"/>
      <c r="M142" s="414"/>
      <c r="N142" s="414"/>
      <c r="O142" s="415"/>
      <c r="P142" s="416">
        <v>27366</v>
      </c>
      <c r="Q142" s="414"/>
      <c r="R142" s="414"/>
      <c r="S142" s="414"/>
      <c r="T142" s="415"/>
      <c r="U142" s="416">
        <v>25650</v>
      </c>
      <c r="V142" s="414"/>
      <c r="W142" s="414"/>
      <c r="X142" s="414"/>
      <c r="Y142" s="415"/>
      <c r="Z142" s="416">
        <v>25531</v>
      </c>
      <c r="AA142" s="414"/>
      <c r="AB142" s="414"/>
      <c r="AC142" s="414"/>
      <c r="AD142" s="415"/>
      <c r="AE142" s="416">
        <v>24710</v>
      </c>
      <c r="AF142" s="414"/>
      <c r="AG142" s="414"/>
      <c r="AH142" s="414"/>
      <c r="AI142" s="415"/>
      <c r="AJ142" s="416">
        <v>24488</v>
      </c>
      <c r="AK142" s="414">
        <v>23558</v>
      </c>
      <c r="AL142" s="414">
        <v>23410</v>
      </c>
      <c r="AM142" s="414">
        <v>23280</v>
      </c>
      <c r="AN142" s="415">
        <v>23197</v>
      </c>
      <c r="AO142" s="416">
        <f>AVERAGE(AK142:AN142)</f>
        <v>23361.25</v>
      </c>
      <c r="AP142" s="414">
        <v>23340</v>
      </c>
      <c r="AQ142" s="414">
        <v>23305</v>
      </c>
      <c r="AR142" s="414">
        <v>23468</v>
      </c>
      <c r="AS142" s="415">
        <v>23178</v>
      </c>
      <c r="AT142" s="416">
        <f>AVERAGE(AP142:AS142)</f>
        <v>23322.75</v>
      </c>
      <c r="AU142" s="414">
        <v>23709</v>
      </c>
      <c r="AV142" s="414">
        <v>24136</v>
      </c>
      <c r="AW142" s="414">
        <v>24316</v>
      </c>
      <c r="AX142" s="415">
        <v>24577</v>
      </c>
      <c r="AY142" s="416">
        <f>AVERAGE(AU142:AX142)</f>
        <v>24184.5</v>
      </c>
      <c r="AZ142" s="414">
        <v>24844</v>
      </c>
      <c r="BA142" s="414">
        <v>28150</v>
      </c>
      <c r="BB142" s="414">
        <v>35233</v>
      </c>
      <c r="BC142" s="415">
        <v>35362</v>
      </c>
      <c r="BD142" s="416">
        <f>AVERAGE(AZ142:BC142)</f>
        <v>30897.25</v>
      </c>
      <c r="BE142" s="414">
        <v>34649</v>
      </c>
      <c r="BF142" s="414">
        <v>33426</v>
      </c>
      <c r="BG142" s="414">
        <v>32990</v>
      </c>
      <c r="BH142" s="415">
        <v>32310</v>
      </c>
      <c r="BI142" s="416">
        <f>AVERAGE(BE142:BH142)</f>
        <v>33343.75</v>
      </c>
      <c r="BJ142" s="414">
        <v>31086</v>
      </c>
      <c r="BK142" s="414">
        <v>30988</v>
      </c>
      <c r="BL142" s="414">
        <v>30290</v>
      </c>
      <c r="BM142" s="415">
        <v>29828</v>
      </c>
      <c r="BN142" s="416">
        <f>AVERAGE(BJ142:BM142)</f>
        <v>30548</v>
      </c>
      <c r="BO142" s="414">
        <v>28909</v>
      </c>
      <c r="BP142" s="414">
        <v>28677</v>
      </c>
      <c r="BQ142" s="414">
        <v>28456</v>
      </c>
      <c r="BR142" s="415">
        <v>28306</v>
      </c>
      <c r="BS142" s="416">
        <f>AVERAGE(BO142:BR142)</f>
        <v>28587</v>
      </c>
      <c r="BT142" s="414">
        <v>28259</v>
      </c>
      <c r="BU142" s="414">
        <v>28446</v>
      </c>
      <c r="BV142" s="414">
        <v>28597</v>
      </c>
      <c r="BW142" s="415">
        <v>28147</v>
      </c>
      <c r="BX142" s="416">
        <f>AVERAGE(BT142:BW142)</f>
        <v>28362.25</v>
      </c>
      <c r="BY142" s="414">
        <v>27770</v>
      </c>
      <c r="BZ142" s="414">
        <v>27861</v>
      </c>
      <c r="CA142" s="414">
        <v>28051</v>
      </c>
      <c r="CB142" s="415">
        <v>28546</v>
      </c>
      <c r="CC142" s="416">
        <f>AVERAGE(BY142:CB142)</f>
        <v>28057</v>
      </c>
      <c r="CD142" s="414">
        <v>29271</v>
      </c>
      <c r="CE142" s="414">
        <v>29968</v>
      </c>
      <c r="CF142" s="414">
        <v>30084</v>
      </c>
      <c r="CG142" s="415">
        <v>30082</v>
      </c>
      <c r="CH142" s="416">
        <f>AVERAGE(CD142:CG142)</f>
        <v>29851.25</v>
      </c>
      <c r="CI142" s="414">
        <v>29986</v>
      </c>
      <c r="CJ142" s="414">
        <v>29984</v>
      </c>
      <c r="CK142" s="414">
        <v>30097</v>
      </c>
      <c r="CL142" s="415">
        <v>30251</v>
      </c>
      <c r="CM142" s="416">
        <f>AVERAGE(CI142:CL142)</f>
        <v>30079.5</v>
      </c>
      <c r="CN142" s="414">
        <v>30484</v>
      </c>
      <c r="CO142" s="414">
        <v>30438</v>
      </c>
      <c r="CP142" s="414">
        <v>30219</v>
      </c>
      <c r="CQ142" s="415">
        <v>30204</v>
      </c>
      <c r="CR142" s="416">
        <f>AVERAGE(CN142:CQ142)</f>
        <v>30336.25</v>
      </c>
      <c r="CS142" s="414">
        <v>30240</v>
      </c>
      <c r="CT142" s="414">
        <v>30170</v>
      </c>
      <c r="CU142" s="414">
        <v>30214</v>
      </c>
      <c r="CV142" s="415">
        <v>30339</v>
      </c>
      <c r="CW142" s="416">
        <f>AVERAGE(CS142:CV142)</f>
        <v>30240.75</v>
      </c>
      <c r="CX142" s="414">
        <v>29597</v>
      </c>
      <c r="CY142" s="414">
        <v>27987</v>
      </c>
      <c r="CZ142" s="414">
        <v>27514</v>
      </c>
      <c r="DA142" s="414">
        <v>27595</v>
      </c>
      <c r="DB142" s="416">
        <f>AVERAGE(CX142:DA142)</f>
        <v>28173.25</v>
      </c>
      <c r="DC142" s="414">
        <v>27646</v>
      </c>
      <c r="DD142" s="414">
        <v>27875</v>
      </c>
      <c r="DE142" s="414">
        <v>28238</v>
      </c>
      <c r="DF142" s="414">
        <v>28882</v>
      </c>
      <c r="DG142" s="92">
        <f>AVERAGE(DC142:DF142)</f>
        <v>28160.25</v>
      </c>
      <c r="DH142" s="414">
        <v>29443</v>
      </c>
      <c r="DI142" s="414">
        <v>29825</v>
      </c>
      <c r="DJ142" s="414">
        <v>30144</v>
      </c>
      <c r="DK142" s="414">
        <v>30320</v>
      </c>
      <c r="DL142" s="92">
        <f>AVERAGE(DH142:DK142)</f>
        <v>29933</v>
      </c>
      <c r="DM142" s="414">
        <v>30630</v>
      </c>
      <c r="DN142" s="414">
        <v>30503</v>
      </c>
      <c r="DO142" s="414">
        <v>30493</v>
      </c>
      <c r="DP142" s="414">
        <v>30543</v>
      </c>
      <c r="DQ142" s="92">
        <f>AVERAGE(DM142:DP142)</f>
        <v>30542.25</v>
      </c>
      <c r="DR142" s="414">
        <v>30095</v>
      </c>
      <c r="DS142" s="414">
        <v>29870</v>
      </c>
      <c r="DT142" s="94">
        <v>29597</v>
      </c>
      <c r="DU142" s="414">
        <v>29227</v>
      </c>
      <c r="DV142" s="92">
        <f>AVERAGE(DR142:DU142)</f>
        <v>29697.25</v>
      </c>
      <c r="DW142" s="414">
        <v>28811</v>
      </c>
      <c r="DX142" s="414">
        <v>28811</v>
      </c>
      <c r="DY142" s="94">
        <v>29176</v>
      </c>
      <c r="DZ142" s="414">
        <v>29454</v>
      </c>
      <c r="EA142" s="92">
        <f>AVERAGE(DW142:DZ142)</f>
        <v>29063</v>
      </c>
      <c r="EB142" s="414">
        <v>29936</v>
      </c>
      <c r="EC142" s="414">
        <v>30045</v>
      </c>
      <c r="ED142" s="94">
        <v>30257</v>
      </c>
      <c r="EE142" s="414">
        <v>29988</v>
      </c>
      <c r="EF142" s="92">
        <f>AVERAGE(EB142:EE142)</f>
        <v>30056.5</v>
      </c>
      <c r="EG142" s="414">
        <v>28077</v>
      </c>
      <c r="EH142" s="414">
        <v>27928</v>
      </c>
      <c r="EI142" s="94">
        <v>27817</v>
      </c>
      <c r="EJ142" s="414">
        <v>27601</v>
      </c>
      <c r="EK142" s="92">
        <f>AVERAGE(EG142:EJ142)</f>
        <v>27855.75</v>
      </c>
      <c r="EL142" s="414">
        <v>27453</v>
      </c>
      <c r="EM142" s="414">
        <v>27088</v>
      </c>
      <c r="EN142" s="94">
        <v>26761</v>
      </c>
      <c r="EO142" s="414">
        <v>26520</v>
      </c>
      <c r="EP142" s="92">
        <f>AVERAGE(EL142:EO142)</f>
        <v>26955.5</v>
      </c>
      <c r="EQ142" s="414">
        <v>26430</v>
      </c>
      <c r="ER142" s="94">
        <f>EM142*(1+ER143)</f>
        <v>26681.68</v>
      </c>
      <c r="ES142" s="94">
        <f>EN142*(1+ES143)</f>
        <v>26894.804999999997</v>
      </c>
      <c r="ET142" s="94">
        <f>EO142*(1+ET143)</f>
        <v>27050.400000000001</v>
      </c>
      <c r="EU142" s="1968">
        <f>AVERAGE(EQ142:ET142)</f>
        <v>26764.221250000002</v>
      </c>
      <c r="EV142" s="95"/>
      <c r="EW142" s="95"/>
      <c r="EX142" s="95"/>
      <c r="EY142" s="95"/>
      <c r="EZ142" s="857">
        <f>EU142*(1+EZ143)</f>
        <v>26898.04235625</v>
      </c>
      <c r="FA142" s="95"/>
      <c r="FB142" s="95"/>
      <c r="FC142" s="95"/>
      <c r="FD142" s="95"/>
      <c r="FE142" s="857">
        <f>EZ142*(1+FE143)</f>
        <v>26898.04235625</v>
      </c>
      <c r="FF142" s="781"/>
      <c r="FG142" s="618"/>
      <c r="FH142" s="1035"/>
      <c r="FI142" s="1035"/>
      <c r="FJ142" s="1035"/>
      <c r="FK142" s="1035"/>
      <c r="FL142" s="1823"/>
      <c r="FM142" s="414">
        <f t="shared" si="500"/>
        <v>26430</v>
      </c>
      <c r="FN142" s="414">
        <f t="shared" si="501"/>
        <v>27453</v>
      </c>
      <c r="FO142" s="94">
        <v>26492.145</v>
      </c>
      <c r="FP142" s="387">
        <f>IFERROR(($FM142/FN142)-1,"")</f>
        <v>-3.7263687028740056E-2</v>
      </c>
      <c r="FQ142" s="387">
        <f>IFERROR(($FM142/FO142)-1,"")</f>
        <v>-2.345789667088094E-3</v>
      </c>
      <c r="FR142" s="122" t="s">
        <v>858</v>
      </c>
      <c r="FS142" s="1427"/>
      <c r="FT142" s="86"/>
      <c r="FU142" s="532"/>
      <c r="FV142" s="532"/>
      <c r="FW142" s="532"/>
      <c r="FX142" s="532"/>
      <c r="FY142" s="532"/>
      <c r="FZ142" s="532"/>
      <c r="GA142" s="618"/>
      <c r="GB142"/>
      <c r="GC142"/>
      <c r="GD142"/>
      <c r="GE142"/>
      <c r="GF142"/>
      <c r="GG142"/>
      <c r="GH142" s="1009"/>
      <c r="GI142" s="1009"/>
      <c r="GJ142" s="1009"/>
      <c r="GK142" s="1009"/>
      <c r="GL142" s="1009"/>
      <c r="GM142" s="1009"/>
      <c r="GN142" s="1009"/>
      <c r="GO142" s="1009"/>
      <c r="GP142" s="1009"/>
      <c r="GQ142" s="1009"/>
      <c r="GR142" s="1009"/>
      <c r="GS142" s="1009"/>
      <c r="GT142" s="1009"/>
      <c r="GU142" s="1009"/>
      <c r="GV142" s="1009"/>
      <c r="GW142" s="1009"/>
      <c r="GX142" s="1009"/>
      <c r="GY142" s="1009"/>
      <c r="GZ142" s="1009"/>
      <c r="HA142" s="1009"/>
      <c r="HB142" s="1009"/>
      <c r="HC142" s="1009"/>
      <c r="HD142" s="1009"/>
      <c r="HE142" s="1009"/>
      <c r="HF142" s="1009"/>
      <c r="HG142" s="1009"/>
      <c r="HH142" s="1009"/>
      <c r="HI142" s="1009"/>
      <c r="HJ142" s="1009"/>
      <c r="HK142" s="1009"/>
      <c r="HL142" s="1009"/>
      <c r="HM142" s="1009"/>
      <c r="HN142" s="1009"/>
      <c r="HO142" s="1009"/>
      <c r="HP142" s="1009"/>
      <c r="HQ142" s="1009"/>
      <c r="HR142" s="1009"/>
      <c r="HS142" s="1009"/>
      <c r="HT142" s="1009"/>
      <c r="HU142" s="1009"/>
      <c r="HV142" s="1009"/>
      <c r="HW142" s="1009"/>
      <c r="HX142" s="1009"/>
      <c r="HY142" s="1009"/>
      <c r="HZ142" s="1009"/>
      <c r="IA142" s="1009"/>
      <c r="IB142" s="1009"/>
      <c r="IC142" s="1009"/>
      <c r="ID142" s="1009"/>
      <c r="IE142" s="1009"/>
      <c r="IF142" s="1009"/>
      <c r="IG142" s="1009"/>
      <c r="IH142" s="1009"/>
      <c r="II142" s="1009"/>
      <c r="IJ142" s="1009"/>
      <c r="IK142" s="1009"/>
      <c r="IL142" s="1009"/>
      <c r="IM142" s="1009"/>
      <c r="IN142" s="1009"/>
      <c r="IO142" s="1009"/>
      <c r="IP142" s="1009"/>
      <c r="IQ142" s="1009"/>
      <c r="IR142" s="1009"/>
      <c r="IS142" s="1009"/>
      <c r="IT142" s="1009"/>
      <c r="IU142" s="1009"/>
      <c r="IV142" s="1009"/>
    </row>
    <row r="143" spans="1:256" s="99" customFormat="1" ht="12.75" x14ac:dyDescent="0.2">
      <c r="A143" s="44" t="s">
        <v>74</v>
      </c>
      <c r="B143" s="22"/>
      <c r="C143" s="22"/>
      <c r="D143" s="22"/>
      <c r="E143" s="197"/>
      <c r="F143" s="21"/>
      <c r="G143" s="22"/>
      <c r="H143" s="22"/>
      <c r="I143" s="22"/>
      <c r="J143" s="197"/>
      <c r="K143" s="21">
        <f>K142/F142-1</f>
        <v>-3.2696261839754603E-2</v>
      </c>
      <c r="L143" s="22"/>
      <c r="M143" s="22"/>
      <c r="N143" s="22"/>
      <c r="O143" s="197"/>
      <c r="P143" s="21">
        <f>P142/K142-1</f>
        <v>-4.6381154824546078E-2</v>
      </c>
      <c r="Q143" s="22"/>
      <c r="R143" s="22"/>
      <c r="S143" s="22"/>
      <c r="T143" s="197"/>
      <c r="U143" s="21">
        <f>U142/P142-1</f>
        <v>-6.2705547029160313E-2</v>
      </c>
      <c r="V143" s="22"/>
      <c r="W143" s="22"/>
      <c r="X143" s="22"/>
      <c r="Y143" s="197"/>
      <c r="Z143" s="21">
        <f>Z142/U142-1</f>
        <v>-4.6393762183235543E-3</v>
      </c>
      <c r="AA143" s="22"/>
      <c r="AB143" s="22"/>
      <c r="AC143" s="22"/>
      <c r="AD143" s="197"/>
      <c r="AE143" s="21">
        <f>AE142/Z142-1</f>
        <v>-3.2156985625318213E-2</v>
      </c>
      <c r="AF143" s="22"/>
      <c r="AG143" s="22"/>
      <c r="AH143" s="22"/>
      <c r="AI143" s="197"/>
      <c r="AJ143" s="21">
        <f t="shared" ref="AJ143:CU143" si="518">AJ142/AE142-1</f>
        <v>-8.9842169162281937E-3</v>
      </c>
      <c r="AK143" s="22"/>
      <c r="AL143" s="22"/>
      <c r="AM143" s="22"/>
      <c r="AN143" s="197"/>
      <c r="AO143" s="21">
        <f t="shared" si="518"/>
        <v>-4.6012332571055192E-2</v>
      </c>
      <c r="AP143" s="22">
        <f t="shared" si="518"/>
        <v>-9.2537566856270015E-3</v>
      </c>
      <c r="AQ143" s="22">
        <f t="shared" si="518"/>
        <v>-4.4852627082443419E-3</v>
      </c>
      <c r="AR143" s="22">
        <f t="shared" si="518"/>
        <v>8.075601374570418E-3</v>
      </c>
      <c r="AS143" s="197">
        <f t="shared" si="518"/>
        <v>-8.1907143165060869E-4</v>
      </c>
      <c r="AT143" s="21">
        <f t="shared" si="518"/>
        <v>-1.648028251912903E-3</v>
      </c>
      <c r="AU143" s="22">
        <f t="shared" si="518"/>
        <v>1.5809768637532029E-2</v>
      </c>
      <c r="AV143" s="22">
        <f t="shared" si="518"/>
        <v>3.5657584209397131E-2</v>
      </c>
      <c r="AW143" s="22">
        <f t="shared" si="518"/>
        <v>3.6134310550536952E-2</v>
      </c>
      <c r="AX143" s="197">
        <f t="shared" si="518"/>
        <v>6.0358961083786244E-2</v>
      </c>
      <c r="AY143" s="21">
        <f t="shared" si="518"/>
        <v>3.6948901823327107E-2</v>
      </c>
      <c r="AZ143" s="22">
        <f t="shared" si="518"/>
        <v>4.7872116074064719E-2</v>
      </c>
      <c r="BA143" s="22">
        <f t="shared" si="518"/>
        <v>0.16630759032151143</v>
      </c>
      <c r="BB143" s="22">
        <f t="shared" si="518"/>
        <v>0.44896364533640409</v>
      </c>
      <c r="BC143" s="197">
        <f t="shared" si="518"/>
        <v>0.4388249176058916</v>
      </c>
      <c r="BD143" s="21">
        <f t="shared" si="518"/>
        <v>0.27756414232256188</v>
      </c>
      <c r="BE143" s="22">
        <f t="shared" si="518"/>
        <v>0.39466269521816133</v>
      </c>
      <c r="BF143" s="22">
        <f t="shared" si="518"/>
        <v>0.18742451154529305</v>
      </c>
      <c r="BG143" s="22">
        <f t="shared" si="518"/>
        <v>-6.3661907870462331E-2</v>
      </c>
      <c r="BH143" s="197">
        <f t="shared" si="518"/>
        <v>-8.6307335557943565E-2</v>
      </c>
      <c r="BI143" s="21">
        <f t="shared" si="518"/>
        <v>7.9181804205875839E-2</v>
      </c>
      <c r="BJ143" s="22">
        <f t="shared" si="518"/>
        <v>-0.10283125054114117</v>
      </c>
      <c r="BK143" s="22">
        <f t="shared" si="518"/>
        <v>-7.2937234488123059E-2</v>
      </c>
      <c r="BL143" s="22">
        <f t="shared" si="518"/>
        <v>-8.1842982722036939E-2</v>
      </c>
      <c r="BM143" s="197">
        <f t="shared" si="518"/>
        <v>-7.6818322500773806E-2</v>
      </c>
      <c r="BN143" s="21">
        <f t="shared" si="518"/>
        <v>-8.3846298031865052E-2</v>
      </c>
      <c r="BO143" s="22">
        <f t="shared" si="518"/>
        <v>-7.0031525445538145E-2</v>
      </c>
      <c r="BP143" s="22">
        <f t="shared" si="518"/>
        <v>-7.4577255711888446E-2</v>
      </c>
      <c r="BQ143" s="22">
        <f t="shared" si="518"/>
        <v>-6.0548035655331844E-2</v>
      </c>
      <c r="BR143" s="197">
        <f t="shared" si="518"/>
        <v>-5.1025881721872057E-2</v>
      </c>
      <c r="BS143" s="21">
        <f t="shared" si="518"/>
        <v>-6.4194055257300042E-2</v>
      </c>
      <c r="BT143" s="22">
        <f t="shared" si="518"/>
        <v>-2.2484347435054786E-2</v>
      </c>
      <c r="BU143" s="22">
        <f t="shared" si="518"/>
        <v>-8.0552359033371213E-3</v>
      </c>
      <c r="BV143" s="22">
        <f t="shared" si="518"/>
        <v>4.9550182738262727E-3</v>
      </c>
      <c r="BW143" s="197">
        <f t="shared" si="518"/>
        <v>-5.6171836359781846E-3</v>
      </c>
      <c r="BX143" s="21">
        <f t="shared" si="518"/>
        <v>-7.8619652289502184E-3</v>
      </c>
      <c r="BY143" s="22">
        <f t="shared" si="518"/>
        <v>-1.730422166389467E-2</v>
      </c>
      <c r="BZ143" s="22">
        <f t="shared" si="518"/>
        <v>-2.056528158616322E-2</v>
      </c>
      <c r="CA143" s="22">
        <f t="shared" si="518"/>
        <v>-1.9092911843899718E-2</v>
      </c>
      <c r="CB143" s="197">
        <f t="shared" si="518"/>
        <v>1.4175578214374429E-2</v>
      </c>
      <c r="CC143" s="21">
        <f t="shared" si="518"/>
        <v>-1.0762545284665359E-2</v>
      </c>
      <c r="CD143" s="22">
        <f t="shared" si="518"/>
        <v>5.4051134317608884E-2</v>
      </c>
      <c r="CE143" s="22">
        <f t="shared" si="518"/>
        <v>7.5625426223035808E-2</v>
      </c>
      <c r="CF143" s="22">
        <f t="shared" si="518"/>
        <v>7.2475134576307498E-2</v>
      </c>
      <c r="CG143" s="197">
        <f t="shared" si="518"/>
        <v>5.3807889021228794E-2</v>
      </c>
      <c r="CH143" s="21">
        <f t="shared" si="518"/>
        <v>6.3950172862387245E-2</v>
      </c>
      <c r="CI143" s="22">
        <f t="shared" si="518"/>
        <v>2.4426907177752755E-2</v>
      </c>
      <c r="CJ143" s="22">
        <f t="shared" si="518"/>
        <v>5.3390282968490688E-4</v>
      </c>
      <c r="CK143" s="22">
        <f t="shared" si="518"/>
        <v>4.3212338784726079E-4</v>
      </c>
      <c r="CL143" s="197">
        <f t="shared" si="518"/>
        <v>5.6179775280897903E-3</v>
      </c>
      <c r="CM143" s="21">
        <f t="shared" si="518"/>
        <v>7.6462459695991747E-3</v>
      </c>
      <c r="CN143" s="22">
        <f t="shared" si="518"/>
        <v>1.6607750283465617E-2</v>
      </c>
      <c r="CO143" s="22">
        <f t="shared" si="518"/>
        <v>1.5141408751333962E-2</v>
      </c>
      <c r="CP143" s="22">
        <f t="shared" si="518"/>
        <v>4.0535601554971823E-3</v>
      </c>
      <c r="CQ143" s="197">
        <f t="shared" si="518"/>
        <v>-1.5536676473505429E-3</v>
      </c>
      <c r="CR143" s="21">
        <f t="shared" si="518"/>
        <v>8.5357136920494181E-3</v>
      </c>
      <c r="CS143" s="22">
        <f t="shared" si="518"/>
        <v>-8.0041989240257072E-3</v>
      </c>
      <c r="CT143" s="22">
        <f t="shared" si="518"/>
        <v>-8.8047834943163483E-3</v>
      </c>
      <c r="CU143" s="22">
        <f t="shared" si="518"/>
        <v>-1.6545881730034573E-4</v>
      </c>
      <c r="CV143" s="197">
        <f t="shared" ref="CV143:DU143" si="519">CV142/CQ142-1</f>
        <v>4.4696066746126029E-3</v>
      </c>
      <c r="CW143" s="21">
        <f t="shared" si="519"/>
        <v>-3.1480489513371346E-3</v>
      </c>
      <c r="CX143" s="22">
        <f t="shared" si="519"/>
        <v>-2.1263227513227512E-2</v>
      </c>
      <c r="CY143" s="22">
        <f t="shared" si="519"/>
        <v>-7.2356645674511055E-2</v>
      </c>
      <c r="CZ143" s="22">
        <f t="shared" si="519"/>
        <v>-8.9362547163566508E-2</v>
      </c>
      <c r="DA143" s="22">
        <f t="shared" si="519"/>
        <v>-9.0444642209697057E-2</v>
      </c>
      <c r="DB143" s="21">
        <f t="shared" si="519"/>
        <v>-6.8368013359456969E-2</v>
      </c>
      <c r="DC143" s="22">
        <f t="shared" si="519"/>
        <v>-6.5918843125992499E-2</v>
      </c>
      <c r="DD143" s="22">
        <f t="shared" si="519"/>
        <v>-4.0018580055025677E-3</v>
      </c>
      <c r="DE143" s="22">
        <f t="shared" si="519"/>
        <v>2.6313876571927075E-2</v>
      </c>
      <c r="DF143" s="22">
        <f t="shared" si="519"/>
        <v>4.6638883855770974E-2</v>
      </c>
      <c r="DG143" s="21">
        <f t="shared" si="519"/>
        <v>-4.614306123716938E-4</v>
      </c>
      <c r="DH143" s="22">
        <f t="shared" si="519"/>
        <v>6.500036171598067E-2</v>
      </c>
      <c r="DI143" s="22">
        <f t="shared" si="519"/>
        <v>6.995515695067267E-2</v>
      </c>
      <c r="DJ143" s="22">
        <f t="shared" si="519"/>
        <v>6.7497698137261919E-2</v>
      </c>
      <c r="DK143" s="22">
        <f t="shared" si="519"/>
        <v>4.9788795789765361E-2</v>
      </c>
      <c r="DL143" s="21">
        <f>DL142/DG142-1</f>
        <v>6.2952211006649383E-2</v>
      </c>
      <c r="DM143" s="22">
        <f t="shared" si="519"/>
        <v>4.031518527323974E-2</v>
      </c>
      <c r="DN143" s="22">
        <f t="shared" si="519"/>
        <v>2.2732606873428374E-2</v>
      </c>
      <c r="DO143" s="22">
        <f t="shared" si="519"/>
        <v>1.1577760084925615E-2</v>
      </c>
      <c r="DP143" s="22">
        <f t="shared" si="519"/>
        <v>7.3548812664907537E-3</v>
      </c>
      <c r="DQ143" s="21">
        <f>DQ142/DL142-1</f>
        <v>2.0353790131293126E-2</v>
      </c>
      <c r="DR143" s="22">
        <f t="shared" si="519"/>
        <v>-1.7466536075742778E-2</v>
      </c>
      <c r="DS143" s="22">
        <f t="shared" si="519"/>
        <v>-2.0752057174704075E-2</v>
      </c>
      <c r="DT143" s="22">
        <f t="shared" si="519"/>
        <v>-2.9383793001672487E-2</v>
      </c>
      <c r="DU143" s="22">
        <f t="shared" si="519"/>
        <v>-4.3086795665127853E-2</v>
      </c>
      <c r="DV143" s="21">
        <f t="shared" ref="DV143:EA143" si="520">DV142/DQ142-1</f>
        <v>-2.7666592998223827E-2</v>
      </c>
      <c r="DW143" s="22">
        <f t="shared" si="520"/>
        <v>-4.2664894500747619E-2</v>
      </c>
      <c r="DX143" s="22">
        <f t="shared" si="520"/>
        <v>-3.5453632407097424E-2</v>
      </c>
      <c r="DY143" s="22">
        <f t="shared" si="520"/>
        <v>-1.422441463661861E-2</v>
      </c>
      <c r="DZ143" s="22">
        <f t="shared" si="520"/>
        <v>7.7667909809422397E-3</v>
      </c>
      <c r="EA143" s="21">
        <f t="shared" si="520"/>
        <v>-2.135719637340161E-2</v>
      </c>
      <c r="EB143" s="22">
        <f t="shared" ref="EB143:EI143" si="521">EB142/DW142-1</f>
        <v>3.9047585991461631E-2</v>
      </c>
      <c r="EC143" s="22">
        <f t="shared" si="521"/>
        <v>4.2830863211967607E-2</v>
      </c>
      <c r="ED143" s="22">
        <f t="shared" si="521"/>
        <v>3.7051000822593938E-2</v>
      </c>
      <c r="EE143" s="22">
        <f t="shared" si="521"/>
        <v>1.8129965369729106E-2</v>
      </c>
      <c r="EF143" s="21">
        <f t="shared" si="521"/>
        <v>3.4184358118569902E-2</v>
      </c>
      <c r="EG143" s="22">
        <f t="shared" si="521"/>
        <v>-6.2099144842330256E-2</v>
      </c>
      <c r="EH143" s="22">
        <f t="shared" si="521"/>
        <v>-7.0460975203860854E-2</v>
      </c>
      <c r="EI143" s="22">
        <f t="shared" si="521"/>
        <v>-8.0642495951350091E-2</v>
      </c>
      <c r="EJ143" s="22">
        <f>EJ142/EE142-1</f>
        <v>-7.9598506069094355E-2</v>
      </c>
      <c r="EK143" s="21">
        <f>EK142/EF142-1</f>
        <v>-7.3220434847703464E-2</v>
      </c>
      <c r="EL143" s="22">
        <f>EL142/EG142-1</f>
        <v>-2.2224596644940697E-2</v>
      </c>
      <c r="EM143" s="22">
        <f t="shared" ref="EM143:EN143" si="522">EM142/EH142-1</f>
        <v>-3.0077341735892271E-2</v>
      </c>
      <c r="EN143" s="22">
        <f t="shared" si="522"/>
        <v>-3.796239709530147E-2</v>
      </c>
      <c r="EO143" s="22">
        <f>EO142/EJ142-1</f>
        <v>-3.9165247635955192E-2</v>
      </c>
      <c r="EP143" s="21">
        <f>EP142/EK142-1</f>
        <v>-3.2318282580795721E-2</v>
      </c>
      <c r="EQ143" s="22">
        <f>EQ142/EL142-1</f>
        <v>-3.7263687028740056E-2</v>
      </c>
      <c r="ER143" s="1600">
        <v>-1.4999999999999999E-2</v>
      </c>
      <c r="ES143" s="1600">
        <v>5.0000000000000001E-3</v>
      </c>
      <c r="ET143" s="1600">
        <v>0.02</v>
      </c>
      <c r="EU143" s="1956">
        <f>EU142/EP142-1</f>
        <v>-7.0960935616106724E-3</v>
      </c>
      <c r="EV143" s="98"/>
      <c r="EW143" s="98"/>
      <c r="EX143" s="98"/>
      <c r="EY143" s="98"/>
      <c r="EZ143" s="834">
        <v>5.0000000000000001E-3</v>
      </c>
      <c r="FA143" s="98"/>
      <c r="FB143" s="98"/>
      <c r="FC143" s="98"/>
      <c r="FD143" s="98"/>
      <c r="FE143" s="834">
        <v>0</v>
      </c>
      <c r="FF143" s="782"/>
      <c r="FG143" s="618"/>
      <c r="FH143" s="1036"/>
      <c r="FI143" s="1036"/>
      <c r="FJ143" s="1036"/>
      <c r="FK143" s="1036"/>
      <c r="FL143" s="1824"/>
      <c r="FM143" s="22">
        <f t="shared" si="500"/>
        <v>-3.7263687028740056E-2</v>
      </c>
      <c r="FN143" s="22">
        <f t="shared" si="501"/>
        <v>-2.2224596644940697E-2</v>
      </c>
      <c r="FO143" s="1600">
        <v>-3.5000000000000003E-2</v>
      </c>
      <c r="FP143" s="1892">
        <f>IFERROR(($FM143-FN143)*10000,"")</f>
        <v>-150.39090383799359</v>
      </c>
      <c r="FQ143" s="1892">
        <f>IFERROR(($FM143-FO143)*10000,"")</f>
        <v>-22.636870287400523</v>
      </c>
      <c r="FR143" s="2129" t="s">
        <v>799</v>
      </c>
      <c r="FS143" s="1426"/>
      <c r="FT143" s="1426"/>
      <c r="FU143" s="575"/>
      <c r="FV143" s="86"/>
      <c r="FW143" s="86"/>
      <c r="FX143" s="86"/>
      <c r="FY143" s="86"/>
      <c r="FZ143" s="86"/>
      <c r="GA143" s="618"/>
      <c r="GB143"/>
      <c r="GC143"/>
      <c r="GD143"/>
      <c r="GE143"/>
      <c r="GF143"/>
      <c r="GG143"/>
      <c r="GH143" s="974"/>
      <c r="GI143" s="974"/>
      <c r="GJ143" s="974"/>
      <c r="GK143" s="974"/>
      <c r="GL143" s="974"/>
      <c r="GM143" s="974"/>
      <c r="GN143" s="974"/>
      <c r="GO143" s="974"/>
      <c r="GP143" s="974"/>
      <c r="GQ143" s="974"/>
      <c r="GR143" s="974"/>
      <c r="GS143" s="974"/>
      <c r="GT143" s="974"/>
      <c r="GU143" s="974"/>
      <c r="GV143" s="974"/>
      <c r="GW143" s="974"/>
      <c r="GX143" s="974"/>
      <c r="GY143" s="974"/>
      <c r="GZ143" s="974"/>
      <c r="HA143" s="974"/>
      <c r="HB143" s="974"/>
      <c r="HC143" s="974"/>
      <c r="HD143" s="974"/>
      <c r="HE143" s="974"/>
      <c r="HF143" s="974"/>
      <c r="HG143" s="974"/>
      <c r="HH143" s="974"/>
      <c r="HI143" s="974"/>
      <c r="HJ143" s="974"/>
      <c r="HK143" s="974"/>
      <c r="HL143" s="974"/>
      <c r="HM143" s="974"/>
      <c r="HN143" s="974"/>
      <c r="HO143" s="974"/>
      <c r="HP143" s="974"/>
      <c r="HQ143" s="974"/>
      <c r="HR143" s="974"/>
      <c r="HS143" s="974"/>
      <c r="HT143" s="974"/>
      <c r="HU143" s="974"/>
      <c r="HV143" s="974"/>
      <c r="HW143" s="974"/>
      <c r="HX143" s="974"/>
      <c r="HY143" s="974"/>
      <c r="HZ143" s="974"/>
      <c r="IA143" s="974"/>
      <c r="IB143" s="974"/>
      <c r="IC143" s="974"/>
      <c r="ID143" s="974"/>
      <c r="IE143" s="974"/>
      <c r="IF143" s="974"/>
      <c r="IG143" s="974"/>
      <c r="IH143" s="974"/>
      <c r="II143" s="974"/>
      <c r="IJ143" s="974"/>
      <c r="IK143" s="974"/>
      <c r="IL143" s="974"/>
      <c r="IM143" s="974"/>
      <c r="IN143" s="974"/>
      <c r="IO143" s="974"/>
      <c r="IP143" s="974"/>
      <c r="IQ143" s="974"/>
      <c r="IR143" s="974"/>
      <c r="IS143" s="974"/>
      <c r="IT143" s="974"/>
      <c r="IU143" s="974"/>
      <c r="IV143" s="974"/>
    </row>
    <row r="144" spans="1:256" s="119" customFormat="1" ht="12.75" x14ac:dyDescent="0.2">
      <c r="A144" s="424" t="s">
        <v>578</v>
      </c>
      <c r="B144" s="11"/>
      <c r="C144" s="11"/>
      <c r="D144" s="11"/>
      <c r="E144" s="194"/>
      <c r="F144" s="12"/>
      <c r="G144" s="11"/>
      <c r="H144" s="11"/>
      <c r="I144" s="11"/>
      <c r="J144" s="194"/>
      <c r="K144" s="12">
        <f>K13*1000/K142</f>
        <v>0</v>
      </c>
      <c r="L144" s="11"/>
      <c r="M144" s="11"/>
      <c r="N144" s="11"/>
      <c r="O144" s="194"/>
      <c r="P144" s="12">
        <f>P13*1000/P142</f>
        <v>140.41145947526127</v>
      </c>
      <c r="Q144" s="11"/>
      <c r="R144" s="11"/>
      <c r="S144" s="11"/>
      <c r="T144" s="194"/>
      <c r="U144" s="12">
        <f>U13*1000/U142</f>
        <v>154.14424951267057</v>
      </c>
      <c r="V144" s="11"/>
      <c r="W144" s="11"/>
      <c r="X144" s="11"/>
      <c r="Y144" s="194"/>
      <c r="Z144" s="12">
        <f>Z13*1000/Z142</f>
        <v>157.76115310798636</v>
      </c>
      <c r="AA144" s="11"/>
      <c r="AB144" s="11"/>
      <c r="AC144" s="11"/>
      <c r="AD144" s="194"/>
      <c r="AE144" s="12">
        <f>AE13*1000/AE142</f>
        <v>174.31808984216917</v>
      </c>
      <c r="AF144" s="11"/>
      <c r="AG144" s="11"/>
      <c r="AH144" s="11"/>
      <c r="AI144" s="194"/>
      <c r="AJ144" s="12">
        <f t="shared" ref="AJ144:BO144" si="523">AJ13*1000/AJ142</f>
        <v>181.66448872917348</v>
      </c>
      <c r="AK144" s="11">
        <f t="shared" si="523"/>
        <v>46.897020120553528</v>
      </c>
      <c r="AL144" s="11">
        <f t="shared" si="523"/>
        <v>48.774028193079879</v>
      </c>
      <c r="AM144" s="11">
        <f t="shared" si="523"/>
        <v>49.231099656357387</v>
      </c>
      <c r="AN144" s="194">
        <f t="shared" si="523"/>
        <v>50.01508815795146</v>
      </c>
      <c r="AO144" s="12">
        <f t="shared" si="523"/>
        <v>194.89111241907005</v>
      </c>
      <c r="AP144" s="11">
        <f t="shared" si="523"/>
        <v>49.507283633247646</v>
      </c>
      <c r="AQ144" s="11">
        <f t="shared" si="523"/>
        <v>51.568332975756284</v>
      </c>
      <c r="AR144" s="11">
        <f t="shared" si="523"/>
        <v>50.856485426964376</v>
      </c>
      <c r="AS144" s="194">
        <f t="shared" si="523"/>
        <v>52.114073690568645</v>
      </c>
      <c r="AT144" s="12">
        <f t="shared" si="523"/>
        <v>204.03683099119962</v>
      </c>
      <c r="AU144" s="11">
        <f t="shared" si="523"/>
        <v>51.001729301109286</v>
      </c>
      <c r="AV144" s="11">
        <f t="shared" si="523"/>
        <v>50.994365263506808</v>
      </c>
      <c r="AW144" s="11">
        <f t="shared" si="523"/>
        <v>48.63053133739102</v>
      </c>
      <c r="AX144" s="194">
        <f t="shared" si="523"/>
        <v>48.044920047198602</v>
      </c>
      <c r="AY144" s="12">
        <f t="shared" si="523"/>
        <v>198.61068039446758</v>
      </c>
      <c r="AZ144" s="11">
        <f t="shared" si="523"/>
        <v>46.639027531798419</v>
      </c>
      <c r="BA144" s="11">
        <f t="shared" si="523"/>
        <v>48.646536412078142</v>
      </c>
      <c r="BB144" s="11">
        <f t="shared" si="523"/>
        <v>48.639059972185173</v>
      </c>
      <c r="BC144" s="194">
        <f t="shared" si="523"/>
        <v>48.613200610825182</v>
      </c>
      <c r="BD144" s="12">
        <f t="shared" si="523"/>
        <v>192.92526033870331</v>
      </c>
      <c r="BE144" s="11">
        <f t="shared" si="523"/>
        <v>48.414095644895959</v>
      </c>
      <c r="BF144" s="11">
        <f t="shared" si="523"/>
        <v>52.527972237180641</v>
      </c>
      <c r="BG144" s="11">
        <f t="shared" si="523"/>
        <v>52.50682024856016</v>
      </c>
      <c r="BH144" s="194">
        <f t="shared" si="523"/>
        <v>52.045806251934387</v>
      </c>
      <c r="BI144" s="12">
        <f t="shared" si="523"/>
        <v>205.34882849109653</v>
      </c>
      <c r="BJ144" s="11">
        <f t="shared" si="523"/>
        <v>53.194364022389507</v>
      </c>
      <c r="BK144" s="11">
        <f t="shared" si="523"/>
        <v>54.437201497353811</v>
      </c>
      <c r="BL144" s="11">
        <f t="shared" si="523"/>
        <v>53.59854737537141</v>
      </c>
      <c r="BM144" s="194">
        <f t="shared" si="523"/>
        <v>55.685530374145095</v>
      </c>
      <c r="BN144" s="12">
        <f t="shared" si="523"/>
        <v>216.87141547728166</v>
      </c>
      <c r="BO144" s="11">
        <f t="shared" si="523"/>
        <v>55.567470337957026</v>
      </c>
      <c r="BP144" s="11">
        <f t="shared" ref="BP144:CU144" si="524">BP13*1000/BP142</f>
        <v>59.856330857481602</v>
      </c>
      <c r="BQ144" s="11">
        <f t="shared" si="524"/>
        <v>60.999437728422826</v>
      </c>
      <c r="BR144" s="194">
        <f t="shared" si="524"/>
        <v>58.715466685508375</v>
      </c>
      <c r="BS144" s="12">
        <f t="shared" si="524"/>
        <v>235.09637247700007</v>
      </c>
      <c r="BT144" s="11">
        <f t="shared" si="524"/>
        <v>58.317704094270852</v>
      </c>
      <c r="BU144" s="11">
        <f t="shared" si="524"/>
        <v>61.020881670533647</v>
      </c>
      <c r="BV144" s="11">
        <f t="shared" si="524"/>
        <v>60.2126097143057</v>
      </c>
      <c r="BW144" s="194">
        <f t="shared" si="524"/>
        <v>62.368991366753114</v>
      </c>
      <c r="BX144" s="12">
        <f t="shared" si="524"/>
        <v>241.91310632971641</v>
      </c>
      <c r="BY144" s="11">
        <f t="shared" si="524"/>
        <v>63.269715520345699</v>
      </c>
      <c r="BZ144" s="11">
        <f t="shared" si="524"/>
        <v>67.305552564516702</v>
      </c>
      <c r="CA144" s="11">
        <f t="shared" si="524"/>
        <v>67.90132259099498</v>
      </c>
      <c r="CB144" s="194">
        <f t="shared" si="524"/>
        <v>67.515588874097944</v>
      </c>
      <c r="CC144" s="12">
        <f t="shared" si="524"/>
        <v>266.03699611505152</v>
      </c>
      <c r="CD144" s="11">
        <f t="shared" si="524"/>
        <v>63.650575655085241</v>
      </c>
      <c r="CE144" s="11">
        <f t="shared" si="524"/>
        <v>64.999332621462898</v>
      </c>
      <c r="CF144" s="11">
        <f t="shared" si="524"/>
        <v>66.224571200638209</v>
      </c>
      <c r="CG144" s="194">
        <f t="shared" si="524"/>
        <v>65.926467655076124</v>
      </c>
      <c r="CH144" s="12">
        <f t="shared" si="524"/>
        <v>260.84388425945315</v>
      </c>
      <c r="CI144" s="11">
        <f t="shared" si="524"/>
        <v>65.27045954778896</v>
      </c>
      <c r="CJ144" s="11">
        <f t="shared" si="524"/>
        <v>67.526013874066166</v>
      </c>
      <c r="CK144" s="11">
        <f t="shared" si="524"/>
        <v>66.149450111306777</v>
      </c>
      <c r="CL144" s="194">
        <f t="shared" si="524"/>
        <v>63.736735975670229</v>
      </c>
      <c r="CM144" s="12">
        <f t="shared" si="524"/>
        <v>262.66726508086902</v>
      </c>
      <c r="CN144" s="11">
        <f t="shared" si="524"/>
        <v>61.392861829156281</v>
      </c>
      <c r="CO144" s="11">
        <f t="shared" si="524"/>
        <v>63.811682764964857</v>
      </c>
      <c r="CP144" s="11">
        <f t="shared" si="524"/>
        <v>63.175485621628773</v>
      </c>
      <c r="CQ144" s="194">
        <f t="shared" si="524"/>
        <v>61.915640312541385</v>
      </c>
      <c r="CR144" s="12">
        <f t="shared" si="524"/>
        <v>250.29461452882273</v>
      </c>
      <c r="CS144" s="11">
        <f t="shared" si="524"/>
        <v>60.449735449735449</v>
      </c>
      <c r="CT144" s="11">
        <f t="shared" si="524"/>
        <v>63.009612197547234</v>
      </c>
      <c r="CU144" s="11">
        <f t="shared" si="524"/>
        <v>62.729198384854712</v>
      </c>
      <c r="CV144" s="194">
        <f t="shared" ref="CV144:EA144" si="525">CV13*1000/CV142</f>
        <v>56.864102310557371</v>
      </c>
      <c r="CW144" s="12">
        <f t="shared" si="525"/>
        <v>243.03299356001421</v>
      </c>
      <c r="CX144" s="11">
        <f t="shared" si="525"/>
        <v>49.180660202047505</v>
      </c>
      <c r="CY144" s="11">
        <f t="shared" si="525"/>
        <v>50.462714831886231</v>
      </c>
      <c r="CZ144" s="11">
        <f t="shared" si="525"/>
        <v>55.324562041142684</v>
      </c>
      <c r="DA144" s="11">
        <f t="shared" si="525"/>
        <v>56.792897263997098</v>
      </c>
      <c r="DB144" s="12">
        <f t="shared" si="525"/>
        <v>211.45235285243982</v>
      </c>
      <c r="DC144" s="11">
        <f t="shared" si="525"/>
        <v>57.256022571077189</v>
      </c>
      <c r="DD144" s="11">
        <f t="shared" si="525"/>
        <v>61.69686098654708</v>
      </c>
      <c r="DE144" s="11">
        <f t="shared" si="525"/>
        <v>62.065302075217794</v>
      </c>
      <c r="DF144" s="11">
        <f t="shared" si="525"/>
        <v>59.164877778547201</v>
      </c>
      <c r="DG144" s="12">
        <f t="shared" si="525"/>
        <v>240.20028231283459</v>
      </c>
      <c r="DH144" s="11">
        <f t="shared" si="525"/>
        <v>58.119077539652892</v>
      </c>
      <c r="DI144" s="11">
        <f t="shared" si="525"/>
        <v>59.91282481139983</v>
      </c>
      <c r="DJ144" s="11">
        <f t="shared" si="525"/>
        <v>60.041799363057322</v>
      </c>
      <c r="DK144" s="11">
        <f t="shared" si="525"/>
        <v>59.587730870712392</v>
      </c>
      <c r="DL144" s="12">
        <f t="shared" si="525"/>
        <v>237.68750208799656</v>
      </c>
      <c r="DM144" s="11">
        <f t="shared" si="525"/>
        <v>56.506692784851452</v>
      </c>
      <c r="DN144" s="11">
        <f t="shared" si="525"/>
        <v>58.987640559944914</v>
      </c>
      <c r="DO144" s="11">
        <f t="shared" si="525"/>
        <v>58.538025120519464</v>
      </c>
      <c r="DP144" s="11">
        <f t="shared" si="525"/>
        <v>58.67465540385686</v>
      </c>
      <c r="DQ144" s="12">
        <f t="shared" si="525"/>
        <v>232.70060326269351</v>
      </c>
      <c r="DR144" s="11">
        <f t="shared" si="525"/>
        <v>59.265658747300222</v>
      </c>
      <c r="DS144" s="11">
        <f t="shared" si="525"/>
        <v>61.540006695681278</v>
      </c>
      <c r="DT144" s="11">
        <f t="shared" si="525"/>
        <v>62.746224279487784</v>
      </c>
      <c r="DU144" s="11">
        <f t="shared" si="525"/>
        <v>63.708215006671914</v>
      </c>
      <c r="DV144" s="12">
        <f t="shared" si="525"/>
        <v>247.19123824596554</v>
      </c>
      <c r="DW144" s="11">
        <f t="shared" si="525"/>
        <v>61.178022283155741</v>
      </c>
      <c r="DX144" s="11">
        <f t="shared" si="525"/>
        <v>68.831349137482206</v>
      </c>
      <c r="DY144" s="11">
        <f t="shared" si="525"/>
        <v>68.583767480120642</v>
      </c>
      <c r="DZ144" s="11">
        <f t="shared" si="525"/>
        <v>65.464792557886867</v>
      </c>
      <c r="EA144" s="12">
        <f t="shared" si="525"/>
        <v>264.07803736709906</v>
      </c>
      <c r="EB144" s="11">
        <f t="shared" ref="EB144:EU144" si="526">EB13*1000/EB142</f>
        <v>60.198423303046496</v>
      </c>
      <c r="EC144" s="11">
        <f t="shared" si="526"/>
        <v>64.473290064902656</v>
      </c>
      <c r="ED144" s="11">
        <f t="shared" si="526"/>
        <v>63.995108569917704</v>
      </c>
      <c r="EE144" s="11">
        <f t="shared" si="526"/>
        <v>60.137388288648793</v>
      </c>
      <c r="EF144" s="12">
        <f t="shared" si="526"/>
        <v>248.82804052368041</v>
      </c>
      <c r="EG144" s="11">
        <f t="shared" si="526"/>
        <v>62.581472379527725</v>
      </c>
      <c r="EH144" s="11">
        <f t="shared" si="526"/>
        <v>64.469349756516763</v>
      </c>
      <c r="EI144" s="11">
        <f t="shared" si="526"/>
        <v>66.944674120142352</v>
      </c>
      <c r="EJ144" s="11">
        <f t="shared" si="526"/>
        <v>66.660628238107321</v>
      </c>
      <c r="EK144" s="12">
        <f t="shared" si="526"/>
        <v>260.61764626692877</v>
      </c>
      <c r="EL144" s="11">
        <f t="shared" si="526"/>
        <v>67.264051287655263</v>
      </c>
      <c r="EM144" s="11">
        <f t="shared" si="526"/>
        <v>70.540460720614291</v>
      </c>
      <c r="EN144" s="11">
        <f t="shared" si="526"/>
        <v>72.082508127498969</v>
      </c>
      <c r="EO144" s="11">
        <f t="shared" ref="EO144:EQ144" si="527">EO13*1000/EO142</f>
        <v>72.590497737556561</v>
      </c>
      <c r="EP144" s="12">
        <f t="shared" si="527"/>
        <v>282.37279961417892</v>
      </c>
      <c r="EQ144" s="11">
        <f t="shared" si="527"/>
        <v>72.054483541430187</v>
      </c>
      <c r="ER144" s="11">
        <f t="shared" si="526"/>
        <v>74.480467496799307</v>
      </c>
      <c r="ES144" s="11">
        <f t="shared" si="526"/>
        <v>74.802698885528287</v>
      </c>
      <c r="ET144" s="11">
        <f t="shared" si="526"/>
        <v>73.08503755951854</v>
      </c>
      <c r="EU144" s="1969">
        <f t="shared" si="526"/>
        <v>294.43963365831161</v>
      </c>
      <c r="EV144" s="419"/>
      <c r="EW144" s="419"/>
      <c r="EX144" s="419"/>
      <c r="EY144" s="419"/>
      <c r="EZ144" s="858">
        <f>EZ13*1000/EZ142</f>
        <v>298.8295349171504</v>
      </c>
      <c r="FA144" s="419"/>
      <c r="FB144" s="419"/>
      <c r="FC144" s="419"/>
      <c r="FD144" s="419"/>
      <c r="FE144" s="858">
        <f>FE13*1000/FE142</f>
        <v>305.91107751009082</v>
      </c>
      <c r="FF144" s="783"/>
      <c r="FG144" s="655"/>
      <c r="FH144" s="1037"/>
      <c r="FI144" s="1037"/>
      <c r="FJ144" s="1037"/>
      <c r="FK144" s="1037"/>
      <c r="FL144" s="1825"/>
      <c r="FM144" s="11">
        <f t="shared" si="500"/>
        <v>72.054483541430187</v>
      </c>
      <c r="FN144" s="11">
        <f t="shared" si="501"/>
        <v>67.264051287655263</v>
      </c>
      <c r="FO144" s="2058">
        <v>71.629345226670011</v>
      </c>
      <c r="FP144" s="16">
        <f>IFERROR(($FM144/FN144)-1,"")</f>
        <v>7.1218312933436057E-2</v>
      </c>
      <c r="FQ144" s="16">
        <f>IFERROR(($FM144/FO144)-1,"")</f>
        <v>5.9352533994947443E-3</v>
      </c>
      <c r="FR144" s="1579" t="s">
        <v>722</v>
      </c>
      <c r="FS144" s="1426"/>
      <c r="FT144" s="1426"/>
      <c r="FU144" s="1426"/>
      <c r="FV144" s="418"/>
      <c r="FW144" s="418"/>
      <c r="FX144" s="418"/>
      <c r="FY144" s="418"/>
      <c r="FZ144" s="418"/>
      <c r="GA144" s="655"/>
      <c r="GB144"/>
      <c r="GC144"/>
      <c r="GD144"/>
      <c r="GE144"/>
      <c r="GF144"/>
      <c r="GG144"/>
      <c r="GH144" s="975"/>
      <c r="GI144" s="975"/>
      <c r="GJ144" s="975"/>
      <c r="GK144" s="975"/>
      <c r="GL144" s="975"/>
      <c r="GM144" s="975"/>
      <c r="GN144" s="975"/>
      <c r="GO144" s="975"/>
      <c r="GP144" s="975"/>
      <c r="GQ144" s="975"/>
      <c r="GR144" s="975"/>
      <c r="GS144" s="975"/>
      <c r="GT144" s="975"/>
      <c r="GU144" s="975"/>
      <c r="GV144" s="975"/>
      <c r="GW144" s="975"/>
      <c r="GX144" s="975"/>
      <c r="GY144" s="975"/>
      <c r="GZ144" s="975"/>
      <c r="HA144" s="975"/>
      <c r="HB144" s="975"/>
      <c r="HC144" s="975"/>
      <c r="HD144" s="975"/>
      <c r="HE144" s="975"/>
      <c r="HF144" s="975"/>
      <c r="HG144" s="975"/>
      <c r="HH144" s="975"/>
      <c r="HI144" s="975"/>
      <c r="HJ144" s="975"/>
      <c r="HK144" s="975"/>
      <c r="HL144" s="975"/>
      <c r="HM144" s="975"/>
      <c r="HN144" s="975"/>
      <c r="HO144" s="975"/>
      <c r="HP144" s="975"/>
      <c r="HQ144" s="975"/>
      <c r="HR144" s="975"/>
      <c r="HS144" s="975"/>
      <c r="HT144" s="975"/>
      <c r="HU144" s="975"/>
      <c r="HV144" s="975"/>
      <c r="HW144" s="975"/>
      <c r="HX144" s="975"/>
      <c r="HY144" s="975"/>
      <c r="HZ144" s="975"/>
      <c r="IA144" s="975"/>
      <c r="IB144" s="975"/>
      <c r="IC144" s="975"/>
      <c r="ID144" s="975"/>
      <c r="IE144" s="975"/>
      <c r="IF144" s="975"/>
      <c r="IG144" s="975"/>
      <c r="IH144" s="975"/>
      <c r="II144" s="975"/>
      <c r="IJ144" s="975"/>
      <c r="IK144" s="975"/>
      <c r="IL144" s="975"/>
      <c r="IM144" s="975"/>
      <c r="IN144" s="975"/>
      <c r="IO144" s="975"/>
      <c r="IP144" s="975"/>
      <c r="IQ144" s="975"/>
      <c r="IR144" s="975"/>
      <c r="IS144" s="975"/>
      <c r="IT144" s="975"/>
      <c r="IU144" s="975"/>
      <c r="IV144" s="975"/>
    </row>
    <row r="145" spans="1:256" s="99" customFormat="1" ht="12.75" x14ac:dyDescent="0.2">
      <c r="A145" s="44" t="s">
        <v>74</v>
      </c>
      <c r="B145" s="22"/>
      <c r="C145" s="22"/>
      <c r="D145" s="22"/>
      <c r="E145" s="197"/>
      <c r="F145" s="21"/>
      <c r="G145" s="22"/>
      <c r="H145" s="22"/>
      <c r="I145" s="22"/>
      <c r="J145" s="197"/>
      <c r="K145" s="21"/>
      <c r="L145" s="22"/>
      <c r="M145" s="22"/>
      <c r="N145" s="22"/>
      <c r="O145" s="197"/>
      <c r="P145" s="21"/>
      <c r="Q145" s="22"/>
      <c r="R145" s="22"/>
      <c r="S145" s="22"/>
      <c r="T145" s="197"/>
      <c r="U145" s="21">
        <f>U144/P144-1</f>
        <v>9.7803912079048372E-2</v>
      </c>
      <c r="V145" s="22"/>
      <c r="W145" s="22"/>
      <c r="X145" s="22"/>
      <c r="Y145" s="197"/>
      <c r="Z145" s="21">
        <f>Z144/U144-1</f>
        <v>2.3464408219902477E-2</v>
      </c>
      <c r="AA145" s="22"/>
      <c r="AB145" s="22"/>
      <c r="AC145" s="22"/>
      <c r="AD145" s="197"/>
      <c r="AE145" s="21">
        <f>AE144/Z144-1</f>
        <v>0.10494938968181677</v>
      </c>
      <c r="AF145" s="22"/>
      <c r="AG145" s="22"/>
      <c r="AH145" s="22"/>
      <c r="AI145" s="197"/>
      <c r="AJ145" s="21">
        <f t="shared" ref="AJ145:CU145" si="528">AJ144/AE144-1</f>
        <v>4.2143640362602985E-2</v>
      </c>
      <c r="AK145" s="22"/>
      <c r="AL145" s="22"/>
      <c r="AM145" s="22"/>
      <c r="AN145" s="197"/>
      <c r="AO145" s="21">
        <f t="shared" si="528"/>
        <v>7.2807975749266562E-2</v>
      </c>
      <c r="AP145" s="22">
        <f t="shared" si="528"/>
        <v>5.5659474866082581E-2</v>
      </c>
      <c r="AQ145" s="22">
        <f t="shared" si="528"/>
        <v>5.7290834614165842E-2</v>
      </c>
      <c r="AR145" s="22">
        <f t="shared" si="528"/>
        <v>3.3015426873510778E-2</v>
      </c>
      <c r="AS145" s="197">
        <f t="shared" si="528"/>
        <v>4.1967046543803566E-2</v>
      </c>
      <c r="AT145" s="21">
        <f t="shared" si="528"/>
        <v>4.6927325000145403E-2</v>
      </c>
      <c r="AU145" s="22">
        <f t="shared" si="528"/>
        <v>3.0186379825089205E-2</v>
      </c>
      <c r="AV145" s="22">
        <f t="shared" si="528"/>
        <v>-1.113023592442508E-2</v>
      </c>
      <c r="AW145" s="22">
        <f t="shared" si="528"/>
        <v>-4.3769325994225006E-2</v>
      </c>
      <c r="AX145" s="197">
        <f t="shared" si="528"/>
        <v>-7.8081664993816413E-2</v>
      </c>
      <c r="AY145" s="21">
        <f t="shared" si="528"/>
        <v>-2.6593976050167556E-2</v>
      </c>
      <c r="AZ145" s="22">
        <f t="shared" si="528"/>
        <v>-8.5540271459304762E-2</v>
      </c>
      <c r="BA145" s="22">
        <f t="shared" si="528"/>
        <v>-4.6040946667275207E-2</v>
      </c>
      <c r="BB145" s="22">
        <f t="shared" si="528"/>
        <v>1.7537613839713195E-4</v>
      </c>
      <c r="BC145" s="197">
        <f t="shared" si="528"/>
        <v>1.1828109258342101E-2</v>
      </c>
      <c r="BD145" s="21">
        <f t="shared" si="528"/>
        <v>-2.8625953269342141E-2</v>
      </c>
      <c r="BE145" s="22">
        <f t="shared" si="528"/>
        <v>3.8059715372223524E-2</v>
      </c>
      <c r="BF145" s="22">
        <f t="shared" si="528"/>
        <v>7.9788534012440016E-2</v>
      </c>
      <c r="BG145" s="22">
        <f t="shared" si="528"/>
        <v>7.9519634602042366E-2</v>
      </c>
      <c r="BH145" s="197">
        <f t="shared" si="528"/>
        <v>7.0610566635779914E-2</v>
      </c>
      <c r="BI145" s="21">
        <f t="shared" si="528"/>
        <v>6.4395756836518769E-2</v>
      </c>
      <c r="BJ145" s="22">
        <f t="shared" si="528"/>
        <v>9.8737120126243694E-2</v>
      </c>
      <c r="BK145" s="22">
        <f t="shared" si="528"/>
        <v>3.6346905826716291E-2</v>
      </c>
      <c r="BL145" s="22">
        <f t="shared" si="528"/>
        <v>2.0792101324040635E-2</v>
      </c>
      <c r="BM145" s="197">
        <f t="shared" si="528"/>
        <v>6.9933091334816844E-2</v>
      </c>
      <c r="BN145" s="21">
        <f t="shared" si="528"/>
        <v>5.6112260638899736E-2</v>
      </c>
      <c r="BO145" s="22">
        <f t="shared" si="528"/>
        <v>4.4611987739315406E-2</v>
      </c>
      <c r="BP145" s="22">
        <f t="shared" si="528"/>
        <v>9.9548272340767019E-2</v>
      </c>
      <c r="BQ145" s="22">
        <f t="shared" si="528"/>
        <v>0.13808005469290263</v>
      </c>
      <c r="BR145" s="197">
        <f t="shared" si="528"/>
        <v>5.4411555228179864E-2</v>
      </c>
      <c r="BS145" s="21">
        <f t="shared" si="528"/>
        <v>8.4035772808554343E-2</v>
      </c>
      <c r="BT145" s="22">
        <f t="shared" si="528"/>
        <v>4.9493592916631135E-2</v>
      </c>
      <c r="BU145" s="22">
        <f t="shared" si="528"/>
        <v>1.9455766773022631E-2</v>
      </c>
      <c r="BV145" s="22">
        <f t="shared" si="528"/>
        <v>-1.2898938800389947E-2</v>
      </c>
      <c r="BW145" s="197">
        <f t="shared" si="528"/>
        <v>6.222422961932228E-2</v>
      </c>
      <c r="BX145" s="21">
        <f t="shared" si="528"/>
        <v>2.8995487173598233E-2</v>
      </c>
      <c r="BY145" s="22">
        <f t="shared" si="528"/>
        <v>8.4914375539714371E-2</v>
      </c>
      <c r="BZ145" s="22">
        <f t="shared" si="528"/>
        <v>0.10299213518276407</v>
      </c>
      <c r="CA145" s="22">
        <f t="shared" si="528"/>
        <v>0.12769273600945663</v>
      </c>
      <c r="CB145" s="197">
        <f t="shared" si="528"/>
        <v>8.2518530355588204E-2</v>
      </c>
      <c r="CC145" s="21">
        <f t="shared" si="528"/>
        <v>9.972130138519808E-2</v>
      </c>
      <c r="CD145" s="22">
        <f t="shared" si="528"/>
        <v>6.0196277414439336E-3</v>
      </c>
      <c r="CE145" s="22">
        <f t="shared" si="528"/>
        <v>-3.4264928452123589E-2</v>
      </c>
      <c r="CF145" s="22">
        <f t="shared" si="528"/>
        <v>-2.4693943009869157E-2</v>
      </c>
      <c r="CG145" s="197">
        <f t="shared" si="528"/>
        <v>-2.3537100772166641E-2</v>
      </c>
      <c r="CH145" s="21">
        <f t="shared" si="528"/>
        <v>-1.9520261961432417E-2</v>
      </c>
      <c r="CI145" s="22">
        <f t="shared" si="528"/>
        <v>2.5449634603175841E-2</v>
      </c>
      <c r="CJ145" s="22">
        <f t="shared" si="528"/>
        <v>3.887241838801514E-2</v>
      </c>
      <c r="CK145" s="22">
        <f t="shared" si="528"/>
        <v>-1.134338629446785E-3</v>
      </c>
      <c r="CL145" s="197">
        <f t="shared" si="528"/>
        <v>-3.3214758158475299E-2</v>
      </c>
      <c r="CM145" s="21">
        <f t="shared" si="528"/>
        <v>6.9903146343359701E-3</v>
      </c>
      <c r="CN145" s="22">
        <f t="shared" si="528"/>
        <v>-5.9408157158654995E-2</v>
      </c>
      <c r="CO145" s="22">
        <f t="shared" si="528"/>
        <v>-5.5005928767369761E-2</v>
      </c>
      <c r="CP145" s="22">
        <f t="shared" si="528"/>
        <v>-4.4958264727429254E-2</v>
      </c>
      <c r="CQ145" s="197">
        <f t="shared" si="528"/>
        <v>-2.8572151291587966E-2</v>
      </c>
      <c r="CR145" s="21">
        <f t="shared" si="528"/>
        <v>-4.7103892250284884E-2</v>
      </c>
      <c r="CS145" s="22">
        <f t="shared" si="528"/>
        <v>-1.5362150440964228E-2</v>
      </c>
      <c r="CT145" s="22">
        <f t="shared" si="528"/>
        <v>-1.2569337348019127E-2</v>
      </c>
      <c r="CU145" s="22">
        <f t="shared" si="528"/>
        <v>-7.0642470316250039E-3</v>
      </c>
      <c r="CV145" s="197">
        <f t="shared" ref="CV145:DY145" si="529">CV144/CQ144-1</f>
        <v>-8.1587430518114124E-2</v>
      </c>
      <c r="CW145" s="21">
        <f t="shared" si="529"/>
        <v>-2.9012294101806613E-2</v>
      </c>
      <c r="CX145" s="22">
        <f t="shared" si="529"/>
        <v>-0.18642058834249642</v>
      </c>
      <c r="CY145" s="22">
        <f t="shared" si="529"/>
        <v>-0.19912671936980142</v>
      </c>
      <c r="CZ145" s="22">
        <f t="shared" si="529"/>
        <v>-0.11804130348172592</v>
      </c>
      <c r="DA145" s="22">
        <f>DA144/CV144-1</f>
        <v>-1.2521967931787836E-3</v>
      </c>
      <c r="DB145" s="21">
        <f>DB144/CW144-1</f>
        <v>-0.12994384114260571</v>
      </c>
      <c r="DC145" s="22">
        <f t="shared" si="529"/>
        <v>0.16419792527904065</v>
      </c>
      <c r="DD145" s="22">
        <f t="shared" si="529"/>
        <v>0.22262270652870719</v>
      </c>
      <c r="DE145" s="22">
        <f t="shared" si="529"/>
        <v>0.12183991676359396</v>
      </c>
      <c r="DF145" s="22">
        <f t="shared" si="529"/>
        <v>4.1765443018765946E-2</v>
      </c>
      <c r="DG145" s="21">
        <f t="shared" si="529"/>
        <v>0.13595464449835792</v>
      </c>
      <c r="DH145" s="22">
        <f t="shared" si="529"/>
        <v>1.507361024780085E-2</v>
      </c>
      <c r="DI145" s="22">
        <f t="shared" si="529"/>
        <v>-2.8916157915007346E-2</v>
      </c>
      <c r="DJ145" s="22">
        <f t="shared" si="529"/>
        <v>-3.2602801315752217E-2</v>
      </c>
      <c r="DK145" s="22">
        <f t="shared" si="529"/>
        <v>7.147028913808029E-3</v>
      </c>
      <c r="DL145" s="21">
        <f t="shared" si="529"/>
        <v>-1.0461187641592429E-2</v>
      </c>
      <c r="DM145" s="22">
        <f t="shared" si="529"/>
        <v>-2.7742779532269002E-2</v>
      </c>
      <c r="DN145" s="22">
        <f t="shared" si="529"/>
        <v>-1.5442173764420475E-2</v>
      </c>
      <c r="DO145" s="22">
        <f t="shared" si="529"/>
        <v>-2.5045455973844555E-2</v>
      </c>
      <c r="DP145" s="22">
        <f t="shared" si="529"/>
        <v>-1.5323212572679323E-2</v>
      </c>
      <c r="DQ145" s="21">
        <f t="shared" si="529"/>
        <v>-2.098090468154612E-2</v>
      </c>
      <c r="DR145" s="22">
        <f t="shared" si="529"/>
        <v>4.8825472284380611E-2</v>
      </c>
      <c r="DS145" s="22">
        <f t="shared" si="529"/>
        <v>4.3269507162989163E-2</v>
      </c>
      <c r="DT145" s="22">
        <f t="shared" si="529"/>
        <v>7.1888300814801687E-2</v>
      </c>
      <c r="DU145" s="22">
        <f t="shared" si="529"/>
        <v>8.5787629567981805E-2</v>
      </c>
      <c r="DV145" s="21">
        <f t="shared" si="529"/>
        <v>6.2271583227971661E-2</v>
      </c>
      <c r="DW145" s="22">
        <f>DW144/DR144-1</f>
        <v>3.2267650040127771E-2</v>
      </c>
      <c r="DX145" s="22">
        <f t="shared" si="529"/>
        <v>0.1184813397544302</v>
      </c>
      <c r="DY145" s="22">
        <f t="shared" si="529"/>
        <v>9.3034174847413054E-2</v>
      </c>
      <c r="DZ145" s="22">
        <f t="shared" ref="DZ145:EI145" si="530">DZ144/DU144-1</f>
        <v>2.7572229908356283E-2</v>
      </c>
      <c r="EA145" s="21">
        <f t="shared" si="530"/>
        <v>6.8314715525355618E-2</v>
      </c>
      <c r="EB145" s="22">
        <f t="shared" si="530"/>
        <v>-1.6012269497292286E-2</v>
      </c>
      <c r="EC145" s="22">
        <f t="shared" si="530"/>
        <v>-6.3315031990363257E-2</v>
      </c>
      <c r="ED145" s="22">
        <f t="shared" si="530"/>
        <v>-6.6905903230425223E-2</v>
      </c>
      <c r="EE145" s="22">
        <f t="shared" si="530"/>
        <v>-8.1378158565573178E-2</v>
      </c>
      <c r="EF145" s="21">
        <f t="shared" si="530"/>
        <v>-5.7748069455012541E-2</v>
      </c>
      <c r="EG145" s="22">
        <f t="shared" si="530"/>
        <v>3.9586569642939828E-2</v>
      </c>
      <c r="EH145" s="22">
        <f t="shared" si="530"/>
        <v>-6.1115360824981479E-5</v>
      </c>
      <c r="EI145" s="22">
        <f t="shared" si="530"/>
        <v>4.6090484353223715E-2</v>
      </c>
      <c r="EJ145" s="22">
        <f t="shared" ref="EJ145:EN145" si="531">EJ144/EE144-1</f>
        <v>0.10847228546321519</v>
      </c>
      <c r="EK145" s="21">
        <f t="shared" si="531"/>
        <v>4.7380535242073529E-2</v>
      </c>
      <c r="EL145" s="22">
        <f t="shared" si="531"/>
        <v>7.4823725458708523E-2</v>
      </c>
      <c r="EM145" s="22">
        <f t="shared" si="531"/>
        <v>9.4170500974904536E-2</v>
      </c>
      <c r="EN145" s="22">
        <f t="shared" si="531"/>
        <v>7.6747464602426652E-2</v>
      </c>
      <c r="EO145" s="22">
        <f t="shared" ref="EO145" si="532">EO144/EJ144-1</f>
        <v>8.8956099817543599E-2</v>
      </c>
      <c r="EP145" s="21">
        <f t="shared" ref="EP145:EQ145" si="533">EP144/EK144-1</f>
        <v>8.3475365766169762E-2</v>
      </c>
      <c r="EQ145" s="22">
        <f t="shared" si="533"/>
        <v>7.1218312933436057E-2</v>
      </c>
      <c r="ER145" s="22">
        <f t="shared" ref="ER145" si="534">ER144/EM144-1</f>
        <v>5.5854565393185895E-2</v>
      </c>
      <c r="ES145" s="22">
        <f t="shared" ref="ES145:EU145" si="535">ES144/EN144-1</f>
        <v>3.7737182413490222E-2</v>
      </c>
      <c r="ET145" s="22">
        <f t="shared" si="535"/>
        <v>6.8127349636026846E-3</v>
      </c>
      <c r="EU145" s="270">
        <f t="shared" si="535"/>
        <v>4.2733698361245409E-2</v>
      </c>
      <c r="EV145" s="96"/>
      <c r="EW145" s="96"/>
      <c r="EX145" s="96"/>
      <c r="EY145" s="96"/>
      <c r="EZ145" s="844">
        <f>EZ144/EU144-1</f>
        <v>1.4909342211494314E-2</v>
      </c>
      <c r="FA145" s="96"/>
      <c r="FB145" s="96"/>
      <c r="FC145" s="96"/>
      <c r="FD145" s="96"/>
      <c r="FE145" s="844">
        <f>FE144/EZ144-1</f>
        <v>2.369759935176341E-2</v>
      </c>
      <c r="FF145" s="784"/>
      <c r="FG145" s="658"/>
      <c r="FH145" s="1038"/>
      <c r="FI145" s="1038"/>
      <c r="FJ145" s="1038"/>
      <c r="FK145" s="1038"/>
      <c r="FL145" s="1813"/>
      <c r="FM145" s="22">
        <f t="shared" si="500"/>
        <v>7.1218312933436057E-2</v>
      </c>
      <c r="FN145" s="22">
        <f t="shared" si="501"/>
        <v>7.4823725458708523E-2</v>
      </c>
      <c r="FO145" s="2041">
        <v>6.4897874205443351E-2</v>
      </c>
      <c r="FP145" s="1892">
        <f>IFERROR(($FM145-FN145)*10000,"")</f>
        <v>-36.054125252724667</v>
      </c>
      <c r="FQ145" s="1892">
        <f>IFERROR(($FM145-FO145)*10000,"")</f>
        <v>63.204387279927055</v>
      </c>
      <c r="FR145" s="583"/>
      <c r="FS145" s="2070" t="s">
        <v>822</v>
      </c>
      <c r="FT145" s="1601"/>
      <c r="FU145" s="1426"/>
      <c r="FV145" s="418"/>
      <c r="FW145" s="418"/>
      <c r="FX145" s="418"/>
      <c r="FY145" s="418"/>
      <c r="FZ145" s="86"/>
      <c r="GA145" s="658"/>
      <c r="GB145"/>
      <c r="GC145"/>
      <c r="GD145"/>
      <c r="GE145"/>
      <c r="GF145"/>
      <c r="GG145"/>
      <c r="GH145" s="974"/>
      <c r="GI145" s="974"/>
      <c r="GJ145" s="974"/>
      <c r="GK145" s="974"/>
      <c r="GL145" s="974"/>
      <c r="GM145" s="974"/>
      <c r="GN145" s="974"/>
      <c r="GO145" s="974"/>
      <c r="GP145" s="974"/>
      <c r="GQ145" s="974"/>
      <c r="GR145" s="974"/>
      <c r="GS145" s="974"/>
      <c r="GT145" s="974"/>
      <c r="GU145" s="974"/>
      <c r="GV145" s="974"/>
      <c r="GW145" s="974"/>
      <c r="GX145" s="974"/>
      <c r="GY145" s="974"/>
      <c r="GZ145" s="974"/>
      <c r="HA145" s="974"/>
      <c r="HB145" s="974"/>
      <c r="HC145" s="974"/>
      <c r="HD145" s="974"/>
      <c r="HE145" s="974"/>
      <c r="HF145" s="974"/>
      <c r="HG145" s="974"/>
      <c r="HH145" s="974"/>
      <c r="HI145" s="974"/>
      <c r="HJ145" s="974"/>
      <c r="HK145" s="974"/>
      <c r="HL145" s="974"/>
      <c r="HM145" s="974"/>
      <c r="HN145" s="974"/>
      <c r="HO145" s="974"/>
      <c r="HP145" s="974"/>
      <c r="HQ145" s="974"/>
      <c r="HR145" s="974"/>
      <c r="HS145" s="974"/>
      <c r="HT145" s="974"/>
      <c r="HU145" s="974"/>
      <c r="HV145" s="974"/>
      <c r="HW145" s="974"/>
      <c r="HX145" s="974"/>
      <c r="HY145" s="974"/>
      <c r="HZ145" s="974"/>
      <c r="IA145" s="974"/>
      <c r="IB145" s="974"/>
      <c r="IC145" s="974"/>
      <c r="ID145" s="974"/>
      <c r="IE145" s="974"/>
      <c r="IF145" s="974"/>
      <c r="IG145" s="974"/>
      <c r="IH145" s="974"/>
      <c r="II145" s="974"/>
      <c r="IJ145" s="974"/>
      <c r="IK145" s="974"/>
      <c r="IL145" s="974"/>
      <c r="IM145" s="974"/>
      <c r="IN145" s="974"/>
      <c r="IO145" s="974"/>
      <c r="IP145" s="974"/>
      <c r="IQ145" s="974"/>
      <c r="IR145" s="974"/>
      <c r="IS145" s="974"/>
      <c r="IT145" s="974"/>
      <c r="IU145" s="974"/>
      <c r="IV145" s="974"/>
    </row>
    <row r="146" spans="1:256" s="458" customFormat="1" ht="12.75" x14ac:dyDescent="0.2">
      <c r="A146" s="460" t="s">
        <v>13</v>
      </c>
      <c r="F146" s="462"/>
      <c r="K146" s="462"/>
      <c r="P146" s="462"/>
      <c r="U146" s="462"/>
      <c r="Z146" s="462"/>
      <c r="AE146" s="462"/>
      <c r="AJ146" s="462"/>
      <c r="AL146" s="458">
        <f>(AL144-AK144)/ABS(AK144)</f>
        <v>4.0024037085966489E-2</v>
      </c>
      <c r="AM146" s="458">
        <f>(AM144-AL144)/ABS(AL144)</f>
        <v>9.3712059514157123E-3</v>
      </c>
      <c r="AN146" s="458">
        <f>(AN144-AM144)/ABS(AM144)</f>
        <v>1.5924659555981185E-2</v>
      </c>
      <c r="AO146" s="462"/>
      <c r="AP146" s="458">
        <f>(AP144-AN144)/ABS(AN144)</f>
        <v>-1.0153026684670221E-2</v>
      </c>
      <c r="AQ146" s="458">
        <f>(AQ144-AP144)/ABS(AP144)</f>
        <v>4.1631234663913136E-2</v>
      </c>
      <c r="AR146" s="458">
        <f>(AR144-AQ144)/ABS(AQ144)</f>
        <v>-1.3803966653848747E-2</v>
      </c>
      <c r="AS146" s="458">
        <f>(AS144-AR144)/ABS(AR144)</f>
        <v>2.4728178776929191E-2</v>
      </c>
      <c r="AT146" s="462"/>
      <c r="AU146" s="458">
        <f>(AU144-AS144)/ABS(AS144)</f>
        <v>-2.1344414487034544E-2</v>
      </c>
      <c r="AV146" s="458">
        <f>(AV144-AU144)/ABS(AU144)</f>
        <v>-1.4438799827750591E-4</v>
      </c>
      <c r="AW146" s="458">
        <f>(AW144-AV144)/ABS(AV144)</f>
        <v>-4.6354806337935206E-2</v>
      </c>
      <c r="AX146" s="458">
        <f>(AX144-AW144)/ABS(AW144)</f>
        <v>-1.2042050006189286E-2</v>
      </c>
      <c r="AY146" s="462"/>
      <c r="AZ146" s="458">
        <f>(AZ144-AX144)/ABS(AX144)</f>
        <v>-2.9262042980174704E-2</v>
      </c>
      <c r="BA146" s="458">
        <f>(BA144-AZ144)/ABS(AZ144)</f>
        <v>4.3043540710856504E-2</v>
      </c>
      <c r="BB146" s="458">
        <f>(BB144-BA144)/ABS(BA144)</f>
        <v>-1.5368904847894738E-4</v>
      </c>
      <c r="BC146" s="458">
        <f>(BC144-BB144)/ABS(BB144)</f>
        <v>-5.3165832922715461E-4</v>
      </c>
      <c r="BD146" s="462"/>
      <c r="BE146" s="458">
        <f>(BE144-BC144)/ABS(BC144)</f>
        <v>-4.0956975353909596E-3</v>
      </c>
      <c r="BF146" s="458">
        <f>(BF144-BE144)/ABS(BE144)</f>
        <v>8.4972703455184484E-2</v>
      </c>
      <c r="BG146" s="458">
        <f>(BG144-BF144)/ABS(BF144)</f>
        <v>-4.0268047136815343E-4</v>
      </c>
      <c r="BH146" s="458">
        <f>(BH144-BG144)/ABS(BG144)</f>
        <v>-8.7800783677890928E-3</v>
      </c>
      <c r="BI146" s="462"/>
      <c r="BJ146" s="458">
        <f>(BJ144-BH144)/ABS(BH144)</f>
        <v>2.2068209778428247E-2</v>
      </c>
      <c r="BK146" s="458">
        <f>(BK144-BJ144)/ABS(BJ144)</f>
        <v>2.336408184974622E-2</v>
      </c>
      <c r="BL146" s="458">
        <f>(BL144-BK144)/ABS(BK144)</f>
        <v>-1.540590072440017E-2</v>
      </c>
      <c r="BM146" s="458">
        <f>(BM144-BL144)/ABS(BL144)</f>
        <v>3.8937305225041526E-2</v>
      </c>
      <c r="BN146" s="462"/>
      <c r="BO146" s="458">
        <f>(BO144-BM144)/ABS(BM144)</f>
        <v>-2.1201205303215498E-3</v>
      </c>
      <c r="BP146" s="458">
        <f>(BP144-BO144)/ABS(BO144)</f>
        <v>7.7182936229417326E-2</v>
      </c>
      <c r="BQ146" s="458">
        <f>(BQ144-BP144)/ABS(BP144)</f>
        <v>1.9097509896872412E-2</v>
      </c>
      <c r="BR146" s="458">
        <f>(BR144-BQ144)/ABS(BQ144)</f>
        <v>-3.7442493373184491E-2</v>
      </c>
      <c r="BS146" s="462"/>
      <c r="BT146" s="458">
        <f>(BT144-BR144)/ABS(BR144)</f>
        <v>-6.7744090899935789E-3</v>
      </c>
      <c r="BU146" s="458">
        <f>(BU144-BT144)/ABS(BT144)</f>
        <v>4.6352606266753853E-2</v>
      </c>
      <c r="BV146" s="458">
        <f>(BV144-BU144)/ABS(BU144)</f>
        <v>-1.3245825594458005E-2</v>
      </c>
      <c r="BW146" s="458">
        <f>(BW144-BV144)/ABS(BV144)</f>
        <v>3.5812791750414498E-2</v>
      </c>
      <c r="BX146" s="462"/>
      <c r="BY146" s="458">
        <f>(BY144-BW144)/ABS(BW144)</f>
        <v>1.4441858587963811E-2</v>
      </c>
      <c r="BZ146" s="458">
        <f>(BZ144-BY144)/ABS(BY144)</f>
        <v>6.3787817140938396E-2</v>
      </c>
      <c r="CA146" s="458">
        <f>(CA144-BZ144)/ABS(BZ144)</f>
        <v>8.8517217937880144E-3</v>
      </c>
      <c r="CB146" s="458">
        <f>(CB144-CA144)/ABS(CA144)</f>
        <v>-5.6807982846005974E-3</v>
      </c>
      <c r="CC146" s="462"/>
      <c r="CD146" s="458">
        <f>(CD144-CB144)/ABS(CB144)</f>
        <v>-5.7246234291462986E-2</v>
      </c>
      <c r="CE146" s="458">
        <f>(CE144-CD144)/ABS(CD144)</f>
        <v>2.1190019925136382E-2</v>
      </c>
      <c r="CF146" s="458">
        <f>(CF144-CE144)/ABS(CE144)</f>
        <v>1.8850017834963668E-2</v>
      </c>
      <c r="CG146" s="458">
        <f>(CG144-CF144)/ABS(CF144)</f>
        <v>-4.5014039375042818E-3</v>
      </c>
      <c r="CH146" s="462"/>
      <c r="CI146" s="458">
        <f>(CI144-CG144)/ABS(CG144)</f>
        <v>-9.9506030069647367E-3</v>
      </c>
      <c r="CJ146" s="458">
        <f>(CJ144-CI144)/ABS(CI144)</f>
        <v>3.4557046815730796E-2</v>
      </c>
      <c r="CK146" s="458">
        <f>(CK144-CJ144)/ABS(CJ144)</f>
        <v>-2.0385680773733157E-2</v>
      </c>
      <c r="CL146" s="458">
        <f>(CL144-CK144)/ABS(CK144)</f>
        <v>-3.6473683932017276E-2</v>
      </c>
      <c r="CM146" s="462"/>
      <c r="CN146" s="458">
        <f>(CN144-CL144)/ABS(CL144)</f>
        <v>-3.6774304655460513E-2</v>
      </c>
      <c r="CO146" s="458">
        <f>(CO144-CN144)/ABS(CN144)</f>
        <v>3.9399058192459854E-2</v>
      </c>
      <c r="CP146" s="458">
        <f>(CP144-CO144)/ABS(CO144)</f>
        <v>-9.9699164129453278E-3</v>
      </c>
      <c r="CQ146" s="458">
        <f>(CQ144-CP144)/ABS(CP144)</f>
        <v>-1.994199643565649E-2</v>
      </c>
      <c r="CR146" s="462"/>
      <c r="CS146" s="458">
        <f>(CS144-CQ144)/ABS(CQ144)</f>
        <v>-2.3675841118758607E-2</v>
      </c>
      <c r="CT146" s="458">
        <f>(CT144-CS144)/ABS(CS144)</f>
        <v>4.2347195215442217E-2</v>
      </c>
      <c r="CU146" s="458">
        <f>(CU144-CT144)/ABS(CT144)</f>
        <v>-4.4503338921269859E-3</v>
      </c>
      <c r="CV146" s="458">
        <f>(CV144-CU144)/ABS(CU144)</f>
        <v>-9.3498661314208753E-2</v>
      </c>
      <c r="CW146" s="462"/>
      <c r="CX146" s="458">
        <f>(CX144-CV144)/ABS(CV144)</f>
        <v>-0.13511937753888292</v>
      </c>
      <c r="CY146" s="458">
        <f>(CY144-CX144)/ABS(CX144)</f>
        <v>2.6068267985254714E-2</v>
      </c>
      <c r="CZ146" s="458">
        <f>(CZ144-CY144)/ABS(CY144)</f>
        <v>9.6345335867351389E-2</v>
      </c>
      <c r="DA146" s="458">
        <f>(DA144-CZ144)/ABS(CZ144)</f>
        <v>2.6540385837351427E-2</v>
      </c>
      <c r="DB146" s="462"/>
      <c r="DC146" s="458">
        <f>(DC144-DA144)/ABS(DA144)</f>
        <v>8.1546342833557356E-3</v>
      </c>
      <c r="DD146" s="458">
        <f>(DD144-DC144)/ABS(DC144)</f>
        <v>7.7561070714562266E-2</v>
      </c>
      <c r="DE146" s="458">
        <f>(DE144-DD144)/ABS(DD144)</f>
        <v>5.9717963406769143E-3</v>
      </c>
      <c r="DF146" s="458">
        <f>(DF144-DE144)/ABS(DE144)</f>
        <v>-4.6731816323966793E-2</v>
      </c>
      <c r="DG146" s="462"/>
      <c r="DH146" s="458">
        <f>(DH144-DF144)/ABS(DF144)</f>
        <v>-1.7676031425412814E-2</v>
      </c>
      <c r="DI146" s="458">
        <f>(DI144-DH144)/ABS(DH144)</f>
        <v>3.0863312834294693E-2</v>
      </c>
      <c r="DJ146" s="458">
        <f>(DJ144-DI144)/ABS(DI144)</f>
        <v>2.1527035666152072E-3</v>
      </c>
      <c r="DK146" s="458">
        <f>(DK144-DJ144)/ABS(DJ144)</f>
        <v>-7.562539716694616E-3</v>
      </c>
      <c r="DL146" s="462"/>
      <c r="DM146" s="458">
        <f>(DM144-DK144)/ABS(DK144)</f>
        <v>-5.1705913966515575E-2</v>
      </c>
      <c r="DN146" s="458">
        <f>(DN144-DM144)/ABS(DM144)</f>
        <v>4.3905379218345697E-2</v>
      </c>
      <c r="DO146" s="458">
        <f>(DO144-DN144)/ABS(DN144)</f>
        <v>-7.6221973816453696E-3</v>
      </c>
      <c r="DP146" s="458">
        <f>(DP144-DO144)/ABS(DO144)</f>
        <v>2.3340432659984481E-3</v>
      </c>
      <c r="DQ146" s="462"/>
      <c r="DR146" s="458">
        <f>(DR144-DP144)/ABS(DP144)</f>
        <v>1.0072549031187204E-2</v>
      </c>
      <c r="DS146" s="458">
        <f>(DS144-DR144)/ABS(DR144)</f>
        <v>3.8375477408907753E-2</v>
      </c>
      <c r="DT146" s="458">
        <f>(DT144-DS144)/ABS(DS144)</f>
        <v>1.9600543590632322E-2</v>
      </c>
      <c r="DU146" s="458">
        <f>(DU144-DT144)/ABS(DT144)</f>
        <v>1.5331452023299065E-2</v>
      </c>
      <c r="DV146" s="462"/>
      <c r="DW146" s="458">
        <f>(DW144-DU144)/ABS(DU144)</f>
        <v>-3.9715329071002781E-2</v>
      </c>
      <c r="DX146" s="458">
        <f>(DX144-DW144)/ABS(DW144)</f>
        <v>0.12509928514694191</v>
      </c>
      <c r="DY146" s="458">
        <f>(DY144-DX144)/ABS(DX144)</f>
        <v>-3.5969316374585432E-3</v>
      </c>
      <c r="DZ146" s="458">
        <f>(DZ144-DY144)/ABS(DY144)</f>
        <v>-4.5476867731680477E-2</v>
      </c>
      <c r="EA146" s="462"/>
      <c r="EB146" s="458">
        <f>(EB144-DZ144)/ABS(DZ144)</f>
        <v>-8.0445825138506524E-2</v>
      </c>
      <c r="EC146" s="458">
        <f>(EC144-EB144)/ABS(EB144)</f>
        <v>7.1012935676669442E-2</v>
      </c>
      <c r="ED146" s="458">
        <f>(ED144-EC144)/ABS(EC144)</f>
        <v>-7.4167379158654057E-3</v>
      </c>
      <c r="EE146" s="458">
        <f>(EE144-ED144)/ABS(ED144)</f>
        <v>-6.028148662415609E-2</v>
      </c>
      <c r="EF146" s="462"/>
      <c r="EG146" s="458">
        <f>(EG144-EE144)/ABS(EE144)</f>
        <v>4.0641673348828539E-2</v>
      </c>
      <c r="EH146" s="458">
        <f>(EH144-EG144)/ABS(EG144)</f>
        <v>3.016671396831213E-2</v>
      </c>
      <c r="EI146" s="458">
        <f>(EI144-EH144)/ABS(EH144)</f>
        <v>3.8395367302046894E-2</v>
      </c>
      <c r="EJ146" s="458">
        <f>(EJ144-EI144)/ABS(EI144)</f>
        <v>-4.242994469213E-3</v>
      </c>
      <c r="EK146" s="462"/>
      <c r="EL146" s="458">
        <f>(EL144-EJ144)/ABS(EJ144)</f>
        <v>9.0521656560534521E-3</v>
      </c>
      <c r="EM146" s="458">
        <f>(EM144-EL144)/ABS(EL144)</f>
        <v>4.8709665419161809E-2</v>
      </c>
      <c r="EN146" s="458">
        <f>(EN144-EM144)/ABS(EM144)</f>
        <v>2.1860466902706793E-2</v>
      </c>
      <c r="EO146" s="458">
        <f>(EO144-EN144)/ABS(EN144)</f>
        <v>7.0473353834894902E-3</v>
      </c>
      <c r="EP146" s="462"/>
      <c r="EQ146" s="458">
        <f>(EQ144-EO144)/ABS(EO144)</f>
        <v>-7.3840821158752418E-3</v>
      </c>
      <c r="ER146" s="458">
        <f>(ER144-EQ144)/ABS(EQ144)</f>
        <v>3.3668743930059773E-2</v>
      </c>
      <c r="ES146" s="458">
        <f>(ES144-ER144)/ABS(ER144)</f>
        <v>4.3263878377619944E-3</v>
      </c>
      <c r="ET146" s="458">
        <f>(ET144-ES144)/ABS(ES144)</f>
        <v>-2.2962558191092948E-2</v>
      </c>
      <c r="EU146" s="1932"/>
      <c r="EZ146" s="740"/>
      <c r="FE146" s="740"/>
      <c r="FF146" s="740"/>
      <c r="FG146" s="656"/>
      <c r="FH146" s="1088">
        <f>AVERAGE(CI146,CN146,CS146,CX146,DC146,DH146,DM146,DR146,DW146,EB146,EG146,EL146,EQ146)</f>
        <v>-2.5732791209073444E-2</v>
      </c>
      <c r="FI146" s="1088">
        <f>AVERAGE(CJ146,CO146,CT146,CY146,DD146,DI146,DN146,DS146,DX146,EC146,EH146,EM146)</f>
        <v>5.0672117383006927E-2</v>
      </c>
      <c r="FJ146" s="1088">
        <f>AVERAGE(CK146,CP146,CU146,CZ146,DE146,DJ146,DO146,DT146,DY146,ED146,EI146,EN146)</f>
        <v>1.0907034629687895E-2</v>
      </c>
      <c r="FK146" s="1088">
        <f>AVERAGE(CL146,CQ146,CV146,DA146,DF146,DK146,DP146,DU146,DZ146,EE146,EJ146,EO146)</f>
        <v>-2.1913069169787924E-2</v>
      </c>
      <c r="FL146" s="1795"/>
      <c r="FM146" s="458">
        <f t="shared" si="500"/>
        <v>-7.3840821158752418E-3</v>
      </c>
      <c r="FN146" s="458">
        <f t="shared" si="501"/>
        <v>9.0521656560534521E-3</v>
      </c>
      <c r="FO146" s="2040">
        <v>-1.3240748318898389E-2</v>
      </c>
      <c r="FP146" s="1888">
        <f>IFERROR(($FM146-FN146)*10000,"")</f>
        <v>-164.36247771928694</v>
      </c>
      <c r="FQ146" s="1888">
        <f>IFERROR(($FM146-FO146)*10000,"")</f>
        <v>58.56666203023147</v>
      </c>
      <c r="FR146" s="537"/>
      <c r="FS146" s="566"/>
      <c r="FT146" s="566"/>
      <c r="FU146" s="1426"/>
      <c r="FV146" s="418"/>
      <c r="FW146" s="418"/>
      <c r="FX146" s="418"/>
      <c r="FY146" s="418"/>
      <c r="FZ146" s="566"/>
      <c r="GA146" s="656"/>
      <c r="GB146"/>
      <c r="GC146"/>
      <c r="GD146"/>
      <c r="GE146"/>
      <c r="GF146"/>
      <c r="GG146"/>
      <c r="GH146" s="913"/>
      <c r="GI146" s="913"/>
      <c r="GJ146" s="913"/>
      <c r="GK146" s="913"/>
      <c r="GL146" s="913"/>
      <c r="GM146" s="913"/>
      <c r="GN146" s="913"/>
      <c r="GO146" s="913"/>
      <c r="GP146" s="913"/>
      <c r="GQ146" s="913"/>
      <c r="GR146" s="913"/>
      <c r="GS146" s="913"/>
      <c r="GT146" s="913"/>
      <c r="GU146" s="913"/>
      <c r="GV146" s="913"/>
      <c r="GW146" s="913"/>
      <c r="GX146" s="913"/>
      <c r="GY146" s="913"/>
      <c r="GZ146" s="913"/>
      <c r="HA146" s="913"/>
      <c r="HB146" s="913"/>
      <c r="HC146" s="913"/>
      <c r="HD146" s="913"/>
      <c r="HE146" s="913"/>
      <c r="HF146" s="913"/>
      <c r="HG146" s="913"/>
      <c r="HH146" s="913"/>
      <c r="HI146" s="913"/>
      <c r="HJ146" s="913"/>
      <c r="HK146" s="913"/>
      <c r="HL146" s="913"/>
      <c r="HM146" s="913"/>
      <c r="HN146" s="913"/>
      <c r="HO146" s="913"/>
      <c r="HP146" s="913"/>
      <c r="HQ146" s="913"/>
      <c r="HR146" s="913"/>
      <c r="HS146" s="913"/>
      <c r="HT146" s="913"/>
      <c r="HU146" s="913"/>
      <c r="HV146" s="913"/>
      <c r="HW146" s="913"/>
      <c r="HX146" s="913"/>
      <c r="HY146" s="913"/>
      <c r="HZ146" s="913"/>
      <c r="IA146" s="913"/>
      <c r="IB146" s="913"/>
      <c r="IC146" s="913"/>
      <c r="ID146" s="913"/>
      <c r="IE146" s="913"/>
      <c r="IF146" s="913"/>
      <c r="IG146" s="913"/>
      <c r="IH146" s="913"/>
      <c r="II146" s="913"/>
      <c r="IJ146" s="913"/>
      <c r="IK146" s="913"/>
      <c r="IL146" s="913"/>
      <c r="IM146" s="913"/>
      <c r="IN146" s="913"/>
      <c r="IO146" s="913"/>
      <c r="IP146" s="913"/>
      <c r="IQ146" s="913"/>
      <c r="IR146" s="913"/>
      <c r="IS146" s="913"/>
      <c r="IT146" s="913"/>
      <c r="IU146" s="913"/>
      <c r="IV146" s="913"/>
    </row>
    <row r="147" spans="1:256" s="104" customFormat="1" ht="12.75" x14ac:dyDescent="0.2">
      <c r="A147" s="101" t="s">
        <v>562</v>
      </c>
      <c r="B147" s="102"/>
      <c r="C147" s="102"/>
      <c r="D147" s="102"/>
      <c r="E147" s="211"/>
      <c r="F147" s="103">
        <f>F138*1000000/F142</f>
        <v>50048.875855327467</v>
      </c>
      <c r="G147" s="102"/>
      <c r="H147" s="102"/>
      <c r="I147" s="102"/>
      <c r="J147" s="211"/>
      <c r="K147" s="103">
        <f>K138*1000000/K142</f>
        <v>50897.306338641669</v>
      </c>
      <c r="L147" s="102"/>
      <c r="M147" s="102"/>
      <c r="N147" s="102"/>
      <c r="O147" s="211"/>
      <c r="P147" s="103">
        <f>P138*1000000/P142</f>
        <v>51377.621866549736</v>
      </c>
      <c r="Q147" s="102"/>
      <c r="R147" s="102"/>
      <c r="S147" s="102"/>
      <c r="T147" s="211"/>
      <c r="U147" s="103">
        <f>U138*1000000/U142</f>
        <v>53769.980506822612</v>
      </c>
      <c r="V147" s="102"/>
      <c r="W147" s="102"/>
      <c r="X147" s="102"/>
      <c r="Y147" s="211"/>
      <c r="Z147" s="103">
        <f>Z138*1000000/Z142</f>
        <v>54604.206650738328</v>
      </c>
      <c r="AA147" s="102"/>
      <c r="AB147" s="102"/>
      <c r="AC147" s="102"/>
      <c r="AD147" s="211"/>
      <c r="AE147" s="103">
        <f>AE138*1000000/AE142</f>
        <v>55487.656819101576</v>
      </c>
      <c r="AF147" s="102"/>
      <c r="AG147" s="102"/>
      <c r="AH147" s="102"/>
      <c r="AI147" s="211"/>
      <c r="AJ147" s="103">
        <f t="shared" ref="AJ147:BO147" si="536">AJ138*1000000/AJ142</f>
        <v>58951.323097027118</v>
      </c>
      <c r="AK147" s="102">
        <f t="shared" si="536"/>
        <v>16015.790814160795</v>
      </c>
      <c r="AL147" s="102">
        <f t="shared" si="536"/>
        <v>15006.407518154634</v>
      </c>
      <c r="AM147" s="102">
        <f t="shared" si="536"/>
        <v>14660.652920962199</v>
      </c>
      <c r="AN147" s="211">
        <f t="shared" si="536"/>
        <v>14225.977497090142</v>
      </c>
      <c r="AO147" s="103">
        <f t="shared" si="536"/>
        <v>59924.019476697526</v>
      </c>
      <c r="AP147" s="102">
        <f t="shared" si="536"/>
        <v>15505.569837189374</v>
      </c>
      <c r="AQ147" s="102">
        <f t="shared" si="536"/>
        <v>15086.891225059</v>
      </c>
      <c r="AR147" s="102">
        <f t="shared" si="536"/>
        <v>14977.842168058633</v>
      </c>
      <c r="AS147" s="211">
        <f t="shared" si="536"/>
        <v>14669.08275088446</v>
      </c>
      <c r="AT147" s="103">
        <f t="shared" si="536"/>
        <v>60241.609587205625</v>
      </c>
      <c r="AU147" s="102">
        <f t="shared" si="536"/>
        <v>16702.51803112742</v>
      </c>
      <c r="AV147" s="102">
        <f t="shared" si="536"/>
        <v>15122.638382499172</v>
      </c>
      <c r="AW147" s="102">
        <f t="shared" si="536"/>
        <v>15216.31847343313</v>
      </c>
      <c r="AX147" s="211">
        <f t="shared" si="536"/>
        <v>14688.529926353907</v>
      </c>
      <c r="AY147" s="103">
        <f t="shared" si="536"/>
        <v>61692.406293287022</v>
      </c>
      <c r="AZ147" s="102">
        <f t="shared" si="536"/>
        <v>14812.429560457253</v>
      </c>
      <c r="BA147" s="102">
        <f t="shared" si="536"/>
        <v>14671.403197158083</v>
      </c>
      <c r="BB147" s="102">
        <f t="shared" si="536"/>
        <v>16291.544858513325</v>
      </c>
      <c r="BC147" s="211">
        <f t="shared" si="536"/>
        <v>14139.471749335446</v>
      </c>
      <c r="BD147" s="103">
        <f t="shared" si="536"/>
        <v>60037.705621050416</v>
      </c>
      <c r="BE147" s="102">
        <f t="shared" si="536"/>
        <v>15988.917429074432</v>
      </c>
      <c r="BF147" s="102">
        <f t="shared" si="536"/>
        <v>15437.084903966972</v>
      </c>
      <c r="BG147" s="102">
        <f t="shared" si="536"/>
        <v>15368.293422249166</v>
      </c>
      <c r="BH147" s="211">
        <f t="shared" si="536"/>
        <v>15227.483751160631</v>
      </c>
      <c r="BI147" s="103">
        <f t="shared" si="536"/>
        <v>62050.6091846298</v>
      </c>
      <c r="BJ147" s="102">
        <f t="shared" si="536"/>
        <v>16695.618606446631</v>
      </c>
      <c r="BK147" s="102">
        <f t="shared" si="536"/>
        <v>16199.819284884472</v>
      </c>
      <c r="BL147" s="102">
        <f t="shared" si="536"/>
        <v>15780.785737867283</v>
      </c>
      <c r="BM147" s="211">
        <f t="shared" si="536"/>
        <v>17265.656430199811</v>
      </c>
      <c r="BN147" s="103">
        <f t="shared" si="536"/>
        <v>65929.029723713495</v>
      </c>
      <c r="BO147" s="102">
        <f t="shared" si="536"/>
        <v>18091.251859282576</v>
      </c>
      <c r="BP147" s="102">
        <f t="shared" ref="BP147:CU147" si="537">BP138*1000000/BP142</f>
        <v>17330.96209505876</v>
      </c>
      <c r="BQ147" s="102">
        <f t="shared" si="537"/>
        <v>17184.425077312342</v>
      </c>
      <c r="BR147" s="211">
        <f t="shared" si="537"/>
        <v>18123.366070797711</v>
      </c>
      <c r="BS147" s="103">
        <f t="shared" si="537"/>
        <v>70731.451359009341</v>
      </c>
      <c r="BT147" s="102">
        <f t="shared" si="537"/>
        <v>18613.539049506351</v>
      </c>
      <c r="BU147" s="102">
        <f t="shared" si="537"/>
        <v>18807.56521127751</v>
      </c>
      <c r="BV147" s="102">
        <f t="shared" si="537"/>
        <v>18568.38129873763</v>
      </c>
      <c r="BW147" s="211">
        <f t="shared" si="537"/>
        <v>20463.99261022489</v>
      </c>
      <c r="BX147" s="103">
        <f t="shared" si="537"/>
        <v>76439.633667991788</v>
      </c>
      <c r="BY147" s="102">
        <f t="shared" si="537"/>
        <v>19625.49513863882</v>
      </c>
      <c r="BZ147" s="102">
        <f t="shared" si="537"/>
        <v>20279.243386813108</v>
      </c>
      <c r="CA147" s="102">
        <f t="shared" si="537"/>
        <v>20320.131189618907</v>
      </c>
      <c r="CB147" s="211">
        <f t="shared" si="537"/>
        <v>20738.457226931969</v>
      </c>
      <c r="CC147" s="103">
        <f t="shared" si="537"/>
        <v>80978.009052999245</v>
      </c>
      <c r="CD147" s="102">
        <f t="shared" si="537"/>
        <v>20634.757951556148</v>
      </c>
      <c r="CE147" s="102">
        <f t="shared" si="537"/>
        <v>20121.462893753338</v>
      </c>
      <c r="CF147" s="102">
        <f t="shared" si="537"/>
        <v>20908.12391969153</v>
      </c>
      <c r="CG147" s="211">
        <f t="shared" si="537"/>
        <v>21142.211289143008</v>
      </c>
      <c r="CH147" s="103">
        <f t="shared" si="537"/>
        <v>82810.602571081617</v>
      </c>
      <c r="CI147" s="102">
        <f t="shared" si="537"/>
        <v>24044.554125258455</v>
      </c>
      <c r="CJ147" s="102">
        <f t="shared" si="537"/>
        <v>21244.663820704376</v>
      </c>
      <c r="CK147" s="102">
        <f t="shared" si="537"/>
        <v>20732.963418280891</v>
      </c>
      <c r="CL147" s="211">
        <f t="shared" si="537"/>
        <v>21652.176787544213</v>
      </c>
      <c r="CM147" s="103">
        <f t="shared" si="537"/>
        <v>87667.680646287336</v>
      </c>
      <c r="CN147" s="102">
        <f t="shared" si="537"/>
        <v>22339.587980579978</v>
      </c>
      <c r="CO147" s="102">
        <f t="shared" si="537"/>
        <v>20664.95827583941</v>
      </c>
      <c r="CP147" s="102">
        <f t="shared" si="537"/>
        <v>20483.801581786294</v>
      </c>
      <c r="CQ147" s="211">
        <f t="shared" si="537"/>
        <v>20626.407098397562</v>
      </c>
      <c r="CR147" s="103">
        <f t="shared" si="537"/>
        <v>84123.779306934768</v>
      </c>
      <c r="CS147" s="102">
        <f t="shared" si="537"/>
        <v>23313.492063492064</v>
      </c>
      <c r="CT147" s="102">
        <f t="shared" si="537"/>
        <v>21942.326814716605</v>
      </c>
      <c r="CU147" s="102">
        <f t="shared" si="537"/>
        <v>23432.845700668564</v>
      </c>
      <c r="CV147" s="211">
        <f t="shared" ref="CV147:EA147" si="538">CV138*1000000/CV142</f>
        <v>20073.173143478693</v>
      </c>
      <c r="CW147" s="103">
        <f t="shared" si="538"/>
        <v>88754.412506303575</v>
      </c>
      <c r="CX147" s="102">
        <f t="shared" si="538"/>
        <v>21590.026016150285</v>
      </c>
      <c r="CY147" s="102">
        <f t="shared" si="538"/>
        <v>19687.712152070606</v>
      </c>
      <c r="CZ147" s="102">
        <f t="shared" si="538"/>
        <v>21734.389765210439</v>
      </c>
      <c r="DA147" s="102">
        <f t="shared" si="538"/>
        <v>22214.169233556804</v>
      </c>
      <c r="DB147" s="103">
        <f t="shared" si="538"/>
        <v>85222.684638797436</v>
      </c>
      <c r="DC147" s="102">
        <f t="shared" si="538"/>
        <v>25283.947044780438</v>
      </c>
      <c r="DD147" s="102">
        <f t="shared" si="538"/>
        <v>24035.874439461884</v>
      </c>
      <c r="DE147" s="102">
        <f t="shared" si="538"/>
        <v>24081.025568383029</v>
      </c>
      <c r="DF147" s="102">
        <f t="shared" si="538"/>
        <v>22816.979433557233</v>
      </c>
      <c r="DG147" s="103">
        <f t="shared" si="538"/>
        <v>96163.91899929865</v>
      </c>
      <c r="DH147" s="102">
        <f t="shared" si="538"/>
        <v>25982.406684101483</v>
      </c>
      <c r="DI147" s="102">
        <f t="shared" si="538"/>
        <v>24777.870913663035</v>
      </c>
      <c r="DJ147" s="102">
        <f t="shared" si="538"/>
        <v>24416.135881104034</v>
      </c>
      <c r="DK147" s="102">
        <f t="shared" si="538"/>
        <v>24208.44327176781</v>
      </c>
      <c r="DL147" s="103">
        <f t="shared" si="538"/>
        <v>99355.22667290282</v>
      </c>
      <c r="DM147" s="102">
        <f t="shared" si="538"/>
        <v>25661.11655239961</v>
      </c>
      <c r="DN147" s="102">
        <f t="shared" si="538"/>
        <v>23735.370291446743</v>
      </c>
      <c r="DO147" s="102">
        <f t="shared" si="538"/>
        <v>23743.154166530025</v>
      </c>
      <c r="DP147" s="102">
        <f t="shared" si="538"/>
        <v>23769.767213436793</v>
      </c>
      <c r="DQ147" s="103">
        <f t="shared" si="538"/>
        <v>96914.92931922173</v>
      </c>
      <c r="DR147" s="102">
        <f t="shared" si="538"/>
        <v>25917.926565874732</v>
      </c>
      <c r="DS147" s="102">
        <f t="shared" si="538"/>
        <v>24305.32306662203</v>
      </c>
      <c r="DT147" s="102">
        <f t="shared" si="538"/>
        <v>24833.597999797275</v>
      </c>
      <c r="DU147" s="102">
        <f t="shared" si="538"/>
        <v>26037.568002189757</v>
      </c>
      <c r="DV147" s="103">
        <f t="shared" si="538"/>
        <v>101086.80096641945</v>
      </c>
      <c r="DW147" s="102">
        <f t="shared" si="538"/>
        <v>25684.634341050292</v>
      </c>
      <c r="DX147" s="102">
        <f t="shared" si="538"/>
        <v>24816.910207906702</v>
      </c>
      <c r="DY147" s="102">
        <f t="shared" si="538"/>
        <v>24952.015355086372</v>
      </c>
      <c r="DZ147" s="102">
        <f t="shared" si="538"/>
        <v>24241.189651660217</v>
      </c>
      <c r="EA147" s="103">
        <f t="shared" si="538"/>
        <v>99680.005505281631</v>
      </c>
      <c r="EB147" s="102">
        <f t="shared" ref="EB147:EK147" si="539">EB138*1000000/EB142</f>
        <v>26155.799037947621</v>
      </c>
      <c r="EC147" s="102">
        <f t="shared" si="539"/>
        <v>24097.187552005325</v>
      </c>
      <c r="ED147" s="102">
        <f t="shared" si="539"/>
        <v>23201.242687642531</v>
      </c>
      <c r="EE147" s="102">
        <f t="shared" si="539"/>
        <v>23409.363745498198</v>
      </c>
      <c r="EF147" s="103">
        <f t="shared" si="539"/>
        <v>96850.930747092978</v>
      </c>
      <c r="EG147" s="102">
        <f t="shared" si="539"/>
        <v>25750.614381878408</v>
      </c>
      <c r="EH147" s="102">
        <f t="shared" si="539"/>
        <v>23882.841592666857</v>
      </c>
      <c r="EI147" s="102">
        <f t="shared" si="539"/>
        <v>24840.924614444404</v>
      </c>
      <c r="EJ147" s="102">
        <f t="shared" si="539"/>
        <v>23984.63823774501</v>
      </c>
      <c r="EK147" s="103">
        <f t="shared" si="539"/>
        <v>98471.590246178981</v>
      </c>
      <c r="EL147" s="102">
        <f>EL138*1000000/EL142</f>
        <v>27647.251666484539</v>
      </c>
      <c r="EM147" s="102">
        <f t="shared" ref="EM147:EP147" si="540">EM138*1000000/EM142</f>
        <v>26543.118724158299</v>
      </c>
      <c r="EN147" s="102">
        <f t="shared" si="540"/>
        <v>28810.582564179214</v>
      </c>
      <c r="EO147" s="102">
        <f t="shared" si="540"/>
        <v>27526.395173453999</v>
      </c>
      <c r="EP147" s="103">
        <f t="shared" si="540"/>
        <v>110515.47921574446</v>
      </c>
      <c r="EQ147" s="102">
        <f>EQ138*1000000/EQ142</f>
        <v>27884.979190314036</v>
      </c>
      <c r="ER147" s="102">
        <f>ER150+(ER149/ER142*1000000)</f>
        <v>27636.516890990373</v>
      </c>
      <c r="ES147" s="102">
        <f>ES150+(ES149/ES142*1000000)</f>
        <v>30602.568042415627</v>
      </c>
      <c r="ET147" s="102">
        <f>ET150+(ET149/ET142*1000000)</f>
        <v>29023.467305474223</v>
      </c>
      <c r="EU147" s="1970">
        <f>EU138*1000000/EU142</f>
        <v>115173.73030235279</v>
      </c>
      <c r="EV147" s="102"/>
      <c r="EW147" s="102"/>
      <c r="EX147" s="102"/>
      <c r="EY147" s="102"/>
      <c r="EZ147" s="859">
        <f>EZ150+(EZ149/EZ142*1000000)</f>
        <v>118566.21645697427</v>
      </c>
      <c r="FA147" s="102"/>
      <c r="FB147" s="102"/>
      <c r="FC147" s="102"/>
      <c r="FD147" s="102"/>
      <c r="FE147" s="859">
        <f>FE150+(FE149/FE142*1000000)</f>
        <v>122069.66745613235</v>
      </c>
      <c r="FF147" s="785"/>
      <c r="FG147" s="656"/>
      <c r="FH147" s="1027"/>
      <c r="FI147" s="1027"/>
      <c r="FJ147" s="1027"/>
      <c r="FK147" s="1027"/>
      <c r="FL147" s="1809"/>
      <c r="FM147" s="102">
        <f t="shared" si="500"/>
        <v>27884.979190314036</v>
      </c>
      <c r="FN147" s="102">
        <f t="shared" si="501"/>
        <v>27647.251666484539</v>
      </c>
      <c r="FO147" s="2059">
        <v>28006.101431197811</v>
      </c>
      <c r="FP147" s="387">
        <f>IFERROR(($FM147/FN147)-1,"")</f>
        <v>8.5985951405680439E-3</v>
      </c>
      <c r="FQ147" s="387">
        <f>IFERROR(($FM147/FO147)-1,"")</f>
        <v>-4.3248518963389104E-3</v>
      </c>
      <c r="FR147" s="575"/>
      <c r="FS147" s="537"/>
      <c r="FT147" s="537"/>
      <c r="FU147" s="1426"/>
      <c r="FV147" s="418"/>
      <c r="FW147" s="418"/>
      <c r="FX147" s="418"/>
      <c r="FY147" s="418"/>
      <c r="FZ147" s="537"/>
      <c r="GA147" s="656"/>
      <c r="GB147"/>
      <c r="GC147"/>
      <c r="GD147"/>
      <c r="GE147"/>
      <c r="GF147"/>
      <c r="GG147"/>
      <c r="GH147" s="963"/>
      <c r="GI147" s="963"/>
      <c r="GJ147" s="963"/>
      <c r="GK147" s="963"/>
      <c r="GL147" s="963"/>
      <c r="GM147" s="963"/>
      <c r="GN147" s="963"/>
      <c r="GO147" s="963"/>
      <c r="GP147" s="963"/>
      <c r="GQ147" s="963"/>
      <c r="GR147" s="963"/>
      <c r="GS147" s="963"/>
      <c r="GT147" s="963"/>
      <c r="GU147" s="963"/>
      <c r="GV147" s="963"/>
      <c r="GW147" s="963"/>
      <c r="GX147" s="963"/>
      <c r="GY147" s="963"/>
      <c r="GZ147" s="963"/>
      <c r="HA147" s="963"/>
      <c r="HB147" s="963"/>
      <c r="HC147" s="963"/>
      <c r="HD147" s="963"/>
      <c r="HE147" s="963"/>
      <c r="HF147" s="963"/>
      <c r="HG147" s="963"/>
      <c r="HH147" s="963"/>
      <c r="HI147" s="963"/>
      <c r="HJ147" s="963"/>
      <c r="HK147" s="963"/>
      <c r="HL147" s="963"/>
      <c r="HM147" s="963"/>
      <c r="HN147" s="963"/>
      <c r="HO147" s="963"/>
      <c r="HP147" s="963"/>
      <c r="HQ147" s="963"/>
      <c r="HR147" s="963"/>
      <c r="HS147" s="963"/>
      <c r="HT147" s="963"/>
      <c r="HU147" s="963"/>
      <c r="HV147" s="963"/>
      <c r="HW147" s="963"/>
      <c r="HX147" s="963"/>
      <c r="HY147" s="963"/>
      <c r="HZ147" s="963"/>
      <c r="IA147" s="963"/>
      <c r="IB147" s="963"/>
      <c r="IC147" s="963"/>
      <c r="ID147" s="963"/>
      <c r="IE147" s="963"/>
      <c r="IF147" s="963"/>
      <c r="IG147" s="963"/>
      <c r="IH147" s="963"/>
      <c r="II147" s="963"/>
      <c r="IJ147" s="963"/>
      <c r="IK147" s="963"/>
      <c r="IL147" s="963"/>
      <c r="IM147" s="963"/>
      <c r="IN147" s="963"/>
      <c r="IO147" s="963"/>
      <c r="IP147" s="963"/>
      <c r="IQ147" s="963"/>
      <c r="IR147" s="963"/>
      <c r="IS147" s="963"/>
      <c r="IT147" s="963"/>
      <c r="IU147" s="963"/>
      <c r="IV147" s="963"/>
    </row>
    <row r="148" spans="1:256" s="99" customFormat="1" ht="12.75" x14ac:dyDescent="0.2">
      <c r="A148" s="44" t="s">
        <v>74</v>
      </c>
      <c r="B148" s="22"/>
      <c r="C148" s="22"/>
      <c r="D148" s="22"/>
      <c r="E148" s="197"/>
      <c r="F148" s="21"/>
      <c r="G148" s="22"/>
      <c r="H148" s="22"/>
      <c r="I148" s="22"/>
      <c r="J148" s="197"/>
      <c r="K148" s="21">
        <f>K147/F147-1</f>
        <v>1.6952038758406784E-2</v>
      </c>
      <c r="L148" s="22"/>
      <c r="M148" s="22"/>
      <c r="N148" s="22"/>
      <c r="O148" s="197"/>
      <c r="P148" s="21">
        <f>P147/K147-1</f>
        <v>9.4369537891125788E-3</v>
      </c>
      <c r="Q148" s="22"/>
      <c r="R148" s="22"/>
      <c r="S148" s="22"/>
      <c r="T148" s="197"/>
      <c r="U148" s="21">
        <f>U147/P147-1</f>
        <v>4.6564215184713653E-2</v>
      </c>
      <c r="V148" s="22"/>
      <c r="W148" s="22"/>
      <c r="X148" s="22"/>
      <c r="Y148" s="197"/>
      <c r="Z148" s="21">
        <f>Z147/U147-1</f>
        <v>1.5514719106321184E-2</v>
      </c>
      <c r="AA148" s="22"/>
      <c r="AB148" s="22"/>
      <c r="AC148" s="22"/>
      <c r="AD148" s="197"/>
      <c r="AE148" s="21">
        <f>AE147/Z147-1</f>
        <v>1.617915949249138E-2</v>
      </c>
      <c r="AF148" s="22"/>
      <c r="AG148" s="22"/>
      <c r="AH148" s="22"/>
      <c r="AI148" s="197"/>
      <c r="AJ148" s="21">
        <f t="shared" ref="AJ148:CU148" si="541">AJ147/AE147-1</f>
        <v>6.2422284098563319E-2</v>
      </c>
      <c r="AK148" s="22"/>
      <c r="AL148" s="22"/>
      <c r="AM148" s="22"/>
      <c r="AN148" s="197"/>
      <c r="AO148" s="21">
        <f t="shared" si="541"/>
        <v>1.6499992342317027E-2</v>
      </c>
      <c r="AP148" s="22">
        <f t="shared" si="541"/>
        <v>-3.1857370197436397E-2</v>
      </c>
      <c r="AQ148" s="22">
        <f t="shared" si="541"/>
        <v>5.3632894353292659E-3</v>
      </c>
      <c r="AR148" s="22">
        <f t="shared" si="541"/>
        <v>2.1635410701450253E-2</v>
      </c>
      <c r="AS148" s="197">
        <f t="shared" si="541"/>
        <v>3.1147613855353917E-2</v>
      </c>
      <c r="AT148" s="21">
        <f t="shared" si="541"/>
        <v>5.2998799693602106E-3</v>
      </c>
      <c r="AU148" s="22">
        <f t="shared" si="541"/>
        <v>7.7194724638060208E-2</v>
      </c>
      <c r="AV148" s="22">
        <f t="shared" si="541"/>
        <v>2.3694183849352068E-3</v>
      </c>
      <c r="AW148" s="22">
        <f t="shared" si="541"/>
        <v>1.592194006978298E-2</v>
      </c>
      <c r="AX148" s="197">
        <f t="shared" si="541"/>
        <v>1.3257253912672962E-3</v>
      </c>
      <c r="AY148" s="21">
        <f t="shared" si="541"/>
        <v>2.4082967172071035E-2</v>
      </c>
      <c r="AZ148" s="22">
        <f t="shared" si="541"/>
        <v>-0.11316188775535097</v>
      </c>
      <c r="BA148" s="22">
        <f t="shared" si="541"/>
        <v>-2.9838390228472678E-2</v>
      </c>
      <c r="BB148" s="22">
        <f t="shared" si="541"/>
        <v>7.0662715620567695E-2</v>
      </c>
      <c r="BC148" s="197">
        <f t="shared" si="541"/>
        <v>-3.7380063203830249E-2</v>
      </c>
      <c r="BD148" s="21">
        <f t="shared" si="541"/>
        <v>-2.6821788477014885E-2</v>
      </c>
      <c r="BE148" s="22">
        <f t="shared" si="541"/>
        <v>7.9425719043275E-2</v>
      </c>
      <c r="BF148" s="22">
        <f t="shared" si="541"/>
        <v>5.2188716820024794E-2</v>
      </c>
      <c r="BG148" s="22">
        <f t="shared" si="541"/>
        <v>-5.6670588595636118E-2</v>
      </c>
      <c r="BH148" s="197">
        <f t="shared" si="541"/>
        <v>7.6948560817084344E-2</v>
      </c>
      <c r="BI148" s="21">
        <f t="shared" si="541"/>
        <v>3.3527323250567731E-2</v>
      </c>
      <c r="BJ148" s="22">
        <f t="shared" si="541"/>
        <v>4.4199438799222612E-2</v>
      </c>
      <c r="BK148" s="22">
        <f t="shared" si="541"/>
        <v>4.9409223675481284E-2</v>
      </c>
      <c r="BL148" s="22">
        <f t="shared" si="541"/>
        <v>2.684047631605857E-2</v>
      </c>
      <c r="BM148" s="197">
        <f t="shared" si="541"/>
        <v>0.13384829117836561</v>
      </c>
      <c r="BN148" s="21">
        <f t="shared" si="541"/>
        <v>6.2504149275046883E-2</v>
      </c>
      <c r="BO148" s="22">
        <f t="shared" si="541"/>
        <v>8.3592784773907969E-2</v>
      </c>
      <c r="BP148" s="22">
        <f t="shared" si="541"/>
        <v>6.9824409166694856E-2</v>
      </c>
      <c r="BQ148" s="22">
        <f t="shared" si="541"/>
        <v>8.8946099564416015E-2</v>
      </c>
      <c r="BR148" s="197">
        <f t="shared" si="541"/>
        <v>4.9677210018939988E-2</v>
      </c>
      <c r="BS148" s="21">
        <f t="shared" si="541"/>
        <v>7.2842292013414855E-2</v>
      </c>
      <c r="BT148" s="22">
        <f t="shared" si="541"/>
        <v>2.886959920110721E-2</v>
      </c>
      <c r="BU148" s="22">
        <f t="shared" si="541"/>
        <v>8.520029690906461E-2</v>
      </c>
      <c r="BV148" s="22">
        <f t="shared" si="541"/>
        <v>8.0535497416928337E-2</v>
      </c>
      <c r="BW148" s="197">
        <f t="shared" si="541"/>
        <v>0.12914965852831539</v>
      </c>
      <c r="BX148" s="21">
        <f t="shared" si="541"/>
        <v>8.0702179855035139E-2</v>
      </c>
      <c r="BY148" s="22">
        <f t="shared" si="541"/>
        <v>5.4366667533829682E-2</v>
      </c>
      <c r="BZ148" s="22">
        <f t="shared" si="541"/>
        <v>7.8249266133244122E-2</v>
      </c>
      <c r="CA148" s="22">
        <f t="shared" si="541"/>
        <v>9.4340473878591125E-2</v>
      </c>
      <c r="CB148" s="197">
        <f t="shared" si="541"/>
        <v>1.3412075636205056E-2</v>
      </c>
      <c r="CC148" s="21">
        <f t="shared" si="541"/>
        <v>5.937201903294631E-2</v>
      </c>
      <c r="CD148" s="22">
        <f t="shared" si="541"/>
        <v>5.1426106999475696E-2</v>
      </c>
      <c r="CE148" s="22">
        <f t="shared" si="541"/>
        <v>-7.7803934816605969E-3</v>
      </c>
      <c r="CF148" s="22">
        <f t="shared" si="541"/>
        <v>2.8936463282924763E-2</v>
      </c>
      <c r="CG148" s="197">
        <f t="shared" si="541"/>
        <v>1.9468857195737099E-2</v>
      </c>
      <c r="CH148" s="21">
        <f t="shared" si="541"/>
        <v>2.2630755429945859E-2</v>
      </c>
      <c r="CI148" s="22">
        <f t="shared" si="541"/>
        <v>0.16524527119278187</v>
      </c>
      <c r="CJ148" s="22">
        <f t="shared" si="541"/>
        <v>5.5821037112551819E-2</v>
      </c>
      <c r="CK148" s="22">
        <f t="shared" si="541"/>
        <v>-8.3776288146862887E-3</v>
      </c>
      <c r="CL148" s="197">
        <f t="shared" si="541"/>
        <v>2.4120726608341192E-2</v>
      </c>
      <c r="CM148" s="21">
        <f t="shared" si="541"/>
        <v>5.8652852707315795E-2</v>
      </c>
      <c r="CN148" s="22">
        <f t="shared" si="541"/>
        <v>-7.0908619714741827E-2</v>
      </c>
      <c r="CO148" s="22">
        <f t="shared" si="541"/>
        <v>-2.7287113119672135E-2</v>
      </c>
      <c r="CP148" s="22">
        <f t="shared" si="541"/>
        <v>-1.2017666334900423E-2</v>
      </c>
      <c r="CQ148" s="197">
        <f t="shared" si="541"/>
        <v>-4.7374899032634143E-2</v>
      </c>
      <c r="CR148" s="21">
        <f t="shared" si="541"/>
        <v>-4.0424262547233858E-2</v>
      </c>
      <c r="CS148" s="22">
        <f t="shared" si="541"/>
        <v>4.3595436216581573E-2</v>
      </c>
      <c r="CT148" s="22">
        <f t="shared" si="541"/>
        <v>6.1813264843154414E-2</v>
      </c>
      <c r="CU148" s="22">
        <f t="shared" si="541"/>
        <v>0.14396957064378557</v>
      </c>
      <c r="CV148" s="197">
        <f t="shared" ref="CV148:DY148" si="542">CV147/CQ147-1</f>
        <v>-2.6821634629806579E-2</v>
      </c>
      <c r="CW148" s="21">
        <f t="shared" si="542"/>
        <v>5.5045472725059552E-2</v>
      </c>
      <c r="CX148" s="22">
        <f t="shared" si="542"/>
        <v>-7.3925692583851621E-2</v>
      </c>
      <c r="CY148" s="22">
        <f t="shared" si="542"/>
        <v>-0.10275184950457672</v>
      </c>
      <c r="CZ148" s="22">
        <f t="shared" si="542"/>
        <v>-7.2481846940581685E-2</v>
      </c>
      <c r="DA148" s="22">
        <f t="shared" si="542"/>
        <v>0.10665957368945778</v>
      </c>
      <c r="DB148" s="21">
        <f t="shared" si="542"/>
        <v>-3.9792138416276601E-2</v>
      </c>
      <c r="DC148" s="22">
        <f t="shared" si="542"/>
        <v>0.1710938664857069</v>
      </c>
      <c r="DD148" s="22">
        <f t="shared" si="542"/>
        <v>0.22085665687335698</v>
      </c>
      <c r="DE148" s="22">
        <f t="shared" si="542"/>
        <v>0.10796879178677377</v>
      </c>
      <c r="DF148" s="22">
        <f t="shared" si="542"/>
        <v>2.7136292771634318E-2</v>
      </c>
      <c r="DG148" s="21">
        <f t="shared" si="542"/>
        <v>0.12838406120241186</v>
      </c>
      <c r="DH148" s="22">
        <f t="shared" si="542"/>
        <v>2.7624628309970811E-2</v>
      </c>
      <c r="DI148" s="22">
        <f t="shared" si="542"/>
        <v>3.0870375699040498E-2</v>
      </c>
      <c r="DJ148" s="22">
        <f t="shared" si="542"/>
        <v>1.3915948545023094E-2</v>
      </c>
      <c r="DK148" s="22">
        <f t="shared" si="542"/>
        <v>6.0983700417599263E-2</v>
      </c>
      <c r="DL148" s="21">
        <f>DL147/DG147-1</f>
        <v>3.3186123307094473E-2</v>
      </c>
      <c r="DM148" s="22">
        <f t="shared" si="542"/>
        <v>-1.2365680193069606E-2</v>
      </c>
      <c r="DN148" s="22">
        <f t="shared" si="542"/>
        <v>-4.2073857994047281E-2</v>
      </c>
      <c r="DO148" s="22">
        <f t="shared" si="542"/>
        <v>-2.7562990222987693E-2</v>
      </c>
      <c r="DP148" s="22">
        <f t="shared" si="542"/>
        <v>-1.8120787586643594E-2</v>
      </c>
      <c r="DQ148" s="21">
        <f t="shared" si="542"/>
        <v>-2.4561338496212559E-2</v>
      </c>
      <c r="DR148" s="22">
        <f t="shared" si="542"/>
        <v>1.0007748998400734E-2</v>
      </c>
      <c r="DS148" s="22">
        <f t="shared" si="542"/>
        <v>2.4012803178414144E-2</v>
      </c>
      <c r="DT148" s="22">
        <f t="shared" si="542"/>
        <v>4.592666271798107E-2</v>
      </c>
      <c r="DU148" s="22">
        <f t="shared" si="542"/>
        <v>9.5406941447495619E-2</v>
      </c>
      <c r="DV148" s="21">
        <f t="shared" si="542"/>
        <v>4.3046738789400241E-2</v>
      </c>
      <c r="DW148" s="22">
        <f>DW147/DR147-1</f>
        <v>-9.0011916744763276E-3</v>
      </c>
      <c r="DX148" s="22">
        <f t="shared" si="542"/>
        <v>2.1048358002993206E-2</v>
      </c>
      <c r="DY148" s="22">
        <f t="shared" si="542"/>
        <v>4.7684332850224109E-3</v>
      </c>
      <c r="DZ148" s="22">
        <f t="shared" ref="DZ148:EI148" si="543">DZ147/DU147-1</f>
        <v>-6.8991787189128573E-2</v>
      </c>
      <c r="EA148" s="21">
        <f t="shared" si="543"/>
        <v>-1.3916707697626651E-2</v>
      </c>
      <c r="EB148" s="22">
        <f t="shared" si="543"/>
        <v>1.8344224435552725E-2</v>
      </c>
      <c r="EC148" s="22">
        <f t="shared" si="543"/>
        <v>-2.900129991492939E-2</v>
      </c>
      <c r="ED148" s="22">
        <f t="shared" si="543"/>
        <v>-7.0165581518326303E-2</v>
      </c>
      <c r="EE148" s="22">
        <f t="shared" si="543"/>
        <v>-3.4314566162599647E-2</v>
      </c>
      <c r="EF148" s="21">
        <f t="shared" si="543"/>
        <v>-2.8381567033909816E-2</v>
      </c>
      <c r="EG148" s="22">
        <f t="shared" si="543"/>
        <v>-1.5491197782998678E-2</v>
      </c>
      <c r="EH148" s="22">
        <f t="shared" si="543"/>
        <v>-8.8950612545916075E-3</v>
      </c>
      <c r="EI148" s="22">
        <f t="shared" si="543"/>
        <v>7.0672159628553111E-2</v>
      </c>
      <c r="EJ148" s="22">
        <f t="shared" ref="EJ148:EN148" si="544">EJ147/EE147-1</f>
        <v>2.4574546258543384E-2</v>
      </c>
      <c r="EK148" s="21">
        <f t="shared" si="544"/>
        <v>1.6733545941009398E-2</v>
      </c>
      <c r="EL148" s="22">
        <f t="shared" si="544"/>
        <v>7.365405952958004E-2</v>
      </c>
      <c r="EM148" s="22">
        <f t="shared" si="544"/>
        <v>0.11138863527480214</v>
      </c>
      <c r="EN148" s="22">
        <f t="shared" si="544"/>
        <v>0.15980314788389749</v>
      </c>
      <c r="EO148" s="22">
        <f t="shared" ref="EO148" si="545">EO147/EJ147-1</f>
        <v>0.14766772384064009</v>
      </c>
      <c r="EP148" s="21">
        <f t="shared" ref="EP148:EQ148" si="546">EP147/EK147-1</f>
        <v>0.12230826108785031</v>
      </c>
      <c r="EQ148" s="22">
        <f t="shared" si="546"/>
        <v>8.5985951405680439E-3</v>
      </c>
      <c r="ER148" s="22">
        <f t="shared" ref="ER148" si="547">ER147/EM147-1</f>
        <v>4.1193281701178419E-2</v>
      </c>
      <c r="ES148" s="22">
        <f t="shared" ref="ES148:EU148" si="548">ES147/EN147-1</f>
        <v>6.2198863013079864E-2</v>
      </c>
      <c r="ET148" s="22">
        <f t="shared" si="548"/>
        <v>5.4386784850926517E-2</v>
      </c>
      <c r="EU148" s="270">
        <f t="shared" si="548"/>
        <v>4.2150213885555843E-2</v>
      </c>
      <c r="EV148" s="96"/>
      <c r="EW148" s="96"/>
      <c r="EX148" s="96"/>
      <c r="EY148" s="96"/>
      <c r="EZ148" s="844">
        <f>EZ147/EU147-1</f>
        <v>2.9455381411330306E-2</v>
      </c>
      <c r="FA148" s="96"/>
      <c r="FB148" s="96"/>
      <c r="FC148" s="96"/>
      <c r="FD148" s="96"/>
      <c r="FE148" s="844">
        <f>FE147/EZ147-1</f>
        <v>2.9548475981178157E-2</v>
      </c>
      <c r="FF148" s="784"/>
      <c r="FG148" s="659"/>
      <c r="FH148" s="1038"/>
      <c r="FI148" s="1038"/>
      <c r="FJ148" s="1038"/>
      <c r="FK148" s="1038"/>
      <c r="FL148" s="1813"/>
      <c r="FM148" s="22">
        <f t="shared" si="500"/>
        <v>8.5985951405680439E-3</v>
      </c>
      <c r="FN148" s="22">
        <f t="shared" si="501"/>
        <v>7.365405952958004E-2</v>
      </c>
      <c r="FO148" s="2041">
        <v>3.4793408601175635E-2</v>
      </c>
      <c r="FP148" s="1892">
        <f>IFERROR(($FM148-FN148)*10000,"")</f>
        <v>-650.55464389012002</v>
      </c>
      <c r="FQ148" s="1892">
        <f>IFERROR(($FM148-FO148)*10000,"")</f>
        <v>-261.94813460607588</v>
      </c>
      <c r="FR148" s="86"/>
      <c r="FS148" s="575"/>
      <c r="FT148" s="575"/>
      <c r="FU148" s="1426"/>
      <c r="FV148" s="418"/>
      <c r="FW148" s="418"/>
      <c r="FX148" s="418"/>
      <c r="FY148" s="418"/>
      <c r="FZ148" s="86"/>
      <c r="GA148" s="659"/>
      <c r="GB148"/>
      <c r="GC148"/>
      <c r="GD148"/>
      <c r="GE148"/>
      <c r="GF148"/>
      <c r="GG148"/>
      <c r="GH148" s="974"/>
      <c r="GI148" s="974"/>
      <c r="GJ148" s="974"/>
      <c r="GK148" s="974"/>
      <c r="GL148" s="974"/>
      <c r="GM148" s="974"/>
      <c r="GN148" s="974"/>
      <c r="GO148" s="974"/>
      <c r="GP148" s="974"/>
      <c r="GQ148" s="974"/>
      <c r="GR148" s="974"/>
      <c r="GS148" s="974"/>
      <c r="GT148" s="974"/>
      <c r="GU148" s="974"/>
      <c r="GV148" s="974"/>
      <c r="GW148" s="974"/>
      <c r="GX148" s="974"/>
      <c r="GY148" s="974"/>
      <c r="GZ148" s="974"/>
      <c r="HA148" s="974"/>
      <c r="HB148" s="974"/>
      <c r="HC148" s="974"/>
      <c r="HD148" s="974"/>
      <c r="HE148" s="974"/>
      <c r="HF148" s="974"/>
      <c r="HG148" s="974"/>
      <c r="HH148" s="974"/>
      <c r="HI148" s="974"/>
      <c r="HJ148" s="974"/>
      <c r="HK148" s="974"/>
      <c r="HL148" s="974"/>
      <c r="HM148" s="974"/>
      <c r="HN148" s="974"/>
      <c r="HO148" s="974"/>
      <c r="HP148" s="974"/>
      <c r="HQ148" s="974"/>
      <c r="HR148" s="974"/>
      <c r="HS148" s="974"/>
      <c r="HT148" s="974"/>
      <c r="HU148" s="974"/>
      <c r="HV148" s="974"/>
      <c r="HW148" s="974"/>
      <c r="HX148" s="974"/>
      <c r="HY148" s="974"/>
      <c r="HZ148" s="974"/>
      <c r="IA148" s="974"/>
      <c r="IB148" s="974"/>
      <c r="IC148" s="974"/>
      <c r="ID148" s="974"/>
      <c r="IE148" s="974"/>
      <c r="IF148" s="974"/>
      <c r="IG148" s="974"/>
      <c r="IH148" s="974"/>
      <c r="II148" s="974"/>
      <c r="IJ148" s="974"/>
      <c r="IK148" s="974"/>
      <c r="IL148" s="974"/>
      <c r="IM148" s="974"/>
      <c r="IN148" s="974"/>
      <c r="IO148" s="974"/>
      <c r="IP148" s="974"/>
      <c r="IQ148" s="974"/>
      <c r="IR148" s="974"/>
      <c r="IS148" s="974"/>
      <c r="IT148" s="974"/>
      <c r="IU148" s="974"/>
      <c r="IV148" s="974"/>
    </row>
    <row r="149" spans="1:256" s="731" customFormat="1" ht="12.75" customHeight="1" x14ac:dyDescent="0.2">
      <c r="A149" s="337" t="s">
        <v>312</v>
      </c>
      <c r="B149" s="726"/>
      <c r="C149" s="726"/>
      <c r="D149" s="726"/>
      <c r="E149" s="727"/>
      <c r="F149" s="728"/>
      <c r="G149" s="726"/>
      <c r="H149" s="726"/>
      <c r="I149" s="726"/>
      <c r="J149" s="727"/>
      <c r="K149" s="728"/>
      <c r="L149" s="726"/>
      <c r="M149" s="726"/>
      <c r="N149" s="726"/>
      <c r="O149" s="727"/>
      <c r="P149" s="728"/>
      <c r="Q149" s="726"/>
      <c r="R149" s="726"/>
      <c r="S149" s="726"/>
      <c r="T149" s="727"/>
      <c r="U149" s="728"/>
      <c r="V149" s="726"/>
      <c r="W149" s="726"/>
      <c r="X149" s="726"/>
      <c r="Y149" s="727"/>
      <c r="Z149" s="728"/>
      <c r="AA149" s="726"/>
      <c r="AB149" s="726"/>
      <c r="AC149" s="726"/>
      <c r="AD149" s="727"/>
      <c r="AE149" s="728"/>
      <c r="AF149" s="726"/>
      <c r="AG149" s="726"/>
      <c r="AH149" s="726"/>
      <c r="AI149" s="727"/>
      <c r="AJ149" s="728"/>
      <c r="AK149" s="726"/>
      <c r="AL149" s="726"/>
      <c r="AM149" s="726"/>
      <c r="AN149" s="727"/>
      <c r="AO149" s="728"/>
      <c r="AP149" s="726"/>
      <c r="AQ149" s="726"/>
      <c r="AR149" s="726"/>
      <c r="AS149" s="727"/>
      <c r="AT149" s="728"/>
      <c r="AU149" s="726"/>
      <c r="AV149" s="726"/>
      <c r="AW149" s="726"/>
      <c r="AX149" s="727"/>
      <c r="AY149" s="728"/>
      <c r="AZ149" s="726"/>
      <c r="BA149" s="726"/>
      <c r="BB149" s="726"/>
      <c r="BC149" s="727"/>
      <c r="BD149" s="728"/>
      <c r="BE149" s="726"/>
      <c r="BF149" s="726"/>
      <c r="BG149" s="726"/>
      <c r="BH149" s="727"/>
      <c r="BI149" s="728"/>
      <c r="BJ149" s="726"/>
      <c r="BK149" s="726"/>
      <c r="BL149" s="726"/>
      <c r="BM149" s="727"/>
      <c r="BN149" s="728"/>
      <c r="BO149" s="726"/>
      <c r="BP149" s="726"/>
      <c r="BQ149" s="726"/>
      <c r="BR149" s="727"/>
      <c r="BS149" s="728">
        <v>23</v>
      </c>
      <c r="BT149" s="726">
        <v>2</v>
      </c>
      <c r="BU149" s="726">
        <v>6</v>
      </c>
      <c r="BV149" s="726">
        <v>4</v>
      </c>
      <c r="BW149" s="727">
        <v>17</v>
      </c>
      <c r="BX149" s="728">
        <f>SUM(BT149:BW149)</f>
        <v>29</v>
      </c>
      <c r="BY149" s="726">
        <v>2</v>
      </c>
      <c r="BZ149" s="726">
        <v>15</v>
      </c>
      <c r="CA149" s="726">
        <v>14</v>
      </c>
      <c r="CB149" s="727">
        <v>22</v>
      </c>
      <c r="CC149" s="728">
        <f>SUM(BY149:CB149)</f>
        <v>53</v>
      </c>
      <c r="CD149" s="726">
        <v>12</v>
      </c>
      <c r="CE149" s="726">
        <v>6</v>
      </c>
      <c r="CF149" s="726">
        <v>31</v>
      </c>
      <c r="CG149" s="727">
        <v>26</v>
      </c>
      <c r="CH149" s="728">
        <f>SUM(CD149:CG149)</f>
        <v>75</v>
      </c>
      <c r="CI149" s="726">
        <v>84</v>
      </c>
      <c r="CJ149" s="726">
        <v>17</v>
      </c>
      <c r="CK149" s="726">
        <v>-1</v>
      </c>
      <c r="CL149" s="727">
        <v>29</v>
      </c>
      <c r="CM149" s="728">
        <f>SUM(CI149:CL149)</f>
        <v>129</v>
      </c>
      <c r="CN149" s="726">
        <v>51</v>
      </c>
      <c r="CO149" s="726">
        <v>17</v>
      </c>
      <c r="CP149" s="726">
        <v>14</v>
      </c>
      <c r="CQ149" s="727">
        <v>14</v>
      </c>
      <c r="CR149" s="728">
        <f>SUM(CN149:CQ149)</f>
        <v>96</v>
      </c>
      <c r="CS149" s="726">
        <v>65</v>
      </c>
      <c r="CT149" s="726">
        <v>30</v>
      </c>
      <c r="CU149" s="726">
        <v>23</v>
      </c>
      <c r="CV149" s="727">
        <v>-29</v>
      </c>
      <c r="CW149" s="728">
        <f>SUM(CS149:CV149)</f>
        <v>89</v>
      </c>
      <c r="CX149" s="726">
        <v>15</v>
      </c>
      <c r="CY149" s="726">
        <v>0</v>
      </c>
      <c r="CZ149" s="726">
        <v>19</v>
      </c>
      <c r="DA149" s="726">
        <v>26</v>
      </c>
      <c r="DB149" s="728">
        <f>SUM(CX149:DA149)</f>
        <v>60</v>
      </c>
      <c r="DC149" s="726">
        <v>40</v>
      </c>
      <c r="DD149" s="726">
        <v>11</v>
      </c>
      <c r="DE149" s="726">
        <v>9</v>
      </c>
      <c r="DF149" s="726">
        <v>7</v>
      </c>
      <c r="DG149" s="729">
        <f>SUM(DC149:DF149)</f>
        <v>67</v>
      </c>
      <c r="DH149" s="726">
        <v>42</v>
      </c>
      <c r="DI149" s="726">
        <v>7</v>
      </c>
      <c r="DJ149" s="726">
        <v>3</v>
      </c>
      <c r="DK149" s="726">
        <v>9</v>
      </c>
      <c r="DL149" s="729">
        <f>SUM(DH149:DK149)</f>
        <v>61</v>
      </c>
      <c r="DM149" s="726">
        <v>34</v>
      </c>
      <c r="DN149" s="726">
        <v>7</v>
      </c>
      <c r="DO149" s="726">
        <v>-5.0000000000000001E-3</v>
      </c>
      <c r="DP149" s="1151">
        <v>4</v>
      </c>
      <c r="DQ149" s="729">
        <f>SUM(DM149:DP149)</f>
        <v>44.994999999999997</v>
      </c>
      <c r="DR149" s="726">
        <v>37</v>
      </c>
      <c r="DS149" s="726">
        <v>6</v>
      </c>
      <c r="DT149" s="726">
        <v>4</v>
      </c>
      <c r="DU149" s="1151">
        <v>7</v>
      </c>
      <c r="DV149" s="729">
        <f>SUM(DR149:DU149)</f>
        <v>54</v>
      </c>
      <c r="DW149" s="1151">
        <v>32</v>
      </c>
      <c r="DX149" s="1151">
        <v>10</v>
      </c>
      <c r="DY149" s="1151">
        <v>6</v>
      </c>
      <c r="DZ149" s="1151">
        <v>-4</v>
      </c>
      <c r="EA149" s="729">
        <f>SUM(DW149:DZ149)</f>
        <v>44</v>
      </c>
      <c r="EB149" s="1151">
        <v>31</v>
      </c>
      <c r="EC149" s="1151">
        <v>4</v>
      </c>
      <c r="ED149" s="1151">
        <v>3</v>
      </c>
      <c r="EE149" s="1151">
        <v>4</v>
      </c>
      <c r="EF149" s="729">
        <f>SUM(EB149:EE149)</f>
        <v>42</v>
      </c>
      <c r="EG149" s="1151">
        <v>27</v>
      </c>
      <c r="EH149" s="1151">
        <v>8</v>
      </c>
      <c r="EI149" s="1151">
        <v>7</v>
      </c>
      <c r="EJ149" s="1151">
        <v>0</v>
      </c>
      <c r="EK149" s="729">
        <f>SUM(EG149:EJ149)</f>
        <v>42</v>
      </c>
      <c r="EL149" s="1151">
        <v>27</v>
      </c>
      <c r="EM149" s="1151">
        <v>5</v>
      </c>
      <c r="EN149" s="1151">
        <v>7</v>
      </c>
      <c r="EO149" s="1151">
        <v>6</v>
      </c>
      <c r="EP149" s="729">
        <f>SUM(EL149:EO149)</f>
        <v>45</v>
      </c>
      <c r="EQ149" s="1151">
        <v>16</v>
      </c>
      <c r="ER149" s="2125">
        <v>13</v>
      </c>
      <c r="ES149" s="2125">
        <v>13</v>
      </c>
      <c r="ET149" s="920">
        <v>6</v>
      </c>
      <c r="EU149" s="1971">
        <f>SUM(EQ149:ET149)</f>
        <v>48</v>
      </c>
      <c r="EV149" s="730"/>
      <c r="EW149" s="730"/>
      <c r="EX149" s="730"/>
      <c r="EY149" s="730"/>
      <c r="EZ149" s="860">
        <f>+EU149</f>
        <v>48</v>
      </c>
      <c r="FA149" s="730"/>
      <c r="FB149" s="730"/>
      <c r="FC149" s="730"/>
      <c r="FD149" s="730"/>
      <c r="FE149" s="860">
        <f>+EZ149</f>
        <v>48</v>
      </c>
      <c r="FF149" s="786"/>
      <c r="FG149" s="656"/>
      <c r="FH149" s="1068"/>
      <c r="FI149" s="1068"/>
      <c r="FJ149" s="1068"/>
      <c r="FK149" s="1068"/>
      <c r="FL149" s="1826"/>
      <c r="FM149" s="1783">
        <f t="shared" si="500"/>
        <v>16</v>
      </c>
      <c r="FN149" s="1783">
        <f t="shared" si="501"/>
        <v>27</v>
      </c>
      <c r="FO149" s="920">
        <v>13</v>
      </c>
      <c r="FP149" s="1871">
        <f>IFERROR(($FM149/FN149)-1,"")</f>
        <v>-0.40740740740740744</v>
      </c>
      <c r="FQ149" s="1871">
        <f>IFERROR(($FM149/FO149)-1,"")</f>
        <v>0.23076923076923084</v>
      </c>
      <c r="FR149" s="86" t="s">
        <v>862</v>
      </c>
      <c r="FS149" s="584"/>
      <c r="FT149" s="584"/>
      <c r="FU149" s="1426"/>
      <c r="FV149" s="418"/>
      <c r="FW149" s="418"/>
      <c r="FX149" s="418"/>
      <c r="FY149" s="418"/>
      <c r="FZ149" s="584"/>
      <c r="GA149" s="656"/>
      <c r="GB149"/>
      <c r="GC149"/>
      <c r="GD149"/>
      <c r="GE149"/>
      <c r="GF149"/>
      <c r="GG149"/>
      <c r="GH149" s="976"/>
      <c r="GI149" s="976"/>
      <c r="GJ149" s="976"/>
      <c r="GK149" s="976"/>
      <c r="GL149" s="976"/>
      <c r="GM149" s="976"/>
      <c r="GN149" s="976"/>
      <c r="GO149" s="976"/>
      <c r="GP149" s="976"/>
      <c r="GQ149" s="976"/>
      <c r="GR149" s="976"/>
      <c r="GS149" s="976"/>
      <c r="GT149" s="976"/>
      <c r="GU149" s="976"/>
      <c r="GV149" s="976"/>
      <c r="GW149" s="976"/>
      <c r="GX149" s="976"/>
      <c r="GY149" s="976"/>
      <c r="GZ149" s="976"/>
      <c r="HA149" s="976"/>
      <c r="HB149" s="976"/>
      <c r="HC149" s="976"/>
      <c r="HD149" s="976"/>
      <c r="HE149" s="976"/>
      <c r="HF149" s="976"/>
      <c r="HG149" s="976"/>
      <c r="HH149" s="976"/>
      <c r="HI149" s="976"/>
      <c r="HJ149" s="976"/>
      <c r="HK149" s="976"/>
      <c r="HL149" s="976"/>
      <c r="HM149" s="976"/>
      <c r="HN149" s="976"/>
      <c r="HO149" s="976"/>
      <c r="HP149" s="976"/>
      <c r="HQ149" s="976"/>
      <c r="HR149" s="976"/>
      <c r="HS149" s="976"/>
      <c r="HT149" s="976"/>
      <c r="HU149" s="976"/>
      <c r="HV149" s="976"/>
      <c r="HW149" s="976"/>
      <c r="HX149" s="976"/>
      <c r="HY149" s="976"/>
      <c r="HZ149" s="976"/>
      <c r="IA149" s="976"/>
      <c r="IB149" s="976"/>
      <c r="IC149" s="976"/>
      <c r="ID149" s="976"/>
      <c r="IE149" s="976"/>
      <c r="IF149" s="976"/>
      <c r="IG149" s="976"/>
      <c r="IH149" s="976"/>
      <c r="II149" s="976"/>
      <c r="IJ149" s="976"/>
      <c r="IK149" s="976"/>
      <c r="IL149" s="976"/>
      <c r="IM149" s="976"/>
      <c r="IN149" s="976"/>
      <c r="IO149" s="976"/>
      <c r="IP149" s="976"/>
      <c r="IQ149" s="976"/>
      <c r="IR149" s="976"/>
      <c r="IS149" s="976"/>
      <c r="IT149" s="976"/>
      <c r="IU149" s="976"/>
      <c r="IV149" s="976"/>
    </row>
    <row r="150" spans="1:256" s="104" customFormat="1" ht="12.75" x14ac:dyDescent="0.2">
      <c r="A150" s="101" t="s">
        <v>495</v>
      </c>
      <c r="B150" s="102"/>
      <c r="C150" s="102"/>
      <c r="D150" s="102"/>
      <c r="E150" s="211"/>
      <c r="F150" s="103"/>
      <c r="G150" s="102"/>
      <c r="H150" s="102"/>
      <c r="I150" s="102"/>
      <c r="J150" s="211"/>
      <c r="K150" s="103"/>
      <c r="L150" s="102"/>
      <c r="M150" s="102"/>
      <c r="N150" s="102"/>
      <c r="O150" s="211"/>
      <c r="P150" s="103"/>
      <c r="Q150" s="102"/>
      <c r="R150" s="102"/>
      <c r="S150" s="102"/>
      <c r="T150" s="211"/>
      <c r="U150" s="103"/>
      <c r="V150" s="102"/>
      <c r="W150" s="102"/>
      <c r="X150" s="102"/>
      <c r="Y150" s="211"/>
      <c r="Z150" s="103"/>
      <c r="AA150" s="102"/>
      <c r="AB150" s="102"/>
      <c r="AC150" s="102"/>
      <c r="AD150" s="211"/>
      <c r="AE150" s="103"/>
      <c r="AF150" s="102"/>
      <c r="AG150" s="102"/>
      <c r="AH150" s="102"/>
      <c r="AI150" s="211"/>
      <c r="AJ150" s="103">
        <f t="shared" ref="AJ150:BO150" si="549">(AJ138-AJ149)*1000000/AJ142</f>
        <v>58951.323097027118</v>
      </c>
      <c r="AK150" s="102">
        <f t="shared" si="549"/>
        <v>16015.790814160795</v>
      </c>
      <c r="AL150" s="102">
        <f t="shared" si="549"/>
        <v>15006.407518154634</v>
      </c>
      <c r="AM150" s="102">
        <f t="shared" si="549"/>
        <v>14660.652920962199</v>
      </c>
      <c r="AN150" s="211">
        <f t="shared" si="549"/>
        <v>14225.977497090142</v>
      </c>
      <c r="AO150" s="103">
        <f t="shared" si="549"/>
        <v>59924.019476697526</v>
      </c>
      <c r="AP150" s="102">
        <f t="shared" si="549"/>
        <v>15505.569837189374</v>
      </c>
      <c r="AQ150" s="102">
        <f t="shared" si="549"/>
        <v>15086.891225059</v>
      </c>
      <c r="AR150" s="102">
        <f t="shared" si="549"/>
        <v>14977.842168058633</v>
      </c>
      <c r="AS150" s="211">
        <f t="shared" si="549"/>
        <v>14669.08275088446</v>
      </c>
      <c r="AT150" s="103">
        <f t="shared" si="549"/>
        <v>60241.609587205625</v>
      </c>
      <c r="AU150" s="102">
        <f t="shared" si="549"/>
        <v>16702.51803112742</v>
      </c>
      <c r="AV150" s="102">
        <f t="shared" si="549"/>
        <v>15122.638382499172</v>
      </c>
      <c r="AW150" s="102">
        <f t="shared" si="549"/>
        <v>15216.31847343313</v>
      </c>
      <c r="AX150" s="211">
        <f t="shared" si="549"/>
        <v>14688.529926353907</v>
      </c>
      <c r="AY150" s="103">
        <f t="shared" si="549"/>
        <v>61692.406293287022</v>
      </c>
      <c r="AZ150" s="102">
        <f t="shared" si="549"/>
        <v>14812.429560457253</v>
      </c>
      <c r="BA150" s="102">
        <f t="shared" si="549"/>
        <v>14671.403197158083</v>
      </c>
      <c r="BB150" s="102">
        <f t="shared" si="549"/>
        <v>16291.544858513325</v>
      </c>
      <c r="BC150" s="211">
        <f t="shared" si="549"/>
        <v>14139.471749335446</v>
      </c>
      <c r="BD150" s="103">
        <f t="shared" si="549"/>
        <v>60037.705621050416</v>
      </c>
      <c r="BE150" s="102">
        <f t="shared" si="549"/>
        <v>15988.917429074432</v>
      </c>
      <c r="BF150" s="102">
        <f t="shared" si="549"/>
        <v>15437.084903966972</v>
      </c>
      <c r="BG150" s="102">
        <f t="shared" si="549"/>
        <v>15368.293422249166</v>
      </c>
      <c r="BH150" s="211">
        <f t="shared" si="549"/>
        <v>15227.483751160631</v>
      </c>
      <c r="BI150" s="103">
        <f t="shared" si="549"/>
        <v>62050.6091846298</v>
      </c>
      <c r="BJ150" s="102">
        <f t="shared" si="549"/>
        <v>16695.618606446631</v>
      </c>
      <c r="BK150" s="102">
        <f t="shared" si="549"/>
        <v>16199.819284884472</v>
      </c>
      <c r="BL150" s="102">
        <f t="shared" si="549"/>
        <v>15780.785737867283</v>
      </c>
      <c r="BM150" s="211">
        <f t="shared" si="549"/>
        <v>17265.656430199811</v>
      </c>
      <c r="BN150" s="103">
        <f t="shared" si="549"/>
        <v>65929.029723713495</v>
      </c>
      <c r="BO150" s="102">
        <f t="shared" si="549"/>
        <v>18091.251859282576</v>
      </c>
      <c r="BP150" s="102">
        <f t="shared" ref="BP150:CU150" si="550">(BP138-BP149)*1000000/BP142</f>
        <v>17330.96209505876</v>
      </c>
      <c r="BQ150" s="102">
        <f t="shared" si="550"/>
        <v>17184.425077312342</v>
      </c>
      <c r="BR150" s="211">
        <f t="shared" si="550"/>
        <v>18123.366070797711</v>
      </c>
      <c r="BS150" s="103">
        <f t="shared" si="550"/>
        <v>69926.889845034457</v>
      </c>
      <c r="BT150" s="102">
        <f t="shared" si="550"/>
        <v>18542.765136770588</v>
      </c>
      <c r="BU150" s="102">
        <f t="shared" si="550"/>
        <v>18596.639246291219</v>
      </c>
      <c r="BV150" s="102">
        <f t="shared" si="550"/>
        <v>18428.506486694409</v>
      </c>
      <c r="BW150" s="211">
        <f t="shared" si="550"/>
        <v>19860.02060610367</v>
      </c>
      <c r="BX150" s="103">
        <f t="shared" si="550"/>
        <v>75417.147793281561</v>
      </c>
      <c r="BY150" s="102">
        <f t="shared" si="550"/>
        <v>19553.474972992437</v>
      </c>
      <c r="BZ150" s="102">
        <f t="shared" si="550"/>
        <v>19740.856394242848</v>
      </c>
      <c r="CA150" s="102">
        <f t="shared" si="550"/>
        <v>19821.040248119498</v>
      </c>
      <c r="CB150" s="211">
        <f t="shared" si="550"/>
        <v>19967.771316471659</v>
      </c>
      <c r="CC150" s="103">
        <f t="shared" si="550"/>
        <v>79088.997398153762</v>
      </c>
      <c r="CD150" s="102">
        <f t="shared" si="550"/>
        <v>20224.79587304841</v>
      </c>
      <c r="CE150" s="102">
        <f t="shared" si="550"/>
        <v>19921.249332621464</v>
      </c>
      <c r="CF150" s="102">
        <f t="shared" si="550"/>
        <v>19877.675840978594</v>
      </c>
      <c r="CG150" s="211">
        <f t="shared" si="550"/>
        <v>20277.907054052259</v>
      </c>
      <c r="CH150" s="103">
        <f t="shared" si="550"/>
        <v>80298.144968803652</v>
      </c>
      <c r="CI150" s="102">
        <f t="shared" si="550"/>
        <v>21243.246848529314</v>
      </c>
      <c r="CJ150" s="102">
        <f t="shared" si="550"/>
        <v>20677.694770544291</v>
      </c>
      <c r="CK150" s="102">
        <f t="shared" si="550"/>
        <v>20766.189321194805</v>
      </c>
      <c r="CL150" s="211">
        <f t="shared" si="550"/>
        <v>20693.5307923705</v>
      </c>
      <c r="CM150" s="103">
        <f t="shared" si="550"/>
        <v>83379.045529347233</v>
      </c>
      <c r="CN150" s="102">
        <f t="shared" si="550"/>
        <v>20666.579189082797</v>
      </c>
      <c r="CO150" s="102">
        <f t="shared" si="550"/>
        <v>20106.445890005914</v>
      </c>
      <c r="CP150" s="102">
        <f t="shared" si="550"/>
        <v>20020.516893345248</v>
      </c>
      <c r="CQ150" s="211">
        <f t="shared" si="550"/>
        <v>20162.892332141437</v>
      </c>
      <c r="CR150" s="103">
        <f t="shared" si="550"/>
        <v>80959.248423915284</v>
      </c>
      <c r="CS150" s="102">
        <f t="shared" si="550"/>
        <v>21164.021164021164</v>
      </c>
      <c r="CT150" s="102">
        <f t="shared" si="550"/>
        <v>20947.96155120981</v>
      </c>
      <c r="CU150" s="102">
        <f t="shared" si="550"/>
        <v>22671.60918779374</v>
      </c>
      <c r="CV150" s="211">
        <f t="shared" ref="CV150:EA150" si="551">(CV138-CV149)*1000000/CV142</f>
        <v>21029.038531263392</v>
      </c>
      <c r="CW150" s="103">
        <f t="shared" si="551"/>
        <v>85811.36380546118</v>
      </c>
      <c r="CX150" s="102">
        <f t="shared" si="551"/>
        <v>21083.217893705441</v>
      </c>
      <c r="CY150" s="102">
        <f t="shared" si="551"/>
        <v>19687.712152070606</v>
      </c>
      <c r="CZ150" s="102">
        <f t="shared" si="551"/>
        <v>21043.832230864286</v>
      </c>
      <c r="DA150" s="102">
        <f t="shared" si="551"/>
        <v>21271.969559702844</v>
      </c>
      <c r="DB150" s="103">
        <f t="shared" si="551"/>
        <v>83093.004889389762</v>
      </c>
      <c r="DC150" s="102">
        <f t="shared" si="551"/>
        <v>23837.083122332344</v>
      </c>
      <c r="DD150" s="102">
        <f t="shared" si="551"/>
        <v>23641.255605381168</v>
      </c>
      <c r="DE150" s="102">
        <f t="shared" si="551"/>
        <v>23762.306112330902</v>
      </c>
      <c r="DF150" s="102">
        <f t="shared" si="551"/>
        <v>22574.613946402606</v>
      </c>
      <c r="DG150" s="103">
        <f t="shared" si="551"/>
        <v>93784.678758178634</v>
      </c>
      <c r="DH150" s="102">
        <f t="shared" si="551"/>
        <v>24555.921611248854</v>
      </c>
      <c r="DI150" s="102">
        <f t="shared" si="551"/>
        <v>24543.168482816429</v>
      </c>
      <c r="DJ150" s="102">
        <f t="shared" si="551"/>
        <v>24316.613588110402</v>
      </c>
      <c r="DK150" s="102">
        <f t="shared" si="551"/>
        <v>23911.60949868074</v>
      </c>
      <c r="DL150" s="103">
        <f t="shared" si="551"/>
        <v>97317.342063942808</v>
      </c>
      <c r="DM150" s="102">
        <f t="shared" si="551"/>
        <v>24551.093698987919</v>
      </c>
      <c r="DN150" s="102">
        <f t="shared" si="551"/>
        <v>23505.884667081926</v>
      </c>
      <c r="DO150" s="102">
        <f t="shared" si="551"/>
        <v>23743.318138589184</v>
      </c>
      <c r="DP150" s="102">
        <f t="shared" si="551"/>
        <v>23638.804308679566</v>
      </c>
      <c r="DQ150" s="103">
        <f t="shared" si="551"/>
        <v>95441.724168979039</v>
      </c>
      <c r="DR150" s="102">
        <f t="shared" si="551"/>
        <v>24688.486459544776</v>
      </c>
      <c r="DS150" s="102">
        <f t="shared" si="551"/>
        <v>24104.452628054903</v>
      </c>
      <c r="DT150" s="102">
        <f t="shared" si="551"/>
        <v>24698.449167145318</v>
      </c>
      <c r="DU150" s="102">
        <f t="shared" si="551"/>
        <v>25798.0634344955</v>
      </c>
      <c r="DV150" s="103">
        <f t="shared" si="551"/>
        <v>99268.450782479864</v>
      </c>
      <c r="DW150" s="102">
        <f t="shared" si="551"/>
        <v>24573.947450626496</v>
      </c>
      <c r="DX150" s="102">
        <f t="shared" si="551"/>
        <v>24469.820554649265</v>
      </c>
      <c r="DY150" s="102">
        <f t="shared" si="551"/>
        <v>24746.366876885109</v>
      </c>
      <c r="DZ150" s="102">
        <f t="shared" si="551"/>
        <v>24376.994635703129</v>
      </c>
      <c r="EA150" s="103">
        <f t="shared" si="551"/>
        <v>98166.053057151701</v>
      </c>
      <c r="EB150" s="102">
        <f t="shared" ref="EB150:EK150" si="552">(EB138-EB149)*1000000/EB142</f>
        <v>25120.256547300909</v>
      </c>
      <c r="EC150" s="102">
        <f t="shared" si="552"/>
        <v>23964.053919121317</v>
      </c>
      <c r="ED150" s="102">
        <f t="shared" si="552"/>
        <v>23102.09207786628</v>
      </c>
      <c r="EE150" s="102">
        <f t="shared" si="552"/>
        <v>23275.977057489661</v>
      </c>
      <c r="EF150" s="103">
        <f t="shared" si="552"/>
        <v>95453.562457371954</v>
      </c>
      <c r="EG150" s="102">
        <f t="shared" si="552"/>
        <v>24788.973180895395</v>
      </c>
      <c r="EH150" s="102">
        <f t="shared" si="552"/>
        <v>23596.390718991694</v>
      </c>
      <c r="EI150" s="102">
        <f t="shared" si="552"/>
        <v>24589.279936729337</v>
      </c>
      <c r="EJ150" s="102">
        <f t="shared" si="552"/>
        <v>23984.63823774501</v>
      </c>
      <c r="EK150" s="103">
        <f t="shared" si="552"/>
        <v>96963.822550101861</v>
      </c>
      <c r="EL150" s="102">
        <f>(EL138-EL149)*1000000/EL142</f>
        <v>26663.752595344769</v>
      </c>
      <c r="EM150" s="102">
        <f t="shared" ref="EM150:EP150" si="553">(EM138-EM149)*1000000/EM142</f>
        <v>26358.535144713525</v>
      </c>
      <c r="EN150" s="102">
        <f t="shared" si="553"/>
        <v>28549.0078846082</v>
      </c>
      <c r="EO150" s="102">
        <f t="shared" si="553"/>
        <v>27300.150829562594</v>
      </c>
      <c r="EP150" s="103">
        <f t="shared" si="553"/>
        <v>108846.06110070301</v>
      </c>
      <c r="EQ150" s="102">
        <f>(EQ138-EQ149)*1000000/EQ142</f>
        <v>27279.606507756336</v>
      </c>
      <c r="ER150" s="102">
        <f>EM150*(1+ER151)</f>
        <v>27149.291199054933</v>
      </c>
      <c r="ES150" s="102">
        <f>EN150*(1+ES151)</f>
        <v>30119.203318261651</v>
      </c>
      <c r="ET150" s="102">
        <f>EO150*(1+ET151)</f>
        <v>28801.659125188533</v>
      </c>
      <c r="EU150" s="1970">
        <f>(EU138-EU149)*1000000/EU142</f>
        <v>113380.29123488881</v>
      </c>
      <c r="EV150" s="102"/>
      <c r="EW150" s="102"/>
      <c r="EX150" s="102"/>
      <c r="EY150" s="102"/>
      <c r="EZ150" s="859">
        <f>EU150*(1+EZ151)</f>
        <v>116781.69997193548</v>
      </c>
      <c r="FA150" s="102"/>
      <c r="FB150" s="102"/>
      <c r="FC150" s="102"/>
      <c r="FD150" s="102"/>
      <c r="FE150" s="859">
        <f>EZ150*(1+FE151)</f>
        <v>120285.15097109355</v>
      </c>
      <c r="FF150" s="785"/>
      <c r="FG150" s="656"/>
      <c r="FH150" s="1068"/>
      <c r="FI150" s="1068"/>
      <c r="FJ150" s="1068"/>
      <c r="FK150" s="1068"/>
      <c r="FL150" s="1826"/>
      <c r="FM150" s="102">
        <f t="shared" si="500"/>
        <v>27279.606507756336</v>
      </c>
      <c r="FN150" s="102">
        <f t="shared" si="501"/>
        <v>26663.752595344769</v>
      </c>
      <c r="FO150" s="2059">
        <v>27515.389939168759</v>
      </c>
      <c r="FP150" s="387">
        <f>IFERROR(($FM150/FN150)-1,"")</f>
        <v>2.3097045706877983E-2</v>
      </c>
      <c r="FQ150" s="387">
        <f>IFERROR(($FM150/FO150)-1,"")</f>
        <v>-8.5691473729317957E-3</v>
      </c>
      <c r="FR150" s="2137" t="s">
        <v>853</v>
      </c>
      <c r="FS150" s="566"/>
      <c r="FT150" s="566"/>
      <c r="FU150" s="1426"/>
      <c r="FV150" s="418"/>
      <c r="FW150" s="418"/>
      <c r="FX150" s="418"/>
      <c r="FY150" s="418"/>
      <c r="FZ150" s="537"/>
      <c r="GA150" s="656"/>
      <c r="GB150"/>
      <c r="GC150"/>
      <c r="GD150"/>
      <c r="GE150"/>
      <c r="GF150"/>
      <c r="GG150"/>
      <c r="GH150" s="963"/>
      <c r="GI150" s="963"/>
      <c r="GJ150" s="963"/>
      <c r="GK150" s="963"/>
      <c r="GL150" s="963"/>
      <c r="GM150" s="963"/>
      <c r="GN150" s="963"/>
      <c r="GO150" s="963"/>
      <c r="GP150" s="963"/>
      <c r="GQ150" s="963"/>
      <c r="GR150" s="963"/>
      <c r="GS150" s="963"/>
      <c r="GT150" s="963"/>
      <c r="GU150" s="963"/>
      <c r="GV150" s="963"/>
      <c r="GW150" s="963"/>
      <c r="GX150" s="963"/>
      <c r="GY150" s="963"/>
      <c r="GZ150" s="963"/>
      <c r="HA150" s="963"/>
      <c r="HB150" s="963"/>
      <c r="HC150" s="963"/>
      <c r="HD150" s="963"/>
      <c r="HE150" s="963"/>
      <c r="HF150" s="963"/>
      <c r="HG150" s="963"/>
      <c r="HH150" s="963"/>
      <c r="HI150" s="963"/>
      <c r="HJ150" s="963"/>
      <c r="HK150" s="963"/>
      <c r="HL150" s="963"/>
      <c r="HM150" s="963"/>
      <c r="HN150" s="963"/>
      <c r="HO150" s="963"/>
      <c r="HP150" s="963"/>
      <c r="HQ150" s="963"/>
      <c r="HR150" s="963"/>
      <c r="HS150" s="963"/>
      <c r="HT150" s="963"/>
      <c r="HU150" s="963"/>
      <c r="HV150" s="963"/>
      <c r="HW150" s="963"/>
      <c r="HX150" s="963"/>
      <c r="HY150" s="963"/>
      <c r="HZ150" s="963"/>
      <c r="IA150" s="963"/>
      <c r="IB150" s="963"/>
      <c r="IC150" s="963"/>
      <c r="ID150" s="963"/>
      <c r="IE150" s="963"/>
      <c r="IF150" s="963"/>
      <c r="IG150" s="963"/>
      <c r="IH150" s="963"/>
      <c r="II150" s="963"/>
      <c r="IJ150" s="963"/>
      <c r="IK150" s="963"/>
      <c r="IL150" s="963"/>
      <c r="IM150" s="963"/>
      <c r="IN150" s="963"/>
      <c r="IO150" s="963"/>
      <c r="IP150" s="963"/>
      <c r="IQ150" s="963"/>
      <c r="IR150" s="963"/>
      <c r="IS150" s="963"/>
      <c r="IT150" s="963"/>
      <c r="IU150" s="963"/>
      <c r="IV150" s="963"/>
    </row>
    <row r="151" spans="1:256" s="99" customFormat="1" ht="12.75" x14ac:dyDescent="0.2">
      <c r="A151" s="287" t="s">
        <v>496</v>
      </c>
      <c r="B151" s="22"/>
      <c r="C151" s="22"/>
      <c r="D151" s="22"/>
      <c r="E151" s="197"/>
      <c r="F151" s="21"/>
      <c r="G151" s="22"/>
      <c r="H151" s="22"/>
      <c r="I151" s="22"/>
      <c r="J151" s="197"/>
      <c r="K151" s="21"/>
      <c r="L151" s="22"/>
      <c r="M151" s="22"/>
      <c r="N151" s="22"/>
      <c r="O151" s="197"/>
      <c r="P151" s="21"/>
      <c r="Q151" s="22"/>
      <c r="R151" s="22"/>
      <c r="S151" s="22"/>
      <c r="T151" s="197"/>
      <c r="U151" s="21"/>
      <c r="V151" s="22"/>
      <c r="W151" s="22"/>
      <c r="X151" s="22"/>
      <c r="Y151" s="197"/>
      <c r="Z151" s="21"/>
      <c r="AA151" s="22"/>
      <c r="AB151" s="22"/>
      <c r="AC151" s="22"/>
      <c r="AD151" s="197"/>
      <c r="AE151" s="21"/>
      <c r="AF151" s="22"/>
      <c r="AG151" s="22"/>
      <c r="AH151" s="22"/>
      <c r="AI151" s="197"/>
      <c r="AJ151" s="21"/>
      <c r="AK151" s="22"/>
      <c r="AL151" s="22"/>
      <c r="AM151" s="22"/>
      <c r="AN151" s="197"/>
      <c r="AO151" s="21">
        <f t="shared" ref="AO151:CZ151" si="554">AO150/AJ150-1</f>
        <v>1.6499992342317027E-2</v>
      </c>
      <c r="AP151" s="22">
        <f t="shared" si="554"/>
        <v>-3.1857370197436397E-2</v>
      </c>
      <c r="AQ151" s="22">
        <f t="shared" si="554"/>
        <v>5.3632894353292659E-3</v>
      </c>
      <c r="AR151" s="22">
        <f t="shared" si="554"/>
        <v>2.1635410701450253E-2</v>
      </c>
      <c r="AS151" s="197">
        <f t="shared" si="554"/>
        <v>3.1147613855353917E-2</v>
      </c>
      <c r="AT151" s="21">
        <f t="shared" si="554"/>
        <v>5.2998799693602106E-3</v>
      </c>
      <c r="AU151" s="22">
        <f t="shared" si="554"/>
        <v>7.7194724638060208E-2</v>
      </c>
      <c r="AV151" s="22">
        <f t="shared" si="554"/>
        <v>2.3694183849352068E-3</v>
      </c>
      <c r="AW151" s="22">
        <f t="shared" si="554"/>
        <v>1.592194006978298E-2</v>
      </c>
      <c r="AX151" s="197">
        <f t="shared" si="554"/>
        <v>1.3257253912672962E-3</v>
      </c>
      <c r="AY151" s="21">
        <f t="shared" si="554"/>
        <v>2.4082967172071035E-2</v>
      </c>
      <c r="AZ151" s="22">
        <f t="shared" si="554"/>
        <v>-0.11316188775535097</v>
      </c>
      <c r="BA151" s="22">
        <f t="shared" si="554"/>
        <v>-2.9838390228472678E-2</v>
      </c>
      <c r="BB151" s="22">
        <f t="shared" si="554"/>
        <v>7.0662715620567695E-2</v>
      </c>
      <c r="BC151" s="197">
        <f t="shared" si="554"/>
        <v>-3.7380063203830249E-2</v>
      </c>
      <c r="BD151" s="21">
        <f t="shared" si="554"/>
        <v>-2.6821788477014885E-2</v>
      </c>
      <c r="BE151" s="22">
        <f t="shared" si="554"/>
        <v>7.9425719043275E-2</v>
      </c>
      <c r="BF151" s="22">
        <f t="shared" si="554"/>
        <v>5.2188716820024794E-2</v>
      </c>
      <c r="BG151" s="22">
        <f t="shared" si="554"/>
        <v>-5.6670588595636118E-2</v>
      </c>
      <c r="BH151" s="197">
        <f t="shared" si="554"/>
        <v>7.6948560817084344E-2</v>
      </c>
      <c r="BI151" s="21">
        <f t="shared" si="554"/>
        <v>3.3527323250567731E-2</v>
      </c>
      <c r="BJ151" s="22">
        <f t="shared" si="554"/>
        <v>4.4199438799222612E-2</v>
      </c>
      <c r="BK151" s="22">
        <f t="shared" si="554"/>
        <v>4.9409223675481284E-2</v>
      </c>
      <c r="BL151" s="22">
        <f t="shared" si="554"/>
        <v>2.684047631605857E-2</v>
      </c>
      <c r="BM151" s="197">
        <f t="shared" si="554"/>
        <v>0.13384829117836561</v>
      </c>
      <c r="BN151" s="21">
        <f t="shared" si="554"/>
        <v>6.2504149275046883E-2</v>
      </c>
      <c r="BO151" s="22">
        <f t="shared" si="554"/>
        <v>8.3592784773907969E-2</v>
      </c>
      <c r="BP151" s="22">
        <f t="shared" si="554"/>
        <v>6.9824409166694856E-2</v>
      </c>
      <c r="BQ151" s="22">
        <f t="shared" si="554"/>
        <v>8.8946099564416015E-2</v>
      </c>
      <c r="BR151" s="197">
        <f t="shared" si="554"/>
        <v>4.9677210018939988E-2</v>
      </c>
      <c r="BS151" s="21">
        <f t="shared" si="554"/>
        <v>6.0638843587940805E-2</v>
      </c>
      <c r="BT151" s="22">
        <f t="shared" si="554"/>
        <v>2.4957547493118293E-2</v>
      </c>
      <c r="BU151" s="22">
        <f t="shared" si="554"/>
        <v>7.3029826289523703E-2</v>
      </c>
      <c r="BV151" s="22">
        <f t="shared" si="554"/>
        <v>7.2395870317742528E-2</v>
      </c>
      <c r="BW151" s="197">
        <f t="shared" si="554"/>
        <v>9.582406096758378E-2</v>
      </c>
      <c r="BX151" s="21">
        <f t="shared" si="554"/>
        <v>7.8514259112826501E-2</v>
      </c>
      <c r="BY151" s="22">
        <f t="shared" si="554"/>
        <v>5.4506964240063516E-2</v>
      </c>
      <c r="BZ151" s="22">
        <f t="shared" si="554"/>
        <v>6.1528168224257218E-2</v>
      </c>
      <c r="CA151" s="22">
        <f t="shared" si="554"/>
        <v>7.5564113805452138E-2</v>
      </c>
      <c r="CB151" s="197">
        <f t="shared" si="554"/>
        <v>5.4255084878851445E-3</v>
      </c>
      <c r="CC151" s="21">
        <f t="shared" si="554"/>
        <v>4.8687197969044638E-2</v>
      </c>
      <c r="CD151" s="22">
        <f t="shared" si="554"/>
        <v>3.433256242091054E-2</v>
      </c>
      <c r="CE151" s="22">
        <f t="shared" si="554"/>
        <v>9.1380502839393252E-3</v>
      </c>
      <c r="CF151" s="22">
        <f t="shared" si="554"/>
        <v>2.8573471498030134E-3</v>
      </c>
      <c r="CG151" s="197">
        <f t="shared" si="554"/>
        <v>1.5531815377150648E-2</v>
      </c>
      <c r="CH151" s="21">
        <f t="shared" si="554"/>
        <v>1.5288442266662372E-2</v>
      </c>
      <c r="CI151" s="22">
        <f t="shared" si="554"/>
        <v>5.0356551525847282E-2</v>
      </c>
      <c r="CJ151" s="22">
        <f t="shared" si="554"/>
        <v>3.797178707482618E-2</v>
      </c>
      <c r="CK151" s="22">
        <f t="shared" si="554"/>
        <v>4.4699062773953857E-2</v>
      </c>
      <c r="CL151" s="197">
        <f t="shared" si="554"/>
        <v>2.0496382452605433E-2</v>
      </c>
      <c r="CM151" s="21">
        <f t="shared" si="554"/>
        <v>3.8368265689581404E-2</v>
      </c>
      <c r="CN151" s="22">
        <f t="shared" si="554"/>
        <v>-2.7145928471213887E-2</v>
      </c>
      <c r="CO151" s="22">
        <f t="shared" si="554"/>
        <v>-2.7626332958165634E-2</v>
      </c>
      <c r="CP151" s="22">
        <f t="shared" si="554"/>
        <v>-3.5908004897580947E-2</v>
      </c>
      <c r="CQ151" s="197">
        <f t="shared" si="554"/>
        <v>-2.5642722141197116E-2</v>
      </c>
      <c r="CR151" s="21">
        <f t="shared" si="554"/>
        <v>-2.9021645547384511E-2</v>
      </c>
      <c r="CS151" s="22">
        <f t="shared" si="554"/>
        <v>2.4069874863525742E-2</v>
      </c>
      <c r="CT151" s="22">
        <f t="shared" si="554"/>
        <v>4.185302891458198E-2</v>
      </c>
      <c r="CU151" s="22">
        <f t="shared" si="554"/>
        <v>0.13241877362965115</v>
      </c>
      <c r="CV151" s="197">
        <f t="shared" si="554"/>
        <v>4.2957438092412925E-2</v>
      </c>
      <c r="CW151" s="21">
        <f t="shared" si="554"/>
        <v>5.9932811581197676E-2</v>
      </c>
      <c r="CX151" s="365">
        <f t="shared" si="554"/>
        <v>-3.8179545224178435E-3</v>
      </c>
      <c r="CY151" s="365">
        <f t="shared" si="554"/>
        <v>-6.0160956284857292E-2</v>
      </c>
      <c r="CZ151" s="365">
        <f t="shared" si="554"/>
        <v>-7.1798033542578854E-2</v>
      </c>
      <c r="DA151" s="22">
        <f t="shared" ref="DA151:DY151" si="555">DA150/CV150-1</f>
        <v>1.1552170018533703E-2</v>
      </c>
      <c r="DB151" s="21">
        <f t="shared" si="555"/>
        <v>-3.1678309206623068E-2</v>
      </c>
      <c r="DC151" s="365">
        <f t="shared" si="555"/>
        <v>0.13061882880075393</v>
      </c>
      <c r="DD151" s="365">
        <f t="shared" si="555"/>
        <v>0.20081274161125706</v>
      </c>
      <c r="DE151" s="365">
        <f t="shared" si="555"/>
        <v>0.12918150323777633</v>
      </c>
      <c r="DF151" s="22">
        <f t="shared" si="555"/>
        <v>6.1237601108994788E-2</v>
      </c>
      <c r="DG151" s="732">
        <f t="shared" si="555"/>
        <v>0.12867116652022892</v>
      </c>
      <c r="DH151" s="22">
        <f t="shared" si="555"/>
        <v>3.0156310871905623E-2</v>
      </c>
      <c r="DI151" s="365">
        <f t="shared" si="555"/>
        <v>3.8149956689693232E-2</v>
      </c>
      <c r="DJ151" s="365">
        <f t="shared" si="555"/>
        <v>2.3327175113355469E-2</v>
      </c>
      <c r="DK151" s="22">
        <f t="shared" si="555"/>
        <v>5.9225621995240951E-2</v>
      </c>
      <c r="DL151" s="732">
        <f>DL150/DG150-1</f>
        <v>3.7667808351437237E-2</v>
      </c>
      <c r="DM151" s="22">
        <f t="shared" si="555"/>
        <v>-1.9660888063444126E-4</v>
      </c>
      <c r="DN151" s="365">
        <f t="shared" si="555"/>
        <v>-4.2263647273608651E-2</v>
      </c>
      <c r="DO151" s="365">
        <f t="shared" si="555"/>
        <v>-2.3576286535289981E-2</v>
      </c>
      <c r="DP151" s="22">
        <f t="shared" si="555"/>
        <v>-1.1408901187359488E-2</v>
      </c>
      <c r="DQ151" s="732">
        <f>DQ150/DL150-1</f>
        <v>-1.9273213336749251E-2</v>
      </c>
      <c r="DR151" s="22">
        <f t="shared" si="555"/>
        <v>5.5961971487454854E-3</v>
      </c>
      <c r="DS151" s="365">
        <f t="shared" si="555"/>
        <v>2.5464600437320462E-2</v>
      </c>
      <c r="DT151" s="22">
        <f t="shared" si="555"/>
        <v>4.0227360935024103E-2</v>
      </c>
      <c r="DU151" s="22">
        <f t="shared" si="555"/>
        <v>9.1343838614676098E-2</v>
      </c>
      <c r="DV151" s="732">
        <f>DV150/DQ150-1</f>
        <v>4.0094902379651298E-2</v>
      </c>
      <c r="DW151" s="22">
        <f t="shared" si="555"/>
        <v>-4.6393694123764151E-3</v>
      </c>
      <c r="DX151" s="365">
        <f t="shared" si="555"/>
        <v>1.5157694399130062E-2</v>
      </c>
      <c r="DY151" s="22">
        <f t="shared" si="555"/>
        <v>1.940110061790179E-3</v>
      </c>
      <c r="DZ151" s="22">
        <f t="shared" ref="DZ151:EI151" si="556">DZ150/DU150-1</f>
        <v>-5.5084320666186515E-2</v>
      </c>
      <c r="EA151" s="732">
        <f t="shared" si="556"/>
        <v>-1.1105217384159372E-2</v>
      </c>
      <c r="EB151" s="22">
        <f t="shared" si="556"/>
        <v>2.2231230768766208E-2</v>
      </c>
      <c r="EC151" s="365">
        <f t="shared" si="556"/>
        <v>-2.0668996505242121E-2</v>
      </c>
      <c r="ED151" s="22">
        <f t="shared" si="556"/>
        <v>-6.6445099080572501E-2</v>
      </c>
      <c r="EE151" s="22">
        <f t="shared" si="556"/>
        <v>-4.5166255917408749E-2</v>
      </c>
      <c r="EF151" s="732">
        <f t="shared" si="556"/>
        <v>-2.7631655906554031E-2</v>
      </c>
      <c r="EG151" s="22">
        <f t="shared" si="556"/>
        <v>-1.3187897415845029E-2</v>
      </c>
      <c r="EH151" s="365">
        <f t="shared" si="556"/>
        <v>-1.5342278955409072E-2</v>
      </c>
      <c r="EI151" s="22">
        <f t="shared" si="556"/>
        <v>6.4374596631787684E-2</v>
      </c>
      <c r="EJ151" s="22">
        <f>EJ150/EE150-1</f>
        <v>3.0446033629652369E-2</v>
      </c>
      <c r="EK151" s="732">
        <f>EK150/EF150-1</f>
        <v>1.5821935335355919E-2</v>
      </c>
      <c r="EL151" s="22">
        <f>EL150/EG150-1</f>
        <v>7.5629571292378017E-2</v>
      </c>
      <c r="EM151" s="365">
        <f t="shared" ref="EM151:EN151" si="557">EM150/EH150-1</f>
        <v>0.11705792036655427</v>
      </c>
      <c r="EN151" s="22">
        <f t="shared" si="557"/>
        <v>0.1610347256230209</v>
      </c>
      <c r="EO151" s="22">
        <f>EO150/EJ150-1</f>
        <v>0.13823483843921025</v>
      </c>
      <c r="EP151" s="732">
        <f>EP150/EK150-1</f>
        <v>0.12254300870266865</v>
      </c>
      <c r="EQ151" s="22">
        <f>EQ150/EL150-1</f>
        <v>2.3097045706877983E-2</v>
      </c>
      <c r="ER151" s="1600">
        <v>0.03</v>
      </c>
      <c r="ES151" s="1600">
        <v>5.5E-2</v>
      </c>
      <c r="ET151" s="1600">
        <v>5.5E-2</v>
      </c>
      <c r="EU151" s="1972">
        <f>EU150/EP150-1</f>
        <v>4.1657273477179624E-2</v>
      </c>
      <c r="EV151" s="96"/>
      <c r="EW151" s="96"/>
      <c r="EX151" s="96"/>
      <c r="EY151" s="96"/>
      <c r="EZ151" s="834">
        <v>0.03</v>
      </c>
      <c r="FA151" s="96"/>
      <c r="FB151" s="96"/>
      <c r="FC151" s="96"/>
      <c r="FD151" s="96"/>
      <c r="FE151" s="834">
        <v>0.03</v>
      </c>
      <c r="FF151" s="784"/>
      <c r="FG151" s="620"/>
      <c r="FH151" s="1068"/>
      <c r="FI151" s="1068"/>
      <c r="FJ151" s="1068"/>
      <c r="FK151" s="1068"/>
      <c r="FL151" s="1826"/>
      <c r="FM151" s="365">
        <f t="shared" si="500"/>
        <v>2.3097045706877983E-2</v>
      </c>
      <c r="FN151" s="365">
        <f t="shared" si="501"/>
        <v>7.5629571292378017E-2</v>
      </c>
      <c r="FO151" s="1600">
        <v>5.5E-2</v>
      </c>
      <c r="FP151" s="1898">
        <f>IFERROR(($FM151-FN151)*10000,"")</f>
        <v>-525.32525585500036</v>
      </c>
      <c r="FQ151" s="1898">
        <f>IFERROR(($FM151-FO151)*10000,"")</f>
        <v>-319.02954293122019</v>
      </c>
      <c r="FR151" s="575"/>
      <c r="FS151" s="575"/>
      <c r="FT151" s="575"/>
      <c r="FU151" s="1426"/>
      <c r="FV151" s="418"/>
      <c r="FW151" s="418"/>
      <c r="FX151" s="418"/>
      <c r="FY151" s="418"/>
      <c r="FZ151" s="86"/>
      <c r="GA151" s="620"/>
      <c r="GB151"/>
      <c r="GC151"/>
      <c r="GD151"/>
      <c r="GE151"/>
      <c r="GF151"/>
      <c r="GG151"/>
      <c r="GH151" s="974"/>
      <c r="GI151" s="974"/>
      <c r="GJ151" s="974"/>
      <c r="GK151" s="974"/>
      <c r="GL151" s="974"/>
      <c r="GM151" s="974"/>
      <c r="GN151" s="974"/>
      <c r="GO151" s="974"/>
      <c r="GP151" s="974"/>
      <c r="GQ151" s="974"/>
      <c r="GR151" s="974"/>
      <c r="GS151" s="974"/>
      <c r="GT151" s="974"/>
      <c r="GU151" s="974"/>
      <c r="GV151" s="974"/>
      <c r="GW151" s="974"/>
      <c r="GX151" s="974"/>
      <c r="GY151" s="974"/>
      <c r="GZ151" s="974"/>
      <c r="HA151" s="974"/>
      <c r="HB151" s="974"/>
      <c r="HC151" s="974"/>
      <c r="HD151" s="974"/>
      <c r="HE151" s="974"/>
      <c r="HF151" s="974"/>
      <c r="HG151" s="974"/>
      <c r="HH151" s="974"/>
      <c r="HI151" s="974"/>
      <c r="HJ151" s="974"/>
      <c r="HK151" s="974"/>
      <c r="HL151" s="974"/>
      <c r="HM151" s="974"/>
      <c r="HN151" s="974"/>
      <c r="HO151" s="974"/>
      <c r="HP151" s="974"/>
      <c r="HQ151" s="974"/>
      <c r="HR151" s="974"/>
      <c r="HS151" s="974"/>
      <c r="HT151" s="974"/>
      <c r="HU151" s="974"/>
      <c r="HV151" s="974"/>
      <c r="HW151" s="974"/>
      <c r="HX151" s="974"/>
      <c r="HY151" s="974"/>
      <c r="HZ151" s="974"/>
      <c r="IA151" s="974"/>
      <c r="IB151" s="974"/>
      <c r="IC151" s="974"/>
      <c r="ID151" s="974"/>
      <c r="IE151" s="974"/>
      <c r="IF151" s="974"/>
      <c r="IG151" s="974"/>
      <c r="IH151" s="974"/>
      <c r="II151" s="974"/>
      <c r="IJ151" s="974"/>
      <c r="IK151" s="974"/>
      <c r="IL151" s="974"/>
      <c r="IM151" s="974"/>
      <c r="IN151" s="974"/>
      <c r="IO151" s="974"/>
      <c r="IP151" s="974"/>
      <c r="IQ151" s="974"/>
      <c r="IR151" s="974"/>
      <c r="IS151" s="974"/>
      <c r="IT151" s="974"/>
      <c r="IU151" s="974"/>
      <c r="IV151" s="974"/>
    </row>
    <row r="152" spans="1:256" s="458" customFormat="1" ht="12.75" x14ac:dyDescent="0.2">
      <c r="A152" s="460" t="s">
        <v>13</v>
      </c>
      <c r="F152" s="462"/>
      <c r="K152" s="462"/>
      <c r="P152" s="462"/>
      <c r="U152" s="462"/>
      <c r="Z152" s="462"/>
      <c r="AE152" s="462"/>
      <c r="AJ152" s="462"/>
      <c r="AL152" s="458">
        <f>AL150/AK150-1</f>
        <v>-6.3024255731018108E-2</v>
      </c>
      <c r="AM152" s="458">
        <f>AM150/AL150-1</f>
        <v>-2.3040464333261901E-2</v>
      </c>
      <c r="AN152" s="458">
        <f>AN150/AM150-1</f>
        <v>-2.9649117690423332E-2</v>
      </c>
      <c r="AO152" s="462"/>
      <c r="AP152" s="458">
        <f>AP150/AN150-1</f>
        <v>8.9947586403884561E-2</v>
      </c>
      <c r="AQ152" s="458">
        <f>AQ150/AP150-1</f>
        <v>-2.7001820412055566E-2</v>
      </c>
      <c r="AR152" s="458">
        <f>AR150/AQ150-1</f>
        <v>-7.2280667616426708E-3</v>
      </c>
      <c r="AS152" s="458">
        <f>AS150/AR150-1</f>
        <v>-2.0614412524163517E-2</v>
      </c>
      <c r="AT152" s="462"/>
      <c r="AU152" s="458">
        <f>AU150/AS150-1</f>
        <v>0.13862047919256271</v>
      </c>
      <c r="AV152" s="458">
        <f>AV150/AU150-1</f>
        <v>-9.4589309569007907E-2</v>
      </c>
      <c r="AW152" s="458">
        <f>AW150/AV150-1</f>
        <v>6.1946922596767262E-3</v>
      </c>
      <c r="AX152" s="458">
        <f>AX150/AW150-1</f>
        <v>-3.4685692731833417E-2</v>
      </c>
      <c r="AY152" s="462"/>
      <c r="AZ152" s="458">
        <f>AZ150/AX150-1</f>
        <v>8.4351282752297418E-3</v>
      </c>
      <c r="BA152" s="458">
        <f>BA150/AZ150-1</f>
        <v>-9.520812417947222E-3</v>
      </c>
      <c r="BB152" s="458">
        <f>BB150/BA150-1</f>
        <v>0.11042854180908002</v>
      </c>
      <c r="BC152" s="458">
        <f>BC150/BB150-1</f>
        <v>-0.13209754678687147</v>
      </c>
      <c r="BD152" s="462"/>
      <c r="BE152" s="458">
        <f>BE150/BC150-1</f>
        <v>0.13080019625386008</v>
      </c>
      <c r="BF152" s="458">
        <f>BF150/BE150-1</f>
        <v>-3.451343892138703E-2</v>
      </c>
      <c r="BG152" s="458">
        <f>BG150/BF150-1</f>
        <v>-4.4562481936034626E-3</v>
      </c>
      <c r="BH152" s="458">
        <f>BH150/BG150-1</f>
        <v>-9.1623492094886627E-3</v>
      </c>
      <c r="BI152" s="462"/>
      <c r="BJ152" s="458">
        <f>BJ150/BH150-1</f>
        <v>9.6413490191647577E-2</v>
      </c>
      <c r="BK152" s="458">
        <f>BK150/BJ150-1</f>
        <v>-2.9696373237150797E-2</v>
      </c>
      <c r="BL152" s="458">
        <f>BL150/BK150-1</f>
        <v>-2.5866556882407687E-2</v>
      </c>
      <c r="BM152" s="458">
        <f>BM150/BL150-1</f>
        <v>9.4093584248435613E-2</v>
      </c>
      <c r="BN152" s="462"/>
      <c r="BO152" s="458">
        <f>BO150/BM150-1</f>
        <v>4.7817204774137201E-2</v>
      </c>
      <c r="BP152" s="458">
        <f>BP150/BO150-1</f>
        <v>-4.2025271116532203E-2</v>
      </c>
      <c r="BQ152" s="458">
        <f>BQ150/BP150-1</f>
        <v>-8.4552154082776498E-3</v>
      </c>
      <c r="BR152" s="458">
        <f>BR150/BQ150-1</f>
        <v>5.463906934687035E-2</v>
      </c>
      <c r="BS152" s="462"/>
      <c r="BT152" s="458">
        <f>BT150/BR150-1</f>
        <v>2.314134495405118E-2</v>
      </c>
      <c r="BU152" s="458">
        <f>BU150/BT150-1</f>
        <v>2.9053978262281177E-3</v>
      </c>
      <c r="BV152" s="458">
        <f>BV150/BU150-1</f>
        <v>-9.0410292617975063E-3</v>
      </c>
      <c r="BW152" s="458">
        <f>BW150/BV150-1</f>
        <v>7.767933448339015E-2</v>
      </c>
      <c r="BX152" s="462"/>
      <c r="BY152" s="458">
        <f>BY150/BW150-1</f>
        <v>-1.5435312943080315E-2</v>
      </c>
      <c r="BZ152" s="458">
        <f>BZ150/BY150-1</f>
        <v>9.5830240665264466E-3</v>
      </c>
      <c r="CA152" s="458">
        <f>CA150/BZ150-1</f>
        <v>4.0618224597406272E-3</v>
      </c>
      <c r="CB152" s="458">
        <f>CB150/CA150-1</f>
        <v>7.4027935222058527E-3</v>
      </c>
      <c r="CC152" s="462"/>
      <c r="CD152" s="458">
        <f>CD150/CB150-1</f>
        <v>1.2871970161473456E-2</v>
      </c>
      <c r="CE152" s="458">
        <f>CE150/CD150-1</f>
        <v>-1.5008633082495115E-2</v>
      </c>
      <c r="CF152" s="458">
        <f>CF150/CE150-1</f>
        <v>-2.1872870980795822E-3</v>
      </c>
      <c r="CG152" s="458">
        <f>CG150/CF150-1</f>
        <v>2.0134708719244276E-2</v>
      </c>
      <c r="CH152" s="462"/>
      <c r="CI152" s="458">
        <f>CI150/CG150-1</f>
        <v>4.7605494585998054E-2</v>
      </c>
      <c r="CJ152" s="458">
        <f>CJ150/CI150-1</f>
        <v>-2.6622675997580725E-2</v>
      </c>
      <c r="CK152" s="458">
        <f>CK150/CJ150-1</f>
        <v>4.2797106559757658E-3</v>
      </c>
      <c r="CL152" s="458">
        <f>CL150/CK150-1</f>
        <v>-3.4988859872401301E-3</v>
      </c>
      <c r="CM152" s="462"/>
      <c r="CN152" s="458">
        <f>CN150/CL150-1</f>
        <v>-1.3024168547225434E-3</v>
      </c>
      <c r="CO152" s="458">
        <f>CO150/CN150-1</f>
        <v>-2.7103338871523275E-2</v>
      </c>
      <c r="CP152" s="458">
        <f>CP150/CO150-1</f>
        <v>-4.2737039221525386E-3</v>
      </c>
      <c r="CQ152" s="458">
        <f>CQ150/CP150-1</f>
        <v>7.1114766693918252E-3</v>
      </c>
      <c r="CR152" s="462"/>
      <c r="CS152" s="458">
        <f>CS150/CQ150-1</f>
        <v>4.9652044725936317E-2</v>
      </c>
      <c r="CT152" s="458">
        <f>CT150/CS150-1</f>
        <v>-1.0208816705336465E-2</v>
      </c>
      <c r="CU152" s="458">
        <f>CU150/CT150-1</f>
        <v>8.228235632236891E-2</v>
      </c>
      <c r="CV152" s="458">
        <f>CV150/CU150-1</f>
        <v>-7.2450554476507945E-2</v>
      </c>
      <c r="CW152" s="462"/>
      <c r="CX152" s="458">
        <f>CX150/CV150-1</f>
        <v>2.5764070174441045E-3</v>
      </c>
      <c r="CY152" s="458">
        <f>CY150/CX150-1</f>
        <v>-6.6190358069176614E-2</v>
      </c>
      <c r="CZ152" s="458">
        <f>CZ150/CY150-1</f>
        <v>6.8881547450451386E-2</v>
      </c>
      <c r="DA152" s="458">
        <f>DA150/CZ150-1</f>
        <v>1.0841054344842949E-2</v>
      </c>
      <c r="DB152" s="462"/>
      <c r="DC152" s="458">
        <f>DC150/DA150-1</f>
        <v>0.12058655666228457</v>
      </c>
      <c r="DD152" s="458">
        <f>DD150/DC150-1</f>
        <v>-8.2152466367712007E-3</v>
      </c>
      <c r="DE152" s="458">
        <f>DE150/DD150-1</f>
        <v>5.1203078622517051E-3</v>
      </c>
      <c r="DF152" s="458">
        <f>DF150/DE150-1</f>
        <v>-4.9982192818901927E-2</v>
      </c>
      <c r="DG152" s="462"/>
      <c r="DH152" s="458">
        <f>DH150/DF150-1</f>
        <v>8.7767067447989788E-2</v>
      </c>
      <c r="DI152" s="458">
        <f>DI150/DH150-1</f>
        <v>-5.193504293719009E-4</v>
      </c>
      <c r="DJ152" s="458">
        <f>DJ150/DI150-1</f>
        <v>-9.2308739543814911E-3</v>
      </c>
      <c r="DK152" s="458">
        <f>DK150/DJ150-1</f>
        <v>-1.665544784688644E-2</v>
      </c>
      <c r="DL152" s="462"/>
      <c r="DM152" s="458">
        <f>DM150/DK150-1</f>
        <v>2.6743670280432674E-2</v>
      </c>
      <c r="DN152" s="458">
        <f>DN150/DM150-1</f>
        <v>-4.2572809371383746E-2</v>
      </c>
      <c r="DO152" s="458">
        <f>DO150/DN150-1</f>
        <v>1.0101022568181239E-2</v>
      </c>
      <c r="DP152" s="458">
        <f>DP150/DO150-1</f>
        <v>-4.4018207269755916E-3</v>
      </c>
      <c r="DQ152" s="462"/>
      <c r="DR152" s="458">
        <f>DR150/DP150-1</f>
        <v>4.4405044229745227E-2</v>
      </c>
      <c r="DS152" s="458">
        <f>DS150/DR150-1</f>
        <v>-2.3656121344128866E-2</v>
      </c>
      <c r="DT152" s="458">
        <f>DT150/DS150-1</f>
        <v>2.4642606420320456E-2</v>
      </c>
      <c r="DU152" s="458">
        <f>DU150/DT150-1</f>
        <v>4.452159161527125E-2</v>
      </c>
      <c r="DV152" s="462"/>
      <c r="DW152" s="458">
        <f>DW150/DU150-1</f>
        <v>-4.7449917586922297E-2</v>
      </c>
      <c r="DX152" s="458">
        <f>DX150/DW150-1</f>
        <v>-4.237288135593209E-3</v>
      </c>
      <c r="DY152" s="458">
        <f>DY150/DX150-1</f>
        <v>1.1301526368704851E-2</v>
      </c>
      <c r="DZ152" s="458">
        <f>DZ150/DY150-1</f>
        <v>-1.492632203424582E-2</v>
      </c>
      <c r="EA152" s="462"/>
      <c r="EB152" s="458">
        <f>EB150/DZ150-1</f>
        <v>3.0490301315043267E-2</v>
      </c>
      <c r="EC152" s="458">
        <f>EC150/EB150-1</f>
        <v>-4.6026704623915227E-2</v>
      </c>
      <c r="ED152" s="458">
        <f>ED150/EC150-1</f>
        <v>-3.5968949334038269E-2</v>
      </c>
      <c r="EE152" s="458">
        <f>EE150/ED150-1</f>
        <v>7.526806621551696E-3</v>
      </c>
      <c r="EF152" s="462"/>
      <c r="EG152" s="458">
        <f>EG150/EE150-1</f>
        <v>6.5002475284657857E-2</v>
      </c>
      <c r="EH152" s="458">
        <f>EH150/EG150-1</f>
        <v>-4.8109393366192799E-2</v>
      </c>
      <c r="EI152" s="458">
        <f>EI150/EH150-1</f>
        <v>4.2078012250344354E-2</v>
      </c>
      <c r="EJ152" s="458">
        <f>EJ150/EI150-1</f>
        <v>-2.4589646404454713E-2</v>
      </c>
      <c r="EK152" s="462"/>
      <c r="EL152" s="458">
        <f>EL150/EJ150-1</f>
        <v>0.11170126190953322</v>
      </c>
      <c r="EM152" s="458">
        <f>EM150/EL150-1</f>
        <v>-1.1446905289862808E-2</v>
      </c>
      <c r="EN152" s="458">
        <f>EN150/EM150-1</f>
        <v>8.3102977000373945E-2</v>
      </c>
      <c r="EO152" s="458">
        <f>EO150/EN150-1</f>
        <v>-4.3744324149313396E-2</v>
      </c>
      <c r="EP152" s="462"/>
      <c r="EQ152" s="458">
        <f>EQ150/EO150-1</f>
        <v>-7.5253510262696111E-4</v>
      </c>
      <c r="ER152" s="458">
        <f>ER150/EQ150-1</f>
        <v>-4.7770230360306698E-3</v>
      </c>
      <c r="ES152" s="458">
        <f>ES150/ER150-1</f>
        <v>0.10939188420912083</v>
      </c>
      <c r="ET152" s="458">
        <f>ET150/ES150-1</f>
        <v>-4.3744324149313507E-2</v>
      </c>
      <c r="EU152" s="1932"/>
      <c r="EZ152" s="740"/>
      <c r="FE152" s="740"/>
      <c r="FF152" s="740"/>
      <c r="FG152" s="659"/>
      <c r="FH152" s="1088">
        <f>AVERAGE(CI152,CN152,CS152,CX152,DC152,DH152,DM152,DR152,DW152,EB152,EG152,EL152,EQ152)</f>
        <v>4.1309650301137944E-2</v>
      </c>
      <c r="FI152" s="1088">
        <f>AVERAGE(CJ152,CO152,CT152,CY152,DD152,DI152,DN152,DS152,DX152,EC152,EH152,EM152)</f>
        <v>-2.6242417403403068E-2</v>
      </c>
      <c r="FJ152" s="1088">
        <f>AVERAGE(CK152,CP152,CU152,CZ152,DE152,DJ152,DO152,DT152,DY152,ED152,EI152,EN152)</f>
        <v>2.3526378307366692E-2</v>
      </c>
      <c r="FK152" s="1088">
        <f>AVERAGE(CL152,CQ152,CV152,DA152,DF152,DK152,DP152,DU152,DZ152,EE152,EJ152,EO152)</f>
        <v>-1.3354022099455687E-2</v>
      </c>
      <c r="FL152" s="1795"/>
      <c r="FM152" s="458">
        <f t="shared" si="500"/>
        <v>-7.5253510262696111E-4</v>
      </c>
      <c r="FN152" s="458">
        <f t="shared" si="501"/>
        <v>0.11170126190953322</v>
      </c>
      <c r="FO152" s="2040">
        <v>3.0661216365473809E-2</v>
      </c>
      <c r="FP152" s="1888">
        <f>IFERROR(($FM152-FN152)*10000,"")</f>
        <v>-1124.5379701216018</v>
      </c>
      <c r="FQ152" s="1888">
        <f>IFERROR(($FM152-FO152)*10000,"")</f>
        <v>-314.1375146810077</v>
      </c>
      <c r="FR152" s="566"/>
      <c r="FS152" s="566"/>
      <c r="FT152" s="566"/>
      <c r="FU152" s="1426"/>
      <c r="FV152" s="418"/>
      <c r="FW152" s="418"/>
      <c r="FX152" s="418"/>
      <c r="FY152" s="418"/>
      <c r="FZ152" s="566"/>
      <c r="GA152" s="659"/>
      <c r="GB152"/>
      <c r="GC152"/>
      <c r="GD152"/>
      <c r="GE152"/>
      <c r="GF152"/>
      <c r="GG152"/>
      <c r="GH152" s="913"/>
      <c r="GI152" s="913"/>
      <c r="GJ152" s="913"/>
      <c r="GK152" s="913"/>
      <c r="GL152" s="913"/>
      <c r="GM152" s="913"/>
      <c r="GN152" s="913"/>
      <c r="GO152" s="913"/>
      <c r="GP152" s="913"/>
      <c r="GQ152" s="913"/>
      <c r="GR152" s="913"/>
      <c r="GS152" s="913"/>
      <c r="GT152" s="913"/>
      <c r="GU152" s="913"/>
      <c r="GV152" s="913"/>
      <c r="GW152" s="913"/>
      <c r="GX152" s="913"/>
      <c r="GY152" s="913"/>
      <c r="GZ152" s="913"/>
      <c r="HA152" s="913"/>
      <c r="HB152" s="913"/>
      <c r="HC152" s="913"/>
      <c r="HD152" s="913"/>
      <c r="HE152" s="913"/>
      <c r="HF152" s="913"/>
      <c r="HG152" s="913"/>
      <c r="HH152" s="913"/>
      <c r="HI152" s="913"/>
      <c r="HJ152" s="913"/>
      <c r="HK152" s="913"/>
      <c r="HL152" s="913"/>
      <c r="HM152" s="913"/>
      <c r="HN152" s="913"/>
      <c r="HO152" s="913"/>
      <c r="HP152" s="913"/>
      <c r="HQ152" s="913"/>
      <c r="HR152" s="913"/>
      <c r="HS152" s="913"/>
      <c r="HT152" s="913"/>
      <c r="HU152" s="913"/>
      <c r="HV152" s="913"/>
      <c r="HW152" s="913"/>
      <c r="HX152" s="913"/>
      <c r="HY152" s="913"/>
      <c r="HZ152" s="913"/>
      <c r="IA152" s="913"/>
      <c r="IB152" s="913"/>
      <c r="IC152" s="913"/>
      <c r="ID152" s="913"/>
      <c r="IE152" s="913"/>
      <c r="IF152" s="913"/>
      <c r="IG152" s="913"/>
      <c r="IH152" s="913"/>
      <c r="II152" s="913"/>
      <c r="IJ152" s="913"/>
      <c r="IK152" s="913"/>
      <c r="IL152" s="913"/>
      <c r="IM152" s="913"/>
      <c r="IN152" s="913"/>
      <c r="IO152" s="913"/>
      <c r="IP152" s="913"/>
      <c r="IQ152" s="913"/>
      <c r="IR152" s="913"/>
      <c r="IS152" s="913"/>
      <c r="IT152" s="913"/>
      <c r="IU152" s="913"/>
      <c r="IV152" s="913"/>
    </row>
    <row r="153" spans="1:256" s="541" customFormat="1" ht="12.75" x14ac:dyDescent="0.2">
      <c r="A153" s="121" t="s">
        <v>321</v>
      </c>
      <c r="B153" s="122">
        <v>42.4</v>
      </c>
      <c r="C153" s="122">
        <f>85-42.4</f>
        <v>42.6</v>
      </c>
      <c r="D153" s="122">
        <f>121.1-85</f>
        <v>36.099999999999994</v>
      </c>
      <c r="E153" s="533">
        <f>171.7-121.1</f>
        <v>50.599999999999994</v>
      </c>
      <c r="F153" s="534">
        <f>SUM(B153:E153)</f>
        <v>171.7</v>
      </c>
      <c r="G153" s="122">
        <v>53.7</v>
      </c>
      <c r="H153" s="122">
        <f>96.4-53.7</f>
        <v>42.7</v>
      </c>
      <c r="I153" s="122">
        <f>141.4-96.4</f>
        <v>45</v>
      </c>
      <c r="J153" s="533">
        <f>212.5-141.4</f>
        <v>71.099999999999994</v>
      </c>
      <c r="K153" s="534">
        <f>SUM(G153:J153)</f>
        <v>212.5</v>
      </c>
      <c r="L153" s="122">
        <v>57</v>
      </c>
      <c r="M153" s="122">
        <f>98.9-57</f>
        <v>41.900000000000006</v>
      </c>
      <c r="N153" s="122">
        <f>142.5-98.9</f>
        <v>43.599999999999994</v>
      </c>
      <c r="O153" s="533">
        <f>192.8-142.5</f>
        <v>50.300000000000011</v>
      </c>
      <c r="P153" s="534">
        <f>SUM(L153:O153)</f>
        <v>192.8</v>
      </c>
      <c r="Q153" s="122">
        <v>42.3</v>
      </c>
      <c r="R153" s="122">
        <f>85.6-42.3</f>
        <v>43.3</v>
      </c>
      <c r="S153" s="122">
        <f>132.3-85.6</f>
        <v>46.700000000000017</v>
      </c>
      <c r="T153" s="533">
        <f>182.5-132.3</f>
        <v>50.199999999999989</v>
      </c>
      <c r="U153" s="534">
        <f>SUM(Q153:T153)</f>
        <v>182.5</v>
      </c>
      <c r="V153" s="122">
        <v>44.8</v>
      </c>
      <c r="W153" s="122">
        <v>45.8</v>
      </c>
      <c r="X153" s="122">
        <v>40</v>
      </c>
      <c r="Y153" s="533">
        <v>48.7</v>
      </c>
      <c r="Z153" s="534">
        <f>SUM(V153:Y153)</f>
        <v>179.3</v>
      </c>
      <c r="AA153" s="122">
        <v>45.7</v>
      </c>
      <c r="AB153" s="122">
        <v>46.7</v>
      </c>
      <c r="AC153" s="122">
        <v>47.3</v>
      </c>
      <c r="AD153" s="533">
        <v>48.6</v>
      </c>
      <c r="AE153" s="534">
        <f>SUM(AA153:AD153)</f>
        <v>188.29999999999998</v>
      </c>
      <c r="AF153" s="122">
        <v>48.7</v>
      </c>
      <c r="AG153" s="122">
        <v>47</v>
      </c>
      <c r="AH153" s="122">
        <v>45.2</v>
      </c>
      <c r="AI153" s="533">
        <v>48.9</v>
      </c>
      <c r="AJ153" s="534">
        <f>SUM(AF153:AI153)</f>
        <v>189.8</v>
      </c>
      <c r="AK153" s="122">
        <v>55.4</v>
      </c>
      <c r="AL153" s="122">
        <v>56.7</v>
      </c>
      <c r="AM153" s="122">
        <v>53.7</v>
      </c>
      <c r="AN153" s="533">
        <v>67.599999999999994</v>
      </c>
      <c r="AO153" s="534">
        <f>SUM(AK153:AN153)</f>
        <v>233.4</v>
      </c>
      <c r="AP153" s="122">
        <v>62.7</v>
      </c>
      <c r="AQ153" s="122">
        <v>55.1</v>
      </c>
      <c r="AR153" s="122">
        <v>51.3</v>
      </c>
      <c r="AS153" s="533">
        <v>58</v>
      </c>
      <c r="AT153" s="534">
        <f>SUM(AP153:AS153)</f>
        <v>227.10000000000002</v>
      </c>
      <c r="AU153" s="122">
        <v>48</v>
      </c>
      <c r="AV153" s="122">
        <v>45</v>
      </c>
      <c r="AW153" s="122">
        <v>41</v>
      </c>
      <c r="AX153" s="533">
        <v>40</v>
      </c>
      <c r="AY153" s="534">
        <f>SUM(AU153:AX153)</f>
        <v>174</v>
      </c>
      <c r="AZ153" s="122">
        <v>37</v>
      </c>
      <c r="BA153" s="122">
        <v>48</v>
      </c>
      <c r="BB153" s="122">
        <v>74</v>
      </c>
      <c r="BC153" s="533">
        <v>96</v>
      </c>
      <c r="BD153" s="534">
        <f>SUM(AZ153:BC153)</f>
        <v>255</v>
      </c>
      <c r="BE153" s="122">
        <v>115</v>
      </c>
      <c r="BF153" s="122">
        <v>106</v>
      </c>
      <c r="BG153" s="122">
        <v>118</v>
      </c>
      <c r="BH153" s="533">
        <v>139</v>
      </c>
      <c r="BI153" s="534">
        <f>SUM(BE153:BH153)</f>
        <v>478</v>
      </c>
      <c r="BJ153" s="122">
        <v>117</v>
      </c>
      <c r="BK153" s="122">
        <v>106</v>
      </c>
      <c r="BL153" s="122">
        <v>93</v>
      </c>
      <c r="BM153" s="533">
        <v>96</v>
      </c>
      <c r="BN153" s="534">
        <f>SUM(BJ153:BM153)</f>
        <v>412</v>
      </c>
      <c r="BO153" s="122">
        <v>81</v>
      </c>
      <c r="BP153" s="122">
        <v>84</v>
      </c>
      <c r="BQ153" s="122">
        <v>81</v>
      </c>
      <c r="BR153" s="533">
        <v>96</v>
      </c>
      <c r="BS153" s="534">
        <f>SUM(BO153:BR153)</f>
        <v>342</v>
      </c>
      <c r="BT153" s="122">
        <v>104</v>
      </c>
      <c r="BU153" s="122">
        <v>93</v>
      </c>
      <c r="BV153" s="122">
        <v>86</v>
      </c>
      <c r="BW153" s="533">
        <v>97</v>
      </c>
      <c r="BX153" s="534">
        <f>SUM(BT153:BW153)</f>
        <v>380</v>
      </c>
      <c r="BY153" s="122">
        <v>107</v>
      </c>
      <c r="BZ153" s="122">
        <v>106</v>
      </c>
      <c r="CA153" s="122">
        <f>98</f>
        <v>98</v>
      </c>
      <c r="CB153" s="533">
        <v>138</v>
      </c>
      <c r="CC153" s="534">
        <f>SUM(BY153:CB153)</f>
        <v>449</v>
      </c>
      <c r="CD153" s="122">
        <v>171</v>
      </c>
      <c r="CE153" s="122">
        <v>183</v>
      </c>
      <c r="CF153" s="122">
        <v>212</v>
      </c>
      <c r="CG153" s="533">
        <v>255</v>
      </c>
      <c r="CH153" s="534">
        <f>SUM(CD153:CG153)</f>
        <v>821</v>
      </c>
      <c r="CI153" s="122">
        <v>260</v>
      </c>
      <c r="CJ153" s="122">
        <v>291</v>
      </c>
      <c r="CK153" s="122">
        <v>288</v>
      </c>
      <c r="CL153" s="533">
        <v>256</v>
      </c>
      <c r="CM153" s="534">
        <f>SUM(CI153:CL153)</f>
        <v>1095</v>
      </c>
      <c r="CN153" s="122">
        <v>248</v>
      </c>
      <c r="CO153" s="122">
        <v>279</v>
      </c>
      <c r="CP153" s="122">
        <v>289</v>
      </c>
      <c r="CQ153" s="533">
        <v>353</v>
      </c>
      <c r="CR153" s="534">
        <f>SUM(CN153:CQ153)</f>
        <v>1169</v>
      </c>
      <c r="CS153" s="122">
        <v>404</v>
      </c>
      <c r="CT153" s="122">
        <v>491</v>
      </c>
      <c r="CU153" s="122">
        <v>474</v>
      </c>
      <c r="CV153" s="533">
        <v>269</v>
      </c>
      <c r="CW153" s="534">
        <f>SUM(CS153:CV153)</f>
        <v>1638</v>
      </c>
      <c r="CX153" s="122">
        <v>159</v>
      </c>
      <c r="CY153" s="122">
        <v>153</v>
      </c>
      <c r="CZ153" s="122">
        <v>192</v>
      </c>
      <c r="DA153" s="122">
        <v>221</v>
      </c>
      <c r="DB153" s="534">
        <f>SUM(CX153:DA153)</f>
        <v>725</v>
      </c>
      <c r="DC153" s="122">
        <v>254</v>
      </c>
      <c r="DD153" s="122">
        <v>258</v>
      </c>
      <c r="DE153" s="122">
        <v>259</v>
      </c>
      <c r="DF153" s="122">
        <v>308</v>
      </c>
      <c r="DG153" s="539">
        <f>SUM(DC153:DF153)</f>
        <v>1079</v>
      </c>
      <c r="DH153" s="122">
        <v>389</v>
      </c>
      <c r="DI153" s="122">
        <v>412</v>
      </c>
      <c r="DJ153" s="122">
        <v>385</v>
      </c>
      <c r="DK153" s="122">
        <v>403</v>
      </c>
      <c r="DL153" s="539">
        <f>SUM(DH153:DK153)</f>
        <v>1589</v>
      </c>
      <c r="DM153" s="122">
        <v>413</v>
      </c>
      <c r="DN153" s="122">
        <v>390</v>
      </c>
      <c r="DO153" s="122">
        <v>379</v>
      </c>
      <c r="DP153" s="122">
        <v>395</v>
      </c>
      <c r="DQ153" s="539">
        <f>SUM(DM153:DP153)</f>
        <v>1577</v>
      </c>
      <c r="DR153" s="122">
        <v>429</v>
      </c>
      <c r="DS153" s="122">
        <v>391</v>
      </c>
      <c r="DT153" s="540">
        <v>390</v>
      </c>
      <c r="DU153" s="122">
        <v>403</v>
      </c>
      <c r="DV153" s="539">
        <f>SUM(DR153:DU153)</f>
        <v>1613</v>
      </c>
      <c r="DW153" s="122">
        <v>432</v>
      </c>
      <c r="DX153" s="122">
        <v>408</v>
      </c>
      <c r="DY153" s="540">
        <v>386.5</v>
      </c>
      <c r="DZ153" s="122">
        <v>347</v>
      </c>
      <c r="EA153" s="539">
        <f>SUM(DW153:DZ153)</f>
        <v>1573.5</v>
      </c>
      <c r="EB153" s="122">
        <v>264</v>
      </c>
      <c r="EC153" s="122">
        <v>255</v>
      </c>
      <c r="ED153" s="540">
        <v>221</v>
      </c>
      <c r="EE153" s="122">
        <v>194</v>
      </c>
      <c r="EF153" s="539">
        <f>SUM(EB153:EE153)</f>
        <v>934</v>
      </c>
      <c r="EG153" s="122">
        <v>149</v>
      </c>
      <c r="EH153" s="122">
        <v>174</v>
      </c>
      <c r="EI153" s="540">
        <v>181</v>
      </c>
      <c r="EJ153" s="122">
        <v>194</v>
      </c>
      <c r="EK153" s="539">
        <f>SUM(EG153:EJ153)</f>
        <v>698</v>
      </c>
      <c r="EL153" s="122">
        <v>213</v>
      </c>
      <c r="EM153" s="122">
        <v>190</v>
      </c>
      <c r="EN153" s="540">
        <v>198</v>
      </c>
      <c r="EO153" s="122">
        <v>239</v>
      </c>
      <c r="EP153" s="539">
        <f>SUM(EL153:EO153)</f>
        <v>840</v>
      </c>
      <c r="EQ153" s="122">
        <v>266</v>
      </c>
      <c r="ER153" s="540">
        <f>ER160*ER156+ER165</f>
        <v>263.38494803973424</v>
      </c>
      <c r="ES153" s="540">
        <f>ES160*ES156+ES165</f>
        <v>257.43977620938165</v>
      </c>
      <c r="ET153" s="540">
        <f>ET160*ET156+ET165</f>
        <v>265.5783279822142</v>
      </c>
      <c r="EU153" s="1966">
        <f>SUM(EQ153:ET153)</f>
        <v>1052.4030522313301</v>
      </c>
      <c r="EV153" s="539"/>
      <c r="EW153" s="539"/>
      <c r="EX153" s="539"/>
      <c r="EY153" s="539"/>
      <c r="EZ153" s="539">
        <f>EZ160*EZ156+EZ165</f>
        <v>1078.2039563023322</v>
      </c>
      <c r="FA153" s="539"/>
      <c r="FB153" s="539"/>
      <c r="FC153" s="539"/>
      <c r="FD153" s="539"/>
      <c r="FE153" s="539">
        <f>FE160*FE156+FE165</f>
        <v>1095.7247337615652</v>
      </c>
      <c r="FF153" s="780"/>
      <c r="FG153" s="656"/>
      <c r="FH153" s="1034"/>
      <c r="FI153" s="1034"/>
      <c r="FJ153" s="1034"/>
      <c r="FK153" s="1034"/>
      <c r="FL153" s="1822"/>
      <c r="FM153" s="122">
        <f t="shared" si="500"/>
        <v>266</v>
      </c>
      <c r="FN153" s="122">
        <f t="shared" si="501"/>
        <v>213</v>
      </c>
      <c r="FO153" s="540">
        <v>263.56828153355809</v>
      </c>
      <c r="FP153" s="571">
        <f>IFERROR(($FM153/FN153)-1,"")</f>
        <v>0.24882629107981225</v>
      </c>
      <c r="FQ153" s="571">
        <f>IFERROR(($FM153/FO153)-1,"")</f>
        <v>9.2261422819661654E-3</v>
      </c>
      <c r="FS153" s="540"/>
      <c r="FT153" s="540"/>
      <c r="FU153" s="1426"/>
      <c r="FV153" s="418"/>
      <c r="FW153" s="418"/>
      <c r="FX153" s="418"/>
      <c r="FY153" s="418"/>
      <c r="FZ153" s="540"/>
      <c r="GA153" s="656"/>
      <c r="GB153"/>
      <c r="GC153"/>
      <c r="GD153"/>
      <c r="GE153"/>
      <c r="GF153"/>
      <c r="GG153"/>
      <c r="GH153" s="972"/>
      <c r="GI153" s="972"/>
      <c r="GJ153" s="972"/>
      <c r="GK153" s="972"/>
      <c r="GL153" s="972"/>
      <c r="GM153" s="972"/>
      <c r="GN153" s="972"/>
      <c r="GO153" s="972"/>
      <c r="GP153" s="972"/>
      <c r="GQ153" s="972"/>
      <c r="GR153" s="972"/>
      <c r="GS153" s="972"/>
      <c r="GT153" s="972"/>
      <c r="GU153" s="972"/>
      <c r="GV153" s="972"/>
      <c r="GW153" s="972"/>
      <c r="GX153" s="972"/>
      <c r="GY153" s="972"/>
      <c r="GZ153" s="972"/>
      <c r="HA153" s="972"/>
      <c r="HB153" s="972"/>
      <c r="HC153" s="972"/>
      <c r="HD153" s="972"/>
      <c r="HE153" s="972"/>
      <c r="HF153" s="972"/>
      <c r="HG153" s="972"/>
      <c r="HH153" s="972"/>
      <c r="HI153" s="972"/>
      <c r="HJ153" s="972"/>
      <c r="HK153" s="972"/>
      <c r="HL153" s="972"/>
      <c r="HM153" s="972"/>
      <c r="HN153" s="972"/>
      <c r="HO153" s="972"/>
      <c r="HP153" s="972"/>
      <c r="HQ153" s="972"/>
      <c r="HR153" s="972"/>
      <c r="HS153" s="972"/>
      <c r="HT153" s="972"/>
      <c r="HU153" s="972"/>
      <c r="HV153" s="972"/>
      <c r="HW153" s="972"/>
      <c r="HX153" s="972"/>
      <c r="HY153" s="972"/>
      <c r="HZ153" s="972"/>
      <c r="IA153" s="972"/>
      <c r="IB153" s="972"/>
      <c r="IC153" s="972"/>
      <c r="ID153" s="972"/>
      <c r="IE153" s="972"/>
      <c r="IF153" s="972"/>
      <c r="IG153" s="972"/>
      <c r="IH153" s="972"/>
      <c r="II153" s="972"/>
      <c r="IJ153" s="972"/>
      <c r="IK153" s="972"/>
      <c r="IL153" s="972"/>
      <c r="IM153" s="972"/>
      <c r="IN153" s="972"/>
      <c r="IO153" s="972"/>
      <c r="IP153" s="972"/>
      <c r="IQ153" s="972"/>
      <c r="IR153" s="972"/>
      <c r="IS153" s="972"/>
      <c r="IT153" s="972"/>
      <c r="IU153" s="972"/>
      <c r="IV153" s="972"/>
    </row>
    <row r="154" spans="1:256" s="244" customFormat="1" ht="12.75" x14ac:dyDescent="0.2">
      <c r="A154" s="242" t="s">
        <v>74</v>
      </c>
      <c r="B154" s="22"/>
      <c r="C154" s="22"/>
      <c r="D154" s="22"/>
      <c r="E154" s="197"/>
      <c r="F154" s="21"/>
      <c r="G154" s="22"/>
      <c r="H154" s="22"/>
      <c r="I154" s="22"/>
      <c r="J154" s="197"/>
      <c r="K154" s="21"/>
      <c r="L154" s="22"/>
      <c r="M154" s="22"/>
      <c r="N154" s="22"/>
      <c r="O154" s="197"/>
      <c r="P154" s="21"/>
      <c r="Q154" s="22"/>
      <c r="R154" s="22"/>
      <c r="S154" s="22"/>
      <c r="T154" s="197"/>
      <c r="U154" s="21"/>
      <c r="V154" s="22"/>
      <c r="W154" s="22"/>
      <c r="X154" s="22"/>
      <c r="Y154" s="197"/>
      <c r="Z154" s="21"/>
      <c r="AA154" s="22"/>
      <c r="AB154" s="22"/>
      <c r="AC154" s="22"/>
      <c r="AD154" s="197"/>
      <c r="AE154" s="21"/>
      <c r="AF154" s="22"/>
      <c r="AG154" s="22"/>
      <c r="AH154" s="22"/>
      <c r="AI154" s="197"/>
      <c r="AJ154" s="21"/>
      <c r="AK154" s="22">
        <f t="shared" ref="AK154:CV154" si="558">AK153/AF153-1</f>
        <v>0.13757700205338796</v>
      </c>
      <c r="AL154" s="22">
        <f t="shared" si="558"/>
        <v>0.20638297872340439</v>
      </c>
      <c r="AM154" s="22">
        <f t="shared" si="558"/>
        <v>0.18805309734513265</v>
      </c>
      <c r="AN154" s="197">
        <f t="shared" si="558"/>
        <v>0.38241308793456019</v>
      </c>
      <c r="AO154" s="21">
        <f t="shared" si="558"/>
        <v>0.22971548998946245</v>
      </c>
      <c r="AP154" s="22">
        <f t="shared" si="558"/>
        <v>0.13176895306859215</v>
      </c>
      <c r="AQ154" s="22">
        <f t="shared" si="558"/>
        <v>-2.821869488536155E-2</v>
      </c>
      <c r="AR154" s="22">
        <f t="shared" si="558"/>
        <v>-4.4692737430167662E-2</v>
      </c>
      <c r="AS154" s="197">
        <f t="shared" si="558"/>
        <v>-0.14201183431952658</v>
      </c>
      <c r="AT154" s="21">
        <f t="shared" si="558"/>
        <v>-2.6992287917737667E-2</v>
      </c>
      <c r="AU154" s="22">
        <f t="shared" si="558"/>
        <v>-0.23444976076555024</v>
      </c>
      <c r="AV154" s="22">
        <f t="shared" si="558"/>
        <v>-0.1833030852994556</v>
      </c>
      <c r="AW154" s="22">
        <f t="shared" si="558"/>
        <v>-0.2007797270955165</v>
      </c>
      <c r="AX154" s="197">
        <f t="shared" si="558"/>
        <v>-0.31034482758620685</v>
      </c>
      <c r="AY154" s="21">
        <f t="shared" si="558"/>
        <v>-0.23381770145310443</v>
      </c>
      <c r="AZ154" s="22">
        <f t="shared" si="558"/>
        <v>-0.22916666666666663</v>
      </c>
      <c r="BA154" s="22">
        <f t="shared" si="558"/>
        <v>6.6666666666666652E-2</v>
      </c>
      <c r="BB154" s="22">
        <f t="shared" si="558"/>
        <v>0.80487804878048785</v>
      </c>
      <c r="BC154" s="197">
        <f t="shared" si="558"/>
        <v>1.4</v>
      </c>
      <c r="BD154" s="21">
        <f t="shared" si="558"/>
        <v>0.46551724137931028</v>
      </c>
      <c r="BE154" s="22">
        <f t="shared" si="558"/>
        <v>2.1081081081081079</v>
      </c>
      <c r="BF154" s="22">
        <f t="shared" si="558"/>
        <v>1.2083333333333335</v>
      </c>
      <c r="BG154" s="22">
        <f t="shared" si="558"/>
        <v>0.59459459459459452</v>
      </c>
      <c r="BH154" s="197">
        <f t="shared" si="558"/>
        <v>0.44791666666666674</v>
      </c>
      <c r="BI154" s="21">
        <f t="shared" si="558"/>
        <v>0.87450980392156863</v>
      </c>
      <c r="BJ154" s="22">
        <f t="shared" si="558"/>
        <v>1.7391304347825987E-2</v>
      </c>
      <c r="BK154" s="22">
        <f t="shared" si="558"/>
        <v>0</v>
      </c>
      <c r="BL154" s="22">
        <f t="shared" si="558"/>
        <v>-0.21186440677966101</v>
      </c>
      <c r="BM154" s="197">
        <f t="shared" si="558"/>
        <v>-0.30935251798561147</v>
      </c>
      <c r="BN154" s="21">
        <f t="shared" si="558"/>
        <v>-0.13807531380753135</v>
      </c>
      <c r="BO154" s="22">
        <f t="shared" si="558"/>
        <v>-0.30769230769230771</v>
      </c>
      <c r="BP154" s="22">
        <f t="shared" si="558"/>
        <v>-0.20754716981132071</v>
      </c>
      <c r="BQ154" s="22">
        <f t="shared" si="558"/>
        <v>-0.12903225806451613</v>
      </c>
      <c r="BR154" s="197">
        <f t="shared" si="558"/>
        <v>0</v>
      </c>
      <c r="BS154" s="21">
        <f t="shared" si="558"/>
        <v>-0.16990291262135926</v>
      </c>
      <c r="BT154" s="22">
        <f t="shared" si="558"/>
        <v>0.28395061728395055</v>
      </c>
      <c r="BU154" s="22">
        <f t="shared" si="558"/>
        <v>0.10714285714285721</v>
      </c>
      <c r="BV154" s="22">
        <f t="shared" si="558"/>
        <v>6.1728395061728447E-2</v>
      </c>
      <c r="BW154" s="197">
        <f t="shared" si="558"/>
        <v>1.0416666666666741E-2</v>
      </c>
      <c r="BX154" s="21">
        <f t="shared" si="558"/>
        <v>0.11111111111111116</v>
      </c>
      <c r="BY154" s="22">
        <f t="shared" si="558"/>
        <v>2.8846153846153744E-2</v>
      </c>
      <c r="BZ154" s="22">
        <f t="shared" si="558"/>
        <v>0.13978494623655924</v>
      </c>
      <c r="CA154" s="22">
        <f t="shared" si="558"/>
        <v>0.13953488372093026</v>
      </c>
      <c r="CB154" s="197">
        <f t="shared" si="558"/>
        <v>0.42268041237113407</v>
      </c>
      <c r="CC154" s="21">
        <f t="shared" si="558"/>
        <v>0.18157894736842106</v>
      </c>
      <c r="CD154" s="22">
        <f t="shared" si="558"/>
        <v>0.59813084112149539</v>
      </c>
      <c r="CE154" s="22">
        <f t="shared" si="558"/>
        <v>0.72641509433962259</v>
      </c>
      <c r="CF154" s="22">
        <f t="shared" si="558"/>
        <v>1.1632653061224492</v>
      </c>
      <c r="CG154" s="197">
        <f t="shared" si="558"/>
        <v>0.84782608695652173</v>
      </c>
      <c r="CH154" s="21">
        <f t="shared" si="558"/>
        <v>0.82850779510022265</v>
      </c>
      <c r="CI154" s="22">
        <f t="shared" si="558"/>
        <v>0.52046783625730986</v>
      </c>
      <c r="CJ154" s="22">
        <f t="shared" si="558"/>
        <v>0.5901639344262295</v>
      </c>
      <c r="CK154" s="22">
        <f t="shared" si="558"/>
        <v>0.35849056603773577</v>
      </c>
      <c r="CL154" s="197">
        <f t="shared" si="558"/>
        <v>3.9215686274509665E-3</v>
      </c>
      <c r="CM154" s="21">
        <f t="shared" si="558"/>
        <v>0.33373934226552993</v>
      </c>
      <c r="CN154" s="22">
        <f t="shared" si="558"/>
        <v>-4.6153846153846101E-2</v>
      </c>
      <c r="CO154" s="22">
        <f t="shared" si="558"/>
        <v>-4.123711340206182E-2</v>
      </c>
      <c r="CP154" s="22">
        <f t="shared" si="558"/>
        <v>3.4722222222223209E-3</v>
      </c>
      <c r="CQ154" s="197">
        <f t="shared" si="558"/>
        <v>0.37890625</v>
      </c>
      <c r="CR154" s="21">
        <f t="shared" si="558"/>
        <v>6.7579908675799105E-2</v>
      </c>
      <c r="CS154" s="22">
        <f t="shared" si="558"/>
        <v>0.62903225806451624</v>
      </c>
      <c r="CT154" s="22">
        <f t="shared" si="558"/>
        <v>0.75985663082437283</v>
      </c>
      <c r="CU154" s="22">
        <f t="shared" si="558"/>
        <v>0.64013840830449831</v>
      </c>
      <c r="CV154" s="197">
        <f t="shared" si="558"/>
        <v>-0.23796033994334276</v>
      </c>
      <c r="CW154" s="21">
        <f t="shared" ref="CW154:DY154" si="559">CW153/CR153-1</f>
        <v>0.4011976047904191</v>
      </c>
      <c r="CX154" s="22">
        <f t="shared" si="559"/>
        <v>-0.60643564356435642</v>
      </c>
      <c r="CY154" s="22">
        <f t="shared" si="559"/>
        <v>-0.68839103869653773</v>
      </c>
      <c r="CZ154" s="22">
        <f t="shared" si="559"/>
        <v>-0.59493670886075956</v>
      </c>
      <c r="DA154" s="22">
        <f>DA153/CV153-1</f>
        <v>-0.17843866171003719</v>
      </c>
      <c r="DB154" s="21">
        <f>DB153/CW153-1</f>
        <v>-0.55738705738705741</v>
      </c>
      <c r="DC154" s="22">
        <f t="shared" si="559"/>
        <v>0.59748427672955984</v>
      </c>
      <c r="DD154" s="22">
        <f t="shared" si="559"/>
        <v>0.68627450980392157</v>
      </c>
      <c r="DE154" s="22">
        <f t="shared" si="559"/>
        <v>0.34895833333333326</v>
      </c>
      <c r="DF154" s="22">
        <f>DF153/DA153-1</f>
        <v>0.39366515837104066</v>
      </c>
      <c r="DG154" s="21">
        <f>DG153/DB153-1</f>
        <v>0.48827586206896556</v>
      </c>
      <c r="DH154" s="22">
        <f>DH153/DC153-1</f>
        <v>0.53149606299212593</v>
      </c>
      <c r="DI154" s="22">
        <f t="shared" si="559"/>
        <v>0.5968992248062015</v>
      </c>
      <c r="DJ154" s="22">
        <f t="shared" si="559"/>
        <v>0.4864864864864864</v>
      </c>
      <c r="DK154" s="22">
        <f t="shared" si="559"/>
        <v>0.30844155844155852</v>
      </c>
      <c r="DL154" s="21">
        <f t="shared" si="559"/>
        <v>0.4726598702502316</v>
      </c>
      <c r="DM154" s="22">
        <f>DM153/DH153-1</f>
        <v>6.1696658097686319E-2</v>
      </c>
      <c r="DN154" s="22">
        <f>DN153/DI153-1</f>
        <v>-5.3398058252427161E-2</v>
      </c>
      <c r="DO154" s="22">
        <f>DO153/DJ153-1</f>
        <v>-1.558441558441559E-2</v>
      </c>
      <c r="DP154" s="22">
        <f t="shared" si="559"/>
        <v>-1.9851116625310139E-2</v>
      </c>
      <c r="DQ154" s="21">
        <f t="shared" si="559"/>
        <v>-7.5519194461926009E-3</v>
      </c>
      <c r="DR154" s="22">
        <f t="shared" si="559"/>
        <v>3.874092009685226E-2</v>
      </c>
      <c r="DS154" s="22">
        <f t="shared" si="559"/>
        <v>2.564102564102555E-3</v>
      </c>
      <c r="DT154" s="22">
        <f t="shared" si="559"/>
        <v>2.9023746701847042E-2</v>
      </c>
      <c r="DU154" s="22">
        <f t="shared" si="559"/>
        <v>2.0253164556962133E-2</v>
      </c>
      <c r="DV154" s="21">
        <f t="shared" si="559"/>
        <v>2.2828154724159777E-2</v>
      </c>
      <c r="DW154" s="22">
        <f>DW153/DR153-1</f>
        <v>6.9930069930070893E-3</v>
      </c>
      <c r="DX154" s="22">
        <f>DX153/DS153-1</f>
        <v>4.3478260869565188E-2</v>
      </c>
      <c r="DY154" s="22">
        <f t="shared" si="559"/>
        <v>-8.9743589743589425E-3</v>
      </c>
      <c r="DZ154" s="22">
        <f t="shared" ref="DZ154:EI154" si="560">DZ153/DU153-1</f>
        <v>-0.13895781637717119</v>
      </c>
      <c r="EA154" s="21">
        <f t="shared" si="560"/>
        <v>-2.4488530688158705E-2</v>
      </c>
      <c r="EB154" s="22">
        <f t="shared" si="560"/>
        <v>-0.38888888888888884</v>
      </c>
      <c r="EC154" s="22">
        <f t="shared" si="560"/>
        <v>-0.375</v>
      </c>
      <c r="ED154" s="22">
        <f t="shared" si="560"/>
        <v>-0.42820181112548517</v>
      </c>
      <c r="EE154" s="22">
        <f t="shared" si="560"/>
        <v>-0.44092219020172907</v>
      </c>
      <c r="EF154" s="21">
        <f t="shared" si="560"/>
        <v>-0.40641881156657134</v>
      </c>
      <c r="EG154" s="22">
        <f t="shared" si="560"/>
        <v>-0.43560606060606055</v>
      </c>
      <c r="EH154" s="22">
        <f t="shared" si="560"/>
        <v>-0.31764705882352939</v>
      </c>
      <c r="EI154" s="22">
        <f t="shared" si="560"/>
        <v>-0.1809954751131222</v>
      </c>
      <c r="EJ154" s="22">
        <f t="shared" ref="EJ154:EN154" si="561">EJ153/EE153-1</f>
        <v>0</v>
      </c>
      <c r="EK154" s="21">
        <f t="shared" si="561"/>
        <v>-0.25267665952890794</v>
      </c>
      <c r="EL154" s="22">
        <f t="shared" si="561"/>
        <v>0.42953020134228193</v>
      </c>
      <c r="EM154" s="22">
        <f t="shared" si="561"/>
        <v>9.1954022988505857E-2</v>
      </c>
      <c r="EN154" s="22">
        <f t="shared" si="561"/>
        <v>9.3922651933701751E-2</v>
      </c>
      <c r="EO154" s="22">
        <f t="shared" ref="EO154" si="562">EO153/EJ153-1</f>
        <v>0.231958762886598</v>
      </c>
      <c r="EP154" s="21">
        <f t="shared" ref="EP154:EQ154" si="563">EP153/EK153-1</f>
        <v>0.20343839541547282</v>
      </c>
      <c r="EQ154" s="22">
        <f t="shared" si="563"/>
        <v>0.24882629107981225</v>
      </c>
      <c r="ER154" s="22">
        <f t="shared" ref="ER154" si="564">ER153/EM153-1</f>
        <v>0.3862365686301803</v>
      </c>
      <c r="ES154" s="22">
        <f t="shared" ref="ES154:EU154" si="565">ES153/EN153-1</f>
        <v>0.30020088994637195</v>
      </c>
      <c r="ET154" s="22">
        <f t="shared" si="565"/>
        <v>0.11120639323102188</v>
      </c>
      <c r="EU154" s="270">
        <f t="shared" si="565"/>
        <v>0.25286077646586924</v>
      </c>
      <c r="EV154" s="243"/>
      <c r="EW154" s="243"/>
      <c r="EX154" s="243"/>
      <c r="EY154" s="243"/>
      <c r="EZ154" s="844">
        <f>EZ153/EU153-1</f>
        <v>2.451618133974276E-2</v>
      </c>
      <c r="FA154" s="243"/>
      <c r="FB154" s="243"/>
      <c r="FC154" s="243"/>
      <c r="FD154" s="243"/>
      <c r="FE154" s="844">
        <f>FE153/EZ153-1</f>
        <v>1.6249965840711589E-2</v>
      </c>
      <c r="FF154" s="791"/>
      <c r="FG154" s="659"/>
      <c r="FH154" s="1041"/>
      <c r="FI154" s="1041"/>
      <c r="FJ154" s="1041"/>
      <c r="FK154" s="1041"/>
      <c r="FL154" s="1806"/>
      <c r="FM154" s="22">
        <f t="shared" si="500"/>
        <v>0.24882629107981225</v>
      </c>
      <c r="FN154" s="22">
        <f t="shared" si="501"/>
        <v>0.42953020134228193</v>
      </c>
      <c r="FO154" s="2041">
        <v>0.23740977245801931</v>
      </c>
      <c r="FP154" s="1892">
        <f>IFERROR(($FM154-FN154)*10000,"")</f>
        <v>-1807.0391026246969</v>
      </c>
      <c r="FQ154" s="1892">
        <f>IFERROR(($FM154-FO154)*10000,"")</f>
        <v>114.16518621792937</v>
      </c>
      <c r="FR154" s="1579" t="s">
        <v>724</v>
      </c>
      <c r="FS154" s="120"/>
      <c r="FT154" s="120"/>
      <c r="FU154" s="1426"/>
      <c r="FV154" s="418"/>
      <c r="FW154" s="418"/>
      <c r="FX154" s="418"/>
      <c r="FY154" s="418"/>
      <c r="FZ154" s="120"/>
      <c r="GA154" s="659"/>
      <c r="GB154"/>
      <c r="GC154"/>
      <c r="GD154"/>
      <c r="GE154"/>
      <c r="GF154"/>
      <c r="GG154"/>
      <c r="GH154" s="973"/>
      <c r="GI154" s="973"/>
      <c r="GJ154" s="973"/>
      <c r="GK154" s="973"/>
      <c r="GL154" s="973"/>
      <c r="GM154" s="973"/>
      <c r="GN154" s="973"/>
      <c r="GO154" s="973"/>
      <c r="GP154" s="973"/>
      <c r="GQ154" s="973"/>
      <c r="GR154" s="973"/>
      <c r="GS154" s="973"/>
      <c r="GT154" s="973"/>
      <c r="GU154" s="973"/>
      <c r="GV154" s="973"/>
      <c r="GW154" s="973"/>
      <c r="GX154" s="973"/>
      <c r="GY154" s="973"/>
      <c r="GZ154" s="973"/>
      <c r="HA154" s="973"/>
      <c r="HB154" s="973"/>
      <c r="HC154" s="973"/>
      <c r="HD154" s="973"/>
      <c r="HE154" s="973"/>
      <c r="HF154" s="973"/>
      <c r="HG154" s="973"/>
      <c r="HH154" s="973"/>
      <c r="HI154" s="973"/>
      <c r="HJ154" s="973"/>
      <c r="HK154" s="973"/>
      <c r="HL154" s="973"/>
      <c r="HM154" s="973"/>
      <c r="HN154" s="973"/>
      <c r="HO154" s="973"/>
      <c r="HP154" s="973"/>
      <c r="HQ154" s="973"/>
      <c r="HR154" s="973"/>
      <c r="HS154" s="973"/>
      <c r="HT154" s="973"/>
      <c r="HU154" s="973"/>
      <c r="HV154" s="973"/>
      <c r="HW154" s="973"/>
      <c r="HX154" s="973"/>
      <c r="HY154" s="973"/>
      <c r="HZ154" s="973"/>
      <c r="IA154" s="973"/>
      <c r="IB154" s="973"/>
      <c r="IC154" s="973"/>
      <c r="ID154" s="973"/>
      <c r="IE154" s="973"/>
      <c r="IF154" s="973"/>
      <c r="IG154" s="973"/>
      <c r="IH154" s="973"/>
      <c r="II154" s="973"/>
      <c r="IJ154" s="973"/>
      <c r="IK154" s="973"/>
      <c r="IL154" s="973"/>
      <c r="IM154" s="973"/>
      <c r="IN154" s="973"/>
      <c r="IO154" s="973"/>
      <c r="IP154" s="973"/>
      <c r="IQ154" s="973"/>
      <c r="IR154" s="973"/>
      <c r="IS154" s="973"/>
      <c r="IT154" s="973"/>
      <c r="IU154" s="973"/>
      <c r="IV154" s="973"/>
    </row>
    <row r="155" spans="1:256" s="53" customFormat="1" ht="12.75" x14ac:dyDescent="0.2">
      <c r="A155" s="315" t="s">
        <v>471</v>
      </c>
      <c r="B155" s="260"/>
      <c r="C155" s="260"/>
      <c r="D155" s="260"/>
      <c r="E155" s="261"/>
      <c r="F155" s="262"/>
      <c r="G155" s="260"/>
      <c r="H155" s="260"/>
      <c r="I155" s="260"/>
      <c r="J155" s="261"/>
      <c r="K155" s="262"/>
      <c r="L155" s="260"/>
      <c r="M155" s="260"/>
      <c r="N155" s="260"/>
      <c r="O155" s="261"/>
      <c r="P155" s="262"/>
      <c r="Q155" s="260"/>
      <c r="R155" s="260"/>
      <c r="S155" s="260"/>
      <c r="T155" s="261"/>
      <c r="U155" s="262"/>
      <c r="V155" s="260"/>
      <c r="W155" s="260"/>
      <c r="X155" s="260"/>
      <c r="Y155" s="261"/>
      <c r="Z155" s="262"/>
      <c r="AA155" s="260"/>
      <c r="AB155" s="260"/>
      <c r="AC155" s="260"/>
      <c r="AD155" s="261"/>
      <c r="AE155" s="262"/>
      <c r="AF155" s="260">
        <f t="shared" ref="AF155:BK155" si="566">AF153/AF$214</f>
        <v>6.5002669514148431E-2</v>
      </c>
      <c r="AG155" s="260">
        <f t="shared" si="566"/>
        <v>6.4720462682456625E-2</v>
      </c>
      <c r="AH155" s="260">
        <f t="shared" si="566"/>
        <v>6.2926353891131839E-2</v>
      </c>
      <c r="AI155" s="261">
        <f t="shared" si="566"/>
        <v>6.8277017592851152E-2</v>
      </c>
      <c r="AJ155" s="262">
        <f t="shared" si="566"/>
        <v>6.5225609127461434E-2</v>
      </c>
      <c r="AK155" s="260">
        <f t="shared" si="566"/>
        <v>7.3396926338102797E-2</v>
      </c>
      <c r="AL155" s="260">
        <f t="shared" si="566"/>
        <v>7.6829268292682926E-2</v>
      </c>
      <c r="AM155" s="260">
        <f t="shared" si="566"/>
        <v>7.4614422676115053E-2</v>
      </c>
      <c r="AN155" s="261">
        <f t="shared" si="566"/>
        <v>9.3267108167770424E-2</v>
      </c>
      <c r="AO155" s="262">
        <f t="shared" si="566"/>
        <v>7.946072924113981E-2</v>
      </c>
      <c r="AP155" s="260">
        <f t="shared" si="566"/>
        <v>8.2014388489208639E-2</v>
      </c>
      <c r="AQ155" s="260">
        <f t="shared" si="566"/>
        <v>7.3821007502679531E-2</v>
      </c>
      <c r="AR155" s="260">
        <f t="shared" si="566"/>
        <v>6.8318018377946446E-2</v>
      </c>
      <c r="AS155" s="261">
        <f t="shared" si="566"/>
        <v>7.7540106951871662E-2</v>
      </c>
      <c r="AT155" s="262">
        <f t="shared" si="566"/>
        <v>7.5453518506213041E-2</v>
      </c>
      <c r="AU155" s="260">
        <f t="shared" si="566"/>
        <v>5.8866813833701244E-2</v>
      </c>
      <c r="AV155" s="260">
        <f t="shared" si="566"/>
        <v>5.7251908396946563E-2</v>
      </c>
      <c r="AW155" s="260">
        <f t="shared" si="566"/>
        <v>5.1898734177215189E-2</v>
      </c>
      <c r="AX155" s="261">
        <f t="shared" si="566"/>
        <v>5.1413881748071981E-2</v>
      </c>
      <c r="AY155" s="262">
        <f t="shared" si="566"/>
        <v>5.4899981068972051E-2</v>
      </c>
      <c r="AZ155" s="260">
        <f t="shared" si="566"/>
        <v>4.6658259773013869E-2</v>
      </c>
      <c r="BA155" s="260">
        <f t="shared" si="566"/>
        <v>4.8192771084337352E-2</v>
      </c>
      <c r="BB155" s="260">
        <f t="shared" si="566"/>
        <v>5.4652880354505169E-2</v>
      </c>
      <c r="BC155" s="261">
        <f t="shared" si="566"/>
        <v>7.1964017991004492E-2</v>
      </c>
      <c r="BD155" s="262">
        <f t="shared" si="566"/>
        <v>5.6957784230511503E-2</v>
      </c>
      <c r="BE155" s="260">
        <f t="shared" si="566"/>
        <v>8.3393763596809278E-2</v>
      </c>
      <c r="BF155" s="260">
        <f t="shared" si="566"/>
        <v>8.0669710806697104E-2</v>
      </c>
      <c r="BG155" s="260">
        <f t="shared" si="566"/>
        <v>8.9123867069486398E-2</v>
      </c>
      <c r="BH155" s="261">
        <f t="shared" si="566"/>
        <v>0.10342261904761904</v>
      </c>
      <c r="BI155" s="262">
        <f t="shared" si="566"/>
        <v>8.9162469688490953E-2</v>
      </c>
      <c r="BJ155" s="260">
        <f t="shared" si="566"/>
        <v>8.7640449438202248E-2</v>
      </c>
      <c r="BK155" s="260">
        <f t="shared" si="566"/>
        <v>8.0916030534351147E-2</v>
      </c>
      <c r="BL155" s="260">
        <f t="shared" ref="BL155:CQ155" si="567">BL153/BL$214</f>
        <v>7.3634204275534437E-2</v>
      </c>
      <c r="BM155" s="261">
        <f t="shared" si="567"/>
        <v>7.6494023904382466E-2</v>
      </c>
      <c r="BN155" s="262">
        <f t="shared" si="567"/>
        <v>7.9798566724772424E-2</v>
      </c>
      <c r="BO155" s="260">
        <f t="shared" si="567"/>
        <v>6.4234734337827115E-2</v>
      </c>
      <c r="BP155" s="260">
        <f t="shared" si="567"/>
        <v>6.6089693154996063E-2</v>
      </c>
      <c r="BQ155" s="260">
        <f t="shared" si="567"/>
        <v>6.2937062937062943E-2</v>
      </c>
      <c r="BR155" s="261">
        <f t="shared" si="567"/>
        <v>7.4245939675174011E-2</v>
      </c>
      <c r="BS155" s="262">
        <f t="shared" si="567"/>
        <v>6.6901408450704219E-2</v>
      </c>
      <c r="BT155" s="260">
        <f t="shared" si="567"/>
        <v>7.8195488721804512E-2</v>
      </c>
      <c r="BU155" s="260">
        <f t="shared" si="567"/>
        <v>6.9662921348314602E-2</v>
      </c>
      <c r="BV155" s="260">
        <f t="shared" si="567"/>
        <v>6.6822066822066817E-2</v>
      </c>
      <c r="BW155" s="261">
        <f t="shared" si="567"/>
        <v>7.2118959107806691E-2</v>
      </c>
      <c r="BX155" s="262">
        <f t="shared" si="567"/>
        <v>7.1738720030205774E-2</v>
      </c>
      <c r="BY155" s="260">
        <f t="shared" si="567"/>
        <v>7.9435783221974754E-2</v>
      </c>
      <c r="BZ155" s="260">
        <f t="shared" si="567"/>
        <v>7.6368876080691636E-2</v>
      </c>
      <c r="CA155" s="260">
        <f t="shared" si="567"/>
        <v>7.060518731988473E-2</v>
      </c>
      <c r="CB155" s="261">
        <f t="shared" si="567"/>
        <v>9.2804303967720242E-2</v>
      </c>
      <c r="CC155" s="262">
        <f t="shared" si="567"/>
        <v>8.4861084861084859E-2</v>
      </c>
      <c r="CD155" s="260">
        <f t="shared" si="567"/>
        <v>0.10975609756097561</v>
      </c>
      <c r="CE155" s="260">
        <f t="shared" si="567"/>
        <v>0.11875405580791694</v>
      </c>
      <c r="CF155" s="260">
        <f t="shared" si="567"/>
        <v>0.13030116779348494</v>
      </c>
      <c r="CG155" s="261">
        <f t="shared" si="567"/>
        <v>0.15333734215273601</v>
      </c>
      <c r="CH155" s="262">
        <f t="shared" si="567"/>
        <v>0.12850211300673031</v>
      </c>
      <c r="CI155" s="260">
        <f t="shared" si="567"/>
        <v>0.14840182648401826</v>
      </c>
      <c r="CJ155" s="260">
        <f t="shared" si="567"/>
        <v>0.16967930029154518</v>
      </c>
      <c r="CK155" s="260">
        <f t="shared" si="567"/>
        <v>0.17163289630512515</v>
      </c>
      <c r="CL155" s="261">
        <f t="shared" si="567"/>
        <v>0.1501466275659824</v>
      </c>
      <c r="CM155" s="262">
        <f t="shared" si="567"/>
        <v>0.15985401459854015</v>
      </c>
      <c r="CN155" s="260">
        <f t="shared" si="567"/>
        <v>0.14426992437463643</v>
      </c>
      <c r="CO155" s="260">
        <f t="shared" si="567"/>
        <v>0.16528436018957346</v>
      </c>
      <c r="CP155" s="260">
        <f t="shared" si="567"/>
        <v>0.17284688995215311</v>
      </c>
      <c r="CQ155" s="261">
        <f t="shared" si="567"/>
        <v>0.19966063348416291</v>
      </c>
      <c r="CR155" s="262">
        <f t="shared" ref="CR155:DW155" si="568">CR153/CR$214</f>
        <v>0.17073170731707318</v>
      </c>
      <c r="CS155" s="260">
        <f t="shared" si="568"/>
        <v>0.21162912519643792</v>
      </c>
      <c r="CT155" s="260">
        <f t="shared" si="568"/>
        <v>0.24974567650050863</v>
      </c>
      <c r="CU155" s="260">
        <f t="shared" si="568"/>
        <v>0.23699999999999999</v>
      </c>
      <c r="CV155" s="261">
        <f t="shared" si="568"/>
        <v>0.15926583777383066</v>
      </c>
      <c r="CW155" s="262">
        <f t="shared" si="568"/>
        <v>0.2165520888418826</v>
      </c>
      <c r="CX155" s="382">
        <f t="shared" si="568"/>
        <v>0.10192307692307692</v>
      </c>
      <c r="CY155" s="382">
        <f t="shared" si="568"/>
        <v>0.1101511879049676</v>
      </c>
      <c r="CZ155" s="382">
        <f t="shared" si="568"/>
        <v>0.1279147235176549</v>
      </c>
      <c r="DA155" s="260">
        <f t="shared" si="568"/>
        <v>0.14193962748876043</v>
      </c>
      <c r="DB155" s="262">
        <f t="shared" si="568"/>
        <v>0.12069252538704844</v>
      </c>
      <c r="DC155" s="382">
        <f t="shared" si="568"/>
        <v>0.15092097445038621</v>
      </c>
      <c r="DD155" s="382">
        <f t="shared" si="568"/>
        <v>0.15203299941072482</v>
      </c>
      <c r="DE155" s="382">
        <f t="shared" si="568"/>
        <v>0.15146198830409358</v>
      </c>
      <c r="DF155" s="260">
        <f t="shared" si="568"/>
        <v>0.17599999999999999</v>
      </c>
      <c r="DG155" s="262">
        <f t="shared" si="568"/>
        <v>0.15774853801169592</v>
      </c>
      <c r="DH155" s="260">
        <f t="shared" si="568"/>
        <v>0.1982670744138634</v>
      </c>
      <c r="DI155" s="382">
        <f t="shared" si="568"/>
        <v>0.20693119035660473</v>
      </c>
      <c r="DJ155" s="382">
        <f t="shared" si="568"/>
        <v>0.19733470015376731</v>
      </c>
      <c r="DK155" s="260">
        <f t="shared" si="568"/>
        <v>0.20180270405608414</v>
      </c>
      <c r="DL155" s="262">
        <f t="shared" si="568"/>
        <v>0.20111378306543476</v>
      </c>
      <c r="DM155" s="260">
        <f t="shared" si="568"/>
        <v>0.20205479452054795</v>
      </c>
      <c r="DN155" s="382">
        <f t="shared" si="568"/>
        <v>0.20103092783505155</v>
      </c>
      <c r="DO155" s="382">
        <f t="shared" si="568"/>
        <v>0.19317023445463813</v>
      </c>
      <c r="DP155" s="260">
        <f t="shared" si="568"/>
        <v>0.20050761421319796</v>
      </c>
      <c r="DQ155" s="262">
        <f t="shared" si="568"/>
        <v>0.19921677614957048</v>
      </c>
      <c r="DR155" s="260">
        <f t="shared" si="568"/>
        <v>0.20957498778700537</v>
      </c>
      <c r="DS155" s="382">
        <f t="shared" si="568"/>
        <v>0.19888097660223805</v>
      </c>
      <c r="DT155" s="260">
        <f t="shared" si="568"/>
        <v>0.19746835443037974</v>
      </c>
      <c r="DU155" s="260">
        <f t="shared" si="568"/>
        <v>0.20150000000000001</v>
      </c>
      <c r="DV155" s="262">
        <f t="shared" si="568"/>
        <v>0.20192789183775664</v>
      </c>
      <c r="DW155" s="260">
        <f t="shared" si="568"/>
        <v>0.21364985163204747</v>
      </c>
      <c r="DX155" s="382">
        <f t="shared" ref="DX155:EU155" si="569">DX153/DX$214</f>
        <v>0.20168067226890757</v>
      </c>
      <c r="DY155" s="260">
        <f t="shared" si="569"/>
        <v>0.19087362338880931</v>
      </c>
      <c r="DZ155" s="260">
        <f t="shared" si="569"/>
        <v>0.1753410813542193</v>
      </c>
      <c r="EA155" s="262">
        <f t="shared" si="569"/>
        <v>0.19549255177726149</v>
      </c>
      <c r="EB155" s="260">
        <f t="shared" si="569"/>
        <v>0.13462519122896482</v>
      </c>
      <c r="EC155" s="382">
        <f t="shared" si="569"/>
        <v>0.13428120063191154</v>
      </c>
      <c r="ED155" s="260">
        <f t="shared" si="569"/>
        <v>0.11686938127974617</v>
      </c>
      <c r="EE155" s="260">
        <f t="shared" si="569"/>
        <v>0.10341151385927505</v>
      </c>
      <c r="EF155" s="262">
        <f t="shared" si="569"/>
        <v>0.12245968270617542</v>
      </c>
      <c r="EG155" s="260">
        <f t="shared" si="569"/>
        <v>8.7802003535651152E-2</v>
      </c>
      <c r="EH155" s="382">
        <f t="shared" si="569"/>
        <v>0.10332541567695962</v>
      </c>
      <c r="EI155" s="260">
        <f t="shared" si="569"/>
        <v>0.10622065727699531</v>
      </c>
      <c r="EJ155" s="260">
        <f t="shared" si="569"/>
        <v>0.11220358588779641</v>
      </c>
      <c r="EK155" s="262">
        <f t="shared" si="569"/>
        <v>0.10243616084531847</v>
      </c>
      <c r="EL155" s="260">
        <f t="shared" si="569"/>
        <v>0.11716171617161716</v>
      </c>
      <c r="EM155" s="382">
        <f t="shared" si="569"/>
        <v>0.10764872521246459</v>
      </c>
      <c r="EN155" s="260">
        <f t="shared" si="569"/>
        <v>0.11154929577464789</v>
      </c>
      <c r="EO155" s="260">
        <f t="shared" ref="EO155:EQ155" si="570">EO153/EO$214</f>
        <v>0.13117453347969266</v>
      </c>
      <c r="EP155" s="262">
        <f t="shared" si="570"/>
        <v>0.11699164345403899</v>
      </c>
      <c r="EQ155" s="260">
        <f t="shared" si="570"/>
        <v>0.14133900106269925</v>
      </c>
      <c r="ER155" s="260">
        <f t="shared" si="569"/>
        <v>0.14053862859047647</v>
      </c>
      <c r="ES155" s="260">
        <f t="shared" si="569"/>
        <v>0.131175496107548</v>
      </c>
      <c r="ET155" s="260">
        <f t="shared" si="569"/>
        <v>0.13638733879842244</v>
      </c>
      <c r="EU155" s="1973">
        <f t="shared" si="569"/>
        <v>0.1372835734635369</v>
      </c>
      <c r="EV155" s="265"/>
      <c r="EW155" s="265"/>
      <c r="EX155" s="265"/>
      <c r="EY155" s="265"/>
      <c r="EZ155" s="856">
        <f>EZ153/EZ$214</f>
        <v>0.13607156374847754</v>
      </c>
      <c r="FA155" s="265"/>
      <c r="FB155" s="265"/>
      <c r="FC155" s="265"/>
      <c r="FD155" s="265"/>
      <c r="FE155" s="856">
        <f>FE153/FE$214</f>
        <v>0.13403431610192612</v>
      </c>
      <c r="FF155" s="759"/>
      <c r="FG155" s="618"/>
      <c r="FH155" s="1032"/>
      <c r="FI155" s="1032"/>
      <c r="FJ155" s="1032"/>
      <c r="FK155" s="1032"/>
      <c r="FL155" s="1807"/>
      <c r="FM155" s="382">
        <f t="shared" si="500"/>
        <v>0.14133900106269925</v>
      </c>
      <c r="FN155" s="382">
        <f t="shared" si="501"/>
        <v>0.11716171617161716</v>
      </c>
      <c r="FO155" s="260">
        <v>0.13984636831056857</v>
      </c>
      <c r="FP155" s="1897">
        <f>IFERROR(($FM155-FN155)*10000,"")</f>
        <v>241.7728489108209</v>
      </c>
      <c r="FQ155" s="1897">
        <f>IFERROR(($FM155-FO155)*10000,"")</f>
        <v>14.926327521306849</v>
      </c>
      <c r="FR155" s="120"/>
      <c r="FS155" s="567"/>
      <c r="FT155" s="567"/>
      <c r="FU155" s="567"/>
      <c r="FV155" s="567"/>
      <c r="FW155" s="567"/>
      <c r="FX155" s="567"/>
      <c r="FY155" s="567"/>
      <c r="FZ155" s="567"/>
      <c r="GA155" s="618"/>
      <c r="GB155"/>
      <c r="GC155"/>
      <c r="GD155"/>
      <c r="GE155"/>
      <c r="GF155"/>
      <c r="GG155"/>
      <c r="GH155" s="959"/>
      <c r="GI155" s="959"/>
      <c r="GJ155" s="959"/>
      <c r="GK155" s="959"/>
      <c r="GL155" s="959"/>
      <c r="GM155" s="959"/>
      <c r="GN155" s="959"/>
      <c r="GO155" s="959"/>
      <c r="GP155" s="959"/>
      <c r="GQ155" s="959"/>
      <c r="GR155" s="959"/>
      <c r="GS155" s="959"/>
      <c r="GT155" s="959"/>
      <c r="GU155" s="959"/>
      <c r="GV155" s="959"/>
      <c r="GW155" s="959"/>
      <c r="GX155" s="959"/>
      <c r="GY155" s="959"/>
      <c r="GZ155" s="959"/>
      <c r="HA155" s="959"/>
      <c r="HB155" s="959"/>
      <c r="HC155" s="959"/>
      <c r="HD155" s="959"/>
      <c r="HE155" s="959"/>
      <c r="HF155" s="959"/>
      <c r="HG155" s="959"/>
      <c r="HH155" s="959"/>
      <c r="HI155" s="959"/>
      <c r="HJ155" s="959"/>
      <c r="HK155" s="959"/>
      <c r="HL155" s="959"/>
      <c r="HM155" s="959"/>
      <c r="HN155" s="959"/>
      <c r="HO155" s="959"/>
      <c r="HP155" s="959"/>
      <c r="HQ155" s="959"/>
      <c r="HR155" s="959"/>
      <c r="HS155" s="959"/>
      <c r="HT155" s="959"/>
      <c r="HU155" s="959"/>
      <c r="HV155" s="959"/>
      <c r="HW155" s="959"/>
      <c r="HX155" s="959"/>
      <c r="HY155" s="959"/>
      <c r="HZ155" s="959"/>
      <c r="IA155" s="959"/>
      <c r="IB155" s="959"/>
      <c r="IC155" s="959"/>
      <c r="ID155" s="959"/>
      <c r="IE155" s="959"/>
      <c r="IF155" s="959"/>
      <c r="IG155" s="959"/>
      <c r="IH155" s="959"/>
      <c r="II155" s="959"/>
      <c r="IJ155" s="959"/>
      <c r="IK155" s="959"/>
      <c r="IL155" s="959"/>
      <c r="IM155" s="959"/>
      <c r="IN155" s="959"/>
      <c r="IO155" s="959"/>
      <c r="IP155" s="959"/>
      <c r="IQ155" s="959"/>
      <c r="IR155" s="959"/>
      <c r="IS155" s="959"/>
      <c r="IT155" s="959"/>
      <c r="IU155" s="959"/>
      <c r="IV155" s="959"/>
    </row>
    <row r="156" spans="1:256" s="388" customFormat="1" ht="11.25" customHeight="1" x14ac:dyDescent="0.2">
      <c r="A156" s="383" t="s">
        <v>315</v>
      </c>
      <c r="B156" s="384"/>
      <c r="C156" s="384"/>
      <c r="D156" s="384"/>
      <c r="E156" s="385"/>
      <c r="F156" s="386"/>
      <c r="G156" s="384"/>
      <c r="H156" s="384"/>
      <c r="I156" s="384"/>
      <c r="J156" s="385"/>
      <c r="K156" s="386"/>
      <c r="L156" s="384"/>
      <c r="M156" s="384"/>
      <c r="N156" s="384"/>
      <c r="O156" s="385"/>
      <c r="P156" s="386"/>
      <c r="Q156" s="384"/>
      <c r="R156" s="384"/>
      <c r="S156" s="384"/>
      <c r="T156" s="385"/>
      <c r="U156" s="386"/>
      <c r="V156" s="384"/>
      <c r="W156" s="384"/>
      <c r="X156" s="384"/>
      <c r="Y156" s="385"/>
      <c r="Z156" s="386"/>
      <c r="AA156" s="384"/>
      <c r="AB156" s="384"/>
      <c r="AC156" s="384"/>
      <c r="AD156" s="385"/>
      <c r="AE156" s="386"/>
      <c r="AF156" s="384"/>
      <c r="AG156" s="384"/>
      <c r="AH156" s="384"/>
      <c r="AI156" s="385"/>
      <c r="AJ156" s="386"/>
      <c r="AK156" s="384"/>
      <c r="AL156" s="384"/>
      <c r="AM156" s="384"/>
      <c r="AN156" s="385"/>
      <c r="AO156" s="386">
        <f t="shared" ref="AO156:CZ156" si="571">AO159</f>
        <v>0.68145388507545912</v>
      </c>
      <c r="AP156" s="384">
        <f t="shared" si="571"/>
        <v>0.70298572725947683</v>
      </c>
      <c r="AQ156" s="384">
        <f t="shared" si="571"/>
        <v>0.63206919494344638</v>
      </c>
      <c r="AR156" s="384">
        <f t="shared" si="571"/>
        <v>0.60605344611676859</v>
      </c>
      <c r="AS156" s="385">
        <f t="shared" si="571"/>
        <v>0.64172779677144531</v>
      </c>
      <c r="AT156" s="386">
        <f t="shared" si="571"/>
        <v>0.64628676805391128</v>
      </c>
      <c r="AU156" s="384">
        <f t="shared" si="571"/>
        <v>0.52051704693328715</v>
      </c>
      <c r="AV156" s="384">
        <f t="shared" si="571"/>
        <v>0.49475559073817538</v>
      </c>
      <c r="AW156" s="384">
        <f t="shared" si="571"/>
        <v>0.46215408893648197</v>
      </c>
      <c r="AX156" s="385">
        <f t="shared" si="571"/>
        <v>0.44261986699272998</v>
      </c>
      <c r="AY156" s="386">
        <f t="shared" si="571"/>
        <v>0.48032330727441369</v>
      </c>
      <c r="AZ156" s="384">
        <f t="shared" si="571"/>
        <v>0.40143649166205558</v>
      </c>
      <c r="BA156" s="384">
        <f t="shared" si="571"/>
        <v>0.49102850011252736</v>
      </c>
      <c r="BB156" s="384">
        <f t="shared" si="571"/>
        <v>0.60200777728966337</v>
      </c>
      <c r="BC156" s="385">
        <f t="shared" si="571"/>
        <v>0.71677094688428633</v>
      </c>
      <c r="BD156" s="386">
        <f t="shared" si="571"/>
        <v>0.57075198252379811</v>
      </c>
      <c r="BE156" s="384">
        <f t="shared" si="571"/>
        <v>0.8548406279733588</v>
      </c>
      <c r="BF156" s="384">
        <f t="shared" si="571"/>
        <v>0.83105316388211581</v>
      </c>
      <c r="BG156" s="384">
        <f t="shared" si="571"/>
        <v>0.94265012502097001</v>
      </c>
      <c r="BH156" s="385">
        <f t="shared" si="571"/>
        <v>1.0667116885508838</v>
      </c>
      <c r="BI156" s="386">
        <f t="shared" si="571"/>
        <v>0.92355906430714718</v>
      </c>
      <c r="BJ156" s="384">
        <f t="shared" si="571"/>
        <v>0.9158656104205154</v>
      </c>
      <c r="BK156" s="384">
        <f t="shared" si="571"/>
        <v>0.87596790321381057</v>
      </c>
      <c r="BL156" s="384">
        <f t="shared" si="571"/>
        <v>0.8723547951373255</v>
      </c>
      <c r="BM156" s="385">
        <f t="shared" si="571"/>
        <v>0.78508983554003553</v>
      </c>
      <c r="BN156" s="386">
        <f t="shared" si="571"/>
        <v>0.86256710018340021</v>
      </c>
      <c r="BO156" s="384">
        <f t="shared" si="571"/>
        <v>0.6745952428542874</v>
      </c>
      <c r="BP156" s="384">
        <f t="shared" si="571"/>
        <v>0.70137937944624429</v>
      </c>
      <c r="BQ156" s="384">
        <f t="shared" si="571"/>
        <v>0.71383877819002206</v>
      </c>
      <c r="BR156" s="385">
        <f t="shared" si="571"/>
        <v>0.80557187211546533</v>
      </c>
      <c r="BS156" s="386">
        <f t="shared" si="571"/>
        <v>0.72384475858084096</v>
      </c>
      <c r="BT156" s="384">
        <f t="shared" si="571"/>
        <v>0.8587943848059455</v>
      </c>
      <c r="BU156" s="384">
        <f t="shared" si="571"/>
        <v>0.79823529916657365</v>
      </c>
      <c r="BV156" s="384">
        <f t="shared" si="571"/>
        <v>0.7679325648054719</v>
      </c>
      <c r="BW156" s="385">
        <f t="shared" si="571"/>
        <v>0.791042463485643</v>
      </c>
      <c r="BX156" s="386">
        <f t="shared" si="571"/>
        <v>0.80471137332466502</v>
      </c>
      <c r="BY156" s="384">
        <f t="shared" si="571"/>
        <v>0.83229620410703176</v>
      </c>
      <c r="BZ156" s="384">
        <f t="shared" si="571"/>
        <v>0.85763293310463118</v>
      </c>
      <c r="CA156" s="384">
        <f t="shared" si="571"/>
        <v>0.87614891225285996</v>
      </c>
      <c r="CB156" s="385">
        <f t="shared" si="571"/>
        <v>1.0667161375600027</v>
      </c>
      <c r="CC156" s="386">
        <f t="shared" si="571"/>
        <v>0.90943644790441558</v>
      </c>
      <c r="CD156" s="384">
        <f t="shared" si="571"/>
        <v>1.1220000000000001</v>
      </c>
      <c r="CE156" s="384">
        <f t="shared" si="571"/>
        <v>1.2769999999999999</v>
      </c>
      <c r="CF156" s="384">
        <f t="shared" si="571"/>
        <v>1.518</v>
      </c>
      <c r="CG156" s="385">
        <f t="shared" si="571"/>
        <v>1.7609999999999999</v>
      </c>
      <c r="CH156" s="386">
        <f t="shared" si="571"/>
        <v>1.4164144000779118</v>
      </c>
      <c r="CI156" s="384">
        <f t="shared" si="571"/>
        <v>1.68</v>
      </c>
      <c r="CJ156" s="384">
        <f t="shared" si="571"/>
        <v>2.0139999999999998</v>
      </c>
      <c r="CK156" s="384">
        <f t="shared" si="571"/>
        <v>2.0710000000000002</v>
      </c>
      <c r="CL156" s="385">
        <f t="shared" si="571"/>
        <v>1.7829999999999999</v>
      </c>
      <c r="CM156" s="386">
        <f t="shared" si="571"/>
        <v>1.8821933640847908</v>
      </c>
      <c r="CN156" s="384">
        <f t="shared" si="571"/>
        <v>1.694</v>
      </c>
      <c r="CO156" s="384">
        <f t="shared" si="571"/>
        <v>1.9790000000000001</v>
      </c>
      <c r="CP156" s="384">
        <f t="shared" si="571"/>
        <v>2.1840000000000002</v>
      </c>
      <c r="CQ156" s="385">
        <f t="shared" si="571"/>
        <v>2.5579999999999998</v>
      </c>
      <c r="CR156" s="386">
        <f t="shared" si="571"/>
        <v>2.0985133896275094</v>
      </c>
      <c r="CS156" s="384">
        <f t="shared" si="571"/>
        <v>2.7879999999999998</v>
      </c>
      <c r="CT156" s="384">
        <f t="shared" si="571"/>
        <v>3.5840000000000001</v>
      </c>
      <c r="CU156" s="384">
        <f t="shared" si="571"/>
        <v>3.5880000000000001</v>
      </c>
      <c r="CV156" s="385">
        <f t="shared" si="571"/>
        <v>2.19</v>
      </c>
      <c r="CW156" s="386">
        <f t="shared" si="571"/>
        <v>3.0479013874066174</v>
      </c>
      <c r="CX156" s="384">
        <f t="shared" si="571"/>
        <v>1.387</v>
      </c>
      <c r="CY156" s="384">
        <f t="shared" si="571"/>
        <v>1.5449999999999999</v>
      </c>
      <c r="CZ156" s="384">
        <f t="shared" si="571"/>
        <v>1.8480000000000001</v>
      </c>
      <c r="DA156" s="384">
        <f t="shared" ref="DA156:DV156" si="572">DA159</f>
        <v>1.984</v>
      </c>
      <c r="DB156" s="386">
        <f t="shared" si="572"/>
        <v>1.6896428424037233</v>
      </c>
      <c r="DC156" s="384">
        <f t="shared" si="572"/>
        <v>2.13</v>
      </c>
      <c r="DD156" s="384">
        <f t="shared" si="572"/>
        <v>2.242</v>
      </c>
      <c r="DE156" s="384">
        <f t="shared" si="572"/>
        <v>2.1850000000000001</v>
      </c>
      <c r="DF156" s="384">
        <f t="shared" si="572"/>
        <v>2.456</v>
      </c>
      <c r="DG156" s="386">
        <f t="shared" si="572"/>
        <v>2.2557350366572084</v>
      </c>
      <c r="DH156" s="384">
        <f t="shared" si="572"/>
        <v>2.883</v>
      </c>
      <c r="DI156" s="384">
        <f t="shared" si="572"/>
        <v>3.258</v>
      </c>
      <c r="DJ156" s="384">
        <f t="shared" si="572"/>
        <v>3.097</v>
      </c>
      <c r="DK156" s="384">
        <f t="shared" si="572"/>
        <v>3.11</v>
      </c>
      <c r="DL156" s="386">
        <f t="shared" si="572"/>
        <v>3.0847941792153422</v>
      </c>
      <c r="DM156" s="384">
        <f>DM159</f>
        <v>3.16</v>
      </c>
      <c r="DN156" s="384">
        <f>DN159</f>
        <v>3.149</v>
      </c>
      <c r="DO156" s="384">
        <f>DO159</f>
        <v>3.1309999999999998</v>
      </c>
      <c r="DP156" s="384">
        <f>DP159</f>
        <v>3.23</v>
      </c>
      <c r="DQ156" s="386">
        <f t="shared" si="572"/>
        <v>3.1674672463793359</v>
      </c>
      <c r="DR156" s="384">
        <f>DR159</f>
        <v>3.1909999999999998</v>
      </c>
      <c r="DS156" s="384">
        <f>DS159</f>
        <v>3.0270000000000001</v>
      </c>
      <c r="DT156" s="384">
        <f t="shared" si="572"/>
        <v>3.133</v>
      </c>
      <c r="DU156" s="384">
        <f>DU159</f>
        <v>3.02</v>
      </c>
      <c r="DV156" s="386">
        <f t="shared" si="572"/>
        <v>3.0928373780445559</v>
      </c>
      <c r="DW156" s="384">
        <f t="shared" ref="DW156:EF156" si="573">DW159</f>
        <v>3.105</v>
      </c>
      <c r="DX156" s="384">
        <f t="shared" si="573"/>
        <v>3.0339999999999998</v>
      </c>
      <c r="DY156" s="384">
        <f t="shared" si="573"/>
        <v>2.9590000000000001</v>
      </c>
      <c r="DZ156" s="384">
        <f t="shared" si="573"/>
        <v>2.5209999999999999</v>
      </c>
      <c r="EA156" s="386">
        <f t="shared" si="573"/>
        <v>2.9029855324179503</v>
      </c>
      <c r="EB156" s="384">
        <f t="shared" si="573"/>
        <v>1.831</v>
      </c>
      <c r="EC156" s="384">
        <f t="shared" si="573"/>
        <v>1.9350000000000001</v>
      </c>
      <c r="ED156" s="384">
        <f t="shared" si="573"/>
        <v>1.714</v>
      </c>
      <c r="EE156" s="384">
        <f t="shared" si="573"/>
        <v>1.49</v>
      </c>
      <c r="EF156" s="386">
        <f t="shared" si="573"/>
        <v>1.7429421057497712</v>
      </c>
      <c r="EG156" s="384">
        <f t="shared" ref="EG156:ER156" si="574">EG159</f>
        <v>1.1579999999999999</v>
      </c>
      <c r="EH156" s="384">
        <f t="shared" si="574"/>
        <v>1.4450000000000001</v>
      </c>
      <c r="EI156" s="384">
        <f t="shared" si="574"/>
        <v>1.512</v>
      </c>
      <c r="EJ156" s="384">
        <f t="shared" si="574"/>
        <v>1.603</v>
      </c>
      <c r="EK156" s="386">
        <f t="shared" si="574"/>
        <v>1.425932286447116</v>
      </c>
      <c r="EL156" s="384">
        <f>EL159</f>
        <v>1.69</v>
      </c>
      <c r="EM156" s="384">
        <f t="shared" ref="EM156:EP156" si="575">EM159</f>
        <v>1.609</v>
      </c>
      <c r="EN156" s="384">
        <f t="shared" si="575"/>
        <v>1.6970000000000001</v>
      </c>
      <c r="EO156" s="384">
        <f t="shared" si="575"/>
        <v>1.95</v>
      </c>
      <c r="EP156" s="386">
        <f t="shared" si="575"/>
        <v>1.7380981297702425</v>
      </c>
      <c r="EQ156" s="384">
        <f>EQ159</f>
        <v>2.0459999999999998</v>
      </c>
      <c r="ER156" s="384">
        <f t="shared" si="574"/>
        <v>2.1455384615384614</v>
      </c>
      <c r="ES156" s="384">
        <f t="shared" ref="ES156:EU156" si="576">ES159</f>
        <v>2.1616923076923076</v>
      </c>
      <c r="ET156" s="384">
        <f t="shared" si="576"/>
        <v>2.1616923076923076</v>
      </c>
      <c r="EU156" s="1974">
        <f t="shared" si="576"/>
        <v>2.1275261680331261</v>
      </c>
      <c r="EV156" s="387"/>
      <c r="EW156" s="387"/>
      <c r="EX156" s="387"/>
      <c r="EY156" s="387"/>
      <c r="EZ156" s="861">
        <f>EZ159</f>
        <v>2.1604877064946648</v>
      </c>
      <c r="FA156" s="387"/>
      <c r="FB156" s="387"/>
      <c r="FC156" s="387"/>
      <c r="FD156" s="387"/>
      <c r="FE156" s="861">
        <f>FE159</f>
        <v>2.1604877064946648</v>
      </c>
      <c r="FF156" s="787"/>
      <c r="FG156" s="618"/>
      <c r="FH156" s="1032"/>
      <c r="FI156" s="1032"/>
      <c r="FJ156" s="1032"/>
      <c r="FK156" s="1032"/>
      <c r="FL156" s="1807"/>
      <c r="FM156" s="384">
        <f t="shared" si="500"/>
        <v>2.0459999999999998</v>
      </c>
      <c r="FN156" s="384">
        <f t="shared" si="501"/>
        <v>1.69</v>
      </c>
      <c r="FO156" s="2060">
        <v>2.0973076923076923</v>
      </c>
      <c r="FP156" s="387">
        <f>IFERROR(($FM156/FN156)-1,"")</f>
        <v>0.21065088757396433</v>
      </c>
      <c r="FQ156" s="387">
        <f>IFERROR(($FM156/FO156)-1,"")</f>
        <v>-2.4463598019438981E-2</v>
      </c>
      <c r="FR156" s="567"/>
      <c r="FS156" s="567"/>
      <c r="FT156" s="567"/>
      <c r="FU156" s="567"/>
      <c r="FV156" s="567"/>
      <c r="FW156" s="567"/>
      <c r="FX156" s="567"/>
      <c r="FY156" s="567"/>
      <c r="FZ156" s="567"/>
      <c r="GA156" s="618"/>
      <c r="GB156"/>
      <c r="GC156"/>
      <c r="GD156"/>
      <c r="GE156"/>
      <c r="GF156"/>
      <c r="GG156"/>
      <c r="GH156" s="959"/>
      <c r="GI156" s="959"/>
      <c r="GJ156" s="959"/>
      <c r="GK156" s="959"/>
      <c r="GL156" s="959"/>
      <c r="GM156" s="959"/>
      <c r="GN156" s="959"/>
      <c r="GO156" s="959"/>
      <c r="GP156" s="959"/>
      <c r="GQ156" s="959"/>
      <c r="GR156" s="959"/>
      <c r="GS156" s="959"/>
      <c r="GT156" s="959"/>
      <c r="GU156" s="959"/>
      <c r="GV156" s="959"/>
      <c r="GW156" s="959"/>
      <c r="GX156" s="959"/>
      <c r="GY156" s="959"/>
      <c r="GZ156" s="959"/>
      <c r="HA156" s="959"/>
      <c r="HB156" s="959"/>
      <c r="HC156" s="959"/>
      <c r="HD156" s="959"/>
      <c r="HE156" s="959"/>
      <c r="HF156" s="959"/>
      <c r="HG156" s="959"/>
      <c r="HH156" s="959"/>
      <c r="HI156" s="959"/>
      <c r="HJ156" s="959"/>
      <c r="HK156" s="959"/>
      <c r="HL156" s="959"/>
      <c r="HM156" s="959"/>
      <c r="HN156" s="959"/>
      <c r="HO156" s="959"/>
      <c r="HP156" s="959"/>
      <c r="HQ156" s="959"/>
      <c r="HR156" s="959"/>
      <c r="HS156" s="959"/>
      <c r="HT156" s="959"/>
      <c r="HU156" s="959"/>
      <c r="HV156" s="959"/>
      <c r="HW156" s="959"/>
      <c r="HX156" s="959"/>
      <c r="HY156" s="959"/>
      <c r="HZ156" s="959"/>
      <c r="IA156" s="959"/>
      <c r="IB156" s="959"/>
      <c r="IC156" s="959"/>
      <c r="ID156" s="959"/>
      <c r="IE156" s="959"/>
      <c r="IF156" s="959"/>
      <c r="IG156" s="959"/>
      <c r="IH156" s="959"/>
      <c r="II156" s="959"/>
      <c r="IJ156" s="959"/>
      <c r="IK156" s="959"/>
      <c r="IL156" s="959"/>
      <c r="IM156" s="959"/>
      <c r="IN156" s="959"/>
      <c r="IO156" s="959"/>
      <c r="IP156" s="959"/>
      <c r="IQ156" s="959"/>
      <c r="IR156" s="959"/>
      <c r="IS156" s="959"/>
      <c r="IT156" s="959"/>
      <c r="IU156" s="959"/>
      <c r="IV156" s="959"/>
    </row>
    <row r="157" spans="1:256" s="394" customFormat="1" ht="12" customHeight="1" x14ac:dyDescent="0.2">
      <c r="A157" s="389" t="s">
        <v>316</v>
      </c>
      <c r="B157" s="109"/>
      <c r="C157" s="109"/>
      <c r="D157" s="109"/>
      <c r="E157" s="390"/>
      <c r="F157" s="391"/>
      <c r="G157" s="109"/>
      <c r="H157" s="109"/>
      <c r="I157" s="109"/>
      <c r="J157" s="390"/>
      <c r="K157" s="391"/>
      <c r="L157" s="109"/>
      <c r="M157" s="109"/>
      <c r="N157" s="109"/>
      <c r="O157" s="390"/>
      <c r="P157" s="391"/>
      <c r="Q157" s="109"/>
      <c r="R157" s="109"/>
      <c r="S157" s="109"/>
      <c r="T157" s="390"/>
      <c r="U157" s="391"/>
      <c r="V157" s="109"/>
      <c r="W157" s="109"/>
      <c r="X157" s="109"/>
      <c r="Y157" s="390"/>
      <c r="Z157" s="391"/>
      <c r="AA157" s="109"/>
      <c r="AB157" s="109"/>
      <c r="AC157" s="109"/>
      <c r="AD157" s="390"/>
      <c r="AE157" s="391"/>
      <c r="AF157" s="109"/>
      <c r="AG157" s="109"/>
      <c r="AH157" s="109"/>
      <c r="AI157" s="390"/>
      <c r="AJ157" s="391"/>
      <c r="AK157" s="109"/>
      <c r="AL157" s="109"/>
      <c r="AM157" s="109"/>
      <c r="AN157" s="390"/>
      <c r="AO157" s="391"/>
      <c r="AP157" s="109"/>
      <c r="AQ157" s="109"/>
      <c r="AR157" s="109"/>
      <c r="AS157" s="390"/>
      <c r="AT157" s="391"/>
      <c r="AU157" s="109"/>
      <c r="AV157" s="109"/>
      <c r="AW157" s="109"/>
      <c r="AX157" s="390"/>
      <c r="AY157" s="391"/>
      <c r="AZ157" s="109"/>
      <c r="BA157" s="109"/>
      <c r="BB157" s="109"/>
      <c r="BC157" s="390"/>
      <c r="BD157" s="391"/>
      <c r="BE157" s="109"/>
      <c r="BF157" s="109"/>
      <c r="BG157" s="109"/>
      <c r="BH157" s="390"/>
      <c r="BI157" s="391"/>
      <c r="BJ157" s="109"/>
      <c r="BK157" s="109"/>
      <c r="BL157" s="109"/>
      <c r="BM157" s="390"/>
      <c r="BN157" s="391"/>
      <c r="BO157" s="109">
        <f>'Fuel On-highway'!Z4</f>
        <v>1.17825</v>
      </c>
      <c r="BP157" s="109">
        <f>'Fuel On-highway'!AA4</f>
        <v>1.3005384615384616</v>
      </c>
      <c r="BQ157" s="109">
        <f>'Fuel On-highway'!AB4</f>
        <v>1.3471428571428574</v>
      </c>
      <c r="BR157" s="109">
        <f>'Fuel On-highway'!AC4</f>
        <v>1.4360769230769228</v>
      </c>
      <c r="BS157" s="391">
        <f>'Fuel On-highway'!AD4</f>
        <v>1.3155020604395604</v>
      </c>
      <c r="BT157" s="109">
        <f>'Fuel On-highway'!AE4</f>
        <v>1.6236923076923075</v>
      </c>
      <c r="BU157" s="109">
        <f>'Fuel On-highway'!AF4</f>
        <v>1.4657692307692307</v>
      </c>
      <c r="BV157" s="109">
        <f>'Fuel On-highway'!AG4</f>
        <v>1.4629999999999996</v>
      </c>
      <c r="BW157" s="390">
        <f>'Fuel On-highway'!AH4</f>
        <v>1.4848461538461537</v>
      </c>
      <c r="BX157" s="391">
        <f>'Fuel On-highway'!AI4</f>
        <v>1.5093269230769228</v>
      </c>
      <c r="BY157" s="109">
        <f>'Fuel On-highway'!AJ4</f>
        <v>1.5906923076923076</v>
      </c>
      <c r="BZ157" s="109">
        <f>'Fuel On-highway'!AK4</f>
        <v>1.7189230769230766</v>
      </c>
      <c r="CA157" s="109">
        <f>'Fuel On-highway'!AL4</f>
        <v>1.8296153846153844</v>
      </c>
      <c r="CB157" s="390">
        <f>'Fuel On-highway'!AM4</f>
        <v>2.1005384615384615</v>
      </c>
      <c r="CC157" s="391">
        <f>'Fuel On-highway'!AN4</f>
        <v>1.8099423076923076</v>
      </c>
      <c r="CD157" s="109">
        <f>'Fuel On-highway'!AO4</f>
        <v>2.058153846153846</v>
      </c>
      <c r="CE157" s="109">
        <f>'Fuel On-highway'!AP4</f>
        <v>2.2553846153846155</v>
      </c>
      <c r="CF157" s="109">
        <f>'Fuel On-highway'!AQ4</f>
        <v>2.558846153846154</v>
      </c>
      <c r="CG157" s="390">
        <f>'Fuel On-highway'!AR4</f>
        <v>2.7336923076923081</v>
      </c>
      <c r="CH157" s="391">
        <f>'Fuel On-highway'!AS4</f>
        <v>2.4015192307692312</v>
      </c>
      <c r="CI157" s="109">
        <f>'Fuel On-highway'!AT4</f>
        <v>2.497846153846154</v>
      </c>
      <c r="CJ157" s="109">
        <f>'Fuel On-highway'!AU4</f>
        <v>2.8449999999999998</v>
      </c>
      <c r="CK157" s="109">
        <f>'Fuel On-highway'!AV4</f>
        <v>2.9215384615384616</v>
      </c>
      <c r="CL157" s="390">
        <f>'Fuel On-highway'!AW4</f>
        <v>2.5550000000000002</v>
      </c>
      <c r="CM157" s="391">
        <f>'Fuel On-highway'!AX4</f>
        <v>2.7048461538461535</v>
      </c>
      <c r="CN157" s="109">
        <f>'Fuel On-highway'!AY4</f>
        <v>2.5418461538461536</v>
      </c>
      <c r="CO157" s="109">
        <f>'Fuel On-highway'!AZ4</f>
        <v>2.8142307692307691</v>
      </c>
      <c r="CP157" s="109">
        <f>'Fuel On-highway'!BA4</f>
        <v>2.8946923076923077</v>
      </c>
      <c r="CQ157" s="390">
        <f>'Fuel On-highway'!BB4</f>
        <v>3.2612857142857137</v>
      </c>
      <c r="CR157" s="391">
        <f>'Fuel On-highway'!BC4</f>
        <v>2.8780137362637364</v>
      </c>
      <c r="CS157" s="109">
        <f>'Fuel On-highway'!BD4</f>
        <v>3.549461538461538</v>
      </c>
      <c r="CT157" s="109">
        <f>'Fuel On-highway'!BE4</f>
        <v>4.4167692307692299</v>
      </c>
      <c r="CU157" s="109">
        <f>'Fuel On-highway'!BF4</f>
        <v>4.3183846153846153</v>
      </c>
      <c r="CV157" s="390">
        <f>'Fuel On-highway'!BG4</f>
        <v>2.9272307692307686</v>
      </c>
      <c r="CW157" s="391">
        <f>'Fuel On-highway'!BH4</f>
        <v>3.8029615384615374</v>
      </c>
      <c r="CX157" s="109">
        <f>'Fuel On-highway'!BI4</f>
        <v>2.1853846153846153</v>
      </c>
      <c r="CY157" s="109">
        <f>'Fuel On-highway'!BJ4</f>
        <v>2.340846153846154</v>
      </c>
      <c r="CZ157" s="109">
        <f>'Fuel On-highway'!BK4</f>
        <v>2.6025384615384612</v>
      </c>
      <c r="DA157" s="109">
        <f>'Fuel On-highway'!BL4</f>
        <v>2.7405384615384611</v>
      </c>
      <c r="DB157" s="391">
        <f>'Fuel On-highway'!BM4</f>
        <v>2.4673269230769233</v>
      </c>
      <c r="DC157" s="109">
        <f>'Fuel On-highway'!BN4</f>
        <v>2.8531538461538464</v>
      </c>
      <c r="DD157" s="109">
        <f>'Fuel On-highway'!BO4</f>
        <v>3.0285384615384618</v>
      </c>
      <c r="DE157" s="109">
        <f>'Fuel On-highway'!BP4</f>
        <v>2.940230769230769</v>
      </c>
      <c r="DF157" s="109">
        <f>'Fuel On-highway'!BQ4</f>
        <v>3.1443076923076916</v>
      </c>
      <c r="DG157" s="391">
        <f>'Fuel On-highway'!BR4</f>
        <v>2.9915576923076923</v>
      </c>
      <c r="DH157" s="109">
        <f>'Fuel On-highway'!BS4</f>
        <v>3.6071538461538464</v>
      </c>
      <c r="DI157" s="109">
        <f>'Fuel On-highway'!BT4</f>
        <v>4.0171538461538461</v>
      </c>
      <c r="DJ157" s="109">
        <f>'Fuel On-highway'!BU4</f>
        <v>3.8668461538461538</v>
      </c>
      <c r="DK157" s="109">
        <f>'Fuel On-highway'!BV4</f>
        <v>3.8676923076923071</v>
      </c>
      <c r="DL157" s="391">
        <f>'Fuel On-highway'!BW4</f>
        <v>3.8397115384615383</v>
      </c>
      <c r="DM157" s="109">
        <f>'Fuel On-highway'!BX4</f>
        <v>3.9599230769230767</v>
      </c>
      <c r="DN157" s="109">
        <f>'Fuel On-highway'!BY4</f>
        <v>3.9633076923076915</v>
      </c>
      <c r="DO157" s="109">
        <f>'Fuel On-highway'!BZ4</f>
        <v>3.9242307692307694</v>
      </c>
      <c r="DP157" s="109">
        <f>'Fuel On-highway'!CA4</f>
        <v>4.0194999999999999</v>
      </c>
      <c r="DQ157" s="391">
        <f>'Fuel On-highway'!CB4</f>
        <v>3.9667403846153846</v>
      </c>
      <c r="DR157" s="109">
        <f>'Fuel On-highway'!CC4</f>
        <v>4.0289166666666665</v>
      </c>
      <c r="DS157" s="109">
        <f>'Fuel On-highway'!CD4</f>
        <v>3.8867692307692314</v>
      </c>
      <c r="DT157" s="1208">
        <f>'Fuel On-highway'!CE4</f>
        <v>3.9108571428571426</v>
      </c>
      <c r="DU157" s="109">
        <f>'Fuel On-highway'!CF4</f>
        <v>3.8694615384615383</v>
      </c>
      <c r="DV157" s="391">
        <f>AVERAGE(DR157:DU157)</f>
        <v>3.9240011446886447</v>
      </c>
      <c r="DW157" s="109">
        <f>'Fuel On-highway'!CH4</f>
        <v>3.9623076923076925</v>
      </c>
      <c r="DX157" s="109">
        <f>'Fuel On-highway'!CI4</f>
        <v>3.9353076923076924</v>
      </c>
      <c r="DY157" s="1208">
        <f>'Fuel On-highway'!CJ4</f>
        <v>3.834461538461539</v>
      </c>
      <c r="DZ157" s="109">
        <f>'Fuel On-highway'!CK4</f>
        <v>3.5664615384615379</v>
      </c>
      <c r="EA157" s="391">
        <f>AVERAGE(DW157:DZ157)</f>
        <v>3.8246346153846158</v>
      </c>
      <c r="EB157" s="109">
        <f>'Fuel On-highway'!CM4</f>
        <v>2.9157692307692296</v>
      </c>
      <c r="EC157" s="109">
        <f>'Fuel On-highway'!CN4</f>
        <v>2.8495384615384611</v>
      </c>
      <c r="ED157" s="1208">
        <f>'Fuel On-highway'!CO4</f>
        <v>2.6266153846153846</v>
      </c>
      <c r="EE157" s="109">
        <f>'Fuel On-highway'!CP4</f>
        <v>2.4346153846153844</v>
      </c>
      <c r="EF157" s="391">
        <f>AVERAGE(EB157:EE157)</f>
        <v>2.7066346153846146</v>
      </c>
      <c r="EG157" s="109">
        <f>'Fuel On-highway'!CR4</f>
        <v>2.0709230769230769</v>
      </c>
      <c r="EH157" s="109">
        <f>'Fuel On-highway'!CS4</f>
        <v>2.2976153846153853</v>
      </c>
      <c r="EI157" s="1208">
        <f>'Fuel On-highway'!CT4</f>
        <v>2.3806153846153846</v>
      </c>
      <c r="EJ157" s="109">
        <f>'Fuel On-highway'!CU4</f>
        <v>2.4666153846153844</v>
      </c>
      <c r="EK157" s="391">
        <f>AVERAGE(EG157:EJ157)</f>
        <v>2.3039423076923078</v>
      </c>
      <c r="EL157" s="109">
        <f>'Fuel On-highway'!CW4</f>
        <v>2.5680769230769234</v>
      </c>
      <c r="EM157" s="109">
        <f>'Fuel On-highway'!CX4</f>
        <v>2.5518461538461543</v>
      </c>
      <c r="EN157" s="1208">
        <f>'Fuel On-highway'!CY4</f>
        <v>2.6154615384615383</v>
      </c>
      <c r="EO157" s="109">
        <f>'Fuel On-highway'!CZ4</f>
        <v>2.8647692307692307</v>
      </c>
      <c r="EP157" s="391">
        <f>AVERAGE(EL157:EO157)</f>
        <v>2.6500384615384616</v>
      </c>
      <c r="EQ157" s="109">
        <f>'Fuel On-highway'!DB4</f>
        <v>3.0173076923076922</v>
      </c>
      <c r="ER157" s="392">
        <f>'Fuel On-highway'!DC4</f>
        <v>3.1168461538461538</v>
      </c>
      <c r="ES157" s="392">
        <f>'Fuel On-highway'!DD4</f>
        <v>3.133</v>
      </c>
      <c r="ET157" s="392">
        <f>'Fuel On-highway'!DE4</f>
        <v>3.133</v>
      </c>
      <c r="EU157" s="1975">
        <f>AVERAGE(EQ157:ET157)</f>
        <v>3.1000384615384613</v>
      </c>
      <c r="EV157" s="393"/>
      <c r="EW157" s="393"/>
      <c r="EX157" s="393"/>
      <c r="EY157" s="393"/>
      <c r="EZ157" s="862">
        <f>'Fuel On-highway'!DK4</f>
        <v>3.133</v>
      </c>
      <c r="FA157" s="393"/>
      <c r="FB157" s="393"/>
      <c r="FC157" s="393"/>
      <c r="FD157" s="393"/>
      <c r="FE157" s="862">
        <f>'Fuel On-highway'!DP4</f>
        <v>3.133</v>
      </c>
      <c r="FF157" s="770"/>
      <c r="FG157" s="656"/>
      <c r="FH157" s="1069"/>
      <c r="FI157" s="1069"/>
      <c r="FJ157" s="1069"/>
      <c r="FK157" s="1069"/>
      <c r="FL157" s="1814"/>
      <c r="FM157" s="109">
        <f t="shared" si="500"/>
        <v>3.0173076923076922</v>
      </c>
      <c r="FN157" s="109">
        <f t="shared" si="501"/>
        <v>2.5680769230769234</v>
      </c>
      <c r="FO157" s="392">
        <v>3.0173076923076922</v>
      </c>
      <c r="FP157" s="1872">
        <f t="shared" ref="FP157:FQ160" si="577">IFERROR(($FM157/FN157)-1,"")</f>
        <v>0.17492886026658661</v>
      </c>
      <c r="FQ157" s="1872">
        <f t="shared" si="577"/>
        <v>0</v>
      </c>
      <c r="FR157" s="576"/>
      <c r="FS157" s="576"/>
      <c r="FT157" s="576"/>
      <c r="FU157" s="576"/>
      <c r="FV157" s="576"/>
      <c r="FW157" s="576"/>
      <c r="FX157" s="576"/>
      <c r="FY157" s="576"/>
      <c r="FZ157" s="576"/>
      <c r="GA157" s="656"/>
      <c r="GB157"/>
      <c r="GC157"/>
      <c r="GD157"/>
      <c r="GE157"/>
      <c r="GF157"/>
      <c r="GG157"/>
      <c r="GH157" s="965"/>
      <c r="GI157" s="965"/>
      <c r="GJ157" s="965"/>
      <c r="GK157" s="965"/>
      <c r="GL157" s="965"/>
      <c r="GM157" s="965"/>
      <c r="GN157" s="965"/>
      <c r="GO157" s="965"/>
      <c r="GP157" s="965"/>
      <c r="GQ157" s="965"/>
      <c r="GR157" s="965"/>
      <c r="GS157" s="965"/>
      <c r="GT157" s="965"/>
      <c r="GU157" s="965"/>
      <c r="GV157" s="965"/>
      <c r="GW157" s="965"/>
      <c r="GX157" s="965"/>
      <c r="GY157" s="965"/>
      <c r="GZ157" s="965"/>
      <c r="HA157" s="965"/>
      <c r="HB157" s="965"/>
      <c r="HC157" s="965"/>
      <c r="HD157" s="965"/>
      <c r="HE157" s="965"/>
      <c r="HF157" s="965"/>
      <c r="HG157" s="965"/>
      <c r="HH157" s="965"/>
      <c r="HI157" s="965"/>
      <c r="HJ157" s="965"/>
      <c r="HK157" s="965"/>
      <c r="HL157" s="965"/>
      <c r="HM157" s="965"/>
      <c r="HN157" s="965"/>
      <c r="HO157" s="965"/>
      <c r="HP157" s="965"/>
      <c r="HQ157" s="965"/>
      <c r="HR157" s="965"/>
      <c r="HS157" s="965"/>
      <c r="HT157" s="965"/>
      <c r="HU157" s="965"/>
      <c r="HV157" s="965"/>
      <c r="HW157" s="965"/>
      <c r="HX157" s="965"/>
      <c r="HY157" s="965"/>
      <c r="HZ157" s="965"/>
      <c r="IA157" s="965"/>
      <c r="IB157" s="965"/>
      <c r="IC157" s="965"/>
      <c r="ID157" s="965"/>
      <c r="IE157" s="965"/>
      <c r="IF157" s="965"/>
      <c r="IG157" s="965"/>
      <c r="IH157" s="965"/>
      <c r="II157" s="965"/>
      <c r="IJ157" s="965"/>
      <c r="IK157" s="965"/>
      <c r="IL157" s="965"/>
      <c r="IM157" s="965"/>
      <c r="IN157" s="965"/>
      <c r="IO157" s="965"/>
      <c r="IP157" s="965"/>
      <c r="IQ157" s="965"/>
      <c r="IR157" s="965"/>
      <c r="IS157" s="965"/>
      <c r="IT157" s="965"/>
      <c r="IU157" s="965"/>
      <c r="IV157" s="965"/>
    </row>
    <row r="158" spans="1:256" s="394" customFormat="1" ht="12" customHeight="1" x14ac:dyDescent="0.2">
      <c r="A158" s="395" t="s">
        <v>434</v>
      </c>
      <c r="B158" s="109"/>
      <c r="C158" s="109"/>
      <c r="D158" s="109"/>
      <c r="E158" s="390"/>
      <c r="F158" s="391"/>
      <c r="G158" s="109"/>
      <c r="H158" s="109"/>
      <c r="I158" s="109"/>
      <c r="J158" s="390"/>
      <c r="K158" s="391"/>
      <c r="L158" s="109"/>
      <c r="M158" s="109"/>
      <c r="N158" s="109"/>
      <c r="O158" s="390"/>
      <c r="P158" s="391"/>
      <c r="Q158" s="109"/>
      <c r="R158" s="109"/>
      <c r="S158" s="109"/>
      <c r="T158" s="390"/>
      <c r="U158" s="391"/>
      <c r="V158" s="109"/>
      <c r="W158" s="109"/>
      <c r="X158" s="109"/>
      <c r="Y158" s="390"/>
      <c r="Z158" s="391"/>
      <c r="AA158" s="109"/>
      <c r="AB158" s="109"/>
      <c r="AC158" s="109"/>
      <c r="AD158" s="390"/>
      <c r="AE158" s="391"/>
      <c r="AF158" s="109"/>
      <c r="AG158" s="109"/>
      <c r="AH158" s="109"/>
      <c r="AI158" s="390"/>
      <c r="AJ158" s="391"/>
      <c r="AK158" s="109"/>
      <c r="AL158" s="109"/>
      <c r="AM158" s="109"/>
      <c r="AN158" s="390"/>
      <c r="AO158" s="391"/>
      <c r="AP158" s="109"/>
      <c r="AQ158" s="109"/>
      <c r="AR158" s="109"/>
      <c r="AS158" s="390"/>
      <c r="AT158" s="391"/>
      <c r="AU158" s="109"/>
      <c r="AV158" s="109"/>
      <c r="AW158" s="109"/>
      <c r="AX158" s="390"/>
      <c r="AY158" s="391"/>
      <c r="AZ158" s="109"/>
      <c r="BA158" s="109"/>
      <c r="BB158" s="109"/>
      <c r="BC158" s="390"/>
      <c r="BD158" s="391"/>
      <c r="BE158" s="109"/>
      <c r="BF158" s="109"/>
      <c r="BG158" s="109"/>
      <c r="BH158" s="390"/>
      <c r="BI158" s="391"/>
      <c r="BJ158" s="109"/>
      <c r="BK158" s="109"/>
      <c r="BL158" s="109"/>
      <c r="BM158" s="390"/>
      <c r="BN158" s="391"/>
      <c r="BO158" s="109">
        <f t="shared" ref="BO158:DU158" si="578">BO157-BO159</f>
        <v>0.50365475714571262</v>
      </c>
      <c r="BP158" s="109">
        <f t="shared" si="578"/>
        <v>0.59915908209221735</v>
      </c>
      <c r="BQ158" s="109">
        <f t="shared" si="578"/>
        <v>0.63330407895283536</v>
      </c>
      <c r="BR158" s="390">
        <f t="shared" si="578"/>
        <v>0.63050505096145748</v>
      </c>
      <c r="BS158" s="391">
        <f t="shared" si="578"/>
        <v>0.59165730185871945</v>
      </c>
      <c r="BT158" s="109">
        <f t="shared" si="578"/>
        <v>0.76489792288636205</v>
      </c>
      <c r="BU158" s="109">
        <f t="shared" si="578"/>
        <v>0.66753393160265706</v>
      </c>
      <c r="BV158" s="109">
        <f t="shared" si="578"/>
        <v>0.69506743519452774</v>
      </c>
      <c r="BW158" s="390">
        <f t="shared" si="578"/>
        <v>0.69380369036051071</v>
      </c>
      <c r="BX158" s="391">
        <f t="shared" si="578"/>
        <v>0.70461554975225782</v>
      </c>
      <c r="BY158" s="109">
        <f t="shared" si="578"/>
        <v>0.75839610358527587</v>
      </c>
      <c r="BZ158" s="109">
        <f t="shared" si="578"/>
        <v>0.86129014381844538</v>
      </c>
      <c r="CA158" s="109">
        <f t="shared" si="578"/>
        <v>0.95346647236252446</v>
      </c>
      <c r="CB158" s="390">
        <f t="shared" si="578"/>
        <v>1.0338223239784587</v>
      </c>
      <c r="CC158" s="391">
        <f t="shared" si="578"/>
        <v>0.90050585978789199</v>
      </c>
      <c r="CD158" s="109">
        <f t="shared" si="578"/>
        <v>0.93615384615384589</v>
      </c>
      <c r="CE158" s="109">
        <f t="shared" si="578"/>
        <v>0.97838461538461563</v>
      </c>
      <c r="CF158" s="109">
        <f t="shared" si="578"/>
        <v>1.040846153846154</v>
      </c>
      <c r="CG158" s="390">
        <f t="shared" si="578"/>
        <v>0.97269230769230819</v>
      </c>
      <c r="CH158" s="391">
        <f t="shared" si="578"/>
        <v>0.98510483069131949</v>
      </c>
      <c r="CI158" s="109">
        <f t="shared" si="578"/>
        <v>0.81784615384615411</v>
      </c>
      <c r="CJ158" s="109">
        <f t="shared" si="578"/>
        <v>0.83099999999999996</v>
      </c>
      <c r="CK158" s="109">
        <f t="shared" si="578"/>
        <v>0.85053846153846147</v>
      </c>
      <c r="CL158" s="390">
        <f t="shared" si="578"/>
        <v>0.77200000000000024</v>
      </c>
      <c r="CM158" s="391">
        <f t="shared" si="578"/>
        <v>0.82265278976136269</v>
      </c>
      <c r="CN158" s="109">
        <f t="shared" si="578"/>
        <v>0.84784615384615369</v>
      </c>
      <c r="CO158" s="109">
        <f t="shared" si="578"/>
        <v>0.835230769230769</v>
      </c>
      <c r="CP158" s="109">
        <f t="shared" si="578"/>
        <v>0.71069230769230751</v>
      </c>
      <c r="CQ158" s="390">
        <f t="shared" si="578"/>
        <v>0.70328571428571385</v>
      </c>
      <c r="CR158" s="391">
        <f t="shared" si="578"/>
        <v>0.77950034663622692</v>
      </c>
      <c r="CS158" s="109">
        <f t="shared" si="578"/>
        <v>0.76146153846153819</v>
      </c>
      <c r="CT158" s="109">
        <f t="shared" si="578"/>
        <v>0.83276923076922982</v>
      </c>
      <c r="CU158" s="109">
        <f t="shared" si="578"/>
        <v>0.73038461538461519</v>
      </c>
      <c r="CV158" s="390">
        <f t="shared" si="578"/>
        <v>0.73723076923076869</v>
      </c>
      <c r="CW158" s="391">
        <f t="shared" si="578"/>
        <v>0.75506015105491997</v>
      </c>
      <c r="CX158" s="109">
        <f t="shared" si="578"/>
        <v>0.79838461538461525</v>
      </c>
      <c r="CY158" s="109">
        <f t="shared" si="578"/>
        <v>0.79584615384615409</v>
      </c>
      <c r="CZ158" s="109">
        <f t="shared" si="578"/>
        <v>0.75453846153846116</v>
      </c>
      <c r="DA158" s="109">
        <f t="shared" si="578"/>
        <v>0.75653846153846116</v>
      </c>
      <c r="DB158" s="391">
        <f t="shared" si="578"/>
        <v>0.77768408067319994</v>
      </c>
      <c r="DC158" s="109">
        <f t="shared" si="578"/>
        <v>0.72315384615384648</v>
      </c>
      <c r="DD158" s="109">
        <f t="shared" si="578"/>
        <v>0.78653846153846185</v>
      </c>
      <c r="DE158" s="109">
        <f t="shared" si="578"/>
        <v>0.75523076923076893</v>
      </c>
      <c r="DF158" s="109">
        <f t="shared" si="578"/>
        <v>0.68830769230769162</v>
      </c>
      <c r="DG158" s="391">
        <f t="shared" si="578"/>
        <v>0.73582265565048388</v>
      </c>
      <c r="DH158" s="109">
        <f t="shared" si="578"/>
        <v>0.72415384615384637</v>
      </c>
      <c r="DI158" s="109">
        <f t="shared" si="578"/>
        <v>0.75915384615384607</v>
      </c>
      <c r="DJ158" s="109">
        <f t="shared" si="578"/>
        <v>0.76984615384615385</v>
      </c>
      <c r="DK158" s="109">
        <f t="shared" si="578"/>
        <v>0.75769230769230722</v>
      </c>
      <c r="DL158" s="391">
        <f t="shared" si="578"/>
        <v>0.75491735924619618</v>
      </c>
      <c r="DM158" s="109">
        <f t="shared" si="578"/>
        <v>0.79992307692307651</v>
      </c>
      <c r="DN158" s="109">
        <f t="shared" si="578"/>
        <v>0.81430769230769151</v>
      </c>
      <c r="DO158" s="109">
        <f t="shared" si="578"/>
        <v>0.79323076923076963</v>
      </c>
      <c r="DP158" s="109">
        <f t="shared" si="578"/>
        <v>0.78949999999999987</v>
      </c>
      <c r="DQ158" s="391">
        <f>DQ157-DQ159</f>
        <v>0.79927313823604873</v>
      </c>
      <c r="DR158" s="109">
        <f t="shared" si="578"/>
        <v>0.83791666666666664</v>
      </c>
      <c r="DS158" s="109">
        <f t="shared" si="578"/>
        <v>0.85976923076923129</v>
      </c>
      <c r="DT158" s="1208">
        <f t="shared" si="578"/>
        <v>0.77785714285714258</v>
      </c>
      <c r="DU158" s="109">
        <f t="shared" si="578"/>
        <v>0.84946153846153827</v>
      </c>
      <c r="DV158" s="391">
        <f t="shared" ref="DV158:EA158" si="579">DV157-DV159</f>
        <v>0.83116376664408875</v>
      </c>
      <c r="DW158" s="109">
        <f t="shared" si="579"/>
        <v>0.85730769230769255</v>
      </c>
      <c r="DX158" s="109">
        <f t="shared" si="579"/>
        <v>0.90130769230769259</v>
      </c>
      <c r="DY158" s="1208">
        <f t="shared" si="579"/>
        <v>0.87546153846153896</v>
      </c>
      <c r="DZ158" s="109">
        <f t="shared" si="579"/>
        <v>1.045461538461538</v>
      </c>
      <c r="EA158" s="391">
        <f t="shared" si="579"/>
        <v>0.92164908296666548</v>
      </c>
      <c r="EB158" s="109">
        <f t="shared" ref="EB158:EG158" si="580">EB157-EB159</f>
        <v>1.0847692307692296</v>
      </c>
      <c r="EC158" s="109">
        <f t="shared" si="580"/>
        <v>0.91453846153846108</v>
      </c>
      <c r="ED158" s="1208">
        <f t="shared" si="580"/>
        <v>0.91261538461538461</v>
      </c>
      <c r="EE158" s="109">
        <f t="shared" si="580"/>
        <v>0.94461538461538441</v>
      </c>
      <c r="EF158" s="391">
        <f t="shared" si="580"/>
        <v>0.96369250963484343</v>
      </c>
      <c r="EG158" s="109">
        <f t="shared" si="580"/>
        <v>0.91292307692307695</v>
      </c>
      <c r="EH158" s="109">
        <f t="shared" ref="EH158:EM158" si="581">EH157-EH159</f>
        <v>0.85261538461538522</v>
      </c>
      <c r="EI158" s="1208">
        <f t="shared" si="581"/>
        <v>0.86861538461538457</v>
      </c>
      <c r="EJ158" s="109">
        <f t="shared" si="581"/>
        <v>0.86361538461538445</v>
      </c>
      <c r="EK158" s="391">
        <f t="shared" si="581"/>
        <v>0.87801002124519179</v>
      </c>
      <c r="EL158" s="109">
        <f t="shared" si="581"/>
        <v>0.87807692307692342</v>
      </c>
      <c r="EM158" s="109">
        <f t="shared" si="581"/>
        <v>0.94284615384615433</v>
      </c>
      <c r="EN158" s="1208">
        <f t="shared" ref="EN158:EQ158" si="582">EN157-EN159</f>
        <v>0.91846153846153822</v>
      </c>
      <c r="EO158" s="109">
        <f t="shared" si="582"/>
        <v>0.91476923076923078</v>
      </c>
      <c r="EP158" s="391">
        <f t="shared" si="582"/>
        <v>0.91194033176821909</v>
      </c>
      <c r="EQ158" s="109">
        <f t="shared" si="582"/>
        <v>0.97130769230769243</v>
      </c>
      <c r="ER158" s="392">
        <f>EQ158</f>
        <v>0.97130769230769243</v>
      </c>
      <c r="ES158" s="392">
        <f>+ER158</f>
        <v>0.97130769230769243</v>
      </c>
      <c r="ET158" s="392">
        <f>ES158</f>
        <v>0.97130769230769243</v>
      </c>
      <c r="EU158" s="1975">
        <f>EU157-EU159</f>
        <v>0.97251229350533519</v>
      </c>
      <c r="EV158" s="393"/>
      <c r="EW158" s="393"/>
      <c r="EX158" s="393"/>
      <c r="EY158" s="393"/>
      <c r="EZ158" s="862">
        <f>EU158</f>
        <v>0.97251229350533519</v>
      </c>
      <c r="FA158" s="393"/>
      <c r="FB158" s="393"/>
      <c r="FC158" s="393"/>
      <c r="FD158" s="393"/>
      <c r="FE158" s="862">
        <f>EZ158</f>
        <v>0.97251229350533519</v>
      </c>
      <c r="FF158" s="770"/>
      <c r="FG158" s="656"/>
      <c r="FH158" s="1070"/>
      <c r="FI158" s="1070"/>
      <c r="FJ158" s="1070"/>
      <c r="FK158" s="1070"/>
      <c r="FL158" s="1827"/>
      <c r="FM158" s="109">
        <f t="shared" si="500"/>
        <v>0.97130769230769243</v>
      </c>
      <c r="FN158" s="109">
        <f t="shared" si="501"/>
        <v>0.87807692307692342</v>
      </c>
      <c r="FO158" s="392">
        <v>0.92</v>
      </c>
      <c r="FP158" s="1872">
        <f t="shared" si="577"/>
        <v>0.10617608409986823</v>
      </c>
      <c r="FQ158" s="1872">
        <f t="shared" si="577"/>
        <v>5.5769230769230793E-2</v>
      </c>
      <c r="FR158" s="576"/>
      <c r="FS158" s="576"/>
      <c r="FT158" s="576"/>
      <c r="FU158" s="576"/>
      <c r="FV158" s="576"/>
      <c r="FW158" s="576"/>
      <c r="FX158" s="576"/>
      <c r="FY158" s="576"/>
      <c r="FZ158" s="576"/>
      <c r="GA158" s="656"/>
      <c r="GB158"/>
      <c r="GC158"/>
      <c r="GD158"/>
      <c r="GE158"/>
      <c r="GF158"/>
      <c r="GG158"/>
      <c r="GH158" s="965"/>
      <c r="GI158" s="965"/>
      <c r="GJ158" s="965"/>
      <c r="GK158" s="965"/>
      <c r="GL158" s="965"/>
      <c r="GM158" s="965"/>
      <c r="GN158" s="965"/>
      <c r="GO158" s="965"/>
      <c r="GP158" s="965"/>
      <c r="GQ158" s="965"/>
      <c r="GR158" s="965"/>
      <c r="GS158" s="965"/>
      <c r="GT158" s="965"/>
      <c r="GU158" s="965"/>
      <c r="GV158" s="965"/>
      <c r="GW158" s="965"/>
      <c r="GX158" s="965"/>
      <c r="GY158" s="965"/>
      <c r="GZ158" s="965"/>
      <c r="HA158" s="965"/>
      <c r="HB158" s="965"/>
      <c r="HC158" s="965"/>
      <c r="HD158" s="965"/>
      <c r="HE158" s="965"/>
      <c r="HF158" s="965"/>
      <c r="HG158" s="965"/>
      <c r="HH158" s="965"/>
      <c r="HI158" s="965"/>
      <c r="HJ158" s="965"/>
      <c r="HK158" s="965"/>
      <c r="HL158" s="965"/>
      <c r="HM158" s="965"/>
      <c r="HN158" s="965"/>
      <c r="HO158" s="965"/>
      <c r="HP158" s="965"/>
      <c r="HQ158" s="965"/>
      <c r="HR158" s="965"/>
      <c r="HS158" s="965"/>
      <c r="HT158" s="965"/>
      <c r="HU158" s="965"/>
      <c r="HV158" s="965"/>
      <c r="HW158" s="965"/>
      <c r="HX158" s="965"/>
      <c r="HY158" s="965"/>
      <c r="HZ158" s="965"/>
      <c r="IA158" s="965"/>
      <c r="IB158" s="965"/>
      <c r="IC158" s="965"/>
      <c r="ID158" s="965"/>
      <c r="IE158" s="965"/>
      <c r="IF158" s="965"/>
      <c r="IG158" s="965"/>
      <c r="IH158" s="965"/>
      <c r="II158" s="965"/>
      <c r="IJ158" s="965"/>
      <c r="IK158" s="965"/>
      <c r="IL158" s="965"/>
      <c r="IM158" s="965"/>
      <c r="IN158" s="965"/>
      <c r="IO158" s="965"/>
      <c r="IP158" s="965"/>
      <c r="IQ158" s="965"/>
      <c r="IR158" s="965"/>
      <c r="IS158" s="965"/>
      <c r="IT158" s="965"/>
      <c r="IU158" s="965"/>
      <c r="IV158" s="965"/>
    </row>
    <row r="159" spans="1:256" s="75" customFormat="1" ht="11.25" customHeight="1" x14ac:dyDescent="0.2">
      <c r="A159" s="389" t="s">
        <v>377</v>
      </c>
      <c r="B159" s="73"/>
      <c r="C159" s="73"/>
      <c r="D159" s="73"/>
      <c r="E159" s="214"/>
      <c r="F159" s="303"/>
      <c r="G159" s="73"/>
      <c r="H159" s="73"/>
      <c r="I159" s="73"/>
      <c r="J159" s="214"/>
      <c r="K159" s="303"/>
      <c r="L159" s="73"/>
      <c r="M159" s="73"/>
      <c r="N159" s="73"/>
      <c r="O159" s="214"/>
      <c r="P159" s="303"/>
      <c r="Q159" s="73"/>
      <c r="R159" s="73"/>
      <c r="S159" s="73"/>
      <c r="T159" s="214"/>
      <c r="U159" s="303"/>
      <c r="V159" s="73"/>
      <c r="W159" s="73"/>
      <c r="X159" s="73"/>
      <c r="Y159" s="214"/>
      <c r="Z159" s="303"/>
      <c r="AA159" s="73"/>
      <c r="AB159" s="73"/>
      <c r="AC159" s="73"/>
      <c r="AD159" s="214"/>
      <c r="AE159" s="303"/>
      <c r="AF159" s="73"/>
      <c r="AG159" s="73"/>
      <c r="AH159" s="73"/>
      <c r="AI159" s="214"/>
      <c r="AJ159" s="303"/>
      <c r="AK159" s="73"/>
      <c r="AL159" s="73"/>
      <c r="AM159" s="73"/>
      <c r="AN159" s="214"/>
      <c r="AO159" s="303">
        <v>0.68145388507545912</v>
      </c>
      <c r="AP159" s="73">
        <v>0.70298572725947683</v>
      </c>
      <c r="AQ159" s="73">
        <v>0.63206919494344638</v>
      </c>
      <c r="AR159" s="73">
        <v>0.60605344611676859</v>
      </c>
      <c r="AS159" s="214">
        <v>0.64172779677144531</v>
      </c>
      <c r="AT159" s="303">
        <f>SUMPRODUCT(AP159:AS159,AP$160:AS$160)/AT$160</f>
        <v>0.64628676805391128</v>
      </c>
      <c r="AU159" s="73">
        <v>0.52051704693328715</v>
      </c>
      <c r="AV159" s="73">
        <v>0.49475559073817538</v>
      </c>
      <c r="AW159" s="73">
        <v>0.46215408893648197</v>
      </c>
      <c r="AX159" s="214">
        <v>0.44261986699272998</v>
      </c>
      <c r="AY159" s="303">
        <f>SUMPRODUCT(AU159:AX159,AU$160:AX$160)/AY$160</f>
        <v>0.48032330727441369</v>
      </c>
      <c r="AZ159" s="73">
        <v>0.40143649166205558</v>
      </c>
      <c r="BA159" s="73">
        <v>0.49102850011252736</v>
      </c>
      <c r="BB159" s="73">
        <v>0.60200777728966337</v>
      </c>
      <c r="BC159" s="214">
        <v>0.71677094688428633</v>
      </c>
      <c r="BD159" s="303">
        <f>SUMPRODUCT(AZ159:BC159,AZ$160:BC$160)/BD$160</f>
        <v>0.57075198252379811</v>
      </c>
      <c r="BE159" s="73">
        <v>0.8548406279733588</v>
      </c>
      <c r="BF159" s="73">
        <v>0.83105316388211581</v>
      </c>
      <c r="BG159" s="73">
        <v>0.94265012502097001</v>
      </c>
      <c r="BH159" s="214">
        <v>1.0667116885508838</v>
      </c>
      <c r="BI159" s="303">
        <f>SUMPRODUCT(BE159:BH159,BE$160:BH$160)/BI$160</f>
        <v>0.92355906430714718</v>
      </c>
      <c r="BJ159" s="73">
        <v>0.9158656104205154</v>
      </c>
      <c r="BK159" s="73">
        <v>0.87596790321381057</v>
      </c>
      <c r="BL159" s="73">
        <v>0.8723547951373255</v>
      </c>
      <c r="BM159" s="214">
        <v>0.78508983554003553</v>
      </c>
      <c r="BN159" s="303">
        <f>SUMPRODUCT(BJ159:BM159,BJ$160:BM$160)/BN$160</f>
        <v>0.86256710018340021</v>
      </c>
      <c r="BO159" s="73">
        <v>0.6745952428542874</v>
      </c>
      <c r="BP159" s="73">
        <v>0.70137937944624429</v>
      </c>
      <c r="BQ159" s="73">
        <v>0.71383877819002206</v>
      </c>
      <c r="BR159" s="214">
        <v>0.80557187211546533</v>
      </c>
      <c r="BS159" s="303">
        <f>SUMPRODUCT(BO159:BR159,BO$160:BR$160)/BS$160</f>
        <v>0.72384475858084096</v>
      </c>
      <c r="BT159" s="73">
        <v>0.8587943848059455</v>
      </c>
      <c r="BU159" s="73">
        <v>0.79823529916657365</v>
      </c>
      <c r="BV159" s="73">
        <v>0.7679325648054719</v>
      </c>
      <c r="BW159" s="214">
        <v>0.791042463485643</v>
      </c>
      <c r="BX159" s="303">
        <f>SUMPRODUCT(BT159:BW159,BT$160:BW$160)/BX$160</f>
        <v>0.80471137332466502</v>
      </c>
      <c r="BY159" s="73">
        <v>0.83229620410703176</v>
      </c>
      <c r="BZ159" s="73">
        <v>0.85763293310463118</v>
      </c>
      <c r="CA159" s="73">
        <v>0.87614891225285996</v>
      </c>
      <c r="CB159" s="214">
        <v>1.0667161375600027</v>
      </c>
      <c r="CC159" s="303">
        <f>SUMPRODUCT(BY159:CB159,BY$160:CB$160)/CC$160</f>
        <v>0.90943644790441558</v>
      </c>
      <c r="CD159" s="73">
        <v>1.1220000000000001</v>
      </c>
      <c r="CE159" s="73">
        <v>1.2769999999999999</v>
      </c>
      <c r="CF159" s="73">
        <v>1.518</v>
      </c>
      <c r="CG159" s="214">
        <v>1.7609999999999999</v>
      </c>
      <c r="CH159" s="303">
        <f>SUMPRODUCT(CD159:CG159,CD$160:CG$160)/CH$160</f>
        <v>1.4164144000779118</v>
      </c>
      <c r="CI159" s="73">
        <v>1.68</v>
      </c>
      <c r="CJ159" s="73">
        <v>2.0139999999999998</v>
      </c>
      <c r="CK159" s="73">
        <v>2.0710000000000002</v>
      </c>
      <c r="CL159" s="214">
        <v>1.7829999999999999</v>
      </c>
      <c r="CM159" s="303">
        <f>SUMPRODUCT(CI159:CL159,CI$160:CL$160)/CM$160</f>
        <v>1.8821933640847908</v>
      </c>
      <c r="CN159" s="73">
        <v>1.694</v>
      </c>
      <c r="CO159" s="73">
        <v>1.9790000000000001</v>
      </c>
      <c r="CP159" s="73">
        <v>2.1840000000000002</v>
      </c>
      <c r="CQ159" s="214">
        <v>2.5579999999999998</v>
      </c>
      <c r="CR159" s="303">
        <f>SUMPRODUCT(CN159:CQ159,CN$160:CQ$160)/CR$160</f>
        <v>2.0985133896275094</v>
      </c>
      <c r="CS159" s="73">
        <v>2.7879999999999998</v>
      </c>
      <c r="CT159" s="73">
        <v>3.5840000000000001</v>
      </c>
      <c r="CU159" s="73">
        <v>3.5880000000000001</v>
      </c>
      <c r="CV159" s="214">
        <v>2.19</v>
      </c>
      <c r="CW159" s="303">
        <f>SUMPRODUCT(CS159:CV159,CS$160:CV$160)/CW$160</f>
        <v>3.0479013874066174</v>
      </c>
      <c r="CX159" s="73">
        <v>1.387</v>
      </c>
      <c r="CY159" s="73">
        <v>1.5449999999999999</v>
      </c>
      <c r="CZ159" s="73">
        <v>1.8480000000000001</v>
      </c>
      <c r="DA159" s="73">
        <v>1.984</v>
      </c>
      <c r="DB159" s="303">
        <f>SUMPRODUCT(CX159:DA159,CX$160:DA$160)/DB$160</f>
        <v>1.6896428424037233</v>
      </c>
      <c r="DC159" s="73">
        <v>2.13</v>
      </c>
      <c r="DD159" s="73">
        <v>2.242</v>
      </c>
      <c r="DE159" s="73">
        <v>2.1850000000000001</v>
      </c>
      <c r="DF159" s="73">
        <v>2.456</v>
      </c>
      <c r="DG159" s="303">
        <f>SUMPRODUCT(DC159:DF159,DC$160:DF$160)/DG$160</f>
        <v>2.2557350366572084</v>
      </c>
      <c r="DH159" s="73">
        <v>2.883</v>
      </c>
      <c r="DI159" s="73">
        <v>3.258</v>
      </c>
      <c r="DJ159" s="73">
        <v>3.097</v>
      </c>
      <c r="DK159" s="73">
        <v>3.11</v>
      </c>
      <c r="DL159" s="303">
        <f>SUMPRODUCT(DH159:DK159,DH$160:DK$160)/DL$160</f>
        <v>3.0847941792153422</v>
      </c>
      <c r="DM159" s="73">
        <v>3.16</v>
      </c>
      <c r="DN159" s="73">
        <v>3.149</v>
      </c>
      <c r="DO159" s="73">
        <v>3.1309999999999998</v>
      </c>
      <c r="DP159" s="73">
        <v>3.23</v>
      </c>
      <c r="DQ159" s="303">
        <f>SUMPRODUCT(DM159:DP159,DM$160:DP$160)/DQ$160</f>
        <v>3.1674672463793359</v>
      </c>
      <c r="DR159" s="73">
        <v>3.1909999999999998</v>
      </c>
      <c r="DS159" s="73">
        <v>3.0270000000000001</v>
      </c>
      <c r="DT159" s="1209">
        <v>3.133</v>
      </c>
      <c r="DU159" s="73">
        <v>3.02</v>
      </c>
      <c r="DV159" s="303">
        <f>SUMPRODUCT(DR159:DU159,DR$160:DU$160)/DV$160</f>
        <v>3.0928373780445559</v>
      </c>
      <c r="DW159" s="73">
        <v>3.105</v>
      </c>
      <c r="DX159" s="73">
        <v>3.0339999999999998</v>
      </c>
      <c r="DY159" s="1209">
        <v>2.9590000000000001</v>
      </c>
      <c r="DZ159" s="73">
        <v>2.5209999999999999</v>
      </c>
      <c r="EA159" s="303">
        <f>SUMPRODUCT(DW159:DZ159,DW$160:DZ$160)/EA$160</f>
        <v>2.9029855324179503</v>
      </c>
      <c r="EB159" s="73">
        <v>1.831</v>
      </c>
      <c r="EC159" s="73">
        <v>1.9350000000000001</v>
      </c>
      <c r="ED159" s="1209">
        <v>1.714</v>
      </c>
      <c r="EE159" s="73">
        <v>1.49</v>
      </c>
      <c r="EF159" s="303">
        <f>SUMPRODUCT(EB159:EE159,EB$160:EE$160)/EF$160</f>
        <v>1.7429421057497712</v>
      </c>
      <c r="EG159" s="73">
        <v>1.1579999999999999</v>
      </c>
      <c r="EH159" s="73">
        <v>1.4450000000000001</v>
      </c>
      <c r="EI159" s="1209">
        <v>1.512</v>
      </c>
      <c r="EJ159" s="73">
        <v>1.603</v>
      </c>
      <c r="EK159" s="303">
        <f>SUMPRODUCT(EG159:EJ159,EG$160:EJ$160)/EK$160</f>
        <v>1.425932286447116</v>
      </c>
      <c r="EL159" s="73">
        <v>1.69</v>
      </c>
      <c r="EM159" s="73">
        <v>1.609</v>
      </c>
      <c r="EN159" s="1209">
        <v>1.6970000000000001</v>
      </c>
      <c r="EO159" s="73">
        <v>1.95</v>
      </c>
      <c r="EP159" s="303">
        <f>SUMPRODUCT(EL159:EO159,EL$160:EO$160)/EP$160</f>
        <v>1.7380981297702425</v>
      </c>
      <c r="EQ159" s="73">
        <v>2.0459999999999998</v>
      </c>
      <c r="ER159" s="73">
        <f>ER157-ER158</f>
        <v>2.1455384615384614</v>
      </c>
      <c r="ES159" s="73">
        <f>ES157-ES158</f>
        <v>2.1616923076923076</v>
      </c>
      <c r="ET159" s="73">
        <f>ET157-ET158</f>
        <v>2.1616923076923076</v>
      </c>
      <c r="EU159" s="1976">
        <f>SUMPRODUCT(EQ159:ET159,EQ$160:ET$160)/EU$160</f>
        <v>2.1275261680331261</v>
      </c>
      <c r="EV159" s="396"/>
      <c r="EW159" s="396"/>
      <c r="EX159" s="396"/>
      <c r="EY159" s="73"/>
      <c r="EZ159" s="863">
        <f>EZ157-EZ158</f>
        <v>2.1604877064946648</v>
      </c>
      <c r="FA159" s="396"/>
      <c r="FB159" s="396"/>
      <c r="FC159" s="396"/>
      <c r="FD159" s="73"/>
      <c r="FE159" s="863">
        <f>FE157-FE158</f>
        <v>2.1604877064946648</v>
      </c>
      <c r="FF159" s="775"/>
      <c r="FG159" s="656"/>
      <c r="FH159" s="1047"/>
      <c r="FI159" s="1047"/>
      <c r="FJ159" s="1047"/>
      <c r="FK159" s="1047"/>
      <c r="FL159" s="1828"/>
      <c r="FM159" s="73">
        <f t="shared" si="500"/>
        <v>2.0459999999999998</v>
      </c>
      <c r="FN159" s="73">
        <f t="shared" si="501"/>
        <v>1.69</v>
      </c>
      <c r="FO159" s="2061">
        <v>2.0973076923076923</v>
      </c>
      <c r="FP159" s="16">
        <f t="shared" si="577"/>
        <v>0.21065088757396433</v>
      </c>
      <c r="FQ159" s="16">
        <f t="shared" si="577"/>
        <v>-2.4463598019438981E-2</v>
      </c>
      <c r="FR159" s="580"/>
      <c r="FS159" s="580"/>
      <c r="FT159" s="580"/>
      <c r="FU159" s="580"/>
      <c r="FV159" s="580"/>
      <c r="FW159" s="580"/>
      <c r="FX159" s="580"/>
      <c r="FY159" s="580"/>
      <c r="FZ159" s="580"/>
      <c r="GA159" s="656"/>
      <c r="GB159"/>
      <c r="GC159"/>
      <c r="GD159"/>
      <c r="GE159"/>
      <c r="GF159"/>
      <c r="GG159"/>
      <c r="GH159" s="969"/>
      <c r="GI159" s="969"/>
      <c r="GJ159" s="969"/>
      <c r="GK159" s="969"/>
      <c r="GL159" s="969"/>
      <c r="GM159" s="969"/>
      <c r="GN159" s="969"/>
      <c r="GO159" s="969"/>
      <c r="GP159" s="969"/>
      <c r="GQ159" s="969"/>
      <c r="GR159" s="969"/>
      <c r="GS159" s="969"/>
      <c r="GT159" s="969"/>
      <c r="GU159" s="969"/>
      <c r="GV159" s="969"/>
      <c r="GW159" s="969"/>
      <c r="GX159" s="969"/>
      <c r="GY159" s="969"/>
      <c r="GZ159" s="969"/>
      <c r="HA159" s="969"/>
      <c r="HB159" s="969"/>
      <c r="HC159" s="969"/>
      <c r="HD159" s="969"/>
      <c r="HE159" s="969"/>
      <c r="HF159" s="969"/>
      <c r="HG159" s="969"/>
      <c r="HH159" s="969"/>
      <c r="HI159" s="969"/>
      <c r="HJ159" s="969"/>
      <c r="HK159" s="969"/>
      <c r="HL159" s="969"/>
      <c r="HM159" s="969"/>
      <c r="HN159" s="969"/>
      <c r="HO159" s="969"/>
      <c r="HP159" s="969"/>
      <c r="HQ159" s="969"/>
      <c r="HR159" s="969"/>
      <c r="HS159" s="969"/>
      <c r="HT159" s="969"/>
      <c r="HU159" s="969"/>
      <c r="HV159" s="969"/>
      <c r="HW159" s="969"/>
      <c r="HX159" s="969"/>
      <c r="HY159" s="969"/>
      <c r="HZ159" s="969"/>
      <c r="IA159" s="969"/>
      <c r="IB159" s="969"/>
      <c r="IC159" s="969"/>
      <c r="ID159" s="969"/>
      <c r="IE159" s="969"/>
      <c r="IF159" s="969"/>
      <c r="IG159" s="969"/>
      <c r="IH159" s="969"/>
      <c r="II159" s="969"/>
      <c r="IJ159" s="969"/>
      <c r="IK159" s="969"/>
      <c r="IL159" s="969"/>
      <c r="IM159" s="969"/>
      <c r="IN159" s="969"/>
      <c r="IO159" s="969"/>
      <c r="IP159" s="969"/>
      <c r="IQ159" s="969"/>
      <c r="IR159" s="969"/>
      <c r="IS159" s="969"/>
      <c r="IT159" s="969"/>
      <c r="IU159" s="969"/>
      <c r="IV159" s="969"/>
    </row>
    <row r="160" spans="1:256" s="113" customFormat="1" ht="12.75" x14ac:dyDescent="0.2">
      <c r="A160" s="111" t="s">
        <v>489</v>
      </c>
      <c r="B160" s="93"/>
      <c r="C160" s="93"/>
      <c r="D160" s="93"/>
      <c r="E160" s="215"/>
      <c r="F160" s="112"/>
      <c r="G160" s="93"/>
      <c r="H160" s="93"/>
      <c r="I160" s="93"/>
      <c r="J160" s="215"/>
      <c r="K160" s="112"/>
      <c r="L160" s="93"/>
      <c r="M160" s="93"/>
      <c r="N160" s="93"/>
      <c r="O160" s="215"/>
      <c r="P160" s="112"/>
      <c r="Q160" s="93"/>
      <c r="R160" s="93"/>
      <c r="S160" s="93"/>
      <c r="T160" s="215"/>
      <c r="U160" s="112"/>
      <c r="V160" s="93"/>
      <c r="W160" s="93"/>
      <c r="X160" s="93"/>
      <c r="Y160" s="215"/>
      <c r="Z160" s="112"/>
      <c r="AA160" s="93"/>
      <c r="AB160" s="93"/>
      <c r="AC160" s="93"/>
      <c r="AD160" s="215"/>
      <c r="AE160" s="112"/>
      <c r="AF160" s="93"/>
      <c r="AG160" s="93"/>
      <c r="AH160" s="93"/>
      <c r="AI160" s="215"/>
      <c r="AJ160" s="112"/>
      <c r="AK160" s="93"/>
      <c r="AL160" s="93"/>
      <c r="AM160" s="93"/>
      <c r="AN160" s="215"/>
      <c r="AO160" s="112">
        <v>342.50300000000004</v>
      </c>
      <c r="AP160" s="93">
        <v>89.191000000000003</v>
      </c>
      <c r="AQ160" s="93">
        <v>87.174000000000007</v>
      </c>
      <c r="AR160" s="93">
        <v>84.646000000000001</v>
      </c>
      <c r="AS160" s="215">
        <v>90.381</v>
      </c>
      <c r="AT160" s="112">
        <f>SUM(AP160:AS160)</f>
        <v>351.39200000000005</v>
      </c>
      <c r="AU160" s="93">
        <v>92.215999999999994</v>
      </c>
      <c r="AV160" s="93">
        <v>90.953999999999994</v>
      </c>
      <c r="AW160" s="93">
        <v>88.715000000000003</v>
      </c>
      <c r="AX160" s="215">
        <v>90.370999999999995</v>
      </c>
      <c r="AY160" s="112">
        <f>SUM(AU160:AX160)</f>
        <v>362.25599999999997</v>
      </c>
      <c r="AZ160" s="93">
        <v>92.168999999999997</v>
      </c>
      <c r="BA160" s="93">
        <v>97.754000000000005</v>
      </c>
      <c r="BB160" s="93">
        <v>122.922</v>
      </c>
      <c r="BC160" s="215">
        <v>133.934</v>
      </c>
      <c r="BD160" s="112">
        <f>SUM(AZ160:BC160)</f>
        <v>446.779</v>
      </c>
      <c r="BE160" s="93">
        <v>134.52799999999999</v>
      </c>
      <c r="BF160" s="93">
        <v>127.54900000000001</v>
      </c>
      <c r="BG160" s="93">
        <v>125.179</v>
      </c>
      <c r="BH160" s="215">
        <v>130.30699999999999</v>
      </c>
      <c r="BI160" s="112">
        <f>SUM(BE160:BH160)</f>
        <v>517.56299999999999</v>
      </c>
      <c r="BJ160" s="93">
        <v>127.748</v>
      </c>
      <c r="BK160" s="93">
        <v>121.009</v>
      </c>
      <c r="BL160" s="93">
        <v>106.608</v>
      </c>
      <c r="BM160" s="215">
        <v>122.279</v>
      </c>
      <c r="BN160" s="112">
        <f>SUM(BJ160:BM160)</f>
        <v>477.64400000000001</v>
      </c>
      <c r="BO160" s="93">
        <v>120.072</v>
      </c>
      <c r="BP160" s="93">
        <v>119.764</v>
      </c>
      <c r="BQ160" s="93">
        <v>113.471</v>
      </c>
      <c r="BR160" s="215">
        <v>119.17</v>
      </c>
      <c r="BS160" s="112">
        <f>SUM(BO160:BR160)</f>
        <v>472.47700000000003</v>
      </c>
      <c r="BT160" s="93">
        <v>121.1</v>
      </c>
      <c r="BU160" s="93">
        <v>116.50700000000001</v>
      </c>
      <c r="BV160" s="93">
        <v>111.989</v>
      </c>
      <c r="BW160" s="215">
        <v>122.623</v>
      </c>
      <c r="BX160" s="112">
        <f>SUM(BT160:BW160)</f>
        <v>472.21899999999999</v>
      </c>
      <c r="BY160" s="93">
        <v>128.56</v>
      </c>
      <c r="BZ160" s="93">
        <v>123.596</v>
      </c>
      <c r="CA160" s="93">
        <v>120.98399999999999</v>
      </c>
      <c r="CB160" s="215">
        <v>129.369</v>
      </c>
      <c r="CC160" s="112">
        <f>SUM(BY160:CB160)</f>
        <v>502.50900000000001</v>
      </c>
      <c r="CD160" s="93">
        <v>133.286</v>
      </c>
      <c r="CE160" s="93">
        <v>127.102</v>
      </c>
      <c r="CF160" s="93">
        <v>124.375</v>
      </c>
      <c r="CG160" s="215">
        <v>128.637</v>
      </c>
      <c r="CH160" s="112">
        <f>SUM(CD160:CG160)</f>
        <v>513.40000000000009</v>
      </c>
      <c r="CI160" s="93">
        <v>137.43899999999999</v>
      </c>
      <c r="CJ160" s="93">
        <v>129.26400000000001</v>
      </c>
      <c r="CK160" s="93">
        <v>124.15300000000001</v>
      </c>
      <c r="CL160" s="215">
        <v>127.92700000000001</v>
      </c>
      <c r="CM160" s="112">
        <f>SUM(CI160:CL160)</f>
        <v>518.78300000000002</v>
      </c>
      <c r="CN160" s="93">
        <v>129.47200000000001</v>
      </c>
      <c r="CO160" s="93">
        <v>125.461</v>
      </c>
      <c r="CP160" s="93">
        <v>118.03700000000001</v>
      </c>
      <c r="CQ160" s="215">
        <v>124.654</v>
      </c>
      <c r="CR160" s="112">
        <f>SUM(CN160:CQ160)</f>
        <v>497.62400000000002</v>
      </c>
      <c r="CS160" s="93">
        <v>130.167</v>
      </c>
      <c r="CT160" s="93">
        <v>123.066</v>
      </c>
      <c r="CU160" s="93">
        <v>117.733</v>
      </c>
      <c r="CV160" s="215">
        <v>111.589</v>
      </c>
      <c r="CW160" s="112">
        <f>SUM(CS160:CV160)</f>
        <v>482.55500000000001</v>
      </c>
      <c r="CX160" s="93">
        <v>105.372</v>
      </c>
      <c r="CY160" s="93">
        <v>90.471000000000004</v>
      </c>
      <c r="CZ160" s="93">
        <v>95.025000000000006</v>
      </c>
      <c r="DA160" s="93">
        <v>101.673</v>
      </c>
      <c r="DB160" s="112">
        <f>SUM(CX160:DA160)</f>
        <v>392.54100000000005</v>
      </c>
      <c r="DC160" s="93">
        <v>110.43</v>
      </c>
      <c r="DD160" s="93">
        <v>106.527</v>
      </c>
      <c r="DE160" s="93">
        <v>108.30800000000001</v>
      </c>
      <c r="DF160" s="93">
        <v>114.89400000000001</v>
      </c>
      <c r="DG160" s="112">
        <f>SUM(DC160:DF160)</f>
        <v>440.15899999999999</v>
      </c>
      <c r="DH160" s="93">
        <v>122.226</v>
      </c>
      <c r="DI160" s="93">
        <v>116.873</v>
      </c>
      <c r="DJ160" s="93">
        <v>115.126</v>
      </c>
      <c r="DK160" s="93">
        <v>119.663</v>
      </c>
      <c r="DL160" s="112">
        <f>SUM(DH160:DK160)</f>
        <v>473.88800000000003</v>
      </c>
      <c r="DM160" s="93">
        <v>119.779</v>
      </c>
      <c r="DN160" s="93">
        <v>114.428</v>
      </c>
      <c r="DO160" s="93">
        <v>111.804</v>
      </c>
      <c r="DP160" s="93">
        <v>113.297</v>
      </c>
      <c r="DQ160" s="112">
        <f>SUM(DM160:DP160)</f>
        <v>459.30799999999999</v>
      </c>
      <c r="DR160" s="93">
        <v>122.673</v>
      </c>
      <c r="DS160" s="93">
        <v>117.383</v>
      </c>
      <c r="DT160" s="93">
        <v>114.104</v>
      </c>
      <c r="DU160" s="93">
        <v>122.14100000000001</v>
      </c>
      <c r="DV160" s="112">
        <f>SUM(DR160:DU160)</f>
        <v>476.30099999999999</v>
      </c>
      <c r="DW160" s="93">
        <v>126.08199999999999</v>
      </c>
      <c r="DX160" s="93">
        <v>122.619</v>
      </c>
      <c r="DY160" s="93">
        <v>119.1</v>
      </c>
      <c r="DZ160" s="93">
        <v>126.2</v>
      </c>
      <c r="EA160" s="112">
        <f>SUM(DW160:DZ160)</f>
        <v>494.00099999999998</v>
      </c>
      <c r="EB160" s="93">
        <v>125.59</v>
      </c>
      <c r="EC160" s="93">
        <v>120.955</v>
      </c>
      <c r="ED160" s="93">
        <v>118.123</v>
      </c>
      <c r="EE160" s="93">
        <v>122.047</v>
      </c>
      <c r="EF160" s="112">
        <f>SUM(EB160:EE160)</f>
        <v>486.71500000000003</v>
      </c>
      <c r="EG160" s="93">
        <v>120.251</v>
      </c>
      <c r="EH160" s="93">
        <v>114.075</v>
      </c>
      <c r="EI160" s="93">
        <v>112.864</v>
      </c>
      <c r="EJ160" s="93">
        <v>114.815</v>
      </c>
      <c r="EK160" s="112">
        <f>SUM(EG160:EJ160)</f>
        <v>462.00500000000005</v>
      </c>
      <c r="EL160" s="93">
        <v>119.42</v>
      </c>
      <c r="EM160" s="93">
        <v>111.331</v>
      </c>
      <c r="EN160" s="93">
        <v>110.97199999999999</v>
      </c>
      <c r="EO160" s="93">
        <v>116.456</v>
      </c>
      <c r="EP160" s="112">
        <f>SUM(EL160:EO160)</f>
        <v>458.17900000000003</v>
      </c>
      <c r="EQ160" s="93">
        <v>121.45</v>
      </c>
      <c r="ER160" s="93">
        <f>ER162*ER43/1000</f>
        <v>116.00760385300929</v>
      </c>
      <c r="ES160" s="93">
        <f>ES162*ES43/1000</f>
        <v>112.5417283727939</v>
      </c>
      <c r="ET160" s="93">
        <f>ET162*ET43/1000</f>
        <v>116.09955730060143</v>
      </c>
      <c r="EU160" s="1977">
        <f>SUM(EQ160:ET160)</f>
        <v>466.09888952640461</v>
      </c>
      <c r="EV160" s="93"/>
      <c r="EW160" s="93"/>
      <c r="EX160" s="93"/>
      <c r="EY160" s="93"/>
      <c r="EZ160" s="864">
        <f>EZ162*EZ43/1000</f>
        <v>471.23858009102071</v>
      </c>
      <c r="FA160" s="93"/>
      <c r="FB160" s="93"/>
      <c r="FC160" s="93"/>
      <c r="FD160" s="93"/>
      <c r="FE160" s="864">
        <f>FE162*FE43/1000</f>
        <v>478.8961909203253</v>
      </c>
      <c r="FF160" s="788"/>
      <c r="FG160" s="656"/>
      <c r="FH160" s="1071"/>
      <c r="FI160" s="1071"/>
      <c r="FJ160" s="1071"/>
      <c r="FK160" s="1071"/>
      <c r="FL160" s="1829"/>
      <c r="FM160" s="93">
        <f t="shared" si="500"/>
        <v>121.45</v>
      </c>
      <c r="FN160" s="93">
        <f t="shared" si="501"/>
        <v>119.42</v>
      </c>
      <c r="FO160" s="2062">
        <v>119.40694156835036</v>
      </c>
      <c r="FP160" s="1873">
        <f t="shared" si="577"/>
        <v>1.6998827667057403E-2</v>
      </c>
      <c r="FQ160" s="1873">
        <f t="shared" si="577"/>
        <v>1.7110047412780993E-2</v>
      </c>
      <c r="FR160" s="540"/>
      <c r="FS160" s="585"/>
      <c r="FT160" s="585"/>
      <c r="FU160" s="585"/>
      <c r="FV160" s="585"/>
      <c r="FW160" s="585"/>
      <c r="FX160" s="585"/>
      <c r="FY160" s="585"/>
      <c r="FZ160" s="585"/>
      <c r="GA160" s="656"/>
      <c r="GB160"/>
      <c r="GC160"/>
      <c r="GD160"/>
      <c r="GE160"/>
      <c r="GF160"/>
      <c r="GG160"/>
      <c r="GH160" s="1010"/>
      <c r="GI160" s="1010"/>
      <c r="GJ160" s="1010"/>
      <c r="GK160" s="1010"/>
      <c r="GL160" s="1010"/>
      <c r="GM160" s="1010"/>
      <c r="GN160" s="1010"/>
      <c r="GO160" s="1010"/>
      <c r="GP160" s="1010"/>
      <c r="GQ160" s="1010"/>
      <c r="GR160" s="1010"/>
      <c r="GS160" s="1010"/>
      <c r="GT160" s="1010"/>
      <c r="GU160" s="1010"/>
      <c r="GV160" s="1010"/>
      <c r="GW160" s="1010"/>
      <c r="GX160" s="1010"/>
      <c r="GY160" s="1010"/>
      <c r="GZ160" s="1010"/>
      <c r="HA160" s="1010"/>
      <c r="HB160" s="1010"/>
      <c r="HC160" s="1010"/>
      <c r="HD160" s="1010"/>
      <c r="HE160" s="1010"/>
      <c r="HF160" s="1010"/>
      <c r="HG160" s="1010"/>
      <c r="HH160" s="1010"/>
      <c r="HI160" s="1010"/>
      <c r="HJ160" s="1010"/>
      <c r="HK160" s="1010"/>
      <c r="HL160" s="1010"/>
      <c r="HM160" s="1010"/>
      <c r="HN160" s="1010"/>
      <c r="HO160" s="1010"/>
      <c r="HP160" s="1010"/>
      <c r="HQ160" s="1010"/>
      <c r="HR160" s="1010"/>
      <c r="HS160" s="1010"/>
      <c r="HT160" s="1010"/>
      <c r="HU160" s="1010"/>
      <c r="HV160" s="1010"/>
      <c r="HW160" s="1010"/>
      <c r="HX160" s="1010"/>
      <c r="HY160" s="1010"/>
      <c r="HZ160" s="1010"/>
      <c r="IA160" s="1010"/>
      <c r="IB160" s="1010"/>
      <c r="IC160" s="1010"/>
      <c r="ID160" s="1010"/>
      <c r="IE160" s="1010"/>
      <c r="IF160" s="1010"/>
      <c r="IG160" s="1010"/>
      <c r="IH160" s="1010"/>
      <c r="II160" s="1010"/>
      <c r="IJ160" s="1010"/>
      <c r="IK160" s="1010"/>
      <c r="IL160" s="1010"/>
      <c r="IM160" s="1010"/>
      <c r="IN160" s="1010"/>
      <c r="IO160" s="1010"/>
      <c r="IP160" s="1010"/>
      <c r="IQ160" s="1010"/>
      <c r="IR160" s="1010"/>
      <c r="IS160" s="1010"/>
      <c r="IT160" s="1010"/>
      <c r="IU160" s="1010"/>
      <c r="IV160" s="1010"/>
    </row>
    <row r="161" spans="1:256" s="56" customFormat="1" ht="12.75" x14ac:dyDescent="0.2">
      <c r="A161" s="44" t="s">
        <v>74</v>
      </c>
      <c r="B161" s="22"/>
      <c r="C161" s="22"/>
      <c r="D161" s="22"/>
      <c r="E161" s="197"/>
      <c r="F161" s="21"/>
      <c r="G161" s="22"/>
      <c r="H161" s="22"/>
      <c r="I161" s="22"/>
      <c r="J161" s="197"/>
      <c r="K161" s="21"/>
      <c r="L161" s="22"/>
      <c r="M161" s="22"/>
      <c r="N161" s="22"/>
      <c r="O161" s="197"/>
      <c r="P161" s="21"/>
      <c r="Q161" s="22"/>
      <c r="R161" s="22"/>
      <c r="S161" s="22"/>
      <c r="T161" s="197"/>
      <c r="U161" s="21"/>
      <c r="V161" s="22"/>
      <c r="W161" s="22"/>
      <c r="X161" s="22"/>
      <c r="Y161" s="197"/>
      <c r="Z161" s="21"/>
      <c r="AA161" s="22"/>
      <c r="AB161" s="22"/>
      <c r="AC161" s="22"/>
      <c r="AD161" s="197"/>
      <c r="AE161" s="21"/>
      <c r="AF161" s="22"/>
      <c r="AG161" s="22"/>
      <c r="AH161" s="22"/>
      <c r="AI161" s="197"/>
      <c r="AJ161" s="21"/>
      <c r="AK161" s="22"/>
      <c r="AL161" s="22"/>
      <c r="AM161" s="22"/>
      <c r="AN161" s="197"/>
      <c r="AO161" s="21"/>
      <c r="AP161" s="22"/>
      <c r="AQ161" s="22"/>
      <c r="AR161" s="22"/>
      <c r="AS161" s="197"/>
      <c r="AT161" s="21">
        <f t="shared" ref="AT161:DE161" si="583">AT160/AO160-1</f>
        <v>2.5953057345483144E-2</v>
      </c>
      <c r="AU161" s="22">
        <f t="shared" si="583"/>
        <v>3.3915978069536168E-2</v>
      </c>
      <c r="AV161" s="22">
        <f t="shared" si="583"/>
        <v>4.3361552756555621E-2</v>
      </c>
      <c r="AW161" s="22">
        <f t="shared" si="583"/>
        <v>4.8070788932731645E-2</v>
      </c>
      <c r="AX161" s="197">
        <f t="shared" si="583"/>
        <v>-1.1064272358130012E-4</v>
      </c>
      <c r="AY161" s="21">
        <f t="shared" si="583"/>
        <v>3.0917038521081741E-2</v>
      </c>
      <c r="AZ161" s="22">
        <f t="shared" si="583"/>
        <v>-5.0967294178883016E-4</v>
      </c>
      <c r="BA161" s="22">
        <f t="shared" si="583"/>
        <v>7.4763067044880005E-2</v>
      </c>
      <c r="BB161" s="22">
        <f t="shared" si="583"/>
        <v>0.38558304683537159</v>
      </c>
      <c r="BC161" s="197">
        <f t="shared" si="583"/>
        <v>0.48204623164510751</v>
      </c>
      <c r="BD161" s="21">
        <f t="shared" si="583"/>
        <v>0.23332394770549003</v>
      </c>
      <c r="BE161" s="22">
        <f t="shared" si="583"/>
        <v>0.45957968514359493</v>
      </c>
      <c r="BF161" s="22">
        <f t="shared" si="583"/>
        <v>0.30479571168443242</v>
      </c>
      <c r="BG161" s="22">
        <f t="shared" si="583"/>
        <v>1.8361237207334735E-2</v>
      </c>
      <c r="BH161" s="197">
        <f t="shared" si="583"/>
        <v>-2.7080502336972012E-2</v>
      </c>
      <c r="BI161" s="21">
        <f t="shared" si="583"/>
        <v>0.1584317973763314</v>
      </c>
      <c r="BJ161" s="22">
        <f t="shared" si="583"/>
        <v>-5.0398430066603161E-2</v>
      </c>
      <c r="BK161" s="22">
        <f t="shared" si="583"/>
        <v>-5.1274412186689045E-2</v>
      </c>
      <c r="BL161" s="22">
        <f t="shared" si="583"/>
        <v>-0.14835555484546126</v>
      </c>
      <c r="BM161" s="197">
        <f t="shared" si="583"/>
        <v>-6.1608355652420732E-2</v>
      </c>
      <c r="BN161" s="21">
        <f t="shared" si="583"/>
        <v>-7.71287746612489E-2</v>
      </c>
      <c r="BO161" s="22">
        <f t="shared" si="583"/>
        <v>-6.0087046372545916E-2</v>
      </c>
      <c r="BP161" s="22">
        <f t="shared" si="583"/>
        <v>-1.0288490938690553E-2</v>
      </c>
      <c r="BQ161" s="22">
        <f t="shared" si="583"/>
        <v>6.4376031817499513E-2</v>
      </c>
      <c r="BR161" s="197">
        <f t="shared" si="583"/>
        <v>-2.5425461444728792E-2</v>
      </c>
      <c r="BS161" s="21">
        <f t="shared" si="583"/>
        <v>-1.0817680113222372E-2</v>
      </c>
      <c r="BT161" s="22">
        <f t="shared" si="583"/>
        <v>8.5615297488172981E-3</v>
      </c>
      <c r="BU161" s="22">
        <f t="shared" si="583"/>
        <v>-2.7195150462576367E-2</v>
      </c>
      <c r="BV161" s="22">
        <f t="shared" si="583"/>
        <v>-1.3060605793550728E-2</v>
      </c>
      <c r="BW161" s="197">
        <f t="shared" si="583"/>
        <v>2.8975413275153183E-2</v>
      </c>
      <c r="BX161" s="21">
        <f t="shared" si="583"/>
        <v>-5.4605832664877951E-4</v>
      </c>
      <c r="BY161" s="22">
        <f t="shared" si="583"/>
        <v>6.1601981833195874E-2</v>
      </c>
      <c r="BZ161" s="22">
        <f t="shared" si="583"/>
        <v>6.0846129417116535E-2</v>
      </c>
      <c r="CA161" s="22">
        <f t="shared" si="583"/>
        <v>8.0320388609595561E-2</v>
      </c>
      <c r="CB161" s="197">
        <f t="shared" si="583"/>
        <v>5.5014149058496331E-2</v>
      </c>
      <c r="CC161" s="21">
        <f t="shared" si="583"/>
        <v>6.4143967100010801E-2</v>
      </c>
      <c r="CD161" s="22">
        <f t="shared" si="583"/>
        <v>3.676104542626013E-2</v>
      </c>
      <c r="CE161" s="22">
        <f t="shared" si="583"/>
        <v>2.8366613806272145E-2</v>
      </c>
      <c r="CF161" s="22">
        <f t="shared" si="583"/>
        <v>2.8028499636315596E-2</v>
      </c>
      <c r="CG161" s="197">
        <f t="shared" si="583"/>
        <v>-5.6582334253182376E-3</v>
      </c>
      <c r="CH161" s="21">
        <f t="shared" si="583"/>
        <v>2.1673243663297814E-2</v>
      </c>
      <c r="CI161" s="22">
        <f t="shared" si="583"/>
        <v>3.1158561289257536E-2</v>
      </c>
      <c r="CJ161" s="22">
        <f t="shared" si="583"/>
        <v>1.7009960504162036E-2</v>
      </c>
      <c r="CK161" s="22">
        <f t="shared" si="583"/>
        <v>-1.7849246231155247E-3</v>
      </c>
      <c r="CL161" s="197">
        <f t="shared" si="583"/>
        <v>-5.519407324486636E-3</v>
      </c>
      <c r="CM161" s="21">
        <f t="shared" si="583"/>
        <v>1.0485001947798889E-2</v>
      </c>
      <c r="CN161" s="22">
        <f t="shared" si="583"/>
        <v>-5.7967534688116107E-2</v>
      </c>
      <c r="CO161" s="22">
        <f t="shared" si="583"/>
        <v>-2.9420410941948361E-2</v>
      </c>
      <c r="CP161" s="22">
        <f t="shared" si="583"/>
        <v>-4.9261797942860786E-2</v>
      </c>
      <c r="CQ161" s="197">
        <f t="shared" si="583"/>
        <v>-2.5584903890500166E-2</v>
      </c>
      <c r="CR161" s="21">
        <f t="shared" si="583"/>
        <v>-4.0785839165893956E-2</v>
      </c>
      <c r="CS161" s="22">
        <f t="shared" si="583"/>
        <v>5.3679560059316511E-3</v>
      </c>
      <c r="CT161" s="22">
        <f t="shared" si="583"/>
        <v>-1.9089597564183269E-2</v>
      </c>
      <c r="CU161" s="22">
        <f t="shared" si="583"/>
        <v>-2.5754636258122909E-3</v>
      </c>
      <c r="CV161" s="197">
        <f t="shared" si="583"/>
        <v>-0.10481011439664989</v>
      </c>
      <c r="CW161" s="21">
        <f t="shared" si="583"/>
        <v>-3.0281899586836691E-2</v>
      </c>
      <c r="CX161" s="22">
        <f t="shared" si="583"/>
        <v>-0.19048606789739331</v>
      </c>
      <c r="CY161" s="22">
        <f t="shared" si="583"/>
        <v>-0.26485788113695086</v>
      </c>
      <c r="CZ161" s="22">
        <f t="shared" si="583"/>
        <v>-0.19287710327605678</v>
      </c>
      <c r="DA161" s="22">
        <f>DA160/CV160-1</f>
        <v>-8.8861805375081704E-2</v>
      </c>
      <c r="DB161" s="21">
        <f>DB160/CW160-1</f>
        <v>-0.18653624975391392</v>
      </c>
      <c r="DC161" s="22">
        <f t="shared" si="583"/>
        <v>4.8001366586949201E-2</v>
      </c>
      <c r="DD161" s="22">
        <f t="shared" si="583"/>
        <v>0.17747123387604868</v>
      </c>
      <c r="DE161" s="22">
        <f t="shared" si="583"/>
        <v>0.13978426729807936</v>
      </c>
      <c r="DF161" s="22">
        <f>DF160/DA160-1</f>
        <v>0.1300345224395858</v>
      </c>
      <c r="DG161" s="21">
        <f>DG160/DB160-1</f>
        <v>0.12130707365600002</v>
      </c>
      <c r="DH161" s="22">
        <f>DH160/DC160-1</f>
        <v>0.10681879923933701</v>
      </c>
      <c r="DI161" s="22">
        <f t="shared" ref="DI161:DY161" si="584">DI160/DD160-1</f>
        <v>9.7120917701615683E-2</v>
      </c>
      <c r="DJ161" s="22">
        <f t="shared" si="584"/>
        <v>6.2950105255382693E-2</v>
      </c>
      <c r="DK161" s="22">
        <f t="shared" si="584"/>
        <v>4.1507824603547627E-2</v>
      </c>
      <c r="DL161" s="21">
        <f t="shared" si="584"/>
        <v>7.6629127201761182E-2</v>
      </c>
      <c r="DM161" s="22">
        <f>DM160/DH160-1</f>
        <v>-2.0020290281936748E-2</v>
      </c>
      <c r="DN161" s="22">
        <f>DN160/DI160-1</f>
        <v>-2.0920144088027226E-2</v>
      </c>
      <c r="DO161" s="22">
        <f>DO160/DJ160-1</f>
        <v>-2.885534110452892E-2</v>
      </c>
      <c r="DP161" s="22">
        <f t="shared" si="584"/>
        <v>-5.3199401652975431E-2</v>
      </c>
      <c r="DQ161" s="21">
        <f t="shared" si="584"/>
        <v>-3.076676345465601E-2</v>
      </c>
      <c r="DR161" s="22">
        <f t="shared" si="584"/>
        <v>2.4161163476068559E-2</v>
      </c>
      <c r="DS161" s="22">
        <f t="shared" si="584"/>
        <v>2.582409899674909E-2</v>
      </c>
      <c r="DT161" s="22">
        <f t="shared" si="584"/>
        <v>2.05717147865907E-2</v>
      </c>
      <c r="DU161" s="22">
        <f t="shared" si="584"/>
        <v>7.8060319337670103E-2</v>
      </c>
      <c r="DV161" s="21">
        <f t="shared" si="584"/>
        <v>3.699696064514435E-2</v>
      </c>
      <c r="DW161" s="22">
        <f>DW160/DR160-1</f>
        <v>2.7789326094576516E-2</v>
      </c>
      <c r="DX161" s="22">
        <f t="shared" si="584"/>
        <v>4.4606118432822583E-2</v>
      </c>
      <c r="DY161" s="22">
        <f t="shared" si="584"/>
        <v>4.3784617541891668E-2</v>
      </c>
      <c r="DZ161" s="22">
        <f t="shared" ref="DZ161:EI161" si="585">DZ160/DU160-1</f>
        <v>3.3232084230520487E-2</v>
      </c>
      <c r="EA161" s="21">
        <f t="shared" si="585"/>
        <v>3.7161374844898454E-2</v>
      </c>
      <c r="EB161" s="22">
        <f t="shared" si="585"/>
        <v>-3.9022223632239061E-3</v>
      </c>
      <c r="EC161" s="22">
        <f t="shared" si="585"/>
        <v>-1.3570490706986682E-2</v>
      </c>
      <c r="ED161" s="22">
        <f t="shared" si="585"/>
        <v>-8.2031905961376106E-3</v>
      </c>
      <c r="EE161" s="22">
        <f t="shared" si="585"/>
        <v>-3.2908082408874884E-2</v>
      </c>
      <c r="EF161" s="21">
        <f t="shared" si="585"/>
        <v>-1.4748957998060641E-2</v>
      </c>
      <c r="EG161" s="22">
        <f t="shared" si="585"/>
        <v>-4.2511346444780607E-2</v>
      </c>
      <c r="EH161" s="22">
        <f t="shared" si="585"/>
        <v>-5.6880658095986081E-2</v>
      </c>
      <c r="EI161" s="22">
        <f t="shared" si="585"/>
        <v>-4.4521388721925459E-2</v>
      </c>
      <c r="EJ161" s="22">
        <f t="shared" ref="EJ161:EN161" si="586">EJ160/EE160-1</f>
        <v>-5.9255860447204767E-2</v>
      </c>
      <c r="EK161" s="21">
        <f t="shared" si="586"/>
        <v>-5.0768930482931407E-2</v>
      </c>
      <c r="EL161" s="22">
        <f t="shared" si="586"/>
        <v>-6.9105454424496227E-3</v>
      </c>
      <c r="EM161" s="22">
        <f t="shared" si="586"/>
        <v>-2.4054350208196351E-2</v>
      </c>
      <c r="EN161" s="22">
        <f t="shared" si="586"/>
        <v>-1.6763538417918999E-2</v>
      </c>
      <c r="EO161" s="22">
        <f t="shared" ref="EO161" si="587">EO160/EJ160-1</f>
        <v>1.4292557592649136E-2</v>
      </c>
      <c r="EP161" s="21">
        <f t="shared" ref="EP161:EQ161" si="588">EP160/EK160-1</f>
        <v>-8.2812956569734419E-3</v>
      </c>
      <c r="EQ161" s="22">
        <f t="shared" si="588"/>
        <v>1.6998827667057403E-2</v>
      </c>
      <c r="ER161" s="22">
        <f t="shared" ref="ER161" si="589">ER160/EM160-1</f>
        <v>4.2006304201069655E-2</v>
      </c>
      <c r="ES161" s="22">
        <f t="shared" ref="ES161:EU161" si="590">ES160/EN160-1</f>
        <v>1.4145265227209602E-2</v>
      </c>
      <c r="ET161" s="22">
        <f t="shared" si="590"/>
        <v>-3.0607499776617031E-3</v>
      </c>
      <c r="EU161" s="270">
        <f t="shared" si="590"/>
        <v>1.7285579492740899E-2</v>
      </c>
      <c r="EV161" s="46"/>
      <c r="EW161" s="46"/>
      <c r="EX161" s="46"/>
      <c r="EY161" s="46"/>
      <c r="EZ161" s="844">
        <f>EZ160/EU160-1</f>
        <v>1.10270388540048E-2</v>
      </c>
      <c r="FA161" s="46"/>
      <c r="FB161" s="46"/>
      <c r="FC161" s="46"/>
      <c r="FD161" s="46"/>
      <c r="FE161" s="844">
        <f>FE160/EZ160-1</f>
        <v>1.6249965840711811E-2</v>
      </c>
      <c r="FF161" s="768"/>
      <c r="FG161" s="656"/>
      <c r="FH161" s="1039"/>
      <c r="FI161" s="1039"/>
      <c r="FJ161" s="1039"/>
      <c r="FK161" s="1039"/>
      <c r="FL161" s="1813"/>
      <c r="FM161" s="22">
        <f t="shared" si="500"/>
        <v>1.6998827667057403E-2</v>
      </c>
      <c r="FN161" s="22">
        <f t="shared" si="501"/>
        <v>-6.9105454424496227E-3</v>
      </c>
      <c r="FO161" s="2041">
        <v>-1.0934878286417149E-4</v>
      </c>
      <c r="FP161" s="1892">
        <f>IFERROR(($FM161-FN161)*10000,"")</f>
        <v>239.09373109507027</v>
      </c>
      <c r="FQ161" s="1892">
        <f>IFERROR(($FM161-FO161)*10000,"")</f>
        <v>171.08176449921575</v>
      </c>
      <c r="FR161" s="575"/>
      <c r="FS161" s="575"/>
      <c r="FT161" s="575"/>
      <c r="FU161" s="575"/>
      <c r="FV161" s="575"/>
      <c r="FW161" s="575"/>
      <c r="FX161" s="575"/>
      <c r="FY161" s="575"/>
      <c r="FZ161" s="575"/>
      <c r="GA161" s="656"/>
      <c r="GB161"/>
      <c r="GC161"/>
      <c r="GD161"/>
      <c r="GE161"/>
      <c r="GF161"/>
      <c r="GG161"/>
      <c r="GH161" s="964"/>
      <c r="GI161" s="964"/>
      <c r="GJ161" s="964"/>
      <c r="GK161" s="964"/>
      <c r="GL161" s="964"/>
      <c r="GM161" s="964"/>
      <c r="GN161" s="964"/>
      <c r="GO161" s="964"/>
      <c r="GP161" s="964"/>
      <c r="GQ161" s="964"/>
      <c r="GR161" s="964"/>
      <c r="GS161" s="964"/>
      <c r="GT161" s="964"/>
      <c r="GU161" s="964"/>
      <c r="GV161" s="964"/>
      <c r="GW161" s="964"/>
      <c r="GX161" s="964"/>
      <c r="GY161" s="964"/>
      <c r="GZ161" s="964"/>
      <c r="HA161" s="964"/>
      <c r="HB161" s="964"/>
      <c r="HC161" s="964"/>
      <c r="HD161" s="964"/>
      <c r="HE161" s="964"/>
      <c r="HF161" s="964"/>
      <c r="HG161" s="964"/>
      <c r="HH161" s="964"/>
      <c r="HI161" s="964"/>
      <c r="HJ161" s="964"/>
      <c r="HK161" s="964"/>
      <c r="HL161" s="964"/>
      <c r="HM161" s="964"/>
      <c r="HN161" s="964"/>
      <c r="HO161" s="964"/>
      <c r="HP161" s="964"/>
      <c r="HQ161" s="964"/>
      <c r="HR161" s="964"/>
      <c r="HS161" s="964"/>
      <c r="HT161" s="964"/>
      <c r="HU161" s="964"/>
      <c r="HV161" s="964"/>
      <c r="HW161" s="964"/>
      <c r="HX161" s="964"/>
      <c r="HY161" s="964"/>
      <c r="HZ161" s="964"/>
      <c r="IA161" s="964"/>
      <c r="IB161" s="964"/>
      <c r="IC161" s="964"/>
      <c r="ID161" s="964"/>
      <c r="IE161" s="964"/>
      <c r="IF161" s="964"/>
      <c r="IG161" s="964"/>
      <c r="IH161" s="964"/>
      <c r="II161" s="964"/>
      <c r="IJ161" s="964"/>
      <c r="IK161" s="964"/>
      <c r="IL161" s="964"/>
      <c r="IM161" s="964"/>
      <c r="IN161" s="964"/>
      <c r="IO161" s="964"/>
      <c r="IP161" s="964"/>
      <c r="IQ161" s="964"/>
      <c r="IR161" s="964"/>
      <c r="IS161" s="964"/>
      <c r="IT161" s="964"/>
      <c r="IU161" s="964"/>
      <c r="IV161" s="964"/>
    </row>
    <row r="162" spans="1:256" s="117" customFormat="1" ht="12.75" x14ac:dyDescent="0.2">
      <c r="A162" s="114" t="s">
        <v>599</v>
      </c>
      <c r="B162" s="116"/>
      <c r="C162" s="116"/>
      <c r="D162" s="116"/>
      <c r="E162" s="216"/>
      <c r="F162" s="115"/>
      <c r="G162" s="116"/>
      <c r="H162" s="116"/>
      <c r="I162" s="116"/>
      <c r="J162" s="216"/>
      <c r="K162" s="115"/>
      <c r="L162" s="116"/>
      <c r="M162" s="116"/>
      <c r="N162" s="116"/>
      <c r="O162" s="216"/>
      <c r="P162" s="115"/>
      <c r="Q162" s="116"/>
      <c r="R162" s="116"/>
      <c r="S162" s="116"/>
      <c r="T162" s="216"/>
      <c r="U162" s="115"/>
      <c r="V162" s="116"/>
      <c r="W162" s="116"/>
      <c r="X162" s="116"/>
      <c r="Y162" s="216"/>
      <c r="Z162" s="115"/>
      <c r="AA162" s="116"/>
      <c r="AB162" s="116"/>
      <c r="AC162" s="116"/>
      <c r="AD162" s="216"/>
      <c r="AE162" s="115"/>
      <c r="AF162" s="116"/>
      <c r="AG162" s="116"/>
      <c r="AH162" s="116"/>
      <c r="AI162" s="216"/>
      <c r="AJ162" s="115"/>
      <c r="AK162" s="116"/>
      <c r="AL162" s="116"/>
      <c r="AM162" s="116"/>
      <c r="AN162" s="216"/>
      <c r="AO162" s="115"/>
      <c r="AP162" s="116"/>
      <c r="AQ162" s="116"/>
      <c r="AR162" s="116"/>
      <c r="AS162" s="216"/>
      <c r="AT162" s="115"/>
      <c r="AU162" s="116"/>
      <c r="AV162" s="116"/>
      <c r="AW162" s="116"/>
      <c r="AX162" s="216"/>
      <c r="AY162" s="115"/>
      <c r="AZ162" s="116"/>
      <c r="BA162" s="116"/>
      <c r="BB162" s="116"/>
      <c r="BC162" s="216"/>
      <c r="BD162" s="115"/>
      <c r="BE162" s="116"/>
      <c r="BF162" s="116"/>
      <c r="BG162" s="116"/>
      <c r="BH162" s="216"/>
      <c r="BI162" s="115"/>
      <c r="BJ162" s="116"/>
      <c r="BK162" s="116"/>
      <c r="BL162" s="116"/>
      <c r="BM162" s="216"/>
      <c r="BN162" s="115"/>
      <c r="BO162" s="116"/>
      <c r="BP162" s="116"/>
      <c r="BQ162" s="116"/>
      <c r="BR162" s="216"/>
      <c r="BS162" s="115"/>
      <c r="BT162" s="116"/>
      <c r="BU162" s="116"/>
      <c r="BV162" s="116"/>
      <c r="BW162" s="216"/>
      <c r="BX162" s="115"/>
      <c r="BY162" s="116">
        <f t="shared" ref="BY162:DD162" si="591">BY160/(BY43/1000)</f>
        <v>1.4284444444444444</v>
      </c>
      <c r="BZ162" s="116">
        <f t="shared" si="591"/>
        <v>1.3051319957761351</v>
      </c>
      <c r="CA162" s="116">
        <f t="shared" si="591"/>
        <v>1.2789006342494715</v>
      </c>
      <c r="CB162" s="216">
        <f t="shared" si="591"/>
        <v>1.3603470031545741</v>
      </c>
      <c r="CC162" s="115">
        <f t="shared" si="591"/>
        <v>1.3421714743589745</v>
      </c>
      <c r="CD162" s="116">
        <f t="shared" si="591"/>
        <v>1.4104338624338624</v>
      </c>
      <c r="CE162" s="116">
        <f t="shared" si="591"/>
        <v>1.3009416581371545</v>
      </c>
      <c r="CF162" s="116">
        <f t="shared" si="591"/>
        <v>1.2942247658688866</v>
      </c>
      <c r="CG162" s="216">
        <f t="shared" si="591"/>
        <v>1.3455753138075315</v>
      </c>
      <c r="CH162" s="115">
        <f t="shared" si="591"/>
        <v>1.3373274290179737</v>
      </c>
      <c r="CI162" s="116">
        <f t="shared" si="591"/>
        <v>1.4212926577042397</v>
      </c>
      <c r="CJ162" s="116">
        <f t="shared" si="591"/>
        <v>1.3123248730964467</v>
      </c>
      <c r="CK162" s="116">
        <f t="shared" si="591"/>
        <v>1.2932604166666668</v>
      </c>
      <c r="CL162" s="216">
        <f t="shared" si="591"/>
        <v>1.3785237068965519</v>
      </c>
      <c r="CM162" s="115">
        <f t="shared" si="591"/>
        <v>1.3509973958333334</v>
      </c>
      <c r="CN162" s="116">
        <f t="shared" si="591"/>
        <v>1.4306298342541437</v>
      </c>
      <c r="CO162" s="116">
        <f t="shared" si="591"/>
        <v>1.3276296296296297</v>
      </c>
      <c r="CP162" s="116">
        <f t="shared" si="591"/>
        <v>1.2900218579234974</v>
      </c>
      <c r="CQ162" s="216">
        <f t="shared" si="591"/>
        <v>1.3865850945494993</v>
      </c>
      <c r="CR162" s="115">
        <f t="shared" si="591"/>
        <v>1.3581441048034937</v>
      </c>
      <c r="CS162" s="116">
        <f t="shared" si="591"/>
        <v>1.4446947835738071</v>
      </c>
      <c r="CT162" s="116">
        <f t="shared" si="591"/>
        <v>1.3120042643923242</v>
      </c>
      <c r="CU162" s="116">
        <f t="shared" si="591"/>
        <v>1.2824945533769063</v>
      </c>
      <c r="CV162" s="216">
        <f t="shared" si="591"/>
        <v>1.3363952095808382</v>
      </c>
      <c r="CW162" s="115">
        <f t="shared" si="591"/>
        <v>1.3434159242761694</v>
      </c>
      <c r="CX162" s="116">
        <f t="shared" si="591"/>
        <v>1.4201078167115901</v>
      </c>
      <c r="CY162" s="116">
        <f t="shared" si="591"/>
        <v>1.283276595744681</v>
      </c>
      <c r="CZ162" s="190">
        <f t="shared" si="591"/>
        <v>1.2405352480417757</v>
      </c>
      <c r="DA162" s="116">
        <f t="shared" si="591"/>
        <v>1.2902664974619289</v>
      </c>
      <c r="DB162" s="115">
        <f t="shared" si="591"/>
        <v>1.3080339886704433</v>
      </c>
      <c r="DC162" s="116">
        <f t="shared" si="591"/>
        <v>1.3684014869888477</v>
      </c>
      <c r="DD162" s="116">
        <f t="shared" si="591"/>
        <v>1.2216399082568807</v>
      </c>
      <c r="DE162" s="116">
        <f t="shared" ref="DE162:EN162" si="592">DE160/(DE43/1000)</f>
        <v>1.2463521288837744</v>
      </c>
      <c r="DF162" s="116">
        <f t="shared" si="592"/>
        <v>1.3422196261682244</v>
      </c>
      <c r="DG162" s="115">
        <f t="shared" si="592"/>
        <v>1.2930640423031727</v>
      </c>
      <c r="DH162" s="116">
        <f t="shared" si="592"/>
        <v>1.3905119453924915</v>
      </c>
      <c r="DI162" s="116">
        <f t="shared" si="592"/>
        <v>1.2885667034178612</v>
      </c>
      <c r="DJ162" s="116">
        <f t="shared" si="592"/>
        <v>1.2721104972375692</v>
      </c>
      <c r="DK162" s="116">
        <f t="shared" si="592"/>
        <v>1.3207836644591613</v>
      </c>
      <c r="DL162" s="115">
        <f t="shared" si="592"/>
        <v>1.3174534334167363</v>
      </c>
      <c r="DM162" s="116">
        <f t="shared" si="592"/>
        <v>1.3831293302540417</v>
      </c>
      <c r="DN162" s="116">
        <f t="shared" si="592"/>
        <v>1.2728364849833147</v>
      </c>
      <c r="DO162" s="116">
        <f t="shared" si="592"/>
        <v>1.2733940774487471</v>
      </c>
      <c r="DP162" s="116">
        <f t="shared" si="592"/>
        <v>1.2729999999999999</v>
      </c>
      <c r="DQ162" s="115">
        <f t="shared" si="592"/>
        <v>1.3000509482026605</v>
      </c>
      <c r="DR162" s="116">
        <f t="shared" si="592"/>
        <v>1.3585049833887044</v>
      </c>
      <c r="DS162" s="116">
        <f t="shared" si="592"/>
        <v>1.267634989200864</v>
      </c>
      <c r="DT162" s="116">
        <f t="shared" si="592"/>
        <v>1.242962962962963</v>
      </c>
      <c r="DU162" s="116">
        <f t="shared" si="592"/>
        <v>1.3063208556149732</v>
      </c>
      <c r="DV162" s="115">
        <f t="shared" si="592"/>
        <v>1.2935931558935361</v>
      </c>
      <c r="DW162" s="116">
        <f t="shared" si="592"/>
        <v>1.4134753363228698</v>
      </c>
      <c r="DX162" s="116">
        <f t="shared" si="592"/>
        <v>1.2225224327018944</v>
      </c>
      <c r="DY162" s="116">
        <f t="shared" si="592"/>
        <v>1.1909999999999998</v>
      </c>
      <c r="DZ162" s="116">
        <f t="shared" si="592"/>
        <v>1.2747474747474747</v>
      </c>
      <c r="EA162" s="115">
        <f t="shared" si="592"/>
        <v>1.2715598455598456</v>
      </c>
      <c r="EB162" s="116">
        <f t="shared" si="592"/>
        <v>1.3518837459634014</v>
      </c>
      <c r="EC162" s="116">
        <f t="shared" si="592"/>
        <v>1.220534813319879</v>
      </c>
      <c r="ED162" s="116">
        <f t="shared" si="592"/>
        <v>1.1992182741116753</v>
      </c>
      <c r="EE162" s="116">
        <f t="shared" si="592"/>
        <v>1.2997550585729498</v>
      </c>
      <c r="EF162" s="115">
        <f t="shared" si="592"/>
        <v>1.266168054110302</v>
      </c>
      <c r="EG162" s="116">
        <f t="shared" si="592"/>
        <v>1.333159645232816</v>
      </c>
      <c r="EH162" s="116">
        <f t="shared" si="592"/>
        <v>1.2319114470842334</v>
      </c>
      <c r="EI162" s="116">
        <f t="shared" si="592"/>
        <v>1.2032409381663114</v>
      </c>
      <c r="EJ162" s="2090">
        <f t="shared" si="592"/>
        <v>1.2306002143622723</v>
      </c>
      <c r="EK162" s="2091">
        <f t="shared" si="592"/>
        <v>1.2489997296566642</v>
      </c>
      <c r="EL162" s="2090">
        <f t="shared" si="592"/>
        <v>1.2623678646934462</v>
      </c>
      <c r="EM162" s="116">
        <f t="shared" si="592"/>
        <v>1.1536891191709844</v>
      </c>
      <c r="EN162" s="116">
        <f t="shared" si="592"/>
        <v>1.1487784679089026</v>
      </c>
      <c r="EO162" s="2090">
        <f t="shared" ref="EO162:EQ162" si="593">EO160/(EO43/1000)</f>
        <v>1.2118210197710719</v>
      </c>
      <c r="EP162" s="2091">
        <f t="shared" si="593"/>
        <v>1.1937962480458573</v>
      </c>
      <c r="EQ162" s="2090">
        <f t="shared" si="593"/>
        <v>1.275735294117647</v>
      </c>
      <c r="ER162" s="2090">
        <f>EM162*(1+ER163)</f>
        <v>1.170994455958549</v>
      </c>
      <c r="ES162" s="2090">
        <f>EN162*(1+ES163)</f>
        <v>1.1372906832298135</v>
      </c>
      <c r="ET162" s="2090">
        <f>EO162*(1+ET163)</f>
        <v>1.1875845993756504</v>
      </c>
      <c r="EU162" s="2092">
        <f>EU160/(EU43/1000)</f>
        <v>1.1921155088504538</v>
      </c>
      <c r="EV162" s="116"/>
      <c r="EW162" s="116"/>
      <c r="EX162" s="116"/>
      <c r="EY162" s="116"/>
      <c r="EZ162" s="865">
        <f>EU162*(1+EZ163)</f>
        <v>1.1861549313062016</v>
      </c>
      <c r="FA162" s="116"/>
      <c r="FB162" s="116"/>
      <c r="FC162" s="116"/>
      <c r="FD162" s="116"/>
      <c r="FE162" s="865">
        <f>EZ162*(1+FE163)</f>
        <v>1.1802241566496707</v>
      </c>
      <c r="FF162" s="789"/>
      <c r="FG162" s="656"/>
      <c r="FH162" s="1072"/>
      <c r="FI162" s="1072"/>
      <c r="FJ162" s="1072"/>
      <c r="FK162" s="1072"/>
      <c r="FL162" s="1830"/>
      <c r="FM162" s="116">
        <f t="shared" si="500"/>
        <v>1.275735294117647</v>
      </c>
      <c r="FN162" s="116">
        <f t="shared" si="501"/>
        <v>1.2623678646934462</v>
      </c>
      <c r="FO162" s="116">
        <v>1.2560560253699791</v>
      </c>
      <c r="FP162" s="1874">
        <f>IFERROR(($FM162/FN162)-1,"")</f>
        <v>1.0589171190164004E-2</v>
      </c>
      <c r="FQ162" s="1874">
        <f>IFERROR(($FM162/FO162)-1,"")</f>
        <v>1.5667508733833158E-2</v>
      </c>
      <c r="FR162" s="583"/>
      <c r="FS162" s="586"/>
      <c r="FT162" s="586"/>
      <c r="FU162" s="586"/>
      <c r="FV162" s="586"/>
      <c r="FW162" s="586"/>
      <c r="FX162" s="586"/>
      <c r="FY162" s="586"/>
      <c r="FZ162" s="586"/>
      <c r="GA162" s="656"/>
      <c r="GB162"/>
      <c r="GC162"/>
      <c r="GD162"/>
      <c r="GE162"/>
      <c r="GF162"/>
      <c r="GG162"/>
      <c r="GH162" s="977"/>
      <c r="GI162" s="977"/>
      <c r="GJ162" s="977"/>
      <c r="GK162" s="977"/>
      <c r="GL162" s="977"/>
      <c r="GM162" s="977"/>
      <c r="GN162" s="977"/>
      <c r="GO162" s="977"/>
      <c r="GP162" s="977"/>
      <c r="GQ162" s="977"/>
      <c r="GR162" s="977"/>
      <c r="GS162" s="977"/>
      <c r="GT162" s="977"/>
      <c r="GU162" s="977"/>
      <c r="GV162" s="977"/>
      <c r="GW162" s="977"/>
      <c r="GX162" s="977"/>
      <c r="GY162" s="977"/>
      <c r="GZ162" s="977"/>
      <c r="HA162" s="977"/>
      <c r="HB162" s="977"/>
      <c r="HC162" s="977"/>
      <c r="HD162" s="977"/>
      <c r="HE162" s="977"/>
      <c r="HF162" s="977"/>
      <c r="HG162" s="977"/>
      <c r="HH162" s="977"/>
      <c r="HI162" s="977"/>
      <c r="HJ162" s="977"/>
      <c r="HK162" s="977"/>
      <c r="HL162" s="977"/>
      <c r="HM162" s="977"/>
      <c r="HN162" s="977"/>
      <c r="HO162" s="977"/>
      <c r="HP162" s="977"/>
      <c r="HQ162" s="977"/>
      <c r="HR162" s="977"/>
      <c r="HS162" s="977"/>
      <c r="HT162" s="977"/>
      <c r="HU162" s="977"/>
      <c r="HV162" s="977"/>
      <c r="HW162" s="977"/>
      <c r="HX162" s="977"/>
      <c r="HY162" s="977"/>
      <c r="HZ162" s="977"/>
      <c r="IA162" s="977"/>
      <c r="IB162" s="977"/>
      <c r="IC162" s="977"/>
      <c r="ID162" s="977"/>
      <c r="IE162" s="977"/>
      <c r="IF162" s="977"/>
      <c r="IG162" s="977"/>
      <c r="IH162" s="977"/>
      <c r="II162" s="977"/>
      <c r="IJ162" s="977"/>
      <c r="IK162" s="977"/>
      <c r="IL162" s="977"/>
      <c r="IM162" s="977"/>
      <c r="IN162" s="977"/>
      <c r="IO162" s="977"/>
      <c r="IP162" s="977"/>
      <c r="IQ162" s="977"/>
      <c r="IR162" s="977"/>
      <c r="IS162" s="977"/>
      <c r="IT162" s="977"/>
      <c r="IU162" s="977"/>
      <c r="IV162" s="977"/>
    </row>
    <row r="163" spans="1:256" s="56" customFormat="1" ht="12.75" x14ac:dyDescent="0.2">
      <c r="A163" s="397" t="s">
        <v>74</v>
      </c>
      <c r="B163" s="22"/>
      <c r="C163" s="22"/>
      <c r="D163" s="22"/>
      <c r="E163" s="197"/>
      <c r="F163" s="21"/>
      <c r="G163" s="22"/>
      <c r="H163" s="22"/>
      <c r="I163" s="22"/>
      <c r="J163" s="197"/>
      <c r="K163" s="21"/>
      <c r="L163" s="22"/>
      <c r="M163" s="22"/>
      <c r="N163" s="22"/>
      <c r="O163" s="197"/>
      <c r="P163" s="21"/>
      <c r="Q163" s="22"/>
      <c r="R163" s="22"/>
      <c r="S163" s="22"/>
      <c r="T163" s="197"/>
      <c r="U163" s="21"/>
      <c r="V163" s="22"/>
      <c r="W163" s="22"/>
      <c r="X163" s="22"/>
      <c r="Y163" s="197"/>
      <c r="Z163" s="21"/>
      <c r="AA163" s="22"/>
      <c r="AB163" s="22"/>
      <c r="AC163" s="22"/>
      <c r="AD163" s="197"/>
      <c r="AE163" s="21"/>
      <c r="AF163" s="22"/>
      <c r="AG163" s="22"/>
      <c r="AH163" s="22"/>
      <c r="AI163" s="197"/>
      <c r="AJ163" s="21"/>
      <c r="AK163" s="22"/>
      <c r="AL163" s="22"/>
      <c r="AM163" s="22"/>
      <c r="AN163" s="197"/>
      <c r="AO163" s="21"/>
      <c r="AP163" s="22"/>
      <c r="AQ163" s="22"/>
      <c r="AR163" s="22"/>
      <c r="AS163" s="197"/>
      <c r="AT163" s="21"/>
      <c r="AU163" s="22"/>
      <c r="AV163" s="22"/>
      <c r="AW163" s="22"/>
      <c r="AX163" s="197"/>
      <c r="AY163" s="21"/>
      <c r="AZ163" s="22"/>
      <c r="BA163" s="22"/>
      <c r="BB163" s="22"/>
      <c r="BC163" s="197"/>
      <c r="BD163" s="21"/>
      <c r="BE163" s="22"/>
      <c r="BF163" s="22"/>
      <c r="BG163" s="22"/>
      <c r="BH163" s="197"/>
      <c r="BI163" s="21"/>
      <c r="BJ163" s="22"/>
      <c r="BK163" s="22"/>
      <c r="BL163" s="22"/>
      <c r="BM163" s="197"/>
      <c r="BN163" s="21"/>
      <c r="BO163" s="22"/>
      <c r="BP163" s="22"/>
      <c r="BQ163" s="22"/>
      <c r="BR163" s="197"/>
      <c r="BS163" s="21"/>
      <c r="BT163" s="22"/>
      <c r="BU163" s="22"/>
      <c r="BV163" s="22"/>
      <c r="BW163" s="197"/>
      <c r="BX163" s="21"/>
      <c r="BY163" s="22"/>
      <c r="BZ163" s="22"/>
      <c r="CA163" s="22"/>
      <c r="CB163" s="197"/>
      <c r="CC163" s="21"/>
      <c r="CD163" s="22">
        <f t="shared" ref="CD163:DU163" si="594">CD162/BY162-1</f>
        <v>-1.2608528165466537E-2</v>
      </c>
      <c r="CE163" s="22">
        <f t="shared" si="594"/>
        <v>-3.210661950317717E-3</v>
      </c>
      <c r="CF163" s="22">
        <f t="shared" si="594"/>
        <v>1.1982269152918334E-2</v>
      </c>
      <c r="CG163" s="197">
        <f t="shared" si="594"/>
        <v>-1.0858765677277837E-2</v>
      </c>
      <c r="CH163" s="21">
        <f t="shared" si="594"/>
        <v>-3.6091106341791246E-3</v>
      </c>
      <c r="CI163" s="22">
        <f t="shared" si="594"/>
        <v>7.6989042588919698E-3</v>
      </c>
      <c r="CJ163" s="22">
        <f t="shared" si="594"/>
        <v>8.7499811295090879E-3</v>
      </c>
      <c r="CK163" s="22">
        <f t="shared" si="594"/>
        <v>-7.4511725293124886E-4</v>
      </c>
      <c r="CL163" s="197">
        <f t="shared" si="594"/>
        <v>2.4486472626929601E-2</v>
      </c>
      <c r="CM163" s="21">
        <f t="shared" si="594"/>
        <v>1.0221854811874875E-2</v>
      </c>
      <c r="CN163" s="22">
        <f t="shared" si="594"/>
        <v>6.5694960846318651E-3</v>
      </c>
      <c r="CO163" s="22">
        <f t="shared" si="594"/>
        <v>1.1662322986434992E-2</v>
      </c>
      <c r="CP163" s="22">
        <f t="shared" si="594"/>
        <v>-2.5041814482473779E-3</v>
      </c>
      <c r="CQ163" s="197">
        <f t="shared" si="594"/>
        <v>5.8478411452900225E-3</v>
      </c>
      <c r="CR163" s="21">
        <f t="shared" si="594"/>
        <v>5.2899502191503522E-3</v>
      </c>
      <c r="CS163" s="22">
        <f t="shared" si="594"/>
        <v>9.8312987628950133E-3</v>
      </c>
      <c r="CT163" s="22">
        <f t="shared" si="594"/>
        <v>-1.1769370680333902E-2</v>
      </c>
      <c r="CU163" s="22">
        <f t="shared" si="594"/>
        <v>-5.8350209342247217E-3</v>
      </c>
      <c r="CV163" s="197">
        <f t="shared" si="594"/>
        <v>-3.619675789531529E-2</v>
      </c>
      <c r="CW163" s="21">
        <f t="shared" si="594"/>
        <v>-1.0844343008399093E-2</v>
      </c>
      <c r="CX163" s="22">
        <f t="shared" si="594"/>
        <v>-1.7018796732549357E-2</v>
      </c>
      <c r="CY163" s="22">
        <f t="shared" si="594"/>
        <v>-2.1896017739659435E-2</v>
      </c>
      <c r="CZ163" s="22">
        <f t="shared" si="594"/>
        <v>-3.2716946223785959E-2</v>
      </c>
      <c r="DA163" s="22">
        <f>DA162/CV162-1</f>
        <v>-3.4517268386032085E-2</v>
      </c>
      <c r="DB163" s="21">
        <f>DB162/CW162-1</f>
        <v>-2.6337290608483666E-2</v>
      </c>
      <c r="DC163" s="22">
        <f t="shared" si="594"/>
        <v>-3.6410143732941269E-2</v>
      </c>
      <c r="DD163" s="22">
        <f t="shared" si="594"/>
        <v>-4.8030711143790983E-2</v>
      </c>
      <c r="DE163" s="22">
        <f t="shared" si="594"/>
        <v>4.689008918675075E-3</v>
      </c>
      <c r="DF163" s="22">
        <f>DF162/DA162-1</f>
        <v>4.0265424862609533E-2</v>
      </c>
      <c r="DG163" s="21">
        <f>DG162/DB162-1</f>
        <v>-1.1444615733943397E-2</v>
      </c>
      <c r="DH163" s="22">
        <f>DH162/DC162-1</f>
        <v>1.6157873704374381E-2</v>
      </c>
      <c r="DI163" s="22">
        <f t="shared" si="594"/>
        <v>5.4784388352600688E-2</v>
      </c>
      <c r="DJ163" s="22">
        <f t="shared" si="594"/>
        <v>2.0667007145776628E-2</v>
      </c>
      <c r="DK163" s="22">
        <f t="shared" si="594"/>
        <v>-1.597053216265254E-2</v>
      </c>
      <c r="DL163" s="21">
        <f t="shared" si="594"/>
        <v>1.8861703918486405E-2</v>
      </c>
      <c r="DM163" s="22">
        <f t="shared" si="594"/>
        <v>-5.3092784732359233E-3</v>
      </c>
      <c r="DN163" s="22">
        <f t="shared" si="594"/>
        <v>-1.2207531354661572E-2</v>
      </c>
      <c r="DO163" s="22">
        <f t="shared" si="594"/>
        <v>1.0090162874729636E-3</v>
      </c>
      <c r="DP163" s="22">
        <f t="shared" si="594"/>
        <v>-3.6178267300669531E-2</v>
      </c>
      <c r="DQ163" s="21">
        <f t="shared" si="594"/>
        <v>-1.3209184304103561E-2</v>
      </c>
      <c r="DR163" s="22">
        <f t="shared" si="594"/>
        <v>-1.780335817245271E-2</v>
      </c>
      <c r="DS163" s="22">
        <f t="shared" si="594"/>
        <v>-4.0865388789659285E-3</v>
      </c>
      <c r="DT163" s="22">
        <f t="shared" si="594"/>
        <v>-2.3897640977530665E-2</v>
      </c>
      <c r="DU163" s="22">
        <f t="shared" si="594"/>
        <v>2.6175063326766113E-2</v>
      </c>
      <c r="DV163" s="21">
        <f t="shared" ref="DV163:EA163" si="595">DV162/DQ162-1</f>
        <v>-4.9673378709137461E-3</v>
      </c>
      <c r="DW163" s="22">
        <f t="shared" si="595"/>
        <v>4.0463858142828046E-2</v>
      </c>
      <c r="DX163" s="22">
        <f t="shared" si="595"/>
        <v>-3.5587970419946546E-2</v>
      </c>
      <c r="DY163" s="22">
        <f t="shared" si="595"/>
        <v>-4.180572109654368E-2</v>
      </c>
      <c r="DZ163" s="22">
        <f t="shared" si="595"/>
        <v>-2.4169698226730651E-2</v>
      </c>
      <c r="EA163" s="21">
        <f t="shared" si="595"/>
        <v>-1.7032642939789788E-2</v>
      </c>
      <c r="EB163" s="22">
        <f t="shared" ref="EB163:EI163" si="596">EB162/DW162-1</f>
        <v>-4.3574577339069664E-2</v>
      </c>
      <c r="EC163" s="22">
        <f t="shared" si="596"/>
        <v>-1.6258346913295973E-3</v>
      </c>
      <c r="ED163" s="22">
        <f t="shared" si="596"/>
        <v>6.9003141155965508E-3</v>
      </c>
      <c r="EE163" s="22">
        <f t="shared" si="596"/>
        <v>1.9617676693518549E-2</v>
      </c>
      <c r="EF163" s="21">
        <f t="shared" si="596"/>
        <v>-4.2402970401834716E-3</v>
      </c>
      <c r="EG163" s="22">
        <f t="shared" si="596"/>
        <v>-1.3850377879380371E-2</v>
      </c>
      <c r="EH163" s="22">
        <f t="shared" si="596"/>
        <v>9.321023571142284E-3</v>
      </c>
      <c r="EI163" s="22">
        <f t="shared" si="596"/>
        <v>3.3544052333724927E-3</v>
      </c>
      <c r="EJ163" s="1582">
        <f>EJ162/EE162-1</f>
        <v>-5.3206058906672182E-2</v>
      </c>
      <c r="EK163" s="2093">
        <f>EK162/EF162-1</f>
        <v>-1.3559277852497553E-2</v>
      </c>
      <c r="EL163" s="1582">
        <f>EL162/EG162-1</f>
        <v>-5.3100752631172754E-2</v>
      </c>
      <c r="EM163" s="22">
        <f t="shared" ref="EM163:EN163" si="597">EM162/EH162-1</f>
        <v>-6.3496713256777193E-2</v>
      </c>
      <c r="EN163" s="22">
        <f t="shared" si="597"/>
        <v>-4.5263146000008359E-2</v>
      </c>
      <c r="EO163" s="1582">
        <f>EO162/EJ162-1</f>
        <v>-1.5260191223786079E-2</v>
      </c>
      <c r="EP163" s="2093">
        <f>EP162/EK162-1</f>
        <v>-4.4198153370282767E-2</v>
      </c>
      <c r="EQ163" s="1582">
        <f>EQ162/EL162-1</f>
        <v>1.0589171190164004E-2</v>
      </c>
      <c r="ER163" s="1600">
        <v>1.4999999999999999E-2</v>
      </c>
      <c r="ES163" s="1600">
        <v>-0.01</v>
      </c>
      <c r="ET163" s="1600">
        <v>-0.02</v>
      </c>
      <c r="EU163" s="1956">
        <f>EU162/EP162-1</f>
        <v>-1.4078945198183757E-3</v>
      </c>
      <c r="EV163" s="909"/>
      <c r="EW163" s="909"/>
      <c r="EX163" s="909"/>
      <c r="EY163" s="909"/>
      <c r="EZ163" s="834">
        <v>-5.0000000000000001E-3</v>
      </c>
      <c r="FA163" s="909"/>
      <c r="FB163" s="909"/>
      <c r="FC163" s="909"/>
      <c r="FD163" s="909"/>
      <c r="FE163" s="834">
        <v>-5.0000000000000001E-3</v>
      </c>
      <c r="FF163" s="768"/>
      <c r="FG163" s="656"/>
      <c r="FH163" s="1038"/>
      <c r="FI163" s="1038"/>
      <c r="FJ163" s="1038"/>
      <c r="FK163" s="1038"/>
      <c r="FL163" s="1813"/>
      <c r="FM163" s="22">
        <f t="shared" si="500"/>
        <v>1.0589171190164004E-2</v>
      </c>
      <c r="FN163" s="22">
        <f t="shared" si="501"/>
        <v>-5.3100752631172754E-2</v>
      </c>
      <c r="FO163" s="97">
        <v>-5.0000000000000001E-3</v>
      </c>
      <c r="FP163" s="1892">
        <f>IFERROR(($FM163-FN163)*10000,"")</f>
        <v>636.89923821336754</v>
      </c>
      <c r="FQ163" s="1892">
        <f>IFERROR(($FM163-FO163)*10000,"")</f>
        <v>155.89171190164004</v>
      </c>
      <c r="FR163" s="1426"/>
      <c r="FS163" s="575"/>
      <c r="FT163" s="575"/>
      <c r="FU163" s="575"/>
      <c r="FV163" s="575"/>
      <c r="FW163" s="575"/>
      <c r="FX163" s="575"/>
      <c r="FY163" s="575"/>
      <c r="FZ163" s="575"/>
      <c r="GA163" s="656"/>
      <c r="GB163"/>
      <c r="GC163"/>
      <c r="GD163"/>
      <c r="GE163"/>
      <c r="GF163"/>
      <c r="GG163"/>
      <c r="GH163" s="964"/>
      <c r="GI163" s="964"/>
      <c r="GJ163" s="964"/>
      <c r="GK163" s="964"/>
      <c r="GL163" s="964"/>
      <c r="GM163" s="964"/>
      <c r="GN163" s="964"/>
      <c r="GO163" s="964"/>
      <c r="GP163" s="964"/>
      <c r="GQ163" s="964"/>
      <c r="GR163" s="964"/>
      <c r="GS163" s="964"/>
      <c r="GT163" s="964"/>
      <c r="GU163" s="964"/>
      <c r="GV163" s="964"/>
      <c r="GW163" s="964"/>
      <c r="GX163" s="964"/>
      <c r="GY163" s="964"/>
      <c r="GZ163" s="964"/>
      <c r="HA163" s="964"/>
      <c r="HB163" s="964"/>
      <c r="HC163" s="964"/>
      <c r="HD163" s="964"/>
      <c r="HE163" s="964"/>
      <c r="HF163" s="964"/>
      <c r="HG163" s="964"/>
      <c r="HH163" s="964"/>
      <c r="HI163" s="964"/>
      <c r="HJ163" s="964"/>
      <c r="HK163" s="964"/>
      <c r="HL163" s="964"/>
      <c r="HM163" s="964"/>
      <c r="HN163" s="964"/>
      <c r="HO163" s="964"/>
      <c r="HP163" s="964"/>
      <c r="HQ163" s="964"/>
      <c r="HR163" s="964"/>
      <c r="HS163" s="964"/>
      <c r="HT163" s="964"/>
      <c r="HU163" s="964"/>
      <c r="HV163" s="964"/>
      <c r="HW163" s="964"/>
      <c r="HX163" s="964"/>
      <c r="HY163" s="964"/>
      <c r="HZ163" s="964"/>
      <c r="IA163" s="964"/>
      <c r="IB163" s="964"/>
      <c r="IC163" s="964"/>
      <c r="ID163" s="964"/>
      <c r="IE163" s="964"/>
      <c r="IF163" s="964"/>
      <c r="IG163" s="964"/>
      <c r="IH163" s="964"/>
      <c r="II163" s="964"/>
      <c r="IJ163" s="964"/>
      <c r="IK163" s="964"/>
      <c r="IL163" s="964"/>
      <c r="IM163" s="964"/>
      <c r="IN163" s="964"/>
      <c r="IO163" s="964"/>
      <c r="IP163" s="964"/>
      <c r="IQ163" s="964"/>
      <c r="IR163" s="964"/>
      <c r="IS163" s="964"/>
      <c r="IT163" s="964"/>
      <c r="IU163" s="964"/>
      <c r="IV163" s="964"/>
    </row>
    <row r="164" spans="1:256" s="458" customFormat="1" ht="12.75" x14ac:dyDescent="0.2">
      <c r="A164" s="397" t="s">
        <v>13</v>
      </c>
      <c r="F164" s="462"/>
      <c r="K164" s="462"/>
      <c r="P164" s="462"/>
      <c r="U164" s="462"/>
      <c r="Z164" s="462"/>
      <c r="AE164" s="462"/>
      <c r="AJ164" s="462"/>
      <c r="AO164" s="462"/>
      <c r="AT164" s="462"/>
      <c r="AY164" s="462"/>
      <c r="BD164" s="462"/>
      <c r="BI164" s="462"/>
      <c r="BN164" s="462"/>
      <c r="BS164" s="462"/>
      <c r="BX164" s="462"/>
      <c r="BZ164" s="458">
        <f>BZ162/BY162-1</f>
        <v>-8.6326387524485293E-2</v>
      </c>
      <c r="CA164" s="458">
        <f>CA162/BZ162-1</f>
        <v>-2.0098627274143577E-2</v>
      </c>
      <c r="CB164" s="458">
        <f>CB162/CA162-1</f>
        <v>6.3684673166887418E-2</v>
      </c>
      <c r="CC164" s="462"/>
      <c r="CD164" s="458">
        <f>CD162/CB162-1</f>
        <v>3.6819178608942682E-2</v>
      </c>
      <c r="CE164" s="458">
        <f>CE162/CD162-1</f>
        <v>-7.7630158501559743E-2</v>
      </c>
      <c r="CF164" s="458">
        <f>CF162/CE162-1</f>
        <v>-5.1631003021964661E-3</v>
      </c>
      <c r="CG164" s="458">
        <f>CG162/CF162-1</f>
        <v>3.9676684678623397E-2</v>
      </c>
      <c r="CH164" s="462"/>
      <c r="CI164" s="458">
        <f>CI162/CG162-1</f>
        <v>5.6271353316116768E-2</v>
      </c>
      <c r="CJ164" s="458">
        <f>CJ162/CI162-1</f>
        <v>-7.6668083815900734E-2</v>
      </c>
      <c r="CK164" s="458">
        <f>CK162/CJ162-1</f>
        <v>-1.4527238506725215E-2</v>
      </c>
      <c r="CL164" s="458">
        <f>CL162/CK162-1</f>
        <v>6.5928941403501806E-2</v>
      </c>
      <c r="CM164" s="462"/>
      <c r="CN164" s="458">
        <f>CN162/CL162-1</f>
        <v>3.779849929088086E-2</v>
      </c>
      <c r="CO164" s="458">
        <f>CO162/CN162-1</f>
        <v>-7.1996404771058731E-2</v>
      </c>
      <c r="CP164" s="458">
        <f>CP162/CO162-1</f>
        <v>-2.8327005413869677E-2</v>
      </c>
      <c r="CQ164" s="458">
        <f>CQ162/CP162-1</f>
        <v>7.4853953855817723E-2</v>
      </c>
      <c r="CR164" s="462"/>
      <c r="CS164" s="458">
        <f>CS162/CQ162-1</f>
        <v>4.1908491049507113E-2</v>
      </c>
      <c r="CT164" s="458">
        <f>CT162/CS162-1</f>
        <v>-9.1846749008977713E-2</v>
      </c>
      <c r="CU164" s="458">
        <f>CU162/CT162-1</f>
        <v>-2.2492084680140745E-2</v>
      </c>
      <c r="CV164" s="458">
        <f>CV162/CU162-1</f>
        <v>4.2027980596102577E-2</v>
      </c>
      <c r="CW164" s="462"/>
      <c r="CX164" s="458">
        <f>CX162/CV162-1</f>
        <v>6.2640607008018545E-2</v>
      </c>
      <c r="CY164" s="458">
        <f>CY162/CX162-1</f>
        <v>-9.6352698968840467E-2</v>
      </c>
      <c r="CZ164" s="458">
        <f>CZ162/CY162-1</f>
        <v>-3.3306418775683078E-2</v>
      </c>
      <c r="DA164" s="458">
        <f>DA162/CZ162-1</f>
        <v>4.0088542021402107E-2</v>
      </c>
      <c r="DB164" s="462"/>
      <c r="DC164" s="458">
        <f>DC162/DA162-1</f>
        <v>6.0557248971911948E-2</v>
      </c>
      <c r="DD164" s="458">
        <f>DD162/DC162-1</f>
        <v>-0.10725037945911198</v>
      </c>
      <c r="DE164" s="458">
        <f>DE162/DD162-1</f>
        <v>2.0228727352362696E-2</v>
      </c>
      <c r="DF164" s="458">
        <f>DF162/DE162-1</f>
        <v>7.6918468755943215E-2</v>
      </c>
      <c r="DG164" s="462"/>
      <c r="DH164" s="458">
        <f>DH162/DF162-1</f>
        <v>3.5979446495006284E-2</v>
      </c>
      <c r="DI164" s="458">
        <f>DI162/DH162-1</f>
        <v>-7.3314898381441007E-2</v>
      </c>
      <c r="DJ164" s="458">
        <f>DJ162/DI162-1</f>
        <v>-1.2770938544852006E-2</v>
      </c>
      <c r="DK164" s="458">
        <f>DK162/DJ162-1</f>
        <v>3.826174481484701E-2</v>
      </c>
      <c r="DL164" s="462"/>
      <c r="DM164" s="458">
        <f>DM162/DK162-1</f>
        <v>4.7203540952643452E-2</v>
      </c>
      <c r="DN164" s="458">
        <f>DN162/DM162-1</f>
        <v>-7.9741527316515959E-2</v>
      </c>
      <c r="DO164" s="458">
        <f>DO162/DN162-1</f>
        <v>4.3807077500579439E-4</v>
      </c>
      <c r="DP164" s="458">
        <f>DP162/DO162-1</f>
        <v>-3.0947014418092333E-4</v>
      </c>
      <c r="DQ164" s="462"/>
      <c r="DR164" s="458">
        <f>DR162/DP162-1</f>
        <v>6.7168093785313854E-2</v>
      </c>
      <c r="DS164" s="458">
        <f>DS162/DR162-1</f>
        <v>-6.6889702503093451E-2</v>
      </c>
      <c r="DT164" s="458">
        <f>DT162/DS162-1</f>
        <v>-1.9463036637584974E-2</v>
      </c>
      <c r="DU164" s="458">
        <f>DU162/DT162-1</f>
        <v>5.0973274779626765E-2</v>
      </c>
      <c r="DV164" s="462"/>
      <c r="DW164" s="458">
        <f>DW162/DU162-1</f>
        <v>8.2027688869325877E-2</v>
      </c>
      <c r="DX164" s="458">
        <f>DX162/DW162-1</f>
        <v>-0.13509461305333836</v>
      </c>
      <c r="DY164" s="458">
        <f>DY162/DX162-1</f>
        <v>-2.5784747877572234E-2</v>
      </c>
      <c r="DZ164" s="458">
        <f>DZ162/DY162-1</f>
        <v>7.0316939334571726E-2</v>
      </c>
      <c r="EA164" s="462"/>
      <c r="EB164" s="458">
        <f>EB162/DZ162-1</f>
        <v>6.05110210014006E-2</v>
      </c>
      <c r="EC164" s="458">
        <f>EC162/EB162-1</f>
        <v>-9.7159931862275895E-2</v>
      </c>
      <c r="ED164" s="458">
        <f>ED162/EC162-1</f>
        <v>-1.746491699832986E-2</v>
      </c>
      <c r="EE164" s="458">
        <f>EE162/ED162-1</f>
        <v>8.3835267216677112E-2</v>
      </c>
      <c r="EF164" s="462"/>
      <c r="EG164" s="458">
        <f>EG162/EE162-1</f>
        <v>2.570067832360845E-2</v>
      </c>
      <c r="EH164" s="458">
        <f>EH162/EG162-1</f>
        <v>-7.5946041804244135E-2</v>
      </c>
      <c r="EI164" s="458">
        <f>EI162/EH162-1</f>
        <v>-2.3273189794429827E-2</v>
      </c>
      <c r="EJ164" s="458">
        <f>EJ162/EI162-1</f>
        <v>2.2737986489767659E-2</v>
      </c>
      <c r="EK164" s="462"/>
      <c r="EL164" s="458">
        <f>EL162/EJ162-1</f>
        <v>2.5814760927566294E-2</v>
      </c>
      <c r="EM164" s="458">
        <f>EM162/EL162-1</f>
        <v>-8.6091185114929525E-2</v>
      </c>
      <c r="EN164" s="458">
        <f>EN162/EM162-1</f>
        <v>-4.2564770530301166E-3</v>
      </c>
      <c r="EO164" s="458">
        <f>EO162/EN162-1</f>
        <v>5.4877901721925859E-2</v>
      </c>
      <c r="EP164" s="462"/>
      <c r="EQ164" s="458">
        <f>EQ162/EO162-1</f>
        <v>5.2742338434308866E-2</v>
      </c>
      <c r="ER164" s="458">
        <f>ER162/EQ162-1</f>
        <v>-8.2102328470532115E-2</v>
      </c>
      <c r="ES164" s="458">
        <f>ES162/ER162-1</f>
        <v>-2.8782179588669687E-2</v>
      </c>
      <c r="ET164" s="458">
        <f>ET162/ES162-1</f>
        <v>4.4222569381300314E-2</v>
      </c>
      <c r="EU164" s="1932"/>
      <c r="EZ164" s="940"/>
      <c r="FE164" s="940"/>
      <c r="FF164" s="740"/>
      <c r="FG164" s="656"/>
      <c r="FH164" s="1088">
        <f>AVERAGE(CI164,CN164,CS164,CX164,DC164,DH164,DM164,DR164,DW164,EB164,EG164,EL164,EQ164)</f>
        <v>5.0486443725046841E-2</v>
      </c>
      <c r="FI164" s="1088">
        <f>AVERAGE(CJ164,CO164,CT164,CY164,DD164,DI164,DN164,DS164,DX164,EC164,EH164,EM164)</f>
        <v>-8.8196018004977339E-2</v>
      </c>
      <c r="FJ164" s="1088">
        <f>AVERAGE(CK164,CP164,CU164,CZ164,DE164,DJ164,DO164,DT164,DY164,ED164,EI164,EN164)</f>
        <v>-1.5083271346237437E-2</v>
      </c>
      <c r="FK164" s="1088">
        <f>AVERAGE(CL164,CQ164,CV164,DA164,DF164,DK164,DP164,DU164,DZ164,EE164,EJ164,EO164)</f>
        <v>5.1709294237166886E-2</v>
      </c>
      <c r="FL164" s="1795"/>
      <c r="FM164" s="458">
        <f t="shared" si="500"/>
        <v>5.2742338434308866E-2</v>
      </c>
      <c r="FN164" s="458">
        <f t="shared" si="501"/>
        <v>2.5814760927566294E-2</v>
      </c>
      <c r="FO164" s="2040">
        <v>3.6502919884376706E-2</v>
      </c>
      <c r="FP164" s="1888">
        <f>IFERROR(($FM164-FN164)*10000,"")</f>
        <v>269.27577506742574</v>
      </c>
      <c r="FQ164" s="1888">
        <f>IFERROR(($FM164-FO164)*10000,"")</f>
        <v>162.39418549932162</v>
      </c>
      <c r="FR164" s="566"/>
      <c r="FS164" s="566"/>
      <c r="FT164" s="566"/>
      <c r="FU164" s="566"/>
      <c r="FV164" s="566"/>
      <c r="FW164" s="566"/>
      <c r="FX164" s="566"/>
      <c r="FY164" s="566"/>
      <c r="FZ164" s="566"/>
      <c r="GA164" s="656"/>
      <c r="GB164"/>
      <c r="GC164"/>
      <c r="GD164"/>
      <c r="GE164"/>
      <c r="GF164"/>
      <c r="GG164"/>
      <c r="GH164" s="913"/>
      <c r="GI164" s="913"/>
      <c r="GJ164" s="913"/>
      <c r="GK164" s="913"/>
      <c r="GL164" s="913"/>
      <c r="GM164" s="913"/>
      <c r="GN164" s="913"/>
      <c r="GO164" s="913"/>
      <c r="GP164" s="913"/>
      <c r="GQ164" s="913"/>
      <c r="GR164" s="913"/>
      <c r="GS164" s="913"/>
      <c r="GT164" s="913"/>
      <c r="GU164" s="913"/>
      <c r="GV164" s="913"/>
      <c r="GW164" s="913"/>
      <c r="GX164" s="913"/>
      <c r="GY164" s="913"/>
      <c r="GZ164" s="913"/>
      <c r="HA164" s="913"/>
      <c r="HB164" s="913"/>
      <c r="HC164" s="913"/>
      <c r="HD164" s="913"/>
      <c r="HE164" s="913"/>
      <c r="HF164" s="913"/>
      <c r="HG164" s="913"/>
      <c r="HH164" s="913"/>
      <c r="HI164" s="913"/>
      <c r="HJ164" s="913"/>
      <c r="HK164" s="913"/>
      <c r="HL164" s="913"/>
      <c r="HM164" s="913"/>
      <c r="HN164" s="913"/>
      <c r="HO164" s="913"/>
      <c r="HP164" s="913"/>
      <c r="HQ164" s="913"/>
      <c r="HR164" s="913"/>
      <c r="HS164" s="913"/>
      <c r="HT164" s="913"/>
      <c r="HU164" s="913"/>
      <c r="HV164" s="913"/>
      <c r="HW164" s="913"/>
      <c r="HX164" s="913"/>
      <c r="HY164" s="913"/>
      <c r="HZ164" s="913"/>
      <c r="IA164" s="913"/>
      <c r="IB164" s="913"/>
      <c r="IC164" s="913"/>
      <c r="ID164" s="913"/>
      <c r="IE164" s="913"/>
      <c r="IF164" s="913"/>
      <c r="IG164" s="913"/>
      <c r="IH164" s="913"/>
      <c r="II164" s="913"/>
      <c r="IJ164" s="913"/>
      <c r="IK164" s="913"/>
      <c r="IL164" s="913"/>
      <c r="IM164" s="913"/>
      <c r="IN164" s="913"/>
      <c r="IO164" s="913"/>
      <c r="IP164" s="913"/>
      <c r="IQ164" s="913"/>
      <c r="IR164" s="913"/>
      <c r="IS164" s="913"/>
      <c r="IT164" s="913"/>
      <c r="IU164" s="913"/>
      <c r="IV164" s="913"/>
    </row>
    <row r="165" spans="1:256" s="49" customFormat="1" ht="12.75" x14ac:dyDescent="0.2">
      <c r="A165" s="906" t="s">
        <v>69</v>
      </c>
      <c r="B165" s="20"/>
      <c r="C165" s="20"/>
      <c r="D165" s="20"/>
      <c r="E165" s="205"/>
      <c r="F165" s="131"/>
      <c r="G165" s="20"/>
      <c r="H165" s="20"/>
      <c r="I165" s="20"/>
      <c r="J165" s="205"/>
      <c r="K165" s="131"/>
      <c r="L165" s="20"/>
      <c r="M165" s="20"/>
      <c r="N165" s="20"/>
      <c r="O165" s="205"/>
      <c r="P165" s="131"/>
      <c r="Q165" s="20"/>
      <c r="R165" s="20"/>
      <c r="S165" s="20"/>
      <c r="T165" s="205"/>
      <c r="U165" s="131"/>
      <c r="V165" s="20"/>
      <c r="W165" s="20"/>
      <c r="X165" s="20"/>
      <c r="Y165" s="205"/>
      <c r="Z165" s="131"/>
      <c r="AA165" s="20"/>
      <c r="AB165" s="20"/>
      <c r="AC165" s="20"/>
      <c r="AD165" s="205"/>
      <c r="AE165" s="131"/>
      <c r="AF165" s="20"/>
      <c r="AG165" s="20"/>
      <c r="AH165" s="20"/>
      <c r="AI165" s="205"/>
      <c r="AJ165" s="131"/>
      <c r="AK165" s="20"/>
      <c r="AL165" s="20"/>
      <c r="AM165" s="20"/>
      <c r="AN165" s="205"/>
      <c r="AO165" s="131"/>
      <c r="AP165" s="20"/>
      <c r="AQ165" s="20"/>
      <c r="AR165" s="20"/>
      <c r="AS165" s="205"/>
      <c r="AT165" s="131"/>
      <c r="AU165" s="20"/>
      <c r="AV165" s="20"/>
      <c r="AW165" s="20"/>
      <c r="AX165" s="205"/>
      <c r="AY165" s="131"/>
      <c r="AZ165" s="20"/>
      <c r="BA165" s="20"/>
      <c r="BB165" s="20"/>
      <c r="BC165" s="205"/>
      <c r="BD165" s="131"/>
      <c r="BE165" s="20"/>
      <c r="BF165" s="20"/>
      <c r="BG165" s="20"/>
      <c r="BH165" s="205"/>
      <c r="BI165" s="131"/>
      <c r="BJ165" s="20"/>
      <c r="BK165" s="20"/>
      <c r="BL165" s="20"/>
      <c r="BM165" s="205"/>
      <c r="BN165" s="131"/>
      <c r="BO165" s="20"/>
      <c r="BP165" s="20"/>
      <c r="BQ165" s="20"/>
      <c r="BR165" s="205"/>
      <c r="BS165" s="131"/>
      <c r="BT165" s="20"/>
      <c r="BU165" s="20"/>
      <c r="BV165" s="20"/>
      <c r="BW165" s="205"/>
      <c r="BX165" s="131"/>
      <c r="BY165" s="20"/>
      <c r="BZ165" s="20"/>
      <c r="CA165" s="20"/>
      <c r="CB165" s="205"/>
      <c r="CC165" s="131"/>
      <c r="CD165" s="20">
        <f t="shared" ref="CD165:DR165" si="598">CD153-(CD156*CD160)</f>
        <v>21.453107999999986</v>
      </c>
      <c r="CE165" s="20">
        <f t="shared" si="598"/>
        <v>20.690746000000019</v>
      </c>
      <c r="CF165" s="20">
        <f t="shared" si="598"/>
        <v>23.19874999999999</v>
      </c>
      <c r="CG165" s="205">
        <f t="shared" si="598"/>
        <v>28.470243000000011</v>
      </c>
      <c r="CH165" s="131">
        <f t="shared" si="598"/>
        <v>93.812847000000033</v>
      </c>
      <c r="CI165" s="20">
        <f t="shared" si="598"/>
        <v>29.102480000000014</v>
      </c>
      <c r="CJ165" s="20">
        <f t="shared" si="598"/>
        <v>30.662304000000006</v>
      </c>
      <c r="CK165" s="20">
        <f t="shared" si="598"/>
        <v>30.879136999999957</v>
      </c>
      <c r="CL165" s="205">
        <f t="shared" si="598"/>
        <v>27.906159000000002</v>
      </c>
      <c r="CM165" s="131">
        <f t="shared" si="598"/>
        <v>118.55007999999998</v>
      </c>
      <c r="CN165" s="20">
        <f t="shared" si="598"/>
        <v>28.674431999999996</v>
      </c>
      <c r="CO165" s="20">
        <f t="shared" si="598"/>
        <v>30.712681000000003</v>
      </c>
      <c r="CP165" s="20">
        <f t="shared" si="598"/>
        <v>31.207191999999964</v>
      </c>
      <c r="CQ165" s="205">
        <f t="shared" si="598"/>
        <v>34.135068000000047</v>
      </c>
      <c r="CR165" s="131">
        <f t="shared" si="598"/>
        <v>124.72937300000012</v>
      </c>
      <c r="CS165" s="20">
        <f t="shared" si="598"/>
        <v>41.094403999999997</v>
      </c>
      <c r="CT165" s="20">
        <f t="shared" si="598"/>
        <v>49.931455999999969</v>
      </c>
      <c r="CU165" s="20">
        <f t="shared" si="598"/>
        <v>51.573995999999966</v>
      </c>
      <c r="CV165" s="205">
        <f t="shared" si="598"/>
        <v>24.620090000000005</v>
      </c>
      <c r="CW165" s="131">
        <f t="shared" si="598"/>
        <v>167.21994599999971</v>
      </c>
      <c r="CX165" s="20">
        <f t="shared" si="598"/>
        <v>12.849036000000012</v>
      </c>
      <c r="CY165" s="20">
        <f t="shared" si="598"/>
        <v>13.222305000000006</v>
      </c>
      <c r="CZ165" s="20">
        <f t="shared" si="598"/>
        <v>16.39379999999997</v>
      </c>
      <c r="DA165" s="20">
        <f t="shared" si="598"/>
        <v>19.280767999999995</v>
      </c>
      <c r="DB165" s="131">
        <f t="shared" si="598"/>
        <v>61.745908999999983</v>
      </c>
      <c r="DC165" s="20">
        <f t="shared" si="598"/>
        <v>18.784099999999995</v>
      </c>
      <c r="DD165" s="20">
        <f t="shared" si="598"/>
        <v>19.166465999999986</v>
      </c>
      <c r="DE165" s="20">
        <f t="shared" si="598"/>
        <v>22.347019999999986</v>
      </c>
      <c r="DF165" s="20">
        <f t="shared" si="598"/>
        <v>25.820335999999998</v>
      </c>
      <c r="DG165" s="131">
        <f t="shared" si="598"/>
        <v>86.117921999999794</v>
      </c>
      <c r="DH165" s="20">
        <f t="shared" si="598"/>
        <v>36.622441999999978</v>
      </c>
      <c r="DI165" s="20">
        <f t="shared" si="598"/>
        <v>31.227765999999974</v>
      </c>
      <c r="DJ165" s="20">
        <f t="shared" si="598"/>
        <v>28.454777999999976</v>
      </c>
      <c r="DK165" s="20">
        <f t="shared" si="598"/>
        <v>30.848070000000007</v>
      </c>
      <c r="DL165" s="131">
        <f t="shared" si="598"/>
        <v>127.15305599999988</v>
      </c>
      <c r="DM165" s="20">
        <f t="shared" si="598"/>
        <v>34.498359999999991</v>
      </c>
      <c r="DN165" s="20">
        <f t="shared" si="598"/>
        <v>29.66622799999999</v>
      </c>
      <c r="DO165" s="20">
        <f t="shared" si="598"/>
        <v>28.941676000000029</v>
      </c>
      <c r="DP165" s="20">
        <f t="shared" si="598"/>
        <v>29.050690000000031</v>
      </c>
      <c r="DQ165" s="131">
        <f t="shared" si="598"/>
        <v>122.15695400000004</v>
      </c>
      <c r="DR165" s="20">
        <f t="shared" si="598"/>
        <v>37.550456999999994</v>
      </c>
      <c r="DS165" s="20">
        <f t="shared" ref="DS165:DX165" si="599">DS153-(DS156*DS160)</f>
        <v>35.681659000000025</v>
      </c>
      <c r="DT165" s="20">
        <f t="shared" si="599"/>
        <v>32.512167999999974</v>
      </c>
      <c r="DU165" s="20">
        <f t="shared" si="599"/>
        <v>34.134179999999958</v>
      </c>
      <c r="DV165" s="131">
        <f t="shared" si="599"/>
        <v>139.87846399999989</v>
      </c>
      <c r="DW165" s="20">
        <f t="shared" si="599"/>
        <v>40.515390000000025</v>
      </c>
      <c r="DX165" s="20">
        <f t="shared" si="599"/>
        <v>35.973954000000049</v>
      </c>
      <c r="DY165" s="20">
        <f t="shared" ref="DY165:ED165" si="600">DY153-(DY156*DY160)</f>
        <v>34.083100000000002</v>
      </c>
      <c r="DZ165" s="20">
        <f t="shared" si="600"/>
        <v>28.849800000000016</v>
      </c>
      <c r="EA165" s="131">
        <f t="shared" si="600"/>
        <v>139.42224400000009</v>
      </c>
      <c r="EB165" s="20">
        <f t="shared" si="600"/>
        <v>34.044710000000009</v>
      </c>
      <c r="EC165" s="20">
        <f t="shared" si="600"/>
        <v>20.952075000000008</v>
      </c>
      <c r="ED165" s="20">
        <f t="shared" si="600"/>
        <v>18.537177999999983</v>
      </c>
      <c r="EE165" s="20">
        <f t="shared" ref="EE165:EK165" si="601">EE153-(EE156*EE160)</f>
        <v>12.149969999999996</v>
      </c>
      <c r="EF165" s="131">
        <f t="shared" si="601"/>
        <v>85.683933000000025</v>
      </c>
      <c r="EG165" s="20">
        <f t="shared" si="601"/>
        <v>9.7493420000000128</v>
      </c>
      <c r="EH165" s="20">
        <f t="shared" si="601"/>
        <v>9.1616249999999866</v>
      </c>
      <c r="EI165" s="20">
        <f t="shared" si="601"/>
        <v>10.349631999999986</v>
      </c>
      <c r="EJ165" s="20">
        <f t="shared" si="601"/>
        <v>9.9515550000000133</v>
      </c>
      <c r="EK165" s="131">
        <f t="shared" si="601"/>
        <v>39.212154000000055</v>
      </c>
      <c r="EL165" s="20">
        <f>EL153-(EL156*EL160)</f>
        <v>11.180200000000013</v>
      </c>
      <c r="EM165" s="947">
        <f t="shared" ref="EM165:EP165" si="602">EM153-(EM156*EM160)</f>
        <v>10.868420999999984</v>
      </c>
      <c r="EN165" s="20">
        <f t="shared" si="602"/>
        <v>9.6805160000000114</v>
      </c>
      <c r="EO165" s="20">
        <f t="shared" si="602"/>
        <v>11.910799999999995</v>
      </c>
      <c r="EP165" s="131">
        <f t="shared" si="602"/>
        <v>43.639937000000032</v>
      </c>
      <c r="EQ165" s="20">
        <f>EQ153-(EQ156*EQ160)</f>
        <v>17.513300000000015</v>
      </c>
      <c r="ER165" s="20">
        <f>((ER156*ER160)*ER166)/(1-ER166)</f>
        <v>14.486172142185383</v>
      </c>
      <c r="ES165" s="20">
        <f>((ES156*ES160)*ES166)/(1-ES166)</f>
        <v>14.159187691515992</v>
      </c>
      <c r="ET165" s="20">
        <f>((ET156*ET160)*ET166)/(1-ET166)</f>
        <v>14.606808039021782</v>
      </c>
      <c r="EU165" s="1978">
        <f>EU153-(EU156*EU160)</f>
        <v>60.765467872723093</v>
      </c>
      <c r="EV165" s="20"/>
      <c r="EW165" s="20"/>
      <c r="EX165" s="20"/>
      <c r="EY165" s="20"/>
      <c r="EZ165" s="941">
        <f>((EZ156*EZ160)*EZ166)/(1-EZ166)</f>
        <v>60.098797189680418</v>
      </c>
      <c r="FA165" s="20"/>
      <c r="FB165" s="20"/>
      <c r="FC165" s="20"/>
      <c r="FD165" s="20"/>
      <c r="FE165" s="941">
        <f>((FE156*FE160)*FE166)/(1-FE166)</f>
        <v>61.075400591080573</v>
      </c>
      <c r="FF165" s="767"/>
      <c r="FG165" s="905"/>
      <c r="FH165" s="1027"/>
      <c r="FI165" s="1027"/>
      <c r="FJ165" s="1027"/>
      <c r="FK165" s="1027"/>
      <c r="FL165" s="1809"/>
      <c r="FM165" s="20">
        <f t="shared" si="500"/>
        <v>17.513300000000015</v>
      </c>
      <c r="FN165" s="20">
        <f t="shared" si="501"/>
        <v>11.180200000000013</v>
      </c>
      <c r="FO165" s="2048">
        <v>13.135184467321768</v>
      </c>
      <c r="FP165" s="16">
        <f>IFERROR(($FM165/FN165)-1,"")</f>
        <v>0.5664567717929907</v>
      </c>
      <c r="FQ165" s="16">
        <f>IFERROR(($FM165/FO165)-1,"")</f>
        <v>0.33331207061235402</v>
      </c>
      <c r="FR165" s="537"/>
      <c r="FS165" s="537"/>
      <c r="FT165" s="537"/>
      <c r="FU165" s="537"/>
      <c r="FV165" s="537"/>
      <c r="FW165" s="537"/>
      <c r="FX165" s="537"/>
      <c r="FY165" s="537"/>
      <c r="FZ165" s="537"/>
      <c r="GA165" s="905"/>
      <c r="GB165"/>
      <c r="GC165"/>
      <c r="GD165"/>
      <c r="GE165"/>
      <c r="GF165"/>
      <c r="GG165"/>
      <c r="GH165" s="963"/>
      <c r="GI165" s="963"/>
      <c r="GJ165" s="963"/>
      <c r="GK165" s="963"/>
      <c r="GL165" s="963"/>
      <c r="GM165" s="963"/>
      <c r="GN165" s="963"/>
      <c r="GO165" s="963"/>
      <c r="GP165" s="963"/>
      <c r="GQ165" s="963"/>
      <c r="GR165" s="963"/>
      <c r="GS165" s="963"/>
      <c r="GT165" s="963"/>
      <c r="GU165" s="963"/>
      <c r="GV165" s="963"/>
      <c r="GW165" s="963"/>
      <c r="GX165" s="963"/>
      <c r="GY165" s="963"/>
      <c r="GZ165" s="963"/>
      <c r="HA165" s="963"/>
      <c r="HB165" s="963"/>
      <c r="HC165" s="963"/>
      <c r="HD165" s="963"/>
      <c r="HE165" s="963"/>
      <c r="HF165" s="963"/>
      <c r="HG165" s="963"/>
      <c r="HH165" s="963"/>
      <c r="HI165" s="963"/>
      <c r="HJ165" s="963"/>
      <c r="HK165" s="963"/>
      <c r="HL165" s="963"/>
      <c r="HM165" s="963"/>
      <c r="HN165" s="963"/>
      <c r="HO165" s="963"/>
      <c r="HP165" s="963"/>
      <c r="HQ165" s="963"/>
      <c r="HR165" s="963"/>
      <c r="HS165" s="963"/>
      <c r="HT165" s="963"/>
      <c r="HU165" s="963"/>
      <c r="HV165" s="963"/>
      <c r="HW165" s="963"/>
      <c r="HX165" s="963"/>
      <c r="HY165" s="963"/>
      <c r="HZ165" s="963"/>
      <c r="IA165" s="963"/>
      <c r="IB165" s="963"/>
      <c r="IC165" s="963"/>
      <c r="ID165" s="963"/>
      <c r="IE165" s="963"/>
      <c r="IF165" s="963"/>
      <c r="IG165" s="963"/>
      <c r="IH165" s="963"/>
      <c r="II165" s="963"/>
      <c r="IJ165" s="963"/>
      <c r="IK165" s="963"/>
      <c r="IL165" s="963"/>
      <c r="IM165" s="963"/>
      <c r="IN165" s="963"/>
      <c r="IO165" s="963"/>
      <c r="IP165" s="963"/>
      <c r="IQ165" s="963"/>
      <c r="IR165" s="963"/>
      <c r="IS165" s="963"/>
      <c r="IT165" s="963"/>
      <c r="IU165" s="963"/>
      <c r="IV165" s="963"/>
    </row>
    <row r="166" spans="1:256" s="56" customFormat="1" ht="12.75" x14ac:dyDescent="0.2">
      <c r="A166" s="397" t="s">
        <v>70</v>
      </c>
      <c r="B166" s="22"/>
      <c r="C166" s="22"/>
      <c r="D166" s="22"/>
      <c r="E166" s="197"/>
      <c r="F166" s="21"/>
      <c r="G166" s="22"/>
      <c r="H166" s="22"/>
      <c r="I166" s="22"/>
      <c r="J166" s="197"/>
      <c r="K166" s="21"/>
      <c r="L166" s="22"/>
      <c r="M166" s="22"/>
      <c r="N166" s="22"/>
      <c r="O166" s="197"/>
      <c r="P166" s="21"/>
      <c r="Q166" s="22"/>
      <c r="R166" s="22"/>
      <c r="S166" s="22"/>
      <c r="T166" s="197"/>
      <c r="U166" s="21"/>
      <c r="V166" s="22"/>
      <c r="W166" s="22"/>
      <c r="X166" s="22"/>
      <c r="Y166" s="197"/>
      <c r="Z166" s="21"/>
      <c r="AA166" s="22"/>
      <c r="AB166" s="22"/>
      <c r="AC166" s="22"/>
      <c r="AD166" s="197"/>
      <c r="AE166" s="21"/>
      <c r="AF166" s="22"/>
      <c r="AG166" s="22"/>
      <c r="AH166" s="22"/>
      <c r="AI166" s="197"/>
      <c r="AJ166" s="21"/>
      <c r="AK166" s="22"/>
      <c r="AL166" s="22"/>
      <c r="AM166" s="22"/>
      <c r="AN166" s="197"/>
      <c r="AO166" s="21"/>
      <c r="AP166" s="22"/>
      <c r="AQ166" s="22"/>
      <c r="AR166" s="22"/>
      <c r="AS166" s="197"/>
      <c r="AT166" s="21"/>
      <c r="AU166" s="22"/>
      <c r="AV166" s="22"/>
      <c r="AW166" s="22"/>
      <c r="AX166" s="197"/>
      <c r="AY166" s="21"/>
      <c r="AZ166" s="22"/>
      <c r="BA166" s="22"/>
      <c r="BB166" s="22"/>
      <c r="BC166" s="197"/>
      <c r="BD166" s="21"/>
      <c r="BE166" s="22"/>
      <c r="BF166" s="22"/>
      <c r="BG166" s="22"/>
      <c r="BH166" s="197"/>
      <c r="BI166" s="21"/>
      <c r="BJ166" s="22"/>
      <c r="BK166" s="22"/>
      <c r="BL166" s="22"/>
      <c r="BM166" s="197"/>
      <c r="BN166" s="21"/>
      <c r="BO166" s="22"/>
      <c r="BP166" s="22"/>
      <c r="BQ166" s="22"/>
      <c r="BR166" s="197"/>
      <c r="BS166" s="21"/>
      <c r="BT166" s="22"/>
      <c r="BU166" s="22"/>
      <c r="BV166" s="22"/>
      <c r="BW166" s="197"/>
      <c r="BX166" s="21"/>
      <c r="BY166" s="22"/>
      <c r="BZ166" s="22"/>
      <c r="CA166" s="22"/>
      <c r="CB166" s="197"/>
      <c r="CC166" s="21"/>
      <c r="CD166" s="22"/>
      <c r="CE166" s="22"/>
      <c r="CF166" s="22"/>
      <c r="CG166" s="197"/>
      <c r="CH166" s="21"/>
      <c r="CI166" s="22">
        <f t="shared" ref="CI166:DU166" si="603">CI165/CI153</f>
        <v>0.11193261538461544</v>
      </c>
      <c r="CJ166" s="22">
        <f t="shared" si="603"/>
        <v>0.10536874226804126</v>
      </c>
      <c r="CK166" s="22">
        <f t="shared" si="603"/>
        <v>0.1072192256944443</v>
      </c>
      <c r="CL166" s="197">
        <f t="shared" si="603"/>
        <v>0.10900843359375001</v>
      </c>
      <c r="CM166" s="21">
        <f t="shared" si="603"/>
        <v>0.10826491324200911</v>
      </c>
      <c r="CN166" s="22">
        <f t="shared" si="603"/>
        <v>0.11562270967741933</v>
      </c>
      <c r="CO166" s="22">
        <f t="shared" si="603"/>
        <v>0.11008129390681005</v>
      </c>
      <c r="CP166" s="22">
        <f t="shared" si="603"/>
        <v>0.10798336332179918</v>
      </c>
      <c r="CQ166" s="197">
        <f t="shared" si="603"/>
        <v>9.6699909348442054E-2</v>
      </c>
      <c r="CR166" s="21">
        <f t="shared" si="603"/>
        <v>0.10669749615055614</v>
      </c>
      <c r="CS166" s="22">
        <f t="shared" si="603"/>
        <v>0.10171882178217821</v>
      </c>
      <c r="CT166" s="22">
        <f t="shared" si="603"/>
        <v>0.10169339307535635</v>
      </c>
      <c r="CU166" s="22">
        <f t="shared" si="603"/>
        <v>0.10880589873417715</v>
      </c>
      <c r="CV166" s="197">
        <f t="shared" si="603"/>
        <v>9.1524498141263955E-2</v>
      </c>
      <c r="CW166" s="21">
        <f t="shared" si="603"/>
        <v>0.10208787912087894</v>
      </c>
      <c r="CX166" s="22">
        <f t="shared" si="603"/>
        <v>8.0811547169811399E-2</v>
      </c>
      <c r="CY166" s="22">
        <f t="shared" si="603"/>
        <v>8.6420294117647095E-2</v>
      </c>
      <c r="CZ166" s="22">
        <f t="shared" si="603"/>
        <v>8.5384374999999846E-2</v>
      </c>
      <c r="DA166" s="22">
        <f t="shared" si="603"/>
        <v>8.724329411764703E-2</v>
      </c>
      <c r="DB166" s="21">
        <f t="shared" si="603"/>
        <v>8.5166771034482738E-2</v>
      </c>
      <c r="DC166" s="22">
        <f t="shared" si="603"/>
        <v>7.3953149606299187E-2</v>
      </c>
      <c r="DD166" s="22">
        <f t="shared" si="603"/>
        <v>7.4288627906976684E-2</v>
      </c>
      <c r="DE166" s="22">
        <f t="shared" si="603"/>
        <v>8.6281930501930448E-2</v>
      </c>
      <c r="DF166" s="22">
        <f t="shared" si="603"/>
        <v>8.3832259740259735E-2</v>
      </c>
      <c r="DG166" s="21">
        <f t="shared" si="603"/>
        <v>7.9812717330861718E-2</v>
      </c>
      <c r="DH166" s="22">
        <f t="shared" si="603"/>
        <v>9.4145095115681171E-2</v>
      </c>
      <c r="DI166" s="22">
        <f t="shared" si="603"/>
        <v>7.5795548543689265E-2</v>
      </c>
      <c r="DJ166" s="22">
        <f t="shared" si="603"/>
        <v>7.3908514285714225E-2</v>
      </c>
      <c r="DK166" s="22">
        <f t="shared" si="603"/>
        <v>7.6546079404466519E-2</v>
      </c>
      <c r="DL166" s="21">
        <f t="shared" si="603"/>
        <v>8.0020803020767708E-2</v>
      </c>
      <c r="DM166" s="22">
        <f t="shared" si="603"/>
        <v>8.3531138014527828E-2</v>
      </c>
      <c r="DN166" s="22">
        <f t="shared" si="603"/>
        <v>7.606725128205126E-2</v>
      </c>
      <c r="DO166" s="22">
        <f t="shared" si="603"/>
        <v>7.636326121372039E-2</v>
      </c>
      <c r="DP166" s="22">
        <f t="shared" si="603"/>
        <v>7.3546050632911475E-2</v>
      </c>
      <c r="DQ166" s="21">
        <f>DQ165/DQ153</f>
        <v>7.746160684844644E-2</v>
      </c>
      <c r="DR166" s="22">
        <f t="shared" si="603"/>
        <v>8.7530202797202777E-2</v>
      </c>
      <c r="DS166" s="22">
        <f t="shared" si="603"/>
        <v>9.1257439897698273E-2</v>
      </c>
      <c r="DT166" s="22">
        <f t="shared" si="603"/>
        <v>8.3364533333333268E-2</v>
      </c>
      <c r="DU166" s="22">
        <f t="shared" si="603"/>
        <v>8.4700198511166155E-2</v>
      </c>
      <c r="DV166" s="21">
        <f t="shared" ref="DV166:EA166" si="604">DV165/DV153</f>
        <v>8.6719444513329136E-2</v>
      </c>
      <c r="DW166" s="22">
        <f t="shared" si="604"/>
        <v>9.3785625000000053E-2</v>
      </c>
      <c r="DX166" s="22">
        <f t="shared" si="604"/>
        <v>8.8171455882353061E-2</v>
      </c>
      <c r="DY166" s="22">
        <f t="shared" si="604"/>
        <v>8.8183958602846058E-2</v>
      </c>
      <c r="DZ166" s="22">
        <f t="shared" si="604"/>
        <v>8.3140634005763742E-2</v>
      </c>
      <c r="EA166" s="21">
        <f t="shared" si="604"/>
        <v>8.8606446774706124E-2</v>
      </c>
      <c r="EB166" s="22">
        <f t="shared" ref="EB166:EG166" si="605">EB165/EB153</f>
        <v>0.12895723484848487</v>
      </c>
      <c r="EC166" s="22">
        <f t="shared" si="605"/>
        <v>8.216500000000003E-2</v>
      </c>
      <c r="ED166" s="22">
        <f t="shared" si="605"/>
        <v>8.3878633484162815E-2</v>
      </c>
      <c r="EE166" s="22">
        <f t="shared" si="605"/>
        <v>6.2628711340206172E-2</v>
      </c>
      <c r="EF166" s="21">
        <f t="shared" si="605"/>
        <v>9.1738686295503233E-2</v>
      </c>
      <c r="EG166" s="22">
        <f t="shared" si="605"/>
        <v>6.5431825503355787E-2</v>
      </c>
      <c r="EH166" s="22">
        <f t="shared" ref="EH166:EM166" si="606">EH165/EH153</f>
        <v>5.2653017241379232E-2</v>
      </c>
      <c r="EI166" s="22">
        <f t="shared" si="606"/>
        <v>5.71802872928176E-2</v>
      </c>
      <c r="EJ166" s="22">
        <f t="shared" si="606"/>
        <v>5.129667525773203E-2</v>
      </c>
      <c r="EK166" s="21">
        <f t="shared" si="606"/>
        <v>5.6177871060171997E-2</v>
      </c>
      <c r="EL166" s="22">
        <f t="shared" si="606"/>
        <v>5.2489201877934336E-2</v>
      </c>
      <c r="EM166" s="22">
        <f t="shared" si="606"/>
        <v>5.7202215789473598E-2</v>
      </c>
      <c r="EN166" s="22">
        <f t="shared" ref="EN166:EQ166" si="607">EN165/EN153</f>
        <v>4.8891494949495004E-2</v>
      </c>
      <c r="EO166" s="22">
        <f t="shared" si="607"/>
        <v>4.9835983263598303E-2</v>
      </c>
      <c r="EP166" s="21">
        <f t="shared" si="607"/>
        <v>5.1952305952380991E-2</v>
      </c>
      <c r="EQ166" s="22">
        <f t="shared" si="607"/>
        <v>6.5839473684210587E-2</v>
      </c>
      <c r="ER166" s="97">
        <v>5.5E-2</v>
      </c>
      <c r="ES166" s="97">
        <f>ER166</f>
        <v>5.5E-2</v>
      </c>
      <c r="ET166" s="97">
        <f>ES166</f>
        <v>5.5E-2</v>
      </c>
      <c r="EU166" s="270">
        <f>EU165/EU153</f>
        <v>5.7739729796380479E-2</v>
      </c>
      <c r="EV166" s="46"/>
      <c r="EW166" s="46"/>
      <c r="EX166" s="46"/>
      <c r="EY166" s="46"/>
      <c r="EZ166" s="942">
        <f>+EU166-0.2%</f>
        <v>5.5739729796380477E-2</v>
      </c>
      <c r="FA166" s="46"/>
      <c r="FB166" s="46"/>
      <c r="FC166" s="46"/>
      <c r="FD166" s="46"/>
      <c r="FE166" s="942">
        <f>+EZ166</f>
        <v>5.5739729796380477E-2</v>
      </c>
      <c r="FF166" s="768"/>
      <c r="FG166" s="656"/>
      <c r="FH166" s="1038"/>
      <c r="FI166" s="1038"/>
      <c r="FJ166" s="1038"/>
      <c r="FK166" s="1038"/>
      <c r="FL166" s="1813"/>
      <c r="FM166" s="22">
        <f t="shared" si="500"/>
        <v>6.5839473684210587E-2</v>
      </c>
      <c r="FN166" s="22">
        <f t="shared" si="501"/>
        <v>5.2489201877934336E-2</v>
      </c>
      <c r="FO166" s="97">
        <v>4.9835983263598303E-2</v>
      </c>
      <c r="FP166" s="1892">
        <f>IFERROR(($FM166-FN166)*10000,"")</f>
        <v>133.50271806276251</v>
      </c>
      <c r="FQ166" s="1892">
        <f>IFERROR(($FM166-FO166)*10000,"")</f>
        <v>160.03490420612283</v>
      </c>
      <c r="FR166" s="587"/>
      <c r="FS166" s="575"/>
      <c r="FT166" s="575"/>
      <c r="FU166" s="575"/>
      <c r="FV166" s="575"/>
      <c r="FW166" s="575"/>
      <c r="FX166" s="575"/>
      <c r="FY166" s="575"/>
      <c r="FZ166" s="575"/>
      <c r="GA166" s="656"/>
      <c r="GB166"/>
      <c r="GC166"/>
      <c r="GD166"/>
      <c r="GE166"/>
      <c r="GF166"/>
      <c r="GG166"/>
      <c r="GH166" s="964"/>
      <c r="GI166" s="964"/>
      <c r="GJ166" s="964"/>
      <c r="GK166" s="964"/>
      <c r="GL166" s="964"/>
      <c r="GM166" s="964"/>
      <c r="GN166" s="964"/>
      <c r="GO166" s="964"/>
      <c r="GP166" s="964"/>
      <c r="GQ166" s="964"/>
      <c r="GR166" s="964"/>
      <c r="GS166" s="964"/>
      <c r="GT166" s="964"/>
      <c r="GU166" s="964"/>
      <c r="GV166" s="964"/>
      <c r="GW166" s="964"/>
      <c r="GX166" s="964"/>
      <c r="GY166" s="964"/>
      <c r="GZ166" s="964"/>
      <c r="HA166" s="964"/>
      <c r="HB166" s="964"/>
      <c r="HC166" s="964"/>
      <c r="HD166" s="964"/>
      <c r="HE166" s="964"/>
      <c r="HF166" s="964"/>
      <c r="HG166" s="964"/>
      <c r="HH166" s="964"/>
      <c r="HI166" s="964"/>
      <c r="HJ166" s="964"/>
      <c r="HK166" s="964"/>
      <c r="HL166" s="964"/>
      <c r="HM166" s="964"/>
      <c r="HN166" s="964"/>
      <c r="HO166" s="964"/>
      <c r="HP166" s="964"/>
      <c r="HQ166" s="964"/>
      <c r="HR166" s="964"/>
      <c r="HS166" s="964"/>
      <c r="HT166" s="964"/>
      <c r="HU166" s="964"/>
      <c r="HV166" s="964"/>
      <c r="HW166" s="964"/>
      <c r="HX166" s="964"/>
      <c r="HY166" s="964"/>
      <c r="HZ166" s="964"/>
      <c r="IA166" s="964"/>
      <c r="IB166" s="964"/>
      <c r="IC166" s="964"/>
      <c r="ID166" s="964"/>
      <c r="IE166" s="964"/>
      <c r="IF166" s="964"/>
      <c r="IG166" s="964"/>
      <c r="IH166" s="964"/>
      <c r="II166" s="964"/>
      <c r="IJ166" s="964"/>
      <c r="IK166" s="964"/>
      <c r="IL166" s="964"/>
      <c r="IM166" s="964"/>
      <c r="IN166" s="964"/>
      <c r="IO166" s="964"/>
      <c r="IP166" s="964"/>
      <c r="IQ166" s="964"/>
      <c r="IR166" s="964"/>
      <c r="IS166" s="964"/>
      <c r="IT166" s="964"/>
      <c r="IU166" s="964"/>
      <c r="IV166" s="964"/>
    </row>
    <row r="167" spans="1:256" s="541" customFormat="1" ht="12.75" x14ac:dyDescent="0.2">
      <c r="A167" s="121" t="s">
        <v>600</v>
      </c>
      <c r="B167" s="122">
        <v>54.2</v>
      </c>
      <c r="C167" s="122">
        <f>106.7-54.2</f>
        <v>52.5</v>
      </c>
      <c r="D167" s="122">
        <f>157.3-106.7</f>
        <v>50.600000000000009</v>
      </c>
      <c r="E167" s="533">
        <f>199-157.3</f>
        <v>41.699999999999989</v>
      </c>
      <c r="F167" s="534">
        <f>SUM(B167:E167)</f>
        <v>199</v>
      </c>
      <c r="G167" s="122">
        <v>52.4</v>
      </c>
      <c r="H167" s="122">
        <f>104.9-52.4</f>
        <v>52.500000000000007</v>
      </c>
      <c r="I167" s="122">
        <f>160.6-104.9</f>
        <v>55.699999999999989</v>
      </c>
      <c r="J167" s="533">
        <f>207.7-160.6</f>
        <v>47.099999999999994</v>
      </c>
      <c r="K167" s="534">
        <f>SUM(G167:J167)</f>
        <v>207.7</v>
      </c>
      <c r="L167" s="122">
        <v>53</v>
      </c>
      <c r="M167" s="122">
        <f>106.6-53</f>
        <v>53.599999999999994</v>
      </c>
      <c r="N167" s="122">
        <f>155.3-106.6</f>
        <v>48.700000000000017</v>
      </c>
      <c r="O167" s="533">
        <f>201.2-155.3</f>
        <v>45.899999999999977</v>
      </c>
      <c r="P167" s="534">
        <f>SUM(L167:O167)</f>
        <v>201.2</v>
      </c>
      <c r="Q167" s="122">
        <v>54</v>
      </c>
      <c r="R167" s="122">
        <f>106-54</f>
        <v>52</v>
      </c>
      <c r="S167" s="122">
        <f>160.9-106</f>
        <v>54.900000000000006</v>
      </c>
      <c r="T167" s="533">
        <f>211.6-160.9</f>
        <v>50.699999999999989</v>
      </c>
      <c r="U167" s="534">
        <f>SUM(Q167:T167)</f>
        <v>211.6</v>
      </c>
      <c r="V167" s="122">
        <v>52.7</v>
      </c>
      <c r="W167" s="122">
        <v>55.4</v>
      </c>
      <c r="X167" s="122">
        <v>50.2</v>
      </c>
      <c r="Y167" s="533">
        <v>48.1</v>
      </c>
      <c r="Z167" s="534">
        <f>SUM(V167:Y167)</f>
        <v>206.4</v>
      </c>
      <c r="AA167" s="122">
        <v>54.3</v>
      </c>
      <c r="AB167" s="122">
        <v>53</v>
      </c>
      <c r="AC167" s="122">
        <v>53.6</v>
      </c>
      <c r="AD167" s="533">
        <v>52.4</v>
      </c>
      <c r="AE167" s="534">
        <f>SUM(AA167:AD167)</f>
        <v>213.3</v>
      </c>
      <c r="AF167" s="122">
        <v>53.5</v>
      </c>
      <c r="AG167" s="122">
        <v>48.3</v>
      </c>
      <c r="AH167" s="122">
        <v>39.1</v>
      </c>
      <c r="AI167" s="533">
        <v>41.3</v>
      </c>
      <c r="AJ167" s="534">
        <f>SUM(AF167:AI167)</f>
        <v>182.2</v>
      </c>
      <c r="AK167" s="122">
        <v>43</v>
      </c>
      <c r="AL167" s="122">
        <v>43.9</v>
      </c>
      <c r="AM167" s="122">
        <v>41.4</v>
      </c>
      <c r="AN167" s="533">
        <v>38.4</v>
      </c>
      <c r="AO167" s="534">
        <f>SUM(AK167:AN167)</f>
        <v>166.70000000000002</v>
      </c>
      <c r="AP167" s="122">
        <v>41.8</v>
      </c>
      <c r="AQ167" s="122">
        <v>47.1</v>
      </c>
      <c r="AR167" s="122">
        <v>42.5</v>
      </c>
      <c r="AS167" s="533">
        <v>40</v>
      </c>
      <c r="AT167" s="534">
        <f>SUM(AP167:AS167)</f>
        <v>171.4</v>
      </c>
      <c r="AU167" s="122">
        <v>49.1</v>
      </c>
      <c r="AV167" s="122">
        <v>49</v>
      </c>
      <c r="AW167" s="122">
        <v>43</v>
      </c>
      <c r="AX167" s="533">
        <v>45</v>
      </c>
      <c r="AY167" s="534">
        <f>SUM(AU167:AX167)</f>
        <v>186.1</v>
      </c>
      <c r="AZ167" s="122">
        <v>38</v>
      </c>
      <c r="BA167" s="122">
        <v>41</v>
      </c>
      <c r="BB167" s="122">
        <v>62</v>
      </c>
      <c r="BC167" s="533">
        <v>63</v>
      </c>
      <c r="BD167" s="534">
        <f>SUM(AZ167:BC167)</f>
        <v>204</v>
      </c>
      <c r="BE167" s="122">
        <v>63</v>
      </c>
      <c r="BF167" s="122">
        <v>39</v>
      </c>
      <c r="BG167" s="122">
        <v>49</v>
      </c>
      <c r="BH167" s="533">
        <v>63</v>
      </c>
      <c r="BI167" s="534">
        <f>SUM(BE167:BH167)</f>
        <v>214</v>
      </c>
      <c r="BJ167" s="122">
        <v>67</v>
      </c>
      <c r="BK167" s="122">
        <v>58</v>
      </c>
      <c r="BL167" s="122">
        <v>50</v>
      </c>
      <c r="BM167" s="533">
        <v>46</v>
      </c>
      <c r="BN167" s="534">
        <f>SUM(BJ167:BM167)</f>
        <v>221</v>
      </c>
      <c r="BO167" s="122">
        <v>54</v>
      </c>
      <c r="BP167" s="122">
        <v>57</v>
      </c>
      <c r="BQ167" s="122">
        <v>65</v>
      </c>
      <c r="BR167" s="533">
        <v>54</v>
      </c>
      <c r="BS167" s="534">
        <f>SUM(BO167:BR167)</f>
        <v>230</v>
      </c>
      <c r="BT167" s="122">
        <v>63</v>
      </c>
      <c r="BU167" s="122">
        <v>61</v>
      </c>
      <c r="BV167" s="122">
        <v>63</v>
      </c>
      <c r="BW167" s="533">
        <v>59</v>
      </c>
      <c r="BX167" s="534">
        <f>SUM(BT167:BW167)</f>
        <v>246</v>
      </c>
      <c r="BY167" s="122">
        <v>68</v>
      </c>
      <c r="BZ167" s="122">
        <v>72</v>
      </c>
      <c r="CA167" s="122">
        <v>73</v>
      </c>
      <c r="CB167" s="533">
        <v>74</v>
      </c>
      <c r="CC167" s="534">
        <f>SUM(BY167:CB167)</f>
        <v>287</v>
      </c>
      <c r="CD167" s="122">
        <v>78</v>
      </c>
      <c r="CE167" s="122">
        <v>79</v>
      </c>
      <c r="CF167" s="122">
        <v>88</v>
      </c>
      <c r="CG167" s="533">
        <v>70</v>
      </c>
      <c r="CH167" s="534">
        <f>SUM(CD167:CG167)</f>
        <v>315</v>
      </c>
      <c r="CI167" s="122">
        <v>88</v>
      </c>
      <c r="CJ167" s="122">
        <v>85</v>
      </c>
      <c r="CK167" s="122">
        <v>83</v>
      </c>
      <c r="CL167" s="533">
        <v>90</v>
      </c>
      <c r="CM167" s="534">
        <f>SUM(CI167:CL167)</f>
        <v>346</v>
      </c>
      <c r="CN167" s="122">
        <v>89</v>
      </c>
      <c r="CO167" s="122">
        <v>91</v>
      </c>
      <c r="CP167" s="122">
        <v>88</v>
      </c>
      <c r="CQ167" s="533">
        <v>91</v>
      </c>
      <c r="CR167" s="534">
        <f>SUM(CN167:CQ167)</f>
        <v>359</v>
      </c>
      <c r="CS167" s="122">
        <v>101</v>
      </c>
      <c r="CT167" s="122">
        <v>96</v>
      </c>
      <c r="CU167" s="122">
        <v>96</v>
      </c>
      <c r="CV167" s="533">
        <v>87</v>
      </c>
      <c r="CW167" s="534">
        <f>SUM(CS167:CV167)</f>
        <v>380</v>
      </c>
      <c r="CX167" s="122">
        <v>89</v>
      </c>
      <c r="CY167" s="122">
        <v>76</v>
      </c>
      <c r="CZ167" s="122">
        <v>72</v>
      </c>
      <c r="DA167" s="122">
        <v>72</v>
      </c>
      <c r="DB167" s="534">
        <f>SUM(CX167:DA167)</f>
        <v>309</v>
      </c>
      <c r="DC167" s="122">
        <v>87</v>
      </c>
      <c r="DD167" s="122">
        <v>82</v>
      </c>
      <c r="DE167" s="122">
        <v>90</v>
      </c>
      <c r="DF167" s="122">
        <v>87</v>
      </c>
      <c r="DG167" s="539">
        <f>SUM(DC167:DF167)</f>
        <v>346</v>
      </c>
      <c r="DH167" s="122">
        <v>94</v>
      </c>
      <c r="DI167" s="122">
        <v>103</v>
      </c>
      <c r="DJ167" s="122">
        <v>105</v>
      </c>
      <c r="DK167" s="122">
        <v>106</v>
      </c>
      <c r="DL167" s="539">
        <f>SUM(DH167:DK167)</f>
        <v>408</v>
      </c>
      <c r="DM167" s="122">
        <v>112</v>
      </c>
      <c r="DN167" s="122">
        <v>95</v>
      </c>
      <c r="DO167" s="122">
        <v>109</v>
      </c>
      <c r="DP167" s="122">
        <v>92</v>
      </c>
      <c r="DQ167" s="539">
        <f>SUM(DM167:DP167)</f>
        <v>408</v>
      </c>
      <c r="DR167" s="122">
        <v>101</v>
      </c>
      <c r="DS167" s="122">
        <v>116</v>
      </c>
      <c r="DT167" s="540">
        <v>100</v>
      </c>
      <c r="DU167" s="122">
        <v>105</v>
      </c>
      <c r="DV167" s="539">
        <f>SUM(DR167:DU167)</f>
        <v>422</v>
      </c>
      <c r="DW167" s="122">
        <v>108</v>
      </c>
      <c r="DX167" s="122">
        <v>124</v>
      </c>
      <c r="DY167" s="540">
        <v>127</v>
      </c>
      <c r="DZ167" s="122">
        <v>111</v>
      </c>
      <c r="EA167" s="539">
        <f>SUM(DW167:DZ167)</f>
        <v>470</v>
      </c>
      <c r="EB167" s="122">
        <v>122</v>
      </c>
      <c r="EC167" s="122">
        <v>117</v>
      </c>
      <c r="ED167" s="540">
        <v>117</v>
      </c>
      <c r="EE167" s="122">
        <v>113</v>
      </c>
      <c r="EF167" s="539">
        <f>SUM(EB167:EE167)</f>
        <v>469</v>
      </c>
      <c r="EG167" s="122">
        <v>80</v>
      </c>
      <c r="EH167" s="122">
        <v>91</v>
      </c>
      <c r="EI167" s="540">
        <v>102</v>
      </c>
      <c r="EJ167" s="122">
        <v>91</v>
      </c>
      <c r="EK167" s="539">
        <f>SUM(EG167:EJ167)</f>
        <v>364</v>
      </c>
      <c r="EL167" s="122">
        <v>92</v>
      </c>
      <c r="EM167" s="122">
        <v>87</v>
      </c>
      <c r="EN167" s="540">
        <v>85</v>
      </c>
      <c r="EO167" s="122">
        <v>84</v>
      </c>
      <c r="EP167" s="539">
        <f>SUM(EL167:EO167)</f>
        <v>348</v>
      </c>
      <c r="EQ167" s="122">
        <v>90</v>
      </c>
      <c r="ER167" s="122">
        <f>ER$13*ER171/1000</f>
        <v>89.576642411555383</v>
      </c>
      <c r="ES167" s="122">
        <f>ES$13*ES171/1000</f>
        <v>92.194646759979278</v>
      </c>
      <c r="ET167" s="122">
        <f>ET$13*ET171/1000</f>
        <v>89.714263736948752</v>
      </c>
      <c r="EU167" s="1966">
        <f>SUM(EQ167:ET167)</f>
        <v>361.48555290848338</v>
      </c>
      <c r="EV167" s="540"/>
      <c r="EW167" s="540"/>
      <c r="EX167" s="540"/>
      <c r="EY167" s="540"/>
      <c r="EZ167" s="855">
        <f>EZ$13*EZ171/1000</f>
        <v>374.24008164558734</v>
      </c>
      <c r="FA167" s="540"/>
      <c r="FB167" s="540"/>
      <c r="FC167" s="540"/>
      <c r="FD167" s="540"/>
      <c r="FE167" s="855">
        <f>FE$13*FE171/1000</f>
        <v>388.85530325922252</v>
      </c>
      <c r="FF167" s="780"/>
      <c r="FG167" s="656"/>
      <c r="FH167" s="1034"/>
      <c r="FI167" s="1034"/>
      <c r="FJ167" s="1034"/>
      <c r="FK167" s="1034"/>
      <c r="FL167" s="1822"/>
      <c r="FM167" s="122">
        <f t="shared" si="500"/>
        <v>90</v>
      </c>
      <c r="FN167" s="122">
        <f t="shared" si="501"/>
        <v>92</v>
      </c>
      <c r="FO167" s="540">
        <v>88.869135275641725</v>
      </c>
      <c r="FP167" s="571">
        <f>IFERROR(($FM167/FN167)-1,"")</f>
        <v>-2.1739130434782594E-2</v>
      </c>
      <c r="FQ167" s="571">
        <f>IFERROR(($FM167/FO167)-1,"")</f>
        <v>1.2725056014674996E-2</v>
      </c>
      <c r="FR167" s="540" t="s">
        <v>828</v>
      </c>
      <c r="FS167" s="575"/>
      <c r="FT167" s="575"/>
      <c r="FU167" s="540"/>
      <c r="FV167" s="540"/>
      <c r="FW167" s="540"/>
      <c r="FX167" s="540"/>
      <c r="FY167" s="540"/>
      <c r="FZ167" s="540"/>
      <c r="GA167" s="656"/>
      <c r="GB167"/>
      <c r="GC167"/>
      <c r="GD167"/>
      <c r="GE167"/>
      <c r="GF167"/>
      <c r="GG167"/>
      <c r="GH167" s="972"/>
      <c r="GI167" s="972"/>
      <c r="GJ167" s="972"/>
      <c r="GK167" s="972"/>
      <c r="GL167" s="972"/>
      <c r="GM167" s="972"/>
      <c r="GN167" s="972"/>
      <c r="GO167" s="972"/>
      <c r="GP167" s="972"/>
      <c r="GQ167" s="972"/>
      <c r="GR167" s="972"/>
      <c r="GS167" s="972"/>
      <c r="GT167" s="972"/>
      <c r="GU167" s="972"/>
      <c r="GV167" s="972"/>
      <c r="GW167" s="972"/>
      <c r="GX167" s="972"/>
      <c r="GY167" s="972"/>
      <c r="GZ167" s="972"/>
      <c r="HA167" s="972"/>
      <c r="HB167" s="972"/>
      <c r="HC167" s="972"/>
      <c r="HD167" s="972"/>
      <c r="HE167" s="972"/>
      <c r="HF167" s="972"/>
      <c r="HG167" s="972"/>
      <c r="HH167" s="972"/>
      <c r="HI167" s="972"/>
      <c r="HJ167" s="972"/>
      <c r="HK167" s="972"/>
      <c r="HL167" s="972"/>
      <c r="HM167" s="972"/>
      <c r="HN167" s="972"/>
      <c r="HO167" s="972"/>
      <c r="HP167" s="972"/>
      <c r="HQ167" s="972"/>
      <c r="HR167" s="972"/>
      <c r="HS167" s="972"/>
      <c r="HT167" s="972"/>
      <c r="HU167" s="972"/>
      <c r="HV167" s="972"/>
      <c r="HW167" s="972"/>
      <c r="HX167" s="972"/>
      <c r="HY167" s="972"/>
      <c r="HZ167" s="972"/>
      <c r="IA167" s="972"/>
      <c r="IB167" s="972"/>
      <c r="IC167" s="972"/>
      <c r="ID167" s="972"/>
      <c r="IE167" s="972"/>
      <c r="IF167" s="972"/>
      <c r="IG167" s="972"/>
      <c r="IH167" s="972"/>
      <c r="II167" s="972"/>
      <c r="IJ167" s="972"/>
      <c r="IK167" s="972"/>
      <c r="IL167" s="972"/>
      <c r="IM167" s="972"/>
      <c r="IN167" s="972"/>
      <c r="IO167" s="972"/>
      <c r="IP167" s="972"/>
      <c r="IQ167" s="972"/>
      <c r="IR167" s="972"/>
      <c r="IS167" s="972"/>
      <c r="IT167" s="972"/>
      <c r="IU167" s="972"/>
      <c r="IV167" s="972"/>
    </row>
    <row r="168" spans="1:256" s="244" customFormat="1" ht="12.75" x14ac:dyDescent="0.2">
      <c r="A168" s="242" t="s">
        <v>74</v>
      </c>
      <c r="B168" s="22"/>
      <c r="C168" s="22"/>
      <c r="D168" s="22"/>
      <c r="E168" s="197"/>
      <c r="F168" s="21"/>
      <c r="G168" s="22">
        <f t="shared" ref="G168:BR168" si="608">G167/B167-1</f>
        <v>-3.3210332103321138E-2</v>
      </c>
      <c r="H168" s="22">
        <f t="shared" si="608"/>
        <v>0</v>
      </c>
      <c r="I168" s="22">
        <f t="shared" si="608"/>
        <v>0.10079051383399174</v>
      </c>
      <c r="J168" s="197">
        <f t="shared" si="608"/>
        <v>0.12949640287769792</v>
      </c>
      <c r="K168" s="21">
        <f t="shared" si="608"/>
        <v>4.3718592964824055E-2</v>
      </c>
      <c r="L168" s="22">
        <f t="shared" si="608"/>
        <v>1.1450381679389388E-2</v>
      </c>
      <c r="M168" s="22">
        <f t="shared" si="608"/>
        <v>2.0952380952380611E-2</v>
      </c>
      <c r="N168" s="22">
        <f t="shared" si="608"/>
        <v>-0.12567324955116643</v>
      </c>
      <c r="O168" s="197">
        <f t="shared" si="608"/>
        <v>-2.5477707006369754E-2</v>
      </c>
      <c r="P168" s="21">
        <f t="shared" si="608"/>
        <v>-3.1295137217140057E-2</v>
      </c>
      <c r="Q168" s="22">
        <f t="shared" si="608"/>
        <v>1.8867924528301883E-2</v>
      </c>
      <c r="R168" s="22">
        <f t="shared" si="608"/>
        <v>-2.9850746268656581E-2</v>
      </c>
      <c r="S168" s="22">
        <f t="shared" si="608"/>
        <v>0.12731006160164249</v>
      </c>
      <c r="T168" s="197">
        <f t="shared" si="608"/>
        <v>0.10457516339869311</v>
      </c>
      <c r="U168" s="21">
        <f t="shared" si="608"/>
        <v>5.1689860834990053E-2</v>
      </c>
      <c r="V168" s="22">
        <f t="shared" si="608"/>
        <v>-2.4074074074074026E-2</v>
      </c>
      <c r="W168" s="22">
        <f t="shared" si="608"/>
        <v>6.5384615384615374E-2</v>
      </c>
      <c r="X168" s="22">
        <f t="shared" si="608"/>
        <v>-8.5610200364298783E-2</v>
      </c>
      <c r="Y168" s="197">
        <f t="shared" si="608"/>
        <v>-5.1282051282050989E-2</v>
      </c>
      <c r="Z168" s="21">
        <f t="shared" si="608"/>
        <v>-2.4574669187145459E-2</v>
      </c>
      <c r="AA168" s="22">
        <f t="shared" si="608"/>
        <v>3.0360531309297834E-2</v>
      </c>
      <c r="AB168" s="22">
        <f t="shared" si="608"/>
        <v>-4.3321299638989119E-2</v>
      </c>
      <c r="AC168" s="22">
        <f t="shared" si="608"/>
        <v>6.7729083665338585E-2</v>
      </c>
      <c r="AD168" s="197">
        <f t="shared" si="608"/>
        <v>8.9397089397089236E-2</v>
      </c>
      <c r="AE168" s="21">
        <f t="shared" si="608"/>
        <v>3.3430232558139483E-2</v>
      </c>
      <c r="AF168" s="22">
        <f t="shared" si="608"/>
        <v>-1.4732965009208066E-2</v>
      </c>
      <c r="AG168" s="22">
        <f t="shared" si="608"/>
        <v>-8.8679245283018959E-2</v>
      </c>
      <c r="AH168" s="22">
        <f t="shared" si="608"/>
        <v>-0.27052238805970152</v>
      </c>
      <c r="AI168" s="197">
        <f t="shared" si="608"/>
        <v>-0.21183206106870234</v>
      </c>
      <c r="AJ168" s="21">
        <f t="shared" si="608"/>
        <v>-0.14580403187998137</v>
      </c>
      <c r="AK168" s="22">
        <f t="shared" si="608"/>
        <v>-0.19626168224299068</v>
      </c>
      <c r="AL168" s="22">
        <f t="shared" si="608"/>
        <v>-9.109730848861286E-2</v>
      </c>
      <c r="AM168" s="22">
        <f t="shared" si="608"/>
        <v>5.8823529411764719E-2</v>
      </c>
      <c r="AN168" s="197">
        <f t="shared" si="608"/>
        <v>-7.021791767554475E-2</v>
      </c>
      <c r="AO168" s="21">
        <f t="shared" si="608"/>
        <v>-8.5071350164654058E-2</v>
      </c>
      <c r="AP168" s="22">
        <f t="shared" si="608"/>
        <v>-2.7906976744186074E-2</v>
      </c>
      <c r="AQ168" s="22">
        <f t="shared" si="608"/>
        <v>7.2892938496583293E-2</v>
      </c>
      <c r="AR168" s="22">
        <f t="shared" si="608"/>
        <v>2.6570048309178862E-2</v>
      </c>
      <c r="AS168" s="197">
        <f t="shared" si="608"/>
        <v>4.1666666666666741E-2</v>
      </c>
      <c r="AT168" s="21">
        <f t="shared" si="608"/>
        <v>2.8194361127774403E-2</v>
      </c>
      <c r="AU168" s="22">
        <f t="shared" si="608"/>
        <v>0.17464114832535893</v>
      </c>
      <c r="AV168" s="22">
        <f t="shared" si="608"/>
        <v>4.0339702760084917E-2</v>
      </c>
      <c r="AW168" s="22">
        <f t="shared" si="608"/>
        <v>1.1764705882352899E-2</v>
      </c>
      <c r="AX168" s="197">
        <f t="shared" si="608"/>
        <v>0.125</v>
      </c>
      <c r="AY168" s="21">
        <f t="shared" si="608"/>
        <v>8.5764294049008205E-2</v>
      </c>
      <c r="AZ168" s="22">
        <f t="shared" si="608"/>
        <v>-0.22606924643584525</v>
      </c>
      <c r="BA168" s="22">
        <f t="shared" si="608"/>
        <v>-0.16326530612244894</v>
      </c>
      <c r="BB168" s="22">
        <f t="shared" si="608"/>
        <v>0.44186046511627897</v>
      </c>
      <c r="BC168" s="197">
        <f t="shared" si="608"/>
        <v>0.39999999999999991</v>
      </c>
      <c r="BD168" s="21">
        <f t="shared" si="608"/>
        <v>9.6184846856528727E-2</v>
      </c>
      <c r="BE168" s="22">
        <f t="shared" si="608"/>
        <v>0.65789473684210531</v>
      </c>
      <c r="BF168" s="22">
        <f t="shared" si="608"/>
        <v>-4.8780487804878092E-2</v>
      </c>
      <c r="BG168" s="22">
        <f t="shared" si="608"/>
        <v>-0.20967741935483875</v>
      </c>
      <c r="BH168" s="197">
        <f t="shared" si="608"/>
        <v>0</v>
      </c>
      <c r="BI168" s="21">
        <f t="shared" si="608"/>
        <v>4.9019607843137303E-2</v>
      </c>
      <c r="BJ168" s="22">
        <f t="shared" si="608"/>
        <v>6.3492063492063489E-2</v>
      </c>
      <c r="BK168" s="22">
        <f t="shared" si="608"/>
        <v>0.48717948717948723</v>
      </c>
      <c r="BL168" s="22">
        <f t="shared" si="608"/>
        <v>2.0408163265306145E-2</v>
      </c>
      <c r="BM168" s="197">
        <f t="shared" si="608"/>
        <v>-0.26984126984126988</v>
      </c>
      <c r="BN168" s="21">
        <f t="shared" si="608"/>
        <v>3.2710280373831724E-2</v>
      </c>
      <c r="BO168" s="22">
        <f t="shared" si="608"/>
        <v>-0.19402985074626866</v>
      </c>
      <c r="BP168" s="22">
        <f t="shared" si="608"/>
        <v>-1.7241379310344862E-2</v>
      </c>
      <c r="BQ168" s="22">
        <f t="shared" si="608"/>
        <v>0.30000000000000004</v>
      </c>
      <c r="BR168" s="197">
        <f t="shared" si="608"/>
        <v>0.17391304347826098</v>
      </c>
      <c r="BS168" s="21">
        <f t="shared" ref="BS168:DY168" si="609">BS167/BN167-1</f>
        <v>4.0723981900452566E-2</v>
      </c>
      <c r="BT168" s="22">
        <f t="shared" si="609"/>
        <v>0.16666666666666674</v>
      </c>
      <c r="BU168" s="22">
        <f t="shared" si="609"/>
        <v>7.0175438596491224E-2</v>
      </c>
      <c r="BV168" s="22">
        <f t="shared" si="609"/>
        <v>-3.0769230769230771E-2</v>
      </c>
      <c r="BW168" s="197">
        <f t="shared" si="609"/>
        <v>9.259259259259256E-2</v>
      </c>
      <c r="BX168" s="21">
        <f t="shared" si="609"/>
        <v>6.956521739130439E-2</v>
      </c>
      <c r="BY168" s="22">
        <f t="shared" si="609"/>
        <v>7.9365079365079305E-2</v>
      </c>
      <c r="BZ168" s="22">
        <f t="shared" si="609"/>
        <v>0.18032786885245899</v>
      </c>
      <c r="CA168" s="22">
        <f t="shared" si="609"/>
        <v>0.15873015873015883</v>
      </c>
      <c r="CB168" s="197">
        <f t="shared" si="609"/>
        <v>0.25423728813559321</v>
      </c>
      <c r="CC168" s="21">
        <f t="shared" si="609"/>
        <v>0.16666666666666674</v>
      </c>
      <c r="CD168" s="22">
        <f t="shared" si="609"/>
        <v>0.14705882352941169</v>
      </c>
      <c r="CE168" s="22">
        <f t="shared" si="609"/>
        <v>9.7222222222222321E-2</v>
      </c>
      <c r="CF168" s="22">
        <f t="shared" si="609"/>
        <v>0.20547945205479445</v>
      </c>
      <c r="CG168" s="197">
        <f t="shared" si="609"/>
        <v>-5.4054054054054057E-2</v>
      </c>
      <c r="CH168" s="21">
        <f t="shared" si="609"/>
        <v>9.7560975609756184E-2</v>
      </c>
      <c r="CI168" s="22">
        <f t="shared" si="609"/>
        <v>0.12820512820512819</v>
      </c>
      <c r="CJ168" s="22">
        <f t="shared" si="609"/>
        <v>7.5949367088607556E-2</v>
      </c>
      <c r="CK168" s="22">
        <f t="shared" si="609"/>
        <v>-5.6818181818181768E-2</v>
      </c>
      <c r="CL168" s="197">
        <f t="shared" si="609"/>
        <v>0.28571428571428581</v>
      </c>
      <c r="CM168" s="21">
        <f t="shared" si="609"/>
        <v>9.8412698412698507E-2</v>
      </c>
      <c r="CN168" s="22">
        <f t="shared" si="609"/>
        <v>1.1363636363636465E-2</v>
      </c>
      <c r="CO168" s="22">
        <f t="shared" si="609"/>
        <v>7.0588235294117618E-2</v>
      </c>
      <c r="CP168" s="22">
        <f t="shared" si="609"/>
        <v>6.024096385542177E-2</v>
      </c>
      <c r="CQ168" s="197">
        <f t="shared" si="609"/>
        <v>1.1111111111111072E-2</v>
      </c>
      <c r="CR168" s="21">
        <f t="shared" si="609"/>
        <v>3.7572254335260125E-2</v>
      </c>
      <c r="CS168" s="22">
        <f t="shared" si="609"/>
        <v>0.13483146067415741</v>
      </c>
      <c r="CT168" s="22">
        <f t="shared" si="609"/>
        <v>5.4945054945054972E-2</v>
      </c>
      <c r="CU168" s="22">
        <f t="shared" si="609"/>
        <v>9.0909090909090828E-2</v>
      </c>
      <c r="CV168" s="197">
        <f t="shared" si="609"/>
        <v>-4.3956043956043911E-2</v>
      </c>
      <c r="CW168" s="21">
        <f t="shared" si="609"/>
        <v>5.8495821727019504E-2</v>
      </c>
      <c r="CX168" s="22">
        <f t="shared" si="609"/>
        <v>-0.11881188118811881</v>
      </c>
      <c r="CY168" s="22">
        <f t="shared" si="609"/>
        <v>-0.20833333333333337</v>
      </c>
      <c r="CZ168" s="22">
        <f t="shared" si="609"/>
        <v>-0.25</v>
      </c>
      <c r="DA168" s="22">
        <f>DA167/CV167-1</f>
        <v>-0.17241379310344829</v>
      </c>
      <c r="DB168" s="21">
        <f>DB167/CW167-1</f>
        <v>-0.18684210526315792</v>
      </c>
      <c r="DC168" s="22">
        <f t="shared" si="609"/>
        <v>-2.2471910112359605E-2</v>
      </c>
      <c r="DD168" s="22">
        <f t="shared" si="609"/>
        <v>7.8947368421052655E-2</v>
      </c>
      <c r="DE168" s="22">
        <f t="shared" si="609"/>
        <v>0.25</v>
      </c>
      <c r="DF168" s="22">
        <f>DF167/DA167-1</f>
        <v>0.20833333333333326</v>
      </c>
      <c r="DG168" s="21">
        <f t="shared" si="609"/>
        <v>0.11974110032362462</v>
      </c>
      <c r="DH168" s="22">
        <f>DH167/DC167-1</f>
        <v>8.0459770114942541E-2</v>
      </c>
      <c r="DI168" s="22">
        <f t="shared" si="609"/>
        <v>0.25609756097560976</v>
      </c>
      <c r="DJ168" s="22">
        <f t="shared" si="609"/>
        <v>0.16666666666666674</v>
      </c>
      <c r="DK168" s="22">
        <f t="shared" si="609"/>
        <v>0.21839080459770122</v>
      </c>
      <c r="DL168" s="21">
        <f t="shared" si="609"/>
        <v>0.17919075144508678</v>
      </c>
      <c r="DM168" s="22">
        <f t="shared" si="609"/>
        <v>0.1914893617021276</v>
      </c>
      <c r="DN168" s="22">
        <f t="shared" si="609"/>
        <v>-7.7669902912621325E-2</v>
      </c>
      <c r="DO168" s="22">
        <f t="shared" si="609"/>
        <v>3.8095238095238182E-2</v>
      </c>
      <c r="DP168" s="22">
        <f t="shared" si="609"/>
        <v>-0.13207547169811318</v>
      </c>
      <c r="DQ168" s="21">
        <f t="shared" si="609"/>
        <v>0</v>
      </c>
      <c r="DR168" s="22">
        <f t="shared" si="609"/>
        <v>-9.8214285714285698E-2</v>
      </c>
      <c r="DS168" s="22">
        <f t="shared" si="609"/>
        <v>0.22105263157894739</v>
      </c>
      <c r="DT168" s="22">
        <f t="shared" si="609"/>
        <v>-8.256880733944949E-2</v>
      </c>
      <c r="DU168" s="22">
        <f t="shared" si="609"/>
        <v>0.14130434782608692</v>
      </c>
      <c r="DV168" s="21">
        <f t="shared" si="609"/>
        <v>3.4313725490196179E-2</v>
      </c>
      <c r="DW168" s="22">
        <f>DW167/DR167-1</f>
        <v>6.9306930693069368E-2</v>
      </c>
      <c r="DX168" s="22">
        <f t="shared" si="609"/>
        <v>6.8965517241379226E-2</v>
      </c>
      <c r="DY168" s="22">
        <f t="shared" si="609"/>
        <v>0.27</v>
      </c>
      <c r="DZ168" s="22">
        <f t="shared" ref="DZ168:EI168" si="610">DZ167/DU167-1</f>
        <v>5.7142857142857162E-2</v>
      </c>
      <c r="EA168" s="21">
        <f t="shared" si="610"/>
        <v>0.11374407582938395</v>
      </c>
      <c r="EB168" s="22">
        <f t="shared" si="610"/>
        <v>0.12962962962962954</v>
      </c>
      <c r="EC168" s="22">
        <f t="shared" si="610"/>
        <v>-5.6451612903225756E-2</v>
      </c>
      <c r="ED168" s="22">
        <f t="shared" si="610"/>
        <v>-7.8740157480314932E-2</v>
      </c>
      <c r="EE168" s="22">
        <f t="shared" si="610"/>
        <v>1.8018018018018056E-2</v>
      </c>
      <c r="EF168" s="21">
        <f t="shared" si="610"/>
        <v>-2.1276595744680327E-3</v>
      </c>
      <c r="EG168" s="22">
        <f t="shared" si="610"/>
        <v>-0.34426229508196726</v>
      </c>
      <c r="EH168" s="22">
        <f t="shared" si="610"/>
        <v>-0.22222222222222221</v>
      </c>
      <c r="EI168" s="22">
        <f t="shared" si="610"/>
        <v>-0.12820512820512819</v>
      </c>
      <c r="EJ168" s="22">
        <f t="shared" ref="EJ168:EN168" si="611">EJ167/EE167-1</f>
        <v>-0.19469026548672563</v>
      </c>
      <c r="EK168" s="21">
        <f t="shared" si="611"/>
        <v>-0.22388059701492535</v>
      </c>
      <c r="EL168" s="22">
        <f t="shared" si="611"/>
        <v>0.14999999999999991</v>
      </c>
      <c r="EM168" s="22">
        <f t="shared" si="611"/>
        <v>-4.3956043956043911E-2</v>
      </c>
      <c r="EN168" s="22">
        <f t="shared" si="611"/>
        <v>-0.16666666666666663</v>
      </c>
      <c r="EO168" s="22">
        <f t="shared" ref="EO168" si="612">EO167/EJ167-1</f>
        <v>-7.6923076923076872E-2</v>
      </c>
      <c r="EP168" s="21">
        <f t="shared" ref="EP168:EQ168" si="613">EP167/EK167-1</f>
        <v>-4.3956043956043911E-2</v>
      </c>
      <c r="EQ168" s="22">
        <f t="shared" si="613"/>
        <v>-2.1739130434782594E-2</v>
      </c>
      <c r="ER168" s="22">
        <f t="shared" ref="ER168" si="614">ER167/EM167-1</f>
        <v>2.9616579443165314E-2</v>
      </c>
      <c r="ES168" s="22">
        <f t="shared" ref="ES168:EU168" si="615">ES167/EN167-1</f>
        <v>8.4642903058579799E-2</v>
      </c>
      <c r="ET168" s="22">
        <f t="shared" si="615"/>
        <v>6.8026949249389901E-2</v>
      </c>
      <c r="EU168" s="270">
        <f t="shared" si="615"/>
        <v>3.8751588817480975E-2</v>
      </c>
      <c r="EV168" s="243"/>
      <c r="EW168" s="243"/>
      <c r="EX168" s="243"/>
      <c r="EY168" s="243"/>
      <c r="EZ168" s="844">
        <f>EZ167/EU167-1</f>
        <v>3.5283647256389772E-2</v>
      </c>
      <c r="FA168" s="243"/>
      <c r="FB168" s="243"/>
      <c r="FC168" s="243"/>
      <c r="FD168" s="243"/>
      <c r="FE168" s="844">
        <f>FE167/EZ167-1</f>
        <v>3.9053063342039618E-2</v>
      </c>
      <c r="FF168" s="791"/>
      <c r="FG168" s="618"/>
      <c r="FH168" s="1020"/>
      <c r="FI168" s="1073"/>
      <c r="FJ168" s="1073"/>
      <c r="FK168" s="1073"/>
      <c r="FL168" s="1806"/>
      <c r="FM168" s="22">
        <f t="shared" si="500"/>
        <v>-2.1739130434782594E-2</v>
      </c>
      <c r="FN168" s="22">
        <f t="shared" si="501"/>
        <v>0.14999999999999991</v>
      </c>
      <c r="FO168" s="2041">
        <v>-3.4031138308242115E-2</v>
      </c>
      <c r="FP168" s="1892">
        <f t="shared" ref="FP168:FQ170" si="616">IFERROR(($FM168-FN168)*10000,"")</f>
        <v>-1717.3913043478251</v>
      </c>
      <c r="FQ168" s="1892">
        <f t="shared" si="616"/>
        <v>122.92007873459521</v>
      </c>
      <c r="FR168" s="575"/>
      <c r="FS168" s="1579" t="s">
        <v>792</v>
      </c>
      <c r="FT168" s="575"/>
      <c r="FU168" s="120"/>
      <c r="FV168" s="120"/>
      <c r="FW168" s="120"/>
      <c r="FX168" s="120"/>
      <c r="FY168" s="120"/>
      <c r="FZ168" s="120"/>
      <c r="GA168" s="618"/>
      <c r="GB168"/>
      <c r="GC168"/>
      <c r="GD168"/>
      <c r="GE168"/>
      <c r="GF168"/>
      <c r="GG168"/>
      <c r="GH168" s="973"/>
      <c r="GI168" s="973"/>
      <c r="GJ168" s="973"/>
      <c r="GK168" s="973"/>
      <c r="GL168" s="973"/>
      <c r="GM168" s="973"/>
      <c r="GN168" s="973"/>
      <c r="GO168" s="973"/>
      <c r="GP168" s="973"/>
      <c r="GQ168" s="973"/>
      <c r="GR168" s="973"/>
      <c r="GS168" s="973"/>
      <c r="GT168" s="973"/>
      <c r="GU168" s="973"/>
      <c r="GV168" s="973"/>
      <c r="GW168" s="973"/>
      <c r="GX168" s="973"/>
      <c r="GY168" s="973"/>
      <c r="GZ168" s="973"/>
      <c r="HA168" s="973"/>
      <c r="HB168" s="973"/>
      <c r="HC168" s="973"/>
      <c r="HD168" s="973"/>
      <c r="HE168" s="973"/>
      <c r="HF168" s="973"/>
      <c r="HG168" s="973"/>
      <c r="HH168" s="973"/>
      <c r="HI168" s="973"/>
      <c r="HJ168" s="973"/>
      <c r="HK168" s="973"/>
      <c r="HL168" s="973"/>
      <c r="HM168" s="973"/>
      <c r="HN168" s="973"/>
      <c r="HO168" s="973"/>
      <c r="HP168" s="973"/>
      <c r="HQ168" s="973"/>
      <c r="HR168" s="973"/>
      <c r="HS168" s="973"/>
      <c r="HT168" s="973"/>
      <c r="HU168" s="973"/>
      <c r="HV168" s="973"/>
      <c r="HW168" s="973"/>
      <c r="HX168" s="973"/>
      <c r="HY168" s="973"/>
      <c r="HZ168" s="973"/>
      <c r="IA168" s="973"/>
      <c r="IB168" s="973"/>
      <c r="IC168" s="973"/>
      <c r="ID168" s="973"/>
      <c r="IE168" s="973"/>
      <c r="IF168" s="973"/>
      <c r="IG168" s="973"/>
      <c r="IH168" s="973"/>
      <c r="II168" s="973"/>
      <c r="IJ168" s="973"/>
      <c r="IK168" s="973"/>
      <c r="IL168" s="973"/>
      <c r="IM168" s="973"/>
      <c r="IN168" s="973"/>
      <c r="IO168" s="973"/>
      <c r="IP168" s="973"/>
      <c r="IQ168" s="973"/>
      <c r="IR168" s="973"/>
      <c r="IS168" s="973"/>
      <c r="IT168" s="973"/>
      <c r="IU168" s="973"/>
      <c r="IV168" s="973"/>
    </row>
    <row r="169" spans="1:256" s="191" customFormat="1" ht="12.75" x14ac:dyDescent="0.2">
      <c r="A169" s="420" t="s">
        <v>471</v>
      </c>
      <c r="B169" s="27"/>
      <c r="C169" s="27"/>
      <c r="D169" s="27"/>
      <c r="E169" s="213"/>
      <c r="F169" s="28"/>
      <c r="G169" s="27">
        <f t="shared" ref="G169:AL169" si="617">G167/G$214</f>
        <v>7.0401719736665314E-2</v>
      </c>
      <c r="H169" s="27">
        <f t="shared" si="617"/>
        <v>7.1176789587852507E-2</v>
      </c>
      <c r="I169" s="27">
        <f t="shared" si="617"/>
        <v>7.6605693852289894E-2</v>
      </c>
      <c r="J169" s="213">
        <f t="shared" si="617"/>
        <v>6.4441100013681765E-2</v>
      </c>
      <c r="K169" s="28">
        <f t="shared" si="617"/>
        <v>7.0648661519099279E-2</v>
      </c>
      <c r="L169" s="27">
        <f t="shared" si="617"/>
        <v>7.2503419972640218E-2</v>
      </c>
      <c r="M169" s="27">
        <f t="shared" si="617"/>
        <v>7.6006806579693706E-2</v>
      </c>
      <c r="N169" s="27">
        <f t="shared" si="617"/>
        <v>6.8601211438230753E-2</v>
      </c>
      <c r="O169" s="213">
        <f t="shared" si="617"/>
        <v>6.4097193129451169E-2</v>
      </c>
      <c r="P169" s="28">
        <f t="shared" si="617"/>
        <v>7.0295576829012649E-2</v>
      </c>
      <c r="Q169" s="27">
        <f t="shared" si="617"/>
        <v>7.8556881000872852E-2</v>
      </c>
      <c r="R169" s="27">
        <f t="shared" si="617"/>
        <v>7.2798544029119408E-2</v>
      </c>
      <c r="S169" s="27">
        <f t="shared" si="617"/>
        <v>7.6049314309461144E-2</v>
      </c>
      <c r="T169" s="213">
        <f t="shared" si="617"/>
        <v>6.970988587927951E-2</v>
      </c>
      <c r="U169" s="28">
        <f t="shared" si="617"/>
        <v>7.422217545336561E-2</v>
      </c>
      <c r="V169" s="27">
        <f t="shared" si="617"/>
        <v>7.2880652745125174E-2</v>
      </c>
      <c r="W169" s="27">
        <f t="shared" si="617"/>
        <v>7.7819918527883128E-2</v>
      </c>
      <c r="X169" s="27">
        <f t="shared" si="617"/>
        <v>7.1135043219498373E-2</v>
      </c>
      <c r="Y169" s="213">
        <f t="shared" si="617"/>
        <v>6.9358327325162228E-2</v>
      </c>
      <c r="Z169" s="28">
        <f t="shared" si="617"/>
        <v>7.2824783007550645E-2</v>
      </c>
      <c r="AA169" s="27">
        <f t="shared" si="617"/>
        <v>7.5626740947075208E-2</v>
      </c>
      <c r="AB169" s="27">
        <f t="shared" si="617"/>
        <v>7.3083287369001645E-2</v>
      </c>
      <c r="AC169" s="27">
        <f t="shared" si="617"/>
        <v>7.5291473521562027E-2</v>
      </c>
      <c r="AD169" s="213">
        <f t="shared" si="617"/>
        <v>7.2808114492149495E-2</v>
      </c>
      <c r="AE169" s="28">
        <f t="shared" si="617"/>
        <v>7.4196465841101997E-2</v>
      </c>
      <c r="AF169" s="27">
        <f t="shared" si="617"/>
        <v>7.1409503470368382E-2</v>
      </c>
      <c r="AG169" s="27">
        <f t="shared" si="617"/>
        <v>6.6510603139630947E-2</v>
      </c>
      <c r="AH169" s="27">
        <f t="shared" si="617"/>
        <v>5.4434080467771123E-2</v>
      </c>
      <c r="AI169" s="213">
        <f t="shared" si="617"/>
        <v>5.7665456576375305E-2</v>
      </c>
      <c r="AJ169" s="28">
        <f t="shared" si="617"/>
        <v>6.2613835526994052E-2</v>
      </c>
      <c r="AK169" s="27">
        <f t="shared" si="617"/>
        <v>5.696873343932167E-2</v>
      </c>
      <c r="AL169" s="27">
        <f t="shared" si="617"/>
        <v>5.9485094850948508E-2</v>
      </c>
      <c r="AM169" s="27">
        <f t="shared" ref="AM169:BR169" si="618">AM167/AM$214</f>
        <v>5.752396832013338E-2</v>
      </c>
      <c r="AN169" s="213">
        <f t="shared" si="618"/>
        <v>5.2980132450331126E-2</v>
      </c>
      <c r="AO169" s="28">
        <f t="shared" si="618"/>
        <v>5.6752800190651272E-2</v>
      </c>
      <c r="AP169" s="27">
        <f t="shared" si="618"/>
        <v>5.4676258992805753E-2</v>
      </c>
      <c r="AQ169" s="27">
        <f t="shared" si="618"/>
        <v>6.3102893890675249E-2</v>
      </c>
      <c r="AR169" s="27">
        <f t="shared" si="618"/>
        <v>5.6598748168864024E-2</v>
      </c>
      <c r="AS169" s="213">
        <f t="shared" si="618"/>
        <v>5.3475935828877004E-2</v>
      </c>
      <c r="AT169" s="28">
        <f t="shared" si="618"/>
        <v>5.6947305468801911E-2</v>
      </c>
      <c r="AU169" s="27">
        <f t="shared" si="618"/>
        <v>6.0215844984056903E-2</v>
      </c>
      <c r="AV169" s="27">
        <f t="shared" si="618"/>
        <v>6.2340966921119595E-2</v>
      </c>
      <c r="AW169" s="27">
        <f t="shared" si="618"/>
        <v>5.4430379746835442E-2</v>
      </c>
      <c r="AX169" s="213">
        <f t="shared" si="618"/>
        <v>5.7840616966580979E-2</v>
      </c>
      <c r="AY169" s="28">
        <f t="shared" si="618"/>
        <v>5.8717738373193669E-2</v>
      </c>
      <c r="AZ169" s="27">
        <f t="shared" si="618"/>
        <v>4.7919293820933163E-2</v>
      </c>
      <c r="BA169" s="27">
        <f t="shared" si="618"/>
        <v>4.1164658634538151E-2</v>
      </c>
      <c r="BB169" s="27">
        <f t="shared" si="618"/>
        <v>4.5790251107828653E-2</v>
      </c>
      <c r="BC169" s="213">
        <f t="shared" si="618"/>
        <v>4.7226386806596701E-2</v>
      </c>
      <c r="BD169" s="28">
        <f t="shared" si="618"/>
        <v>4.55662273844092E-2</v>
      </c>
      <c r="BE169" s="27">
        <f t="shared" si="618"/>
        <v>4.5685279187817257E-2</v>
      </c>
      <c r="BF169" s="27">
        <f t="shared" si="618"/>
        <v>2.9680365296803651E-2</v>
      </c>
      <c r="BG169" s="27">
        <f t="shared" si="618"/>
        <v>3.7009063444108758E-2</v>
      </c>
      <c r="BH169" s="213">
        <f t="shared" si="618"/>
        <v>4.6875E-2</v>
      </c>
      <c r="BI169" s="28">
        <f t="shared" si="618"/>
        <v>3.9917925760119384E-2</v>
      </c>
      <c r="BJ169" s="27">
        <f t="shared" si="618"/>
        <v>5.0187265917602995E-2</v>
      </c>
      <c r="BK169" s="27">
        <f t="shared" si="618"/>
        <v>4.4274809160305344E-2</v>
      </c>
      <c r="BL169" s="27">
        <f t="shared" si="618"/>
        <v>3.9588281868566902E-2</v>
      </c>
      <c r="BM169" s="213">
        <f t="shared" si="618"/>
        <v>3.6653386454183264E-2</v>
      </c>
      <c r="BN169" s="28">
        <f t="shared" si="618"/>
        <v>4.2804570985860935E-2</v>
      </c>
      <c r="BO169" s="27">
        <f t="shared" si="618"/>
        <v>4.2823156225218081E-2</v>
      </c>
      <c r="BP169" s="27">
        <f t="shared" si="618"/>
        <v>4.4846577498033044E-2</v>
      </c>
      <c r="BQ169" s="27">
        <f t="shared" si="618"/>
        <v>5.0505050505050504E-2</v>
      </c>
      <c r="BR169" s="213">
        <f t="shared" si="618"/>
        <v>4.1763341067285381E-2</v>
      </c>
      <c r="BS169" s="28">
        <f t="shared" ref="BS169:CX169" si="619">BS167/BS$214</f>
        <v>4.4992175273865412E-2</v>
      </c>
      <c r="BT169" s="27">
        <f t="shared" si="619"/>
        <v>4.736842105263158E-2</v>
      </c>
      <c r="BU169" s="27">
        <f t="shared" si="619"/>
        <v>4.5692883895131084E-2</v>
      </c>
      <c r="BV169" s="27">
        <f t="shared" si="619"/>
        <v>4.8951048951048952E-2</v>
      </c>
      <c r="BW169" s="213">
        <f t="shared" si="619"/>
        <v>4.3866171003717473E-2</v>
      </c>
      <c r="BX169" s="28">
        <f t="shared" si="619"/>
        <v>4.6441381914291105E-2</v>
      </c>
      <c r="BY169" s="27">
        <f t="shared" si="619"/>
        <v>5.0482553823311065E-2</v>
      </c>
      <c r="BZ169" s="27">
        <f t="shared" si="619"/>
        <v>5.1873198847262249E-2</v>
      </c>
      <c r="CA169" s="27">
        <f t="shared" si="619"/>
        <v>5.2593659942363112E-2</v>
      </c>
      <c r="CB169" s="213">
        <f t="shared" si="619"/>
        <v>4.9764626765299261E-2</v>
      </c>
      <c r="CC169" s="28">
        <f t="shared" si="619"/>
        <v>5.4243054243054242E-2</v>
      </c>
      <c r="CD169" s="27">
        <f t="shared" si="619"/>
        <v>5.0064184852374842E-2</v>
      </c>
      <c r="CE169" s="27">
        <f t="shared" si="619"/>
        <v>5.1265412070084358E-2</v>
      </c>
      <c r="CF169" s="27">
        <f t="shared" si="619"/>
        <v>5.4087277197295634E-2</v>
      </c>
      <c r="CG169" s="213">
        <f t="shared" si="619"/>
        <v>4.2092603728202047E-2</v>
      </c>
      <c r="CH169" s="28">
        <f t="shared" si="619"/>
        <v>4.9303490374080453E-2</v>
      </c>
      <c r="CI169" s="27">
        <f t="shared" si="619"/>
        <v>5.0228310502283102E-2</v>
      </c>
      <c r="CJ169" s="27">
        <f t="shared" si="619"/>
        <v>4.9562682215743441E-2</v>
      </c>
      <c r="CK169" s="27">
        <f t="shared" si="619"/>
        <v>4.9463647199046487E-2</v>
      </c>
      <c r="CL169" s="213">
        <f t="shared" si="619"/>
        <v>5.2785923753665691E-2</v>
      </c>
      <c r="CM169" s="28">
        <f t="shared" si="619"/>
        <v>5.0510948905109487E-2</v>
      </c>
      <c r="CN169" s="27">
        <f t="shared" si="619"/>
        <v>5.1774287376381616E-2</v>
      </c>
      <c r="CO169" s="27">
        <f t="shared" si="619"/>
        <v>5.3909952606635073E-2</v>
      </c>
      <c r="CP169" s="27">
        <f t="shared" si="619"/>
        <v>5.2631578947368418E-2</v>
      </c>
      <c r="CQ169" s="213">
        <f t="shared" si="619"/>
        <v>5.1470588235294115E-2</v>
      </c>
      <c r="CR169" s="28">
        <f t="shared" si="619"/>
        <v>5.2431721922009636E-2</v>
      </c>
      <c r="CS169" s="27">
        <f t="shared" si="619"/>
        <v>5.2907281299109481E-2</v>
      </c>
      <c r="CT169" s="27">
        <f t="shared" si="619"/>
        <v>4.8830111902339775E-2</v>
      </c>
      <c r="CU169" s="27">
        <f t="shared" si="619"/>
        <v>4.8000000000000001E-2</v>
      </c>
      <c r="CV169" s="213">
        <f t="shared" si="619"/>
        <v>5.1509769094138541E-2</v>
      </c>
      <c r="CW169" s="28">
        <f t="shared" si="619"/>
        <v>5.0237969328397671E-2</v>
      </c>
      <c r="CX169" s="421">
        <f t="shared" si="619"/>
        <v>5.705128205128205E-2</v>
      </c>
      <c r="CY169" s="421">
        <f t="shared" ref="CY169:ED169" si="620">CY167/CY$214</f>
        <v>5.4715622750179986E-2</v>
      </c>
      <c r="CZ169" s="421">
        <f t="shared" si="620"/>
        <v>4.7968021319120584E-2</v>
      </c>
      <c r="DA169" s="27">
        <f t="shared" si="620"/>
        <v>4.6242774566473986E-2</v>
      </c>
      <c r="DB169" s="28">
        <f t="shared" si="620"/>
        <v>5.1439986682204092E-2</v>
      </c>
      <c r="DC169" s="421">
        <f t="shared" si="620"/>
        <v>5.1693404634581108E-2</v>
      </c>
      <c r="DD169" s="421">
        <f t="shared" si="620"/>
        <v>4.8320565704183853E-2</v>
      </c>
      <c r="DE169" s="421">
        <f t="shared" si="620"/>
        <v>5.2631578947368418E-2</v>
      </c>
      <c r="DF169" s="27">
        <f t="shared" si="620"/>
        <v>4.9714285714285711E-2</v>
      </c>
      <c r="DG169" s="422">
        <f t="shared" si="620"/>
        <v>5.0584795321637427E-2</v>
      </c>
      <c r="DH169" s="27">
        <f t="shared" si="620"/>
        <v>4.7910295616717634E-2</v>
      </c>
      <c r="DI169" s="421">
        <f t="shared" si="620"/>
        <v>5.1732797589151183E-2</v>
      </c>
      <c r="DJ169" s="421">
        <f t="shared" si="620"/>
        <v>5.3818554587391085E-2</v>
      </c>
      <c r="DK169" s="27">
        <f t="shared" si="620"/>
        <v>5.3079619429143715E-2</v>
      </c>
      <c r="DL169" s="422">
        <f t="shared" si="620"/>
        <v>5.1639033033793191E-2</v>
      </c>
      <c r="DM169" s="27">
        <f t="shared" si="620"/>
        <v>5.4794520547945202E-2</v>
      </c>
      <c r="DN169" s="421">
        <f t="shared" si="620"/>
        <v>4.8969072164948453E-2</v>
      </c>
      <c r="DO169" s="421">
        <f t="shared" si="620"/>
        <v>5.5555555555555552E-2</v>
      </c>
      <c r="DP169" s="27">
        <f t="shared" si="620"/>
        <v>4.6700507614213196E-2</v>
      </c>
      <c r="DQ169" s="422">
        <f t="shared" si="620"/>
        <v>5.1541182415361292E-2</v>
      </c>
      <c r="DR169" s="27">
        <f t="shared" si="620"/>
        <v>4.9340498290180751E-2</v>
      </c>
      <c r="DS169" s="421">
        <f t="shared" si="620"/>
        <v>5.9003051881993895E-2</v>
      </c>
      <c r="DT169" s="27">
        <f t="shared" si="620"/>
        <v>5.0632911392405063E-2</v>
      </c>
      <c r="DU169" s="27">
        <f t="shared" si="620"/>
        <v>5.2499999999999998E-2</v>
      </c>
      <c r="DV169" s="422">
        <f t="shared" si="620"/>
        <v>5.2829243865798695E-2</v>
      </c>
      <c r="DW169" s="27">
        <f t="shared" si="620"/>
        <v>5.3412462908011868E-2</v>
      </c>
      <c r="DX169" s="421">
        <f t="shared" si="620"/>
        <v>6.1295106277805239E-2</v>
      </c>
      <c r="DY169" s="27">
        <f t="shared" si="620"/>
        <v>6.2719146624524671E-2</v>
      </c>
      <c r="DZ169" s="27">
        <f t="shared" si="620"/>
        <v>5.6088933804951994E-2</v>
      </c>
      <c r="EA169" s="422">
        <f t="shared" si="620"/>
        <v>5.8393072345289419E-2</v>
      </c>
      <c r="EB169" s="27">
        <f t="shared" si="620"/>
        <v>6.2213156552779196E-2</v>
      </c>
      <c r="EC169" s="421">
        <f t="shared" si="620"/>
        <v>6.1611374407582936E-2</v>
      </c>
      <c r="ED169" s="27">
        <f t="shared" si="620"/>
        <v>6.1872025383395028E-2</v>
      </c>
      <c r="EE169" s="27">
        <f t="shared" ref="EE169:EU169" si="621">EE167/EE$214</f>
        <v>6.0234541577825158E-2</v>
      </c>
      <c r="EF169" s="422">
        <f t="shared" si="621"/>
        <v>6.1492067654385738E-2</v>
      </c>
      <c r="EG169" s="27">
        <f t="shared" si="621"/>
        <v>4.714201532115498E-2</v>
      </c>
      <c r="EH169" s="421">
        <f t="shared" si="621"/>
        <v>5.4038004750593824E-2</v>
      </c>
      <c r="EI169" s="27">
        <f t="shared" si="621"/>
        <v>5.9859154929577461E-2</v>
      </c>
      <c r="EJ169" s="27">
        <f t="shared" si="621"/>
        <v>5.2631578947368418E-2</v>
      </c>
      <c r="EK169" s="422">
        <f t="shared" si="621"/>
        <v>5.3419430584091578E-2</v>
      </c>
      <c r="EL169" s="27">
        <f t="shared" si="621"/>
        <v>5.0605060506050605E-2</v>
      </c>
      <c r="EM169" s="421">
        <f t="shared" si="621"/>
        <v>4.9291784702549572E-2</v>
      </c>
      <c r="EN169" s="27">
        <f t="shared" si="621"/>
        <v>4.788732394366197E-2</v>
      </c>
      <c r="EO169" s="27">
        <f t="shared" ref="EO169:EQ169" si="622">EO167/EO$214</f>
        <v>4.6103183315038418E-2</v>
      </c>
      <c r="EP169" s="422">
        <f t="shared" si="622"/>
        <v>4.8467966573816156E-2</v>
      </c>
      <c r="EQ169" s="27">
        <f t="shared" si="622"/>
        <v>4.7821466524973433E-2</v>
      </c>
      <c r="ER169" s="27">
        <f t="shared" si="621"/>
        <v>4.7796878948300162E-2</v>
      </c>
      <c r="ES169" s="27">
        <f t="shared" si="621"/>
        <v>4.6976728714075482E-2</v>
      </c>
      <c r="ET169" s="27">
        <f t="shared" si="621"/>
        <v>4.6072621122012984E-2</v>
      </c>
      <c r="EU169" s="1979">
        <f t="shared" si="621"/>
        <v>4.715496439648359E-2</v>
      </c>
      <c r="EV169" s="241"/>
      <c r="EW169" s="241"/>
      <c r="EX169" s="241"/>
      <c r="EY169" s="241"/>
      <c r="EZ169" s="835">
        <f>EZ167/EZ$214</f>
        <v>4.7229870405515247E-2</v>
      </c>
      <c r="FA169" s="241"/>
      <c r="FB169" s="241"/>
      <c r="FC169" s="241"/>
      <c r="FD169" s="241"/>
      <c r="FE169" s="835">
        <f>FE167/FE$214</f>
        <v>4.7566649751559331E-2</v>
      </c>
      <c r="FF169" s="790"/>
      <c r="FG169" s="656"/>
      <c r="FH169" s="1073"/>
      <c r="FI169" s="1073"/>
      <c r="FJ169" s="1073"/>
      <c r="FK169" s="1073"/>
      <c r="FL169" s="1806"/>
      <c r="FM169" s="421">
        <f t="shared" si="500"/>
        <v>4.7821466524973433E-2</v>
      </c>
      <c r="FN169" s="421">
        <f t="shared" si="501"/>
        <v>5.0605060506050605E-2</v>
      </c>
      <c r="FO169" s="27">
        <v>4.7152964502736532E-2</v>
      </c>
      <c r="FP169" s="1897">
        <f t="shared" si="616"/>
        <v>-27.835939810771716</v>
      </c>
      <c r="FQ169" s="1897">
        <f t="shared" si="616"/>
        <v>6.6850202223690118</v>
      </c>
      <c r="FR169" s="587"/>
      <c r="FS169" s="1579" t="s">
        <v>723</v>
      </c>
      <c r="FT169" s="1579"/>
      <c r="FU169" s="587"/>
      <c r="FV169" s="587"/>
      <c r="FW169" s="587"/>
      <c r="FX169" s="587"/>
      <c r="FY169" s="587"/>
      <c r="FZ169" s="587"/>
      <c r="GA169" s="656"/>
      <c r="GB169"/>
      <c r="GC169"/>
      <c r="GD169"/>
      <c r="GE169"/>
      <c r="GF169"/>
      <c r="GG169"/>
      <c r="GH169" s="978"/>
      <c r="GI169" s="978"/>
      <c r="GJ169" s="978"/>
      <c r="GK169" s="978"/>
      <c r="GL169" s="978"/>
      <c r="GM169" s="978"/>
      <c r="GN169" s="978"/>
      <c r="GO169" s="978"/>
      <c r="GP169" s="978"/>
      <c r="GQ169" s="978"/>
      <c r="GR169" s="978"/>
      <c r="GS169" s="978"/>
      <c r="GT169" s="978"/>
      <c r="GU169" s="978"/>
      <c r="GV169" s="978"/>
      <c r="GW169" s="978"/>
      <c r="GX169" s="978"/>
      <c r="GY169" s="978"/>
      <c r="GZ169" s="978"/>
      <c r="HA169" s="978"/>
      <c r="HB169" s="978"/>
      <c r="HC169" s="978"/>
      <c r="HD169" s="978"/>
      <c r="HE169" s="978"/>
      <c r="HF169" s="978"/>
      <c r="HG169" s="978"/>
      <c r="HH169" s="978"/>
      <c r="HI169" s="978"/>
      <c r="HJ169" s="978"/>
      <c r="HK169" s="978"/>
      <c r="HL169" s="978"/>
      <c r="HM169" s="978"/>
      <c r="HN169" s="978"/>
      <c r="HO169" s="978"/>
      <c r="HP169" s="978"/>
      <c r="HQ169" s="978"/>
      <c r="HR169" s="978"/>
      <c r="HS169" s="978"/>
      <c r="HT169" s="978"/>
      <c r="HU169" s="978"/>
      <c r="HV169" s="978"/>
      <c r="HW169" s="978"/>
      <c r="HX169" s="978"/>
      <c r="HY169" s="978"/>
      <c r="HZ169" s="978"/>
      <c r="IA169" s="978"/>
      <c r="IB169" s="978"/>
      <c r="IC169" s="978"/>
      <c r="ID169" s="978"/>
      <c r="IE169" s="978"/>
      <c r="IF169" s="978"/>
      <c r="IG169" s="978"/>
      <c r="IH169" s="978"/>
      <c r="II169" s="978"/>
      <c r="IJ169" s="978"/>
      <c r="IK169" s="978"/>
      <c r="IL169" s="978"/>
      <c r="IM169" s="978"/>
      <c r="IN169" s="978"/>
      <c r="IO169" s="978"/>
      <c r="IP169" s="978"/>
      <c r="IQ169" s="978"/>
      <c r="IR169" s="978"/>
      <c r="IS169" s="978"/>
      <c r="IT169" s="978"/>
      <c r="IU169" s="978"/>
      <c r="IV169" s="978"/>
    </row>
    <row r="170" spans="1:256" s="244" customFormat="1" ht="12.75" x14ac:dyDescent="0.2">
      <c r="A170" s="242" t="s">
        <v>484</v>
      </c>
      <c r="B170" s="22"/>
      <c r="C170" s="22"/>
      <c r="D170" s="22"/>
      <c r="E170" s="197"/>
      <c r="F170" s="21"/>
      <c r="G170" s="22"/>
      <c r="H170" s="22"/>
      <c r="I170" s="22"/>
      <c r="J170" s="197"/>
      <c r="K170" s="21"/>
      <c r="L170" s="22">
        <f>L167/P167</f>
        <v>0.26341948310139168</v>
      </c>
      <c r="M170" s="22">
        <f>M167/P167</f>
        <v>0.26640159045725642</v>
      </c>
      <c r="N170" s="22">
        <f>N167/P167</f>
        <v>0.24204771371769393</v>
      </c>
      <c r="O170" s="22">
        <f>O167/P167</f>
        <v>0.22813121272365794</v>
      </c>
      <c r="P170" s="21"/>
      <c r="Q170" s="22">
        <f>Q167/U167</f>
        <v>0.2551984877126654</v>
      </c>
      <c r="R170" s="22">
        <f>R167/U167</f>
        <v>0.24574669187145559</v>
      </c>
      <c r="S170" s="22">
        <f>S167/U167</f>
        <v>0.25945179584120986</v>
      </c>
      <c r="T170" s="22">
        <f>T167/U167</f>
        <v>0.23960302457466914</v>
      </c>
      <c r="U170" s="21"/>
      <c r="V170" s="22">
        <f>V167/Z167</f>
        <v>0.25532945736434109</v>
      </c>
      <c r="W170" s="22">
        <f>W167/Z167</f>
        <v>0.26841085271317827</v>
      </c>
      <c r="X170" s="22">
        <f>X167/Z167</f>
        <v>0.24321705426356591</v>
      </c>
      <c r="Y170" s="22">
        <f>Y167/Z167</f>
        <v>0.23304263565891473</v>
      </c>
      <c r="Z170" s="21"/>
      <c r="AA170" s="22">
        <f>AA167/AE167</f>
        <v>0.25457102672292542</v>
      </c>
      <c r="AB170" s="22">
        <f>AB167/AE167</f>
        <v>0.24847632442569151</v>
      </c>
      <c r="AC170" s="22">
        <f>AC167/AE167</f>
        <v>0.25128926394749179</v>
      </c>
      <c r="AD170" s="22">
        <f>AD167/AE167</f>
        <v>0.24566338490389122</v>
      </c>
      <c r="AE170" s="21"/>
      <c r="AF170" s="22">
        <f>AF167/AJ167</f>
        <v>0.29363336992316136</v>
      </c>
      <c r="AG170" s="22">
        <f>AG167/AJ167</f>
        <v>0.26509330406147091</v>
      </c>
      <c r="AH170" s="22">
        <f>AH167/AJ167</f>
        <v>0.21459934138309553</v>
      </c>
      <c r="AI170" s="22">
        <f>AI167/AJ167</f>
        <v>0.22667398463227223</v>
      </c>
      <c r="AJ170" s="21"/>
      <c r="AK170" s="22">
        <f>AK167/AO167</f>
        <v>0.25794841031793636</v>
      </c>
      <c r="AL170" s="22">
        <f>AL167/AO167</f>
        <v>0.2633473305338932</v>
      </c>
      <c r="AM170" s="22">
        <f>AM167/AO167</f>
        <v>0.24835032993401315</v>
      </c>
      <c r="AN170" s="22">
        <f>AN167/AO167</f>
        <v>0.23035392921415715</v>
      </c>
      <c r="AO170" s="21"/>
      <c r="AP170" s="22">
        <f>AP167/AT167</f>
        <v>0.2438739789964994</v>
      </c>
      <c r="AQ170" s="22">
        <f>AQ167/AT167</f>
        <v>0.27479579929988329</v>
      </c>
      <c r="AR170" s="22">
        <f>AR167/AT167</f>
        <v>0.24795799299883314</v>
      </c>
      <c r="AS170" s="22">
        <f>AS167/AT167</f>
        <v>0.23337222870478413</v>
      </c>
      <c r="AT170" s="21"/>
      <c r="AU170" s="22">
        <f>AU167/AY167</f>
        <v>0.26383664696399789</v>
      </c>
      <c r="AV170" s="22">
        <f>AV167/AY167</f>
        <v>0.26329930145083291</v>
      </c>
      <c r="AW170" s="22">
        <f>AW167/AY167</f>
        <v>0.23105857066093499</v>
      </c>
      <c r="AX170" s="22">
        <f>AX167/AY167</f>
        <v>0.24180548092423429</v>
      </c>
      <c r="AY170" s="21"/>
      <c r="AZ170" s="22">
        <f>AZ167/BD167</f>
        <v>0.18627450980392157</v>
      </c>
      <c r="BA170" s="22">
        <f>BA167/BD167</f>
        <v>0.20098039215686275</v>
      </c>
      <c r="BB170" s="22">
        <f>BB167/BD167</f>
        <v>0.30392156862745096</v>
      </c>
      <c r="BC170" s="22">
        <f>BC167/BD167</f>
        <v>0.30882352941176472</v>
      </c>
      <c r="BD170" s="21"/>
      <c r="BE170" s="22">
        <f>BE167/BI167</f>
        <v>0.29439252336448596</v>
      </c>
      <c r="BF170" s="22">
        <f>BF167/BI167</f>
        <v>0.1822429906542056</v>
      </c>
      <c r="BG170" s="22">
        <f>BG167/BI167</f>
        <v>0.22897196261682243</v>
      </c>
      <c r="BH170" s="22">
        <f>BH167/BI167</f>
        <v>0.29439252336448596</v>
      </c>
      <c r="BI170" s="21"/>
      <c r="BJ170" s="22">
        <f>BJ167/BN167</f>
        <v>0.30316742081447962</v>
      </c>
      <c r="BK170" s="22">
        <f>BK167/BN167</f>
        <v>0.26244343891402716</v>
      </c>
      <c r="BL170" s="22">
        <f>BL167/BN167</f>
        <v>0.22624434389140272</v>
      </c>
      <c r="BM170" s="22">
        <f>BM167/BN167</f>
        <v>0.20814479638009051</v>
      </c>
      <c r="BN170" s="21"/>
      <c r="BO170" s="22">
        <f>BO167/BS167</f>
        <v>0.23478260869565218</v>
      </c>
      <c r="BP170" s="22">
        <f>BP167/BS167</f>
        <v>0.24782608695652175</v>
      </c>
      <c r="BQ170" s="22">
        <f>BQ167/BS167</f>
        <v>0.28260869565217389</v>
      </c>
      <c r="BR170" s="22">
        <f>BR167/BS167</f>
        <v>0.23478260869565218</v>
      </c>
      <c r="BS170" s="21"/>
      <c r="BT170" s="22">
        <f>BT167/BX167</f>
        <v>0.25609756097560976</v>
      </c>
      <c r="BU170" s="22">
        <f>BU167/BX167</f>
        <v>0.24796747967479674</v>
      </c>
      <c r="BV170" s="22">
        <f>BV167/BX167</f>
        <v>0.25609756097560976</v>
      </c>
      <c r="BW170" s="22">
        <f>BW167/BX167</f>
        <v>0.23983739837398374</v>
      </c>
      <c r="BX170" s="21"/>
      <c r="BY170" s="22">
        <f>BY167/CC167</f>
        <v>0.23693379790940766</v>
      </c>
      <c r="BZ170" s="22">
        <f>BZ167/CC167</f>
        <v>0.25087108013937282</v>
      </c>
      <c r="CA170" s="22">
        <f>CA167/CC167</f>
        <v>0.25435540069686413</v>
      </c>
      <c r="CB170" s="22">
        <f>CB167/CC167</f>
        <v>0.25783972125435539</v>
      </c>
      <c r="CC170" s="21"/>
      <c r="CD170" s="22">
        <f>CD167/CH167</f>
        <v>0.24761904761904763</v>
      </c>
      <c r="CE170" s="22">
        <f>CE167/CH167</f>
        <v>0.25079365079365079</v>
      </c>
      <c r="CF170" s="22">
        <f>CF167/CH167</f>
        <v>0.27936507936507937</v>
      </c>
      <c r="CG170" s="22">
        <f>CG167/CH167</f>
        <v>0.22222222222222221</v>
      </c>
      <c r="CH170" s="21"/>
      <c r="CI170" s="22">
        <f>CI167/CM167</f>
        <v>0.25433526011560692</v>
      </c>
      <c r="CJ170" s="22">
        <f>CJ167/CM167</f>
        <v>0.24566473988439305</v>
      </c>
      <c r="CK170" s="22">
        <f>CK167/CM167</f>
        <v>0.23988439306358381</v>
      </c>
      <c r="CL170" s="22">
        <f>CL167/CM167</f>
        <v>0.26011560693641617</v>
      </c>
      <c r="CM170" s="21"/>
      <c r="CN170" s="22">
        <f>CN167/CR167</f>
        <v>0.24791086350974931</v>
      </c>
      <c r="CO170" s="22">
        <f>CO167/CR167</f>
        <v>0.25348189415041783</v>
      </c>
      <c r="CP170" s="22">
        <f>CP167/CR167</f>
        <v>0.24512534818941503</v>
      </c>
      <c r="CQ170" s="22">
        <f>CQ167/CR167</f>
        <v>0.25348189415041783</v>
      </c>
      <c r="CR170" s="21"/>
      <c r="CS170" s="22">
        <f>CS167/CW167</f>
        <v>0.26578947368421052</v>
      </c>
      <c r="CT170" s="22">
        <f>CT167/CW167</f>
        <v>0.25263157894736843</v>
      </c>
      <c r="CU170" s="22">
        <f>CU167/CW167</f>
        <v>0.25263157894736843</v>
      </c>
      <c r="CV170" s="22">
        <f>CV167/CW167</f>
        <v>0.22894736842105262</v>
      </c>
      <c r="CW170" s="21"/>
      <c r="CX170" s="22">
        <f>CX167/DB167</f>
        <v>0.28802588996763756</v>
      </c>
      <c r="CY170" s="22">
        <f>CY167/DB167</f>
        <v>0.2459546925566343</v>
      </c>
      <c r="CZ170" s="22">
        <f>CZ167/DB167</f>
        <v>0.23300970873786409</v>
      </c>
      <c r="DA170" s="22">
        <f>DA167/DB167</f>
        <v>0.23300970873786409</v>
      </c>
      <c r="DB170" s="21"/>
      <c r="DC170" s="22">
        <f>DC167/DG167</f>
        <v>0.25144508670520233</v>
      </c>
      <c r="DD170" s="22">
        <f>DD167/DG167</f>
        <v>0.23699421965317918</v>
      </c>
      <c r="DE170" s="22">
        <f>DE167/DG167</f>
        <v>0.26011560693641617</v>
      </c>
      <c r="DF170" s="22">
        <f>DF167/DG167</f>
        <v>0.25144508670520233</v>
      </c>
      <c r="DG170" s="21"/>
      <c r="DH170" s="22">
        <f>DH167/DL167</f>
        <v>0.23039215686274508</v>
      </c>
      <c r="DI170" s="22">
        <f>DI167/DL167</f>
        <v>0.25245098039215685</v>
      </c>
      <c r="DJ170" s="22">
        <f>DJ167/DL167</f>
        <v>0.25735294117647056</v>
      </c>
      <c r="DK170" s="22">
        <f>DK167/DL167</f>
        <v>0.25980392156862747</v>
      </c>
      <c r="DL170" s="21"/>
      <c r="DM170" s="22">
        <f>DM167/DQ167</f>
        <v>0.27450980392156865</v>
      </c>
      <c r="DN170" s="22">
        <f>DN167/DQ167</f>
        <v>0.23284313725490197</v>
      </c>
      <c r="DO170" s="22">
        <f>DO167/DQ167</f>
        <v>0.26715686274509803</v>
      </c>
      <c r="DP170" s="22">
        <f>DP167/DQ167</f>
        <v>0.22549019607843138</v>
      </c>
      <c r="DQ170" s="21"/>
      <c r="DR170" s="22">
        <f>DR167/DV167</f>
        <v>0.23933649289099526</v>
      </c>
      <c r="DS170" s="22">
        <f>DS167/DV167</f>
        <v>0.27488151658767773</v>
      </c>
      <c r="DT170" s="22">
        <f>DT167/DV167</f>
        <v>0.23696682464454977</v>
      </c>
      <c r="DU170" s="22">
        <f>DU167/DV167</f>
        <v>0.24881516587677724</v>
      </c>
      <c r="DV170" s="21"/>
      <c r="DW170" s="22">
        <f>DW167/EA167</f>
        <v>0.22978723404255319</v>
      </c>
      <c r="DX170" s="22">
        <f>DX167/EA167</f>
        <v>0.26382978723404255</v>
      </c>
      <c r="DY170" s="22">
        <f>DY167/EA167</f>
        <v>0.27021276595744681</v>
      </c>
      <c r="DZ170" s="22">
        <f>DZ167/EA167</f>
        <v>0.23617021276595745</v>
      </c>
      <c r="EA170" s="21"/>
      <c r="EB170" s="22">
        <f>EB167/EF167</f>
        <v>0.26012793176972282</v>
      </c>
      <c r="EC170" s="22">
        <f>EC167/EF167</f>
        <v>0.24946695095948826</v>
      </c>
      <c r="ED170" s="22">
        <f>ED167/EF167</f>
        <v>0.24946695095948826</v>
      </c>
      <c r="EE170" s="22">
        <f>EE167/EF167</f>
        <v>0.24093816631130063</v>
      </c>
      <c r="EF170" s="21"/>
      <c r="EG170" s="22">
        <f>EG167/EK167</f>
        <v>0.21978021978021978</v>
      </c>
      <c r="EH170" s="22">
        <f>EH167/EK167</f>
        <v>0.25</v>
      </c>
      <c r="EI170" s="22">
        <f>EI167/EK167</f>
        <v>0.28021978021978022</v>
      </c>
      <c r="EJ170" s="22">
        <f>EJ167/EK167</f>
        <v>0.25</v>
      </c>
      <c r="EK170" s="21"/>
      <c r="EL170" s="22">
        <f>EL167/EP167</f>
        <v>0.26436781609195403</v>
      </c>
      <c r="EM170" s="22">
        <f>EM167/EP167</f>
        <v>0.25</v>
      </c>
      <c r="EN170" s="22">
        <f>EN167/EP167</f>
        <v>0.2442528735632184</v>
      </c>
      <c r="EO170" s="22">
        <f>EO167/EP167</f>
        <v>0.2413793103448276</v>
      </c>
      <c r="EP170" s="21"/>
      <c r="EQ170" s="22">
        <f>EQ167/EU167</f>
        <v>0.24897260561554208</v>
      </c>
      <c r="ER170" s="22">
        <f t="shared" ref="ER170:ET170" si="623">ER167/$EU167</f>
        <v>0.24780144514996241</v>
      </c>
      <c r="ES170" s="22">
        <f t="shared" si="623"/>
        <v>0.25504379364040591</v>
      </c>
      <c r="ET170" s="22">
        <f t="shared" si="623"/>
        <v>0.24818215559408965</v>
      </c>
      <c r="EU170" s="270"/>
      <c r="EV170" s="243"/>
      <c r="EW170" s="243"/>
      <c r="EX170" s="243"/>
      <c r="EY170" s="243"/>
      <c r="EZ170" s="844"/>
      <c r="FA170" s="243"/>
      <c r="FB170" s="243"/>
      <c r="FC170" s="243"/>
      <c r="FD170" s="243"/>
      <c r="FE170" s="844"/>
      <c r="FF170" s="791"/>
      <c r="FG170" s="618"/>
      <c r="FH170" s="1073"/>
      <c r="FI170" s="1073"/>
      <c r="FJ170" s="1073"/>
      <c r="FK170" s="1073"/>
      <c r="FL170" s="1806"/>
      <c r="FM170" s="22">
        <f t="shared" ref="FM170:FM201" si="624">EQ170</f>
        <v>0.24897260561554208</v>
      </c>
      <c r="FN170" s="22">
        <f t="shared" ref="FN170:FN201" si="625">EL170</f>
        <v>0.26436781609195403</v>
      </c>
      <c r="FO170" s="2041">
        <v>0.24820156482040828</v>
      </c>
      <c r="FP170" s="1892">
        <f t="shared" si="616"/>
        <v>-153.95210476411958</v>
      </c>
      <c r="FQ170" s="1892">
        <f t="shared" si="616"/>
        <v>7.7104079513379276</v>
      </c>
      <c r="FR170" s="587"/>
      <c r="FS170" s="587"/>
      <c r="FT170" s="1579"/>
      <c r="FU170" s="120"/>
      <c r="FV170" s="120"/>
      <c r="FW170" s="120"/>
      <c r="FX170" s="120"/>
      <c r="FY170" s="120"/>
      <c r="FZ170" s="120"/>
      <c r="GA170" s="618"/>
      <c r="GB170"/>
      <c r="GC170"/>
      <c r="GD170"/>
      <c r="GE170"/>
      <c r="GF170"/>
      <c r="GG170"/>
      <c r="GH170" s="973"/>
      <c r="GI170" s="973"/>
      <c r="GJ170" s="973"/>
      <c r="GK170" s="973"/>
      <c r="GL170" s="973"/>
      <c r="GM170" s="973"/>
      <c r="GN170" s="973"/>
      <c r="GO170" s="973"/>
      <c r="GP170" s="973"/>
      <c r="GQ170" s="973"/>
      <c r="GR170" s="973"/>
      <c r="GS170" s="973"/>
      <c r="GT170" s="973"/>
      <c r="GU170" s="973"/>
      <c r="GV170" s="973"/>
      <c r="GW170" s="973"/>
      <c r="GX170" s="973"/>
      <c r="GY170" s="973"/>
      <c r="GZ170" s="973"/>
      <c r="HA170" s="973"/>
      <c r="HB170" s="973"/>
      <c r="HC170" s="973"/>
      <c r="HD170" s="973"/>
      <c r="HE170" s="973"/>
      <c r="HF170" s="973"/>
      <c r="HG170" s="973"/>
      <c r="HH170" s="973"/>
      <c r="HI170" s="973"/>
      <c r="HJ170" s="973"/>
      <c r="HK170" s="973"/>
      <c r="HL170" s="973"/>
      <c r="HM170" s="973"/>
      <c r="HN170" s="973"/>
      <c r="HO170" s="973"/>
      <c r="HP170" s="973"/>
      <c r="HQ170" s="973"/>
      <c r="HR170" s="973"/>
      <c r="HS170" s="973"/>
      <c r="HT170" s="973"/>
      <c r="HU170" s="973"/>
      <c r="HV170" s="973"/>
      <c r="HW170" s="973"/>
      <c r="HX170" s="973"/>
      <c r="HY170" s="973"/>
      <c r="HZ170" s="973"/>
      <c r="IA170" s="973"/>
      <c r="IB170" s="973"/>
      <c r="IC170" s="973"/>
      <c r="ID170" s="973"/>
      <c r="IE170" s="973"/>
      <c r="IF170" s="973"/>
      <c r="IG170" s="973"/>
      <c r="IH170" s="973"/>
      <c r="II170" s="973"/>
      <c r="IJ170" s="973"/>
      <c r="IK170" s="973"/>
      <c r="IL170" s="973"/>
      <c r="IM170" s="973"/>
      <c r="IN170" s="973"/>
      <c r="IO170" s="973"/>
      <c r="IP170" s="973"/>
      <c r="IQ170" s="973"/>
      <c r="IR170" s="973"/>
      <c r="IS170" s="973"/>
      <c r="IT170" s="973"/>
      <c r="IU170" s="973"/>
      <c r="IV170" s="973"/>
    </row>
    <row r="171" spans="1:256" s="49" customFormat="1" ht="12.75" x14ac:dyDescent="0.2">
      <c r="A171" s="35" t="str">
        <f>A167&amp;" per Carload"</f>
        <v>Materials per Carload</v>
      </c>
      <c r="B171" s="20"/>
      <c r="C171" s="20"/>
      <c r="D171" s="20"/>
      <c r="E171" s="205"/>
      <c r="F171" s="48"/>
      <c r="G171" s="20"/>
      <c r="H171" s="20"/>
      <c r="I171" s="20"/>
      <c r="J171" s="205"/>
      <c r="K171" s="48"/>
      <c r="L171" s="20">
        <f t="shared" ref="L171:BW171" si="626">L167/L$13*1000</f>
        <v>55.754260467073436</v>
      </c>
      <c r="M171" s="20">
        <f t="shared" si="626"/>
        <v>56.498366185306203</v>
      </c>
      <c r="N171" s="20">
        <f t="shared" si="626"/>
        <v>49.511996746644996</v>
      </c>
      <c r="O171" s="205">
        <f t="shared" si="626"/>
        <v>47.832430179241321</v>
      </c>
      <c r="P171" s="48">
        <f t="shared" si="626"/>
        <v>52.361743656473649</v>
      </c>
      <c r="Q171" s="20">
        <f t="shared" si="626"/>
        <v>55.790887488376889</v>
      </c>
      <c r="R171" s="20">
        <f t="shared" si="626"/>
        <v>53.142565150740936</v>
      </c>
      <c r="S171" s="20">
        <f t="shared" si="626"/>
        <v>55.192520357896861</v>
      </c>
      <c r="T171" s="205">
        <f t="shared" si="626"/>
        <v>50.064184852374829</v>
      </c>
      <c r="U171" s="48">
        <f t="shared" si="626"/>
        <v>53.518134452931356</v>
      </c>
      <c r="V171" s="20">
        <f t="shared" si="626"/>
        <v>54.229265280922007</v>
      </c>
      <c r="W171" s="20">
        <f t="shared" si="626"/>
        <v>53.84391097288367</v>
      </c>
      <c r="X171" s="20">
        <f t="shared" si="626"/>
        <v>50.437054154526272</v>
      </c>
      <c r="Y171" s="205">
        <f t="shared" si="626"/>
        <v>46.617561542934681</v>
      </c>
      <c r="Z171" s="48">
        <f t="shared" si="626"/>
        <v>51.243855206316098</v>
      </c>
      <c r="AA171" s="20">
        <f t="shared" si="626"/>
        <v>53.529179810725552</v>
      </c>
      <c r="AB171" s="20">
        <f t="shared" si="626"/>
        <v>48.142428921791272</v>
      </c>
      <c r="AC171" s="20">
        <f t="shared" si="626"/>
        <v>49.717094889156854</v>
      </c>
      <c r="AD171" s="205">
        <f t="shared" si="626"/>
        <v>47.03770197486535</v>
      </c>
      <c r="AE171" s="48">
        <f t="shared" si="626"/>
        <v>49.51943167572086</v>
      </c>
      <c r="AF171" s="20">
        <f t="shared" si="626"/>
        <v>48.120165497391618</v>
      </c>
      <c r="AG171" s="20">
        <f t="shared" si="626"/>
        <v>43.017456359102233</v>
      </c>
      <c r="AH171" s="20">
        <f t="shared" si="626"/>
        <v>35.526076685444309</v>
      </c>
      <c r="AI171" s="205">
        <f t="shared" si="626"/>
        <v>37.093587210346683</v>
      </c>
      <c r="AJ171" s="48">
        <f t="shared" si="626"/>
        <v>40.956705480375838</v>
      </c>
      <c r="AK171" s="20">
        <f t="shared" si="626"/>
        <v>38.921071687183201</v>
      </c>
      <c r="AL171" s="20">
        <f t="shared" si="626"/>
        <v>38.448064459625158</v>
      </c>
      <c r="AM171" s="20">
        <f t="shared" si="626"/>
        <v>36.122502399441586</v>
      </c>
      <c r="AN171" s="205">
        <f t="shared" si="626"/>
        <v>33.097741768660576</v>
      </c>
      <c r="AO171" s="48">
        <f t="shared" si="626"/>
        <v>36.614026225043389</v>
      </c>
      <c r="AP171" s="20">
        <f t="shared" si="626"/>
        <v>36.174816096927735</v>
      </c>
      <c r="AQ171" s="20">
        <f t="shared" si="626"/>
        <v>39.191213180229653</v>
      </c>
      <c r="AR171" s="20">
        <f t="shared" si="626"/>
        <v>35.609551738583995</v>
      </c>
      <c r="AS171" s="205">
        <f t="shared" si="626"/>
        <v>33.115324116234788</v>
      </c>
      <c r="AT171" s="48">
        <f t="shared" si="626"/>
        <v>36.018240275705551</v>
      </c>
      <c r="AU171" s="20">
        <f t="shared" si="626"/>
        <v>40.605358914985118</v>
      </c>
      <c r="AV171" s="20">
        <f t="shared" si="626"/>
        <v>39.811504712382188</v>
      </c>
      <c r="AW171" s="20">
        <f t="shared" si="626"/>
        <v>36.36363636363636</v>
      </c>
      <c r="AX171" s="205">
        <f t="shared" si="626"/>
        <v>38.109756097560975</v>
      </c>
      <c r="AY171" s="48">
        <f t="shared" si="626"/>
        <v>38.744196698103373</v>
      </c>
      <c r="AZ171" s="20">
        <f t="shared" si="626"/>
        <v>32.795374126175886</v>
      </c>
      <c r="BA171" s="20">
        <f t="shared" si="626"/>
        <v>29.940119760479046</v>
      </c>
      <c r="BB171" s="20">
        <f t="shared" si="626"/>
        <v>36.179027834510116</v>
      </c>
      <c r="BC171" s="205">
        <f t="shared" si="626"/>
        <v>36.647935499633519</v>
      </c>
      <c r="BD171" s="48">
        <f t="shared" si="626"/>
        <v>34.223249665316743</v>
      </c>
      <c r="BE171" s="20">
        <f t="shared" si="626"/>
        <v>37.55588673621461</v>
      </c>
      <c r="BF171" s="20">
        <f t="shared" si="626"/>
        <v>22.212097049777878</v>
      </c>
      <c r="BG171" s="20">
        <f t="shared" si="626"/>
        <v>28.287726590462999</v>
      </c>
      <c r="BH171" s="205">
        <f t="shared" si="626"/>
        <v>37.464319695528069</v>
      </c>
      <c r="BI171" s="48">
        <f t="shared" si="626"/>
        <v>31.254107578390851</v>
      </c>
      <c r="BJ171" s="20">
        <f t="shared" si="626"/>
        <v>40.517658442186743</v>
      </c>
      <c r="BK171" s="20">
        <f t="shared" si="626"/>
        <v>34.382595293141264</v>
      </c>
      <c r="BL171" s="20">
        <f t="shared" si="626"/>
        <v>30.797659377887282</v>
      </c>
      <c r="BM171" s="205">
        <f t="shared" si="626"/>
        <v>27.694360224155744</v>
      </c>
      <c r="BN171" s="48">
        <f t="shared" si="626"/>
        <v>33.358550989073493</v>
      </c>
      <c r="BO171" s="20">
        <f t="shared" si="626"/>
        <v>33.615537848605584</v>
      </c>
      <c r="BP171" s="20">
        <f t="shared" si="626"/>
        <v>33.207107486163707</v>
      </c>
      <c r="BQ171" s="20">
        <f t="shared" si="626"/>
        <v>37.446710450512732</v>
      </c>
      <c r="BR171" s="205">
        <f t="shared" si="626"/>
        <v>32.490974729241877</v>
      </c>
      <c r="BS171" s="48">
        <f t="shared" si="626"/>
        <v>34.222625619355121</v>
      </c>
      <c r="BT171" s="20">
        <f t="shared" si="626"/>
        <v>38.228155339805824</v>
      </c>
      <c r="BU171" s="20">
        <f t="shared" si="626"/>
        <v>35.142297499711944</v>
      </c>
      <c r="BV171" s="20">
        <f t="shared" si="626"/>
        <v>36.587490562750453</v>
      </c>
      <c r="BW171" s="205">
        <f t="shared" si="626"/>
        <v>33.608658501851323</v>
      </c>
      <c r="BX171" s="48">
        <f t="shared" ref="BX171:DT171" si="627">BX167/BX$13*1000</f>
        <v>35.853786509648458</v>
      </c>
      <c r="BY171" s="20">
        <f t="shared" si="627"/>
        <v>38.702333523050655</v>
      </c>
      <c r="BZ171" s="20">
        <f t="shared" si="627"/>
        <v>38.395904436860071</v>
      </c>
      <c r="CA171" s="20">
        <f t="shared" si="627"/>
        <v>38.326245602982091</v>
      </c>
      <c r="CB171" s="205">
        <f t="shared" si="627"/>
        <v>38.39568307995642</v>
      </c>
      <c r="CC171" s="48">
        <f t="shared" si="627"/>
        <v>38.450202298973771</v>
      </c>
      <c r="CD171" s="20">
        <f t="shared" si="627"/>
        <v>41.865348158676113</v>
      </c>
      <c r="CE171" s="20">
        <f t="shared" si="627"/>
        <v>40.556496740079055</v>
      </c>
      <c r="CF171" s="20">
        <f t="shared" si="627"/>
        <v>44.170054710635952</v>
      </c>
      <c r="CG171" s="205">
        <f t="shared" si="627"/>
        <v>35.296490520371115</v>
      </c>
      <c r="CH171" s="48">
        <f t="shared" si="627"/>
        <v>40.45454989111947</v>
      </c>
      <c r="CI171" s="20">
        <f t="shared" si="627"/>
        <v>44.962190884937669</v>
      </c>
      <c r="CJ171" s="20">
        <f t="shared" si="627"/>
        <v>41.981528127623847</v>
      </c>
      <c r="CK171" s="20">
        <f t="shared" si="627"/>
        <v>41.689688080767489</v>
      </c>
      <c r="CL171" s="205">
        <f t="shared" si="627"/>
        <v>46.678076863233237</v>
      </c>
      <c r="CM171" s="48">
        <f t="shared" si="627"/>
        <v>43.792479337796962</v>
      </c>
      <c r="CN171" s="20">
        <f t="shared" si="627"/>
        <v>47.555436815388731</v>
      </c>
      <c r="CO171" s="20">
        <f t="shared" si="627"/>
        <v>46.851670699685933</v>
      </c>
      <c r="CP171" s="20">
        <f t="shared" si="627"/>
        <v>46.095018595149547</v>
      </c>
      <c r="CQ171" s="205">
        <f t="shared" si="627"/>
        <v>48.660499438532696</v>
      </c>
      <c r="CR171" s="48">
        <f t="shared" si="627"/>
        <v>47.280389832740688</v>
      </c>
      <c r="CS171" s="20">
        <f t="shared" si="627"/>
        <v>55.251641137855579</v>
      </c>
      <c r="CT171" s="20">
        <f t="shared" si="627"/>
        <v>50.499736980536561</v>
      </c>
      <c r="CU171" s="20">
        <f t="shared" si="627"/>
        <v>50.651611882023943</v>
      </c>
      <c r="CV171" s="205">
        <f t="shared" si="627"/>
        <v>50.428935775562252</v>
      </c>
      <c r="CW171" s="48">
        <f t="shared" si="627"/>
        <v>51.704197564460166</v>
      </c>
      <c r="CX171" s="20">
        <f t="shared" si="627"/>
        <v>61.143171200879365</v>
      </c>
      <c r="CY171" s="20">
        <f t="shared" si="627"/>
        <v>53.812929264320616</v>
      </c>
      <c r="CZ171" s="20">
        <f t="shared" si="627"/>
        <v>47.299960583366186</v>
      </c>
      <c r="DA171" s="20">
        <f t="shared" si="627"/>
        <v>45.941807044410417</v>
      </c>
      <c r="DB171" s="48">
        <f t="shared" si="627"/>
        <v>51.869135346549612</v>
      </c>
      <c r="DC171" s="20">
        <f t="shared" si="627"/>
        <v>54.962410765051487</v>
      </c>
      <c r="DD171" s="20">
        <f t="shared" si="627"/>
        <v>47.679962786370517</v>
      </c>
      <c r="DE171" s="20">
        <f t="shared" si="627"/>
        <v>51.352276617596722</v>
      </c>
      <c r="DF171" s="20">
        <f t="shared" si="627"/>
        <v>50.912921348314597</v>
      </c>
      <c r="DG171" s="48">
        <f t="shared" si="627"/>
        <v>51.152407563460024</v>
      </c>
      <c r="DH171" s="20">
        <f t="shared" si="627"/>
        <v>54.932211313697984</v>
      </c>
      <c r="DI171" s="20">
        <f t="shared" si="627"/>
        <v>57.64172589400637</v>
      </c>
      <c r="DJ171" s="20">
        <f t="shared" si="627"/>
        <v>58.014254931211667</v>
      </c>
      <c r="DK171" s="20">
        <f t="shared" si="627"/>
        <v>58.670504234239225</v>
      </c>
      <c r="DL171" s="48">
        <f t="shared" si="627"/>
        <v>57.346058161271728</v>
      </c>
      <c r="DM171" s="20">
        <f t="shared" si="627"/>
        <v>64.709960711809572</v>
      </c>
      <c r="DN171" s="20">
        <f t="shared" si="627"/>
        <v>52.798310454065479</v>
      </c>
      <c r="DO171" s="20">
        <f t="shared" si="627"/>
        <v>61.064425770308119</v>
      </c>
      <c r="DP171" s="20">
        <f t="shared" si="627"/>
        <v>51.336420958651864</v>
      </c>
      <c r="DQ171" s="48">
        <f t="shared" si="627"/>
        <v>57.406573615488512</v>
      </c>
      <c r="DR171" s="20">
        <f t="shared" si="627"/>
        <v>56.627046422964789</v>
      </c>
      <c r="DS171" s="20">
        <f t="shared" si="627"/>
        <v>63.105211620063109</v>
      </c>
      <c r="DT171" s="20">
        <f t="shared" si="627"/>
        <v>53.847396478380269</v>
      </c>
      <c r="DU171" s="20">
        <f t="shared" ref="DU171:EA171" si="628">DU167/DU$13*1000</f>
        <v>56.390977443609017</v>
      </c>
      <c r="DV171" s="48">
        <f t="shared" si="628"/>
        <v>57.486139301720499</v>
      </c>
      <c r="DW171" s="20">
        <f t="shared" si="628"/>
        <v>61.273119255645078</v>
      </c>
      <c r="DX171" s="20">
        <f t="shared" si="628"/>
        <v>62.528364681559175</v>
      </c>
      <c r="DY171" s="20">
        <f t="shared" si="628"/>
        <v>63.468265867066471</v>
      </c>
      <c r="DZ171" s="20">
        <f t="shared" si="628"/>
        <v>57.566642464474647</v>
      </c>
      <c r="EA171" s="48">
        <f t="shared" si="628"/>
        <v>61.238582913132426</v>
      </c>
      <c r="EB171" s="20">
        <f t="shared" ref="EB171:EG171" si="629">EB167/EB$13*1000</f>
        <v>67.698795849286952</v>
      </c>
      <c r="EC171" s="20">
        <f t="shared" si="629"/>
        <v>60.399566362087654</v>
      </c>
      <c r="ED171" s="20">
        <f t="shared" si="629"/>
        <v>60.424520993647683</v>
      </c>
      <c r="EE171" s="20">
        <f t="shared" si="629"/>
        <v>62.659421093490067</v>
      </c>
      <c r="EF171" s="48">
        <f t="shared" si="629"/>
        <v>62.70975678241453</v>
      </c>
      <c r="EG171" s="20">
        <f t="shared" si="629"/>
        <v>45.529565761766548</v>
      </c>
      <c r="EH171" s="20">
        <f t="shared" ref="EH171:EM171" si="630">EH167/EH$13*1000</f>
        <v>50.541516245487358</v>
      </c>
      <c r="EI171" s="20">
        <f t="shared" si="630"/>
        <v>54.773923316507364</v>
      </c>
      <c r="EJ171" s="20">
        <f t="shared" si="630"/>
        <v>49.459209739659762</v>
      </c>
      <c r="EK171" s="48">
        <f t="shared" si="630"/>
        <v>50.139812939928639</v>
      </c>
      <c r="EL171" s="20">
        <f t="shared" si="630"/>
        <v>49.821293187479696</v>
      </c>
      <c r="EM171" s="20">
        <f t="shared" si="630"/>
        <v>45.530667783127491</v>
      </c>
      <c r="EN171" s="20">
        <f t="shared" ref="EN171:EQ171" si="631">EN167/EN$13*1000</f>
        <v>44.06428201140487</v>
      </c>
      <c r="EO171" s="20">
        <f t="shared" si="631"/>
        <v>43.634096930029614</v>
      </c>
      <c r="EP171" s="48">
        <f t="shared" si="631"/>
        <v>45.720291663929579</v>
      </c>
      <c r="EQ171" s="20">
        <f t="shared" si="631"/>
        <v>47.258979206049148</v>
      </c>
      <c r="ER171" s="20">
        <f>EM171*(1+ER172)</f>
        <v>45.075361105296217</v>
      </c>
      <c r="ES171" s="20">
        <f>EN171*(1+ES172)</f>
        <v>45.82685329186107</v>
      </c>
      <c r="ET171" s="20">
        <f>EO171*(1+ET172)</f>
        <v>45.379460807230799</v>
      </c>
      <c r="EU171" s="1954">
        <f>EU167/EU$13*1000</f>
        <v>45.871196135559991</v>
      </c>
      <c r="EV171" s="20"/>
      <c r="EW171" s="20"/>
      <c r="EX171" s="20"/>
      <c r="EY171" s="20"/>
      <c r="EZ171" s="747">
        <f>EU171*(1+EZ172)</f>
        <v>46.559264077593383</v>
      </c>
      <c r="FA171" s="20"/>
      <c r="FB171" s="20"/>
      <c r="FC171" s="20"/>
      <c r="FD171" s="20"/>
      <c r="FE171" s="747">
        <f>EZ171*(1+FE172)</f>
        <v>47.257653038757276</v>
      </c>
      <c r="FF171" s="767"/>
      <c r="FG171" s="655"/>
      <c r="FH171" s="1027"/>
      <c r="FI171" s="1027"/>
      <c r="FJ171" s="1027"/>
      <c r="FK171" s="1027"/>
      <c r="FL171" s="1809"/>
      <c r="FM171" s="20">
        <f t="shared" si="624"/>
        <v>47.258979206049148</v>
      </c>
      <c r="FN171" s="20">
        <f t="shared" si="625"/>
        <v>49.821293187479696</v>
      </c>
      <c r="FO171" s="2048">
        <v>46.83201559623091</v>
      </c>
      <c r="FP171" s="16">
        <f>IFERROR(($FM171/FN171)-1,"")</f>
        <v>-5.1430097805539643E-2</v>
      </c>
      <c r="FQ171" s="16">
        <f>IFERROR(($FM171/FO171)-1,"")</f>
        <v>9.1169172281493349E-3</v>
      </c>
      <c r="FR171" s="537"/>
      <c r="FS171" s="537"/>
      <c r="FT171" s="537"/>
      <c r="FU171" s="537"/>
      <c r="FV171" s="537"/>
      <c r="FW171" s="537"/>
      <c r="FX171" s="537"/>
      <c r="FY171" s="537"/>
      <c r="FZ171" s="537"/>
      <c r="GA171" s="655"/>
      <c r="GB171"/>
      <c r="GC171"/>
      <c r="GD171"/>
      <c r="GE171"/>
      <c r="GF171"/>
      <c r="GG171"/>
      <c r="GH171" s="963"/>
      <c r="GI171" s="963"/>
      <c r="GJ171" s="963"/>
      <c r="GK171" s="963"/>
      <c r="GL171" s="963"/>
      <c r="GM171" s="963"/>
      <c r="GN171" s="963"/>
      <c r="GO171" s="963"/>
      <c r="GP171" s="963"/>
      <c r="GQ171" s="963"/>
      <c r="GR171" s="963"/>
      <c r="GS171" s="963"/>
      <c r="GT171" s="963"/>
      <c r="GU171" s="963"/>
      <c r="GV171" s="963"/>
      <c r="GW171" s="963"/>
      <c r="GX171" s="963"/>
      <c r="GY171" s="963"/>
      <c r="GZ171" s="963"/>
      <c r="HA171" s="963"/>
      <c r="HB171" s="963"/>
      <c r="HC171" s="963"/>
      <c r="HD171" s="963"/>
      <c r="HE171" s="963"/>
      <c r="HF171" s="963"/>
      <c r="HG171" s="963"/>
      <c r="HH171" s="963"/>
      <c r="HI171" s="963"/>
      <c r="HJ171" s="963"/>
      <c r="HK171" s="963"/>
      <c r="HL171" s="963"/>
      <c r="HM171" s="963"/>
      <c r="HN171" s="963"/>
      <c r="HO171" s="963"/>
      <c r="HP171" s="963"/>
      <c r="HQ171" s="963"/>
      <c r="HR171" s="963"/>
      <c r="HS171" s="963"/>
      <c r="HT171" s="963"/>
      <c r="HU171" s="963"/>
      <c r="HV171" s="963"/>
      <c r="HW171" s="963"/>
      <c r="HX171" s="963"/>
      <c r="HY171" s="963"/>
      <c r="HZ171" s="963"/>
      <c r="IA171" s="963"/>
      <c r="IB171" s="963"/>
      <c r="IC171" s="963"/>
      <c r="ID171" s="963"/>
      <c r="IE171" s="963"/>
      <c r="IF171" s="963"/>
      <c r="IG171" s="963"/>
      <c r="IH171" s="963"/>
      <c r="II171" s="963"/>
      <c r="IJ171" s="963"/>
      <c r="IK171" s="963"/>
      <c r="IL171" s="963"/>
      <c r="IM171" s="963"/>
      <c r="IN171" s="963"/>
      <c r="IO171" s="963"/>
      <c r="IP171" s="963"/>
      <c r="IQ171" s="963"/>
      <c r="IR171" s="963"/>
      <c r="IS171" s="963"/>
      <c r="IT171" s="963"/>
      <c r="IU171" s="963"/>
      <c r="IV171" s="963"/>
    </row>
    <row r="172" spans="1:256" s="56" customFormat="1" ht="12.75" x14ac:dyDescent="0.2">
      <c r="A172" s="44" t="s">
        <v>74</v>
      </c>
      <c r="B172" s="22"/>
      <c r="C172" s="22"/>
      <c r="D172" s="22"/>
      <c r="E172" s="197"/>
      <c r="F172" s="21"/>
      <c r="G172" s="22"/>
      <c r="H172" s="22"/>
      <c r="I172" s="22"/>
      <c r="J172" s="197"/>
      <c r="K172" s="21"/>
      <c r="L172" s="22"/>
      <c r="M172" s="22"/>
      <c r="N172" s="22"/>
      <c r="O172" s="197"/>
      <c r="P172" s="21"/>
      <c r="Q172" s="22">
        <f t="shared" ref="Q172:CB172" si="632">Q171/L171-1</f>
        <v>6.5693672549183013E-4</v>
      </c>
      <c r="R172" s="22">
        <f t="shared" si="632"/>
        <v>-5.9396426147240056E-2</v>
      </c>
      <c r="S172" s="22">
        <f t="shared" si="632"/>
        <v>0.11473024689994515</v>
      </c>
      <c r="T172" s="197">
        <f t="shared" si="632"/>
        <v>4.6657773079279208E-2</v>
      </c>
      <c r="U172" s="21">
        <f t="shared" si="632"/>
        <v>2.208465027529205E-2</v>
      </c>
      <c r="V172" s="22">
        <f t="shared" si="632"/>
        <v>-2.7990632122140369E-2</v>
      </c>
      <c r="W172" s="22">
        <f t="shared" si="632"/>
        <v>1.3197440133974281E-2</v>
      </c>
      <c r="X172" s="22">
        <f t="shared" si="632"/>
        <v>-8.6161424999867453E-2</v>
      </c>
      <c r="Y172" s="197">
        <f t="shared" si="632"/>
        <v>-6.8844091232150628E-2</v>
      </c>
      <c r="Z172" s="21">
        <f t="shared" si="632"/>
        <v>-4.249548811563042E-2</v>
      </c>
      <c r="AA172" s="22">
        <f t="shared" si="632"/>
        <v>-1.2909735482673934E-2</v>
      </c>
      <c r="AB172" s="22">
        <f t="shared" si="632"/>
        <v>-0.10588907729907882</v>
      </c>
      <c r="AC172" s="22">
        <f t="shared" si="632"/>
        <v>-1.4274411490481698E-2</v>
      </c>
      <c r="AD172" s="197">
        <f t="shared" si="632"/>
        <v>9.0124926749701739E-3</v>
      </c>
      <c r="AE172" s="21">
        <f t="shared" si="632"/>
        <v>-3.3651323142109946E-2</v>
      </c>
      <c r="AF172" s="22">
        <f t="shared" si="632"/>
        <v>-0.10104795800084609</v>
      </c>
      <c r="AG172" s="22">
        <f t="shared" si="632"/>
        <v>-0.10645438291064835</v>
      </c>
      <c r="AH172" s="22">
        <f t="shared" si="632"/>
        <v>-0.28543538666833013</v>
      </c>
      <c r="AI172" s="197">
        <f t="shared" si="632"/>
        <v>-0.21140732533728612</v>
      </c>
      <c r="AJ172" s="21">
        <f t="shared" si="632"/>
        <v>-0.17291648764101797</v>
      </c>
      <c r="AK172" s="22">
        <f t="shared" si="632"/>
        <v>-0.19116920557363959</v>
      </c>
      <c r="AL172" s="22">
        <f t="shared" si="632"/>
        <v>-0.10622180589509034</v>
      </c>
      <c r="AM172" s="22">
        <f t="shared" si="632"/>
        <v>1.6788392348475734E-2</v>
      </c>
      <c r="AN172" s="197">
        <f t="shared" si="632"/>
        <v>-0.10772334902598824</v>
      </c>
      <c r="AO172" s="21">
        <f t="shared" si="632"/>
        <v>-0.10603097110467585</v>
      </c>
      <c r="AP172" s="22">
        <f t="shared" si="632"/>
        <v>-7.055960874684275E-2</v>
      </c>
      <c r="AQ172" s="22">
        <f t="shared" si="632"/>
        <v>1.9328638022464872E-2</v>
      </c>
      <c r="AR172" s="22">
        <f t="shared" si="632"/>
        <v>-1.4200308029200137E-2</v>
      </c>
      <c r="AS172" s="197">
        <f t="shared" si="632"/>
        <v>5.3122499103119836E-4</v>
      </c>
      <c r="AT172" s="21">
        <f t="shared" si="632"/>
        <v>-1.6272068678705676E-2</v>
      </c>
      <c r="AU172" s="22">
        <f t="shared" si="632"/>
        <v>0.12247589058050967</v>
      </c>
      <c r="AV172" s="22">
        <f t="shared" si="632"/>
        <v>1.5827311323586279E-2</v>
      </c>
      <c r="AW172" s="22">
        <f t="shared" si="632"/>
        <v>2.117647058823513E-2</v>
      </c>
      <c r="AX172" s="197">
        <f t="shared" si="632"/>
        <v>0.15081935975609762</v>
      </c>
      <c r="AY172" s="21">
        <f t="shared" si="632"/>
        <v>7.5682665269921401E-2</v>
      </c>
      <c r="AZ172" s="22">
        <f t="shared" si="632"/>
        <v>-0.19233876999242605</v>
      </c>
      <c r="BA172" s="22">
        <f t="shared" si="632"/>
        <v>-0.24795307344494666</v>
      </c>
      <c r="BB172" s="22">
        <f t="shared" si="632"/>
        <v>-5.0767345509716844E-3</v>
      </c>
      <c r="BC172" s="197">
        <f t="shared" si="632"/>
        <v>-3.8358172489616482E-2</v>
      </c>
      <c r="BD172" s="21">
        <f t="shared" si="632"/>
        <v>-0.11668707620947893</v>
      </c>
      <c r="BE172" s="22">
        <f t="shared" si="632"/>
        <v>0.14515805161189133</v>
      </c>
      <c r="BF172" s="22">
        <f t="shared" si="632"/>
        <v>-0.25811595853741898</v>
      </c>
      <c r="BG172" s="22">
        <f t="shared" si="632"/>
        <v>-0.21811811196650888</v>
      </c>
      <c r="BH172" s="197">
        <f t="shared" si="632"/>
        <v>2.2276403425309343E-2</v>
      </c>
      <c r="BI172" s="21">
        <f t="shared" si="632"/>
        <v>-8.6758040687613169E-2</v>
      </c>
      <c r="BJ172" s="22">
        <f t="shared" si="632"/>
        <v>7.8863048202670649E-2</v>
      </c>
      <c r="BK172" s="22">
        <f t="shared" si="632"/>
        <v>0.5479220721973701</v>
      </c>
      <c r="BL172" s="22">
        <f t="shared" si="632"/>
        <v>8.8728685191354018E-2</v>
      </c>
      <c r="BM172" s="197">
        <f t="shared" si="632"/>
        <v>-0.26078037852475711</v>
      </c>
      <c r="BN172" s="21">
        <f t="shared" si="632"/>
        <v>6.7333338678902344E-2</v>
      </c>
      <c r="BO172" s="22">
        <f t="shared" si="632"/>
        <v>-0.17034845691859413</v>
      </c>
      <c r="BP172" s="22">
        <f t="shared" si="632"/>
        <v>-3.4188454855007655E-2</v>
      </c>
      <c r="BQ172" s="22">
        <f t="shared" si="632"/>
        <v>0.21589468832814829</v>
      </c>
      <c r="BR172" s="197">
        <f t="shared" si="632"/>
        <v>0.17319824203421752</v>
      </c>
      <c r="BS172" s="21">
        <f t="shared" si="632"/>
        <v>2.5902642790589292E-2</v>
      </c>
      <c r="BT172" s="22">
        <f t="shared" si="632"/>
        <v>0.1372168284789641</v>
      </c>
      <c r="BU172" s="22">
        <f t="shared" si="632"/>
        <v>5.8276379969395498E-2</v>
      </c>
      <c r="BV172" s="22">
        <f t="shared" si="632"/>
        <v>-2.294513663350406E-2</v>
      </c>
      <c r="BW172" s="197">
        <f t="shared" si="632"/>
        <v>3.439982277920195E-2</v>
      </c>
      <c r="BX172" s="21">
        <f t="shared" si="632"/>
        <v>4.7663230414758395E-2</v>
      </c>
      <c r="BY172" s="22">
        <f t="shared" si="632"/>
        <v>1.2403899142658492E-2</v>
      </c>
      <c r="BZ172" s="22">
        <f t="shared" si="632"/>
        <v>9.2583785598388868E-2</v>
      </c>
      <c r="CA172" s="22">
        <f t="shared" si="632"/>
        <v>4.7523211171029534E-2</v>
      </c>
      <c r="CB172" s="197">
        <f t="shared" si="632"/>
        <v>0.14243426520107616</v>
      </c>
      <c r="CC172" s="21">
        <f t="shared" ref="CC172:DU172" si="633">CC171/BX171-1</f>
        <v>7.2416780543572479E-2</v>
      </c>
      <c r="CD172" s="22">
        <f t="shared" si="633"/>
        <v>8.1726716394028287E-2</v>
      </c>
      <c r="CE172" s="22">
        <f t="shared" si="633"/>
        <v>5.6271426208281072E-2</v>
      </c>
      <c r="CF172" s="22">
        <f t="shared" si="633"/>
        <v>0.15247538640203162</v>
      </c>
      <c r="CG172" s="197">
        <f t="shared" si="633"/>
        <v>-8.0717213784983199E-2</v>
      </c>
      <c r="CH172" s="21">
        <f t="shared" si="633"/>
        <v>5.2128401732731477E-2</v>
      </c>
      <c r="CI172" s="22">
        <f t="shared" si="633"/>
        <v>7.3971502984378601E-2</v>
      </c>
      <c r="CJ172" s="22">
        <f t="shared" si="633"/>
        <v>3.5136944807576009E-2</v>
      </c>
      <c r="CK172" s="22">
        <f t="shared" si="633"/>
        <v>-5.6154936780533404E-2</v>
      </c>
      <c r="CL172" s="197">
        <f t="shared" si="633"/>
        <v>0.32245660050234504</v>
      </c>
      <c r="CM172" s="21">
        <f t="shared" si="633"/>
        <v>8.2510606487064875E-2</v>
      </c>
      <c r="CN172" s="22">
        <f t="shared" si="633"/>
        <v>5.767614698953194E-2</v>
      </c>
      <c r="CO172" s="22">
        <f t="shared" si="633"/>
        <v>0.11600679606651898</v>
      </c>
      <c r="CP172" s="22">
        <f t="shared" si="633"/>
        <v>0.105669548446786</v>
      </c>
      <c r="CQ172" s="197">
        <f t="shared" si="633"/>
        <v>4.2470099638165504E-2</v>
      </c>
      <c r="CR172" s="21">
        <f t="shared" si="633"/>
        <v>7.9646335345378239E-2</v>
      </c>
      <c r="CS172" s="22">
        <f t="shared" si="633"/>
        <v>0.1618364762864799</v>
      </c>
      <c r="CT172" s="22">
        <f t="shared" si="633"/>
        <v>7.7864166343914132E-2</v>
      </c>
      <c r="CU172" s="22">
        <f t="shared" si="633"/>
        <v>9.8852184590589864E-2</v>
      </c>
      <c r="CV172" s="197">
        <f t="shared" si="633"/>
        <v>3.6342338394274476E-2</v>
      </c>
      <c r="CW172" s="21">
        <f t="shared" si="633"/>
        <v>9.3565381913498502E-2</v>
      </c>
      <c r="CX172" s="22">
        <f t="shared" si="633"/>
        <v>0.10663086094264829</v>
      </c>
      <c r="CY172" s="22">
        <f t="shared" si="633"/>
        <v>6.5608109702848916E-2</v>
      </c>
      <c r="CZ172" s="22">
        <f t="shared" si="633"/>
        <v>-6.6170674024437992E-2</v>
      </c>
      <c r="DA172" s="22">
        <f t="shared" si="633"/>
        <v>-8.8979246976817805E-2</v>
      </c>
      <c r="DB172" s="21">
        <f t="shared" si="633"/>
        <v>3.1900269196483144E-3</v>
      </c>
      <c r="DC172" s="22">
        <f t="shared" si="633"/>
        <v>-0.1010866841616973</v>
      </c>
      <c r="DD172" s="22">
        <f t="shared" si="633"/>
        <v>-0.11396827048432789</v>
      </c>
      <c r="DE172" s="22">
        <f t="shared" si="633"/>
        <v>8.5672714823690654E-2</v>
      </c>
      <c r="DF172" s="22">
        <f t="shared" si="633"/>
        <v>0.1082045880149809</v>
      </c>
      <c r="DG172" s="21">
        <f t="shared" si="633"/>
        <v>-1.3818001366341814E-2</v>
      </c>
      <c r="DH172" s="22">
        <f t="shared" si="633"/>
        <v>-5.4945645456849768E-4</v>
      </c>
      <c r="DI172" s="22">
        <f t="shared" si="633"/>
        <v>0.20892975844527006</v>
      </c>
      <c r="DJ172" s="22">
        <f t="shared" si="633"/>
        <v>0.12973092436046163</v>
      </c>
      <c r="DK172" s="22">
        <f t="shared" si="633"/>
        <v>0.15236962799388509</v>
      </c>
      <c r="DL172" s="21">
        <f>DL171/DG171-1</f>
        <v>0.12108228904236462</v>
      </c>
      <c r="DM172" s="22">
        <f t="shared" si="633"/>
        <v>0.17799664648987812</v>
      </c>
      <c r="DN172" s="22">
        <f t="shared" si="633"/>
        <v>-8.4026204365343471E-2</v>
      </c>
      <c r="DO172" s="22">
        <f t="shared" si="633"/>
        <v>5.257623049219684E-2</v>
      </c>
      <c r="DP172" s="22">
        <f t="shared" si="633"/>
        <v>-0.1250046061698461</v>
      </c>
      <c r="DQ172" s="21">
        <f>DQ171/DL171-1</f>
        <v>1.0552678973434482E-3</v>
      </c>
      <c r="DR172" s="22">
        <f t="shared" si="633"/>
        <v>-0.12490989331368352</v>
      </c>
      <c r="DS172" s="22">
        <f t="shared" si="633"/>
        <v>0.19521270808399516</v>
      </c>
      <c r="DT172" s="22">
        <f t="shared" si="633"/>
        <v>-0.11818713106505696</v>
      </c>
      <c r="DU172" s="22">
        <f t="shared" si="633"/>
        <v>9.845946387708393E-2</v>
      </c>
      <c r="DV172" s="21">
        <f t="shared" ref="DV172:EA172" si="634">DV171/DQ171-1</f>
        <v>1.3860030519312616E-3</v>
      </c>
      <c r="DW172" s="22">
        <f t="shared" si="634"/>
        <v>8.2046886181867063E-2</v>
      </c>
      <c r="DX172" s="22">
        <f t="shared" si="634"/>
        <v>-9.1410348479131764E-3</v>
      </c>
      <c r="DY172" s="22">
        <f t="shared" si="634"/>
        <v>0.17866916541729139</v>
      </c>
      <c r="DZ172" s="22">
        <f t="shared" si="634"/>
        <v>2.0848459703350475E-2</v>
      </c>
      <c r="EA172" s="21">
        <f t="shared" si="634"/>
        <v>6.5275623950269646E-2</v>
      </c>
      <c r="EB172" s="22">
        <f t="shared" ref="EB172:EI172" si="635">EB171/DW171-1</f>
        <v>0.10486942188845516</v>
      </c>
      <c r="EC172" s="22">
        <f t="shared" si="635"/>
        <v>-3.4045322155999758E-2</v>
      </c>
      <c r="ED172" s="22">
        <f t="shared" si="635"/>
        <v>-4.7956956627645653E-2</v>
      </c>
      <c r="EE172" s="22">
        <f t="shared" si="635"/>
        <v>8.8467529301509362E-2</v>
      </c>
      <c r="EF172" s="21">
        <f t="shared" si="635"/>
        <v>2.4023643253943128E-2</v>
      </c>
      <c r="EG172" s="22">
        <f t="shared" si="635"/>
        <v>-0.32746860279279111</v>
      </c>
      <c r="EH172" s="22">
        <f t="shared" si="635"/>
        <v>-0.16321392205868746</v>
      </c>
      <c r="EI172" s="22">
        <f t="shared" si="635"/>
        <v>-9.351497677134013E-2</v>
      </c>
      <c r="EJ172" s="22">
        <f>EJ171/EE171-1</f>
        <v>-0.2106660279247573</v>
      </c>
      <c r="EK172" s="21">
        <f>EK171/EF171-1</f>
        <v>-0.20044638167072004</v>
      </c>
      <c r="EL172" s="22">
        <f>EL171/EG171-1</f>
        <v>9.4262428246507213E-2</v>
      </c>
      <c r="EM172" s="22">
        <f t="shared" ref="EM172:EN172" si="636">EM171/EH171-1</f>
        <v>-9.9143216005263102E-2</v>
      </c>
      <c r="EN172" s="22">
        <f t="shared" si="636"/>
        <v>-0.19552445135648888</v>
      </c>
      <c r="EO172" s="22">
        <f>EO171/EJ171-1</f>
        <v>-0.11777609954328039</v>
      </c>
      <c r="EP172" s="21">
        <f>EP171/EK171-1</f>
        <v>-8.8143952218050492E-2</v>
      </c>
      <c r="EQ172" s="22">
        <f>EQ171/EL171-1</f>
        <v>-5.1430097805539643E-2</v>
      </c>
      <c r="ER172" s="97">
        <v>-0.01</v>
      </c>
      <c r="ES172" s="97">
        <v>0.04</v>
      </c>
      <c r="ET172" s="97">
        <v>0.04</v>
      </c>
      <c r="EU172" s="270">
        <f>EU171/EP171-1</f>
        <v>3.3006016833760921E-3</v>
      </c>
      <c r="EV172" s="96"/>
      <c r="EW172" s="96"/>
      <c r="EX172" s="96"/>
      <c r="EY172" s="96"/>
      <c r="EZ172" s="834">
        <v>1.4999999999999999E-2</v>
      </c>
      <c r="FA172" s="96"/>
      <c r="FB172" s="96"/>
      <c r="FC172" s="96"/>
      <c r="FD172" s="96"/>
      <c r="FE172" s="834">
        <v>1.4999999999999999E-2</v>
      </c>
      <c r="FF172" s="768"/>
      <c r="FG172" s="656"/>
      <c r="FH172" s="1038"/>
      <c r="FI172" s="1038"/>
      <c r="FJ172" s="1038"/>
      <c r="FK172" s="1038"/>
      <c r="FL172" s="1813"/>
      <c r="FM172" s="22">
        <f t="shared" si="624"/>
        <v>-5.1430097805539643E-2</v>
      </c>
      <c r="FN172" s="22">
        <f t="shared" si="625"/>
        <v>9.4262428246507213E-2</v>
      </c>
      <c r="FO172" s="97">
        <v>-0.06</v>
      </c>
      <c r="FP172" s="1892">
        <f>IFERROR(($FM172-FN172)*10000,"")</f>
        <v>-1456.9252605204686</v>
      </c>
      <c r="FQ172" s="1892">
        <f>IFERROR(($FM172-FO172)*10000,"")</f>
        <v>85.699021944603544</v>
      </c>
      <c r="FR172" s="575"/>
      <c r="FS172" s="575"/>
      <c r="FT172" s="575"/>
      <c r="FU172" s="575"/>
      <c r="FV172" s="575"/>
      <c r="FW172" s="575"/>
      <c r="FX172" s="575"/>
      <c r="FY172" s="575"/>
      <c r="FZ172" s="575"/>
      <c r="GA172" s="656"/>
      <c r="GB172"/>
      <c r="GC172"/>
      <c r="GD172"/>
      <c r="GE172"/>
      <c r="GF172"/>
      <c r="GG172"/>
      <c r="GH172" s="964"/>
      <c r="GI172" s="964"/>
      <c r="GJ172" s="964"/>
      <c r="GK172" s="964"/>
      <c r="GL172" s="964"/>
      <c r="GM172" s="964"/>
      <c r="GN172" s="964"/>
      <c r="GO172" s="964"/>
      <c r="GP172" s="964"/>
      <c r="GQ172" s="964"/>
      <c r="GR172" s="964"/>
      <c r="GS172" s="964"/>
      <c r="GT172" s="964"/>
      <c r="GU172" s="964"/>
      <c r="GV172" s="964"/>
      <c r="GW172" s="964"/>
      <c r="GX172" s="964"/>
      <c r="GY172" s="964"/>
      <c r="GZ172" s="964"/>
      <c r="HA172" s="964"/>
      <c r="HB172" s="964"/>
      <c r="HC172" s="964"/>
      <c r="HD172" s="964"/>
      <c r="HE172" s="964"/>
      <c r="HF172" s="964"/>
      <c r="HG172" s="964"/>
      <c r="HH172" s="964"/>
      <c r="HI172" s="964"/>
      <c r="HJ172" s="964"/>
      <c r="HK172" s="964"/>
      <c r="HL172" s="964"/>
      <c r="HM172" s="964"/>
      <c r="HN172" s="964"/>
      <c r="HO172" s="964"/>
      <c r="HP172" s="964"/>
      <c r="HQ172" s="964"/>
      <c r="HR172" s="964"/>
      <c r="HS172" s="964"/>
      <c r="HT172" s="964"/>
      <c r="HU172" s="964"/>
      <c r="HV172" s="964"/>
      <c r="HW172" s="964"/>
      <c r="HX172" s="964"/>
      <c r="HY172" s="964"/>
      <c r="HZ172" s="964"/>
      <c r="IA172" s="964"/>
      <c r="IB172" s="964"/>
      <c r="IC172" s="964"/>
      <c r="ID172" s="964"/>
      <c r="IE172" s="964"/>
      <c r="IF172" s="964"/>
      <c r="IG172" s="964"/>
      <c r="IH172" s="964"/>
      <c r="II172" s="964"/>
      <c r="IJ172" s="964"/>
      <c r="IK172" s="964"/>
      <c r="IL172" s="964"/>
      <c r="IM172" s="964"/>
      <c r="IN172" s="964"/>
      <c r="IO172" s="964"/>
      <c r="IP172" s="964"/>
      <c r="IQ172" s="964"/>
      <c r="IR172" s="964"/>
      <c r="IS172" s="964"/>
      <c r="IT172" s="964"/>
      <c r="IU172" s="964"/>
      <c r="IV172" s="964"/>
    </row>
    <row r="173" spans="1:256" s="458" customFormat="1" ht="12.75" x14ac:dyDescent="0.2">
      <c r="A173" s="460" t="s">
        <v>13</v>
      </c>
      <c r="F173" s="462"/>
      <c r="K173" s="462"/>
      <c r="M173" s="458">
        <f>M171/L171-1</f>
        <v>1.3346167844378698E-2</v>
      </c>
      <c r="N173" s="458">
        <f>N171/M171-1</f>
        <v>-0.12365613221003524</v>
      </c>
      <c r="O173" s="458">
        <f>O171/N171-1</f>
        <v>-3.3922416338773242E-2</v>
      </c>
      <c r="P173" s="462"/>
      <c r="Q173" s="458">
        <f>Q171/O171-1</f>
        <v>0.16638203995308265</v>
      </c>
      <c r="R173" s="458">
        <f>R171/Q171-1</f>
        <v>-4.7468725751811824E-2</v>
      </c>
      <c r="S173" s="458">
        <f>S171/R171-1</f>
        <v>3.8574637888501462E-2</v>
      </c>
      <c r="T173" s="458">
        <f>T171/S171-1</f>
        <v>-9.2917219077281676E-2</v>
      </c>
      <c r="U173" s="462"/>
      <c r="V173" s="458">
        <f>V171/T171-1</f>
        <v>8.3194811636878363E-2</v>
      </c>
      <c r="W173" s="458">
        <f>W171/V171-1</f>
        <v>-7.1060211869384826E-3</v>
      </c>
      <c r="X173" s="458">
        <f>X171/W171-1</f>
        <v>-6.327283358137048E-2</v>
      </c>
      <c r="Y173" s="458">
        <f>Y171/X171-1</f>
        <v>-7.5727908293169555E-2</v>
      </c>
      <c r="Z173" s="462"/>
      <c r="AA173" s="458">
        <f>AA171/Y171-1</f>
        <v>0.14826211494192565</v>
      </c>
      <c r="AB173" s="458">
        <f>AB171/AA171-1</f>
        <v>-0.10063204607246656</v>
      </c>
      <c r="AC173" s="458">
        <f>AC171/AB171-1</f>
        <v>3.2708486103259826E-2</v>
      </c>
      <c r="AD173" s="458">
        <f>AD171/AC171-1</f>
        <v>-5.3892789195852053E-2</v>
      </c>
      <c r="AE173" s="462"/>
      <c r="AF173" s="458">
        <f>AF171/AD171-1</f>
        <v>2.3012678704088962E-2</v>
      </c>
      <c r="AG173" s="458">
        <f>AG171/AF171-1</f>
        <v>-0.10604097233551657</v>
      </c>
      <c r="AH173" s="458">
        <f>AH171/AG171-1</f>
        <v>-0.17414743473256977</v>
      </c>
      <c r="AI173" s="458">
        <f>AI171/AH171-1</f>
        <v>4.4122815440090779E-2</v>
      </c>
      <c r="AJ173" s="462"/>
      <c r="AK173" s="458">
        <f>AK171/AI171-1</f>
        <v>4.9266857542609621E-2</v>
      </c>
      <c r="AL173" s="458">
        <f>AL171/AK171-1</f>
        <v>-1.2152985697816865E-2</v>
      </c>
      <c r="AM173" s="458">
        <f>AM171/AL171-1</f>
        <v>-6.0485803196300703E-2</v>
      </c>
      <c r="AN173" s="458">
        <f>AN171/AM171-1</f>
        <v>-8.3736187413964158E-2</v>
      </c>
      <c r="AO173" s="462"/>
      <c r="AP173" s="458">
        <f>AP171/AN171-1</f>
        <v>9.2969313428530098E-2</v>
      </c>
      <c r="AQ173" s="458">
        <f>AQ171/AP171-1</f>
        <v>8.3383895448692957E-2</v>
      </c>
      <c r="AR173" s="458">
        <f>AR171/AQ171-1</f>
        <v>-9.1389399587468167E-2</v>
      </c>
      <c r="AS173" s="458">
        <f>AS171/AR171-1</f>
        <v>-7.004378040644188E-2</v>
      </c>
      <c r="AT173" s="462"/>
      <c r="AU173" s="458">
        <f>AU171/AS171-1</f>
        <v>0.22618032583526304</v>
      </c>
      <c r="AV173" s="458">
        <f>AV171/AU171-1</f>
        <v>-1.9550478651475856E-2</v>
      </c>
      <c r="AW173" s="458">
        <f>AW171/AV171-1</f>
        <v>-8.660482374768097E-2</v>
      </c>
      <c r="AX173" s="458">
        <f>AX171/AW171-1</f>
        <v>4.80182926829269E-2</v>
      </c>
      <c r="AY173" s="462"/>
      <c r="AZ173" s="458">
        <f>AZ171/AX171-1</f>
        <v>-0.13944938292914477</v>
      </c>
      <c r="BA173" s="458">
        <f>BA171/AZ171-1</f>
        <v>-8.7062716671919227E-2</v>
      </c>
      <c r="BB173" s="458">
        <f>BB171/BA171-1</f>
        <v>0.20837952967263762</v>
      </c>
      <c r="BC173" s="458">
        <f>BC171/BB171-1</f>
        <v>1.2960759124547971E-2</v>
      </c>
      <c r="BD173" s="462"/>
      <c r="BE173" s="458">
        <f>BE171/BC171-1</f>
        <v>2.4774962742176054E-2</v>
      </c>
      <c r="BF173" s="458">
        <f>BF171/BE171-1</f>
        <v>-0.40855884442853352</v>
      </c>
      <c r="BG173" s="458">
        <f>BG171/BF171-1</f>
        <v>0.27352795762910098</v>
      </c>
      <c r="BH173" s="458">
        <f>BH171/BG171-1</f>
        <v>0.32440193013456553</v>
      </c>
      <c r="BI173" s="462"/>
      <c r="BJ173" s="458">
        <f>BJ171/BH171-1</f>
        <v>8.1499911688590831E-2</v>
      </c>
      <c r="BK173" s="458">
        <f>BK171/BJ171-1</f>
        <v>-0.1514170212427105</v>
      </c>
      <c r="BL173" s="458">
        <f>BL171/BK171-1</f>
        <v>-0.1042660068179645</v>
      </c>
      <c r="BM173" s="458">
        <f>BM171/BL171-1</f>
        <v>-0.10076412352166297</v>
      </c>
      <c r="BN173" s="462"/>
      <c r="BO173" s="458">
        <f>BO171/BM171-1</f>
        <v>0.21380445608868892</v>
      </c>
      <c r="BP173" s="458">
        <f>BP171/BO171-1</f>
        <v>-1.2150046930122782E-2</v>
      </c>
      <c r="BQ173" s="458">
        <f>BQ171/BP171-1</f>
        <v>0.12767155242640538</v>
      </c>
      <c r="BR173" s="458">
        <f>BR171/BQ171-1</f>
        <v>-0.13234101638433771</v>
      </c>
      <c r="BS173" s="462"/>
      <c r="BT173" s="458">
        <f>BT171/BR171-1</f>
        <v>0.17657766990291268</v>
      </c>
      <c r="BU173" s="458">
        <f>BU171/BT171-1</f>
        <v>-8.0722122547217667E-2</v>
      </c>
      <c r="BV173" s="458">
        <f>BV171/BU171-1</f>
        <v>4.1124034734790982E-2</v>
      </c>
      <c r="BW173" s="458">
        <f>BW171/BV171-1</f>
        <v>-8.1416681359717691E-2</v>
      </c>
      <c r="BX173" s="462"/>
      <c r="BY173" s="458">
        <f>BY171/BW171-1</f>
        <v>0.15155841524941405</v>
      </c>
      <c r="BZ173" s="458">
        <f>BZ171/BY171-1</f>
        <v>-7.9175868299536933E-3</v>
      </c>
      <c r="CA173" s="458">
        <f>CA171/BZ171-1</f>
        <v>-1.8142256289997993E-3</v>
      </c>
      <c r="CB173" s="458">
        <f>CB171/CA171-1</f>
        <v>1.8117474300411995E-3</v>
      </c>
      <c r="CC173" s="462"/>
      <c r="CD173" s="458">
        <f>CD171/CB171-1</f>
        <v>9.0366020354276433E-2</v>
      </c>
      <c r="CE173" s="458">
        <f>CE171/CD171-1</f>
        <v>-3.1263359225780496E-2</v>
      </c>
      <c r="CF173" s="458">
        <f>CF171/CE171-1</f>
        <v>8.9099361656300946E-2</v>
      </c>
      <c r="CG173" s="458">
        <f>CG171/CF171-1</f>
        <v>-0.20089547654846174</v>
      </c>
      <c r="CH173" s="462"/>
      <c r="CI173" s="458">
        <f>CI171/CG171-1</f>
        <v>0.27384309947154839</v>
      </c>
      <c r="CJ173" s="458">
        <f>CJ171/CI171-1</f>
        <v>-6.6292649416075156E-2</v>
      </c>
      <c r="CK173" s="458">
        <f>CK171/CJ171-1</f>
        <v>-6.9516299161184181E-3</v>
      </c>
      <c r="CL173" s="458">
        <f>CL171/CK171-1</f>
        <v>0.11965521960254288</v>
      </c>
      <c r="CM173" s="462"/>
      <c r="CN173" s="458">
        <f>CN171/CL171-1</f>
        <v>1.8795974708344598E-2</v>
      </c>
      <c r="CO173" s="458">
        <f>CO171/CN171-1</f>
        <v>-1.4798857140874033E-2</v>
      </c>
      <c r="CP173" s="458">
        <f>CP171/CO171-1</f>
        <v>-1.6149949259791407E-2</v>
      </c>
      <c r="CQ173" s="458">
        <f>CQ171/CP171-1</f>
        <v>5.56563577057132E-2</v>
      </c>
      <c r="CR173" s="462"/>
      <c r="CS173" s="458">
        <f>CS171/CQ171-1</f>
        <v>0.1354515834275134</v>
      </c>
      <c r="CT173" s="458">
        <f>CT171/CS171-1</f>
        <v>-8.6004760391872881E-2</v>
      </c>
      <c r="CU173" s="458">
        <f>CU171/CT171-1</f>
        <v>3.0074394554948647E-3</v>
      </c>
      <c r="CV173" s="458">
        <f>CV171/CU171-1</f>
        <v>-4.3962294226754794E-3</v>
      </c>
      <c r="CW173" s="462"/>
      <c r="CX173" s="458">
        <f>CX171/CV171-1</f>
        <v>0.21246205696272513</v>
      </c>
      <c r="CY173" s="458">
        <f>CY171/CX171-1</f>
        <v>-0.1198865186837631</v>
      </c>
      <c r="CZ173" s="458">
        <f>CZ171/CY171-1</f>
        <v>-0.12102981142252556</v>
      </c>
      <c r="DA173" s="458">
        <f>DA171/CZ171-1</f>
        <v>-2.8713629402756569E-2</v>
      </c>
      <c r="DB173" s="462"/>
      <c r="DC173" s="458">
        <f>DC171/DA171-1</f>
        <v>0.19634847431928737</v>
      </c>
      <c r="DD173" s="458">
        <f>DD171/DC171-1</f>
        <v>-0.13249870006269093</v>
      </c>
      <c r="DE173" s="458">
        <f>DE171/DD171-1</f>
        <v>7.7020064962717294E-2</v>
      </c>
      <c r="DF173" s="458">
        <f>DF171/DE171-1</f>
        <v>-8.5557116104871822E-3</v>
      </c>
      <c r="DG173" s="462"/>
      <c r="DH173" s="458">
        <f>DH171/DF171-1</f>
        <v>7.8944398768357793E-2</v>
      </c>
      <c r="DI173" s="458">
        <f>DI171/DH171-1</f>
        <v>4.9324695210890557E-2</v>
      </c>
      <c r="DJ173" s="458">
        <f>DJ171/DI171-1</f>
        <v>6.4628362774965531E-3</v>
      </c>
      <c r="DK173" s="458">
        <f>DK171/DJ171-1</f>
        <v>1.1311862986186361E-2</v>
      </c>
      <c r="DL173" s="462"/>
      <c r="DM173" s="458">
        <f>DM171/DK171-1</f>
        <v>0.10293854733987118</v>
      </c>
      <c r="DN173" s="458">
        <f>DN171/DM171-1</f>
        <v>-0.18407753809020955</v>
      </c>
      <c r="DO173" s="458">
        <f>DO171/DN171-1</f>
        <v>0.15656022408963555</v>
      </c>
      <c r="DP173" s="458">
        <f>DP171/DO171-1</f>
        <v>-0.15930723475969188</v>
      </c>
      <c r="DQ173" s="462"/>
      <c r="DR173" s="458">
        <f>DR171/DP171-1</f>
        <v>0.10305793363690419</v>
      </c>
      <c r="DS173" s="458">
        <f>DS171/DR171-1</f>
        <v>0.11440054896578777</v>
      </c>
      <c r="DT173" s="458">
        <f>DT171/DS171-1</f>
        <v>-0.14670444649518444</v>
      </c>
      <c r="DU173" s="458">
        <f>DU171/DT171-1</f>
        <v>4.7236842105263133E-2</v>
      </c>
      <c r="DV173" s="462"/>
      <c r="DW173" s="458">
        <f>DW171/DU171-1</f>
        <v>8.6576648133439571E-2</v>
      </c>
      <c r="DX173" s="458">
        <f>DX171/DW171-1</f>
        <v>2.0486070256631406E-2</v>
      </c>
      <c r="DY173" s="458">
        <f>DY171/DX171-1</f>
        <v>1.50315971046735E-2</v>
      </c>
      <c r="DZ173" s="458">
        <f>DZ171/DY171-1</f>
        <v>-9.2985420697529464E-2</v>
      </c>
      <c r="EA173" s="462"/>
      <c r="EB173" s="458">
        <f>EB171/DZ171-1</f>
        <v>0.17600737078013595</v>
      </c>
      <c r="EC173" s="458">
        <f>EC171/EB171-1</f>
        <v>-0.10781919228591685</v>
      </c>
      <c r="ED173" s="458">
        <f>ED171/EC171-1</f>
        <v>4.1315911790529292E-4</v>
      </c>
      <c r="EE173" s="458">
        <f>EE171/ED171-1</f>
        <v>3.6986641566878697E-2</v>
      </c>
      <c r="EF173" s="462"/>
      <c r="EG173" s="458">
        <f>EG171/EE171-1</f>
        <v>-0.27338036376309904</v>
      </c>
      <c r="EH173" s="458">
        <f>EH171/EG171-1</f>
        <v>0.11008122743682303</v>
      </c>
      <c r="EI173" s="458">
        <f>EI171/EH171-1</f>
        <v>8.3741197048038618E-2</v>
      </c>
      <c r="EJ173" s="458">
        <f>EJ171/EI171-1</f>
        <v>-9.7029996302015697E-2</v>
      </c>
      <c r="EK173" s="462"/>
      <c r="EL173" s="458">
        <f>EL171/EJ171-1</f>
        <v>7.3208498422405732E-3</v>
      </c>
      <c r="EM173" s="458">
        <f>EM171/EL171-1</f>
        <v>-8.612031382257368E-2</v>
      </c>
      <c r="EN173" s="458">
        <f>EN171/EM171-1</f>
        <v>-3.2206550949512414E-2</v>
      </c>
      <c r="EO173" s="458">
        <f>EO171/EN171-1</f>
        <v>-9.7626708467396517E-3</v>
      </c>
      <c r="EP173" s="462"/>
      <c r="EQ173" s="458">
        <f>EQ171/EO171-1</f>
        <v>8.3074534161490465E-2</v>
      </c>
      <c r="ER173" s="458">
        <f>ER171/EQ171-1</f>
        <v>-4.6205359011932012E-2</v>
      </c>
      <c r="ES173" s="458">
        <f>ES171/ER171-1</f>
        <v>1.6671906073239429E-2</v>
      </c>
      <c r="ET173" s="458">
        <f>ET171/ES171-1</f>
        <v>-9.7626708467397627E-3</v>
      </c>
      <c r="EU173" s="1932"/>
      <c r="EZ173" s="740"/>
      <c r="FE173" s="740"/>
      <c r="FF173" s="740"/>
      <c r="FG173" s="656"/>
      <c r="FH173" s="1088">
        <f>AVERAGE(CI173,CN173,CS173,CX173,DC173,DH173,DM173,DR173,DW173,EB173,EG173,EL173,EQ173)</f>
        <v>9.2418546752981515E-2</v>
      </c>
      <c r="FI173" s="1088">
        <f>AVERAGE(CJ173,CO173,CT173,CY173,DD173,DI173,DN173,DS173,DX173,EC173,EH173,EM173)</f>
        <v>-4.1933832335320283E-2</v>
      </c>
      <c r="FJ173" s="1088">
        <f>AVERAGE(CK173,CP173,CU173,CZ173,DE173,DJ173,DO173,DT173,DY173,ED173,EI173,EN173)</f>
        <v>1.5995108344024529E-3</v>
      </c>
      <c r="FK173" s="1088">
        <f>AVERAGE(CL173,CQ173,CV173,DA173,DF173,DK173,DP173,DU173,DZ173,EE173,EJ173,EO173)</f>
        <v>-1.0825330756275972E-2</v>
      </c>
      <c r="FL173" s="1795"/>
      <c r="FM173" s="458">
        <f t="shared" si="624"/>
        <v>8.3074534161490465E-2</v>
      </c>
      <c r="FN173" s="458">
        <f t="shared" si="625"/>
        <v>7.3208498422405732E-3</v>
      </c>
      <c r="FO173" s="2040">
        <v>7.3289443146477451E-2</v>
      </c>
      <c r="FP173" s="1888">
        <f>IFERROR(($FM173-FN173)*10000,"")</f>
        <v>757.53684319249896</v>
      </c>
      <c r="FQ173" s="1888">
        <f>IFERROR(($FM173-FO173)*10000,"")</f>
        <v>97.850910150130147</v>
      </c>
      <c r="FR173" s="578"/>
      <c r="FS173" s="578"/>
      <c r="FT173" s="578"/>
      <c r="FU173" s="578"/>
      <c r="FV173" s="566"/>
      <c r="FW173" s="566"/>
      <c r="FX173" s="566"/>
      <c r="FY173" s="566"/>
      <c r="FZ173" s="566"/>
      <c r="GA173" s="656"/>
      <c r="GB173"/>
      <c r="GC173"/>
      <c r="GD173"/>
      <c r="GE173"/>
      <c r="GF173"/>
      <c r="GG173"/>
      <c r="GH173" s="913"/>
      <c r="GI173" s="913"/>
      <c r="GJ173" s="913"/>
      <c r="GK173" s="913"/>
      <c r="GL173" s="913"/>
      <c r="GM173" s="913"/>
      <c r="GN173" s="913"/>
      <c r="GO173" s="913"/>
      <c r="GP173" s="913"/>
      <c r="GQ173" s="913"/>
      <c r="GR173" s="913"/>
      <c r="GS173" s="913"/>
      <c r="GT173" s="913"/>
      <c r="GU173" s="913"/>
      <c r="GV173" s="913"/>
      <c r="GW173" s="913"/>
      <c r="GX173" s="913"/>
      <c r="GY173" s="913"/>
      <c r="GZ173" s="913"/>
      <c r="HA173" s="913"/>
      <c r="HB173" s="913"/>
      <c r="HC173" s="913"/>
      <c r="HD173" s="913"/>
      <c r="HE173" s="913"/>
      <c r="HF173" s="913"/>
      <c r="HG173" s="913"/>
      <c r="HH173" s="913"/>
      <c r="HI173" s="913"/>
      <c r="HJ173" s="913"/>
      <c r="HK173" s="913"/>
      <c r="HL173" s="913"/>
      <c r="HM173" s="913"/>
      <c r="HN173" s="913"/>
      <c r="HO173" s="913"/>
      <c r="HP173" s="913"/>
      <c r="HQ173" s="913"/>
      <c r="HR173" s="913"/>
      <c r="HS173" s="913"/>
      <c r="HT173" s="913"/>
      <c r="HU173" s="913"/>
      <c r="HV173" s="913"/>
      <c r="HW173" s="913"/>
      <c r="HX173" s="913"/>
      <c r="HY173" s="913"/>
      <c r="HZ173" s="913"/>
      <c r="IA173" s="913"/>
      <c r="IB173" s="913"/>
      <c r="IC173" s="913"/>
      <c r="ID173" s="913"/>
      <c r="IE173" s="913"/>
      <c r="IF173" s="913"/>
      <c r="IG173" s="913"/>
      <c r="IH173" s="913"/>
      <c r="II173" s="913"/>
      <c r="IJ173" s="913"/>
      <c r="IK173" s="913"/>
      <c r="IL173" s="913"/>
      <c r="IM173" s="913"/>
      <c r="IN173" s="913"/>
      <c r="IO173" s="913"/>
      <c r="IP173" s="913"/>
      <c r="IQ173" s="913"/>
      <c r="IR173" s="913"/>
      <c r="IS173" s="913"/>
      <c r="IT173" s="913"/>
      <c r="IU173" s="913"/>
      <c r="IV173" s="913"/>
    </row>
    <row r="174" spans="1:256" s="541" customFormat="1" ht="12.75" x14ac:dyDescent="0.2">
      <c r="A174" s="121" t="s">
        <v>537</v>
      </c>
      <c r="B174" s="122">
        <v>65.8</v>
      </c>
      <c r="C174" s="122">
        <f>134.4-65.8</f>
        <v>68.600000000000009</v>
      </c>
      <c r="D174" s="122">
        <f>202.6-134.4</f>
        <v>68.199999999999989</v>
      </c>
      <c r="E174" s="533">
        <f>271.7-202.6</f>
        <v>69.099999999999994</v>
      </c>
      <c r="F174" s="534">
        <f>SUM(B174:E174)</f>
        <v>271.7</v>
      </c>
      <c r="G174" s="122">
        <v>66.900000000000006</v>
      </c>
      <c r="H174" s="122">
        <f>139.7-66.9</f>
        <v>72.799999999999983</v>
      </c>
      <c r="I174" s="122">
        <f>215.3-139.7</f>
        <v>75.600000000000023</v>
      </c>
      <c r="J174" s="533">
        <f>287.8-215.3</f>
        <v>72.5</v>
      </c>
      <c r="K174" s="534">
        <f>SUM(G174:J174)</f>
        <v>287.8</v>
      </c>
      <c r="L174" s="122">
        <v>70.900000000000006</v>
      </c>
      <c r="M174" s="122">
        <f>148.4-70.9</f>
        <v>77.5</v>
      </c>
      <c r="N174" s="122">
        <f>222.5-148.4</f>
        <v>74.099999999999994</v>
      </c>
      <c r="O174" s="533">
        <f>300.1-222.5</f>
        <v>77.600000000000023</v>
      </c>
      <c r="P174" s="534">
        <f>SUM(L174:O174)</f>
        <v>300.10000000000002</v>
      </c>
      <c r="Q174" s="122">
        <v>69</v>
      </c>
      <c r="R174" s="122">
        <f>149.7-72.1</f>
        <v>77.599999999999994</v>
      </c>
      <c r="S174" s="122">
        <f>227.8-144.3</f>
        <v>83.5</v>
      </c>
      <c r="T174" s="533">
        <f>324.1-227.8</f>
        <v>96.300000000000011</v>
      </c>
      <c r="U174" s="534">
        <f>SUM(Q174:T174)</f>
        <v>326.39999999999998</v>
      </c>
      <c r="V174" s="122">
        <v>79.3</v>
      </c>
      <c r="W174" s="122">
        <v>66.900000000000006</v>
      </c>
      <c r="X174" s="122">
        <v>68.8</v>
      </c>
      <c r="Y174" s="533">
        <v>67.5</v>
      </c>
      <c r="Z174" s="534">
        <f>SUM(V174:Y174)</f>
        <v>282.5</v>
      </c>
      <c r="AA174" s="122">
        <v>65.599999999999994</v>
      </c>
      <c r="AB174" s="122">
        <v>72.400000000000006</v>
      </c>
      <c r="AC174" s="122">
        <v>68.7</v>
      </c>
      <c r="AD174" s="533">
        <v>83.2</v>
      </c>
      <c r="AE174" s="534">
        <f>SUM(AA174:AD174)</f>
        <v>289.89999999999998</v>
      </c>
      <c r="AF174" s="122">
        <v>72.8</v>
      </c>
      <c r="AG174" s="122">
        <v>77.8</v>
      </c>
      <c r="AH174" s="122">
        <v>72.900000000000006</v>
      </c>
      <c r="AI174" s="533">
        <v>69.599999999999994</v>
      </c>
      <c r="AJ174" s="534">
        <f>SUM(AF174:AI174)</f>
        <v>293.10000000000002</v>
      </c>
      <c r="AK174" s="122">
        <v>71.099999999999994</v>
      </c>
      <c r="AL174" s="122">
        <v>76.3</v>
      </c>
      <c r="AM174" s="122">
        <v>74.8</v>
      </c>
      <c r="AN174" s="533">
        <v>77.7</v>
      </c>
      <c r="AO174" s="534">
        <f>SUM(AK174:AN174)</f>
        <v>299.89999999999998</v>
      </c>
      <c r="AP174" s="122">
        <v>80.7</v>
      </c>
      <c r="AQ174" s="122">
        <v>82.9</v>
      </c>
      <c r="AR174" s="122">
        <v>89.5</v>
      </c>
      <c r="AS174" s="533">
        <v>85</v>
      </c>
      <c r="AT174" s="534">
        <f>SUM(AP174:AS174)</f>
        <v>338.1</v>
      </c>
      <c r="AU174" s="122">
        <v>91.3</v>
      </c>
      <c r="AV174" s="122">
        <v>101</v>
      </c>
      <c r="AW174" s="122">
        <v>111</v>
      </c>
      <c r="AX174" s="533">
        <v>110</v>
      </c>
      <c r="AY174" s="534">
        <f>SUM(AU174:AX174)</f>
        <v>413.3</v>
      </c>
      <c r="AZ174" s="122">
        <v>105</v>
      </c>
      <c r="BA174" s="122">
        <v>166</v>
      </c>
      <c r="BB174" s="122">
        <v>163</v>
      </c>
      <c r="BC174" s="533">
        <v>190</v>
      </c>
      <c r="BD174" s="534">
        <f>SUM(AZ174:BC174)</f>
        <v>624</v>
      </c>
      <c r="BE174" s="122">
        <v>183</v>
      </c>
      <c r="BF174" s="122">
        <v>184</v>
      </c>
      <c r="BG174" s="122">
        <v>189</v>
      </c>
      <c r="BH174" s="533">
        <v>188</v>
      </c>
      <c r="BI174" s="534">
        <f>SUM(BE174:BH174)</f>
        <v>744</v>
      </c>
      <c r="BJ174" s="122">
        <v>191</v>
      </c>
      <c r="BK174" s="122">
        <v>204</v>
      </c>
      <c r="BL174" s="122">
        <v>204</v>
      </c>
      <c r="BM174" s="533">
        <v>191</v>
      </c>
      <c r="BN174" s="534">
        <f>SUM(BJ174:BM174)</f>
        <v>790</v>
      </c>
      <c r="BO174" s="122">
        <v>195</v>
      </c>
      <c r="BP174" s="122">
        <v>210</v>
      </c>
      <c r="BQ174" s="122">
        <v>225</v>
      </c>
      <c r="BR174" s="533">
        <v>226</v>
      </c>
      <c r="BS174" s="534">
        <f>SUM(BO174:BR174)</f>
        <v>856</v>
      </c>
      <c r="BT174" s="122">
        <v>205</v>
      </c>
      <c r="BU174" s="122">
        <v>220</v>
      </c>
      <c r="BV174" s="122">
        <v>209</v>
      </c>
      <c r="BW174" s="533">
        <v>202</v>
      </c>
      <c r="BX174" s="534">
        <f>SUM(BT174:BW174)</f>
        <v>836</v>
      </c>
      <c r="BY174" s="122">
        <v>209</v>
      </c>
      <c r="BZ174" s="122">
        <v>226</v>
      </c>
      <c r="CA174" s="122">
        <v>240</v>
      </c>
      <c r="CB174" s="533">
        <v>262</v>
      </c>
      <c r="CC174" s="534">
        <f>SUM(BY174:CB174)</f>
        <v>937</v>
      </c>
      <c r="CD174" s="122">
        <v>277</v>
      </c>
      <c r="CE174" s="122">
        <v>277</v>
      </c>
      <c r="CF174" s="122">
        <v>285</v>
      </c>
      <c r="CG174" s="533">
        <v>303</v>
      </c>
      <c r="CH174" s="534">
        <f>SUM(CD174:CG174)</f>
        <v>1142</v>
      </c>
      <c r="CI174" s="122">
        <v>284</v>
      </c>
      <c r="CJ174" s="122">
        <v>286</v>
      </c>
      <c r="CK174" s="122">
        <v>288</v>
      </c>
      <c r="CL174" s="533">
        <v>307</v>
      </c>
      <c r="CM174" s="534">
        <f>SUM(CI174:CL174)</f>
        <v>1165</v>
      </c>
      <c r="CN174" s="122">
        <v>289</v>
      </c>
      <c r="CO174" s="122">
        <v>283</v>
      </c>
      <c r="CP174" s="122">
        <v>294</v>
      </c>
      <c r="CQ174" s="533">
        <v>306</v>
      </c>
      <c r="CR174" s="534">
        <f>SUM(CN174:CQ174)</f>
        <v>1172</v>
      </c>
      <c r="CS174" s="122">
        <v>283</v>
      </c>
      <c r="CT174" s="122">
        <v>310</v>
      </c>
      <c r="CU174" s="122">
        <v>332</v>
      </c>
      <c r="CV174" s="533">
        <v>317</v>
      </c>
      <c r="CW174" s="534">
        <f>SUM(CS174:CV174)</f>
        <v>1242</v>
      </c>
      <c r="CX174" s="122">
        <v>269</v>
      </c>
      <c r="CY174" s="122">
        <v>258</v>
      </c>
      <c r="CZ174" s="122">
        <v>277</v>
      </c>
      <c r="DA174" s="122">
        <v>283</v>
      </c>
      <c r="DB174" s="534">
        <f>SUM(CX174:DA174)</f>
        <v>1087</v>
      </c>
      <c r="DC174" s="122">
        <v>255</v>
      </c>
      <c r="DD174" s="122">
        <v>292</v>
      </c>
      <c r="DE174" s="122">
        <v>294</v>
      </c>
      <c r="DF174" s="122">
        <v>310</v>
      </c>
      <c r="DG174" s="539">
        <f>SUM(DC174:DF174)</f>
        <v>1151</v>
      </c>
      <c r="DH174" s="122">
        <v>296</v>
      </c>
      <c r="DI174" s="122">
        <v>318</v>
      </c>
      <c r="DJ174" s="122">
        <v>320</v>
      </c>
      <c r="DK174" s="122">
        <v>338</v>
      </c>
      <c r="DL174" s="539">
        <f>SUM(DH174:DK174)</f>
        <v>1272</v>
      </c>
      <c r="DM174" s="122">
        <v>318</v>
      </c>
      <c r="DN174" s="122">
        <v>320</v>
      </c>
      <c r="DO174" s="122">
        <v>333</v>
      </c>
      <c r="DP174" s="122">
        <v>350</v>
      </c>
      <c r="DQ174" s="539">
        <f>SUM(DM174:DP174)</f>
        <v>1321</v>
      </c>
      <c r="DR174" s="122">
        <v>321</v>
      </c>
      <c r="DS174" s="122">
        <v>343</v>
      </c>
      <c r="DT174" s="540">
        <v>349</v>
      </c>
      <c r="DU174" s="122">
        <v>340</v>
      </c>
      <c r="DV174" s="539">
        <f>SUM(DR174:DU174)</f>
        <v>1353</v>
      </c>
      <c r="DW174" s="122">
        <v>324</v>
      </c>
      <c r="DX174" s="122">
        <v>342</v>
      </c>
      <c r="DY174" s="540">
        <v>355</v>
      </c>
      <c r="DZ174" s="122">
        <v>373</v>
      </c>
      <c r="EA174" s="539">
        <f>SUM(DW174:DZ174)</f>
        <v>1394</v>
      </c>
      <c r="EB174" s="122">
        <v>341</v>
      </c>
      <c r="EC174" s="122">
        <v>363</v>
      </c>
      <c r="ED174" s="540">
        <v>370</v>
      </c>
      <c r="EE174" s="122">
        <v>359</v>
      </c>
      <c r="EF174" s="539">
        <f>SUM(EB174:EE174)</f>
        <v>1433</v>
      </c>
      <c r="EG174" s="122">
        <v>300</v>
      </c>
      <c r="EH174" s="122">
        <v>309</v>
      </c>
      <c r="EI174" s="540">
        <v>312</v>
      </c>
      <c r="EJ174" s="122">
        <v>321</v>
      </c>
      <c r="EK174" s="539">
        <f>SUM(EG174:EJ174)</f>
        <v>1242</v>
      </c>
      <c r="EL174" s="122">
        <v>304</v>
      </c>
      <c r="EM174" s="122">
        <v>318</v>
      </c>
      <c r="EN174" s="540">
        <v>309</v>
      </c>
      <c r="EO174" s="122">
        <v>338</v>
      </c>
      <c r="EP174" s="539">
        <f>SUM(EL174:EO174)</f>
        <v>1269</v>
      </c>
      <c r="EQ174" s="122">
        <v>318</v>
      </c>
      <c r="ER174" s="122">
        <f>ER$13*ER178/1000</f>
        <v>330.7253255181077</v>
      </c>
      <c r="ES174" s="122">
        <f>ES$13*ES178/1000</f>
        <v>338.37729797822709</v>
      </c>
      <c r="ET174" s="122">
        <f>ET$13*ET178/1000</f>
        <v>350.57984609111213</v>
      </c>
      <c r="EU174" s="1966">
        <f>SUM(EQ174:ET174)</f>
        <v>1337.6824695874468</v>
      </c>
      <c r="EV174" s="540"/>
      <c r="EW174" s="540"/>
      <c r="EX174" s="540"/>
      <c r="EY174" s="540"/>
      <c r="EZ174" s="855">
        <f>EZ$13*EZ178/1000</f>
        <v>1384.8807859854264</v>
      </c>
      <c r="FA174" s="540"/>
      <c r="FB174" s="540"/>
      <c r="FC174" s="540"/>
      <c r="FD174" s="540"/>
      <c r="FE174" s="855">
        <f>FE$13*FE178/1000</f>
        <v>1438.9646230416893</v>
      </c>
      <c r="FF174" s="780"/>
      <c r="FG174" s="656"/>
      <c r="FH174" s="1034"/>
      <c r="FI174" s="1034"/>
      <c r="FJ174" s="1034"/>
      <c r="FK174" s="1034"/>
      <c r="FL174" s="1822"/>
      <c r="FM174" s="122">
        <f t="shared" si="624"/>
        <v>318</v>
      </c>
      <c r="FN174" s="122">
        <f t="shared" si="625"/>
        <v>304</v>
      </c>
      <c r="FO174" s="540">
        <v>318.64640918444707</v>
      </c>
      <c r="FP174" s="571">
        <f>IFERROR(($FM174/FN174)-1,"")</f>
        <v>4.6052631578947345E-2</v>
      </c>
      <c r="FQ174" s="571">
        <f>IFERROR(($FM174/FO174)-1,"")</f>
        <v>-2.0286096620435456E-3</v>
      </c>
      <c r="FR174" s="120" t="s">
        <v>839</v>
      </c>
      <c r="FS174" s="542"/>
      <c r="FT174" s="542"/>
      <c r="FU174" s="540"/>
      <c r="FV174" s="540"/>
      <c r="FW174" s="540"/>
      <c r="FX174" s="540"/>
      <c r="FY174" s="540"/>
      <c r="FZ174" s="540"/>
      <c r="GA174" s="656"/>
      <c r="GB174"/>
      <c r="GC174"/>
      <c r="GD174"/>
      <c r="GE174"/>
      <c r="GF174"/>
      <c r="GG174"/>
      <c r="GH174" s="972"/>
      <c r="GI174" s="972"/>
      <c r="GJ174" s="972"/>
      <c r="GK174" s="972"/>
      <c r="GL174" s="972"/>
      <c r="GM174" s="972"/>
      <c r="GN174" s="972"/>
      <c r="GO174" s="972"/>
      <c r="GP174" s="972"/>
      <c r="GQ174" s="972"/>
      <c r="GR174" s="972"/>
      <c r="GS174" s="972"/>
      <c r="GT174" s="972"/>
      <c r="GU174" s="972"/>
      <c r="GV174" s="972"/>
      <c r="GW174" s="972"/>
      <c r="GX174" s="972"/>
      <c r="GY174" s="972"/>
      <c r="GZ174" s="972"/>
      <c r="HA174" s="972"/>
      <c r="HB174" s="972"/>
      <c r="HC174" s="972"/>
      <c r="HD174" s="972"/>
      <c r="HE174" s="972"/>
      <c r="HF174" s="972"/>
      <c r="HG174" s="972"/>
      <c r="HH174" s="972"/>
      <c r="HI174" s="972"/>
      <c r="HJ174" s="972"/>
      <c r="HK174" s="972"/>
      <c r="HL174" s="972"/>
      <c r="HM174" s="972"/>
      <c r="HN174" s="972"/>
      <c r="HO174" s="972"/>
      <c r="HP174" s="972"/>
      <c r="HQ174" s="972"/>
      <c r="HR174" s="972"/>
      <c r="HS174" s="972"/>
      <c r="HT174" s="972"/>
      <c r="HU174" s="972"/>
      <c r="HV174" s="972"/>
      <c r="HW174" s="972"/>
      <c r="HX174" s="972"/>
      <c r="HY174" s="972"/>
      <c r="HZ174" s="972"/>
      <c r="IA174" s="972"/>
      <c r="IB174" s="972"/>
      <c r="IC174" s="972"/>
      <c r="ID174" s="972"/>
      <c r="IE174" s="972"/>
      <c r="IF174" s="972"/>
      <c r="IG174" s="972"/>
      <c r="IH174" s="972"/>
      <c r="II174" s="972"/>
      <c r="IJ174" s="972"/>
      <c r="IK174" s="972"/>
      <c r="IL174" s="972"/>
      <c r="IM174" s="972"/>
      <c r="IN174" s="972"/>
      <c r="IO174" s="972"/>
      <c r="IP174" s="972"/>
      <c r="IQ174" s="972"/>
      <c r="IR174" s="972"/>
      <c r="IS174" s="972"/>
      <c r="IT174" s="972"/>
      <c r="IU174" s="972"/>
      <c r="IV174" s="972"/>
    </row>
    <row r="175" spans="1:256" s="244" customFormat="1" ht="12.75" x14ac:dyDescent="0.2">
      <c r="A175" s="242" t="s">
        <v>74</v>
      </c>
      <c r="B175" s="22"/>
      <c r="C175" s="22"/>
      <c r="D175" s="22"/>
      <c r="E175" s="197"/>
      <c r="F175" s="21"/>
      <c r="G175" s="22">
        <f t="shared" ref="G175:BR175" si="637">G174/B174-1</f>
        <v>1.6717325227963764E-2</v>
      </c>
      <c r="H175" s="22">
        <f t="shared" si="637"/>
        <v>6.1224489795917991E-2</v>
      </c>
      <c r="I175" s="22">
        <f t="shared" si="637"/>
        <v>0.10850439882698004</v>
      </c>
      <c r="J175" s="197">
        <f t="shared" si="637"/>
        <v>4.920405209840828E-2</v>
      </c>
      <c r="K175" s="21">
        <f t="shared" si="637"/>
        <v>5.9256532940743512E-2</v>
      </c>
      <c r="L175" s="22">
        <f t="shared" si="637"/>
        <v>5.9790732436472371E-2</v>
      </c>
      <c r="M175" s="22">
        <f t="shared" si="637"/>
        <v>6.4560439560439775E-2</v>
      </c>
      <c r="N175" s="22">
        <f t="shared" si="637"/>
        <v>-1.9841269841270215E-2</v>
      </c>
      <c r="O175" s="197">
        <f t="shared" si="637"/>
        <v>7.0344827586207304E-2</v>
      </c>
      <c r="P175" s="21">
        <f t="shared" si="637"/>
        <v>4.2738012508686696E-2</v>
      </c>
      <c r="Q175" s="22">
        <f t="shared" si="637"/>
        <v>-2.6798307475317418E-2</v>
      </c>
      <c r="R175" s="22">
        <f t="shared" si="637"/>
        <v>1.290322580645098E-3</v>
      </c>
      <c r="S175" s="22">
        <f t="shared" si="637"/>
        <v>0.12685560053981115</v>
      </c>
      <c r="T175" s="197">
        <f t="shared" si="637"/>
        <v>0.24097938144329878</v>
      </c>
      <c r="U175" s="21">
        <f t="shared" si="637"/>
        <v>8.7637454181939134E-2</v>
      </c>
      <c r="V175" s="22">
        <f t="shared" si="637"/>
        <v>0.14927536231884053</v>
      </c>
      <c r="W175" s="22">
        <f t="shared" si="637"/>
        <v>-0.13788659793814417</v>
      </c>
      <c r="X175" s="22">
        <f t="shared" si="637"/>
        <v>-0.17604790419161676</v>
      </c>
      <c r="Y175" s="197">
        <f t="shared" si="637"/>
        <v>-0.2990654205607477</v>
      </c>
      <c r="Z175" s="21">
        <f t="shared" si="637"/>
        <v>-0.13449754901960775</v>
      </c>
      <c r="AA175" s="22">
        <f t="shared" si="637"/>
        <v>-0.17276166456494324</v>
      </c>
      <c r="AB175" s="22">
        <f t="shared" si="637"/>
        <v>8.2212257100149566E-2</v>
      </c>
      <c r="AC175" s="22">
        <f t="shared" si="637"/>
        <v>-1.4534883720929148E-3</v>
      </c>
      <c r="AD175" s="197">
        <f t="shared" si="637"/>
        <v>0.23259259259259268</v>
      </c>
      <c r="AE175" s="21">
        <f t="shared" si="637"/>
        <v>2.6194690265486598E-2</v>
      </c>
      <c r="AF175" s="22">
        <f t="shared" si="637"/>
        <v>0.10975609756097571</v>
      </c>
      <c r="AG175" s="22">
        <f t="shared" si="637"/>
        <v>7.4585635359115887E-2</v>
      </c>
      <c r="AH175" s="22">
        <f t="shared" si="637"/>
        <v>6.1135371179039444E-2</v>
      </c>
      <c r="AI175" s="197">
        <f t="shared" si="637"/>
        <v>-0.16346153846153855</v>
      </c>
      <c r="AJ175" s="21">
        <f t="shared" si="637"/>
        <v>1.1038289065194995E-2</v>
      </c>
      <c r="AK175" s="22">
        <f t="shared" si="637"/>
        <v>-2.335164835164838E-2</v>
      </c>
      <c r="AL175" s="22">
        <f t="shared" si="637"/>
        <v>-1.9280205655527016E-2</v>
      </c>
      <c r="AM175" s="22">
        <f t="shared" si="637"/>
        <v>2.6063100137174056E-2</v>
      </c>
      <c r="AN175" s="197">
        <f t="shared" si="637"/>
        <v>0.11637931034482762</v>
      </c>
      <c r="AO175" s="21">
        <f t="shared" si="637"/>
        <v>2.3200272944387423E-2</v>
      </c>
      <c r="AP175" s="22">
        <f t="shared" si="637"/>
        <v>0.13502109704641363</v>
      </c>
      <c r="AQ175" s="22">
        <f t="shared" si="637"/>
        <v>8.6500655307994778E-2</v>
      </c>
      <c r="AR175" s="22">
        <f t="shared" si="637"/>
        <v>0.196524064171123</v>
      </c>
      <c r="AS175" s="197">
        <f t="shared" si="637"/>
        <v>9.3951093951093911E-2</v>
      </c>
      <c r="AT175" s="21">
        <f t="shared" si="637"/>
        <v>0.12737579193064374</v>
      </c>
      <c r="AU175" s="22">
        <f t="shared" si="637"/>
        <v>0.13135068153655505</v>
      </c>
      <c r="AV175" s="22">
        <f t="shared" si="637"/>
        <v>0.21833534378769603</v>
      </c>
      <c r="AW175" s="22">
        <f t="shared" si="637"/>
        <v>0.24022346368715075</v>
      </c>
      <c r="AX175" s="197">
        <f t="shared" si="637"/>
        <v>0.29411764705882359</v>
      </c>
      <c r="AY175" s="21">
        <f t="shared" si="637"/>
        <v>0.22241940254362613</v>
      </c>
      <c r="AZ175" s="22">
        <f t="shared" si="637"/>
        <v>0.15005476451259581</v>
      </c>
      <c r="BA175" s="22">
        <f t="shared" si="637"/>
        <v>0.64356435643564347</v>
      </c>
      <c r="BB175" s="22">
        <f t="shared" si="637"/>
        <v>0.46846846846846857</v>
      </c>
      <c r="BC175" s="197">
        <f t="shared" si="637"/>
        <v>0.72727272727272729</v>
      </c>
      <c r="BD175" s="21">
        <f t="shared" si="637"/>
        <v>0.50979917735301239</v>
      </c>
      <c r="BE175" s="22">
        <f t="shared" si="637"/>
        <v>0.74285714285714288</v>
      </c>
      <c r="BF175" s="22">
        <f t="shared" si="637"/>
        <v>0.10843373493975905</v>
      </c>
      <c r="BG175" s="22">
        <f t="shared" si="637"/>
        <v>0.1595092024539877</v>
      </c>
      <c r="BH175" s="197">
        <f t="shared" si="637"/>
        <v>-1.0526315789473717E-2</v>
      </c>
      <c r="BI175" s="21">
        <f t="shared" si="637"/>
        <v>0.19230769230769229</v>
      </c>
      <c r="BJ175" s="22">
        <f t="shared" si="637"/>
        <v>4.3715846994535568E-2</v>
      </c>
      <c r="BK175" s="22">
        <f t="shared" si="637"/>
        <v>0.10869565217391308</v>
      </c>
      <c r="BL175" s="22">
        <f t="shared" si="637"/>
        <v>7.9365079365079305E-2</v>
      </c>
      <c r="BM175" s="197">
        <f t="shared" si="637"/>
        <v>1.5957446808510634E-2</v>
      </c>
      <c r="BN175" s="21">
        <f t="shared" si="637"/>
        <v>6.1827956989247257E-2</v>
      </c>
      <c r="BO175" s="22">
        <f t="shared" si="637"/>
        <v>2.0942408376963373E-2</v>
      </c>
      <c r="BP175" s="22">
        <f t="shared" si="637"/>
        <v>2.9411764705882248E-2</v>
      </c>
      <c r="BQ175" s="22">
        <f t="shared" si="637"/>
        <v>0.10294117647058831</v>
      </c>
      <c r="BR175" s="197">
        <f t="shared" si="637"/>
        <v>0.18324607329842935</v>
      </c>
      <c r="BS175" s="21">
        <f t="shared" ref="BS175:DY175" si="638">BS174/BN174-1</f>
        <v>8.3544303797468356E-2</v>
      </c>
      <c r="BT175" s="22">
        <f t="shared" si="638"/>
        <v>5.1282051282051322E-2</v>
      </c>
      <c r="BU175" s="22">
        <f t="shared" si="638"/>
        <v>4.7619047619047672E-2</v>
      </c>
      <c r="BV175" s="22">
        <f t="shared" si="638"/>
        <v>-7.1111111111111125E-2</v>
      </c>
      <c r="BW175" s="197">
        <f t="shared" si="638"/>
        <v>-0.10619469026548678</v>
      </c>
      <c r="BX175" s="21">
        <f t="shared" si="638"/>
        <v>-2.3364485981308358E-2</v>
      </c>
      <c r="BY175" s="22">
        <f t="shared" si="638"/>
        <v>1.9512195121951237E-2</v>
      </c>
      <c r="BZ175" s="22">
        <f t="shared" si="638"/>
        <v>2.7272727272727337E-2</v>
      </c>
      <c r="CA175" s="22">
        <f t="shared" si="638"/>
        <v>0.14832535885167464</v>
      </c>
      <c r="CB175" s="197">
        <f t="shared" si="638"/>
        <v>0.29702970297029707</v>
      </c>
      <c r="CC175" s="21">
        <f t="shared" si="638"/>
        <v>0.12081339712918671</v>
      </c>
      <c r="CD175" s="22">
        <f t="shared" si="638"/>
        <v>0.32535885167464107</v>
      </c>
      <c r="CE175" s="22">
        <f t="shared" si="638"/>
        <v>0.22566371681415931</v>
      </c>
      <c r="CF175" s="22">
        <f t="shared" si="638"/>
        <v>0.1875</v>
      </c>
      <c r="CG175" s="197">
        <f t="shared" si="638"/>
        <v>0.15648854961832059</v>
      </c>
      <c r="CH175" s="21">
        <f t="shared" si="638"/>
        <v>0.21878335112059766</v>
      </c>
      <c r="CI175" s="22">
        <f t="shared" si="638"/>
        <v>2.5270758122743597E-2</v>
      </c>
      <c r="CJ175" s="22">
        <f t="shared" si="638"/>
        <v>3.2490974729241895E-2</v>
      </c>
      <c r="CK175" s="22">
        <f t="shared" si="638"/>
        <v>1.0526315789473717E-2</v>
      </c>
      <c r="CL175" s="197">
        <f t="shared" si="638"/>
        <v>1.3201320132013139E-2</v>
      </c>
      <c r="CM175" s="21">
        <f t="shared" si="638"/>
        <v>2.0140105078809034E-2</v>
      </c>
      <c r="CN175" s="22">
        <f t="shared" si="638"/>
        <v>1.7605633802816989E-2</v>
      </c>
      <c r="CO175" s="22">
        <f t="shared" si="638"/>
        <v>-1.0489510489510523E-2</v>
      </c>
      <c r="CP175" s="22">
        <f t="shared" si="638"/>
        <v>2.0833333333333259E-2</v>
      </c>
      <c r="CQ175" s="197">
        <f t="shared" si="638"/>
        <v>-3.2573289902280145E-3</v>
      </c>
      <c r="CR175" s="21">
        <f t="shared" si="638"/>
        <v>6.0085836909871126E-3</v>
      </c>
      <c r="CS175" s="22">
        <f t="shared" si="638"/>
        <v>-2.0761245674740469E-2</v>
      </c>
      <c r="CT175" s="22">
        <f t="shared" si="638"/>
        <v>9.540636042402828E-2</v>
      </c>
      <c r="CU175" s="22">
        <f t="shared" si="638"/>
        <v>0.12925170068027203</v>
      </c>
      <c r="CV175" s="197">
        <f t="shared" si="638"/>
        <v>3.5947712418300748E-2</v>
      </c>
      <c r="CW175" s="21">
        <f t="shared" si="638"/>
        <v>5.9726962457337773E-2</v>
      </c>
      <c r="CX175" s="22">
        <f t="shared" si="638"/>
        <v>-4.9469964664310973E-2</v>
      </c>
      <c r="CY175" s="22">
        <f t="shared" si="638"/>
        <v>-0.16774193548387095</v>
      </c>
      <c r="CZ175" s="22">
        <f t="shared" si="638"/>
        <v>-0.16566265060240959</v>
      </c>
      <c r="DA175" s="22">
        <f>DA174/CV174-1</f>
        <v>-0.10725552050473186</v>
      </c>
      <c r="DB175" s="21">
        <f>DB174/CW174-1</f>
        <v>-0.12479871175523349</v>
      </c>
      <c r="DC175" s="22">
        <f t="shared" si="638"/>
        <v>-5.2044609665427455E-2</v>
      </c>
      <c r="DD175" s="22">
        <f t="shared" si="638"/>
        <v>0.13178294573643412</v>
      </c>
      <c r="DE175" s="22">
        <f t="shared" si="638"/>
        <v>6.1371841155234641E-2</v>
      </c>
      <c r="DF175" s="22">
        <f>DF174/DA174-1</f>
        <v>9.540636042402828E-2</v>
      </c>
      <c r="DG175" s="21">
        <f t="shared" si="638"/>
        <v>5.8877644894204328E-2</v>
      </c>
      <c r="DH175" s="22">
        <f>DH174/DC174-1</f>
        <v>0.16078431372549029</v>
      </c>
      <c r="DI175" s="22">
        <f t="shared" si="638"/>
        <v>8.9041095890410871E-2</v>
      </c>
      <c r="DJ175" s="22">
        <f t="shared" si="638"/>
        <v>8.8435374149659962E-2</v>
      </c>
      <c r="DK175" s="22">
        <f t="shared" si="638"/>
        <v>9.0322580645161299E-2</v>
      </c>
      <c r="DL175" s="21">
        <f t="shared" si="638"/>
        <v>0.10512597741094698</v>
      </c>
      <c r="DM175" s="22">
        <f t="shared" si="638"/>
        <v>7.4324324324324342E-2</v>
      </c>
      <c r="DN175" s="22">
        <f t="shared" si="638"/>
        <v>6.2893081761006275E-3</v>
      </c>
      <c r="DO175" s="22">
        <f t="shared" si="638"/>
        <v>4.0624999999999911E-2</v>
      </c>
      <c r="DP175" s="22">
        <f t="shared" si="638"/>
        <v>3.5502958579881616E-2</v>
      </c>
      <c r="DQ175" s="21">
        <f t="shared" si="638"/>
        <v>3.8522012578616316E-2</v>
      </c>
      <c r="DR175" s="22">
        <f t="shared" si="638"/>
        <v>9.4339622641510523E-3</v>
      </c>
      <c r="DS175" s="22">
        <f t="shared" si="638"/>
        <v>7.1874999999999911E-2</v>
      </c>
      <c r="DT175" s="22">
        <f t="shared" si="638"/>
        <v>4.8048048048048075E-2</v>
      </c>
      <c r="DU175" s="22">
        <f t="shared" si="638"/>
        <v>-2.8571428571428581E-2</v>
      </c>
      <c r="DV175" s="21">
        <f t="shared" si="638"/>
        <v>2.4224072672218044E-2</v>
      </c>
      <c r="DW175" s="22">
        <f>DW174/DR174-1</f>
        <v>9.3457943925232545E-3</v>
      </c>
      <c r="DX175" s="22">
        <f t="shared" si="638"/>
        <v>-2.9154518950437192E-3</v>
      </c>
      <c r="DY175" s="22">
        <f t="shared" si="638"/>
        <v>1.7191977077363862E-2</v>
      </c>
      <c r="DZ175" s="22">
        <f t="shared" ref="DZ175:EI175" si="639">DZ174/DU174-1</f>
        <v>9.7058823529411864E-2</v>
      </c>
      <c r="EA175" s="21">
        <f t="shared" si="639"/>
        <v>3.0303030303030276E-2</v>
      </c>
      <c r="EB175" s="22">
        <f t="shared" si="639"/>
        <v>5.2469135802469147E-2</v>
      </c>
      <c r="EC175" s="22">
        <f t="shared" si="639"/>
        <v>6.1403508771929793E-2</v>
      </c>
      <c r="ED175" s="22">
        <f t="shared" si="639"/>
        <v>4.2253521126760507E-2</v>
      </c>
      <c r="EE175" s="22">
        <f t="shared" si="639"/>
        <v>-3.7533512064343189E-2</v>
      </c>
      <c r="EF175" s="21">
        <f t="shared" si="639"/>
        <v>2.7977044476327206E-2</v>
      </c>
      <c r="EG175" s="22">
        <f t="shared" si="639"/>
        <v>-0.12023460410557185</v>
      </c>
      <c r="EH175" s="22">
        <f t="shared" si="639"/>
        <v>-0.14876033057851235</v>
      </c>
      <c r="EI175" s="22">
        <f t="shared" si="639"/>
        <v>-0.15675675675675671</v>
      </c>
      <c r="EJ175" s="22">
        <f t="shared" ref="EJ175:EN175" si="640">EJ174/EE174-1</f>
        <v>-0.10584958217270191</v>
      </c>
      <c r="EK175" s="21">
        <f t="shared" si="640"/>
        <v>-0.1332868108862526</v>
      </c>
      <c r="EL175" s="22">
        <f t="shared" si="640"/>
        <v>1.3333333333333419E-2</v>
      </c>
      <c r="EM175" s="22">
        <f t="shared" si="640"/>
        <v>2.9126213592232997E-2</v>
      </c>
      <c r="EN175" s="22">
        <f t="shared" si="640"/>
        <v>-9.6153846153845812E-3</v>
      </c>
      <c r="EO175" s="22">
        <f t="shared" ref="EO175" si="641">EO174/EJ174-1</f>
        <v>5.2959501557632294E-2</v>
      </c>
      <c r="EP175" s="21">
        <f t="shared" ref="EP175:EQ175" si="642">EP174/EK174-1</f>
        <v>2.1739130434782705E-2</v>
      </c>
      <c r="EQ175" s="22">
        <f t="shared" si="642"/>
        <v>4.6052631578947345E-2</v>
      </c>
      <c r="ER175" s="22">
        <f t="shared" ref="ER175" si="643">ER174/EM174-1</f>
        <v>4.0016746912288292E-2</v>
      </c>
      <c r="ES175" s="22">
        <f t="shared" ref="ES175:EU175" si="644">ES174/EN174-1</f>
        <v>9.5072161741835304E-2</v>
      </c>
      <c r="ET175" s="22">
        <f t="shared" si="644"/>
        <v>3.7218479559503415E-2</v>
      </c>
      <c r="EU175" s="270">
        <f t="shared" si="644"/>
        <v>5.4123301487349673E-2</v>
      </c>
      <c r="EV175" s="243"/>
      <c r="EW175" s="243"/>
      <c r="EX175" s="243"/>
      <c r="EY175" s="243"/>
      <c r="EZ175" s="844">
        <f>EZ174/EU174-1</f>
        <v>3.528364725638955E-2</v>
      </c>
      <c r="FA175" s="243"/>
      <c r="FB175" s="243"/>
      <c r="FC175" s="243"/>
      <c r="FD175" s="243"/>
      <c r="FE175" s="844">
        <f>FE174/EZ174-1</f>
        <v>3.905306334203984E-2</v>
      </c>
      <c r="FF175" s="791"/>
      <c r="FG175" s="618"/>
      <c r="FH175" s="1073"/>
      <c r="FI175" s="1073"/>
      <c r="FJ175" s="1073"/>
      <c r="FK175" s="1073"/>
      <c r="FL175" s="1806"/>
      <c r="FM175" s="22">
        <f t="shared" si="624"/>
        <v>4.6052631578947345E-2</v>
      </c>
      <c r="FN175" s="22">
        <f t="shared" si="625"/>
        <v>1.3333333333333419E-2</v>
      </c>
      <c r="FO175" s="2041">
        <v>4.8178977580418003E-2</v>
      </c>
      <c r="FP175" s="1892">
        <f t="shared" ref="FP175:FQ177" si="645">IFERROR(($FM175-FN175)*10000,"")</f>
        <v>327.19298245613925</v>
      </c>
      <c r="FQ175" s="1892">
        <f t="shared" si="645"/>
        <v>-21.263460014706581</v>
      </c>
      <c r="FR175" s="120"/>
      <c r="FS175" s="1427" t="s">
        <v>797</v>
      </c>
      <c r="FT175" s="120"/>
      <c r="FU175" s="120"/>
      <c r="FV175" s="120"/>
      <c r="FW175" s="120"/>
      <c r="FX175" s="120"/>
      <c r="FY175" s="120"/>
      <c r="FZ175" s="120"/>
      <c r="GA175" s="618"/>
      <c r="GB175"/>
      <c r="GC175"/>
      <c r="GD175"/>
      <c r="GE175"/>
      <c r="GF175"/>
      <c r="GG175"/>
      <c r="GH175" s="973"/>
      <c r="GI175" s="973"/>
      <c r="GJ175" s="973"/>
      <c r="GK175" s="973"/>
      <c r="GL175" s="973"/>
      <c r="GM175" s="973"/>
      <c r="GN175" s="973"/>
      <c r="GO175" s="973"/>
      <c r="GP175" s="973"/>
      <c r="GQ175" s="973"/>
      <c r="GR175" s="973"/>
      <c r="GS175" s="973"/>
      <c r="GT175" s="973"/>
      <c r="GU175" s="973"/>
      <c r="GV175" s="973"/>
      <c r="GW175" s="973"/>
      <c r="GX175" s="973"/>
      <c r="GY175" s="973"/>
      <c r="GZ175" s="973"/>
      <c r="HA175" s="973"/>
      <c r="HB175" s="973"/>
      <c r="HC175" s="973"/>
      <c r="HD175" s="973"/>
      <c r="HE175" s="973"/>
      <c r="HF175" s="973"/>
      <c r="HG175" s="973"/>
      <c r="HH175" s="973"/>
      <c r="HI175" s="973"/>
      <c r="HJ175" s="973"/>
      <c r="HK175" s="973"/>
      <c r="HL175" s="973"/>
      <c r="HM175" s="973"/>
      <c r="HN175" s="973"/>
      <c r="HO175" s="973"/>
      <c r="HP175" s="973"/>
      <c r="HQ175" s="973"/>
      <c r="HR175" s="973"/>
      <c r="HS175" s="973"/>
      <c r="HT175" s="973"/>
      <c r="HU175" s="973"/>
      <c r="HV175" s="973"/>
      <c r="HW175" s="973"/>
      <c r="HX175" s="973"/>
      <c r="HY175" s="973"/>
      <c r="HZ175" s="973"/>
      <c r="IA175" s="973"/>
      <c r="IB175" s="973"/>
      <c r="IC175" s="973"/>
      <c r="ID175" s="973"/>
      <c r="IE175" s="973"/>
      <c r="IF175" s="973"/>
      <c r="IG175" s="973"/>
      <c r="IH175" s="973"/>
      <c r="II175" s="973"/>
      <c r="IJ175" s="973"/>
      <c r="IK175" s="973"/>
      <c r="IL175" s="973"/>
      <c r="IM175" s="973"/>
      <c r="IN175" s="973"/>
      <c r="IO175" s="973"/>
      <c r="IP175" s="973"/>
      <c r="IQ175" s="973"/>
      <c r="IR175" s="973"/>
      <c r="IS175" s="973"/>
      <c r="IT175" s="973"/>
      <c r="IU175" s="973"/>
      <c r="IV175" s="973"/>
    </row>
    <row r="176" spans="1:256" s="191" customFormat="1" ht="12.75" x14ac:dyDescent="0.2">
      <c r="A176" s="420" t="s">
        <v>471</v>
      </c>
      <c r="B176" s="27">
        <f t="shared" ref="B176:AG176" si="646">B174/B$214</f>
        <v>9.0546305215357087E-2</v>
      </c>
      <c r="C176" s="27">
        <f t="shared" si="646"/>
        <v>9.45815524610506E-2</v>
      </c>
      <c r="D176" s="27">
        <f t="shared" si="646"/>
        <v>9.5732734418865775E-2</v>
      </c>
      <c r="E176" s="213">
        <f t="shared" si="646"/>
        <v>9.8714285714285741E-2</v>
      </c>
      <c r="F176" s="28">
        <f t="shared" si="646"/>
        <v>9.4854070660522288E-2</v>
      </c>
      <c r="G176" s="27">
        <f t="shared" si="646"/>
        <v>8.9883111648528816E-2</v>
      </c>
      <c r="H176" s="27">
        <f t="shared" si="646"/>
        <v>9.8698481561822121E-2</v>
      </c>
      <c r="I176" s="27">
        <f t="shared" si="646"/>
        <v>0.10397469398982261</v>
      </c>
      <c r="J176" s="213">
        <f t="shared" si="646"/>
        <v>9.9192776029552621E-2</v>
      </c>
      <c r="K176" s="28">
        <f t="shared" si="646"/>
        <v>9.7894486207013839E-2</v>
      </c>
      <c r="L176" s="27">
        <f t="shared" si="646"/>
        <v>9.6990424076607393E-2</v>
      </c>
      <c r="M176" s="27">
        <f t="shared" si="646"/>
        <v>0.10989790130459445</v>
      </c>
      <c r="N176" s="27">
        <f t="shared" si="646"/>
        <v>0.10438089871812929</v>
      </c>
      <c r="O176" s="213">
        <f t="shared" si="646"/>
        <v>0.1083647535260439</v>
      </c>
      <c r="P176" s="28">
        <f t="shared" si="646"/>
        <v>0.10484941653273706</v>
      </c>
      <c r="Q176" s="27">
        <f t="shared" si="646"/>
        <v>0.10037823683444864</v>
      </c>
      <c r="R176" s="27">
        <f t="shared" si="646"/>
        <v>0.10863782724345511</v>
      </c>
      <c r="S176" s="27">
        <f t="shared" si="646"/>
        <v>0.11566698988779608</v>
      </c>
      <c r="T176" s="213">
        <f t="shared" si="646"/>
        <v>0.13240753471744812</v>
      </c>
      <c r="U176" s="28">
        <f t="shared" si="646"/>
        <v>0.11449016100178891</v>
      </c>
      <c r="V176" s="27">
        <f t="shared" si="646"/>
        <v>0.10966671276448625</v>
      </c>
      <c r="W176" s="27">
        <f t="shared" si="646"/>
        <v>9.3973872734934696E-2</v>
      </c>
      <c r="X176" s="27">
        <f t="shared" si="646"/>
        <v>9.7491852061782611E-2</v>
      </c>
      <c r="Y176" s="213">
        <f t="shared" si="646"/>
        <v>9.7332372025955294E-2</v>
      </c>
      <c r="Z176" s="28">
        <f t="shared" si="646"/>
        <v>9.9675393409074872E-2</v>
      </c>
      <c r="AA176" s="27">
        <f t="shared" si="646"/>
        <v>9.1364902506963774E-2</v>
      </c>
      <c r="AB176" s="27">
        <f t="shared" si="646"/>
        <v>9.9834528405956982E-2</v>
      </c>
      <c r="AC176" s="27">
        <f t="shared" si="646"/>
        <v>9.6502317741255797E-2</v>
      </c>
      <c r="AD176" s="213">
        <f t="shared" si="646"/>
        <v>0.11560372377379463</v>
      </c>
      <c r="AE176" s="28">
        <f t="shared" si="646"/>
        <v>0.10084179769027411</v>
      </c>
      <c r="AF176" s="27">
        <f t="shared" si="646"/>
        <v>9.7170315002669511E-2</v>
      </c>
      <c r="AG176" s="27">
        <f t="shared" si="646"/>
        <v>0.10713302120627925</v>
      </c>
      <c r="AH176" s="27">
        <f t="shared" ref="AH176:BM176" si="647">AH174/AH$214</f>
        <v>0.10148962828901573</v>
      </c>
      <c r="AI176" s="213">
        <f t="shared" si="647"/>
        <v>9.7179558782462983E-2</v>
      </c>
      <c r="AJ176" s="28">
        <f t="shared" si="647"/>
        <v>0.10072511082855083</v>
      </c>
      <c r="AK176" s="27">
        <f t="shared" si="647"/>
        <v>9.4197138314785364E-2</v>
      </c>
      <c r="AL176" s="27">
        <f t="shared" si="647"/>
        <v>0.10338753387533875</v>
      </c>
      <c r="AM176" s="27">
        <f t="shared" si="647"/>
        <v>0.1039321939697096</v>
      </c>
      <c r="AN176" s="213">
        <f t="shared" si="647"/>
        <v>0.10720198675496689</v>
      </c>
      <c r="AO176" s="28">
        <f t="shared" si="647"/>
        <v>0.10210056854934801</v>
      </c>
      <c r="AP176" s="27">
        <f t="shared" si="647"/>
        <v>0.10555918901242643</v>
      </c>
      <c r="AQ176" s="27">
        <f t="shared" si="647"/>
        <v>0.11106645230439444</v>
      </c>
      <c r="AR176" s="27">
        <f t="shared" si="647"/>
        <v>0.11919030496737247</v>
      </c>
      <c r="AS176" s="213">
        <f t="shared" si="647"/>
        <v>0.11363636363636363</v>
      </c>
      <c r="AT176" s="28">
        <f t="shared" si="647"/>
        <v>0.11233304538507542</v>
      </c>
      <c r="AU176" s="27">
        <f t="shared" si="647"/>
        <v>0.11196958547951924</v>
      </c>
      <c r="AV176" s="27">
        <f t="shared" si="647"/>
        <v>0.12849872773536897</v>
      </c>
      <c r="AW176" s="27">
        <f t="shared" si="647"/>
        <v>0.14050632911392405</v>
      </c>
      <c r="AX176" s="213">
        <f t="shared" si="647"/>
        <v>0.14138817480719795</v>
      </c>
      <c r="AY176" s="28">
        <f t="shared" si="647"/>
        <v>0.13040323089543765</v>
      </c>
      <c r="AZ176" s="27">
        <f t="shared" si="647"/>
        <v>0.13240857503152584</v>
      </c>
      <c r="BA176" s="27">
        <f t="shared" si="647"/>
        <v>0.16666666666666666</v>
      </c>
      <c r="BB176" s="27">
        <f t="shared" si="647"/>
        <v>0.12038404726735598</v>
      </c>
      <c r="BC176" s="213">
        <f t="shared" si="647"/>
        <v>0.14242878560719641</v>
      </c>
      <c r="BD176" s="28">
        <f t="shared" si="647"/>
        <v>0.13937904846995755</v>
      </c>
      <c r="BE176" s="27">
        <f t="shared" si="647"/>
        <v>0.13270485859318346</v>
      </c>
      <c r="BF176" s="27">
        <f t="shared" si="647"/>
        <v>0.14003044140030441</v>
      </c>
      <c r="BG176" s="27">
        <f t="shared" si="647"/>
        <v>0.14274924471299094</v>
      </c>
      <c r="BH176" s="213">
        <f t="shared" si="647"/>
        <v>0.13988095238095238</v>
      </c>
      <c r="BI176" s="28">
        <f t="shared" si="647"/>
        <v>0.1387800783435926</v>
      </c>
      <c r="BJ176" s="27">
        <f t="shared" si="647"/>
        <v>0.14307116104868914</v>
      </c>
      <c r="BK176" s="27">
        <f t="shared" si="647"/>
        <v>0.15572519083969466</v>
      </c>
      <c r="BL176" s="27">
        <f t="shared" si="647"/>
        <v>0.16152019002375298</v>
      </c>
      <c r="BM176" s="213">
        <f t="shared" si="647"/>
        <v>0.15219123505976095</v>
      </c>
      <c r="BN176" s="28">
        <f t="shared" ref="BN176:CS176" si="648">BN174/BN$214</f>
        <v>0.15301181483633547</v>
      </c>
      <c r="BO176" s="27">
        <f t="shared" si="648"/>
        <v>0.15463917525773196</v>
      </c>
      <c r="BP176" s="27">
        <f t="shared" si="648"/>
        <v>0.16522423288749016</v>
      </c>
      <c r="BQ176" s="27">
        <f t="shared" si="648"/>
        <v>0.17482517482517482</v>
      </c>
      <c r="BR176" s="213">
        <f t="shared" si="648"/>
        <v>0.17478731631863884</v>
      </c>
      <c r="BS176" s="28">
        <f t="shared" si="648"/>
        <v>0.1674491392801252</v>
      </c>
      <c r="BT176" s="27">
        <f t="shared" si="648"/>
        <v>0.15413533834586465</v>
      </c>
      <c r="BU176" s="27">
        <f t="shared" si="648"/>
        <v>0.16479400749063669</v>
      </c>
      <c r="BV176" s="27">
        <f t="shared" si="648"/>
        <v>0.1623931623931624</v>
      </c>
      <c r="BW176" s="213">
        <f t="shared" si="648"/>
        <v>0.15018587360594796</v>
      </c>
      <c r="BX176" s="28">
        <f t="shared" si="648"/>
        <v>0.15782518406645271</v>
      </c>
      <c r="BY176" s="27">
        <f t="shared" si="648"/>
        <v>0.15515961395694136</v>
      </c>
      <c r="BZ176" s="27">
        <f t="shared" si="648"/>
        <v>0.16282420749279539</v>
      </c>
      <c r="CA176" s="27">
        <f t="shared" si="648"/>
        <v>0.1729106628242075</v>
      </c>
      <c r="CB176" s="213">
        <f t="shared" si="648"/>
        <v>0.17619367854741089</v>
      </c>
      <c r="CC176" s="28">
        <f t="shared" si="648"/>
        <v>0.1770931770931771</v>
      </c>
      <c r="CD176" s="27">
        <f t="shared" si="648"/>
        <v>0.17779204107830551</v>
      </c>
      <c r="CE176" s="27">
        <f t="shared" si="648"/>
        <v>0.17975340687865024</v>
      </c>
      <c r="CF176" s="27">
        <f t="shared" si="648"/>
        <v>0.17516902274124155</v>
      </c>
      <c r="CG176" s="213">
        <f t="shared" si="648"/>
        <v>0.18220084185207455</v>
      </c>
      <c r="CH176" s="28">
        <f t="shared" si="648"/>
        <v>0.17874471748317419</v>
      </c>
      <c r="CI176" s="27">
        <f t="shared" si="648"/>
        <v>0.16210045662100456</v>
      </c>
      <c r="CJ176" s="27">
        <f t="shared" si="648"/>
        <v>0.16676384839650146</v>
      </c>
      <c r="CK176" s="27">
        <f t="shared" si="648"/>
        <v>0.17163289630512515</v>
      </c>
      <c r="CL176" s="213">
        <f t="shared" si="648"/>
        <v>0.18005865102639296</v>
      </c>
      <c r="CM176" s="28">
        <f t="shared" si="648"/>
        <v>0.17007299270072992</v>
      </c>
      <c r="CN176" s="27">
        <f t="shared" si="648"/>
        <v>0.16812100058173357</v>
      </c>
      <c r="CO176" s="27">
        <f t="shared" si="648"/>
        <v>0.16765402843601895</v>
      </c>
      <c r="CP176" s="27">
        <f t="shared" si="648"/>
        <v>0.17583732057416268</v>
      </c>
      <c r="CQ176" s="213">
        <f t="shared" si="648"/>
        <v>0.17307692307692307</v>
      </c>
      <c r="CR176" s="28">
        <f t="shared" si="648"/>
        <v>0.17116985541112897</v>
      </c>
      <c r="CS176" s="27">
        <f t="shared" si="648"/>
        <v>0.14824515453116816</v>
      </c>
      <c r="CT176" s="27">
        <f t="shared" ref="CT176:DY176" si="649">CT174/CT$214</f>
        <v>0.15768056968463887</v>
      </c>
      <c r="CU176" s="27">
        <f t="shared" si="649"/>
        <v>0.16600000000000001</v>
      </c>
      <c r="CV176" s="213">
        <f t="shared" si="649"/>
        <v>0.18768502072232091</v>
      </c>
      <c r="CW176" s="28">
        <f t="shared" si="649"/>
        <v>0.16419883659439449</v>
      </c>
      <c r="CX176" s="421">
        <f t="shared" si="649"/>
        <v>0.17243589743589743</v>
      </c>
      <c r="CY176" s="421">
        <f t="shared" si="649"/>
        <v>0.18574514038876891</v>
      </c>
      <c r="CZ176" s="421">
        <f t="shared" si="649"/>
        <v>0.18454363757495004</v>
      </c>
      <c r="DA176" s="27">
        <f t="shared" si="649"/>
        <v>0.18175979447655749</v>
      </c>
      <c r="DB176" s="28">
        <f t="shared" si="649"/>
        <v>0.1809555518561678</v>
      </c>
      <c r="DC176" s="421">
        <f t="shared" si="649"/>
        <v>0.15151515151515152</v>
      </c>
      <c r="DD176" s="421">
        <f t="shared" si="649"/>
        <v>0.17206835592221567</v>
      </c>
      <c r="DE176" s="421">
        <f t="shared" si="649"/>
        <v>0.17192982456140352</v>
      </c>
      <c r="DF176" s="27">
        <f t="shared" si="649"/>
        <v>0.17714285714285713</v>
      </c>
      <c r="DG176" s="422">
        <f t="shared" si="649"/>
        <v>0.16827485380116958</v>
      </c>
      <c r="DH176" s="27">
        <f t="shared" si="649"/>
        <v>0.15086646279306828</v>
      </c>
      <c r="DI176" s="421">
        <f t="shared" si="649"/>
        <v>0.15971873430436967</v>
      </c>
      <c r="DJ176" s="421">
        <f t="shared" si="649"/>
        <v>0.16401845207585852</v>
      </c>
      <c r="DK176" s="27">
        <f t="shared" si="649"/>
        <v>0.16925388082123186</v>
      </c>
      <c r="DL176" s="422">
        <f t="shared" si="649"/>
        <v>0.16099227945829642</v>
      </c>
      <c r="DM176" s="27">
        <f t="shared" si="649"/>
        <v>0.15557729941291584</v>
      </c>
      <c r="DN176" s="421">
        <f t="shared" si="649"/>
        <v>0.16494845360824742</v>
      </c>
      <c r="DO176" s="421">
        <f t="shared" si="649"/>
        <v>0.16972477064220184</v>
      </c>
      <c r="DP176" s="27">
        <f t="shared" si="649"/>
        <v>0.17766497461928935</v>
      </c>
      <c r="DQ176" s="422">
        <f t="shared" si="649"/>
        <v>0.16687721071248104</v>
      </c>
      <c r="DR176" s="27">
        <f t="shared" si="649"/>
        <v>0.15681485100146556</v>
      </c>
      <c r="DS176" s="421">
        <f t="shared" si="649"/>
        <v>0.17446592065106817</v>
      </c>
      <c r="DT176" s="27">
        <f t="shared" si="649"/>
        <v>0.17670886075949366</v>
      </c>
      <c r="DU176" s="27">
        <f t="shared" si="649"/>
        <v>0.17</v>
      </c>
      <c r="DV176" s="422">
        <f t="shared" si="649"/>
        <v>0.16937906860290436</v>
      </c>
      <c r="DW176" s="27">
        <f t="shared" si="649"/>
        <v>0.16023738872403562</v>
      </c>
      <c r="DX176" s="421">
        <f t="shared" si="649"/>
        <v>0.16905585763717251</v>
      </c>
      <c r="DY176" s="27">
        <f t="shared" si="649"/>
        <v>0.1753172996197343</v>
      </c>
      <c r="DZ176" s="27">
        <f t="shared" ref="DZ176:EU176" si="650">DZ174/DZ$214</f>
        <v>0.18847902981303688</v>
      </c>
      <c r="EA176" s="422">
        <f t="shared" si="650"/>
        <v>0.17319136776453925</v>
      </c>
      <c r="EB176" s="27">
        <f t="shared" si="650"/>
        <v>0.17389087200407954</v>
      </c>
      <c r="EC176" s="421">
        <f t="shared" si="650"/>
        <v>0.19115323854660349</v>
      </c>
      <c r="ED176" s="27">
        <f t="shared" si="650"/>
        <v>0.19566367001586463</v>
      </c>
      <c r="EE176" s="27">
        <f t="shared" si="650"/>
        <v>0.19136460554371001</v>
      </c>
      <c r="EF176" s="422">
        <f t="shared" si="650"/>
        <v>0.18788514488003147</v>
      </c>
      <c r="EG176" s="27">
        <f t="shared" si="650"/>
        <v>0.17678255745433116</v>
      </c>
      <c r="EH176" s="421">
        <f t="shared" si="650"/>
        <v>0.1834916864608076</v>
      </c>
      <c r="EI176" s="27">
        <f t="shared" si="650"/>
        <v>0.18309859154929578</v>
      </c>
      <c r="EJ176" s="27">
        <f t="shared" si="650"/>
        <v>0.18565644881434354</v>
      </c>
      <c r="EK176" s="422">
        <f t="shared" si="650"/>
        <v>0.18227179336659818</v>
      </c>
      <c r="EL176" s="27">
        <f t="shared" si="650"/>
        <v>0.16721672167216722</v>
      </c>
      <c r="EM176" s="421">
        <f t="shared" si="650"/>
        <v>0.1801699716713881</v>
      </c>
      <c r="EN176" s="27">
        <f t="shared" si="650"/>
        <v>0.17408450704225353</v>
      </c>
      <c r="EO176" s="27">
        <f t="shared" ref="EO176:EQ176" si="651">EO174/EO$214</f>
        <v>0.18551042810098792</v>
      </c>
      <c r="EP176" s="422">
        <f t="shared" si="651"/>
        <v>0.1767409470752089</v>
      </c>
      <c r="EQ176" s="27">
        <f t="shared" si="651"/>
        <v>0.1689691817215728</v>
      </c>
      <c r="ER176" s="27">
        <f t="shared" si="650"/>
        <v>0.17647053878508595</v>
      </c>
      <c r="ES176" s="27">
        <f t="shared" si="650"/>
        <v>0.1724162854217397</v>
      </c>
      <c r="ET176" s="27">
        <f t="shared" si="650"/>
        <v>0.18003973670596141</v>
      </c>
      <c r="EU176" s="1979">
        <f t="shared" si="650"/>
        <v>0.17449762160526988</v>
      </c>
      <c r="EV176" s="241"/>
      <c r="EW176" s="241"/>
      <c r="EX176" s="241"/>
      <c r="EY176" s="241"/>
      <c r="EZ176" s="835">
        <f>EZ174/EZ$214</f>
        <v>0.17477481236529388</v>
      </c>
      <c r="FA176" s="241"/>
      <c r="FB176" s="241"/>
      <c r="FC176" s="241"/>
      <c r="FD176" s="241"/>
      <c r="FE176" s="835">
        <f>FE174/FE$214</f>
        <v>0.176021069162274</v>
      </c>
      <c r="FF176" s="790"/>
      <c r="FG176" s="618"/>
      <c r="FH176" s="1073"/>
      <c r="FI176" s="1073"/>
      <c r="FJ176" s="1073"/>
      <c r="FK176" s="1073"/>
      <c r="FL176" s="1806"/>
      <c r="FM176" s="421">
        <f t="shared" si="624"/>
        <v>0.1689691817215728</v>
      </c>
      <c r="FN176" s="421">
        <f t="shared" si="625"/>
        <v>0.16721672167216722</v>
      </c>
      <c r="FO176" s="27">
        <v>0.16907020389695354</v>
      </c>
      <c r="FP176" s="1897">
        <f t="shared" si="645"/>
        <v>17.524600494055743</v>
      </c>
      <c r="FQ176" s="1897">
        <f t="shared" si="645"/>
        <v>-1.0102217538074387</v>
      </c>
      <c r="FR176" s="540"/>
      <c r="FS176" s="1643" t="s">
        <v>725</v>
      </c>
      <c r="FT176" s="587"/>
      <c r="FU176" s="587"/>
      <c r="FV176" s="587"/>
      <c r="FW176" s="587"/>
      <c r="FX176" s="587"/>
      <c r="FY176" s="587"/>
      <c r="FZ176" s="587"/>
      <c r="GA176" s="618"/>
      <c r="GB176"/>
      <c r="GC176"/>
      <c r="GD176"/>
      <c r="GE176"/>
      <c r="GF176"/>
      <c r="GG176"/>
      <c r="GH176" s="978"/>
      <c r="GI176" s="978"/>
      <c r="GJ176" s="978"/>
      <c r="GK176" s="978"/>
      <c r="GL176" s="978"/>
      <c r="GM176" s="978"/>
      <c r="GN176" s="978"/>
      <c r="GO176" s="978"/>
      <c r="GP176" s="978"/>
      <c r="GQ176" s="978"/>
      <c r="GR176" s="978"/>
      <c r="GS176" s="978"/>
      <c r="GT176" s="978"/>
      <c r="GU176" s="978"/>
      <c r="GV176" s="978"/>
      <c r="GW176" s="978"/>
      <c r="GX176" s="978"/>
      <c r="GY176" s="978"/>
      <c r="GZ176" s="978"/>
      <c r="HA176" s="978"/>
      <c r="HB176" s="978"/>
      <c r="HC176" s="978"/>
      <c r="HD176" s="978"/>
      <c r="HE176" s="978"/>
      <c r="HF176" s="978"/>
      <c r="HG176" s="978"/>
      <c r="HH176" s="978"/>
      <c r="HI176" s="978"/>
      <c r="HJ176" s="978"/>
      <c r="HK176" s="978"/>
      <c r="HL176" s="978"/>
      <c r="HM176" s="978"/>
      <c r="HN176" s="978"/>
      <c r="HO176" s="978"/>
      <c r="HP176" s="978"/>
      <c r="HQ176" s="978"/>
      <c r="HR176" s="978"/>
      <c r="HS176" s="978"/>
      <c r="HT176" s="978"/>
      <c r="HU176" s="978"/>
      <c r="HV176" s="978"/>
      <c r="HW176" s="978"/>
      <c r="HX176" s="978"/>
      <c r="HY176" s="978"/>
      <c r="HZ176" s="978"/>
      <c r="IA176" s="978"/>
      <c r="IB176" s="978"/>
      <c r="IC176" s="978"/>
      <c r="ID176" s="978"/>
      <c r="IE176" s="978"/>
      <c r="IF176" s="978"/>
      <c r="IG176" s="978"/>
      <c r="IH176" s="978"/>
      <c r="II176" s="978"/>
      <c r="IJ176" s="978"/>
      <c r="IK176" s="978"/>
      <c r="IL176" s="978"/>
      <c r="IM176" s="978"/>
      <c r="IN176" s="978"/>
      <c r="IO176" s="978"/>
      <c r="IP176" s="978"/>
      <c r="IQ176" s="978"/>
      <c r="IR176" s="978"/>
      <c r="IS176" s="978"/>
      <c r="IT176" s="978"/>
      <c r="IU176" s="978"/>
      <c r="IV176" s="978"/>
    </row>
    <row r="177" spans="1:256" s="244" customFormat="1" ht="12.75" x14ac:dyDescent="0.2">
      <c r="A177" s="242" t="s">
        <v>484</v>
      </c>
      <c r="B177" s="22"/>
      <c r="C177" s="22"/>
      <c r="D177" s="22"/>
      <c r="E177" s="197"/>
      <c r="F177" s="21"/>
      <c r="G177" s="22"/>
      <c r="H177" s="22"/>
      <c r="I177" s="22"/>
      <c r="J177" s="197"/>
      <c r="K177" s="21"/>
      <c r="L177" s="22">
        <f>L174/P174</f>
        <v>0.23625458180606465</v>
      </c>
      <c r="M177" s="22">
        <f>M174/P174</f>
        <v>0.25824725091636119</v>
      </c>
      <c r="N177" s="22">
        <f>N174/P174</f>
        <v>0.24691769410196598</v>
      </c>
      <c r="O177" s="22">
        <f>O174/P174</f>
        <v>0.25858047317560817</v>
      </c>
      <c r="P177" s="21"/>
      <c r="Q177" s="22">
        <f>Q174/U174</f>
        <v>0.21139705882352944</v>
      </c>
      <c r="R177" s="22">
        <f>R174/U174</f>
        <v>0.23774509803921567</v>
      </c>
      <c r="S177" s="22">
        <f>S174/U174</f>
        <v>0.25582107843137258</v>
      </c>
      <c r="T177" s="22">
        <f>T174/U174</f>
        <v>0.29503676470588241</v>
      </c>
      <c r="U177" s="21"/>
      <c r="V177" s="22">
        <f>V174/Z174</f>
        <v>0.28070796460176989</v>
      </c>
      <c r="W177" s="22">
        <f>W174/Z174</f>
        <v>0.23681415929203542</v>
      </c>
      <c r="X177" s="22">
        <f>X174/Z174</f>
        <v>0.24353982300884955</v>
      </c>
      <c r="Y177" s="22">
        <f>Y174/Z174</f>
        <v>0.23893805309734514</v>
      </c>
      <c r="Z177" s="21"/>
      <c r="AA177" s="22">
        <f>AA174/AE174</f>
        <v>0.22628492583649534</v>
      </c>
      <c r="AB177" s="22">
        <f>AB174/AE174</f>
        <v>0.24974129010003454</v>
      </c>
      <c r="AC177" s="22">
        <f>AC174/AE174</f>
        <v>0.23697826836840294</v>
      </c>
      <c r="AD177" s="22">
        <f>AD174/AE174</f>
        <v>0.28699551569506732</v>
      </c>
      <c r="AE177" s="21"/>
      <c r="AF177" s="22">
        <f>AF174/AJ174</f>
        <v>0.2483793926987376</v>
      </c>
      <c r="AG177" s="22">
        <f>AG174/AJ174</f>
        <v>0.26543841692255199</v>
      </c>
      <c r="AH177" s="22">
        <f>AH174/AJ174</f>
        <v>0.24872057318321392</v>
      </c>
      <c r="AI177" s="22">
        <f>AI174/AJ174</f>
        <v>0.23746161719549638</v>
      </c>
      <c r="AJ177" s="21"/>
      <c r="AK177" s="22">
        <f>AK174/AO174</f>
        <v>0.23707902634211403</v>
      </c>
      <c r="AL177" s="22">
        <f>AL174/AO174</f>
        <v>0.2544181393797933</v>
      </c>
      <c r="AM177" s="22">
        <f>AM174/AO174</f>
        <v>0.2494164721573858</v>
      </c>
      <c r="AN177" s="22">
        <f>AN174/AO174</f>
        <v>0.25908636212070696</v>
      </c>
      <c r="AO177" s="21"/>
      <c r="AP177" s="22">
        <f>AP174/AT174</f>
        <v>0.23868677905944985</v>
      </c>
      <c r="AQ177" s="22">
        <f>AQ174/AT174</f>
        <v>0.24519372966577935</v>
      </c>
      <c r="AR177" s="22">
        <f>AR174/AT174</f>
        <v>0.26471458148476779</v>
      </c>
      <c r="AS177" s="22">
        <f>AS174/AT174</f>
        <v>0.25140490979000296</v>
      </c>
      <c r="AT177" s="21"/>
      <c r="AU177" s="22">
        <f>AU174/AY174</f>
        <v>0.22090491168642631</v>
      </c>
      <c r="AV177" s="22">
        <f>AV174/AY174</f>
        <v>0.2443745463343818</v>
      </c>
      <c r="AW177" s="22">
        <f>AW174/AY174</f>
        <v>0.26857004597144929</v>
      </c>
      <c r="AX177" s="22">
        <f>AX174/AY174</f>
        <v>0.26615049600774254</v>
      </c>
      <c r="AY177" s="21"/>
      <c r="AZ177" s="22">
        <f>AZ174/BD174</f>
        <v>0.16826923076923078</v>
      </c>
      <c r="BA177" s="22">
        <f>BA174/BD174</f>
        <v>0.26602564102564102</v>
      </c>
      <c r="BB177" s="22">
        <f>BB174/BD174</f>
        <v>0.26121794871794873</v>
      </c>
      <c r="BC177" s="22">
        <f>BC174/BD174</f>
        <v>0.30448717948717946</v>
      </c>
      <c r="BD177" s="21"/>
      <c r="BE177" s="22">
        <f>BE174/BI174</f>
        <v>0.24596774193548387</v>
      </c>
      <c r="BF177" s="22">
        <f>BF174/BI174</f>
        <v>0.24731182795698925</v>
      </c>
      <c r="BG177" s="22">
        <f>BG174/BI174</f>
        <v>0.25403225806451613</v>
      </c>
      <c r="BH177" s="22">
        <f>BH174/BI174</f>
        <v>0.25268817204301075</v>
      </c>
      <c r="BI177" s="21"/>
      <c r="BJ177" s="22">
        <f>BJ174/BN174</f>
        <v>0.24177215189873419</v>
      </c>
      <c r="BK177" s="22">
        <f>BK174/BN174</f>
        <v>0.25822784810126581</v>
      </c>
      <c r="BL177" s="22">
        <f>BL174/BN174</f>
        <v>0.25822784810126581</v>
      </c>
      <c r="BM177" s="22">
        <f>BM174/BN174</f>
        <v>0.24177215189873419</v>
      </c>
      <c r="BN177" s="21"/>
      <c r="BO177" s="22">
        <f>BO174/BS174</f>
        <v>0.22780373831775702</v>
      </c>
      <c r="BP177" s="22">
        <f>BP174/BS174</f>
        <v>0.24532710280373832</v>
      </c>
      <c r="BQ177" s="22">
        <f>BQ174/BS174</f>
        <v>0.26285046728971961</v>
      </c>
      <c r="BR177" s="22">
        <f>BR174/BS174</f>
        <v>0.26401869158878505</v>
      </c>
      <c r="BS177" s="21"/>
      <c r="BT177" s="22">
        <f>BT174/BX174</f>
        <v>0.24521531100478469</v>
      </c>
      <c r="BU177" s="22">
        <f>BU174/BX174</f>
        <v>0.26315789473684209</v>
      </c>
      <c r="BV177" s="22">
        <f>BV174/BX174</f>
        <v>0.25</v>
      </c>
      <c r="BW177" s="22">
        <f>BW174/BX174</f>
        <v>0.24162679425837322</v>
      </c>
      <c r="BX177" s="21"/>
      <c r="BY177" s="22">
        <f>BY174/CC174</f>
        <v>0.22305229455709713</v>
      </c>
      <c r="BZ177" s="22">
        <f>BZ174/CC174</f>
        <v>0.24119530416221985</v>
      </c>
      <c r="CA177" s="22">
        <f>CA174/CC174</f>
        <v>0.25613660618996797</v>
      </c>
      <c r="CB177" s="22">
        <f>CB174/CC174</f>
        <v>0.27961579509071505</v>
      </c>
      <c r="CC177" s="21"/>
      <c r="CD177" s="22">
        <f>CD174/CH174</f>
        <v>0.2425569176882662</v>
      </c>
      <c r="CE177" s="22">
        <f>CE174/CH174</f>
        <v>0.2425569176882662</v>
      </c>
      <c r="CF177" s="22">
        <f>CF174/CH174</f>
        <v>0.24956217162872155</v>
      </c>
      <c r="CG177" s="22">
        <f>CG174/CH174</f>
        <v>0.26532399299474607</v>
      </c>
      <c r="CH177" s="21"/>
      <c r="CI177" s="22">
        <f>CI174/CM174</f>
        <v>0.24377682403433476</v>
      </c>
      <c r="CJ177" s="22">
        <f>CJ174/CM174</f>
        <v>0.24549356223175967</v>
      </c>
      <c r="CK177" s="22">
        <f>CK174/CM174</f>
        <v>0.24721030042918454</v>
      </c>
      <c r="CL177" s="22">
        <f>CL174/CM174</f>
        <v>0.263519313304721</v>
      </c>
      <c r="CM177" s="21"/>
      <c r="CN177" s="22">
        <f>CN174/CR174</f>
        <v>0.24658703071672355</v>
      </c>
      <c r="CO177" s="22">
        <f>CO174/CR174</f>
        <v>0.24146757679180889</v>
      </c>
      <c r="CP177" s="22">
        <f>CP174/CR174</f>
        <v>0.25085324232081913</v>
      </c>
      <c r="CQ177" s="22">
        <f>CQ174/CR174</f>
        <v>0.26109215017064846</v>
      </c>
      <c r="CR177" s="21"/>
      <c r="CS177" s="22">
        <f>CS174/CW174</f>
        <v>0.22785829307568439</v>
      </c>
      <c r="CT177" s="22">
        <f>CT174/CW174</f>
        <v>0.24959742351046699</v>
      </c>
      <c r="CU177" s="22">
        <f>CU174/CW174</f>
        <v>0.26731078904991951</v>
      </c>
      <c r="CV177" s="22">
        <f>CV174/CW174</f>
        <v>0.25523349436392917</v>
      </c>
      <c r="CW177" s="21"/>
      <c r="CX177" s="22">
        <f>CX174/DB174</f>
        <v>0.24747010119595217</v>
      </c>
      <c r="CY177" s="22">
        <f>CY174/DB174</f>
        <v>0.23735050597976082</v>
      </c>
      <c r="CZ177" s="22">
        <f>CZ174/DB174</f>
        <v>0.25482980680772771</v>
      </c>
      <c r="DA177" s="22">
        <f>DA174/DB174</f>
        <v>0.26034958601655933</v>
      </c>
      <c r="DB177" s="21"/>
      <c r="DC177" s="22">
        <f>DC174/DG174</f>
        <v>0.22154648132059079</v>
      </c>
      <c r="DD177" s="22">
        <f>DD174/DG174</f>
        <v>0.25369244135534319</v>
      </c>
      <c r="DE177" s="22">
        <f>DE174/DG174</f>
        <v>0.25543006081668113</v>
      </c>
      <c r="DF177" s="22">
        <f>DF174/DG174</f>
        <v>0.26933101650738489</v>
      </c>
      <c r="DG177" s="21"/>
      <c r="DH177" s="22">
        <f>DH174/DL174</f>
        <v>0.23270440251572327</v>
      </c>
      <c r="DI177" s="22">
        <f>DI174/DL174</f>
        <v>0.25</v>
      </c>
      <c r="DJ177" s="22">
        <f>DJ174/DL174</f>
        <v>0.25157232704402516</v>
      </c>
      <c r="DK177" s="22">
        <f>DK174/DL174</f>
        <v>0.26572327044025157</v>
      </c>
      <c r="DL177" s="21"/>
      <c r="DM177" s="22">
        <f>DM174/DQ174</f>
        <v>0.24072672218016655</v>
      </c>
      <c r="DN177" s="22">
        <f>DN174/DQ174</f>
        <v>0.24224072672218017</v>
      </c>
      <c r="DO177" s="22">
        <f>DO174/DQ174</f>
        <v>0.25208175624526874</v>
      </c>
      <c r="DP177" s="22">
        <f>DP174/DQ174</f>
        <v>0.26495079485238454</v>
      </c>
      <c r="DQ177" s="21"/>
      <c r="DR177" s="22">
        <f>DR174/DV174</f>
        <v>0.23725055432372505</v>
      </c>
      <c r="DS177" s="22">
        <f>DS174/DV174</f>
        <v>0.2535107169253511</v>
      </c>
      <c r="DT177" s="22">
        <f>DT174/DV174</f>
        <v>0.25794530672579452</v>
      </c>
      <c r="DU177" s="22">
        <f>DU174/DV174</f>
        <v>0.25129342202512933</v>
      </c>
      <c r="DV177" s="21"/>
      <c r="DW177" s="22">
        <f>DW174/EA174</f>
        <v>0.23242467718794835</v>
      </c>
      <c r="DX177" s="22">
        <f>DX174/EA174</f>
        <v>0.24533715925394547</v>
      </c>
      <c r="DY177" s="22">
        <f>DY174/EA174</f>
        <v>0.2546628407460545</v>
      </c>
      <c r="DZ177" s="22">
        <f>DZ174/EA174</f>
        <v>0.26757532281205165</v>
      </c>
      <c r="EA177" s="21"/>
      <c r="EB177" s="22">
        <f>EB174/EF174</f>
        <v>0.23796231681786462</v>
      </c>
      <c r="EC177" s="22">
        <f>EC174/EF174</f>
        <v>0.25331472435450103</v>
      </c>
      <c r="ED177" s="22">
        <f>ED174/EF174</f>
        <v>0.25819958129797627</v>
      </c>
      <c r="EE177" s="22">
        <f>EE174/EF174</f>
        <v>0.25052337752965809</v>
      </c>
      <c r="EF177" s="21"/>
      <c r="EG177" s="22">
        <f>EG174/EK174</f>
        <v>0.24154589371980675</v>
      </c>
      <c r="EH177" s="22">
        <f>EH174/EK174</f>
        <v>0.24879227053140096</v>
      </c>
      <c r="EI177" s="22">
        <f>EI174/EK174</f>
        <v>0.25120772946859904</v>
      </c>
      <c r="EJ177" s="22">
        <f>EJ174/EK174</f>
        <v>0.25845410628019322</v>
      </c>
      <c r="EK177" s="21"/>
      <c r="EL177" s="22">
        <f>EL174/EP174</f>
        <v>0.23955870764381404</v>
      </c>
      <c r="EM177" s="22">
        <f>EM174/EP174</f>
        <v>0.25059101654846333</v>
      </c>
      <c r="EN177" s="22">
        <f>EN174/EP174</f>
        <v>0.24349881796690306</v>
      </c>
      <c r="EO177" s="22">
        <f>EO174/EP174</f>
        <v>0.26635145784081954</v>
      </c>
      <c r="EP177" s="21"/>
      <c r="EQ177" s="22">
        <f>EQ174/EU174</f>
        <v>0.23772457756591073</v>
      </c>
      <c r="ER177" s="22">
        <f t="shared" ref="ER177:ET177" si="652">ER174/$EU174</f>
        <v>0.24723754182119642</v>
      </c>
      <c r="ES177" s="22">
        <f t="shared" si="652"/>
        <v>0.25295786232631551</v>
      </c>
      <c r="ET177" s="22">
        <f t="shared" si="652"/>
        <v>0.26208001828657745</v>
      </c>
      <c r="EU177" s="270"/>
      <c r="EV177" s="243"/>
      <c r="EW177" s="243"/>
      <c r="EX177" s="243"/>
      <c r="EY177" s="243"/>
      <c r="EZ177" s="844"/>
      <c r="FA177" s="243"/>
      <c r="FB177" s="243"/>
      <c r="FC177" s="243"/>
      <c r="FD177" s="243"/>
      <c r="FE177" s="844"/>
      <c r="FF177" s="791"/>
      <c r="FG177" s="618"/>
      <c r="FH177" s="1073"/>
      <c r="FI177" s="1073"/>
      <c r="FJ177" s="1073"/>
      <c r="FK177" s="1073"/>
      <c r="FL177" s="1806"/>
      <c r="FM177" s="22">
        <f t="shared" si="624"/>
        <v>0.23772457756591073</v>
      </c>
      <c r="FN177" s="22">
        <f t="shared" si="625"/>
        <v>0.23955870764381404</v>
      </c>
      <c r="FO177" s="2041">
        <v>0.24257037696985509</v>
      </c>
      <c r="FP177" s="1892">
        <f t="shared" si="645"/>
        <v>-18.341300779033119</v>
      </c>
      <c r="FQ177" s="1892">
        <f t="shared" si="645"/>
        <v>-48.457994039443619</v>
      </c>
      <c r="FR177" s="587"/>
      <c r="FS177" s="120"/>
      <c r="FT177" s="120"/>
      <c r="FU177" s="120"/>
      <c r="FV177" s="120"/>
      <c r="FW177" s="120"/>
      <c r="FX177" s="120"/>
      <c r="FY177" s="120"/>
      <c r="FZ177" s="120"/>
      <c r="GA177" s="618"/>
      <c r="GB177"/>
      <c r="GC177"/>
      <c r="GD177"/>
      <c r="GE177"/>
      <c r="GF177"/>
      <c r="GG177"/>
      <c r="GH177" s="973"/>
      <c r="GI177" s="973"/>
      <c r="GJ177" s="973"/>
      <c r="GK177" s="973"/>
      <c r="GL177" s="973"/>
      <c r="GM177" s="973"/>
      <c r="GN177" s="973"/>
      <c r="GO177" s="973"/>
      <c r="GP177" s="973"/>
      <c r="GQ177" s="973"/>
      <c r="GR177" s="973"/>
      <c r="GS177" s="973"/>
      <c r="GT177" s="973"/>
      <c r="GU177" s="973"/>
      <c r="GV177" s="973"/>
      <c r="GW177" s="973"/>
      <c r="GX177" s="973"/>
      <c r="GY177" s="973"/>
      <c r="GZ177" s="973"/>
      <c r="HA177" s="973"/>
      <c r="HB177" s="973"/>
      <c r="HC177" s="973"/>
      <c r="HD177" s="973"/>
      <c r="HE177" s="973"/>
      <c r="HF177" s="973"/>
      <c r="HG177" s="973"/>
      <c r="HH177" s="973"/>
      <c r="HI177" s="973"/>
      <c r="HJ177" s="973"/>
      <c r="HK177" s="973"/>
      <c r="HL177" s="973"/>
      <c r="HM177" s="973"/>
      <c r="HN177" s="973"/>
      <c r="HO177" s="973"/>
      <c r="HP177" s="973"/>
      <c r="HQ177" s="973"/>
      <c r="HR177" s="973"/>
      <c r="HS177" s="973"/>
      <c r="HT177" s="973"/>
      <c r="HU177" s="973"/>
      <c r="HV177" s="973"/>
      <c r="HW177" s="973"/>
      <c r="HX177" s="973"/>
      <c r="HY177" s="973"/>
      <c r="HZ177" s="973"/>
      <c r="IA177" s="973"/>
      <c r="IB177" s="973"/>
      <c r="IC177" s="973"/>
      <c r="ID177" s="973"/>
      <c r="IE177" s="973"/>
      <c r="IF177" s="973"/>
      <c r="IG177" s="973"/>
      <c r="IH177" s="973"/>
      <c r="II177" s="973"/>
      <c r="IJ177" s="973"/>
      <c r="IK177" s="973"/>
      <c r="IL177" s="973"/>
      <c r="IM177" s="973"/>
      <c r="IN177" s="973"/>
      <c r="IO177" s="973"/>
      <c r="IP177" s="973"/>
      <c r="IQ177" s="973"/>
      <c r="IR177" s="973"/>
      <c r="IS177" s="973"/>
      <c r="IT177" s="973"/>
      <c r="IU177" s="973"/>
      <c r="IV177" s="973"/>
    </row>
    <row r="178" spans="1:256" s="49" customFormat="1" ht="12.75" x14ac:dyDescent="0.2">
      <c r="A178" s="35" t="str">
        <f>A174&amp;" per Carload"</f>
        <v>Purchased Services &amp; Other per Carload</v>
      </c>
      <c r="B178" s="20"/>
      <c r="C178" s="20"/>
      <c r="D178" s="20"/>
      <c r="E178" s="205"/>
      <c r="F178" s="48"/>
      <c r="G178" s="20"/>
      <c r="H178" s="20"/>
      <c r="I178" s="20"/>
      <c r="J178" s="205"/>
      <c r="K178" s="48"/>
      <c r="L178" s="20">
        <f t="shared" ref="L178:BW178" si="653">L174/L$13*1000</f>
        <v>74.58447296444352</v>
      </c>
      <c r="M178" s="20">
        <f t="shared" si="653"/>
        <v>81.690734689575208</v>
      </c>
      <c r="N178" s="20">
        <f t="shared" si="653"/>
        <v>75.335502236681577</v>
      </c>
      <c r="O178" s="205">
        <f t="shared" si="653"/>
        <v>80.867027928303472</v>
      </c>
      <c r="P178" s="48">
        <f t="shared" si="653"/>
        <v>78.100195185426159</v>
      </c>
      <c r="Q178" s="20">
        <f t="shared" si="653"/>
        <v>71.288356235148257</v>
      </c>
      <c r="R178" s="20">
        <f t="shared" si="653"/>
        <v>79.305058763413385</v>
      </c>
      <c r="S178" s="20">
        <f t="shared" si="653"/>
        <v>83.944908012466087</v>
      </c>
      <c r="T178" s="205">
        <f t="shared" si="653"/>
        <v>95.09232744149304</v>
      </c>
      <c r="U178" s="48">
        <f t="shared" si="653"/>
        <v>82.553492842328893</v>
      </c>
      <c r="V178" s="20">
        <f t="shared" si="653"/>
        <v>81.601152500514516</v>
      </c>
      <c r="W178" s="20">
        <f t="shared" si="653"/>
        <v>65.020896102633898</v>
      </c>
      <c r="X178" s="20">
        <f t="shared" si="653"/>
        <v>69.124886968753145</v>
      </c>
      <c r="Y178" s="205">
        <f t="shared" si="653"/>
        <v>65.419654971893777</v>
      </c>
      <c r="Z178" s="48">
        <f t="shared" si="653"/>
        <v>70.137544068722377</v>
      </c>
      <c r="AA178" s="20">
        <f t="shared" si="653"/>
        <v>64.668769716088335</v>
      </c>
      <c r="AB178" s="20">
        <f t="shared" si="653"/>
        <v>65.764374602597883</v>
      </c>
      <c r="AC178" s="20">
        <f t="shared" si="653"/>
        <v>63.723216770243951</v>
      </c>
      <c r="AD178" s="205">
        <f t="shared" si="653"/>
        <v>74.685816876122075</v>
      </c>
      <c r="AE178" s="48">
        <f t="shared" si="653"/>
        <v>67.302781260156948</v>
      </c>
      <c r="AF178" s="20">
        <f t="shared" si="653"/>
        <v>65.479402770282434</v>
      </c>
      <c r="AG178" s="20">
        <f t="shared" si="653"/>
        <v>69.291058069112907</v>
      </c>
      <c r="AH178" s="20">
        <f t="shared" si="653"/>
        <v>66.236598219153208</v>
      </c>
      <c r="AI178" s="205">
        <f t="shared" si="653"/>
        <v>62.511226872642354</v>
      </c>
      <c r="AJ178" s="48">
        <f t="shared" si="653"/>
        <v>65.885896686598031</v>
      </c>
      <c r="AK178" s="20">
        <f t="shared" si="653"/>
        <v>64.355539464156408</v>
      </c>
      <c r="AL178" s="20">
        <f t="shared" si="653"/>
        <v>66.824312489052375</v>
      </c>
      <c r="AM178" s="20">
        <f t="shared" si="653"/>
        <v>65.264811098507991</v>
      </c>
      <c r="AN178" s="205">
        <f t="shared" si="653"/>
        <v>66.971211860024141</v>
      </c>
      <c r="AO178" s="48">
        <f t="shared" si="653"/>
        <v>65.870104768389382</v>
      </c>
      <c r="AP178" s="20">
        <f t="shared" si="653"/>
        <v>69.839896148853313</v>
      </c>
      <c r="AQ178" s="20">
        <f t="shared" si="653"/>
        <v>68.979863538026294</v>
      </c>
      <c r="AR178" s="20">
        <f t="shared" si="653"/>
        <v>74.989526602429834</v>
      </c>
      <c r="AS178" s="205">
        <f t="shared" si="653"/>
        <v>70.370063746998923</v>
      </c>
      <c r="AT178" s="48">
        <f t="shared" si="653"/>
        <v>71.048815853069101</v>
      </c>
      <c r="AU178" s="20">
        <f t="shared" si="653"/>
        <v>75.504465762487598</v>
      </c>
      <c r="AV178" s="20">
        <f t="shared" si="653"/>
        <v>82.06044848878777</v>
      </c>
      <c r="AW178" s="20">
        <f t="shared" si="653"/>
        <v>93.868921775898514</v>
      </c>
      <c r="AX178" s="205">
        <f t="shared" si="653"/>
        <v>93.157181571815727</v>
      </c>
      <c r="AY178" s="48">
        <f t="shared" si="653"/>
        <v>86.045010721795421</v>
      </c>
      <c r="AZ178" s="20">
        <f t="shared" si="653"/>
        <v>90.618796927591262</v>
      </c>
      <c r="BA178" s="20">
        <f t="shared" si="653"/>
        <v>121.22097268876881</v>
      </c>
      <c r="BB178" s="20">
        <f t="shared" si="653"/>
        <v>95.115831242341116</v>
      </c>
      <c r="BC178" s="205">
        <f t="shared" si="653"/>
        <v>110.52551976079951</v>
      </c>
      <c r="BD178" s="48">
        <f t="shared" si="653"/>
        <v>104.68288132920416</v>
      </c>
      <c r="BE178" s="20">
        <f t="shared" si="653"/>
        <v>109.09090909090908</v>
      </c>
      <c r="BF178" s="20">
        <f t="shared" si="653"/>
        <v>104.79553479895203</v>
      </c>
      <c r="BG178" s="20">
        <f t="shared" si="653"/>
        <v>109.10980256321443</v>
      </c>
      <c r="BH178" s="205">
        <f t="shared" si="653"/>
        <v>111.79828734538536</v>
      </c>
      <c r="BI178" s="48">
        <f t="shared" si="653"/>
        <v>108.65914036599436</v>
      </c>
      <c r="BJ178" s="20">
        <f t="shared" si="653"/>
        <v>115.50556361877115</v>
      </c>
      <c r="BK178" s="20">
        <f t="shared" si="653"/>
        <v>120.93188689311754</v>
      </c>
      <c r="BL178" s="20">
        <f t="shared" si="653"/>
        <v>125.6544502617801</v>
      </c>
      <c r="BM178" s="205">
        <f t="shared" si="653"/>
        <v>114.99180006116841</v>
      </c>
      <c r="BN178" s="48">
        <f t="shared" si="653"/>
        <v>119.24549901071518</v>
      </c>
      <c r="BO178" s="20">
        <f t="shared" si="653"/>
        <v>121.38944223107572</v>
      </c>
      <c r="BP178" s="20">
        <f t="shared" si="653"/>
        <v>122.34197494902418</v>
      </c>
      <c r="BQ178" s="20">
        <f t="shared" si="653"/>
        <v>129.62322848254408</v>
      </c>
      <c r="BR178" s="205">
        <f t="shared" si="653"/>
        <v>135.98074608904935</v>
      </c>
      <c r="BS178" s="48">
        <f t="shared" si="653"/>
        <v>127.36768491377384</v>
      </c>
      <c r="BT178" s="20">
        <f t="shared" si="653"/>
        <v>124.39320388349515</v>
      </c>
      <c r="BU178" s="20">
        <f t="shared" si="653"/>
        <v>126.74271229404307</v>
      </c>
      <c r="BV178" s="20">
        <f t="shared" si="653"/>
        <v>121.37754805737846</v>
      </c>
      <c r="BW178" s="205">
        <f t="shared" si="653"/>
        <v>115.06693249786386</v>
      </c>
      <c r="BX178" s="48">
        <f t="shared" ref="BX178:DT178" si="654">BX174/BX$13*1000</f>
        <v>121.84457529295169</v>
      </c>
      <c r="BY178" s="20">
        <f t="shared" si="654"/>
        <v>118.95276038702333</v>
      </c>
      <c r="BZ178" s="20">
        <f t="shared" si="654"/>
        <v>120.52047781569968</v>
      </c>
      <c r="CA178" s="20">
        <f t="shared" si="654"/>
        <v>126.00409513309179</v>
      </c>
      <c r="CB178" s="205">
        <f t="shared" si="654"/>
        <v>135.94147252633218</v>
      </c>
      <c r="CC178" s="48">
        <f t="shared" si="654"/>
        <v>125.53254200048231</v>
      </c>
      <c r="CD178" s="20">
        <f t="shared" si="654"/>
        <v>148.67565948658054</v>
      </c>
      <c r="CE178" s="20">
        <f t="shared" si="654"/>
        <v>142.20442527850506</v>
      </c>
      <c r="CF178" s="20">
        <f t="shared" si="654"/>
        <v>143.05074536967328</v>
      </c>
      <c r="CG178" s="205">
        <f t="shared" si="654"/>
        <v>152.78338039532068</v>
      </c>
      <c r="CH178" s="48">
        <f t="shared" si="654"/>
        <v>146.66379674812202</v>
      </c>
      <c r="CI178" s="20">
        <f t="shared" si="654"/>
        <v>145.10525240138975</v>
      </c>
      <c r="CJ178" s="20">
        <f t="shared" si="654"/>
        <v>141.2554946411814</v>
      </c>
      <c r="CK178" s="20">
        <f t="shared" si="654"/>
        <v>144.65819478627756</v>
      </c>
      <c r="CL178" s="205">
        <f t="shared" si="654"/>
        <v>159.22410663347335</v>
      </c>
      <c r="CM178" s="48">
        <f t="shared" si="654"/>
        <v>147.4515561518308</v>
      </c>
      <c r="CN178" s="20">
        <f t="shared" si="654"/>
        <v>154.42158696232968</v>
      </c>
      <c r="CO178" s="20">
        <f t="shared" si="654"/>
        <v>145.70354734078154</v>
      </c>
      <c r="CP178" s="20">
        <f t="shared" si="654"/>
        <v>153.99926667015873</v>
      </c>
      <c r="CQ178" s="205">
        <f t="shared" si="654"/>
        <v>163.62761349660445</v>
      </c>
      <c r="CR178" s="48">
        <f t="shared" si="654"/>
        <v>154.35269327011721</v>
      </c>
      <c r="CS178" s="20">
        <f t="shared" si="654"/>
        <v>154.81400437636762</v>
      </c>
      <c r="CT178" s="20">
        <f t="shared" si="654"/>
        <v>163.07206733298264</v>
      </c>
      <c r="CU178" s="20">
        <f t="shared" si="654"/>
        <v>175.17015775866616</v>
      </c>
      <c r="CV178" s="205">
        <f t="shared" si="654"/>
        <v>183.74681196383028</v>
      </c>
      <c r="CW178" s="48">
        <f t="shared" si="654"/>
        <v>168.99108782910403</v>
      </c>
      <c r="CX178" s="20">
        <f t="shared" si="654"/>
        <v>184.80351744984887</v>
      </c>
      <c r="CY178" s="20">
        <f t="shared" si="654"/>
        <v>182.68073355519365</v>
      </c>
      <c r="CZ178" s="20">
        <f t="shared" si="654"/>
        <v>181.97345946656156</v>
      </c>
      <c r="DA178" s="20">
        <f t="shared" si="654"/>
        <v>180.57682491066871</v>
      </c>
      <c r="DB178" s="48">
        <f t="shared" si="654"/>
        <v>182.46521074983633</v>
      </c>
      <c r="DC178" s="20">
        <f t="shared" si="654"/>
        <v>161.09672120790952</v>
      </c>
      <c r="DD178" s="20">
        <f t="shared" si="654"/>
        <v>169.78718455634379</v>
      </c>
      <c r="DE178" s="20">
        <f t="shared" si="654"/>
        <v>167.75077028414927</v>
      </c>
      <c r="DF178" s="20">
        <f t="shared" si="654"/>
        <v>181.4138576779026</v>
      </c>
      <c r="DG178" s="48">
        <f t="shared" si="654"/>
        <v>170.16306677902455</v>
      </c>
      <c r="DH178" s="20">
        <f t="shared" si="654"/>
        <v>172.97802711547453</v>
      </c>
      <c r="DI178" s="20">
        <f t="shared" si="654"/>
        <v>177.96183334266047</v>
      </c>
      <c r="DJ178" s="20">
        <f t="shared" si="654"/>
        <v>176.80534836178794</v>
      </c>
      <c r="DK178" s="20">
        <f t="shared" si="654"/>
        <v>187.0814191620081</v>
      </c>
      <c r="DL178" s="48">
        <f t="shared" si="654"/>
        <v>178.78476956161185</v>
      </c>
      <c r="DM178" s="20">
        <f t="shared" si="654"/>
        <v>183.73006702103072</v>
      </c>
      <c r="DN178" s="20">
        <f t="shared" si="654"/>
        <v>177.84694047685213</v>
      </c>
      <c r="DO178" s="20">
        <f t="shared" si="654"/>
        <v>186.55462184873949</v>
      </c>
      <c r="DP178" s="20">
        <f t="shared" si="654"/>
        <v>195.30160147313208</v>
      </c>
      <c r="DQ178" s="48">
        <f t="shared" si="654"/>
        <v>185.86785231877531</v>
      </c>
      <c r="DR178" s="20">
        <f t="shared" si="654"/>
        <v>179.97308813635343</v>
      </c>
      <c r="DS178" s="20">
        <f t="shared" si="654"/>
        <v>186.59558263518662</v>
      </c>
      <c r="DT178" s="20">
        <f t="shared" si="654"/>
        <v>187.92741370954715</v>
      </c>
      <c r="DU178" s="20">
        <f t="shared" ref="DU178:EA178" si="655">DU174/DU$13*1000</f>
        <v>182.59935553168634</v>
      </c>
      <c r="DV178" s="48">
        <f t="shared" si="655"/>
        <v>184.3098257706821</v>
      </c>
      <c r="DW178" s="20">
        <f t="shared" si="655"/>
        <v>183.81935776693521</v>
      </c>
      <c r="DX178" s="20">
        <f t="shared" si="655"/>
        <v>172.45726387978419</v>
      </c>
      <c r="DY178" s="20">
        <f t="shared" si="655"/>
        <v>177.4112943528236</v>
      </c>
      <c r="DZ178" s="20">
        <f t="shared" si="655"/>
        <v>193.44466341665802</v>
      </c>
      <c r="EA178" s="48">
        <f t="shared" si="655"/>
        <v>181.63103102320551</v>
      </c>
      <c r="EB178" s="20">
        <f t="shared" ref="EB178:EG178" si="656">EB174/EB$13*1000</f>
        <v>189.22368348038401</v>
      </c>
      <c r="EC178" s="20">
        <f t="shared" si="656"/>
        <v>187.39352640545144</v>
      </c>
      <c r="ED178" s="20">
        <f t="shared" si="656"/>
        <v>191.08609203119352</v>
      </c>
      <c r="EE178" s="20">
        <f t="shared" si="656"/>
        <v>199.06842630586669</v>
      </c>
      <c r="EF178" s="48">
        <f t="shared" si="656"/>
        <v>191.60571741833692</v>
      </c>
      <c r="EG178" s="20">
        <f t="shared" si="656"/>
        <v>170.73587160662456</v>
      </c>
      <c r="EH178" s="20">
        <f t="shared" ref="EH178:EM178" si="657">EH174/EH$13*1000</f>
        <v>171.61899472368785</v>
      </c>
      <c r="EI178" s="20">
        <f t="shared" si="657"/>
        <v>167.5437654387284</v>
      </c>
      <c r="EJ178" s="20">
        <f t="shared" si="657"/>
        <v>174.46600358715148</v>
      </c>
      <c r="EK178" s="48">
        <f t="shared" si="657"/>
        <v>171.0814496466796</v>
      </c>
      <c r="EL178" s="20">
        <f t="shared" si="657"/>
        <v>164.62688183688942</v>
      </c>
      <c r="EM178" s="20">
        <f t="shared" si="657"/>
        <v>166.422440862466</v>
      </c>
      <c r="EN178" s="20">
        <f t="shared" ref="EN178:EQ178" si="658">EN174/EN$13*1000</f>
        <v>160.18662519440124</v>
      </c>
      <c r="EO178" s="20">
        <f t="shared" si="658"/>
        <v>175.57529478988104</v>
      </c>
      <c r="EP178" s="48">
        <f t="shared" si="658"/>
        <v>166.72140839519147</v>
      </c>
      <c r="EQ178" s="20">
        <f t="shared" si="658"/>
        <v>166.98172652804033</v>
      </c>
      <c r="ER178" s="20">
        <f>EM178*(1+ER179)</f>
        <v>166.422440862466</v>
      </c>
      <c r="ES178" s="20">
        <f>EN178*(1+ES179)</f>
        <v>168.1959564541213</v>
      </c>
      <c r="ET178" s="20">
        <f>EO178*(1+ET179)</f>
        <v>177.33104773777984</v>
      </c>
      <c r="EU178" s="1954">
        <f>EU174/EU$13*1000</f>
        <v>169.74701875590782</v>
      </c>
      <c r="EV178" s="20"/>
      <c r="EW178" s="20"/>
      <c r="EX178" s="20"/>
      <c r="EY178" s="20"/>
      <c r="EZ178" s="747">
        <f>EU178*(1+EZ179)</f>
        <v>172.2932240372464</v>
      </c>
      <c r="FA178" s="20"/>
      <c r="FB178" s="20"/>
      <c r="FC178" s="20"/>
      <c r="FD178" s="20"/>
      <c r="FE178" s="747">
        <f>EZ178*(1+FE179)</f>
        <v>174.87762239780508</v>
      </c>
      <c r="FF178" s="767"/>
      <c r="FG178" s="655"/>
      <c r="FH178" s="1027"/>
      <c r="FI178" s="1027"/>
      <c r="FJ178" s="1027"/>
      <c r="FK178" s="1027"/>
      <c r="FL178" s="1809"/>
      <c r="FM178" s="20">
        <f t="shared" si="624"/>
        <v>166.98172652804033</v>
      </c>
      <c r="FN178" s="20">
        <f t="shared" si="625"/>
        <v>164.62688183688942</v>
      </c>
      <c r="FO178" s="2048">
        <v>167.91941947362722</v>
      </c>
      <c r="FP178" s="16">
        <f>IFERROR(($FM178/FN178)-1,"")</f>
        <v>1.4304132258813329E-2</v>
      </c>
      <c r="FQ178" s="16">
        <f>IFERROR(($FM178/FO178)-1,"")</f>
        <v>-5.5841840599869519E-3</v>
      </c>
      <c r="FR178" s="537"/>
      <c r="FS178" s="120"/>
      <c r="FT178" s="537"/>
      <c r="FU178" s="1926">
        <f>(EH174+EH181)-(EC174+EC181)</f>
        <v>-54</v>
      </c>
      <c r="FV178" s="1926">
        <f>(EI174+EI181)-(ED174+ED181)</f>
        <v>-65</v>
      </c>
      <c r="FW178" s="1926">
        <f>(EJ174+EJ181)-(EE174+EE181)</f>
        <v>-41</v>
      </c>
      <c r="FX178" s="537"/>
      <c r="FY178" s="537"/>
      <c r="FZ178" s="537"/>
      <c r="GA178" s="655"/>
      <c r="GB178"/>
      <c r="GC178"/>
      <c r="GD178"/>
      <c r="GE178"/>
      <c r="GF178"/>
      <c r="GG178"/>
      <c r="GH178" s="963"/>
      <c r="GI178" s="963"/>
      <c r="GJ178" s="963"/>
      <c r="GK178" s="963"/>
      <c r="GL178" s="963"/>
      <c r="GM178" s="963"/>
      <c r="GN178" s="963"/>
      <c r="GO178" s="963"/>
      <c r="GP178" s="963"/>
      <c r="GQ178" s="963"/>
      <c r="GR178" s="963"/>
      <c r="GS178" s="963"/>
      <c r="GT178" s="963"/>
      <c r="GU178" s="963"/>
      <c r="GV178" s="963"/>
      <c r="GW178" s="963"/>
      <c r="GX178" s="963"/>
      <c r="GY178" s="963"/>
      <c r="GZ178" s="963"/>
      <c r="HA178" s="963"/>
      <c r="HB178" s="963"/>
      <c r="HC178" s="963"/>
      <c r="HD178" s="963"/>
      <c r="HE178" s="963"/>
      <c r="HF178" s="963"/>
      <c r="HG178" s="963"/>
      <c r="HH178" s="963"/>
      <c r="HI178" s="963"/>
      <c r="HJ178" s="963"/>
      <c r="HK178" s="963"/>
      <c r="HL178" s="963"/>
      <c r="HM178" s="963"/>
      <c r="HN178" s="963"/>
      <c r="HO178" s="963"/>
      <c r="HP178" s="963"/>
      <c r="HQ178" s="963"/>
      <c r="HR178" s="963"/>
      <c r="HS178" s="963"/>
      <c r="HT178" s="963"/>
      <c r="HU178" s="963"/>
      <c r="HV178" s="963"/>
      <c r="HW178" s="963"/>
      <c r="HX178" s="963"/>
      <c r="HY178" s="963"/>
      <c r="HZ178" s="963"/>
      <c r="IA178" s="963"/>
      <c r="IB178" s="963"/>
      <c r="IC178" s="963"/>
      <c r="ID178" s="963"/>
      <c r="IE178" s="963"/>
      <c r="IF178" s="963"/>
      <c r="IG178" s="963"/>
      <c r="IH178" s="963"/>
      <c r="II178" s="963"/>
      <c r="IJ178" s="963"/>
      <c r="IK178" s="963"/>
      <c r="IL178" s="963"/>
      <c r="IM178" s="963"/>
      <c r="IN178" s="963"/>
      <c r="IO178" s="963"/>
      <c r="IP178" s="963"/>
      <c r="IQ178" s="963"/>
      <c r="IR178" s="963"/>
      <c r="IS178" s="963"/>
      <c r="IT178" s="963"/>
      <c r="IU178" s="963"/>
      <c r="IV178" s="963"/>
    </row>
    <row r="179" spans="1:256" s="56" customFormat="1" ht="12.75" x14ac:dyDescent="0.2">
      <c r="A179" s="44" t="s">
        <v>74</v>
      </c>
      <c r="B179" s="22"/>
      <c r="C179" s="22"/>
      <c r="D179" s="22"/>
      <c r="E179" s="197"/>
      <c r="F179" s="21"/>
      <c r="G179" s="22"/>
      <c r="H179" s="22"/>
      <c r="I179" s="22"/>
      <c r="J179" s="197"/>
      <c r="K179" s="21"/>
      <c r="L179" s="22"/>
      <c r="M179" s="22"/>
      <c r="N179" s="22"/>
      <c r="O179" s="197"/>
      <c r="P179" s="21"/>
      <c r="Q179" s="22">
        <f t="shared" ref="Q179:CB179" si="659">Q178/L178-1</f>
        <v>-4.4193068587702111E-2</v>
      </c>
      <c r="R179" s="22">
        <f t="shared" si="659"/>
        <v>-2.9203751627738361E-2</v>
      </c>
      <c r="S179" s="22">
        <f t="shared" si="659"/>
        <v>0.11428085723430015</v>
      </c>
      <c r="T179" s="197">
        <f t="shared" si="659"/>
        <v>0.17590976047495754</v>
      </c>
      <c r="U179" s="21">
        <f t="shared" si="659"/>
        <v>5.7020314050812315E-2</v>
      </c>
      <c r="V179" s="22">
        <f t="shared" si="659"/>
        <v>0.14466312326446373</v>
      </c>
      <c r="W179" s="22">
        <f t="shared" si="659"/>
        <v>-0.18011666447902996</v>
      </c>
      <c r="X179" s="22">
        <f t="shared" si="659"/>
        <v>-0.17654460996624266</v>
      </c>
      <c r="Y179" s="197">
        <f t="shared" si="659"/>
        <v>-0.31204065846275364</v>
      </c>
      <c r="Z179" s="21">
        <f t="shared" si="659"/>
        <v>-0.15039883045675684</v>
      </c>
      <c r="AA179" s="22">
        <f t="shared" si="659"/>
        <v>-0.20750176027623402</v>
      </c>
      <c r="AB179" s="22">
        <f t="shared" si="659"/>
        <v>1.1434454837263797E-2</v>
      </c>
      <c r="AC179" s="22">
        <f t="shared" si="659"/>
        <v>-7.8143638787444791E-2</v>
      </c>
      <c r="AD179" s="197">
        <f t="shared" si="659"/>
        <v>0.14164186448567051</v>
      </c>
      <c r="AE179" s="21">
        <f t="shared" si="659"/>
        <v>-4.0417195187043675E-2</v>
      </c>
      <c r="AF179" s="22">
        <f t="shared" si="659"/>
        <v>1.2535155033147838E-2</v>
      </c>
      <c r="AG179" s="22">
        <f t="shared" si="659"/>
        <v>5.3626047352022033E-2</v>
      </c>
      <c r="AH179" s="22">
        <f t="shared" si="659"/>
        <v>3.9442162155299387E-2</v>
      </c>
      <c r="AI179" s="197">
        <f t="shared" si="659"/>
        <v>-0.16301073634466845</v>
      </c>
      <c r="AJ179" s="21">
        <f t="shared" si="659"/>
        <v>-2.1052392591057845E-2</v>
      </c>
      <c r="AK179" s="22">
        <f t="shared" si="659"/>
        <v>-1.7163615710864222E-2</v>
      </c>
      <c r="AL179" s="22">
        <f t="shared" si="659"/>
        <v>-3.5599767831516305E-2</v>
      </c>
      <c r="AM179" s="22">
        <f t="shared" si="659"/>
        <v>-1.4671452743239E-2</v>
      </c>
      <c r="AN179" s="197">
        <f t="shared" si="659"/>
        <v>7.1346943749294178E-2</v>
      </c>
      <c r="AO179" s="21">
        <f t="shared" si="659"/>
        <v>-2.3968586606271103E-4</v>
      </c>
      <c r="AP179" s="22">
        <f t="shared" si="659"/>
        <v>8.5219652113265099E-2</v>
      </c>
      <c r="AQ179" s="22">
        <f t="shared" si="659"/>
        <v>3.2256988043491752E-2</v>
      </c>
      <c r="AR179" s="22">
        <f t="shared" si="659"/>
        <v>0.14900396308883446</v>
      </c>
      <c r="AS179" s="197">
        <f t="shared" si="659"/>
        <v>5.0750938986720007E-2</v>
      </c>
      <c r="AT179" s="21">
        <f t="shared" si="659"/>
        <v>7.8620052342241786E-2</v>
      </c>
      <c r="AU179" s="22">
        <f t="shared" si="659"/>
        <v>8.1107932943673022E-2</v>
      </c>
      <c r="AV179" s="22">
        <f t="shared" si="659"/>
        <v>0.18962903490742034</v>
      </c>
      <c r="AW179" s="22">
        <f t="shared" si="659"/>
        <v>0.25176042614005434</v>
      </c>
      <c r="AX179" s="197">
        <f t="shared" si="659"/>
        <v>0.32381834847760249</v>
      </c>
      <c r="AY179" s="21">
        <f t="shared" si="659"/>
        <v>0.21106889240404603</v>
      </c>
      <c r="AZ179" s="22">
        <f t="shared" si="659"/>
        <v>0.2001779763947793</v>
      </c>
      <c r="BA179" s="22">
        <f t="shared" si="659"/>
        <v>0.47721557609244236</v>
      </c>
      <c r="BB179" s="22">
        <f t="shared" si="659"/>
        <v>1.3283517514129484E-2</v>
      </c>
      <c r="BC179" s="197">
        <f t="shared" si="659"/>
        <v>0.18644121575956407</v>
      </c>
      <c r="BD179" s="21">
        <f t="shared" si="659"/>
        <v>0.21660605828349011</v>
      </c>
      <c r="BE179" s="22">
        <f t="shared" si="659"/>
        <v>0.20384415584415572</v>
      </c>
      <c r="BF179" s="22">
        <f t="shared" si="659"/>
        <v>-0.13549996774888606</v>
      </c>
      <c r="BG179" s="22">
        <f t="shared" si="659"/>
        <v>0.14712557455570918</v>
      </c>
      <c r="BH179" s="197">
        <f t="shared" si="659"/>
        <v>1.1515599178727021E-2</v>
      </c>
      <c r="BI179" s="21">
        <f t="shared" si="659"/>
        <v>3.7983851669937785E-2</v>
      </c>
      <c r="BJ179" s="22">
        <f t="shared" si="659"/>
        <v>5.8800999838735546E-2</v>
      </c>
      <c r="BK179" s="22">
        <f t="shared" si="659"/>
        <v>0.15397938590725979</v>
      </c>
      <c r="BL179" s="22">
        <f t="shared" si="659"/>
        <v>0.15163300922463208</v>
      </c>
      <c r="BM179" s="197">
        <f t="shared" si="659"/>
        <v>2.8564952036493452E-2</v>
      </c>
      <c r="BN179" s="21">
        <f t="shared" si="659"/>
        <v>9.7427226177779547E-2</v>
      </c>
      <c r="BO179" s="22">
        <f t="shared" si="659"/>
        <v>5.0940218184852615E-2</v>
      </c>
      <c r="BP179" s="22">
        <f t="shared" si="659"/>
        <v>1.1660184027004528E-2</v>
      </c>
      <c r="BQ179" s="22">
        <f t="shared" si="659"/>
        <v>3.1584860006913296E-2</v>
      </c>
      <c r="BR179" s="197">
        <f t="shared" si="659"/>
        <v>0.18252558892648119</v>
      </c>
      <c r="BS179" s="21">
        <f t="shared" si="659"/>
        <v>6.8113144482953025E-2</v>
      </c>
      <c r="BT179" s="22">
        <f t="shared" si="659"/>
        <v>2.4744834453572118E-2</v>
      </c>
      <c r="BU179" s="22">
        <f t="shared" si="659"/>
        <v>3.59707888224996E-2</v>
      </c>
      <c r="BV179" s="22">
        <f t="shared" si="659"/>
        <v>-6.3612675920010964E-2</v>
      </c>
      <c r="BW179" s="197">
        <f t="shared" si="659"/>
        <v>-0.1537998149935853</v>
      </c>
      <c r="BX179" s="21">
        <f t="shared" si="659"/>
        <v>-4.3363507977405957E-2</v>
      </c>
      <c r="BY179" s="22">
        <f t="shared" si="659"/>
        <v>-4.3735857961880731E-2</v>
      </c>
      <c r="BZ179" s="22">
        <f t="shared" si="659"/>
        <v>-4.9093430034129359E-2</v>
      </c>
      <c r="CA179" s="22">
        <f t="shared" si="659"/>
        <v>3.8116992390769378E-2</v>
      </c>
      <c r="CB179" s="197">
        <f t="shared" si="659"/>
        <v>0.18141215356423834</v>
      </c>
      <c r="CC179" s="21">
        <f t="shared" ref="CC179:DU179" si="660">CC178/BX178-1</f>
        <v>3.0267795662331398E-2</v>
      </c>
      <c r="CD179" s="22">
        <f t="shared" si="660"/>
        <v>0.24987145319579906</v>
      </c>
      <c r="CE179" s="22">
        <f t="shared" si="660"/>
        <v>0.17991919593917105</v>
      </c>
      <c r="CF179" s="22">
        <f t="shared" si="660"/>
        <v>0.13528647794006976</v>
      </c>
      <c r="CG179" s="197">
        <f t="shared" si="660"/>
        <v>0.12389087418283018</v>
      </c>
      <c r="CH179" s="21">
        <f t="shared" si="660"/>
        <v>0.16833288333760121</v>
      </c>
      <c r="CI179" s="22">
        <f t="shared" si="660"/>
        <v>-2.4014738508780997E-2</v>
      </c>
      <c r="CJ179" s="22">
        <f t="shared" si="660"/>
        <v>-6.673003568385405E-3</v>
      </c>
      <c r="CK179" s="22">
        <f t="shared" si="660"/>
        <v>1.1236917448072647E-2</v>
      </c>
      <c r="CL179" s="197">
        <f t="shared" si="660"/>
        <v>4.215593490265479E-2</v>
      </c>
      <c r="CM179" s="21">
        <f t="shared" si="660"/>
        <v>5.3711919449463963E-3</v>
      </c>
      <c r="CN179" s="22">
        <f t="shared" si="660"/>
        <v>6.4203978882646728E-2</v>
      </c>
      <c r="CO179" s="22">
        <f t="shared" si="660"/>
        <v>3.148941363944191E-2</v>
      </c>
      <c r="CP179" s="22">
        <f t="shared" si="660"/>
        <v>6.4573402825065962E-2</v>
      </c>
      <c r="CQ179" s="197">
        <f t="shared" si="660"/>
        <v>2.7656031214342347E-2</v>
      </c>
      <c r="CR179" s="21">
        <f t="shared" si="660"/>
        <v>4.6802741852248086E-2</v>
      </c>
      <c r="CS179" s="22">
        <f t="shared" si="660"/>
        <v>2.541208271183315E-3</v>
      </c>
      <c r="CT179" s="22">
        <f t="shared" si="660"/>
        <v>0.11920451017968969</v>
      </c>
      <c r="CU179" s="22">
        <f t="shared" si="660"/>
        <v>0.137473973391393</v>
      </c>
      <c r="CV179" s="197">
        <f t="shared" si="660"/>
        <v>0.12295723220117338</v>
      </c>
      <c r="CW179" s="21">
        <f t="shared" si="660"/>
        <v>9.4837312189749889E-2</v>
      </c>
      <c r="CX179" s="22">
        <f t="shared" si="660"/>
        <v>0.19371317985273406</v>
      </c>
      <c r="CY179" s="22">
        <f t="shared" si="660"/>
        <v>0.12024540157555852</v>
      </c>
      <c r="CZ179" s="22">
        <f t="shared" si="660"/>
        <v>3.8838246165584733E-2</v>
      </c>
      <c r="DA179" s="22">
        <f t="shared" si="660"/>
        <v>-1.7251929539792932E-2</v>
      </c>
      <c r="DB179" s="21">
        <f t="shared" si="660"/>
        <v>7.9732742677876001E-2</v>
      </c>
      <c r="DC179" s="22">
        <f t="shared" si="660"/>
        <v>-0.12828108776865021</v>
      </c>
      <c r="DD179" s="22">
        <f t="shared" si="660"/>
        <v>-7.0579687019673099E-2</v>
      </c>
      <c r="DE179" s="22">
        <f t="shared" si="660"/>
        <v>-7.8158041420462121E-2</v>
      </c>
      <c r="DF179" s="22">
        <f t="shared" si="660"/>
        <v>4.6353277484414424E-3</v>
      </c>
      <c r="DG179" s="21">
        <f t="shared" si="660"/>
        <v>-6.7421860420714852E-2</v>
      </c>
      <c r="DH179" s="22">
        <f t="shared" si="660"/>
        <v>7.3752624004253642E-2</v>
      </c>
      <c r="DI179" s="22">
        <f t="shared" si="660"/>
        <v>4.8146441721600874E-2</v>
      </c>
      <c r="DJ179" s="22">
        <f t="shared" si="660"/>
        <v>5.3976372581188814E-2</v>
      </c>
      <c r="DK179" s="22">
        <f t="shared" si="660"/>
        <v>3.1241061496901645E-2</v>
      </c>
      <c r="DL179" s="21">
        <f>DL178/DG178-1</f>
        <v>5.0667297820763402E-2</v>
      </c>
      <c r="DM179" s="22">
        <f t="shared" si="660"/>
        <v>6.2158414481039648E-2</v>
      </c>
      <c r="DN179" s="22">
        <f t="shared" si="660"/>
        <v>-6.4560396827961775E-4</v>
      </c>
      <c r="DO179" s="22">
        <f t="shared" si="660"/>
        <v>5.5141281512605111E-2</v>
      </c>
      <c r="DP179" s="22">
        <f t="shared" si="660"/>
        <v>4.3939063258898514E-2</v>
      </c>
      <c r="DQ179" s="21">
        <f>DQ178/DL178-1</f>
        <v>3.9617931519175142E-2</v>
      </c>
      <c r="DR179" s="22">
        <f t="shared" si="660"/>
        <v>-2.0448361803771853E-2</v>
      </c>
      <c r="DS179" s="22">
        <f t="shared" si="660"/>
        <v>4.9191974485910173E-2</v>
      </c>
      <c r="DT179" s="22">
        <f t="shared" si="660"/>
        <v>7.3586590736987034E-3</v>
      </c>
      <c r="DU179" s="22">
        <f t="shared" si="660"/>
        <v>-6.5039128433328264E-2</v>
      </c>
      <c r="DV179" s="21">
        <f t="shared" ref="DV179:EA179" si="661">DV178/DQ178-1</f>
        <v>-8.3824423032612394E-3</v>
      </c>
      <c r="DW179" s="22">
        <f t="shared" si="661"/>
        <v>2.1371359853911809E-2</v>
      </c>
      <c r="DX179" s="22">
        <f t="shared" si="661"/>
        <v>-7.5769847044258709E-2</v>
      </c>
      <c r="DY179" s="22">
        <f t="shared" si="661"/>
        <v>-5.595841047957395E-2</v>
      </c>
      <c r="DZ179" s="22">
        <f t="shared" si="661"/>
        <v>5.9394009652403712E-2</v>
      </c>
      <c r="EA179" s="21">
        <f t="shared" si="661"/>
        <v>-1.4534193911124094E-2</v>
      </c>
      <c r="EB179" s="22">
        <f t="shared" ref="EB179:EI179" si="662">EB178/DW178-1</f>
        <v>2.9400199081866862E-2</v>
      </c>
      <c r="EC179" s="22">
        <f t="shared" si="662"/>
        <v>8.6608486007750729E-2</v>
      </c>
      <c r="ED179" s="22">
        <f t="shared" si="662"/>
        <v>7.7079634237797734E-2</v>
      </c>
      <c r="EE179" s="22">
        <f t="shared" si="662"/>
        <v>2.9071687943625024E-2</v>
      </c>
      <c r="EF179" s="21">
        <f t="shared" si="662"/>
        <v>5.4917303166423403E-2</v>
      </c>
      <c r="EG179" s="22">
        <f t="shared" si="662"/>
        <v>-9.7703477353964563E-2</v>
      </c>
      <c r="EH179" s="22">
        <f t="shared" si="662"/>
        <v>-8.4178637247229293E-2</v>
      </c>
      <c r="EI179" s="22">
        <f t="shared" si="662"/>
        <v>-0.12320272157024381</v>
      </c>
      <c r="EJ179" s="22">
        <f>EJ178/EE178-1</f>
        <v>-0.12358776916693881</v>
      </c>
      <c r="EK179" s="21">
        <f>EK178/EF178-1</f>
        <v>-0.10711719904916117</v>
      </c>
      <c r="EL179" s="22">
        <f>EL178/EG178-1</f>
        <v>-3.5780353081338645E-2</v>
      </c>
      <c r="EM179" s="22">
        <f t="shared" ref="EM179:EN179" si="663">EM178/EH178-1</f>
        <v>-3.0279596204303982E-2</v>
      </c>
      <c r="EN179" s="22">
        <f t="shared" si="663"/>
        <v>-4.39117518044424E-2</v>
      </c>
      <c r="EO179" s="22">
        <f>EO178/EJ178-1</f>
        <v>6.3582083610658202E-3</v>
      </c>
      <c r="EP179" s="21">
        <f>EP178/EK178-1</f>
        <v>-2.5485178319990642E-2</v>
      </c>
      <c r="EQ179" s="22">
        <f>EQ178/EL178-1</f>
        <v>1.4304132258813329E-2</v>
      </c>
      <c r="ER179" s="97">
        <v>0</v>
      </c>
      <c r="ES179" s="97">
        <v>0.05</v>
      </c>
      <c r="ET179" s="97">
        <v>0.01</v>
      </c>
      <c r="EU179" s="270">
        <f>EU178/EP178-1</f>
        <v>1.8147701544990014E-2</v>
      </c>
      <c r="EV179" s="96"/>
      <c r="EW179" s="96"/>
      <c r="EX179" s="96"/>
      <c r="EY179" s="96"/>
      <c r="EZ179" s="834">
        <v>1.4999999999999999E-2</v>
      </c>
      <c r="FA179" s="96"/>
      <c r="FB179" s="96"/>
      <c r="FC179" s="96"/>
      <c r="FD179" s="96"/>
      <c r="FE179" s="834">
        <v>1.4999999999999999E-2</v>
      </c>
      <c r="FF179" s="768"/>
      <c r="FG179" s="656"/>
      <c r="FH179" s="1038"/>
      <c r="FI179" s="1038"/>
      <c r="FJ179" s="1038"/>
      <c r="FK179" s="1038"/>
      <c r="FL179" s="1813"/>
      <c r="FM179" s="22">
        <f t="shared" si="624"/>
        <v>1.4304132258813329E-2</v>
      </c>
      <c r="FN179" s="22">
        <f t="shared" si="625"/>
        <v>-3.5780353081338645E-2</v>
      </c>
      <c r="FO179" s="97">
        <v>0.02</v>
      </c>
      <c r="FP179" s="1892">
        <f>IFERROR(($FM179-FN179)*10000,"")</f>
        <v>500.84485340151974</v>
      </c>
      <c r="FQ179" s="1892">
        <f>IFERROR(($FM179-FO179)*10000,"")</f>
        <v>-56.958677411866717</v>
      </c>
      <c r="FR179" s="575"/>
      <c r="FS179" s="575"/>
      <c r="FT179" s="575"/>
      <c r="FU179" s="575"/>
      <c r="FV179" s="575"/>
      <c r="FW179" s="575"/>
      <c r="FX179" s="575"/>
      <c r="FY179" s="575"/>
      <c r="FZ179" s="575"/>
      <c r="GA179" s="656"/>
      <c r="GB179"/>
      <c r="GC179"/>
      <c r="GD179"/>
      <c r="GE179"/>
      <c r="GF179"/>
      <c r="GG179"/>
      <c r="GH179" s="964"/>
      <c r="GI179" s="964"/>
      <c r="GJ179" s="964"/>
      <c r="GK179" s="964"/>
      <c r="GL179" s="964"/>
      <c r="GM179" s="964"/>
      <c r="GN179" s="964"/>
      <c r="GO179" s="964"/>
      <c r="GP179" s="964"/>
      <c r="GQ179" s="964"/>
      <c r="GR179" s="964"/>
      <c r="GS179" s="964"/>
      <c r="GT179" s="964"/>
      <c r="GU179" s="964"/>
      <c r="GV179" s="964"/>
      <c r="GW179" s="964"/>
      <c r="GX179" s="964"/>
      <c r="GY179" s="964"/>
      <c r="GZ179" s="964"/>
      <c r="HA179" s="964"/>
      <c r="HB179" s="964"/>
      <c r="HC179" s="964"/>
      <c r="HD179" s="964"/>
      <c r="HE179" s="964"/>
      <c r="HF179" s="964"/>
      <c r="HG179" s="964"/>
      <c r="HH179" s="964"/>
      <c r="HI179" s="964"/>
      <c r="HJ179" s="964"/>
      <c r="HK179" s="964"/>
      <c r="HL179" s="964"/>
      <c r="HM179" s="964"/>
      <c r="HN179" s="964"/>
      <c r="HO179" s="964"/>
      <c r="HP179" s="964"/>
      <c r="HQ179" s="964"/>
      <c r="HR179" s="964"/>
      <c r="HS179" s="964"/>
      <c r="HT179" s="964"/>
      <c r="HU179" s="964"/>
      <c r="HV179" s="964"/>
      <c r="HW179" s="964"/>
      <c r="HX179" s="964"/>
      <c r="HY179" s="964"/>
      <c r="HZ179" s="964"/>
      <c r="IA179" s="964"/>
      <c r="IB179" s="964"/>
      <c r="IC179" s="964"/>
      <c r="ID179" s="964"/>
      <c r="IE179" s="964"/>
      <c r="IF179" s="964"/>
      <c r="IG179" s="964"/>
      <c r="IH179" s="964"/>
      <c r="II179" s="964"/>
      <c r="IJ179" s="964"/>
      <c r="IK179" s="964"/>
      <c r="IL179" s="964"/>
      <c r="IM179" s="964"/>
      <c r="IN179" s="964"/>
      <c r="IO179" s="964"/>
      <c r="IP179" s="964"/>
      <c r="IQ179" s="964"/>
      <c r="IR179" s="964"/>
      <c r="IS179" s="964"/>
      <c r="IT179" s="964"/>
      <c r="IU179" s="964"/>
      <c r="IV179" s="964"/>
    </row>
    <row r="180" spans="1:256" s="458" customFormat="1" ht="12.75" x14ac:dyDescent="0.2">
      <c r="A180" s="460" t="s">
        <v>13</v>
      </c>
      <c r="F180" s="462"/>
      <c r="K180" s="462"/>
      <c r="P180" s="462"/>
      <c r="U180" s="462"/>
      <c r="Z180" s="462"/>
      <c r="AE180" s="462"/>
      <c r="AJ180" s="462"/>
      <c r="AO180" s="462"/>
      <c r="AQ180" s="458">
        <f>AQ178/AP178-1</f>
        <v>-1.2314345499512047E-2</v>
      </c>
      <c r="AR180" s="458">
        <f>AR178/AQ178-1</f>
        <v>8.7121991203862104E-2</v>
      </c>
      <c r="AS180" s="458">
        <f>AS178/AR178-1</f>
        <v>-6.1601440424098208E-2</v>
      </c>
      <c r="AT180" s="462"/>
      <c r="AU180" s="458">
        <f>AU178/AS178-1</f>
        <v>7.2962872876573881E-2</v>
      </c>
      <c r="AV180" s="458">
        <f>AV178/AU178-1</f>
        <v>8.6829072427625054E-2</v>
      </c>
      <c r="AW180" s="458">
        <f>AW178/AV178-1</f>
        <v>0.14389969229481103</v>
      </c>
      <c r="AX180" s="458">
        <f>AX178/AW178-1</f>
        <v>-7.5822773993503567E-3</v>
      </c>
      <c r="AY180" s="462"/>
      <c r="AZ180" s="458">
        <f>AZ178/AX178-1</f>
        <v>-2.7248405344547755E-2</v>
      </c>
      <c r="BA180" s="458">
        <f>BA178/AZ178-1</f>
        <v>0.33770229575691846</v>
      </c>
      <c r="BB180" s="458">
        <f>BB178/BA178-1</f>
        <v>-0.21535169094420537</v>
      </c>
      <c r="BC180" s="458">
        <f>BC178/BB178-1</f>
        <v>0.16200971296982924</v>
      </c>
      <c r="BD180" s="462"/>
      <c r="BE180" s="458">
        <f>BE178/BC178-1</f>
        <v>-1.2979904306220202E-2</v>
      </c>
      <c r="BF180" s="458">
        <f>BF178/BE178-1</f>
        <v>-3.9374264342939558E-2</v>
      </c>
      <c r="BG180" s="458">
        <f>BG178/BF178-1</f>
        <v>4.1168431198325584E-2</v>
      </c>
      <c r="BH180" s="458">
        <f>BH178/BG178-1</f>
        <v>2.4640176400404723E-2</v>
      </c>
      <c r="BI180" s="462"/>
      <c r="BJ180" s="458">
        <f>BJ178/BH178-1</f>
        <v>3.3160403092157065E-2</v>
      </c>
      <c r="BK180" s="458">
        <f>BK178/BJ178-1</f>
        <v>4.6978890923870198E-2</v>
      </c>
      <c r="BL180" s="458">
        <f>BL178/BK178-1</f>
        <v>3.9051432091161242E-2</v>
      </c>
      <c r="BM180" s="458">
        <f>BM178/BL178-1</f>
        <v>-8.4856924513201371E-2</v>
      </c>
      <c r="BN180" s="462"/>
      <c r="BO180" s="458">
        <f>BO178/BM178-1</f>
        <v>5.5635638075968608E-2</v>
      </c>
      <c r="BP180" s="458">
        <f>BP178/BO178-1</f>
        <v>7.846915682627742E-3</v>
      </c>
      <c r="BQ180" s="458">
        <f>BQ178/BP178-1</f>
        <v>5.9515579477556813E-2</v>
      </c>
      <c r="BR180" s="458">
        <f>BR178/BQ178-1</f>
        <v>4.904612916165263E-2</v>
      </c>
      <c r="BS180" s="462"/>
      <c r="BT180" s="458">
        <f>BT178/BR178-1</f>
        <v>-8.5214580290402964E-2</v>
      </c>
      <c r="BU180" s="458">
        <f>BU178/BT178-1</f>
        <v>1.8887755417478003E-2</v>
      </c>
      <c r="BV180" s="458">
        <f>BV178/BU178-1</f>
        <v>-4.2331145827283811E-2</v>
      </c>
      <c r="BW180" s="458">
        <f>BW178/BV178-1</f>
        <v>-5.1991621683866951E-2</v>
      </c>
      <c r="BX180" s="462"/>
      <c r="BY180" s="458">
        <f>BY178/BW178-1</f>
        <v>3.3770152769403206E-2</v>
      </c>
      <c r="BZ180" s="458">
        <f>BZ178/BY178-1</f>
        <v>1.3179327857341328E-2</v>
      </c>
      <c r="CA180" s="458">
        <f>CA178/BZ178-1</f>
        <v>4.5499465458290755E-2</v>
      </c>
      <c r="CB180" s="458">
        <f>CB178/CA178-1</f>
        <v>7.8865511337103955E-2</v>
      </c>
      <c r="CC180" s="462"/>
      <c r="CD180" s="458">
        <f>CD178/CB178-1</f>
        <v>9.3674040185063534E-2</v>
      </c>
      <c r="CE180" s="458">
        <f>CE178/CD178-1</f>
        <v>-4.352584834950457E-2</v>
      </c>
      <c r="CF180" s="458">
        <f>CF178/CE178-1</f>
        <v>5.9514328721537169E-3</v>
      </c>
      <c r="CG180" s="458">
        <f>CG178/CF178-1</f>
        <v>6.803624126876251E-2</v>
      </c>
      <c r="CH180" s="462"/>
      <c r="CI180" s="458">
        <f>CI178/CG178-1</f>
        <v>-5.0254994843444978E-2</v>
      </c>
      <c r="CJ180" s="458">
        <f>CJ178/CI178-1</f>
        <v>-2.6530795381266792E-2</v>
      </c>
      <c r="CK180" s="458">
        <f>CK178/CJ178-1</f>
        <v>2.4088975467748908E-2</v>
      </c>
      <c r="CL180" s="458">
        <f>CL178/CK178-1</f>
        <v>0.10069192325202114</v>
      </c>
      <c r="CM180" s="462"/>
      <c r="CN180" s="458">
        <f>CN178/CL178-1</f>
        <v>-3.0162013608899363E-2</v>
      </c>
      <c r="CO180" s="458">
        <f>CO178/CN178-1</f>
        <v>-5.6456093950613684E-2</v>
      </c>
      <c r="CP180" s="458">
        <f>CP178/CO178-1</f>
        <v>5.6935603015721981E-2</v>
      </c>
      <c r="CQ180" s="458">
        <f>CQ178/CP178-1</f>
        <v>6.2522030361794378E-2</v>
      </c>
      <c r="CR180" s="462"/>
      <c r="CS180" s="458">
        <f>CS178/CQ178-1</f>
        <v>-5.3863824888087941E-2</v>
      </c>
      <c r="CT180" s="458">
        <f>CT178/CS178-1</f>
        <v>5.3341834221527495E-2</v>
      </c>
      <c r="CU180" s="458">
        <f>CU178/CT178-1</f>
        <v>7.4188612578143243E-2</v>
      </c>
      <c r="CV180" s="458">
        <f>CV178/CU178-1</f>
        <v>4.896184552725158E-2</v>
      </c>
      <c r="CW180" s="462"/>
      <c r="CX180" s="458">
        <f>CX178/CV178-1</f>
        <v>5.7508779321111536E-3</v>
      </c>
      <c r="CY180" s="458">
        <f>CY178/CX178-1</f>
        <v>-1.1486707200967006E-2</v>
      </c>
      <c r="CZ180" s="458">
        <f>CZ178/CY178-1</f>
        <v>-3.8716402921515902E-3</v>
      </c>
      <c r="DA180" s="458">
        <f>DA178/CZ178-1</f>
        <v>-7.6749354548018012E-3</v>
      </c>
      <c r="DB180" s="462"/>
      <c r="DC180" s="458">
        <f>DC178/DA178-1</f>
        <v>-0.1078770972542904</v>
      </c>
      <c r="DD180" s="458">
        <f>DD178/DC178-1</f>
        <v>5.3945625232300287E-2</v>
      </c>
      <c r="DE180" s="458">
        <f>DE178/DD178-1</f>
        <v>-1.1993922141507296E-2</v>
      </c>
      <c r="DF180" s="458">
        <f>DF178/DE178-1</f>
        <v>8.144873117786422E-2</v>
      </c>
      <c r="DG180" s="462"/>
      <c r="DH180" s="458">
        <f>DH178/DF178-1</f>
        <v>-4.6500475048635748E-2</v>
      </c>
      <c r="DI180" s="458">
        <f>DI178/DH178-1</f>
        <v>2.8811787891758645E-2</v>
      </c>
      <c r="DJ180" s="458">
        <f>DJ178/DI178-1</f>
        <v>-6.498500038745747E-3</v>
      </c>
      <c r="DK180" s="458">
        <f>DK178/DJ178-1</f>
        <v>5.8120814191620296E-2</v>
      </c>
      <c r="DL180" s="462"/>
      <c r="DM180" s="458">
        <f>DM178/DK178-1</f>
        <v>-1.7913869565395979E-2</v>
      </c>
      <c r="DN180" s="458">
        <f>DN178/DM178-1</f>
        <v>-3.2020488750516662E-2</v>
      </c>
      <c r="DO180" s="458">
        <f>DO178/DN178-1</f>
        <v>4.8961659663865342E-2</v>
      </c>
      <c r="DP180" s="458">
        <f>DP178/DO178-1</f>
        <v>4.6886962851473868E-2</v>
      </c>
      <c r="DQ180" s="462"/>
      <c r="DR180" s="458">
        <f>DR178/DP178-1</f>
        <v>-7.8486367859545769E-2</v>
      </c>
      <c r="DS180" s="458">
        <f>DS178/DR178-1</f>
        <v>3.6797137657691215E-2</v>
      </c>
      <c r="DT180" s="458">
        <f>DT178/DS178-1</f>
        <v>7.1375273495322133E-3</v>
      </c>
      <c r="DU180" s="458">
        <f>DU178/DT178-1</f>
        <v>-2.8351681496003756E-2</v>
      </c>
      <c r="DV180" s="462"/>
      <c r="DW180" s="458">
        <f>DW178/DU178-1</f>
        <v>6.6813063589217236E-3</v>
      </c>
      <c r="DX180" s="458">
        <f>DX178/DW178-1</f>
        <v>-6.1811193473741977E-2</v>
      </c>
      <c r="DY180" s="458">
        <f>DY178/DX178-1</f>
        <v>2.87261340090188E-2</v>
      </c>
      <c r="DZ180" s="458">
        <f>DZ178/DY178-1</f>
        <v>9.0374004216148274E-2</v>
      </c>
      <c r="EA180" s="462"/>
      <c r="EB180" s="458">
        <f>EB178/DZ178-1</f>
        <v>-2.1820089847516155E-2</v>
      </c>
      <c r="EC180" s="458">
        <f>EC178/EB178-1</f>
        <v>-9.6719239435072435E-3</v>
      </c>
      <c r="ED180" s="458">
        <f>ED178/EC178-1</f>
        <v>1.9704872930096373E-2</v>
      </c>
      <c r="EE180" s="458">
        <f>EE178/ED178-1</f>
        <v>4.1773496908242391E-2</v>
      </c>
      <c r="EF180" s="462"/>
      <c r="EG180" s="458">
        <f>EG178/EE178-1</f>
        <v>-0.1423257079237138</v>
      </c>
      <c r="EH180" s="458">
        <f>EH178/EG178-1</f>
        <v>5.1724520966396348E-3</v>
      </c>
      <c r="EI180" s="458">
        <f>EI178/EH178-1</f>
        <v>-2.3745793940354365E-2</v>
      </c>
      <c r="EJ180" s="458">
        <f>EJ178/EI178-1</f>
        <v>4.1315999615363586E-2</v>
      </c>
      <c r="EK180" s="462"/>
      <c r="EL180" s="458">
        <f>EL178/EJ178-1</f>
        <v>-5.6395638966688977E-2</v>
      </c>
      <c r="EM180" s="458">
        <f>EM178/EL178-1</f>
        <v>1.0906839791545053E-2</v>
      </c>
      <c r="EN180" s="458">
        <f>EN178/EM178-1</f>
        <v>-3.7469800561440669E-2</v>
      </c>
      <c r="EO180" s="458">
        <f>EO178/EN178-1</f>
        <v>9.6067131552364238E-2</v>
      </c>
      <c r="EP180" s="462"/>
      <c r="EQ180" s="458">
        <f>EQ178/EO178-1</f>
        <v>-4.894520195523544E-2</v>
      </c>
      <c r="ER180" s="458">
        <f>ER178/EQ178-1</f>
        <v>-3.3493824576092956E-3</v>
      </c>
      <c r="ES180" s="458">
        <f>ES178/ER178-1</f>
        <v>1.0656709410487242E-2</v>
      </c>
      <c r="ET180" s="458">
        <f>ET178/ES178-1</f>
        <v>5.4312193207512127E-2</v>
      </c>
      <c r="EU180" s="1932"/>
      <c r="EZ180" s="740"/>
      <c r="FE180" s="740"/>
      <c r="FF180" s="740"/>
      <c r="FG180" s="655"/>
      <c r="FH180" s="1088">
        <f>AVERAGE(CI180,CN180,CS180,CX180,DC180,DH180,DM180,DR180,DW180,EB180,EG180,EL180,EQ180)</f>
        <v>-4.9393315190032434E-2</v>
      </c>
      <c r="FI180" s="1088">
        <f>AVERAGE(CJ180,CO180,CT180,CY180,DD180,DI180,DN180,DS180,DX180,EC180,EH180,EM180)</f>
        <v>-7.5012715076258618E-4</v>
      </c>
      <c r="FJ180" s="1088">
        <f>AVERAGE(CK180,CP180,CU180,CZ180,DE180,DJ180,DO180,DT180,DY180,ED180,EI180,EN180)</f>
        <v>1.4680310669993932E-2</v>
      </c>
      <c r="FK180" s="1088">
        <f>AVERAGE(CL180,CQ180,CV180,DA180,DF180,DK180,DP180,DU180,DZ180,EE180,EJ180,EO180)</f>
        <v>5.2678026891944868E-2</v>
      </c>
      <c r="FL180" s="1795"/>
      <c r="FM180" s="458">
        <f t="shared" si="624"/>
        <v>-4.894520195523544E-2</v>
      </c>
      <c r="FN180" s="458">
        <f t="shared" si="625"/>
        <v>-5.6395638966688977E-2</v>
      </c>
      <c r="FO180" s="2040">
        <v>-4.360451352461614E-2</v>
      </c>
      <c r="FP180" s="1888">
        <f>IFERROR(($FM180-FN180)*10000,"")</f>
        <v>74.504370114535362</v>
      </c>
      <c r="FQ180" s="1888">
        <f>IFERROR(($FM180-FO180)*10000,"")</f>
        <v>-53.406884306193007</v>
      </c>
      <c r="FR180" s="1579"/>
      <c r="FS180" s="566"/>
      <c r="FT180" s="566"/>
      <c r="FU180" s="566"/>
      <c r="FV180" s="566"/>
      <c r="FW180" s="566"/>
      <c r="FX180" s="566"/>
      <c r="FY180" s="566"/>
      <c r="FZ180" s="566"/>
      <c r="GA180" s="655"/>
      <c r="GB180"/>
      <c r="GC180"/>
      <c r="GD180"/>
      <c r="GE180"/>
      <c r="GF180"/>
      <c r="GG180"/>
      <c r="GH180" s="913"/>
      <c r="GI180" s="913"/>
      <c r="GJ180" s="913"/>
      <c r="GK180" s="913"/>
      <c r="GL180" s="913"/>
      <c r="GM180" s="913"/>
      <c r="GN180" s="913"/>
      <c r="GO180" s="913"/>
      <c r="GP180" s="913"/>
      <c r="GQ180" s="913"/>
      <c r="GR180" s="913"/>
      <c r="GS180" s="913"/>
      <c r="GT180" s="913"/>
      <c r="GU180" s="913"/>
      <c r="GV180" s="913"/>
      <c r="GW180" s="913"/>
      <c r="GX180" s="913"/>
      <c r="GY180" s="913"/>
      <c r="GZ180" s="913"/>
      <c r="HA180" s="913"/>
      <c r="HB180" s="913"/>
      <c r="HC180" s="913"/>
      <c r="HD180" s="913"/>
      <c r="HE180" s="913"/>
      <c r="HF180" s="913"/>
      <c r="HG180" s="913"/>
      <c r="HH180" s="913"/>
      <c r="HI180" s="913"/>
      <c r="HJ180" s="913"/>
      <c r="HK180" s="913"/>
      <c r="HL180" s="913"/>
      <c r="HM180" s="913"/>
      <c r="HN180" s="913"/>
      <c r="HO180" s="913"/>
      <c r="HP180" s="913"/>
      <c r="HQ180" s="913"/>
      <c r="HR180" s="913"/>
      <c r="HS180" s="913"/>
      <c r="HT180" s="913"/>
      <c r="HU180" s="913"/>
      <c r="HV180" s="913"/>
      <c r="HW180" s="913"/>
      <c r="HX180" s="913"/>
      <c r="HY180" s="913"/>
      <c r="HZ180" s="913"/>
      <c r="IA180" s="913"/>
      <c r="IB180" s="913"/>
      <c r="IC180" s="913"/>
      <c r="ID180" s="913"/>
      <c r="IE180" s="913"/>
      <c r="IF180" s="913"/>
      <c r="IG180" s="913"/>
      <c r="IH180" s="913"/>
      <c r="II180" s="913"/>
      <c r="IJ180" s="913"/>
      <c r="IK180" s="913"/>
      <c r="IL180" s="913"/>
      <c r="IM180" s="913"/>
      <c r="IN180" s="913"/>
      <c r="IO180" s="913"/>
      <c r="IP180" s="913"/>
      <c r="IQ180" s="913"/>
      <c r="IR180" s="913"/>
      <c r="IS180" s="913"/>
      <c r="IT180" s="913"/>
      <c r="IU180" s="913"/>
      <c r="IV180" s="913"/>
    </row>
    <row r="181" spans="1:256" s="541" customFormat="1" ht="12.75" x14ac:dyDescent="0.2">
      <c r="A181" s="121" t="s">
        <v>405</v>
      </c>
      <c r="B181" s="122">
        <v>38.4</v>
      </c>
      <c r="C181" s="122">
        <f>72.5-38.4</f>
        <v>34.1</v>
      </c>
      <c r="D181" s="122">
        <f>100.7-72.5</f>
        <v>28.200000000000003</v>
      </c>
      <c r="E181" s="533">
        <f>137.3-100.7</f>
        <v>36.600000000000009</v>
      </c>
      <c r="F181" s="534">
        <f>SUM(B181:E181)</f>
        <v>137.30000000000001</v>
      </c>
      <c r="G181" s="122">
        <v>36.700000000000003</v>
      </c>
      <c r="H181" s="122">
        <f>72.2-36.7</f>
        <v>35.5</v>
      </c>
      <c r="I181" s="122">
        <f>110.8-72.2</f>
        <v>38.599999999999994</v>
      </c>
      <c r="J181" s="533">
        <f>148.8-110.8</f>
        <v>38.000000000000014</v>
      </c>
      <c r="K181" s="534">
        <f>SUM(G181:J181)</f>
        <v>148.80000000000001</v>
      </c>
      <c r="L181" s="122">
        <v>38.1</v>
      </c>
      <c r="M181" s="122">
        <f>74.2-38.1</f>
        <v>36.1</v>
      </c>
      <c r="N181" s="122">
        <f>111-74.2</f>
        <v>36.799999999999997</v>
      </c>
      <c r="O181" s="533">
        <f>151.1-111</f>
        <v>40.099999999999994</v>
      </c>
      <c r="P181" s="534">
        <f>SUM(L181:O181)</f>
        <v>151.1</v>
      </c>
      <c r="Q181" s="122">
        <v>38.299999999999997</v>
      </c>
      <c r="R181" s="122">
        <f>77.5-38.3</f>
        <v>39.200000000000003</v>
      </c>
      <c r="S181" s="122">
        <f>117-77.5</f>
        <v>39.5</v>
      </c>
      <c r="T181" s="533">
        <f>158.1-117</f>
        <v>41.099999999999994</v>
      </c>
      <c r="U181" s="534">
        <f>SUM(Q181:T181)</f>
        <v>158.1</v>
      </c>
      <c r="V181" s="122">
        <v>40.6</v>
      </c>
      <c r="W181" s="122">
        <v>40.4</v>
      </c>
      <c r="X181" s="122">
        <v>39.6</v>
      </c>
      <c r="Y181" s="533">
        <v>40.200000000000003</v>
      </c>
      <c r="Z181" s="534">
        <f>SUM(V181:Y181)</f>
        <v>160.80000000000001</v>
      </c>
      <c r="AA181" s="122">
        <v>41.1</v>
      </c>
      <c r="AB181" s="122">
        <v>39.9</v>
      </c>
      <c r="AC181" s="122">
        <v>37.9</v>
      </c>
      <c r="AD181" s="533">
        <v>38.299999999999997</v>
      </c>
      <c r="AE181" s="534">
        <f>SUM(AA181:AD181)</f>
        <v>157.19999999999999</v>
      </c>
      <c r="AF181" s="122">
        <v>36.799999999999997</v>
      </c>
      <c r="AG181" s="122">
        <v>36.6</v>
      </c>
      <c r="AH181" s="122">
        <v>34.700000000000003</v>
      </c>
      <c r="AI181" s="533">
        <v>35.1</v>
      </c>
      <c r="AJ181" s="534">
        <f>SUM(AF181:AI181)</f>
        <v>143.20000000000002</v>
      </c>
      <c r="AK181" s="122">
        <v>37.799999999999997</v>
      </c>
      <c r="AL181" s="122">
        <v>38.200000000000003</v>
      </c>
      <c r="AM181" s="122">
        <v>38.5</v>
      </c>
      <c r="AN181" s="533">
        <v>43.3</v>
      </c>
      <c r="AO181" s="534">
        <f>SUM(AK181:AN181)</f>
        <v>157.80000000000001</v>
      </c>
      <c r="AP181" s="122">
        <v>46.9</v>
      </c>
      <c r="AQ181" s="122">
        <v>45.9</v>
      </c>
      <c r="AR181" s="122">
        <v>40.799999999999997</v>
      </c>
      <c r="AS181" s="533">
        <v>42</v>
      </c>
      <c r="AT181" s="534">
        <f>SUM(AP181:AS181)</f>
        <v>175.6</v>
      </c>
      <c r="AU181" s="122">
        <v>50</v>
      </c>
      <c r="AV181" s="122">
        <v>56</v>
      </c>
      <c r="AW181" s="122">
        <v>52</v>
      </c>
      <c r="AX181" s="533">
        <v>49</v>
      </c>
      <c r="AY181" s="534">
        <f>SUM(AU181:AX181)</f>
        <v>207</v>
      </c>
      <c r="AZ181" s="122">
        <v>53</v>
      </c>
      <c r="BA181" s="122">
        <v>80</v>
      </c>
      <c r="BB181" s="122">
        <v>129</v>
      </c>
      <c r="BC181" s="533">
        <v>137</v>
      </c>
      <c r="BD181" s="534">
        <f>SUM(AZ181:BC181)</f>
        <v>399</v>
      </c>
      <c r="BE181" s="122">
        <v>125</v>
      </c>
      <c r="BF181" s="122">
        <v>124</v>
      </c>
      <c r="BG181" s="122">
        <v>122</v>
      </c>
      <c r="BH181" s="533">
        <v>116</v>
      </c>
      <c r="BI181" s="534">
        <f>SUM(BE181:BH181)</f>
        <v>487</v>
      </c>
      <c r="BJ181" s="122">
        <v>114</v>
      </c>
      <c r="BK181" s="122">
        <v>115</v>
      </c>
      <c r="BL181" s="122">
        <v>109</v>
      </c>
      <c r="BM181" s="533">
        <v>95</v>
      </c>
      <c r="BN181" s="534">
        <f>SUM(BJ181:BM181)</f>
        <v>433</v>
      </c>
      <c r="BO181" s="122">
        <v>90</v>
      </c>
      <c r="BP181" s="122">
        <v>97</v>
      </c>
      <c r="BQ181" s="122">
        <v>96</v>
      </c>
      <c r="BR181" s="533">
        <v>88</v>
      </c>
      <c r="BS181" s="534">
        <f>SUM(BO181:BR181)</f>
        <v>371</v>
      </c>
      <c r="BT181" s="122">
        <v>92</v>
      </c>
      <c r="BU181" s="122">
        <v>96</v>
      </c>
      <c r="BV181" s="122">
        <v>74</v>
      </c>
      <c r="BW181" s="533">
        <v>83</v>
      </c>
      <c r="BX181" s="534">
        <f>SUM(BT181:BW181)</f>
        <v>345</v>
      </c>
      <c r="BY181" s="122">
        <v>88</v>
      </c>
      <c r="BZ181" s="122">
        <v>91</v>
      </c>
      <c r="CA181" s="122">
        <v>98</v>
      </c>
      <c r="CB181" s="533">
        <v>100</v>
      </c>
      <c r="CC181" s="534">
        <f>SUM(BY181:CB181)</f>
        <v>377</v>
      </c>
      <c r="CD181" s="122">
        <v>99</v>
      </c>
      <c r="CE181" s="122">
        <v>105</v>
      </c>
      <c r="CF181" s="122">
        <v>101</v>
      </c>
      <c r="CG181" s="533">
        <v>100</v>
      </c>
      <c r="CH181" s="534">
        <f>SUM(CD181:CG181)</f>
        <v>405</v>
      </c>
      <c r="CI181" s="122">
        <v>107</v>
      </c>
      <c r="CJ181" s="122">
        <v>106</v>
      </c>
      <c r="CK181" s="122">
        <v>106</v>
      </c>
      <c r="CL181" s="533">
        <v>94</v>
      </c>
      <c r="CM181" s="534">
        <f>SUM(CI181:CL181)</f>
        <v>413</v>
      </c>
      <c r="CN181" s="122">
        <v>95</v>
      </c>
      <c r="CO181" s="122">
        <v>97</v>
      </c>
      <c r="CP181" s="122">
        <v>97</v>
      </c>
      <c r="CQ181" s="533">
        <v>90</v>
      </c>
      <c r="CR181" s="534">
        <f>SUM(CN181:CQ181)</f>
        <v>379</v>
      </c>
      <c r="CS181" s="122">
        <v>92</v>
      </c>
      <c r="CT181" s="122">
        <v>90</v>
      </c>
      <c r="CU181" s="122">
        <v>87</v>
      </c>
      <c r="CV181" s="533">
        <v>88</v>
      </c>
      <c r="CW181" s="534">
        <f>SUM(CS181:CV181)</f>
        <v>357</v>
      </c>
      <c r="CX181" s="122">
        <v>86</v>
      </c>
      <c r="CY181" s="122">
        <v>76</v>
      </c>
      <c r="CZ181" s="122">
        <v>75</v>
      </c>
      <c r="DA181" s="122">
        <v>79</v>
      </c>
      <c r="DB181" s="534">
        <f>SUM(CX181:DA181)</f>
        <v>316</v>
      </c>
      <c r="DC181" s="122">
        <v>80</v>
      </c>
      <c r="DD181" s="122">
        <v>82</v>
      </c>
      <c r="DE181" s="122">
        <v>83</v>
      </c>
      <c r="DF181" s="122">
        <v>81</v>
      </c>
      <c r="DG181" s="539">
        <f>SUM(DC181:DF181)</f>
        <v>326</v>
      </c>
      <c r="DH181" s="122">
        <v>87</v>
      </c>
      <c r="DI181" s="122">
        <v>87</v>
      </c>
      <c r="DJ181" s="122">
        <v>83</v>
      </c>
      <c r="DK181" s="122">
        <v>81</v>
      </c>
      <c r="DL181" s="539">
        <f>SUM(DH181:DK181)</f>
        <v>338</v>
      </c>
      <c r="DM181" s="122">
        <v>73</v>
      </c>
      <c r="DN181" s="122">
        <v>72</v>
      </c>
      <c r="DO181" s="122">
        <v>70</v>
      </c>
      <c r="DP181" s="122">
        <v>68</v>
      </c>
      <c r="DQ181" s="539">
        <f>SUM(DM181:DP181)</f>
        <v>283</v>
      </c>
      <c r="DR181" s="122">
        <v>72</v>
      </c>
      <c r="DS181" s="122">
        <v>67</v>
      </c>
      <c r="DT181" s="540">
        <v>71</v>
      </c>
      <c r="DU181" s="122">
        <v>66</v>
      </c>
      <c r="DV181" s="539">
        <f>SUM(DR181:DU181)</f>
        <v>276</v>
      </c>
      <c r="DW181" s="122">
        <v>68</v>
      </c>
      <c r="DX181" s="122">
        <v>72</v>
      </c>
      <c r="DY181" s="540">
        <v>74</v>
      </c>
      <c r="DZ181" s="122">
        <v>79</v>
      </c>
      <c r="EA181" s="539">
        <f>SUM(DW181:DZ181)</f>
        <v>293</v>
      </c>
      <c r="EB181" s="122">
        <v>82</v>
      </c>
      <c r="EC181" s="122">
        <v>75</v>
      </c>
      <c r="ED181" s="540">
        <v>81</v>
      </c>
      <c r="EE181" s="122">
        <v>81</v>
      </c>
      <c r="EF181" s="539">
        <f>SUM(EB181:EE181)</f>
        <v>319</v>
      </c>
      <c r="EG181" s="122">
        <v>79</v>
      </c>
      <c r="EH181" s="122">
        <v>75</v>
      </c>
      <c r="EI181" s="540">
        <v>74</v>
      </c>
      <c r="EJ181" s="122">
        <v>78</v>
      </c>
      <c r="EK181" s="539">
        <f>SUM(EG181:EJ181)</f>
        <v>306</v>
      </c>
      <c r="EL181" s="122">
        <v>73</v>
      </c>
      <c r="EM181" s="122">
        <v>74</v>
      </c>
      <c r="EN181" s="540">
        <v>68</v>
      </c>
      <c r="EO181" s="122">
        <v>81</v>
      </c>
      <c r="EP181" s="539">
        <f>SUM(EL181:EO181)</f>
        <v>296</v>
      </c>
      <c r="EQ181" s="122">
        <v>83</v>
      </c>
      <c r="ER181" s="122">
        <f>ER$13*ER185/1000</f>
        <v>81.194107431442333</v>
      </c>
      <c r="ES181" s="122">
        <f>ES$13*ES185/1000</f>
        <v>75.174096588906181</v>
      </c>
      <c r="ET181" s="122">
        <f>ET$13*ET185/1000</f>
        <v>79.855553436185133</v>
      </c>
      <c r="EU181" s="1966">
        <f>SUM(EQ181:ET181)</f>
        <v>319.22375745653363</v>
      </c>
      <c r="EV181" s="540"/>
      <c r="EW181" s="540"/>
      <c r="EX181" s="540"/>
      <c r="EY181" s="540"/>
      <c r="EZ181" s="855">
        <f>EZ$13*EZ185/1000</f>
        <v>332.11515135832423</v>
      </c>
      <c r="FA181" s="540"/>
      <c r="FB181" s="540"/>
      <c r="FC181" s="540"/>
      <c r="FD181" s="540"/>
      <c r="FE181" s="855">
        <f>FE$13*FE185/1000</f>
        <v>346.78519281694128</v>
      </c>
      <c r="FF181" s="780"/>
      <c r="FG181" s="656"/>
      <c r="FH181" s="1034"/>
      <c r="FI181" s="1034"/>
      <c r="FJ181" s="1034"/>
      <c r="FK181" s="1034"/>
      <c r="FL181" s="1822"/>
      <c r="FM181" s="122">
        <f t="shared" si="624"/>
        <v>83</v>
      </c>
      <c r="FN181" s="122">
        <f t="shared" si="625"/>
        <v>73</v>
      </c>
      <c r="FO181" s="122">
        <v>82.518403823242721</v>
      </c>
      <c r="FP181" s="571">
        <f>IFERROR(($FM181/FN181)-1,"")</f>
        <v>0.13698630136986312</v>
      </c>
      <c r="FQ181" s="571">
        <f>IFERROR(($FM181/FO181)-1,"")</f>
        <v>5.8362274891898824E-3</v>
      </c>
      <c r="FR181" s="540" t="s">
        <v>800</v>
      </c>
      <c r="FS181" s="542"/>
      <c r="FT181" s="542"/>
      <c r="FU181" s="540"/>
      <c r="FV181" s="540"/>
      <c r="FW181" s="540"/>
      <c r="FX181" s="540"/>
      <c r="FY181" s="540"/>
      <c r="FZ181" s="540"/>
      <c r="GA181" s="656"/>
      <c r="GB181"/>
      <c r="GC181"/>
      <c r="GD181"/>
      <c r="GE181"/>
      <c r="GF181"/>
      <c r="GG181"/>
      <c r="GH181" s="972"/>
      <c r="GI181" s="972"/>
      <c r="GJ181" s="972"/>
      <c r="GK181" s="972"/>
      <c r="GL181" s="972"/>
      <c r="GM181" s="972"/>
      <c r="GN181" s="972"/>
      <c r="GO181" s="972"/>
      <c r="GP181" s="972"/>
      <c r="GQ181" s="972"/>
      <c r="GR181" s="972"/>
      <c r="GS181" s="972"/>
      <c r="GT181" s="972"/>
      <c r="GU181" s="972"/>
      <c r="GV181" s="972"/>
      <c r="GW181" s="972"/>
      <c r="GX181" s="972"/>
      <c r="GY181" s="972"/>
      <c r="GZ181" s="972"/>
      <c r="HA181" s="972"/>
      <c r="HB181" s="972"/>
      <c r="HC181" s="972"/>
      <c r="HD181" s="972"/>
      <c r="HE181" s="972"/>
      <c r="HF181" s="972"/>
      <c r="HG181" s="972"/>
      <c r="HH181" s="972"/>
      <c r="HI181" s="972"/>
      <c r="HJ181" s="972"/>
      <c r="HK181" s="972"/>
      <c r="HL181" s="972"/>
      <c r="HM181" s="972"/>
      <c r="HN181" s="972"/>
      <c r="HO181" s="972"/>
      <c r="HP181" s="972"/>
      <c r="HQ181" s="972"/>
      <c r="HR181" s="972"/>
      <c r="HS181" s="972"/>
      <c r="HT181" s="972"/>
      <c r="HU181" s="972"/>
      <c r="HV181" s="972"/>
      <c r="HW181" s="972"/>
      <c r="HX181" s="972"/>
      <c r="HY181" s="972"/>
      <c r="HZ181" s="972"/>
      <c r="IA181" s="972"/>
      <c r="IB181" s="972"/>
      <c r="IC181" s="972"/>
      <c r="ID181" s="972"/>
      <c r="IE181" s="972"/>
      <c r="IF181" s="972"/>
      <c r="IG181" s="972"/>
      <c r="IH181" s="972"/>
      <c r="II181" s="972"/>
      <c r="IJ181" s="972"/>
      <c r="IK181" s="972"/>
      <c r="IL181" s="972"/>
      <c r="IM181" s="972"/>
      <c r="IN181" s="972"/>
      <c r="IO181" s="972"/>
      <c r="IP181" s="972"/>
      <c r="IQ181" s="972"/>
      <c r="IR181" s="972"/>
      <c r="IS181" s="972"/>
      <c r="IT181" s="972"/>
      <c r="IU181" s="972"/>
      <c r="IV181" s="972"/>
    </row>
    <row r="182" spans="1:256" s="244" customFormat="1" ht="12.75" x14ac:dyDescent="0.2">
      <c r="A182" s="242" t="s">
        <v>74</v>
      </c>
      <c r="B182" s="22"/>
      <c r="C182" s="22"/>
      <c r="D182" s="22"/>
      <c r="E182" s="197"/>
      <c r="F182" s="21"/>
      <c r="G182" s="22">
        <f t="shared" ref="G182:AL182" si="664">G181/B181-1</f>
        <v>-4.4270833333333259E-2</v>
      </c>
      <c r="H182" s="22">
        <f t="shared" si="664"/>
        <v>4.1055718475073277E-2</v>
      </c>
      <c r="I182" s="22">
        <f t="shared" si="664"/>
        <v>0.3687943262411344</v>
      </c>
      <c r="J182" s="197">
        <f t="shared" si="664"/>
        <v>3.8251366120218622E-2</v>
      </c>
      <c r="K182" s="21">
        <f t="shared" si="664"/>
        <v>8.3758193736343856E-2</v>
      </c>
      <c r="L182" s="22">
        <f t="shared" si="664"/>
        <v>3.8147138964577554E-2</v>
      </c>
      <c r="M182" s="22">
        <f t="shared" si="664"/>
        <v>1.6901408450704203E-2</v>
      </c>
      <c r="N182" s="22">
        <f t="shared" si="664"/>
        <v>-4.663212435233155E-2</v>
      </c>
      <c r="O182" s="197">
        <f t="shared" si="664"/>
        <v>5.5263157894736237E-2</v>
      </c>
      <c r="P182" s="21">
        <f t="shared" si="664"/>
        <v>1.5456989247311759E-2</v>
      </c>
      <c r="Q182" s="22">
        <f t="shared" si="664"/>
        <v>5.249343832020914E-3</v>
      </c>
      <c r="R182" s="22">
        <f t="shared" si="664"/>
        <v>8.5872576177285387E-2</v>
      </c>
      <c r="S182" s="22">
        <f t="shared" si="664"/>
        <v>7.3369565217391353E-2</v>
      </c>
      <c r="T182" s="197">
        <f t="shared" si="664"/>
        <v>2.4937655860349128E-2</v>
      </c>
      <c r="U182" s="21">
        <f t="shared" si="664"/>
        <v>4.6326935804103186E-2</v>
      </c>
      <c r="V182" s="22">
        <f t="shared" si="664"/>
        <v>6.0052219321149014E-2</v>
      </c>
      <c r="W182" s="22">
        <f t="shared" si="664"/>
        <v>3.0612244897959107E-2</v>
      </c>
      <c r="X182" s="22">
        <f t="shared" si="664"/>
        <v>2.5316455696202667E-3</v>
      </c>
      <c r="Y182" s="197">
        <f t="shared" si="664"/>
        <v>-2.1897810218977853E-2</v>
      </c>
      <c r="Z182" s="21">
        <f t="shared" si="664"/>
        <v>1.7077798861480087E-2</v>
      </c>
      <c r="AA182" s="22">
        <f t="shared" si="664"/>
        <v>1.2315270935960632E-2</v>
      </c>
      <c r="AB182" s="22">
        <f t="shared" si="664"/>
        <v>-1.2376237623762387E-2</v>
      </c>
      <c r="AC182" s="22">
        <f t="shared" si="664"/>
        <v>-4.2929292929293039E-2</v>
      </c>
      <c r="AD182" s="197">
        <f t="shared" si="664"/>
        <v>-4.7263681592039974E-2</v>
      </c>
      <c r="AE182" s="21">
        <f t="shared" si="664"/>
        <v>-2.2388059701492713E-2</v>
      </c>
      <c r="AF182" s="22">
        <f t="shared" si="664"/>
        <v>-0.1046228710462288</v>
      </c>
      <c r="AG182" s="22">
        <f t="shared" si="664"/>
        <v>-8.2706766917293173E-2</v>
      </c>
      <c r="AH182" s="22">
        <f t="shared" si="664"/>
        <v>-8.4432717678100122E-2</v>
      </c>
      <c r="AI182" s="197">
        <f t="shared" si="664"/>
        <v>-8.3550913838119967E-2</v>
      </c>
      <c r="AJ182" s="21">
        <f t="shared" si="664"/>
        <v>-8.9058524173027842E-2</v>
      </c>
      <c r="AK182" s="22">
        <f t="shared" si="664"/>
        <v>2.7173913043478271E-2</v>
      </c>
      <c r="AL182" s="22">
        <f t="shared" si="664"/>
        <v>4.3715846994535568E-2</v>
      </c>
      <c r="AM182" s="22">
        <f t="shared" ref="AM182:BR182" si="665">AM181/AH181-1</f>
        <v>0.10951008645533133</v>
      </c>
      <c r="AN182" s="197">
        <f t="shared" si="665"/>
        <v>0.23361823361823353</v>
      </c>
      <c r="AO182" s="21">
        <f t="shared" si="665"/>
        <v>0.10195530726256985</v>
      </c>
      <c r="AP182" s="22">
        <f t="shared" si="665"/>
        <v>0.2407407407407407</v>
      </c>
      <c r="AQ182" s="22">
        <f t="shared" si="665"/>
        <v>0.20157068062827221</v>
      </c>
      <c r="AR182" s="22">
        <f t="shared" si="665"/>
        <v>5.9740259740259649E-2</v>
      </c>
      <c r="AS182" s="197">
        <f t="shared" si="665"/>
        <v>-3.0023094688221619E-2</v>
      </c>
      <c r="AT182" s="21">
        <f t="shared" si="665"/>
        <v>0.11280101394169817</v>
      </c>
      <c r="AU182" s="22">
        <f t="shared" si="665"/>
        <v>6.6098081023454158E-2</v>
      </c>
      <c r="AV182" s="22">
        <f t="shared" si="665"/>
        <v>0.22004357298474941</v>
      </c>
      <c r="AW182" s="22">
        <f t="shared" si="665"/>
        <v>0.27450980392156876</v>
      </c>
      <c r="AX182" s="197">
        <f t="shared" si="665"/>
        <v>0.16666666666666674</v>
      </c>
      <c r="AY182" s="21">
        <f t="shared" si="665"/>
        <v>0.17881548974943051</v>
      </c>
      <c r="AZ182" s="22">
        <f t="shared" si="665"/>
        <v>6.0000000000000053E-2</v>
      </c>
      <c r="BA182" s="22">
        <f t="shared" si="665"/>
        <v>0.4285714285714286</v>
      </c>
      <c r="BB182" s="22">
        <f t="shared" si="665"/>
        <v>1.4807692307692308</v>
      </c>
      <c r="BC182" s="197">
        <f t="shared" si="665"/>
        <v>1.795918367346939</v>
      </c>
      <c r="BD182" s="21">
        <f t="shared" si="665"/>
        <v>0.92753623188405787</v>
      </c>
      <c r="BE182" s="22">
        <f t="shared" si="665"/>
        <v>1.358490566037736</v>
      </c>
      <c r="BF182" s="22">
        <f t="shared" si="665"/>
        <v>0.55000000000000004</v>
      </c>
      <c r="BG182" s="22">
        <f t="shared" si="665"/>
        <v>-5.4263565891472854E-2</v>
      </c>
      <c r="BH182" s="197">
        <f t="shared" si="665"/>
        <v>-0.15328467153284675</v>
      </c>
      <c r="BI182" s="21">
        <f t="shared" si="665"/>
        <v>0.22055137844611528</v>
      </c>
      <c r="BJ182" s="22">
        <f t="shared" si="665"/>
        <v>-8.7999999999999967E-2</v>
      </c>
      <c r="BK182" s="22">
        <f t="shared" si="665"/>
        <v>-7.2580645161290369E-2</v>
      </c>
      <c r="BL182" s="22">
        <f t="shared" si="665"/>
        <v>-0.10655737704918034</v>
      </c>
      <c r="BM182" s="197">
        <f t="shared" si="665"/>
        <v>-0.18103448275862066</v>
      </c>
      <c r="BN182" s="21">
        <f t="shared" si="665"/>
        <v>-0.11088295687885008</v>
      </c>
      <c r="BO182" s="22">
        <f t="shared" si="665"/>
        <v>-0.21052631578947367</v>
      </c>
      <c r="BP182" s="22">
        <f t="shared" si="665"/>
        <v>-0.15652173913043477</v>
      </c>
      <c r="BQ182" s="22">
        <f t="shared" si="665"/>
        <v>-0.11926605504587151</v>
      </c>
      <c r="BR182" s="197">
        <f t="shared" si="665"/>
        <v>-7.3684210526315796E-2</v>
      </c>
      <c r="BS182" s="21">
        <f t="shared" ref="BS182:CX182" si="666">BS181/BN181-1</f>
        <v>-0.14318706697459582</v>
      </c>
      <c r="BT182" s="22">
        <f t="shared" si="666"/>
        <v>2.2222222222222143E-2</v>
      </c>
      <c r="BU182" s="22">
        <f t="shared" si="666"/>
        <v>-1.0309278350515427E-2</v>
      </c>
      <c r="BV182" s="22">
        <f t="shared" si="666"/>
        <v>-0.22916666666666663</v>
      </c>
      <c r="BW182" s="197">
        <f t="shared" si="666"/>
        <v>-5.6818181818181768E-2</v>
      </c>
      <c r="BX182" s="21">
        <f t="shared" si="666"/>
        <v>-7.0080862533692723E-2</v>
      </c>
      <c r="BY182" s="22">
        <f t="shared" si="666"/>
        <v>-4.3478260869565188E-2</v>
      </c>
      <c r="BZ182" s="22">
        <f t="shared" si="666"/>
        <v>-5.208333333333337E-2</v>
      </c>
      <c r="CA182" s="22">
        <f t="shared" si="666"/>
        <v>0.32432432432432434</v>
      </c>
      <c r="CB182" s="197">
        <f t="shared" si="666"/>
        <v>0.20481927710843384</v>
      </c>
      <c r="CC182" s="21">
        <f t="shared" si="666"/>
        <v>9.2753623188405854E-2</v>
      </c>
      <c r="CD182" s="22">
        <f t="shared" si="666"/>
        <v>0.125</v>
      </c>
      <c r="CE182" s="22">
        <f t="shared" si="666"/>
        <v>0.15384615384615374</v>
      </c>
      <c r="CF182" s="22">
        <f t="shared" si="666"/>
        <v>3.0612244897959107E-2</v>
      </c>
      <c r="CG182" s="197">
        <f t="shared" si="666"/>
        <v>0</v>
      </c>
      <c r="CH182" s="21">
        <f t="shared" si="666"/>
        <v>7.4270557029177731E-2</v>
      </c>
      <c r="CI182" s="22">
        <f t="shared" si="666"/>
        <v>8.0808080808080884E-2</v>
      </c>
      <c r="CJ182" s="22">
        <f t="shared" si="666"/>
        <v>9.52380952380949E-3</v>
      </c>
      <c r="CK182" s="22">
        <f t="shared" si="666"/>
        <v>4.9504950495049549E-2</v>
      </c>
      <c r="CL182" s="197">
        <f t="shared" si="666"/>
        <v>-6.0000000000000053E-2</v>
      </c>
      <c r="CM182" s="21">
        <f t="shared" si="666"/>
        <v>1.9753086419753041E-2</v>
      </c>
      <c r="CN182" s="22">
        <f t="shared" si="666"/>
        <v>-0.11214953271028039</v>
      </c>
      <c r="CO182" s="22">
        <f t="shared" si="666"/>
        <v>-8.4905660377358472E-2</v>
      </c>
      <c r="CP182" s="22">
        <f t="shared" si="666"/>
        <v>-8.4905660377358472E-2</v>
      </c>
      <c r="CQ182" s="197">
        <f t="shared" si="666"/>
        <v>-4.2553191489361653E-2</v>
      </c>
      <c r="CR182" s="21">
        <f t="shared" si="666"/>
        <v>-8.2324455205811109E-2</v>
      </c>
      <c r="CS182" s="22">
        <f t="shared" si="666"/>
        <v>-3.157894736842104E-2</v>
      </c>
      <c r="CT182" s="22">
        <f t="shared" si="666"/>
        <v>-7.2164948453608213E-2</v>
      </c>
      <c r="CU182" s="22">
        <f t="shared" si="666"/>
        <v>-0.10309278350515461</v>
      </c>
      <c r="CV182" s="197">
        <f t="shared" si="666"/>
        <v>-2.2222222222222254E-2</v>
      </c>
      <c r="CW182" s="21">
        <f t="shared" si="666"/>
        <v>-5.8047493403693973E-2</v>
      </c>
      <c r="CX182" s="22">
        <f t="shared" si="666"/>
        <v>-6.5217391304347783E-2</v>
      </c>
      <c r="CY182" s="22">
        <f t="shared" ref="CY182:ED182" si="667">CY181/CT181-1</f>
        <v>-0.15555555555555556</v>
      </c>
      <c r="CZ182" s="22">
        <f t="shared" si="667"/>
        <v>-0.13793103448275867</v>
      </c>
      <c r="DA182" s="22">
        <f t="shared" si="667"/>
        <v>-0.10227272727272729</v>
      </c>
      <c r="DB182" s="21">
        <f t="shared" si="667"/>
        <v>-0.11484593837535018</v>
      </c>
      <c r="DC182" s="22">
        <f t="shared" si="667"/>
        <v>-6.9767441860465129E-2</v>
      </c>
      <c r="DD182" s="22">
        <f t="shared" si="667"/>
        <v>7.8947368421052655E-2</v>
      </c>
      <c r="DE182" s="22">
        <f t="shared" si="667"/>
        <v>0.10666666666666669</v>
      </c>
      <c r="DF182" s="22">
        <f t="shared" si="667"/>
        <v>2.5316455696202445E-2</v>
      </c>
      <c r="DG182" s="21">
        <f t="shared" si="667"/>
        <v>3.1645569620253111E-2</v>
      </c>
      <c r="DH182" s="22">
        <f t="shared" si="667"/>
        <v>8.7499999999999911E-2</v>
      </c>
      <c r="DI182" s="22">
        <f t="shared" si="667"/>
        <v>6.0975609756097615E-2</v>
      </c>
      <c r="DJ182" s="22">
        <f t="shared" si="667"/>
        <v>0</v>
      </c>
      <c r="DK182" s="22">
        <f t="shared" si="667"/>
        <v>0</v>
      </c>
      <c r="DL182" s="21">
        <f t="shared" si="667"/>
        <v>3.6809815950920255E-2</v>
      </c>
      <c r="DM182" s="22">
        <f t="shared" si="667"/>
        <v>-0.16091954022988508</v>
      </c>
      <c r="DN182" s="22">
        <f t="shared" si="667"/>
        <v>-0.17241379310344829</v>
      </c>
      <c r="DO182" s="22">
        <f t="shared" si="667"/>
        <v>-0.15662650602409633</v>
      </c>
      <c r="DP182" s="22">
        <f t="shared" si="667"/>
        <v>-0.16049382716049387</v>
      </c>
      <c r="DQ182" s="21">
        <f t="shared" si="667"/>
        <v>-0.16272189349112431</v>
      </c>
      <c r="DR182" s="22">
        <f t="shared" si="667"/>
        <v>-1.3698630136986356E-2</v>
      </c>
      <c r="DS182" s="22">
        <f t="shared" si="667"/>
        <v>-6.944444444444442E-2</v>
      </c>
      <c r="DT182" s="22">
        <f t="shared" si="667"/>
        <v>1.4285714285714235E-2</v>
      </c>
      <c r="DU182" s="22">
        <f t="shared" si="667"/>
        <v>-2.9411764705882359E-2</v>
      </c>
      <c r="DV182" s="21">
        <f t="shared" si="667"/>
        <v>-2.4734982332155431E-2</v>
      </c>
      <c r="DW182" s="22">
        <f t="shared" si="667"/>
        <v>-5.555555555555558E-2</v>
      </c>
      <c r="DX182" s="22">
        <f t="shared" si="667"/>
        <v>7.4626865671641784E-2</v>
      </c>
      <c r="DY182" s="22">
        <f t="shared" si="667"/>
        <v>4.2253521126760507E-2</v>
      </c>
      <c r="DZ182" s="22">
        <f t="shared" si="667"/>
        <v>0.19696969696969702</v>
      </c>
      <c r="EA182" s="21">
        <f t="shared" si="667"/>
        <v>6.1594202898550776E-2</v>
      </c>
      <c r="EB182" s="22">
        <f t="shared" si="667"/>
        <v>0.20588235294117641</v>
      </c>
      <c r="EC182" s="22">
        <f t="shared" si="667"/>
        <v>4.1666666666666741E-2</v>
      </c>
      <c r="ED182" s="22">
        <f t="shared" si="667"/>
        <v>9.4594594594594517E-2</v>
      </c>
      <c r="EE182" s="22">
        <f t="shared" ref="EE182:EN182" si="668">EE181/DZ181-1</f>
        <v>2.5316455696202445E-2</v>
      </c>
      <c r="EF182" s="21">
        <f t="shared" si="668"/>
        <v>8.8737201365187701E-2</v>
      </c>
      <c r="EG182" s="22">
        <f t="shared" si="668"/>
        <v>-3.6585365853658569E-2</v>
      </c>
      <c r="EH182" s="22">
        <f t="shared" si="668"/>
        <v>0</v>
      </c>
      <c r="EI182" s="22">
        <f t="shared" si="668"/>
        <v>-8.6419753086419804E-2</v>
      </c>
      <c r="EJ182" s="22">
        <f t="shared" si="668"/>
        <v>-3.703703703703709E-2</v>
      </c>
      <c r="EK182" s="21">
        <f t="shared" si="668"/>
        <v>-4.0752351097178674E-2</v>
      </c>
      <c r="EL182" s="22">
        <f t="shared" si="668"/>
        <v>-7.5949367088607556E-2</v>
      </c>
      <c r="EM182" s="22">
        <f t="shared" si="668"/>
        <v>-1.3333333333333308E-2</v>
      </c>
      <c r="EN182" s="22">
        <f t="shared" si="668"/>
        <v>-8.108108108108103E-2</v>
      </c>
      <c r="EO182" s="22">
        <f t="shared" ref="EO182" si="669">EO181/EJ181-1</f>
        <v>3.8461538461538547E-2</v>
      </c>
      <c r="EP182" s="21">
        <f t="shared" ref="EP182:EQ182" si="670">EP181/EK181-1</f>
        <v>-3.2679738562091498E-2</v>
      </c>
      <c r="EQ182" s="22">
        <f t="shared" si="670"/>
        <v>0.13698630136986312</v>
      </c>
      <c r="ER182" s="22">
        <f t="shared" ref="ER182" si="671">ER181/EM181-1</f>
        <v>9.7217667992463896E-2</v>
      </c>
      <c r="ES182" s="22">
        <f t="shared" ref="ES182:EU182" si="672">ES181/EN181-1</f>
        <v>0.10550142042509081</v>
      </c>
      <c r="ET182" s="22">
        <f t="shared" si="672"/>
        <v>-1.4128969923640322E-2</v>
      </c>
      <c r="EU182" s="270">
        <f t="shared" si="672"/>
        <v>7.8458640055856899E-2</v>
      </c>
      <c r="EV182" s="243"/>
      <c r="EW182" s="243"/>
      <c r="EX182" s="243"/>
      <c r="EY182" s="243"/>
      <c r="EZ182" s="844">
        <f>EZ181/EU181-1</f>
        <v>4.0383566701002627E-2</v>
      </c>
      <c r="FA182" s="243"/>
      <c r="FB182" s="243"/>
      <c r="FC182" s="243"/>
      <c r="FD182" s="243"/>
      <c r="FE182" s="844">
        <f>FE181/EZ181-1</f>
        <v>4.4171551338798576E-2</v>
      </c>
      <c r="FF182" s="791"/>
      <c r="FG182" s="618"/>
      <c r="FH182" s="1041"/>
      <c r="FI182" s="1041"/>
      <c r="FJ182" s="1041"/>
      <c r="FK182" s="1041"/>
      <c r="FL182" s="1806"/>
      <c r="FM182" s="22">
        <f t="shared" si="624"/>
        <v>0.13698630136986312</v>
      </c>
      <c r="FN182" s="22">
        <f t="shared" si="625"/>
        <v>-7.5949367088607556E-2</v>
      </c>
      <c r="FO182" s="2041">
        <v>0.13038909346907834</v>
      </c>
      <c r="FP182" s="1892">
        <f t="shared" ref="FP182:FQ184" si="673">IFERROR(($FM182-FN182)*10000,"")</f>
        <v>2129.3566845847067</v>
      </c>
      <c r="FQ182" s="1892">
        <f t="shared" si="673"/>
        <v>65.972079007847739</v>
      </c>
      <c r="FR182" s="587"/>
      <c r="FS182" s="1579" t="s">
        <v>726</v>
      </c>
      <c r="FT182" s="120"/>
      <c r="FU182" s="120"/>
      <c r="FV182" s="120"/>
      <c r="FW182" s="120"/>
      <c r="FX182" s="120"/>
      <c r="FY182" s="120"/>
      <c r="FZ182" s="120"/>
      <c r="GA182" s="618"/>
      <c r="GB182"/>
      <c r="GC182"/>
      <c r="GD182"/>
      <c r="GE182"/>
      <c r="GF182"/>
      <c r="GG182"/>
      <c r="GH182" s="973"/>
      <c r="GI182" s="973"/>
      <c r="GJ182" s="973"/>
      <c r="GK182" s="973"/>
      <c r="GL182" s="973"/>
      <c r="GM182" s="973"/>
      <c r="GN182" s="973"/>
      <c r="GO182" s="973"/>
      <c r="GP182" s="973"/>
      <c r="GQ182" s="973"/>
      <c r="GR182" s="973"/>
      <c r="GS182" s="973"/>
      <c r="GT182" s="973"/>
      <c r="GU182" s="973"/>
      <c r="GV182" s="973"/>
      <c r="GW182" s="973"/>
      <c r="GX182" s="973"/>
      <c r="GY182" s="973"/>
      <c r="GZ182" s="973"/>
      <c r="HA182" s="973"/>
      <c r="HB182" s="973"/>
      <c r="HC182" s="973"/>
      <c r="HD182" s="973"/>
      <c r="HE182" s="973"/>
      <c r="HF182" s="973"/>
      <c r="HG182" s="973"/>
      <c r="HH182" s="973"/>
      <c r="HI182" s="973"/>
      <c r="HJ182" s="973"/>
      <c r="HK182" s="973"/>
      <c r="HL182" s="973"/>
      <c r="HM182" s="973"/>
      <c r="HN182" s="973"/>
      <c r="HO182" s="973"/>
      <c r="HP182" s="973"/>
      <c r="HQ182" s="973"/>
      <c r="HR182" s="973"/>
      <c r="HS182" s="973"/>
      <c r="HT182" s="973"/>
      <c r="HU182" s="973"/>
      <c r="HV182" s="973"/>
      <c r="HW182" s="973"/>
      <c r="HX182" s="973"/>
      <c r="HY182" s="973"/>
      <c r="HZ182" s="973"/>
      <c r="IA182" s="973"/>
      <c r="IB182" s="973"/>
      <c r="IC182" s="973"/>
      <c r="ID182" s="973"/>
      <c r="IE182" s="973"/>
      <c r="IF182" s="973"/>
      <c r="IG182" s="973"/>
      <c r="IH182" s="973"/>
      <c r="II182" s="973"/>
      <c r="IJ182" s="973"/>
      <c r="IK182" s="973"/>
      <c r="IL182" s="973"/>
      <c r="IM182" s="973"/>
      <c r="IN182" s="973"/>
      <c r="IO182" s="973"/>
      <c r="IP182" s="973"/>
      <c r="IQ182" s="973"/>
      <c r="IR182" s="973"/>
      <c r="IS182" s="973"/>
      <c r="IT182" s="973"/>
      <c r="IU182" s="973"/>
      <c r="IV182" s="973"/>
    </row>
    <row r="183" spans="1:256" s="191" customFormat="1" ht="12.75" x14ac:dyDescent="0.2">
      <c r="A183" s="420" t="s">
        <v>471</v>
      </c>
      <c r="B183" s="27">
        <f t="shared" ref="B183:AG183" si="674">B181/B$214</f>
        <v>5.2841612770056418E-2</v>
      </c>
      <c r="C183" s="27">
        <f t="shared" si="674"/>
        <v>4.701502826416655E-2</v>
      </c>
      <c r="D183" s="27">
        <f t="shared" si="674"/>
        <v>3.9584503088152721E-2</v>
      </c>
      <c r="E183" s="213">
        <f t="shared" si="674"/>
        <v>5.2285714285714317E-2</v>
      </c>
      <c r="F183" s="28">
        <f t="shared" si="674"/>
        <v>4.793324954615278E-2</v>
      </c>
      <c r="G183" s="27">
        <f t="shared" si="674"/>
        <v>4.9308074701061397E-2</v>
      </c>
      <c r="H183" s="27">
        <f t="shared" si="674"/>
        <v>4.8129067245119311E-2</v>
      </c>
      <c r="I183" s="27">
        <f t="shared" si="674"/>
        <v>5.30876083069729E-2</v>
      </c>
      <c r="J183" s="213">
        <f t="shared" si="674"/>
        <v>5.1990696401696568E-2</v>
      </c>
      <c r="K183" s="28">
        <f t="shared" si="674"/>
        <v>5.0613966461444268E-2</v>
      </c>
      <c r="L183" s="27">
        <f t="shared" si="674"/>
        <v>5.2120383036935704E-2</v>
      </c>
      <c r="M183" s="27">
        <f t="shared" si="674"/>
        <v>5.1191151446398193E-2</v>
      </c>
      <c r="N183" s="27">
        <f t="shared" si="674"/>
        <v>5.1838287082687694E-2</v>
      </c>
      <c r="O183" s="213">
        <f t="shared" si="674"/>
        <v>5.5997765675185031E-2</v>
      </c>
      <c r="P183" s="28">
        <f t="shared" si="674"/>
        <v>5.2791558940675005E-2</v>
      </c>
      <c r="Q183" s="27">
        <f t="shared" si="674"/>
        <v>5.5717195228396854E-2</v>
      </c>
      <c r="R183" s="27">
        <f t="shared" si="674"/>
        <v>5.4878902421951557E-2</v>
      </c>
      <c r="S183" s="27">
        <f t="shared" si="674"/>
        <v>5.4716719767280778E-2</v>
      </c>
      <c r="T183" s="213">
        <f t="shared" si="674"/>
        <v>5.6510380860717718E-2</v>
      </c>
      <c r="U183" s="28">
        <f t="shared" si="674"/>
        <v>5.5456171735241505E-2</v>
      </c>
      <c r="V183" s="27">
        <f t="shared" si="674"/>
        <v>5.6147144240077454E-2</v>
      </c>
      <c r="W183" s="27">
        <f t="shared" si="674"/>
        <v>5.6749543475207193E-2</v>
      </c>
      <c r="X183" s="27">
        <f t="shared" si="674"/>
        <v>5.6114496244863254E-2</v>
      </c>
      <c r="Y183" s="213">
        <f t="shared" si="674"/>
        <v>5.7966834895457828E-2</v>
      </c>
      <c r="Z183" s="28">
        <f t="shared" si="674"/>
        <v>5.6735586761696433E-2</v>
      </c>
      <c r="AA183" s="27">
        <f t="shared" si="674"/>
        <v>5.7242339832869082E-2</v>
      </c>
      <c r="AB183" s="27">
        <f t="shared" si="674"/>
        <v>5.5019305019305013E-2</v>
      </c>
      <c r="AC183" s="27">
        <f t="shared" si="674"/>
        <v>5.3237814299761203E-2</v>
      </c>
      <c r="AD183" s="213">
        <f t="shared" si="674"/>
        <v>5.3216618035292478E-2</v>
      </c>
      <c r="AE183" s="28">
        <f t="shared" si="674"/>
        <v>5.4682064839293172E-2</v>
      </c>
      <c r="AF183" s="27">
        <f t="shared" si="674"/>
        <v>4.9119060331019745E-2</v>
      </c>
      <c r="AG183" s="27">
        <f t="shared" si="674"/>
        <v>5.0399339025061968E-2</v>
      </c>
      <c r="AH183" s="27">
        <f t="shared" ref="AH183:BM183" si="675">AH181/AH$214</f>
        <v>4.8308506195183072E-2</v>
      </c>
      <c r="AI183" s="213">
        <f t="shared" si="675"/>
        <v>4.9008656799776597E-2</v>
      </c>
      <c r="AJ183" s="28">
        <f t="shared" si="675"/>
        <v>4.921131310354309E-2</v>
      </c>
      <c r="AK183" s="27">
        <f t="shared" si="675"/>
        <v>5.0079491255961839E-2</v>
      </c>
      <c r="AL183" s="27">
        <f t="shared" si="675"/>
        <v>5.1761517615176153E-2</v>
      </c>
      <c r="AM183" s="27">
        <f t="shared" si="675"/>
        <v>5.3494511602056406E-2</v>
      </c>
      <c r="AN183" s="213">
        <f t="shared" si="675"/>
        <v>5.9740618101545254E-2</v>
      </c>
      <c r="AO183" s="28">
        <f t="shared" si="675"/>
        <v>5.3722806659176787E-2</v>
      </c>
      <c r="AP183" s="27">
        <f t="shared" si="675"/>
        <v>6.1347285807717464E-2</v>
      </c>
      <c r="AQ183" s="27">
        <f t="shared" si="675"/>
        <v>6.1495176848874601E-2</v>
      </c>
      <c r="AR183" s="27">
        <f t="shared" si="675"/>
        <v>5.4334798242109461E-2</v>
      </c>
      <c r="AS183" s="213">
        <f t="shared" si="675"/>
        <v>5.6149732620320858E-2</v>
      </c>
      <c r="AT183" s="28">
        <f t="shared" si="675"/>
        <v>5.8342747026380488E-2</v>
      </c>
      <c r="AU183" s="27">
        <f t="shared" si="675"/>
        <v>6.1319597743438793E-2</v>
      </c>
      <c r="AV183" s="27">
        <f t="shared" si="675"/>
        <v>7.124681933842239E-2</v>
      </c>
      <c r="AW183" s="27">
        <f t="shared" si="675"/>
        <v>6.5822784810126586E-2</v>
      </c>
      <c r="AX183" s="213">
        <f t="shared" si="675"/>
        <v>6.2982005141388173E-2</v>
      </c>
      <c r="AY183" s="28">
        <f t="shared" si="675"/>
        <v>6.5312046444121918E-2</v>
      </c>
      <c r="AZ183" s="27">
        <f t="shared" si="675"/>
        <v>6.683480453972257E-2</v>
      </c>
      <c r="BA183" s="27">
        <f t="shared" si="675"/>
        <v>8.0321285140562249E-2</v>
      </c>
      <c r="BB183" s="27">
        <f t="shared" si="675"/>
        <v>9.5273264401772528E-2</v>
      </c>
      <c r="BC183" s="213">
        <f t="shared" si="675"/>
        <v>0.10269865067466268</v>
      </c>
      <c r="BD183" s="28">
        <f t="shared" si="675"/>
        <v>8.9122180031270939E-2</v>
      </c>
      <c r="BE183" s="27">
        <f t="shared" si="675"/>
        <v>9.0645395213923133E-2</v>
      </c>
      <c r="BF183" s="27">
        <f t="shared" si="675"/>
        <v>9.4368340943683404E-2</v>
      </c>
      <c r="BG183" s="27">
        <f t="shared" si="675"/>
        <v>9.2145015105740177E-2</v>
      </c>
      <c r="BH183" s="213">
        <f t="shared" si="675"/>
        <v>8.6309523809523808E-2</v>
      </c>
      <c r="BI183" s="28">
        <f t="shared" si="675"/>
        <v>9.0841260958776343E-2</v>
      </c>
      <c r="BJ183" s="27">
        <f t="shared" si="675"/>
        <v>8.5393258426966295E-2</v>
      </c>
      <c r="BK183" s="27">
        <f t="shared" si="675"/>
        <v>8.7786259541984726E-2</v>
      </c>
      <c r="BL183" s="27">
        <f t="shared" si="675"/>
        <v>8.6302454473475856E-2</v>
      </c>
      <c r="BM183" s="213">
        <f t="shared" si="675"/>
        <v>7.5697211155378488E-2</v>
      </c>
      <c r="BN183" s="28">
        <f t="shared" ref="BN183:CS183" si="676">BN181/BN$214</f>
        <v>8.3865969397637033E-2</v>
      </c>
      <c r="BO183" s="27">
        <f t="shared" si="676"/>
        <v>7.1371927042030131E-2</v>
      </c>
      <c r="BP183" s="27">
        <f t="shared" si="676"/>
        <v>7.6317859952793082E-2</v>
      </c>
      <c r="BQ183" s="27">
        <f t="shared" si="676"/>
        <v>7.4592074592074592E-2</v>
      </c>
      <c r="BR183" s="213">
        <f t="shared" si="676"/>
        <v>6.8058778035576181E-2</v>
      </c>
      <c r="BS183" s="28">
        <f t="shared" si="676"/>
        <v>7.2574334898278567E-2</v>
      </c>
      <c r="BT183" s="27">
        <f t="shared" si="676"/>
        <v>6.9172932330827067E-2</v>
      </c>
      <c r="BU183" s="27">
        <f t="shared" si="676"/>
        <v>7.1910112359550568E-2</v>
      </c>
      <c r="BV183" s="27">
        <f t="shared" si="676"/>
        <v>5.7498057498057496E-2</v>
      </c>
      <c r="BW183" s="213">
        <f t="shared" si="676"/>
        <v>6.1710037174721191E-2</v>
      </c>
      <c r="BX183" s="28">
        <f t="shared" si="676"/>
        <v>6.5131206343213136E-2</v>
      </c>
      <c r="BY183" s="27">
        <f t="shared" si="676"/>
        <v>6.5330363771343727E-2</v>
      </c>
      <c r="BZ183" s="27">
        <f t="shared" si="676"/>
        <v>6.5561959654178673E-2</v>
      </c>
      <c r="CA183" s="27">
        <f t="shared" si="676"/>
        <v>7.060518731988473E-2</v>
      </c>
      <c r="CB183" s="213">
        <f t="shared" si="676"/>
        <v>6.7249495628782782E-2</v>
      </c>
      <c r="CC183" s="28">
        <f t="shared" si="676"/>
        <v>7.125307125307126E-2</v>
      </c>
      <c r="CD183" s="27">
        <f t="shared" si="676"/>
        <v>6.3543003851091143E-2</v>
      </c>
      <c r="CE183" s="27">
        <f t="shared" si="676"/>
        <v>6.8137573004542498E-2</v>
      </c>
      <c r="CF183" s="27">
        <f t="shared" si="676"/>
        <v>6.207744314689613E-2</v>
      </c>
      <c r="CG183" s="213">
        <f t="shared" si="676"/>
        <v>6.0132291040288638E-2</v>
      </c>
      <c r="CH183" s="28">
        <f t="shared" si="676"/>
        <v>6.3390201909532012E-2</v>
      </c>
      <c r="CI183" s="27">
        <f t="shared" si="676"/>
        <v>6.107305936073059E-2</v>
      </c>
      <c r="CJ183" s="27">
        <f t="shared" si="676"/>
        <v>6.1807580174927115E-2</v>
      </c>
      <c r="CK183" s="27">
        <f t="shared" si="676"/>
        <v>6.3170441001191902E-2</v>
      </c>
      <c r="CL183" s="213">
        <f t="shared" si="676"/>
        <v>5.5131964809384162E-2</v>
      </c>
      <c r="CM183" s="28">
        <f t="shared" si="676"/>
        <v>6.029197080291971E-2</v>
      </c>
      <c r="CN183" s="27">
        <f t="shared" si="676"/>
        <v>5.5264688772542175E-2</v>
      </c>
      <c r="CO183" s="27">
        <f t="shared" si="676"/>
        <v>5.7464454976303314E-2</v>
      </c>
      <c r="CP183" s="27">
        <f t="shared" si="676"/>
        <v>5.8014354066985643E-2</v>
      </c>
      <c r="CQ183" s="213">
        <f t="shared" si="676"/>
        <v>5.090497737556561E-2</v>
      </c>
      <c r="CR183" s="28">
        <f t="shared" si="676"/>
        <v>5.5352709215714911E-2</v>
      </c>
      <c r="CS183" s="27">
        <f t="shared" si="676"/>
        <v>4.8192771084337352E-2</v>
      </c>
      <c r="CT183" s="27">
        <f t="shared" ref="CT183:DY183" si="677">CT181/CT$214</f>
        <v>4.5778229908443539E-2</v>
      </c>
      <c r="CU183" s="27">
        <f t="shared" si="677"/>
        <v>4.3499999999999997E-2</v>
      </c>
      <c r="CV183" s="213">
        <f t="shared" si="677"/>
        <v>5.2101835405565421E-2</v>
      </c>
      <c r="CW183" s="28">
        <f t="shared" si="677"/>
        <v>4.719725013220518E-2</v>
      </c>
      <c r="CX183" s="421">
        <f t="shared" si="677"/>
        <v>5.5128205128205127E-2</v>
      </c>
      <c r="CY183" s="421">
        <f t="shared" si="677"/>
        <v>5.4715622750179986E-2</v>
      </c>
      <c r="CZ183" s="421">
        <f t="shared" si="677"/>
        <v>4.9966688874083946E-2</v>
      </c>
      <c r="DA183" s="27">
        <f t="shared" si="677"/>
        <v>5.073859987154785E-2</v>
      </c>
      <c r="DB183" s="28">
        <f t="shared" si="677"/>
        <v>5.2605293823872148E-2</v>
      </c>
      <c r="DC183" s="421">
        <f t="shared" si="677"/>
        <v>4.7534165181224004E-2</v>
      </c>
      <c r="DD183" s="421">
        <f t="shared" si="677"/>
        <v>4.8320565704183853E-2</v>
      </c>
      <c r="DE183" s="421">
        <f t="shared" si="677"/>
        <v>4.8538011695906436E-2</v>
      </c>
      <c r="DF183" s="27">
        <f t="shared" si="677"/>
        <v>4.6285714285714284E-2</v>
      </c>
      <c r="DG183" s="422">
        <f t="shared" si="677"/>
        <v>4.7660818713450293E-2</v>
      </c>
      <c r="DH183" s="421">
        <f t="shared" si="677"/>
        <v>4.4342507645259939E-2</v>
      </c>
      <c r="DI183" s="421">
        <f t="shared" si="677"/>
        <v>4.3696634856855848E-2</v>
      </c>
      <c r="DJ183" s="421">
        <f t="shared" si="677"/>
        <v>4.2542286007175807E-2</v>
      </c>
      <c r="DK183" s="27">
        <f t="shared" si="677"/>
        <v>4.0560841261892841E-2</v>
      </c>
      <c r="DL183" s="422">
        <f t="shared" si="677"/>
        <v>4.2779395013289458E-2</v>
      </c>
      <c r="DM183" s="421">
        <f t="shared" si="677"/>
        <v>3.5714285714285712E-2</v>
      </c>
      <c r="DN183" s="421">
        <f t="shared" si="677"/>
        <v>3.711340206185567E-2</v>
      </c>
      <c r="DO183" s="421">
        <f t="shared" si="677"/>
        <v>3.5677879714576963E-2</v>
      </c>
      <c r="DP183" s="27">
        <f t="shared" si="677"/>
        <v>3.4517766497461931E-2</v>
      </c>
      <c r="DQ183" s="422">
        <f t="shared" si="677"/>
        <v>3.5750378979282467E-2</v>
      </c>
      <c r="DR183" s="421">
        <f t="shared" si="677"/>
        <v>3.5173424523693209E-2</v>
      </c>
      <c r="DS183" s="421">
        <f t="shared" si="677"/>
        <v>3.4079348931841301E-2</v>
      </c>
      <c r="DT183" s="22">
        <f t="shared" si="677"/>
        <v>3.5949367088607596E-2</v>
      </c>
      <c r="DU183" s="27">
        <f t="shared" si="677"/>
        <v>3.3000000000000002E-2</v>
      </c>
      <c r="DV183" s="422">
        <f t="shared" si="677"/>
        <v>3.4551827741612418E-2</v>
      </c>
      <c r="DW183" s="421">
        <f t="shared" si="677"/>
        <v>3.3630069238377844E-2</v>
      </c>
      <c r="DX183" s="421">
        <f t="shared" si="677"/>
        <v>3.5590706870983688E-2</v>
      </c>
      <c r="DY183" s="22">
        <f t="shared" si="677"/>
        <v>3.6545014568620672E-2</v>
      </c>
      <c r="DZ183" s="27">
        <f t="shared" ref="DZ183:EU183" si="678">DZ181/DZ$214</f>
        <v>3.9919151086407277E-2</v>
      </c>
      <c r="EA183" s="422">
        <f t="shared" si="678"/>
        <v>3.6402489781212341E-2</v>
      </c>
      <c r="EB183" s="421">
        <f t="shared" si="678"/>
        <v>4.1815400305966345E-2</v>
      </c>
      <c r="EC183" s="421">
        <f t="shared" si="678"/>
        <v>3.9494470774091628E-2</v>
      </c>
      <c r="ED183" s="22">
        <f t="shared" si="678"/>
        <v>4.2834479111581177E-2</v>
      </c>
      <c r="EE183" s="27">
        <f t="shared" si="678"/>
        <v>4.3176972281449892E-2</v>
      </c>
      <c r="EF183" s="422">
        <f t="shared" si="678"/>
        <v>4.1825095057034217E-2</v>
      </c>
      <c r="EG183" s="421">
        <f t="shared" si="678"/>
        <v>4.6552740129640544E-2</v>
      </c>
      <c r="EH183" s="421">
        <f t="shared" si="678"/>
        <v>4.453681710213777E-2</v>
      </c>
      <c r="EI183" s="22">
        <f t="shared" si="678"/>
        <v>4.3427230046948359E-2</v>
      </c>
      <c r="EJ183" s="27">
        <f t="shared" si="678"/>
        <v>4.5112781954887216E-2</v>
      </c>
      <c r="EK183" s="422">
        <f t="shared" si="678"/>
        <v>4.4907543293219838E-2</v>
      </c>
      <c r="EL183" s="421">
        <f t="shared" si="678"/>
        <v>4.0154015401540157E-2</v>
      </c>
      <c r="EM183" s="421">
        <f t="shared" si="678"/>
        <v>4.1926345609065156E-2</v>
      </c>
      <c r="EN183" s="22">
        <f t="shared" si="678"/>
        <v>3.8309859154929578E-2</v>
      </c>
      <c r="EO183" s="27">
        <f t="shared" ref="EO183:EQ183" si="679">EO181/EO$214</f>
        <v>4.4456641053787049E-2</v>
      </c>
      <c r="EP183" s="422">
        <f t="shared" si="679"/>
        <v>4.1225626740947076E-2</v>
      </c>
      <c r="EQ183" s="421">
        <f t="shared" si="679"/>
        <v>4.4102019128586613E-2</v>
      </c>
      <c r="ER183" s="22">
        <f t="shared" si="678"/>
        <v>4.3324072210539806E-2</v>
      </c>
      <c r="ES183" s="22">
        <f t="shared" si="678"/>
        <v>3.8304101874553853E-2</v>
      </c>
      <c r="ET183" s="22">
        <f t="shared" si="678"/>
        <v>4.1009695723989568E-2</v>
      </c>
      <c r="EU183" s="1979">
        <f t="shared" si="678"/>
        <v>4.1642009746335543E-2</v>
      </c>
      <c r="EV183" s="265"/>
      <c r="EW183" s="265"/>
      <c r="EX183" s="265"/>
      <c r="EY183" s="265"/>
      <c r="EZ183" s="422">
        <f>EZ181/EZ$214</f>
        <v>4.1913617294516446E-2</v>
      </c>
      <c r="FA183" s="265"/>
      <c r="FB183" s="265"/>
      <c r="FC183" s="265"/>
      <c r="FD183" s="265"/>
      <c r="FE183" s="422">
        <f>FE181/FE$214</f>
        <v>4.2420431629690503E-2</v>
      </c>
      <c r="FF183" s="790"/>
      <c r="FG183" s="656"/>
      <c r="FH183" s="1041"/>
      <c r="FI183" s="1041"/>
      <c r="FJ183" s="1041"/>
      <c r="FK183" s="1041"/>
      <c r="FL183" s="1806"/>
      <c r="FM183" s="421">
        <f t="shared" si="624"/>
        <v>4.4102019128586613E-2</v>
      </c>
      <c r="FN183" s="421">
        <f t="shared" si="625"/>
        <v>4.0154015401540157E-2</v>
      </c>
      <c r="FO183" s="2041">
        <v>4.3783337760982234E-2</v>
      </c>
      <c r="FP183" s="1897">
        <f t="shared" si="673"/>
        <v>39.480037270464564</v>
      </c>
      <c r="FQ183" s="1897">
        <f t="shared" si="673"/>
        <v>3.1868136760437871</v>
      </c>
      <c r="FR183" s="587"/>
      <c r="FS183" s="2085" t="s">
        <v>829</v>
      </c>
      <c r="FT183" s="587"/>
      <c r="FU183" s="587"/>
      <c r="FV183" s="587"/>
      <c r="FW183" s="587"/>
      <c r="FX183" s="587"/>
      <c r="FY183" s="587"/>
      <c r="FZ183" s="587"/>
      <c r="GA183" s="656"/>
      <c r="GB183"/>
      <c r="GC183"/>
      <c r="GD183"/>
      <c r="GE183"/>
      <c r="GF183"/>
      <c r="GG183"/>
      <c r="GH183" s="978"/>
      <c r="GI183" s="978"/>
      <c r="GJ183" s="978"/>
      <c r="GK183" s="978"/>
      <c r="GL183" s="978"/>
      <c r="GM183" s="978"/>
      <c r="GN183" s="978"/>
      <c r="GO183" s="978"/>
      <c r="GP183" s="978"/>
      <c r="GQ183" s="978"/>
      <c r="GR183" s="978"/>
      <c r="GS183" s="978"/>
      <c r="GT183" s="978"/>
      <c r="GU183" s="978"/>
      <c r="GV183" s="978"/>
      <c r="GW183" s="978"/>
      <c r="GX183" s="978"/>
      <c r="GY183" s="978"/>
      <c r="GZ183" s="978"/>
      <c r="HA183" s="978"/>
      <c r="HB183" s="978"/>
      <c r="HC183" s="978"/>
      <c r="HD183" s="978"/>
      <c r="HE183" s="978"/>
      <c r="HF183" s="978"/>
      <c r="HG183" s="978"/>
      <c r="HH183" s="978"/>
      <c r="HI183" s="978"/>
      <c r="HJ183" s="978"/>
      <c r="HK183" s="978"/>
      <c r="HL183" s="978"/>
      <c r="HM183" s="978"/>
      <c r="HN183" s="978"/>
      <c r="HO183" s="978"/>
      <c r="HP183" s="978"/>
      <c r="HQ183" s="978"/>
      <c r="HR183" s="978"/>
      <c r="HS183" s="978"/>
      <c r="HT183" s="978"/>
      <c r="HU183" s="978"/>
      <c r="HV183" s="978"/>
      <c r="HW183" s="978"/>
      <c r="HX183" s="978"/>
      <c r="HY183" s="978"/>
      <c r="HZ183" s="978"/>
      <c r="IA183" s="978"/>
      <c r="IB183" s="978"/>
      <c r="IC183" s="978"/>
      <c r="ID183" s="978"/>
      <c r="IE183" s="978"/>
      <c r="IF183" s="978"/>
      <c r="IG183" s="978"/>
      <c r="IH183" s="978"/>
      <c r="II183" s="978"/>
      <c r="IJ183" s="978"/>
      <c r="IK183" s="978"/>
      <c r="IL183" s="978"/>
      <c r="IM183" s="978"/>
      <c r="IN183" s="978"/>
      <c r="IO183" s="978"/>
      <c r="IP183" s="978"/>
      <c r="IQ183" s="978"/>
      <c r="IR183" s="978"/>
      <c r="IS183" s="978"/>
      <c r="IT183" s="978"/>
      <c r="IU183" s="978"/>
      <c r="IV183" s="978"/>
    </row>
    <row r="184" spans="1:256" s="244" customFormat="1" ht="12.75" x14ac:dyDescent="0.2">
      <c r="A184" s="242" t="s">
        <v>484</v>
      </c>
      <c r="B184" s="22"/>
      <c r="C184" s="22"/>
      <c r="D184" s="22"/>
      <c r="E184" s="197"/>
      <c r="F184" s="21"/>
      <c r="G184" s="22"/>
      <c r="H184" s="22"/>
      <c r="I184" s="22"/>
      <c r="J184" s="197"/>
      <c r="K184" s="21"/>
      <c r="L184" s="22">
        <f>L181/P181</f>
        <v>0.2521508934480477</v>
      </c>
      <c r="M184" s="22">
        <f>M181/P181</f>
        <v>0.23891462607544675</v>
      </c>
      <c r="N184" s="22">
        <f>N181/P181</f>
        <v>0.24354731965585705</v>
      </c>
      <c r="O184" s="22">
        <f>O181/P181</f>
        <v>0.26538716082064856</v>
      </c>
      <c r="P184" s="21"/>
      <c r="Q184" s="22">
        <f>Q181/U181</f>
        <v>0.24225173940543959</v>
      </c>
      <c r="R184" s="22">
        <f>R181/U181</f>
        <v>0.24794433902593299</v>
      </c>
      <c r="S184" s="22">
        <f>S181/U181</f>
        <v>0.24984187223276408</v>
      </c>
      <c r="T184" s="22">
        <f>T181/U181</f>
        <v>0.25996204933586337</v>
      </c>
      <c r="U184" s="21"/>
      <c r="V184" s="22">
        <f>V181/Z181</f>
        <v>0.25248756218905472</v>
      </c>
      <c r="W184" s="22">
        <f>W181/Z181</f>
        <v>0.25124378109452733</v>
      </c>
      <c r="X184" s="22">
        <f>X181/Z181</f>
        <v>0.2462686567164179</v>
      </c>
      <c r="Y184" s="22">
        <f>Y181/Z181</f>
        <v>0.25</v>
      </c>
      <c r="Z184" s="21"/>
      <c r="AA184" s="22">
        <f>AA181/AE181</f>
        <v>0.26145038167938933</v>
      </c>
      <c r="AB184" s="22">
        <f>AB181/AE181</f>
        <v>0.25381679389312978</v>
      </c>
      <c r="AC184" s="22">
        <f>AC181/AE181</f>
        <v>0.2410941475826972</v>
      </c>
      <c r="AD184" s="22">
        <f>AD181/AE181</f>
        <v>0.24363867684478371</v>
      </c>
      <c r="AE184" s="21"/>
      <c r="AF184" s="22">
        <f>AF181/AJ181</f>
        <v>0.25698324022346364</v>
      </c>
      <c r="AG184" s="22">
        <f>AG181/AJ181</f>
        <v>0.25558659217877094</v>
      </c>
      <c r="AH184" s="22">
        <f>AH181/AJ181</f>
        <v>0.24231843575418993</v>
      </c>
      <c r="AI184" s="22">
        <f>AI181/AJ181</f>
        <v>0.2451117318435754</v>
      </c>
      <c r="AJ184" s="21"/>
      <c r="AK184" s="22">
        <f>AK181/AO181</f>
        <v>0.23954372623574141</v>
      </c>
      <c r="AL184" s="22">
        <f>AL181/AO181</f>
        <v>0.24207858048162231</v>
      </c>
      <c r="AM184" s="22">
        <f>AM181/AO181</f>
        <v>0.24397972116603295</v>
      </c>
      <c r="AN184" s="22">
        <f>AN181/AO181</f>
        <v>0.27439797211660327</v>
      </c>
      <c r="AO184" s="21"/>
      <c r="AP184" s="22">
        <f>AP181/AT181</f>
        <v>0.26708428246013666</v>
      </c>
      <c r="AQ184" s="22">
        <f>AQ181/AT181</f>
        <v>0.2613895216400911</v>
      </c>
      <c r="AR184" s="22">
        <f>AR181/AT181</f>
        <v>0.23234624145785876</v>
      </c>
      <c r="AS184" s="22">
        <f>AS181/AT181</f>
        <v>0.23917995444191345</v>
      </c>
      <c r="AT184" s="21"/>
      <c r="AU184" s="22">
        <f>AU181/AY181</f>
        <v>0.24154589371980675</v>
      </c>
      <c r="AV184" s="22">
        <f>AV181/AY181</f>
        <v>0.27053140096618356</v>
      </c>
      <c r="AW184" s="22">
        <f>AW181/AY181</f>
        <v>0.25120772946859904</v>
      </c>
      <c r="AX184" s="22">
        <f>AX181/AY181</f>
        <v>0.23671497584541062</v>
      </c>
      <c r="AY184" s="21"/>
      <c r="AZ184" s="22">
        <f>AZ181/BD181</f>
        <v>0.13283208020050125</v>
      </c>
      <c r="BA184" s="22">
        <f>BA181/BD181</f>
        <v>0.20050125313283207</v>
      </c>
      <c r="BB184" s="22">
        <f>BB181/BD181</f>
        <v>0.32330827067669171</v>
      </c>
      <c r="BC184" s="22">
        <f>BC181/BD181</f>
        <v>0.34335839598997492</v>
      </c>
      <c r="BD184" s="21"/>
      <c r="BE184" s="22">
        <f>BE181/BI181</f>
        <v>0.25667351129363447</v>
      </c>
      <c r="BF184" s="22">
        <f>BF181/BI181</f>
        <v>0.25462012320328542</v>
      </c>
      <c r="BG184" s="22">
        <f>BG181/BI181</f>
        <v>0.25051334702258726</v>
      </c>
      <c r="BH184" s="22">
        <f>BH181/BI181</f>
        <v>0.23819301848049282</v>
      </c>
      <c r="BI184" s="21"/>
      <c r="BJ184" s="22">
        <f>BJ181/BN181</f>
        <v>0.26327944572748269</v>
      </c>
      <c r="BK184" s="22">
        <f>BK181/BN181</f>
        <v>0.26558891454965355</v>
      </c>
      <c r="BL184" s="22">
        <f>BL181/BN181</f>
        <v>0.25173210161662818</v>
      </c>
      <c r="BM184" s="22">
        <f>BM181/BN181</f>
        <v>0.21939953810623555</v>
      </c>
      <c r="BN184" s="21"/>
      <c r="BO184" s="22">
        <f>BO181/BS181</f>
        <v>0.24258760107816713</v>
      </c>
      <c r="BP184" s="22">
        <f>BP181/BS181</f>
        <v>0.26145552560646901</v>
      </c>
      <c r="BQ184" s="22">
        <f>BQ181/BS181</f>
        <v>0.2587601078167116</v>
      </c>
      <c r="BR184" s="22">
        <f>BR181/BS181</f>
        <v>0.23719676549865229</v>
      </c>
      <c r="BS184" s="21"/>
      <c r="BT184" s="22">
        <f>BT181/BX181</f>
        <v>0.26666666666666666</v>
      </c>
      <c r="BU184" s="22">
        <f>BU181/BX181</f>
        <v>0.27826086956521739</v>
      </c>
      <c r="BV184" s="22">
        <f>BV181/BX181</f>
        <v>0.2144927536231884</v>
      </c>
      <c r="BW184" s="22">
        <f>BW181/BX181</f>
        <v>0.24057971014492754</v>
      </c>
      <c r="BX184" s="21"/>
      <c r="BY184" s="22">
        <f>BY181/CC181</f>
        <v>0.23342175066312998</v>
      </c>
      <c r="BZ184" s="22">
        <f>BZ181/CC181</f>
        <v>0.2413793103448276</v>
      </c>
      <c r="CA184" s="22">
        <f>CA181/CC181</f>
        <v>0.259946949602122</v>
      </c>
      <c r="CB184" s="22">
        <f>CB181/CC181</f>
        <v>0.26525198938992045</v>
      </c>
      <c r="CC184" s="21"/>
      <c r="CD184" s="22">
        <f>CD181/CH181</f>
        <v>0.24444444444444444</v>
      </c>
      <c r="CE184" s="22">
        <f>CE181/CH181</f>
        <v>0.25925925925925924</v>
      </c>
      <c r="CF184" s="22">
        <f>CF181/CH181</f>
        <v>0.24938271604938272</v>
      </c>
      <c r="CG184" s="22">
        <f>CG181/CH181</f>
        <v>0.24691358024691357</v>
      </c>
      <c r="CH184" s="21"/>
      <c r="CI184" s="22">
        <f>CI181/CM181</f>
        <v>0.25907990314769974</v>
      </c>
      <c r="CJ184" s="22">
        <f>CJ181/CM181</f>
        <v>0.2566585956416465</v>
      </c>
      <c r="CK184" s="22">
        <f>CK181/CM181</f>
        <v>0.2566585956416465</v>
      </c>
      <c r="CL184" s="22">
        <f>CL181/CM181</f>
        <v>0.22760290556900725</v>
      </c>
      <c r="CM184" s="21"/>
      <c r="CN184" s="22">
        <f>CN181/CR181</f>
        <v>0.25065963060686014</v>
      </c>
      <c r="CO184" s="22">
        <f>CO181/CR181</f>
        <v>0.25593667546174143</v>
      </c>
      <c r="CP184" s="22">
        <f>CP181/CR181</f>
        <v>0.25593667546174143</v>
      </c>
      <c r="CQ184" s="22">
        <f>CQ181/CR181</f>
        <v>0.23746701846965698</v>
      </c>
      <c r="CR184" s="21"/>
      <c r="CS184" s="22">
        <f>CS181/CW181</f>
        <v>0.25770308123249297</v>
      </c>
      <c r="CT184" s="22">
        <f>CT181/CW181</f>
        <v>0.25210084033613445</v>
      </c>
      <c r="CU184" s="22">
        <f>CU181/CW181</f>
        <v>0.24369747899159663</v>
      </c>
      <c r="CV184" s="22">
        <f>CV181/CW181</f>
        <v>0.24649859943977592</v>
      </c>
      <c r="CW184" s="21"/>
      <c r="CX184" s="22">
        <f>CX181/DB181</f>
        <v>0.27215189873417722</v>
      </c>
      <c r="CY184" s="22">
        <f>CY181/DB181</f>
        <v>0.24050632911392406</v>
      </c>
      <c r="CZ184" s="22">
        <f>CZ181/DB181</f>
        <v>0.23734177215189872</v>
      </c>
      <c r="DA184" s="22">
        <f>DA181/DB181</f>
        <v>0.25</v>
      </c>
      <c r="DB184" s="21"/>
      <c r="DC184" s="22">
        <f>DC181/DG181</f>
        <v>0.24539877300613497</v>
      </c>
      <c r="DD184" s="22">
        <f>DD181/DG181</f>
        <v>0.25153374233128833</v>
      </c>
      <c r="DE184" s="22">
        <f>DE181/DG181</f>
        <v>0.254601226993865</v>
      </c>
      <c r="DF184" s="22">
        <f>DF181/DG181</f>
        <v>0.24846625766871167</v>
      </c>
      <c r="DG184" s="21"/>
      <c r="DH184" s="22">
        <f>DH181/DL181</f>
        <v>0.25739644970414199</v>
      </c>
      <c r="DI184" s="22">
        <f>DI181/DL181</f>
        <v>0.25739644970414199</v>
      </c>
      <c r="DJ184" s="22">
        <f>DJ181/DL181</f>
        <v>0.2455621301775148</v>
      </c>
      <c r="DK184" s="22">
        <f>DK181/DL181</f>
        <v>0.23964497041420119</v>
      </c>
      <c r="DL184" s="21"/>
      <c r="DM184" s="22">
        <f>DM181/DQ181</f>
        <v>0.25795053003533569</v>
      </c>
      <c r="DN184" s="22">
        <f>DN181/DQ181</f>
        <v>0.25441696113074203</v>
      </c>
      <c r="DO184" s="22">
        <f>DO181/DQ181</f>
        <v>0.24734982332155478</v>
      </c>
      <c r="DP184" s="22">
        <f>DP181/DQ181</f>
        <v>0.24028268551236748</v>
      </c>
      <c r="DQ184" s="21"/>
      <c r="DR184" s="22">
        <f>DR181/DV181</f>
        <v>0.2608695652173913</v>
      </c>
      <c r="DS184" s="22">
        <f>DS181/DV181</f>
        <v>0.24275362318840579</v>
      </c>
      <c r="DT184" s="22">
        <f>DT181/DV181</f>
        <v>0.25724637681159418</v>
      </c>
      <c r="DU184" s="22">
        <f>DU181/DV181</f>
        <v>0.2391304347826087</v>
      </c>
      <c r="DV184" s="21"/>
      <c r="DW184" s="22">
        <f>DW181/EA181</f>
        <v>0.23208191126279865</v>
      </c>
      <c r="DX184" s="22">
        <f>DX181/EA181</f>
        <v>0.24573378839590443</v>
      </c>
      <c r="DY184" s="22">
        <f>DY181/EA181</f>
        <v>0.25255972696245732</v>
      </c>
      <c r="DZ184" s="22">
        <f>DZ181/EA181</f>
        <v>0.2696245733788396</v>
      </c>
      <c r="EA184" s="21"/>
      <c r="EB184" s="22">
        <f>EB181/EF181</f>
        <v>0.25705329153605017</v>
      </c>
      <c r="EC184" s="22">
        <f>EC181/EF181</f>
        <v>0.23510971786833856</v>
      </c>
      <c r="ED184" s="22">
        <f>ED181/EF181</f>
        <v>0.25391849529780564</v>
      </c>
      <c r="EE184" s="22">
        <f>EE181/EF181</f>
        <v>0.25391849529780564</v>
      </c>
      <c r="EF184" s="21"/>
      <c r="EG184" s="22">
        <f>EG181/EK181</f>
        <v>0.2581699346405229</v>
      </c>
      <c r="EH184" s="22">
        <f>EH181/EK181</f>
        <v>0.24509803921568626</v>
      </c>
      <c r="EI184" s="22">
        <f>EI181/EK181</f>
        <v>0.24183006535947713</v>
      </c>
      <c r="EJ184" s="22">
        <f>EJ181/EK181</f>
        <v>0.25490196078431371</v>
      </c>
      <c r="EK184" s="21"/>
      <c r="EL184" s="22">
        <f>EL181/EP181</f>
        <v>0.24662162162162163</v>
      </c>
      <c r="EM184" s="22">
        <f>EM181/EP181</f>
        <v>0.25</v>
      </c>
      <c r="EN184" s="22">
        <f>EN181/EP181</f>
        <v>0.22972972972972974</v>
      </c>
      <c r="EO184" s="22">
        <f>EO181/EP181</f>
        <v>0.27364864864864863</v>
      </c>
      <c r="EP184" s="21"/>
      <c r="EQ184" s="22">
        <f>EQ181/EU181</f>
        <v>0.26000571091987568</v>
      </c>
      <c r="ER184" s="22">
        <f t="shared" ref="ER184:ET184" si="680">ER181/$EU181</f>
        <v>0.2543485737977943</v>
      </c>
      <c r="ES184" s="22">
        <f t="shared" si="680"/>
        <v>0.23549029429346932</v>
      </c>
      <c r="ET184" s="22">
        <f t="shared" si="680"/>
        <v>0.25015542098886073</v>
      </c>
      <c r="EU184" s="270"/>
      <c r="EV184" s="243"/>
      <c r="EW184" s="243"/>
      <c r="EX184" s="243"/>
      <c r="EY184" s="243"/>
      <c r="EZ184" s="844"/>
      <c r="FA184" s="243"/>
      <c r="FB184" s="243"/>
      <c r="FC184" s="243"/>
      <c r="FD184" s="243"/>
      <c r="FE184" s="844"/>
      <c r="FF184" s="791"/>
      <c r="FG184" s="618"/>
      <c r="FH184" s="1073"/>
      <c r="FI184" s="1073"/>
      <c r="FJ184" s="1073"/>
      <c r="FK184" s="1073"/>
      <c r="FL184" s="1806"/>
      <c r="FM184" s="22">
        <f t="shared" si="624"/>
        <v>0.26000571091987568</v>
      </c>
      <c r="FN184" s="22">
        <f t="shared" si="625"/>
        <v>0.24662162162162163</v>
      </c>
      <c r="FO184" s="2041">
        <v>0.2633206178088166</v>
      </c>
      <c r="FP184" s="1892">
        <f t="shared" si="673"/>
        <v>133.84089298254048</v>
      </c>
      <c r="FQ184" s="1892">
        <f t="shared" si="673"/>
        <v>-33.149068889409271</v>
      </c>
      <c r="FR184" s="587"/>
      <c r="FS184" s="120"/>
      <c r="FT184" s="120"/>
      <c r="FU184" s="120"/>
      <c r="FV184" s="120"/>
      <c r="FW184" s="120"/>
      <c r="FX184" s="120"/>
      <c r="FY184" s="120"/>
      <c r="FZ184" s="120"/>
      <c r="GA184" s="618"/>
      <c r="GB184"/>
      <c r="GC184"/>
      <c r="GD184"/>
      <c r="GE184"/>
      <c r="GF184"/>
      <c r="GG184"/>
      <c r="GH184" s="973"/>
      <c r="GI184" s="973"/>
      <c r="GJ184" s="973"/>
      <c r="GK184" s="973"/>
      <c r="GL184" s="973"/>
      <c r="GM184" s="973"/>
      <c r="GN184" s="973"/>
      <c r="GO184" s="973"/>
      <c r="GP184" s="973"/>
      <c r="GQ184" s="973"/>
      <c r="GR184" s="973"/>
      <c r="GS184" s="973"/>
      <c r="GT184" s="973"/>
      <c r="GU184" s="973"/>
      <c r="GV184" s="973"/>
      <c r="GW184" s="973"/>
      <c r="GX184" s="973"/>
      <c r="GY184" s="973"/>
      <c r="GZ184" s="973"/>
      <c r="HA184" s="973"/>
      <c r="HB184" s="973"/>
      <c r="HC184" s="973"/>
      <c r="HD184" s="973"/>
      <c r="HE184" s="973"/>
      <c r="HF184" s="973"/>
      <c r="HG184" s="973"/>
      <c r="HH184" s="973"/>
      <c r="HI184" s="973"/>
      <c r="HJ184" s="973"/>
      <c r="HK184" s="973"/>
      <c r="HL184" s="973"/>
      <c r="HM184" s="973"/>
      <c r="HN184" s="973"/>
      <c r="HO184" s="973"/>
      <c r="HP184" s="973"/>
      <c r="HQ184" s="973"/>
      <c r="HR184" s="973"/>
      <c r="HS184" s="973"/>
      <c r="HT184" s="973"/>
      <c r="HU184" s="973"/>
      <c r="HV184" s="973"/>
      <c r="HW184" s="973"/>
      <c r="HX184" s="973"/>
      <c r="HY184" s="973"/>
      <c r="HZ184" s="973"/>
      <c r="IA184" s="973"/>
      <c r="IB184" s="973"/>
      <c r="IC184" s="973"/>
      <c r="ID184" s="973"/>
      <c r="IE184" s="973"/>
      <c r="IF184" s="973"/>
      <c r="IG184" s="973"/>
      <c r="IH184" s="973"/>
      <c r="II184" s="973"/>
      <c r="IJ184" s="973"/>
      <c r="IK184" s="973"/>
      <c r="IL184" s="973"/>
      <c r="IM184" s="973"/>
      <c r="IN184" s="973"/>
      <c r="IO184" s="973"/>
      <c r="IP184" s="973"/>
      <c r="IQ184" s="973"/>
      <c r="IR184" s="973"/>
      <c r="IS184" s="973"/>
      <c r="IT184" s="973"/>
      <c r="IU184" s="973"/>
      <c r="IV184" s="973"/>
    </row>
    <row r="185" spans="1:256" s="49" customFormat="1" ht="12.75" x14ac:dyDescent="0.2">
      <c r="A185" s="35" t="str">
        <f>A181&amp;" per Carload"</f>
        <v>Equipment Rents per Carload</v>
      </c>
      <c r="B185" s="20"/>
      <c r="C185" s="20"/>
      <c r="D185" s="20"/>
      <c r="E185" s="205"/>
      <c r="F185" s="48"/>
      <c r="G185" s="20"/>
      <c r="H185" s="20"/>
      <c r="I185" s="20"/>
      <c r="J185" s="205"/>
      <c r="K185" s="48"/>
      <c r="L185" s="20">
        <f t="shared" ref="L185:AQ185" si="681">L181/L$13*1000</f>
        <v>40.079949505575435</v>
      </c>
      <c r="M185" s="20">
        <f t="shared" si="681"/>
        <v>38.052071255402133</v>
      </c>
      <c r="N185" s="20">
        <f t="shared" si="681"/>
        <v>37.413582757218379</v>
      </c>
      <c r="O185" s="205">
        <f t="shared" si="681"/>
        <v>41.78824510212587</v>
      </c>
      <c r="P185" s="48">
        <f t="shared" si="681"/>
        <v>39.323357189329862</v>
      </c>
      <c r="Q185" s="20">
        <f t="shared" si="681"/>
        <v>39.57020353342287</v>
      </c>
      <c r="R185" s="20">
        <f t="shared" si="681"/>
        <v>40.061318344404711</v>
      </c>
      <c r="S185" s="20">
        <f t="shared" si="681"/>
        <v>39.710465466974973</v>
      </c>
      <c r="T185" s="205">
        <f t="shared" si="681"/>
        <v>40.584575886244686</v>
      </c>
      <c r="U185" s="48">
        <f t="shared" si="681"/>
        <v>39.986848095503056</v>
      </c>
      <c r="V185" s="20">
        <f t="shared" si="681"/>
        <v>41.778143650956991</v>
      </c>
      <c r="W185" s="20">
        <f t="shared" si="681"/>
        <v>39.265234716687729</v>
      </c>
      <c r="X185" s="20">
        <f t="shared" si="681"/>
        <v>39.786998894805585</v>
      </c>
      <c r="Y185" s="205">
        <f t="shared" si="681"/>
        <v>38.961038961038966</v>
      </c>
      <c r="Z185" s="48">
        <f t="shared" si="681"/>
        <v>39.922538358409057</v>
      </c>
      <c r="AA185" s="20">
        <f t="shared" si="681"/>
        <v>40.516561514195587</v>
      </c>
      <c r="AB185" s="20">
        <f t="shared" si="681"/>
        <v>36.243073848669276</v>
      </c>
      <c r="AC185" s="20">
        <f t="shared" si="681"/>
        <v>35.154438363788145</v>
      </c>
      <c r="AD185" s="205">
        <f t="shared" si="681"/>
        <v>34.380610412926387</v>
      </c>
      <c r="AE185" s="48">
        <f t="shared" si="681"/>
        <v>36.49533361192367</v>
      </c>
      <c r="AF185" s="20">
        <f t="shared" si="681"/>
        <v>33.099478323439463</v>
      </c>
      <c r="AG185" s="20">
        <f t="shared" si="681"/>
        <v>32.597078731742073</v>
      </c>
      <c r="AH185" s="20">
        <f t="shared" si="681"/>
        <v>31.528257314192267</v>
      </c>
      <c r="AI185" s="205">
        <f t="shared" si="681"/>
        <v>31.525058379737736</v>
      </c>
      <c r="AJ185" s="48">
        <f t="shared" si="681"/>
        <v>32.189902441217463</v>
      </c>
      <c r="AK185" s="20">
        <f t="shared" si="681"/>
        <v>34.214337436640115</v>
      </c>
      <c r="AL185" s="20">
        <f t="shared" si="681"/>
        <v>33.455946750744438</v>
      </c>
      <c r="AM185" s="20">
        <f t="shared" si="681"/>
        <v>33.592182183055584</v>
      </c>
      <c r="AN185" s="205">
        <f t="shared" si="681"/>
        <v>37.321151525599035</v>
      </c>
      <c r="AO185" s="48">
        <f t="shared" si="681"/>
        <v>34.65922818423423</v>
      </c>
      <c r="AP185" s="20">
        <f t="shared" si="681"/>
        <v>40.588489831241887</v>
      </c>
      <c r="AQ185" s="20">
        <f t="shared" si="681"/>
        <v>38.192710933599592</v>
      </c>
      <c r="AR185" s="20">
        <f t="shared" ref="AR185:BW185" si="682">AR181/AR$13*1000</f>
        <v>34.18516966904064</v>
      </c>
      <c r="AS185" s="205">
        <f t="shared" si="682"/>
        <v>34.771090322046526</v>
      </c>
      <c r="AT185" s="48">
        <f t="shared" si="682"/>
        <v>36.900834261457952</v>
      </c>
      <c r="AU185" s="20">
        <f t="shared" si="682"/>
        <v>41.349652662917634</v>
      </c>
      <c r="AV185" s="20">
        <f t="shared" si="682"/>
        <v>45.498862528436781</v>
      </c>
      <c r="AW185" s="20">
        <f t="shared" si="682"/>
        <v>43.97463002114165</v>
      </c>
      <c r="AX185" s="205">
        <f t="shared" si="682"/>
        <v>41.497289972899736</v>
      </c>
      <c r="AY185" s="48">
        <f t="shared" si="682"/>
        <v>43.095371931796883</v>
      </c>
      <c r="AZ185" s="20">
        <f t="shared" si="682"/>
        <v>45.740916544403213</v>
      </c>
      <c r="BA185" s="20">
        <f t="shared" si="682"/>
        <v>58.419745874105459</v>
      </c>
      <c r="BB185" s="20">
        <f t="shared" si="682"/>
        <v>75.275719204061375</v>
      </c>
      <c r="BC185" s="205">
        <f t="shared" si="682"/>
        <v>79.69471688015544</v>
      </c>
      <c r="BD185" s="48">
        <f t="shared" si="682"/>
        <v>66.936650080693056</v>
      </c>
      <c r="BE185" s="20">
        <f t="shared" si="682"/>
        <v>74.515648286140092</v>
      </c>
      <c r="BF185" s="20">
        <f t="shared" si="682"/>
        <v>70.623077799293767</v>
      </c>
      <c r="BG185" s="20">
        <f t="shared" si="682"/>
        <v>70.430666204826238</v>
      </c>
      <c r="BH185" s="205">
        <f t="shared" si="682"/>
        <v>68.981921979067565</v>
      </c>
      <c r="BI185" s="48">
        <f t="shared" si="682"/>
        <v>71.125001825590388</v>
      </c>
      <c r="BJ185" s="20">
        <f t="shared" si="682"/>
        <v>68.940493468795353</v>
      </c>
      <c r="BK185" s="20">
        <f t="shared" si="682"/>
        <v>68.172387219159404</v>
      </c>
      <c r="BL185" s="20">
        <f t="shared" si="682"/>
        <v>67.138897443794264</v>
      </c>
      <c r="BM185" s="205">
        <f t="shared" si="682"/>
        <v>57.194874375973811</v>
      </c>
      <c r="BN185" s="48">
        <f t="shared" si="682"/>
        <v>65.358608951442633</v>
      </c>
      <c r="BO185" s="20">
        <f t="shared" si="682"/>
        <v>56.025896414342633</v>
      </c>
      <c r="BP185" s="20">
        <f t="shared" si="682"/>
        <v>56.510340809787358</v>
      </c>
      <c r="BQ185" s="20">
        <f t="shared" si="682"/>
        <v>55.305910819218802</v>
      </c>
      <c r="BR185" s="205">
        <f t="shared" si="682"/>
        <v>52.948255114320098</v>
      </c>
      <c r="BS185" s="48">
        <f t="shared" si="682"/>
        <v>55.202583064264132</v>
      </c>
      <c r="BT185" s="20">
        <f t="shared" si="682"/>
        <v>55.825242718446603</v>
      </c>
      <c r="BU185" s="20">
        <f t="shared" si="682"/>
        <v>55.305910819218795</v>
      </c>
      <c r="BV185" s="20">
        <f t="shared" si="682"/>
        <v>42.975782565770366</v>
      </c>
      <c r="BW185" s="205">
        <f t="shared" si="682"/>
        <v>47.279977214468815</v>
      </c>
      <c r="BX185" s="48">
        <f t="shared" ref="BX185:DC185" si="683">BX181/BX$13*1000</f>
        <v>50.28274937328748</v>
      </c>
      <c r="BY185" s="20">
        <f t="shared" si="683"/>
        <v>50.085372794536141</v>
      </c>
      <c r="BZ185" s="20">
        <f t="shared" si="683"/>
        <v>48.528156996587036</v>
      </c>
      <c r="CA185" s="20">
        <f t="shared" si="683"/>
        <v>51.45167217934582</v>
      </c>
      <c r="CB185" s="205">
        <f t="shared" si="683"/>
        <v>51.886058216157323</v>
      </c>
      <c r="CC185" s="48">
        <f t="shared" si="683"/>
        <v>50.507757026874955</v>
      </c>
      <c r="CD185" s="20">
        <f t="shared" si="683"/>
        <v>53.136788047550446</v>
      </c>
      <c r="CE185" s="20">
        <f t="shared" si="683"/>
        <v>53.904204527953176</v>
      </c>
      <c r="CF185" s="20">
        <f t="shared" si="683"/>
        <v>50.695176429252626</v>
      </c>
      <c r="CG185" s="205">
        <f t="shared" si="683"/>
        <v>50.423557886244453</v>
      </c>
      <c r="CH185" s="48">
        <f t="shared" si="683"/>
        <v>52.012992717153608</v>
      </c>
      <c r="CI185" s="20">
        <f t="shared" si="683"/>
        <v>54.669936644185576</v>
      </c>
      <c r="CJ185" s="20">
        <f t="shared" si="683"/>
        <v>52.353435076801496</v>
      </c>
      <c r="CK185" s="20">
        <f t="shared" si="683"/>
        <v>53.242252247727158</v>
      </c>
      <c r="CL185" s="205">
        <f t="shared" si="683"/>
        <v>48.752658057154719</v>
      </c>
      <c r="CM185" s="48">
        <f t="shared" si="683"/>
        <v>52.272525914769204</v>
      </c>
      <c r="CN185" s="20">
        <f t="shared" si="683"/>
        <v>50.761421319796952</v>
      </c>
      <c r="CO185" s="20">
        <f t="shared" si="683"/>
        <v>49.940791844720174</v>
      </c>
      <c r="CP185" s="20">
        <f t="shared" si="683"/>
        <v>50.809281860562571</v>
      </c>
      <c r="CQ185" s="205">
        <f t="shared" si="683"/>
        <v>48.125768675471903</v>
      </c>
      <c r="CR185" s="48">
        <f t="shared" si="683"/>
        <v>49.914394837350194</v>
      </c>
      <c r="CS185" s="20">
        <f t="shared" si="683"/>
        <v>50.328227571115974</v>
      </c>
      <c r="CT185" s="20">
        <f t="shared" si="683"/>
        <v>47.343503419253025</v>
      </c>
      <c r="CU185" s="20">
        <f t="shared" si="683"/>
        <v>45.903023268084205</v>
      </c>
      <c r="CV185" s="205">
        <f t="shared" si="683"/>
        <v>51.008578715511248</v>
      </c>
      <c r="CW185" s="48">
        <f t="shared" si="683"/>
        <v>48.574732975032312</v>
      </c>
      <c r="CX185" s="20">
        <f t="shared" si="683"/>
        <v>59.082165430063206</v>
      </c>
      <c r="CY185" s="20">
        <f t="shared" si="683"/>
        <v>53.812929264320616</v>
      </c>
      <c r="CZ185" s="20">
        <f t="shared" si="683"/>
        <v>49.270792274339776</v>
      </c>
      <c r="DA185" s="20">
        <f t="shared" si="683"/>
        <v>50.408371618172538</v>
      </c>
      <c r="DB185" s="48">
        <f t="shared" si="683"/>
        <v>53.044164302620317</v>
      </c>
      <c r="DC185" s="20">
        <f t="shared" si="683"/>
        <v>50.540147829932401</v>
      </c>
      <c r="DD185" s="20">
        <f t="shared" ref="DD185:EL185" si="684">DD181/DD$13*1000</f>
        <v>47.679962786370517</v>
      </c>
      <c r="DE185" s="20">
        <f t="shared" si="684"/>
        <v>47.358210658450304</v>
      </c>
      <c r="DF185" s="20">
        <f t="shared" si="684"/>
        <v>47.401685393258425</v>
      </c>
      <c r="DG185" s="48">
        <f t="shared" si="684"/>
        <v>48.195620999098182</v>
      </c>
      <c r="DH185" s="20">
        <f t="shared" si="684"/>
        <v>50.841514726507711</v>
      </c>
      <c r="DI185" s="20">
        <f t="shared" si="684"/>
        <v>48.687671386199561</v>
      </c>
      <c r="DJ185" s="20">
        <f t="shared" si="684"/>
        <v>45.858887231338748</v>
      </c>
      <c r="DK185" s="20">
        <f t="shared" si="684"/>
        <v>44.833121160126204</v>
      </c>
      <c r="DL185" s="48">
        <f t="shared" si="684"/>
        <v>47.507273672818243</v>
      </c>
      <c r="DM185" s="20">
        <f t="shared" si="684"/>
        <v>42.17702796394731</v>
      </c>
      <c r="DN185" s="20">
        <f t="shared" si="684"/>
        <v>40.01556160729173</v>
      </c>
      <c r="DO185" s="20">
        <f t="shared" si="684"/>
        <v>39.215686274509807</v>
      </c>
      <c r="DP185" s="20">
        <f t="shared" si="684"/>
        <v>37.944311143351378</v>
      </c>
      <c r="DQ185" s="48">
        <f t="shared" si="684"/>
        <v>39.818775326429531</v>
      </c>
      <c r="DR185" s="20">
        <f t="shared" si="684"/>
        <v>40.367795469836288</v>
      </c>
      <c r="DS185" s="20">
        <f t="shared" si="684"/>
        <v>36.448699815036449</v>
      </c>
      <c r="DT185" s="20">
        <f t="shared" si="684"/>
        <v>38.231651499649992</v>
      </c>
      <c r="DU185" s="20">
        <f t="shared" si="684"/>
        <v>35.445757250268528</v>
      </c>
      <c r="DV185" s="48">
        <f t="shared" si="684"/>
        <v>37.597569780272181</v>
      </c>
      <c r="DW185" s="20">
        <f t="shared" si="684"/>
        <v>38.57937138318394</v>
      </c>
      <c r="DX185" s="20">
        <f t="shared" si="684"/>
        <v>36.30679239574404</v>
      </c>
      <c r="DY185" s="20">
        <f t="shared" si="684"/>
        <v>36.98150924537731</v>
      </c>
      <c r="DZ185" s="20">
        <f t="shared" si="684"/>
        <v>40.97085364588736</v>
      </c>
      <c r="EA185" s="48">
        <f t="shared" si="684"/>
        <v>38.176393177761277</v>
      </c>
      <c r="EB185" s="20">
        <f t="shared" si="684"/>
        <v>45.502469341324016</v>
      </c>
      <c r="EC185" s="20">
        <f t="shared" si="684"/>
        <v>38.717670744927986</v>
      </c>
      <c r="ED185" s="20">
        <f t="shared" si="684"/>
        <v>41.832360687909926</v>
      </c>
      <c r="EE185" s="20">
        <f t="shared" si="684"/>
        <v>44.915160252855721</v>
      </c>
      <c r="EF185" s="48">
        <f t="shared" si="684"/>
        <v>42.653331372260631</v>
      </c>
      <c r="EG185" s="20">
        <f t="shared" si="684"/>
        <v>44.960446189744466</v>
      </c>
      <c r="EH185" s="20">
        <f t="shared" si="684"/>
        <v>41.655095806720354</v>
      </c>
      <c r="EI185" s="20">
        <f t="shared" si="684"/>
        <v>39.73794436687789</v>
      </c>
      <c r="EJ185" s="20">
        <f t="shared" si="684"/>
        <v>42.393608348279791</v>
      </c>
      <c r="EK185" s="48">
        <f t="shared" si="684"/>
        <v>42.150502086863092</v>
      </c>
      <c r="EL185" s="20">
        <f t="shared" si="684"/>
        <v>39.5321130726741</v>
      </c>
      <c r="EM185" s="20">
        <f t="shared" ref="EM185:EQ185" si="685">EM181/EM$13*1000</f>
        <v>38.727234666108437</v>
      </c>
      <c r="EN185" s="20">
        <f t="shared" si="685"/>
        <v>35.251425609123899</v>
      </c>
      <c r="EO185" s="20">
        <f t="shared" si="685"/>
        <v>42.075736325385691</v>
      </c>
      <c r="EP185" s="48">
        <f t="shared" si="685"/>
        <v>38.888523944032052</v>
      </c>
      <c r="EQ185" s="20">
        <f t="shared" si="685"/>
        <v>43.583280823356432</v>
      </c>
      <c r="ER185" s="20">
        <f>EM185*(1+ER186)</f>
        <v>40.857232572744401</v>
      </c>
      <c r="ES185" s="20">
        <f>EN185*(1+ES186)</f>
        <v>37.366511145671332</v>
      </c>
      <c r="ET185" s="20">
        <f>EO185*(1+ET186)</f>
        <v>40.392706872370262</v>
      </c>
      <c r="EU185" s="1954">
        <f>EU181/EU$13*1000</f>
        <v>40.508328677595223</v>
      </c>
      <c r="EV185" s="20"/>
      <c r="EW185" s="20"/>
      <c r="EX185" s="20"/>
      <c r="EY185" s="20"/>
      <c r="EZ185" s="747">
        <f>EU185*(1+EZ186)</f>
        <v>41.318495251147127</v>
      </c>
      <c r="FA185" s="20"/>
      <c r="FB185" s="20"/>
      <c r="FC185" s="20"/>
      <c r="FD185" s="20"/>
      <c r="FE185" s="747">
        <f>EZ185*(1+FE186)</f>
        <v>42.14486515617007</v>
      </c>
      <c r="FF185" s="767"/>
      <c r="FG185" s="656"/>
      <c r="FH185" s="1031"/>
      <c r="FI185" s="1031"/>
      <c r="FJ185" s="1031"/>
      <c r="FK185" s="1031"/>
      <c r="FL185" s="1809"/>
      <c r="FM185" s="20">
        <f t="shared" si="624"/>
        <v>43.583280823356432</v>
      </c>
      <c r="FN185" s="20">
        <f t="shared" si="625"/>
        <v>39.5321130726741</v>
      </c>
      <c r="FO185" s="2048">
        <v>43.485324379941517</v>
      </c>
      <c r="FP185" s="16">
        <f>IFERROR(($FM185/FN185)-1,"")</f>
        <v>0.10247789545767105</v>
      </c>
      <c r="FQ185" s="16">
        <f>IFERROR(($FM185/FO185)-1,"")</f>
        <v>2.2526322342464322E-3</v>
      </c>
      <c r="FR185" s="537"/>
      <c r="FS185" s="537"/>
      <c r="FT185" s="537"/>
      <c r="FU185" s="537"/>
      <c r="FV185" s="537"/>
      <c r="FW185" s="537"/>
      <c r="FX185" s="537"/>
      <c r="FY185" s="537"/>
      <c r="FZ185" s="537"/>
      <c r="GA185" s="656"/>
      <c r="GB185"/>
      <c r="GC185"/>
      <c r="GD185"/>
      <c r="GE185"/>
      <c r="GF185"/>
      <c r="GG185"/>
      <c r="GH185" s="963"/>
      <c r="GI185" s="963"/>
      <c r="GJ185" s="963"/>
      <c r="GK185" s="963"/>
      <c r="GL185" s="963"/>
      <c r="GM185" s="963"/>
      <c r="GN185" s="963"/>
      <c r="GO185" s="963"/>
      <c r="GP185" s="963"/>
      <c r="GQ185" s="963"/>
      <c r="GR185" s="963"/>
      <c r="GS185" s="963"/>
      <c r="GT185" s="963"/>
      <c r="GU185" s="963"/>
      <c r="GV185" s="963"/>
      <c r="GW185" s="963"/>
      <c r="GX185" s="963"/>
      <c r="GY185" s="963"/>
      <c r="GZ185" s="963"/>
      <c r="HA185" s="963"/>
      <c r="HB185" s="963"/>
      <c r="HC185" s="963"/>
      <c r="HD185" s="963"/>
      <c r="HE185" s="963"/>
      <c r="HF185" s="963"/>
      <c r="HG185" s="963"/>
      <c r="HH185" s="963"/>
      <c r="HI185" s="963"/>
      <c r="HJ185" s="963"/>
      <c r="HK185" s="963"/>
      <c r="HL185" s="963"/>
      <c r="HM185" s="963"/>
      <c r="HN185" s="963"/>
      <c r="HO185" s="963"/>
      <c r="HP185" s="963"/>
      <c r="HQ185" s="963"/>
      <c r="HR185" s="963"/>
      <c r="HS185" s="963"/>
      <c r="HT185" s="963"/>
      <c r="HU185" s="963"/>
      <c r="HV185" s="963"/>
      <c r="HW185" s="963"/>
      <c r="HX185" s="963"/>
      <c r="HY185" s="963"/>
      <c r="HZ185" s="963"/>
      <c r="IA185" s="963"/>
      <c r="IB185" s="963"/>
      <c r="IC185" s="963"/>
      <c r="ID185" s="963"/>
      <c r="IE185" s="963"/>
      <c r="IF185" s="963"/>
      <c r="IG185" s="963"/>
      <c r="IH185" s="963"/>
      <c r="II185" s="963"/>
      <c r="IJ185" s="963"/>
      <c r="IK185" s="963"/>
      <c r="IL185" s="963"/>
      <c r="IM185" s="963"/>
      <c r="IN185" s="963"/>
      <c r="IO185" s="963"/>
      <c r="IP185" s="963"/>
      <c r="IQ185" s="963"/>
      <c r="IR185" s="963"/>
      <c r="IS185" s="963"/>
      <c r="IT185" s="963"/>
      <c r="IU185" s="963"/>
      <c r="IV185" s="963"/>
    </row>
    <row r="186" spans="1:256" s="56" customFormat="1" ht="12.75" x14ac:dyDescent="0.2">
      <c r="A186" s="44" t="s">
        <v>74</v>
      </c>
      <c r="B186" s="22"/>
      <c r="C186" s="22"/>
      <c r="D186" s="22"/>
      <c r="E186" s="197"/>
      <c r="F186" s="21"/>
      <c r="G186" s="22"/>
      <c r="H186" s="22"/>
      <c r="I186" s="22"/>
      <c r="J186" s="197"/>
      <c r="K186" s="21"/>
      <c r="L186" s="22"/>
      <c r="M186" s="22"/>
      <c r="N186" s="22"/>
      <c r="O186" s="197"/>
      <c r="P186" s="21"/>
      <c r="Q186" s="22">
        <f t="shared" ref="Q186:CB186" si="686">Q185/L185-1</f>
        <v>-1.2718228901003381E-2</v>
      </c>
      <c r="R186" s="22">
        <f t="shared" si="686"/>
        <v>5.2802568236475E-2</v>
      </c>
      <c r="S186" s="22">
        <f t="shared" si="686"/>
        <v>6.1391680253168213E-2</v>
      </c>
      <c r="T186" s="197">
        <f t="shared" si="686"/>
        <v>-2.8804014452857518E-2</v>
      </c>
      <c r="U186" s="21">
        <f t="shared" si="686"/>
        <v>1.6872692302915215E-2</v>
      </c>
      <c r="V186" s="22">
        <f t="shared" si="686"/>
        <v>5.5798048035542447E-2</v>
      </c>
      <c r="W186" s="22">
        <f t="shared" si="686"/>
        <v>-1.9871628309210854E-2</v>
      </c>
      <c r="X186" s="22">
        <f t="shared" si="686"/>
        <v>1.9272860927368463E-3</v>
      </c>
      <c r="Y186" s="197">
        <f t="shared" si="686"/>
        <v>-4.0003791828609025E-2</v>
      </c>
      <c r="Z186" s="21">
        <f t="shared" si="686"/>
        <v>-1.6082722234171953E-3</v>
      </c>
      <c r="AA186" s="22">
        <f t="shared" si="686"/>
        <v>-3.0197180307998339E-2</v>
      </c>
      <c r="AB186" s="22">
        <f t="shared" si="686"/>
        <v>-7.6967854383766965E-2</v>
      </c>
      <c r="AC186" s="22">
        <f t="shared" si="686"/>
        <v>-0.11643402768994082</v>
      </c>
      <c r="AD186" s="197">
        <f t="shared" si="686"/>
        <v>-0.11756433273488953</v>
      </c>
      <c r="AE186" s="21">
        <f t="shared" si="686"/>
        <v>-8.5846363668494075E-2</v>
      </c>
      <c r="AF186" s="22">
        <f t="shared" si="686"/>
        <v>-0.18306299729204412</v>
      </c>
      <c r="AG186" s="22">
        <f t="shared" si="686"/>
        <v>-0.10059839659712178</v>
      </c>
      <c r="AH186" s="22">
        <f t="shared" si="686"/>
        <v>-0.10315002083296354</v>
      </c>
      <c r="AI186" s="197">
        <f t="shared" si="686"/>
        <v>-8.3057048693790048E-2</v>
      </c>
      <c r="AJ186" s="21">
        <f t="shared" si="686"/>
        <v>-0.11797210066603003</v>
      </c>
      <c r="AK186" s="22">
        <f t="shared" si="686"/>
        <v>3.3682075055882832E-2</v>
      </c>
      <c r="AL186" s="22">
        <f t="shared" si="686"/>
        <v>2.6348005785132633E-2</v>
      </c>
      <c r="AM186" s="22">
        <f t="shared" si="686"/>
        <v>6.5462700595705137E-2</v>
      </c>
      <c r="AN186" s="197">
        <f t="shared" si="686"/>
        <v>0.18385669825076834</v>
      </c>
      <c r="AO186" s="21">
        <f t="shared" si="686"/>
        <v>7.6711190645142313E-2</v>
      </c>
      <c r="AP186" s="22">
        <f t="shared" si="686"/>
        <v>0.1863006234274085</v>
      </c>
      <c r="AQ186" s="22">
        <f t="shared" si="686"/>
        <v>0.14158212942366522</v>
      </c>
      <c r="AR186" s="22">
        <f t="shared" si="686"/>
        <v>1.7652544355518662E-2</v>
      </c>
      <c r="AS186" s="197">
        <f t="shared" si="686"/>
        <v>-6.8327505966781055E-2</v>
      </c>
      <c r="AT186" s="21">
        <f t="shared" si="686"/>
        <v>6.4675591311735614E-2</v>
      </c>
      <c r="AU186" s="22">
        <f t="shared" si="686"/>
        <v>1.8753169552267135E-2</v>
      </c>
      <c r="AV186" s="22">
        <f t="shared" si="686"/>
        <v>0.19129701496024687</v>
      </c>
      <c r="AW186" s="22">
        <f t="shared" si="686"/>
        <v>0.28636570907432723</v>
      </c>
      <c r="AX186" s="197">
        <f t="shared" si="686"/>
        <v>0.19344229900632359</v>
      </c>
      <c r="AY186" s="21">
        <f t="shared" si="686"/>
        <v>0.16786985428155976</v>
      </c>
      <c r="AZ186" s="22">
        <f t="shared" si="686"/>
        <v>0.10619832570984711</v>
      </c>
      <c r="BA186" s="22">
        <f t="shared" si="686"/>
        <v>0.28398255753301815</v>
      </c>
      <c r="BB186" s="22">
        <f t="shared" si="686"/>
        <v>0.7117988069000496</v>
      </c>
      <c r="BC186" s="197">
        <f t="shared" si="686"/>
        <v>0.92048003453239846</v>
      </c>
      <c r="BD186" s="21">
        <f t="shared" si="686"/>
        <v>0.55322131078547354</v>
      </c>
      <c r="BE186" s="22">
        <f t="shared" si="686"/>
        <v>0.6290807862103871</v>
      </c>
      <c r="BF186" s="22">
        <f t="shared" si="686"/>
        <v>0.20889053422941073</v>
      </c>
      <c r="BG186" s="22">
        <f t="shared" si="686"/>
        <v>-6.4364087789063995E-2</v>
      </c>
      <c r="BH186" s="197">
        <f t="shared" si="686"/>
        <v>-0.13442289928951912</v>
      </c>
      <c r="BI186" s="21">
        <f t="shared" si="686"/>
        <v>6.2571875644332531E-2</v>
      </c>
      <c r="BJ186" s="22">
        <f t="shared" si="686"/>
        <v>-7.4818577648766427E-2</v>
      </c>
      <c r="BK186" s="22">
        <f t="shared" si="686"/>
        <v>-3.4700988069354177E-2</v>
      </c>
      <c r="BL186" s="22">
        <f t="shared" si="686"/>
        <v>-4.6737720064422783E-2</v>
      </c>
      <c r="BM186" s="197">
        <f t="shared" si="686"/>
        <v>-0.17087154525312465</v>
      </c>
      <c r="BN186" s="21">
        <f t="shared" si="686"/>
        <v>-8.107406293342323E-2</v>
      </c>
      <c r="BO186" s="22">
        <f t="shared" si="686"/>
        <v>-0.18732962885300897</v>
      </c>
      <c r="BP186" s="22">
        <f t="shared" si="686"/>
        <v>-0.17106700946060616</v>
      </c>
      <c r="BQ186" s="22">
        <f t="shared" si="686"/>
        <v>-0.17624636499998403</v>
      </c>
      <c r="BR186" s="197">
        <f t="shared" si="686"/>
        <v>-7.4248248780796611E-2</v>
      </c>
      <c r="BS186" s="21">
        <f t="shared" si="686"/>
        <v>-0.1553892601160437</v>
      </c>
      <c r="BT186" s="22">
        <f t="shared" si="686"/>
        <v>-3.5814455231931719E-3</v>
      </c>
      <c r="BU186" s="22">
        <f t="shared" si="686"/>
        <v>-2.1313444111452973E-2</v>
      </c>
      <c r="BV186" s="22">
        <f t="shared" si="686"/>
        <v>-0.22294413148266456</v>
      </c>
      <c r="BW186" s="197">
        <f t="shared" si="686"/>
        <v>-0.10705315760855494</v>
      </c>
      <c r="BX186" s="21">
        <f t="shared" si="686"/>
        <v>-8.9123251447295937E-2</v>
      </c>
      <c r="BY186" s="22">
        <f t="shared" si="686"/>
        <v>-0.10281853950657005</v>
      </c>
      <c r="BZ186" s="22">
        <f t="shared" si="686"/>
        <v>-0.12255026130546054</v>
      </c>
      <c r="CA186" s="22">
        <f t="shared" si="686"/>
        <v>0.19722478818399436</v>
      </c>
      <c r="CB186" s="197">
        <f t="shared" si="686"/>
        <v>9.7421387933303238E-2</v>
      </c>
      <c r="CC186" s="21">
        <f t="shared" ref="CC186:DU186" si="687">CC185/BX185-1</f>
        <v>4.4748478631722044E-3</v>
      </c>
      <c r="CD186" s="22">
        <f t="shared" si="687"/>
        <v>6.0924279540296888E-2</v>
      </c>
      <c r="CE186" s="22">
        <f t="shared" si="687"/>
        <v>0.11078202561338224</v>
      </c>
      <c r="CF186" s="22">
        <f t="shared" si="687"/>
        <v>-1.4703035257168429E-2</v>
      </c>
      <c r="CG186" s="197">
        <f t="shared" si="687"/>
        <v>-2.818676885841076E-2</v>
      </c>
      <c r="CH186" s="21">
        <f t="shared" si="687"/>
        <v>2.9802069600471937E-2</v>
      </c>
      <c r="CI186" s="22">
        <f t="shared" si="687"/>
        <v>2.8852865462307697E-2</v>
      </c>
      <c r="CJ186" s="22">
        <f t="shared" si="687"/>
        <v>-2.8768988703793852E-2</v>
      </c>
      <c r="CK186" s="22">
        <f t="shared" si="687"/>
        <v>5.0242961912344564E-2</v>
      </c>
      <c r="CL186" s="197">
        <f t="shared" si="687"/>
        <v>-3.3137285410507644E-2</v>
      </c>
      <c r="CM186" s="21">
        <f t="shared" si="687"/>
        <v>4.98977628583952E-3</v>
      </c>
      <c r="CN186" s="22">
        <f t="shared" si="687"/>
        <v>-7.1492955073770181E-2</v>
      </c>
      <c r="CO186" s="22">
        <f t="shared" si="687"/>
        <v>-4.6083761811274049E-2</v>
      </c>
      <c r="CP186" s="22">
        <f t="shared" si="687"/>
        <v>-4.5696233432131916E-2</v>
      </c>
      <c r="CQ186" s="197">
        <f t="shared" si="687"/>
        <v>-1.2858568264070613E-2</v>
      </c>
      <c r="CR186" s="21">
        <f t="shared" si="687"/>
        <v>-4.5112246560726099E-2</v>
      </c>
      <c r="CS186" s="22">
        <f t="shared" si="687"/>
        <v>-8.5339168490152773E-3</v>
      </c>
      <c r="CT186" s="22">
        <f t="shared" si="687"/>
        <v>-5.2007353698812819E-2</v>
      </c>
      <c r="CU186" s="22">
        <f t="shared" si="687"/>
        <v>-9.6562250297942742E-2</v>
      </c>
      <c r="CV186" s="197">
        <f t="shared" si="687"/>
        <v>5.9901589509750774E-2</v>
      </c>
      <c r="CW186" s="21">
        <f t="shared" si="687"/>
        <v>-2.6839188708653539E-2</v>
      </c>
      <c r="CX186" s="22">
        <f t="shared" si="687"/>
        <v>0.17393693919734288</v>
      </c>
      <c r="CY186" s="22">
        <f t="shared" si="687"/>
        <v>0.13664865034970552</v>
      </c>
      <c r="CZ186" s="22">
        <f t="shared" si="687"/>
        <v>7.3367041351220408E-2</v>
      </c>
      <c r="DA186" s="22">
        <f t="shared" si="687"/>
        <v>-1.1766787321917493E-2</v>
      </c>
      <c r="DB186" s="21">
        <f t="shared" si="687"/>
        <v>9.2011444095540629E-2</v>
      </c>
      <c r="DC186" s="22">
        <f t="shared" si="687"/>
        <v>-0.1445786141715163</v>
      </c>
      <c r="DD186" s="22">
        <f t="shared" si="687"/>
        <v>-0.11396827048432789</v>
      </c>
      <c r="DE186" s="22">
        <f t="shared" si="687"/>
        <v>-3.8817756476092757E-2</v>
      </c>
      <c r="DF186" s="22">
        <f t="shared" si="687"/>
        <v>-5.9646565211207592E-2</v>
      </c>
      <c r="DG186" s="21">
        <f t="shared" si="687"/>
        <v>-9.1405781715419021E-2</v>
      </c>
      <c r="DH186" s="22">
        <f t="shared" si="687"/>
        <v>5.9629207573632659E-3</v>
      </c>
      <c r="DI186" s="22">
        <f t="shared" si="687"/>
        <v>2.1134844512024298E-2</v>
      </c>
      <c r="DJ186" s="22">
        <f t="shared" si="687"/>
        <v>-3.1659207691032698E-2</v>
      </c>
      <c r="DK186" s="22">
        <f t="shared" si="687"/>
        <v>-5.4187192118226424E-2</v>
      </c>
      <c r="DL186" s="21">
        <f>DL185/DG185-1</f>
        <v>-1.428236242236236E-2</v>
      </c>
      <c r="DM186" s="22">
        <f t="shared" si="687"/>
        <v>-0.17042149135739493</v>
      </c>
      <c r="DN186" s="22">
        <f t="shared" si="687"/>
        <v>-0.17811716050494719</v>
      </c>
      <c r="DO186" s="22">
        <f t="shared" si="687"/>
        <v>-0.14486180014174344</v>
      </c>
      <c r="DP186" s="22">
        <f t="shared" si="687"/>
        <v>-0.15365448218897626</v>
      </c>
      <c r="DQ186" s="21">
        <f>DQ185/DL185-1</f>
        <v>-0.16183834078417692</v>
      </c>
      <c r="DR186" s="22">
        <f t="shared" si="687"/>
        <v>-4.2896158915169291E-2</v>
      </c>
      <c r="DS186" s="22">
        <f t="shared" si="687"/>
        <v>-8.913686698340173E-2</v>
      </c>
      <c r="DT186" s="22">
        <f t="shared" si="687"/>
        <v>-2.5092886758925292E-2</v>
      </c>
      <c r="DU186" s="22">
        <f t="shared" si="687"/>
        <v>-6.5847918114614323E-2</v>
      </c>
      <c r="DV186" s="21">
        <f t="shared" ref="DV186:EA186" si="688">DV185/DQ185-1</f>
        <v>-5.5782869461659113E-2</v>
      </c>
      <c r="DW186" s="22">
        <f t="shared" si="688"/>
        <v>-4.4303238902126729E-2</v>
      </c>
      <c r="DX186" s="22">
        <f t="shared" si="688"/>
        <v>-3.8933465394522804E-3</v>
      </c>
      <c r="DY186" s="22">
        <f t="shared" si="688"/>
        <v>-3.2699143386053509E-2</v>
      </c>
      <c r="DZ186" s="22">
        <f t="shared" si="688"/>
        <v>0.15587468922185255</v>
      </c>
      <c r="EA186" s="21">
        <f t="shared" si="688"/>
        <v>1.5395234342854058E-2</v>
      </c>
      <c r="EB186" s="22">
        <f t="shared" ref="EB186:EI186" si="689">EB185/DW185-1</f>
        <v>0.17945077148555444</v>
      </c>
      <c r="EC186" s="22">
        <f t="shared" si="689"/>
        <v>6.6402956309259409E-2</v>
      </c>
      <c r="ED186" s="22">
        <f t="shared" si="689"/>
        <v>0.13116964508794271</v>
      </c>
      <c r="EE186" s="22">
        <f t="shared" si="689"/>
        <v>9.6271037969068329E-2</v>
      </c>
      <c r="EF186" s="21">
        <f t="shared" si="689"/>
        <v>0.1172698052865635</v>
      </c>
      <c r="EG186" s="22">
        <f t="shared" si="689"/>
        <v>-1.1911950261725646E-2</v>
      </c>
      <c r="EH186" s="22">
        <f t="shared" si="689"/>
        <v>7.586781449597324E-2</v>
      </c>
      <c r="EI186" s="22">
        <f t="shared" si="689"/>
        <v>-5.0066892869312762E-2</v>
      </c>
      <c r="EJ186" s="22">
        <f>EJ185/EE185-1</f>
        <v>-5.6140329687805357E-2</v>
      </c>
      <c r="EK186" s="21">
        <f>EK185/EF185-1</f>
        <v>-1.1788745901440967E-2</v>
      </c>
      <c r="EL186" s="22">
        <f>EL185/EG185-1</f>
        <v>-0.12073574835448531</v>
      </c>
      <c r="EM186" s="22">
        <f t="shared" ref="EM186:EN186" si="690">EM185/EH185-1</f>
        <v>-7.0288186448956735E-2</v>
      </c>
      <c r="EN186" s="22">
        <f t="shared" si="690"/>
        <v>-0.11290263825256053</v>
      </c>
      <c r="EO186" s="22">
        <f>EO185/EJ185-1</f>
        <v>-7.4981119861904366E-3</v>
      </c>
      <c r="EP186" s="21">
        <f>EP185/EK185-1</f>
        <v>-7.7388832429772902E-2</v>
      </c>
      <c r="EQ186" s="22">
        <f>EQ185/EL185-1</f>
        <v>0.10247789545767105</v>
      </c>
      <c r="ER186" s="97">
        <v>5.5E-2</v>
      </c>
      <c r="ES186" s="97">
        <v>0.06</v>
      </c>
      <c r="ET186" s="97">
        <v>-0.04</v>
      </c>
      <c r="EU186" s="270">
        <f>EU185/EP185-1</f>
        <v>4.1652512599716474E-2</v>
      </c>
      <c r="EV186" s="96"/>
      <c r="EW186" s="96"/>
      <c r="EX186" s="96"/>
      <c r="EY186" s="96"/>
      <c r="EZ186" s="834">
        <v>0.02</v>
      </c>
      <c r="FA186" s="96"/>
      <c r="FB186" s="96"/>
      <c r="FC186" s="96"/>
      <c r="FD186" s="96"/>
      <c r="FE186" s="834">
        <v>0.02</v>
      </c>
      <c r="FF186" s="768"/>
      <c r="FG186" s="656"/>
      <c r="FH186" s="1039"/>
      <c r="FI186" s="1039"/>
      <c r="FJ186" s="1039"/>
      <c r="FK186" s="1039"/>
      <c r="FL186" s="1813"/>
      <c r="FM186" s="22">
        <f t="shared" si="624"/>
        <v>0.10247789545767105</v>
      </c>
      <c r="FN186" s="22">
        <f t="shared" si="625"/>
        <v>-0.12073574835448531</v>
      </c>
      <c r="FO186" s="97">
        <v>0.1</v>
      </c>
      <c r="FP186" s="1892">
        <f>IFERROR(($FM186-FN186)*10000,"")</f>
        <v>2232.1364381215635</v>
      </c>
      <c r="FQ186" s="1892">
        <f>IFERROR(($FM186-FO186)*10000,"")</f>
        <v>24.778954576710476</v>
      </c>
      <c r="FR186" s="575"/>
      <c r="FS186" s="575"/>
      <c r="FT186" s="575"/>
      <c r="FU186" s="575"/>
      <c r="FV186" s="575"/>
      <c r="FW186" s="575"/>
      <c r="FX186" s="575"/>
      <c r="FY186" s="575"/>
      <c r="FZ186" s="575"/>
      <c r="GA186" s="656"/>
      <c r="GB186"/>
      <c r="GC186"/>
      <c r="GD186"/>
      <c r="GE186"/>
      <c r="GF186"/>
      <c r="GG186"/>
      <c r="GH186" s="964"/>
      <c r="GI186" s="964"/>
      <c r="GJ186" s="964"/>
      <c r="GK186" s="964"/>
      <c r="GL186" s="964"/>
      <c r="GM186" s="964"/>
      <c r="GN186" s="964"/>
      <c r="GO186" s="964"/>
      <c r="GP186" s="964"/>
      <c r="GQ186" s="964"/>
      <c r="GR186" s="964"/>
      <c r="GS186" s="964"/>
      <c r="GT186" s="964"/>
      <c r="GU186" s="964"/>
      <c r="GV186" s="964"/>
      <c r="GW186" s="964"/>
      <c r="GX186" s="964"/>
      <c r="GY186" s="964"/>
      <c r="GZ186" s="964"/>
      <c r="HA186" s="964"/>
      <c r="HB186" s="964"/>
      <c r="HC186" s="964"/>
      <c r="HD186" s="964"/>
      <c r="HE186" s="964"/>
      <c r="HF186" s="964"/>
      <c r="HG186" s="964"/>
      <c r="HH186" s="964"/>
      <c r="HI186" s="964"/>
      <c r="HJ186" s="964"/>
      <c r="HK186" s="964"/>
      <c r="HL186" s="964"/>
      <c r="HM186" s="964"/>
      <c r="HN186" s="964"/>
      <c r="HO186" s="964"/>
      <c r="HP186" s="964"/>
      <c r="HQ186" s="964"/>
      <c r="HR186" s="964"/>
      <c r="HS186" s="964"/>
      <c r="HT186" s="964"/>
      <c r="HU186" s="964"/>
      <c r="HV186" s="964"/>
      <c r="HW186" s="964"/>
      <c r="HX186" s="964"/>
      <c r="HY186" s="964"/>
      <c r="HZ186" s="964"/>
      <c r="IA186" s="964"/>
      <c r="IB186" s="964"/>
      <c r="IC186" s="964"/>
      <c r="ID186" s="964"/>
      <c r="IE186" s="964"/>
      <c r="IF186" s="964"/>
      <c r="IG186" s="964"/>
      <c r="IH186" s="964"/>
      <c r="II186" s="964"/>
      <c r="IJ186" s="964"/>
      <c r="IK186" s="964"/>
      <c r="IL186" s="964"/>
      <c r="IM186" s="964"/>
      <c r="IN186" s="964"/>
      <c r="IO186" s="964"/>
      <c r="IP186" s="964"/>
      <c r="IQ186" s="964"/>
      <c r="IR186" s="964"/>
      <c r="IS186" s="964"/>
      <c r="IT186" s="964"/>
      <c r="IU186" s="964"/>
      <c r="IV186" s="964"/>
    </row>
    <row r="187" spans="1:256" s="458" customFormat="1" ht="12.75" x14ac:dyDescent="0.2">
      <c r="A187" s="460" t="s">
        <v>13</v>
      </c>
      <c r="F187" s="462"/>
      <c r="K187" s="462"/>
      <c r="P187" s="462"/>
      <c r="U187" s="462"/>
      <c r="Z187" s="462"/>
      <c r="AE187" s="462"/>
      <c r="AJ187" s="462"/>
      <c r="AO187" s="462"/>
      <c r="AQ187" s="458">
        <f>AQ185/AP185-1</f>
        <v>-5.9026066444044178E-2</v>
      </c>
      <c r="AR187" s="458">
        <f>AR185/AQ185-1</f>
        <v>-0.10492947912302719</v>
      </c>
      <c r="AS187" s="458">
        <f>AS185/AR185-1</f>
        <v>1.7139615180453927E-2</v>
      </c>
      <c r="AT187" s="462"/>
      <c r="AU187" s="458">
        <f>AU185/AS185-1</f>
        <v>0.18919632027471933</v>
      </c>
      <c r="AV187" s="458">
        <f>AV185/AU185-1</f>
        <v>0.10034449138771495</v>
      </c>
      <c r="AW187" s="458">
        <f>AW185/AV185-1</f>
        <v>-3.3500453035336553E-2</v>
      </c>
      <c r="AX187" s="458">
        <f>AX185/AW185-1</f>
        <v>-5.6335665520116596E-2</v>
      </c>
      <c r="AY187" s="462"/>
      <c r="AZ187" s="458">
        <f>AZ185/AX185-1</f>
        <v>0.10226273991084289</v>
      </c>
      <c r="BA187" s="458">
        <f>BA185/AZ185-1</f>
        <v>0.27718791593067915</v>
      </c>
      <c r="BB187" s="458">
        <f>BB185/BA185-1</f>
        <v>0.28853212347552026</v>
      </c>
      <c r="BC187" s="458">
        <f>BC185/BB185-1</f>
        <v>5.8704157500173659E-2</v>
      </c>
      <c r="BD187" s="462"/>
      <c r="BE187" s="458">
        <f>BE185/BC185-1</f>
        <v>-6.49863478629783E-2</v>
      </c>
      <c r="BF187" s="458">
        <f>BF185/BE185-1</f>
        <v>-5.2238295933477619E-2</v>
      </c>
      <c r="BG187" s="458">
        <f>BG185/BF185-1</f>
        <v>-2.7244861094039008E-3</v>
      </c>
      <c r="BH187" s="458">
        <f>BH185/BG185-1</f>
        <v>-2.0569793015239091E-2</v>
      </c>
      <c r="BI187" s="462"/>
      <c r="BJ187" s="458">
        <f>BJ185/BH185-1</f>
        <v>-6.0057054201512194E-4</v>
      </c>
      <c r="BK187" s="458">
        <f>BK185/BJ185-1</f>
        <v>-1.1141583284193013E-2</v>
      </c>
      <c r="BL187" s="458">
        <f>BL185/BK185-1</f>
        <v>-1.5159946974464877E-2</v>
      </c>
      <c r="BM187" s="458">
        <f>BM185/BL185-1</f>
        <v>-0.14811120596886707</v>
      </c>
      <c r="BN187" s="462"/>
      <c r="BO187" s="458">
        <f>BO185/BM185-1</f>
        <v>-2.0438509121408877E-2</v>
      </c>
      <c r="BP187" s="458">
        <f>BP185/BO185-1</f>
        <v>8.6467941871377629E-3</v>
      </c>
      <c r="BQ187" s="458">
        <f>BQ185/BP185-1</f>
        <v>-2.1313444111452862E-2</v>
      </c>
      <c r="BR187" s="458">
        <f>BR185/BQ185-1</f>
        <v>-4.2629362214199662E-2</v>
      </c>
      <c r="BS187" s="462"/>
      <c r="BT187" s="458">
        <f>BT185/BR185-1</f>
        <v>5.4335834068843791E-2</v>
      </c>
      <c r="BU187" s="458">
        <f>BU185/BT185-1</f>
        <v>-9.3028148905155428E-3</v>
      </c>
      <c r="BV187" s="458">
        <f>BV185/BU185-1</f>
        <v>-0.22294413148266445</v>
      </c>
      <c r="BW187" s="458">
        <f>BW185/BV185-1</f>
        <v>0.10015395629180901</v>
      </c>
      <c r="BX187" s="462"/>
      <c r="BY187" s="458">
        <f>BY185/BW185-1</f>
        <v>5.9335806515761425E-2</v>
      </c>
      <c r="BZ187" s="458">
        <f>BZ185/BY185-1</f>
        <v>-3.1091229056779301E-2</v>
      </c>
      <c r="CA187" s="458">
        <f>CA185/BZ185-1</f>
        <v>6.0243688689112895E-2</v>
      </c>
      <c r="CB187" s="458">
        <f>CB185/CA185-1</f>
        <v>8.4426029011721582E-3</v>
      </c>
      <c r="CC187" s="462"/>
      <c r="CD187" s="458">
        <f>CD185/CB185-1</f>
        <v>2.4105316040439639E-2</v>
      </c>
      <c r="CE187" s="458">
        <f>CE185/CD185-1</f>
        <v>1.4442282053555688E-2</v>
      </c>
      <c r="CF187" s="458">
        <f>CF185/CE185-1</f>
        <v>-5.9532055556750452E-2</v>
      </c>
      <c r="CG187" s="458">
        <f>CG185/CF185-1</f>
        <v>-5.3578774577740518E-3</v>
      </c>
      <c r="CH187" s="462"/>
      <c r="CI187" s="458">
        <f>CI185/CG185-1</f>
        <v>8.4214183527488329E-2</v>
      </c>
      <c r="CJ187" s="458">
        <f>CJ185/CI185-1</f>
        <v>-4.2372494090505808E-2</v>
      </c>
      <c r="CK187" s="458">
        <f>CK185/CJ185-1</f>
        <v>1.6977246471445273E-2</v>
      </c>
      <c r="CL187" s="458">
        <f>CL185/CK185-1</f>
        <v>-8.4323896924628938E-2</v>
      </c>
      <c r="CM187" s="462"/>
      <c r="CN187" s="458">
        <f>CN185/CL185-1</f>
        <v>4.1203153688303074E-2</v>
      </c>
      <c r="CO187" s="458">
        <f>CO185/CN185-1</f>
        <v>-1.6166400659012536E-2</v>
      </c>
      <c r="CP187" s="458">
        <f>CP185/CO185-1</f>
        <v>1.7390393379079327E-2</v>
      </c>
      <c r="CQ187" s="458">
        <f>CQ185/CP185-1</f>
        <v>-5.2815412594397926E-2</v>
      </c>
      <c r="CR187" s="462"/>
      <c r="CS187" s="458">
        <f>CS185/CQ185-1</f>
        <v>4.5764648674933017E-2</v>
      </c>
      <c r="CT187" s="458">
        <f>CT185/CS185-1</f>
        <v>-5.9305171191363804E-2</v>
      </c>
      <c r="CU187" s="458">
        <f>CU185/CT185-1</f>
        <v>-3.0426141859688061E-2</v>
      </c>
      <c r="CV187" s="458">
        <f>CV185/CU185-1</f>
        <v>0.11122481884492497</v>
      </c>
      <c r="CW187" s="462"/>
      <c r="CX187" s="458">
        <f>CX185/CV185-1</f>
        <v>0.15827899772664811</v>
      </c>
      <c r="CY187" s="458">
        <f>CY185/CX185-1</f>
        <v>-8.9184885614592035E-2</v>
      </c>
      <c r="CZ187" s="458">
        <f>CZ185/CY185-1</f>
        <v>-8.4406053565130756E-2</v>
      </c>
      <c r="DA187" s="458">
        <f>DA185/CZ185-1</f>
        <v>2.3088310362429754E-2</v>
      </c>
      <c r="DB187" s="462"/>
      <c r="DC187" s="458">
        <f>DC185/DA185-1</f>
        <v>2.6141731527855594E-3</v>
      </c>
      <c r="DD187" s="458">
        <f>DD185/DC185-1</f>
        <v>-5.6592336318176284E-2</v>
      </c>
      <c r="DE187" s="458">
        <f>DE185/DD185-1</f>
        <v>-6.7481623121607992E-3</v>
      </c>
      <c r="DF187" s="458">
        <f>DF185/DE185-1</f>
        <v>9.17997834032791E-4</v>
      </c>
      <c r="DG187" s="462"/>
      <c r="DH187" s="458">
        <f>DH185/DF185-1</f>
        <v>7.2567658822918268E-2</v>
      </c>
      <c r="DI187" s="458">
        <f>DI185/DH185-1</f>
        <v>-4.2363870390060954E-2</v>
      </c>
      <c r="DJ187" s="458">
        <f>DJ185/DI185-1</f>
        <v>-5.8100625360009039E-2</v>
      </c>
      <c r="DK187" s="458">
        <f>DK185/DJ185-1</f>
        <v>-2.236787966611542E-2</v>
      </c>
      <c r="DL187" s="462"/>
      <c r="DM187" s="458">
        <f>DM185/DK185-1</f>
        <v>-5.9243994784400122E-2</v>
      </c>
      <c r="DN187" s="458">
        <f>DN185/DM185-1</f>
        <v>-5.1247479042458632E-2</v>
      </c>
      <c r="DO187" s="458">
        <f>DO185/DN185-1</f>
        <v>-1.9989106753812713E-2</v>
      </c>
      <c r="DP187" s="458">
        <f>DP185/DO185-1</f>
        <v>-3.2420065844539936E-2</v>
      </c>
      <c r="DQ187" s="462"/>
      <c r="DR187" s="458">
        <f>DR185/DP185-1</f>
        <v>6.3869503845494169E-2</v>
      </c>
      <c r="DS187" s="458">
        <f>DS185/DR185-1</f>
        <v>-9.7084708470847159E-2</v>
      </c>
      <c r="DT187" s="458">
        <f>DT185/DS185-1</f>
        <v>4.8916743084427061E-2</v>
      </c>
      <c r="DU187" s="458">
        <f>DU185/DT185-1</f>
        <v>-7.2868791697553781E-2</v>
      </c>
      <c r="DV187" s="462"/>
      <c r="DW187" s="458">
        <f>DW185/DU185-1</f>
        <v>8.8405901749825766E-2</v>
      </c>
      <c r="DX187" s="458">
        <f>DX185/DW185-1</f>
        <v>-5.8906584165611231E-2</v>
      </c>
      <c r="DY187" s="458">
        <f>DY185/DX185-1</f>
        <v>1.8583763673718501E-2</v>
      </c>
      <c r="DZ187" s="458">
        <f>DZ185/DY185-1</f>
        <v>0.10787402899217047</v>
      </c>
      <c r="EA187" s="462"/>
      <c r="EB187" s="458">
        <f>EB185/DZ185-1</f>
        <v>0.1106058403030501</v>
      </c>
      <c r="EC187" s="458">
        <f>EC185/EB185-1</f>
        <v>-0.14910836037274733</v>
      </c>
      <c r="ED187" s="458">
        <f>ED185/EC185-1</f>
        <v>8.0446211847337468E-2</v>
      </c>
      <c r="EE187" s="458">
        <f>EE185/ED185-1</f>
        <v>7.3694133303759735E-2</v>
      </c>
      <c r="EF187" s="462"/>
      <c r="EG187" s="458">
        <f>EG185/EE185-1</f>
        <v>1.0082550442613858E-3</v>
      </c>
      <c r="EH187" s="458">
        <f>EH185/EG185-1</f>
        <v>-7.3516850101413511E-2</v>
      </c>
      <c r="EI187" s="458">
        <f>EI185/EH185-1</f>
        <v>-4.6024415565818044E-2</v>
      </c>
      <c r="EJ187" s="458">
        <f>EJ185/EI185-1</f>
        <v>6.6829425218467797E-2</v>
      </c>
      <c r="EK187" s="462"/>
      <c r="EL187" s="458">
        <f>EL185/EJ185-1</f>
        <v>-6.7498271251114295E-2</v>
      </c>
      <c r="EM187" s="458">
        <f>EM185/EL185-1</f>
        <v>-2.0360115966632231E-2</v>
      </c>
      <c r="EN187" s="458">
        <f>EN185/EM185-1</f>
        <v>-8.9751026298460213E-2</v>
      </c>
      <c r="EO187" s="458">
        <f>EO185/EN185-1</f>
        <v>0.19358963781866168</v>
      </c>
      <c r="EP187" s="462"/>
      <c r="EQ187" s="458">
        <f>EQ185/EO185-1</f>
        <v>3.582930756843794E-2</v>
      </c>
      <c r="ER187" s="458">
        <f>ER185/EQ185-1</f>
        <v>-6.2548027571874165E-2</v>
      </c>
      <c r="ES187" s="458">
        <f>ES185/ER185-1</f>
        <v>-8.5437050119779978E-2</v>
      </c>
      <c r="ET187" s="458">
        <f>ET185/ES185-1</f>
        <v>8.0986841798033282E-2</v>
      </c>
      <c r="EU187" s="1932"/>
      <c r="EZ187" s="740"/>
      <c r="FE187" s="740"/>
      <c r="FF187" s="740"/>
      <c r="FG187" s="656"/>
      <c r="FH187" s="1088">
        <f>AVERAGE(CI187,CN187,CS187,CX187,DC187,DH187,DM187,DR187,DW187,EB187,EG187,EL187,EQ187)</f>
        <v>4.4432258312971637E-2</v>
      </c>
      <c r="FI187" s="1088">
        <f>AVERAGE(CJ187,CO187,CT187,CY187,DD187,DI187,DN187,DS187,DX187,EC187,EH187,EM187)</f>
        <v>-6.3017438031951797E-2</v>
      </c>
      <c r="FJ187" s="1088">
        <f>AVERAGE(CK187,CP187,CU187,CZ187,DE187,DJ187,DO187,DT187,DY187,ED187,EI187,EN187)</f>
        <v>-1.2760931104922666E-2</v>
      </c>
      <c r="FK187" s="1088">
        <f>AVERAGE(CL187,CQ187,CV187,DA187,DF187,DK187,DP187,DU187,DZ187,EE187,EJ187,EO187)</f>
        <v>2.6035192137267599E-2</v>
      </c>
      <c r="FL187" s="1795"/>
      <c r="FM187" s="458">
        <f t="shared" si="624"/>
        <v>3.582930756843794E-2</v>
      </c>
      <c r="FN187" s="458">
        <f t="shared" si="625"/>
        <v>-6.7498271251114295E-2</v>
      </c>
      <c r="FO187" s="2040">
        <v>3.350120942994339E-2</v>
      </c>
      <c r="FP187" s="1888">
        <f>IFERROR(($FM187-FN187)*10000,"")</f>
        <v>1033.2757881955224</v>
      </c>
      <c r="FQ187" s="1888">
        <f>IFERROR(($FM187-FO187)*10000,"")</f>
        <v>23.280981384945498</v>
      </c>
      <c r="FR187" s="566"/>
      <c r="FS187" s="566"/>
      <c r="FT187" s="566"/>
      <c r="FU187" s="566"/>
      <c r="FV187" s="566"/>
      <c r="FW187" s="566"/>
      <c r="FX187" s="566"/>
      <c r="FY187" s="566"/>
      <c r="FZ187" s="566"/>
      <c r="GA187" s="656"/>
      <c r="GB187"/>
      <c r="GC187"/>
      <c r="GD187"/>
      <c r="GE187"/>
      <c r="GF187"/>
      <c r="GG187"/>
      <c r="GH187" s="913"/>
      <c r="GI187" s="913"/>
      <c r="GJ187" s="913"/>
      <c r="GK187" s="913"/>
      <c r="GL187" s="913"/>
      <c r="GM187" s="913"/>
      <c r="GN187" s="913"/>
      <c r="GO187" s="913"/>
      <c r="GP187" s="913"/>
      <c r="GQ187" s="913"/>
      <c r="GR187" s="913"/>
      <c r="GS187" s="913"/>
      <c r="GT187" s="913"/>
      <c r="GU187" s="913"/>
      <c r="GV187" s="913"/>
      <c r="GW187" s="913"/>
      <c r="GX187" s="913"/>
      <c r="GY187" s="913"/>
      <c r="GZ187" s="913"/>
      <c r="HA187" s="913"/>
      <c r="HB187" s="913"/>
      <c r="HC187" s="913"/>
      <c r="HD187" s="913"/>
      <c r="HE187" s="913"/>
      <c r="HF187" s="913"/>
      <c r="HG187" s="913"/>
      <c r="HH187" s="913"/>
      <c r="HI187" s="913"/>
      <c r="HJ187" s="913"/>
      <c r="HK187" s="913"/>
      <c r="HL187" s="913"/>
      <c r="HM187" s="913"/>
      <c r="HN187" s="913"/>
      <c r="HO187" s="913"/>
      <c r="HP187" s="913"/>
      <c r="HQ187" s="913"/>
      <c r="HR187" s="913"/>
      <c r="HS187" s="913"/>
      <c r="HT187" s="913"/>
      <c r="HU187" s="913"/>
      <c r="HV187" s="913"/>
      <c r="HW187" s="913"/>
      <c r="HX187" s="913"/>
      <c r="HY187" s="913"/>
      <c r="HZ187" s="913"/>
      <c r="IA187" s="913"/>
      <c r="IB187" s="913"/>
      <c r="IC187" s="913"/>
      <c r="ID187" s="913"/>
      <c r="IE187" s="913"/>
      <c r="IF187" s="913"/>
      <c r="IG187" s="913"/>
      <c r="IH187" s="913"/>
      <c r="II187" s="913"/>
      <c r="IJ187" s="913"/>
      <c r="IK187" s="913"/>
      <c r="IL187" s="913"/>
      <c r="IM187" s="913"/>
      <c r="IN187" s="913"/>
      <c r="IO187" s="913"/>
      <c r="IP187" s="913"/>
      <c r="IQ187" s="913"/>
      <c r="IR187" s="913"/>
      <c r="IS187" s="913"/>
      <c r="IT187" s="913"/>
      <c r="IU187" s="913"/>
      <c r="IV187" s="913"/>
    </row>
    <row r="188" spans="1:256" s="90" customFormat="1" ht="12.75" hidden="1" x14ac:dyDescent="0.2">
      <c r="A188" s="31" t="s">
        <v>406</v>
      </c>
      <c r="B188" s="32"/>
      <c r="C188" s="32"/>
      <c r="D188" s="32"/>
      <c r="E188" s="199"/>
      <c r="F188" s="33"/>
      <c r="G188" s="32"/>
      <c r="H188" s="32"/>
      <c r="I188" s="32"/>
      <c r="J188" s="199"/>
      <c r="K188" s="33"/>
      <c r="L188" s="32"/>
      <c r="M188" s="32"/>
      <c r="N188" s="32"/>
      <c r="O188" s="199"/>
      <c r="P188" s="33"/>
      <c r="Q188" s="32"/>
      <c r="R188" s="32"/>
      <c r="S188" s="32"/>
      <c r="T188" s="199"/>
      <c r="U188" s="33"/>
      <c r="V188" s="32"/>
      <c r="W188" s="32"/>
      <c r="X188" s="32"/>
      <c r="Y188" s="199"/>
      <c r="Z188" s="33"/>
      <c r="AA188" s="32"/>
      <c r="AB188" s="32"/>
      <c r="AC188" s="32"/>
      <c r="AD188" s="199"/>
      <c r="AE188" s="33"/>
      <c r="AF188" s="32"/>
      <c r="AG188" s="32"/>
      <c r="AH188" s="32"/>
      <c r="AI188" s="199"/>
      <c r="AJ188" s="33"/>
      <c r="AK188" s="32"/>
      <c r="AL188" s="32"/>
      <c r="AM188" s="32"/>
      <c r="AN188" s="199"/>
      <c r="AO188" s="33"/>
      <c r="AP188" s="32"/>
      <c r="AQ188" s="32"/>
      <c r="AR188" s="32"/>
      <c r="AS188" s="199"/>
      <c r="AT188" s="33"/>
      <c r="AU188" s="32"/>
      <c r="AV188" s="32"/>
      <c r="AW188" s="32"/>
      <c r="AX188" s="199"/>
      <c r="AY188" s="33"/>
      <c r="AZ188" s="32"/>
      <c r="BA188" s="32">
        <v>51</v>
      </c>
      <c r="BB188" s="32">
        <v>141</v>
      </c>
      <c r="BC188" s="199">
        <v>119</v>
      </c>
      <c r="BD188" s="33">
        <f>SUM(AZ188:BC188)</f>
        <v>311</v>
      </c>
      <c r="BE188" s="32">
        <v>121</v>
      </c>
      <c r="BF188" s="32">
        <v>124</v>
      </c>
      <c r="BG188" s="32">
        <v>119</v>
      </c>
      <c r="BH188" s="199">
        <v>114</v>
      </c>
      <c r="BI188" s="33">
        <f>SUM(BE188:BH188)</f>
        <v>478</v>
      </c>
      <c r="BJ188" s="32">
        <v>105</v>
      </c>
      <c r="BK188" s="32">
        <v>106</v>
      </c>
      <c r="BL188" s="32">
        <v>113</v>
      </c>
      <c r="BM188" s="199">
        <v>97</v>
      </c>
      <c r="BN188" s="33">
        <f>SUM(BJ188:BM188)</f>
        <v>421</v>
      </c>
      <c r="BO188" s="32">
        <v>113</v>
      </c>
      <c r="BP188" s="32">
        <v>103</v>
      </c>
      <c r="BQ188" s="32">
        <v>100</v>
      </c>
      <c r="BR188" s="199">
        <v>96</v>
      </c>
      <c r="BS188" s="33">
        <f>SUM(BO188:BR188)</f>
        <v>412</v>
      </c>
      <c r="BT188" s="32">
        <v>107</v>
      </c>
      <c r="BU188" s="32">
        <v>102</v>
      </c>
      <c r="BV188" s="32">
        <v>105</v>
      </c>
      <c r="BW188" s="199">
        <v>105</v>
      </c>
      <c r="BX188" s="33">
        <f>SUM(BT188:BW188)</f>
        <v>419</v>
      </c>
      <c r="BY188" s="32">
        <v>102</v>
      </c>
      <c r="BZ188" s="32">
        <v>101</v>
      </c>
      <c r="CA188" s="32">
        <v>79</v>
      </c>
      <c r="CB188" s="199">
        <v>37</v>
      </c>
      <c r="CC188" s="33"/>
      <c r="CD188" s="32"/>
      <c r="CE188" s="32"/>
      <c r="CF188" s="32"/>
      <c r="CG188" s="199"/>
      <c r="CH188" s="33"/>
      <c r="CI188" s="32"/>
      <c r="CJ188" s="32"/>
      <c r="CK188" s="32"/>
      <c r="CL188" s="199"/>
      <c r="CM188" s="33"/>
      <c r="CN188" s="32"/>
      <c r="CO188" s="32"/>
      <c r="CP188" s="32"/>
      <c r="CQ188" s="199"/>
      <c r="CR188" s="33"/>
      <c r="CS188" s="32"/>
      <c r="CT188" s="32"/>
      <c r="CU188" s="32"/>
      <c r="CV188" s="199"/>
      <c r="CW188" s="33"/>
      <c r="CX188" s="32"/>
      <c r="CY188" s="32"/>
      <c r="CZ188" s="32"/>
      <c r="DA188" s="32"/>
      <c r="DB188" s="33"/>
      <c r="DC188" s="32"/>
      <c r="DD188" s="32"/>
      <c r="DE188" s="32"/>
      <c r="DF188" s="32"/>
      <c r="DG188" s="89"/>
      <c r="DH188" s="32"/>
      <c r="DI188" s="32"/>
      <c r="DJ188" s="32"/>
      <c r="DK188" s="32"/>
      <c r="DL188" s="89"/>
      <c r="DM188" s="32"/>
      <c r="DN188" s="32"/>
      <c r="DO188" s="32"/>
      <c r="DP188" s="32"/>
      <c r="DQ188" s="89"/>
      <c r="DR188" s="32"/>
      <c r="DS188" s="32"/>
      <c r="DT188" s="88"/>
      <c r="DU188" s="32"/>
      <c r="DV188" s="89"/>
      <c r="DW188" s="32"/>
      <c r="DX188" s="32"/>
      <c r="DY188" s="88"/>
      <c r="DZ188" s="32"/>
      <c r="EA188" s="89"/>
      <c r="EB188" s="32"/>
      <c r="EC188" s="32"/>
      <c r="ED188" s="88"/>
      <c r="EE188" s="32"/>
      <c r="EF188" s="89"/>
      <c r="EG188" s="32"/>
      <c r="EH188" s="32"/>
      <c r="EI188" s="88"/>
      <c r="EJ188" s="32"/>
      <c r="EK188" s="89"/>
      <c r="EL188" s="32"/>
      <c r="EM188" s="32"/>
      <c r="EN188" s="88"/>
      <c r="EO188" s="32"/>
      <c r="EP188" s="89"/>
      <c r="EQ188" s="32"/>
      <c r="ER188" s="88"/>
      <c r="ES188" s="88"/>
      <c r="ET188" s="88"/>
      <c r="EU188" s="1980"/>
      <c r="EV188" s="88"/>
      <c r="EW188" s="88"/>
      <c r="EX188" s="88"/>
      <c r="EY188" s="88"/>
      <c r="EZ188" s="866"/>
      <c r="FA188" s="88"/>
      <c r="FB188" s="88"/>
      <c r="FC188" s="88"/>
      <c r="FD188" s="88"/>
      <c r="FE188" s="866"/>
      <c r="FF188" s="792"/>
      <c r="FG188" s="656"/>
      <c r="FH188" s="1034"/>
      <c r="FI188" s="1034"/>
      <c r="FJ188" s="1034"/>
      <c r="FK188" s="1034"/>
      <c r="FL188" s="1822"/>
      <c r="FM188" s="32">
        <f t="shared" si="624"/>
        <v>0</v>
      </c>
      <c r="FN188" s="32">
        <f t="shared" si="625"/>
        <v>0</v>
      </c>
      <c r="FO188" s="88"/>
      <c r="FP188" s="32"/>
      <c r="FQ188" s="32"/>
      <c r="FR188" s="540"/>
      <c r="FS188" s="540"/>
      <c r="FT188" s="540"/>
      <c r="FU188" s="540"/>
      <c r="FV188" s="540"/>
      <c r="FW188" s="540"/>
      <c r="FX188" s="540"/>
      <c r="FY188" s="540"/>
      <c r="FZ188" s="540"/>
      <c r="GA188" s="656"/>
      <c r="GB188"/>
      <c r="GC188"/>
      <c r="GD188"/>
      <c r="GE188"/>
      <c r="GF188"/>
      <c r="GG188"/>
      <c r="GH188" s="972"/>
      <c r="GI188" s="972"/>
      <c r="GJ188" s="972"/>
      <c r="GK188" s="972"/>
      <c r="GL188" s="972"/>
      <c r="GM188" s="972"/>
      <c r="GN188" s="972"/>
      <c r="GO188" s="972"/>
      <c r="GP188" s="972"/>
      <c r="GQ188" s="972"/>
      <c r="GR188" s="972"/>
      <c r="GS188" s="972"/>
      <c r="GT188" s="972"/>
      <c r="GU188" s="972"/>
      <c r="GV188" s="972"/>
      <c r="GW188" s="972"/>
      <c r="GX188" s="972"/>
      <c r="GY188" s="972"/>
      <c r="GZ188" s="972"/>
      <c r="HA188" s="972"/>
      <c r="HB188" s="972"/>
      <c r="HC188" s="972"/>
      <c r="HD188" s="972"/>
      <c r="HE188" s="972"/>
      <c r="HF188" s="972"/>
      <c r="HG188" s="972"/>
      <c r="HH188" s="972"/>
      <c r="HI188" s="972"/>
      <c r="HJ188" s="972"/>
      <c r="HK188" s="972"/>
      <c r="HL188" s="972"/>
      <c r="HM188" s="972"/>
      <c r="HN188" s="972"/>
      <c r="HO188" s="972"/>
      <c r="HP188" s="972"/>
      <c r="HQ188" s="972"/>
      <c r="HR188" s="972"/>
      <c r="HS188" s="972"/>
      <c r="HT188" s="972"/>
      <c r="HU188" s="972"/>
      <c r="HV188" s="972"/>
      <c r="HW188" s="972"/>
      <c r="HX188" s="972"/>
      <c r="HY188" s="972"/>
      <c r="HZ188" s="972"/>
      <c r="IA188" s="972"/>
      <c r="IB188" s="972"/>
      <c r="IC188" s="972"/>
      <c r="ID188" s="972"/>
      <c r="IE188" s="972"/>
      <c r="IF188" s="972"/>
      <c r="IG188" s="972"/>
      <c r="IH188" s="972"/>
      <c r="II188" s="972"/>
      <c r="IJ188" s="972"/>
      <c r="IK188" s="972"/>
      <c r="IL188" s="972"/>
      <c r="IM188" s="972"/>
      <c r="IN188" s="972"/>
      <c r="IO188" s="972"/>
      <c r="IP188" s="972"/>
      <c r="IQ188" s="972"/>
      <c r="IR188" s="972"/>
      <c r="IS188" s="972"/>
      <c r="IT188" s="972"/>
      <c r="IU188" s="972"/>
      <c r="IV188" s="972"/>
    </row>
    <row r="189" spans="1:256" s="99" customFormat="1" ht="12.75" hidden="1" x14ac:dyDescent="0.2">
      <c r="A189" s="44" t="s">
        <v>74</v>
      </c>
      <c r="B189" s="22"/>
      <c r="C189" s="22"/>
      <c r="D189" s="22"/>
      <c r="E189" s="197"/>
      <c r="F189" s="21"/>
      <c r="G189" s="22"/>
      <c r="H189" s="22"/>
      <c r="I189" s="22"/>
      <c r="J189" s="197"/>
      <c r="K189" s="21"/>
      <c r="L189" s="22"/>
      <c r="M189" s="22"/>
      <c r="N189" s="22"/>
      <c r="O189" s="197"/>
      <c r="P189" s="21"/>
      <c r="Q189" s="22"/>
      <c r="R189" s="22"/>
      <c r="S189" s="22"/>
      <c r="T189" s="197"/>
      <c r="U189" s="21"/>
      <c r="V189" s="22"/>
      <c r="W189" s="22"/>
      <c r="X189" s="22"/>
      <c r="Y189" s="197"/>
      <c r="Z189" s="21"/>
      <c r="AA189" s="22"/>
      <c r="AB189" s="22"/>
      <c r="AC189" s="22"/>
      <c r="AD189" s="197"/>
      <c r="AE189" s="21"/>
      <c r="AF189" s="22"/>
      <c r="AG189" s="22"/>
      <c r="AH189" s="22"/>
      <c r="AI189" s="197"/>
      <c r="AJ189" s="21"/>
      <c r="AK189" s="22"/>
      <c r="AL189" s="22"/>
      <c r="AM189" s="22"/>
      <c r="AN189" s="197"/>
      <c r="AO189" s="21"/>
      <c r="AP189" s="22"/>
      <c r="AQ189" s="22"/>
      <c r="AR189" s="22"/>
      <c r="AS189" s="197"/>
      <c r="AT189" s="21"/>
      <c r="AU189" s="22"/>
      <c r="AV189" s="22"/>
      <c r="AW189" s="22"/>
      <c r="AX189" s="197"/>
      <c r="AY189" s="21"/>
      <c r="AZ189" s="22"/>
      <c r="BA189" s="22"/>
      <c r="BB189" s="22"/>
      <c r="BC189" s="197"/>
      <c r="BD189" s="21"/>
      <c r="BE189" s="22"/>
      <c r="BF189" s="22">
        <f t="shared" ref="BF189:CB189" si="691">BF188/BA188-1</f>
        <v>1.4313725490196076</v>
      </c>
      <c r="BG189" s="22">
        <f t="shared" si="691"/>
        <v>-0.15602836879432624</v>
      </c>
      <c r="BH189" s="197">
        <f t="shared" si="691"/>
        <v>-4.2016806722689037E-2</v>
      </c>
      <c r="BI189" s="21">
        <f t="shared" si="691"/>
        <v>0.53697749196141475</v>
      </c>
      <c r="BJ189" s="22">
        <f t="shared" si="691"/>
        <v>-0.13223140495867769</v>
      </c>
      <c r="BK189" s="22">
        <f t="shared" si="691"/>
        <v>-0.14516129032258063</v>
      </c>
      <c r="BL189" s="22">
        <f t="shared" si="691"/>
        <v>-5.0420168067226934E-2</v>
      </c>
      <c r="BM189" s="197">
        <f t="shared" si="691"/>
        <v>-0.14912280701754388</v>
      </c>
      <c r="BN189" s="21">
        <f t="shared" si="691"/>
        <v>-0.11924686192468614</v>
      </c>
      <c r="BO189" s="22">
        <f t="shared" si="691"/>
        <v>7.6190476190476142E-2</v>
      </c>
      <c r="BP189" s="22">
        <f t="shared" si="691"/>
        <v>-2.8301886792452824E-2</v>
      </c>
      <c r="BQ189" s="22">
        <f t="shared" si="691"/>
        <v>-0.11504424778761058</v>
      </c>
      <c r="BR189" s="197">
        <f t="shared" si="691"/>
        <v>-1.0309278350515427E-2</v>
      </c>
      <c r="BS189" s="21">
        <f t="shared" si="691"/>
        <v>-2.1377672209026088E-2</v>
      </c>
      <c r="BT189" s="22">
        <f t="shared" si="691"/>
        <v>-5.3097345132743334E-2</v>
      </c>
      <c r="BU189" s="22">
        <f t="shared" si="691"/>
        <v>-9.7087378640776656E-3</v>
      </c>
      <c r="BV189" s="22">
        <f t="shared" si="691"/>
        <v>5.0000000000000044E-2</v>
      </c>
      <c r="BW189" s="197">
        <f t="shared" si="691"/>
        <v>9.375E-2</v>
      </c>
      <c r="BX189" s="21">
        <f t="shared" si="691"/>
        <v>1.6990291262136026E-2</v>
      </c>
      <c r="BY189" s="22">
        <f t="shared" si="691"/>
        <v>-4.6728971962616828E-2</v>
      </c>
      <c r="BZ189" s="22">
        <f t="shared" si="691"/>
        <v>-9.8039215686274161E-3</v>
      </c>
      <c r="CA189" s="22">
        <f t="shared" si="691"/>
        <v>-0.24761904761904763</v>
      </c>
      <c r="CB189" s="197">
        <f t="shared" si="691"/>
        <v>-0.64761904761904754</v>
      </c>
      <c r="CC189" s="21"/>
      <c r="CD189" s="22"/>
      <c r="CE189" s="22"/>
      <c r="CF189" s="22"/>
      <c r="CG189" s="197"/>
      <c r="CH189" s="21"/>
      <c r="CI189" s="22"/>
      <c r="CJ189" s="22"/>
      <c r="CK189" s="22"/>
      <c r="CL189" s="197"/>
      <c r="CM189" s="21"/>
      <c r="CN189" s="22"/>
      <c r="CO189" s="22"/>
      <c r="CP189" s="22"/>
      <c r="CQ189" s="197"/>
      <c r="CR189" s="21"/>
      <c r="CS189" s="22"/>
      <c r="CT189" s="22"/>
      <c r="CU189" s="22"/>
      <c r="CV189" s="197"/>
      <c r="CW189" s="21"/>
      <c r="CX189" s="22"/>
      <c r="CY189" s="22"/>
      <c r="CZ189" s="22"/>
      <c r="DA189" s="22"/>
      <c r="DB189" s="21"/>
      <c r="DC189" s="22"/>
      <c r="DD189" s="22"/>
      <c r="DE189" s="22"/>
      <c r="DF189" s="22"/>
      <c r="DG189" s="21"/>
      <c r="DH189" s="22"/>
      <c r="DI189" s="22"/>
      <c r="DJ189" s="22"/>
      <c r="DK189" s="22"/>
      <c r="DL189" s="21"/>
      <c r="DM189" s="22"/>
      <c r="DN189" s="22"/>
      <c r="DO189" s="22"/>
      <c r="DP189" s="22"/>
      <c r="DQ189" s="21"/>
      <c r="DR189" s="22"/>
      <c r="DS189" s="22"/>
      <c r="DT189" s="22"/>
      <c r="DU189" s="22"/>
      <c r="DV189" s="21"/>
      <c r="DW189" s="22"/>
      <c r="DX189" s="22"/>
      <c r="DY189" s="22"/>
      <c r="DZ189" s="22"/>
      <c r="EA189" s="21"/>
      <c r="EB189" s="22"/>
      <c r="EC189" s="22"/>
      <c r="ED189" s="22"/>
      <c r="EE189" s="22"/>
      <c r="EF189" s="21"/>
      <c r="EG189" s="22"/>
      <c r="EH189" s="22"/>
      <c r="EI189" s="22"/>
      <c r="EJ189" s="22"/>
      <c r="EK189" s="21"/>
      <c r="EL189" s="22"/>
      <c r="EM189" s="22"/>
      <c r="EN189" s="22"/>
      <c r="EO189" s="22"/>
      <c r="EP189" s="21"/>
      <c r="EQ189" s="22"/>
      <c r="ER189" s="22"/>
      <c r="ES189" s="22"/>
      <c r="ET189" s="22"/>
      <c r="EU189" s="270"/>
      <c r="EV189" s="96"/>
      <c r="EW189" s="96"/>
      <c r="EX189" s="96"/>
      <c r="EY189" s="96"/>
      <c r="EZ189" s="844"/>
      <c r="FA189" s="96"/>
      <c r="FB189" s="96"/>
      <c r="FC189" s="96"/>
      <c r="FD189" s="96"/>
      <c r="FE189" s="844"/>
      <c r="FF189" s="784"/>
      <c r="FG189" s="656"/>
      <c r="FH189" s="1039"/>
      <c r="FI189" s="1039"/>
      <c r="FJ189" s="1039"/>
      <c r="FK189" s="1039"/>
      <c r="FL189" s="1813"/>
      <c r="FM189" s="22">
        <f t="shared" si="624"/>
        <v>0</v>
      </c>
      <c r="FN189" s="22">
        <f t="shared" si="625"/>
        <v>0</v>
      </c>
      <c r="FO189" s="2041"/>
      <c r="FP189" s="22"/>
      <c r="FQ189" s="22"/>
      <c r="FR189" s="86"/>
      <c r="FS189" s="86"/>
      <c r="FT189" s="86"/>
      <c r="FU189" s="86"/>
      <c r="FV189" s="86"/>
      <c r="FW189" s="86"/>
      <c r="FX189" s="86"/>
      <c r="FY189" s="86"/>
      <c r="FZ189" s="86"/>
      <c r="GA189" s="656"/>
      <c r="GB189"/>
      <c r="GC189"/>
      <c r="GD189"/>
      <c r="GE189"/>
      <c r="GF189"/>
      <c r="GG189"/>
      <c r="GH189" s="974"/>
      <c r="GI189" s="974"/>
      <c r="GJ189" s="974"/>
      <c r="GK189" s="974"/>
      <c r="GL189" s="974"/>
      <c r="GM189" s="974"/>
      <c r="GN189" s="974"/>
      <c r="GO189" s="974"/>
      <c r="GP189" s="974"/>
      <c r="GQ189" s="974"/>
      <c r="GR189" s="974"/>
      <c r="GS189" s="974"/>
      <c r="GT189" s="974"/>
      <c r="GU189" s="974"/>
      <c r="GV189" s="974"/>
      <c r="GW189" s="974"/>
      <c r="GX189" s="974"/>
      <c r="GY189" s="974"/>
      <c r="GZ189" s="974"/>
      <c r="HA189" s="974"/>
      <c r="HB189" s="974"/>
      <c r="HC189" s="974"/>
      <c r="HD189" s="974"/>
      <c r="HE189" s="974"/>
      <c r="HF189" s="974"/>
      <c r="HG189" s="974"/>
      <c r="HH189" s="974"/>
      <c r="HI189" s="974"/>
      <c r="HJ189" s="974"/>
      <c r="HK189" s="974"/>
      <c r="HL189" s="974"/>
      <c r="HM189" s="974"/>
      <c r="HN189" s="974"/>
      <c r="HO189" s="974"/>
      <c r="HP189" s="974"/>
      <c r="HQ189" s="974"/>
      <c r="HR189" s="974"/>
      <c r="HS189" s="974"/>
      <c r="HT189" s="974"/>
      <c r="HU189" s="974"/>
      <c r="HV189" s="974"/>
      <c r="HW189" s="974"/>
      <c r="HX189" s="974"/>
      <c r="HY189" s="974"/>
      <c r="HZ189" s="974"/>
      <c r="IA189" s="974"/>
      <c r="IB189" s="974"/>
      <c r="IC189" s="974"/>
      <c r="ID189" s="974"/>
      <c r="IE189" s="974"/>
      <c r="IF189" s="974"/>
      <c r="IG189" s="974"/>
      <c r="IH189" s="974"/>
      <c r="II189" s="974"/>
      <c r="IJ189" s="974"/>
      <c r="IK189" s="974"/>
      <c r="IL189" s="974"/>
      <c r="IM189" s="974"/>
      <c r="IN189" s="974"/>
      <c r="IO189" s="974"/>
      <c r="IP189" s="974"/>
      <c r="IQ189" s="974"/>
      <c r="IR189" s="974"/>
      <c r="IS189" s="974"/>
      <c r="IT189" s="974"/>
      <c r="IU189" s="974"/>
      <c r="IV189" s="974"/>
    </row>
    <row r="190" spans="1:256" s="56" customFormat="1" ht="12.75" hidden="1" x14ac:dyDescent="0.2">
      <c r="A190" s="105" t="s">
        <v>471</v>
      </c>
      <c r="B190" s="27"/>
      <c r="C190" s="27"/>
      <c r="D190" s="27"/>
      <c r="E190" s="213"/>
      <c r="F190" s="28"/>
      <c r="G190" s="27"/>
      <c r="H190" s="27"/>
      <c r="I190" s="27"/>
      <c r="J190" s="213"/>
      <c r="K190" s="28"/>
      <c r="L190" s="27"/>
      <c r="M190" s="27"/>
      <c r="N190" s="27"/>
      <c r="O190" s="213"/>
      <c r="P190" s="28"/>
      <c r="Q190" s="27"/>
      <c r="R190" s="27"/>
      <c r="S190" s="27"/>
      <c r="T190" s="213"/>
      <c r="U190" s="28"/>
      <c r="V190" s="27"/>
      <c r="W190" s="27"/>
      <c r="X190" s="27"/>
      <c r="Y190" s="213"/>
      <c r="Z190" s="28"/>
      <c r="AA190" s="27"/>
      <c r="AB190" s="27"/>
      <c r="AC190" s="27"/>
      <c r="AD190" s="213"/>
      <c r="AE190" s="28"/>
      <c r="AF190" s="27"/>
      <c r="AG190" s="27"/>
      <c r="AH190" s="27"/>
      <c r="AI190" s="213"/>
      <c r="AJ190" s="28"/>
      <c r="AK190" s="27"/>
      <c r="AL190" s="27"/>
      <c r="AM190" s="27"/>
      <c r="AN190" s="213"/>
      <c r="AO190" s="28"/>
      <c r="AP190" s="27"/>
      <c r="AQ190" s="27"/>
      <c r="AR190" s="27"/>
      <c r="AS190" s="213"/>
      <c r="AT190" s="28"/>
      <c r="AU190" s="27"/>
      <c r="AV190" s="27"/>
      <c r="AW190" s="27"/>
      <c r="AX190" s="213"/>
      <c r="AY190" s="28"/>
      <c r="AZ190" s="27"/>
      <c r="BA190" s="27">
        <f t="shared" ref="BA190:CB190" si="692">BA188/BA$214</f>
        <v>5.1204819277108432E-2</v>
      </c>
      <c r="BB190" s="27">
        <f t="shared" si="692"/>
        <v>0.10413589364844904</v>
      </c>
      <c r="BC190" s="213">
        <f t="shared" si="692"/>
        <v>8.9205397301349326E-2</v>
      </c>
      <c r="BD190" s="28">
        <f t="shared" si="692"/>
        <v>6.9466160375251287E-2</v>
      </c>
      <c r="BE190" s="27">
        <f t="shared" si="692"/>
        <v>8.7744742567077594E-2</v>
      </c>
      <c r="BF190" s="27">
        <f t="shared" si="692"/>
        <v>9.4368340943683404E-2</v>
      </c>
      <c r="BG190" s="27">
        <f t="shared" si="692"/>
        <v>8.987915407854985E-2</v>
      </c>
      <c r="BH190" s="213">
        <f t="shared" si="692"/>
        <v>8.4821428571428575E-2</v>
      </c>
      <c r="BI190" s="28">
        <f t="shared" si="692"/>
        <v>8.9162469688490953E-2</v>
      </c>
      <c r="BJ190" s="27">
        <f t="shared" si="692"/>
        <v>7.8651685393258425E-2</v>
      </c>
      <c r="BK190" s="27">
        <f t="shared" si="692"/>
        <v>8.0916030534351147E-2</v>
      </c>
      <c r="BL190" s="27">
        <f t="shared" si="692"/>
        <v>8.9469517022961201E-2</v>
      </c>
      <c r="BM190" s="213">
        <f t="shared" si="692"/>
        <v>7.7290836653386458E-2</v>
      </c>
      <c r="BN190" s="28">
        <f t="shared" si="692"/>
        <v>8.154173929885726E-2</v>
      </c>
      <c r="BO190" s="27">
        <f t="shared" si="692"/>
        <v>8.9611419508326726E-2</v>
      </c>
      <c r="BP190" s="27">
        <f t="shared" si="692"/>
        <v>8.1038552321007082E-2</v>
      </c>
      <c r="BQ190" s="27">
        <f t="shared" si="692"/>
        <v>7.7700077700077697E-2</v>
      </c>
      <c r="BR190" s="213">
        <f t="shared" si="692"/>
        <v>7.4245939675174011E-2</v>
      </c>
      <c r="BS190" s="28">
        <f t="shared" si="692"/>
        <v>8.0594679186228479E-2</v>
      </c>
      <c r="BT190" s="27">
        <f t="shared" si="692"/>
        <v>8.045112781954887E-2</v>
      </c>
      <c r="BU190" s="27">
        <f t="shared" si="692"/>
        <v>7.6404494382022473E-2</v>
      </c>
      <c r="BV190" s="27">
        <f t="shared" si="692"/>
        <v>8.1585081585081584E-2</v>
      </c>
      <c r="BW190" s="213">
        <f t="shared" si="692"/>
        <v>7.8066914498141265E-2</v>
      </c>
      <c r="BX190" s="28">
        <f t="shared" si="692"/>
        <v>7.9101378138569003E-2</v>
      </c>
      <c r="BY190" s="27">
        <f t="shared" si="692"/>
        <v>7.5723830734966593E-2</v>
      </c>
      <c r="BZ190" s="27">
        <f t="shared" si="692"/>
        <v>7.276657060518732E-2</v>
      </c>
      <c r="CA190" s="27">
        <f t="shared" si="692"/>
        <v>5.6916426512968299E-2</v>
      </c>
      <c r="CB190" s="213">
        <f t="shared" si="692"/>
        <v>2.488231338264963E-2</v>
      </c>
      <c r="CC190" s="28"/>
      <c r="CD190" s="27"/>
      <c r="CE190" s="27"/>
      <c r="CF190" s="27"/>
      <c r="CG190" s="213"/>
      <c r="CH190" s="28"/>
      <c r="CI190" s="27"/>
      <c r="CJ190" s="27"/>
      <c r="CK190" s="27"/>
      <c r="CL190" s="213"/>
      <c r="CM190" s="28"/>
      <c r="CN190" s="27"/>
      <c r="CO190" s="27"/>
      <c r="CP190" s="27"/>
      <c r="CQ190" s="213"/>
      <c r="CR190" s="28"/>
      <c r="CS190" s="27"/>
      <c r="CT190" s="27"/>
      <c r="CU190" s="27"/>
      <c r="CV190" s="213"/>
      <c r="CW190" s="28"/>
      <c r="CX190" s="107"/>
      <c r="CY190" s="107"/>
      <c r="CZ190" s="107"/>
      <c r="DA190" s="27"/>
      <c r="DB190" s="28"/>
      <c r="DC190" s="107"/>
      <c r="DD190" s="107"/>
      <c r="DE190" s="107"/>
      <c r="DF190" s="27"/>
      <c r="DG190" s="108"/>
      <c r="DH190" s="27"/>
      <c r="DI190" s="107"/>
      <c r="DJ190" s="107"/>
      <c r="DK190" s="27"/>
      <c r="DL190" s="108"/>
      <c r="DM190" s="27"/>
      <c r="DN190" s="107"/>
      <c r="DO190" s="107"/>
      <c r="DP190" s="27"/>
      <c r="DQ190" s="108"/>
      <c r="DR190" s="27"/>
      <c r="DS190" s="107"/>
      <c r="DT190" s="27"/>
      <c r="DU190" s="27"/>
      <c r="DV190" s="108"/>
      <c r="DW190" s="27"/>
      <c r="DX190" s="107"/>
      <c r="DY190" s="27"/>
      <c r="DZ190" s="27"/>
      <c r="EA190" s="108"/>
      <c r="EB190" s="27"/>
      <c r="EC190" s="107"/>
      <c r="ED190" s="27"/>
      <c r="EE190" s="27"/>
      <c r="EF190" s="108"/>
      <c r="EG190" s="27"/>
      <c r="EH190" s="107"/>
      <c r="EI190" s="27"/>
      <c r="EJ190" s="27"/>
      <c r="EK190" s="108"/>
      <c r="EL190" s="27"/>
      <c r="EM190" s="107"/>
      <c r="EN190" s="27"/>
      <c r="EO190" s="27"/>
      <c r="EP190" s="108"/>
      <c r="EQ190" s="27"/>
      <c r="ER190" s="27"/>
      <c r="ES190" s="27"/>
      <c r="ET190" s="27"/>
      <c r="EU190" s="1981"/>
      <c r="EV190" s="106"/>
      <c r="EW190" s="106"/>
      <c r="EX190" s="106"/>
      <c r="EY190" s="106"/>
      <c r="EZ190" s="835"/>
      <c r="FA190" s="106"/>
      <c r="FB190" s="106"/>
      <c r="FC190" s="106"/>
      <c r="FD190" s="106"/>
      <c r="FE190" s="835"/>
      <c r="FF190" s="768"/>
      <c r="FG190" s="655"/>
      <c r="FH190" s="1039"/>
      <c r="FI190" s="1039"/>
      <c r="FJ190" s="1039"/>
      <c r="FK190" s="1039"/>
      <c r="FL190" s="1813"/>
      <c r="FM190" s="107">
        <f t="shared" si="624"/>
        <v>0</v>
      </c>
      <c r="FN190" s="107">
        <f t="shared" si="625"/>
        <v>0</v>
      </c>
      <c r="FO190" s="27"/>
      <c r="FP190" s="107"/>
      <c r="FQ190" s="107"/>
      <c r="FR190" s="575"/>
      <c r="FS190" s="575"/>
      <c r="FT190" s="575"/>
      <c r="FU190" s="575"/>
      <c r="FV190" s="575"/>
      <c r="FW190" s="575"/>
      <c r="FX190" s="575"/>
      <c r="FY190" s="575"/>
      <c r="FZ190" s="575"/>
      <c r="GA190" s="655"/>
      <c r="GB190"/>
      <c r="GC190"/>
      <c r="GD190"/>
      <c r="GE190"/>
      <c r="GF190"/>
      <c r="GG190"/>
      <c r="GH190" s="964"/>
      <c r="GI190" s="964"/>
      <c r="GJ190" s="964"/>
      <c r="GK190" s="964"/>
      <c r="GL190" s="964"/>
      <c r="GM190" s="964"/>
      <c r="GN190" s="964"/>
      <c r="GO190" s="964"/>
      <c r="GP190" s="964"/>
      <c r="GQ190" s="964"/>
      <c r="GR190" s="964"/>
      <c r="GS190" s="964"/>
      <c r="GT190" s="964"/>
      <c r="GU190" s="964"/>
      <c r="GV190" s="964"/>
      <c r="GW190" s="964"/>
      <c r="GX190" s="964"/>
      <c r="GY190" s="964"/>
      <c r="GZ190" s="964"/>
      <c r="HA190" s="964"/>
      <c r="HB190" s="964"/>
      <c r="HC190" s="964"/>
      <c r="HD190" s="964"/>
      <c r="HE190" s="964"/>
      <c r="HF190" s="964"/>
      <c r="HG190" s="964"/>
      <c r="HH190" s="964"/>
      <c r="HI190" s="964"/>
      <c r="HJ190" s="964"/>
      <c r="HK190" s="964"/>
      <c r="HL190" s="964"/>
      <c r="HM190" s="964"/>
      <c r="HN190" s="964"/>
      <c r="HO190" s="964"/>
      <c r="HP190" s="964"/>
      <c r="HQ190" s="964"/>
      <c r="HR190" s="964"/>
      <c r="HS190" s="964"/>
      <c r="HT190" s="964"/>
      <c r="HU190" s="964"/>
      <c r="HV190" s="964"/>
      <c r="HW190" s="964"/>
      <c r="HX190" s="964"/>
      <c r="HY190" s="964"/>
      <c r="HZ190" s="964"/>
      <c r="IA190" s="964"/>
      <c r="IB190" s="964"/>
      <c r="IC190" s="964"/>
      <c r="ID190" s="964"/>
      <c r="IE190" s="964"/>
      <c r="IF190" s="964"/>
      <c r="IG190" s="964"/>
      <c r="IH190" s="964"/>
      <c r="II190" s="964"/>
      <c r="IJ190" s="964"/>
      <c r="IK190" s="964"/>
      <c r="IL190" s="964"/>
      <c r="IM190" s="964"/>
      <c r="IN190" s="964"/>
      <c r="IO190" s="964"/>
      <c r="IP190" s="964"/>
      <c r="IQ190" s="964"/>
      <c r="IR190" s="964"/>
      <c r="IS190" s="964"/>
      <c r="IT190" s="964"/>
      <c r="IU190" s="964"/>
      <c r="IV190" s="964"/>
    </row>
    <row r="191" spans="1:256" s="49" customFormat="1" ht="12.75" hidden="1" x14ac:dyDescent="0.2">
      <c r="A191" s="35" t="str">
        <f>A188&amp;" per Carload"</f>
        <v>Conrail Rents &amp; Services per Carload</v>
      </c>
      <c r="B191" s="20"/>
      <c r="C191" s="20"/>
      <c r="D191" s="20"/>
      <c r="E191" s="205"/>
      <c r="F191" s="48"/>
      <c r="G191" s="20"/>
      <c r="H191" s="20"/>
      <c r="I191" s="20"/>
      <c r="J191" s="205"/>
      <c r="K191" s="48"/>
      <c r="L191" s="20"/>
      <c r="M191" s="20"/>
      <c r="N191" s="20"/>
      <c r="O191" s="205"/>
      <c r="P191" s="48"/>
      <c r="Q191" s="20"/>
      <c r="R191" s="20"/>
      <c r="S191" s="20"/>
      <c r="T191" s="205"/>
      <c r="U191" s="48"/>
      <c r="V191" s="20"/>
      <c r="W191" s="20"/>
      <c r="X191" s="20"/>
      <c r="Y191" s="205"/>
      <c r="Z191" s="48"/>
      <c r="AA191" s="20"/>
      <c r="AB191" s="20"/>
      <c r="AC191" s="20"/>
      <c r="AD191" s="205"/>
      <c r="AE191" s="48"/>
      <c r="AF191" s="20"/>
      <c r="AG191" s="20"/>
      <c r="AH191" s="20"/>
      <c r="AI191" s="205"/>
      <c r="AJ191" s="48"/>
      <c r="AK191" s="20"/>
      <c r="AL191" s="20"/>
      <c r="AM191" s="20"/>
      <c r="AN191" s="205"/>
      <c r="AO191" s="48"/>
      <c r="AP191" s="20"/>
      <c r="AQ191" s="20"/>
      <c r="AR191" s="20"/>
      <c r="AS191" s="205"/>
      <c r="AT191" s="48"/>
      <c r="AU191" s="20"/>
      <c r="AV191" s="20"/>
      <c r="AW191" s="20"/>
      <c r="AX191" s="205"/>
      <c r="AY191" s="48"/>
      <c r="AZ191" s="20"/>
      <c r="BA191" s="20">
        <f t="shared" ref="BA191:CB191" si="693">BA188/BA$13*1000</f>
        <v>37.242587994742223</v>
      </c>
      <c r="BB191" s="20">
        <f t="shared" si="693"/>
        <v>82.278111688160109</v>
      </c>
      <c r="BC191" s="205">
        <f t="shared" si="693"/>
        <v>69.223878165974426</v>
      </c>
      <c r="BD191" s="48">
        <f t="shared" si="693"/>
        <v>52.173679636830919</v>
      </c>
      <c r="BE191" s="20">
        <f t="shared" si="693"/>
        <v>72.131147540983605</v>
      </c>
      <c r="BF191" s="20">
        <f t="shared" si="693"/>
        <v>70.623077799293767</v>
      </c>
      <c r="BG191" s="20">
        <f t="shared" si="693"/>
        <v>68.698764576838713</v>
      </c>
      <c r="BH191" s="205">
        <f t="shared" si="693"/>
        <v>67.792578496669833</v>
      </c>
      <c r="BI191" s="48">
        <f t="shared" si="693"/>
        <v>69.810576740517888</v>
      </c>
      <c r="BJ191" s="20">
        <f t="shared" si="693"/>
        <v>63.497822931785187</v>
      </c>
      <c r="BK191" s="20">
        <f t="shared" si="693"/>
        <v>62.837156915051274</v>
      </c>
      <c r="BL191" s="20">
        <f t="shared" si="693"/>
        <v>69.602710194025249</v>
      </c>
      <c r="BM191" s="205">
        <f t="shared" si="693"/>
        <v>58.398976994415371</v>
      </c>
      <c r="BN191" s="48">
        <f t="shared" si="693"/>
        <v>63.547284915836833</v>
      </c>
      <c r="BO191" s="20">
        <f t="shared" si="693"/>
        <v>70.343625498007981</v>
      </c>
      <c r="BP191" s="20">
        <f t="shared" si="693"/>
        <v>60.005825808330911</v>
      </c>
      <c r="BQ191" s="20">
        <f t="shared" si="693"/>
        <v>57.61032377001959</v>
      </c>
      <c r="BR191" s="205">
        <f t="shared" si="693"/>
        <v>57.761732851985563</v>
      </c>
      <c r="BS191" s="48">
        <f t="shared" si="693"/>
        <v>61.303138065975268</v>
      </c>
      <c r="BT191" s="20">
        <f t="shared" si="693"/>
        <v>64.927184466019412</v>
      </c>
      <c r="BU191" s="20">
        <f t="shared" si="693"/>
        <v>58.762530245419974</v>
      </c>
      <c r="BV191" s="20">
        <f t="shared" si="693"/>
        <v>60.97915093791741</v>
      </c>
      <c r="BW191" s="205">
        <f t="shared" si="693"/>
        <v>59.81201936770151</v>
      </c>
      <c r="BX191" s="48">
        <f>BX188/BX$13*1000</f>
        <v>61.068034746108566</v>
      </c>
      <c r="BY191" s="20">
        <f t="shared" si="693"/>
        <v>58.053500284575982</v>
      </c>
      <c r="BZ191" s="20">
        <f t="shared" si="693"/>
        <v>53.860921501706486</v>
      </c>
      <c r="CA191" s="20">
        <f t="shared" si="693"/>
        <v>41.476347981309388</v>
      </c>
      <c r="CB191" s="205">
        <f t="shared" si="693"/>
        <v>19.19784153997821</v>
      </c>
      <c r="CC191" s="48"/>
      <c r="CD191" s="20"/>
      <c r="CE191" s="20"/>
      <c r="CF191" s="20"/>
      <c r="CG191" s="205"/>
      <c r="CH191" s="48"/>
      <c r="CI191" s="20"/>
      <c r="CJ191" s="20"/>
      <c r="CK191" s="20"/>
      <c r="CL191" s="205"/>
      <c r="CM191" s="48"/>
      <c r="CN191" s="20"/>
      <c r="CO191" s="20"/>
      <c r="CP191" s="20"/>
      <c r="CQ191" s="205"/>
      <c r="CR191" s="48"/>
      <c r="CS191" s="20"/>
      <c r="CT191" s="20"/>
      <c r="CU191" s="20"/>
      <c r="CV191" s="205"/>
      <c r="CW191" s="48"/>
      <c r="CX191" s="20"/>
      <c r="CY191" s="20"/>
      <c r="CZ191" s="20"/>
      <c r="DA191" s="20"/>
      <c r="DB191" s="48"/>
      <c r="DC191" s="20"/>
      <c r="DD191" s="20"/>
      <c r="DE191" s="20"/>
      <c r="DF191" s="20"/>
      <c r="DG191" s="48"/>
      <c r="DH191" s="20"/>
      <c r="DI191" s="20"/>
      <c r="DJ191" s="20"/>
      <c r="DK191" s="20"/>
      <c r="DL191" s="48"/>
      <c r="DM191" s="20"/>
      <c r="DN191" s="20"/>
      <c r="DO191" s="20"/>
      <c r="DP191" s="20"/>
      <c r="DQ191" s="48"/>
      <c r="DR191" s="20"/>
      <c r="DS191" s="20"/>
      <c r="DT191" s="20"/>
      <c r="DU191" s="20"/>
      <c r="DV191" s="48"/>
      <c r="DW191" s="20"/>
      <c r="DX191" s="20"/>
      <c r="DY191" s="20"/>
      <c r="DZ191" s="20"/>
      <c r="EA191" s="48"/>
      <c r="EB191" s="20"/>
      <c r="EC191" s="20"/>
      <c r="ED191" s="20"/>
      <c r="EE191" s="20"/>
      <c r="EF191" s="48"/>
      <c r="EG191" s="20"/>
      <c r="EH191" s="20"/>
      <c r="EI191" s="20"/>
      <c r="EJ191" s="20"/>
      <c r="EK191" s="48"/>
      <c r="EL191" s="20"/>
      <c r="EM191" s="20"/>
      <c r="EN191" s="20"/>
      <c r="EO191" s="20"/>
      <c r="EP191" s="48"/>
      <c r="EQ191" s="20"/>
      <c r="ER191" s="20"/>
      <c r="ES191" s="20"/>
      <c r="ET191" s="20"/>
      <c r="EU191" s="1954"/>
      <c r="EV191" s="20"/>
      <c r="EW191" s="20"/>
      <c r="EX191" s="20"/>
      <c r="EY191" s="20"/>
      <c r="EZ191" s="747"/>
      <c r="FA191" s="20"/>
      <c r="FB191" s="20"/>
      <c r="FC191" s="20"/>
      <c r="FD191" s="20"/>
      <c r="FE191" s="747"/>
      <c r="FF191" s="767"/>
      <c r="FG191" s="656"/>
      <c r="FH191" s="1031"/>
      <c r="FI191" s="1031"/>
      <c r="FJ191" s="1031"/>
      <c r="FK191" s="1031"/>
      <c r="FL191" s="1809"/>
      <c r="FM191" s="20">
        <f t="shared" si="624"/>
        <v>0</v>
      </c>
      <c r="FN191" s="20">
        <f t="shared" si="625"/>
        <v>0</v>
      </c>
      <c r="FO191" s="2048"/>
      <c r="FP191" s="20"/>
      <c r="FQ191" s="20"/>
      <c r="FR191" s="537"/>
      <c r="FS191" s="537"/>
      <c r="FT191" s="537"/>
      <c r="FU191" s="537"/>
      <c r="FV191" s="537"/>
      <c r="FW191" s="537"/>
      <c r="FX191" s="537"/>
      <c r="FY191" s="537"/>
      <c r="FZ191" s="537"/>
      <c r="GA191" s="656"/>
      <c r="GB191"/>
      <c r="GC191"/>
      <c r="GD191"/>
      <c r="GE191"/>
      <c r="GF191"/>
      <c r="GG191"/>
      <c r="GH191" s="963"/>
      <c r="GI191" s="963"/>
      <c r="GJ191" s="963"/>
      <c r="GK191" s="963"/>
      <c r="GL191" s="963"/>
      <c r="GM191" s="963"/>
      <c r="GN191" s="963"/>
      <c r="GO191" s="963"/>
      <c r="GP191" s="963"/>
      <c r="GQ191" s="963"/>
      <c r="GR191" s="963"/>
      <c r="GS191" s="963"/>
      <c r="GT191" s="963"/>
      <c r="GU191" s="963"/>
      <c r="GV191" s="963"/>
      <c r="GW191" s="963"/>
      <c r="GX191" s="963"/>
      <c r="GY191" s="963"/>
      <c r="GZ191" s="963"/>
      <c r="HA191" s="963"/>
      <c r="HB191" s="963"/>
      <c r="HC191" s="963"/>
      <c r="HD191" s="963"/>
      <c r="HE191" s="963"/>
      <c r="HF191" s="963"/>
      <c r="HG191" s="963"/>
      <c r="HH191" s="963"/>
      <c r="HI191" s="963"/>
      <c r="HJ191" s="963"/>
      <c r="HK191" s="963"/>
      <c r="HL191" s="963"/>
      <c r="HM191" s="963"/>
      <c r="HN191" s="963"/>
      <c r="HO191" s="963"/>
      <c r="HP191" s="963"/>
      <c r="HQ191" s="963"/>
      <c r="HR191" s="963"/>
      <c r="HS191" s="963"/>
      <c r="HT191" s="963"/>
      <c r="HU191" s="963"/>
      <c r="HV191" s="963"/>
      <c r="HW191" s="963"/>
      <c r="HX191" s="963"/>
      <c r="HY191" s="963"/>
      <c r="HZ191" s="963"/>
      <c r="IA191" s="963"/>
      <c r="IB191" s="963"/>
      <c r="IC191" s="963"/>
      <c r="ID191" s="963"/>
      <c r="IE191" s="963"/>
      <c r="IF191" s="963"/>
      <c r="IG191" s="963"/>
      <c r="IH191" s="963"/>
      <c r="II191" s="963"/>
      <c r="IJ191" s="963"/>
      <c r="IK191" s="963"/>
      <c r="IL191" s="963"/>
      <c r="IM191" s="963"/>
      <c r="IN191" s="963"/>
      <c r="IO191" s="963"/>
      <c r="IP191" s="963"/>
      <c r="IQ191" s="963"/>
      <c r="IR191" s="963"/>
      <c r="IS191" s="963"/>
      <c r="IT191" s="963"/>
      <c r="IU191" s="963"/>
      <c r="IV191" s="963"/>
    </row>
    <row r="192" spans="1:256" s="56" customFormat="1" ht="12.75" hidden="1" x14ac:dyDescent="0.2">
      <c r="A192" s="44" t="s">
        <v>74</v>
      </c>
      <c r="B192" s="22"/>
      <c r="C192" s="22"/>
      <c r="D192" s="22"/>
      <c r="E192" s="197"/>
      <c r="F192" s="21"/>
      <c r="G192" s="22"/>
      <c r="H192" s="22"/>
      <c r="I192" s="22"/>
      <c r="J192" s="197"/>
      <c r="K192" s="21"/>
      <c r="L192" s="22"/>
      <c r="M192" s="22"/>
      <c r="N192" s="22"/>
      <c r="O192" s="197"/>
      <c r="P192" s="21"/>
      <c r="Q192" s="22"/>
      <c r="R192" s="22"/>
      <c r="S192" s="22"/>
      <c r="T192" s="197"/>
      <c r="U192" s="21"/>
      <c r="V192" s="22"/>
      <c r="W192" s="22"/>
      <c r="X192" s="22"/>
      <c r="Y192" s="197"/>
      <c r="Z192" s="21"/>
      <c r="AA192" s="22"/>
      <c r="AB192" s="22"/>
      <c r="AC192" s="22"/>
      <c r="AD192" s="197"/>
      <c r="AE192" s="21"/>
      <c r="AF192" s="22"/>
      <c r="AG192" s="22"/>
      <c r="AH192" s="22"/>
      <c r="AI192" s="197"/>
      <c r="AJ192" s="21"/>
      <c r="AK192" s="22"/>
      <c r="AL192" s="22"/>
      <c r="AM192" s="22"/>
      <c r="AN192" s="197"/>
      <c r="AO192" s="21"/>
      <c r="AP192" s="22"/>
      <c r="AQ192" s="22"/>
      <c r="AR192" s="22"/>
      <c r="AS192" s="197"/>
      <c r="AT192" s="21"/>
      <c r="AU192" s="22"/>
      <c r="AV192" s="22"/>
      <c r="AW192" s="22"/>
      <c r="AX192" s="197"/>
      <c r="AY192" s="21"/>
      <c r="AZ192" s="22"/>
      <c r="BA192" s="22"/>
      <c r="BB192" s="22"/>
      <c r="BC192" s="197"/>
      <c r="BD192" s="21"/>
      <c r="BE192" s="22"/>
      <c r="BF192" s="22">
        <f t="shared" ref="BF192:CB192" si="694">BF191/BA191-1</f>
        <v>0.89629887722260548</v>
      </c>
      <c r="BG192" s="22">
        <f t="shared" si="694"/>
        <v>-0.16504203648703175</v>
      </c>
      <c r="BH192" s="197">
        <f t="shared" si="694"/>
        <v>-2.0676386634577715E-2</v>
      </c>
      <c r="BI192" s="21">
        <f t="shared" si="694"/>
        <v>0.33804204009480232</v>
      </c>
      <c r="BJ192" s="22">
        <f t="shared" si="694"/>
        <v>-0.11968927299115983</v>
      </c>
      <c r="BK192" s="22">
        <f t="shared" si="694"/>
        <v>-0.11024612813349166</v>
      </c>
      <c r="BL192" s="22">
        <f t="shared" si="694"/>
        <v>1.3158105866306835E-2</v>
      </c>
      <c r="BM192" s="197">
        <f t="shared" si="694"/>
        <v>-0.13856386215957106</v>
      </c>
      <c r="BN192" s="21">
        <f t="shared" si="694"/>
        <v>-8.9718379608313081E-2</v>
      </c>
      <c r="BO192" s="22">
        <f t="shared" si="694"/>
        <v>0.10781161070005729</v>
      </c>
      <c r="BP192" s="22">
        <f t="shared" si="694"/>
        <v>-4.5058230603080895E-2</v>
      </c>
      <c r="BQ192" s="22">
        <f t="shared" si="694"/>
        <v>-0.17229769344578039</v>
      </c>
      <c r="BR192" s="197">
        <f t="shared" si="694"/>
        <v>-1.0911905913878361E-2</v>
      </c>
      <c r="BS192" s="21">
        <f t="shared" si="694"/>
        <v>-3.5314598457412472E-2</v>
      </c>
      <c r="BT192" s="22">
        <f t="shared" si="694"/>
        <v>-7.6999742245897673E-2</v>
      </c>
      <c r="BU192" s="22">
        <f t="shared" si="694"/>
        <v>-2.0719580910064317E-2</v>
      </c>
      <c r="BV192" s="22">
        <f t="shared" si="694"/>
        <v>5.8476101980370343E-2</v>
      </c>
      <c r="BW192" s="197">
        <f t="shared" si="694"/>
        <v>3.54955853033323E-2</v>
      </c>
      <c r="BX192" s="21">
        <f t="shared" si="694"/>
        <v>-3.8350943733692633E-3</v>
      </c>
      <c r="BY192" s="22">
        <f t="shared" si="694"/>
        <v>-0.10586758440204458</v>
      </c>
      <c r="BZ192" s="22">
        <f t="shared" si="694"/>
        <v>-8.3413847620959602E-2</v>
      </c>
      <c r="CA192" s="22">
        <f t="shared" si="694"/>
        <v>-0.31982739439031771</v>
      </c>
      <c r="CB192" s="197">
        <f t="shared" si="694"/>
        <v>-0.67903037311017389</v>
      </c>
      <c r="CC192" s="21"/>
      <c r="CD192" s="22"/>
      <c r="CE192" s="22"/>
      <c r="CF192" s="22"/>
      <c r="CG192" s="197"/>
      <c r="CH192" s="21"/>
      <c r="CI192" s="22"/>
      <c r="CJ192" s="22"/>
      <c r="CK192" s="22"/>
      <c r="CL192" s="197"/>
      <c r="CM192" s="21"/>
      <c r="CN192" s="22"/>
      <c r="CO192" s="22"/>
      <c r="CP192" s="22"/>
      <c r="CQ192" s="197"/>
      <c r="CR192" s="21"/>
      <c r="CS192" s="22"/>
      <c r="CT192" s="22"/>
      <c r="CU192" s="22"/>
      <c r="CV192" s="197"/>
      <c r="CW192" s="21"/>
      <c r="CX192" s="22"/>
      <c r="CY192" s="22"/>
      <c r="CZ192" s="22"/>
      <c r="DA192" s="22"/>
      <c r="DB192" s="21"/>
      <c r="DC192" s="22"/>
      <c r="DD192" s="22"/>
      <c r="DE192" s="22"/>
      <c r="DF192" s="22"/>
      <c r="DG192" s="21"/>
      <c r="DH192" s="22"/>
      <c r="DI192" s="22"/>
      <c r="DJ192" s="22"/>
      <c r="DK192" s="22"/>
      <c r="DL192" s="21"/>
      <c r="DM192" s="22"/>
      <c r="DN192" s="22"/>
      <c r="DO192" s="22"/>
      <c r="DP192" s="22"/>
      <c r="DQ192" s="21"/>
      <c r="DR192" s="22"/>
      <c r="DS192" s="22"/>
      <c r="DT192" s="97"/>
      <c r="DU192" s="22"/>
      <c r="DV192" s="21"/>
      <c r="DW192" s="22"/>
      <c r="DX192" s="22"/>
      <c r="DY192" s="97"/>
      <c r="DZ192" s="22"/>
      <c r="EA192" s="21"/>
      <c r="EB192" s="22"/>
      <c r="EC192" s="22"/>
      <c r="ED192" s="97"/>
      <c r="EE192" s="22"/>
      <c r="EF192" s="21"/>
      <c r="EG192" s="22"/>
      <c r="EH192" s="22"/>
      <c r="EI192" s="97"/>
      <c r="EJ192" s="22"/>
      <c r="EK192" s="21"/>
      <c r="EL192" s="22"/>
      <c r="EM192" s="22"/>
      <c r="EN192" s="97"/>
      <c r="EO192" s="22"/>
      <c r="EP192" s="21"/>
      <c r="EQ192" s="22"/>
      <c r="ER192" s="97"/>
      <c r="ES192" s="97"/>
      <c r="ET192" s="97"/>
      <c r="EU192" s="270"/>
      <c r="EV192" s="96"/>
      <c r="EW192" s="96"/>
      <c r="EX192" s="96"/>
      <c r="EY192" s="96"/>
      <c r="EZ192" s="834"/>
      <c r="FA192" s="96"/>
      <c r="FB192" s="96"/>
      <c r="FC192" s="96"/>
      <c r="FD192" s="96"/>
      <c r="FE192" s="834"/>
      <c r="FF192" s="768"/>
      <c r="FG192" s="655"/>
      <c r="FH192" s="1039"/>
      <c r="FI192" s="1039"/>
      <c r="FJ192" s="1039"/>
      <c r="FK192" s="1039"/>
      <c r="FL192" s="1813"/>
      <c r="FM192" s="22">
        <f t="shared" si="624"/>
        <v>0</v>
      </c>
      <c r="FN192" s="22">
        <f t="shared" si="625"/>
        <v>0</v>
      </c>
      <c r="FO192" s="97"/>
      <c r="FP192" s="22"/>
      <c r="FQ192" s="22"/>
      <c r="FR192" s="575"/>
      <c r="FS192" s="575"/>
      <c r="FT192" s="575"/>
      <c r="FU192" s="575"/>
      <c r="FV192" s="575"/>
      <c r="FW192" s="575"/>
      <c r="FX192" s="575"/>
      <c r="FY192" s="575"/>
      <c r="FZ192" s="575"/>
      <c r="GA192" s="655"/>
      <c r="GB192"/>
      <c r="GC192"/>
      <c r="GD192"/>
      <c r="GE192"/>
      <c r="GF192"/>
      <c r="GG192"/>
      <c r="GH192" s="964"/>
      <c r="GI192" s="964"/>
      <c r="GJ192" s="964"/>
      <c r="GK192" s="964"/>
      <c r="GL192" s="964"/>
      <c r="GM192" s="964"/>
      <c r="GN192" s="964"/>
      <c r="GO192" s="964"/>
      <c r="GP192" s="964"/>
      <c r="GQ192" s="964"/>
      <c r="GR192" s="964"/>
      <c r="GS192" s="964"/>
      <c r="GT192" s="964"/>
      <c r="GU192" s="964"/>
      <c r="GV192" s="964"/>
      <c r="GW192" s="964"/>
      <c r="GX192" s="964"/>
      <c r="GY192" s="964"/>
      <c r="GZ192" s="964"/>
      <c r="HA192" s="964"/>
      <c r="HB192" s="964"/>
      <c r="HC192" s="964"/>
      <c r="HD192" s="964"/>
      <c r="HE192" s="964"/>
      <c r="HF192" s="964"/>
      <c r="HG192" s="964"/>
      <c r="HH192" s="964"/>
      <c r="HI192" s="964"/>
      <c r="HJ192" s="964"/>
      <c r="HK192" s="964"/>
      <c r="HL192" s="964"/>
      <c r="HM192" s="964"/>
      <c r="HN192" s="964"/>
      <c r="HO192" s="964"/>
      <c r="HP192" s="964"/>
      <c r="HQ192" s="964"/>
      <c r="HR192" s="964"/>
      <c r="HS192" s="964"/>
      <c r="HT192" s="964"/>
      <c r="HU192" s="964"/>
      <c r="HV192" s="964"/>
      <c r="HW192" s="964"/>
      <c r="HX192" s="964"/>
      <c r="HY192" s="964"/>
      <c r="HZ192" s="964"/>
      <c r="IA192" s="964"/>
      <c r="IB192" s="964"/>
      <c r="IC192" s="964"/>
      <c r="ID192" s="964"/>
      <c r="IE192" s="964"/>
      <c r="IF192" s="964"/>
      <c r="IG192" s="964"/>
      <c r="IH192" s="964"/>
      <c r="II192" s="964"/>
      <c r="IJ192" s="964"/>
      <c r="IK192" s="964"/>
      <c r="IL192" s="964"/>
      <c r="IM192" s="964"/>
      <c r="IN192" s="964"/>
      <c r="IO192" s="964"/>
      <c r="IP192" s="964"/>
      <c r="IQ192" s="964"/>
      <c r="IR192" s="964"/>
      <c r="IS192" s="964"/>
      <c r="IT192" s="964"/>
      <c r="IU192" s="964"/>
      <c r="IV192" s="964"/>
    </row>
    <row r="193" spans="1:256" s="541" customFormat="1" ht="12.75" x14ac:dyDescent="0.2">
      <c r="A193" s="121" t="s">
        <v>291</v>
      </c>
      <c r="B193" s="122">
        <v>34.799999999999997</v>
      </c>
      <c r="C193" s="122">
        <f>70.6-34.8</f>
        <v>35.799999999999997</v>
      </c>
      <c r="D193" s="122">
        <f>107.8-70.6</f>
        <v>37.200000000000003</v>
      </c>
      <c r="E193" s="533">
        <f>145.7-107.8</f>
        <v>37.899999999999991</v>
      </c>
      <c r="F193" s="534">
        <f>SUM(B193:E193)</f>
        <v>145.69999999999999</v>
      </c>
      <c r="G193" s="122">
        <v>51.5</v>
      </c>
      <c r="H193" s="122">
        <f>92.3-51.5</f>
        <v>40.799999999999997</v>
      </c>
      <c r="I193" s="122">
        <f>128.7-92.3</f>
        <v>36.399999999999991</v>
      </c>
      <c r="J193" s="533">
        <f>165.6-128.7</f>
        <v>36.900000000000006</v>
      </c>
      <c r="K193" s="534">
        <f>SUM(G193:J193)</f>
        <v>165.6</v>
      </c>
      <c r="L193" s="122">
        <v>37.9</v>
      </c>
      <c r="M193" s="122">
        <f>71.9-37.9</f>
        <v>34.000000000000007</v>
      </c>
      <c r="N193" s="122">
        <f>104.5-71.9</f>
        <v>32.599999999999994</v>
      </c>
      <c r="O193" s="533">
        <f>136-104.5</f>
        <v>31.5</v>
      </c>
      <c r="P193" s="534">
        <f>SUM(L193:O193)</f>
        <v>136</v>
      </c>
      <c r="Q193" s="122">
        <v>31.9</v>
      </c>
      <c r="R193" s="122">
        <f>57-28.8</f>
        <v>28.2</v>
      </c>
      <c r="S193" s="122">
        <f>92.9-62.4</f>
        <v>30.500000000000007</v>
      </c>
      <c r="T193" s="533">
        <f>121-92.9</f>
        <v>28.099999999999994</v>
      </c>
      <c r="U193" s="534">
        <f>SUM(Q193:T193)</f>
        <v>118.69999999999999</v>
      </c>
      <c r="V193" s="122">
        <v>30.4</v>
      </c>
      <c r="W193" s="122">
        <v>29.8</v>
      </c>
      <c r="X193" s="122">
        <v>30.5</v>
      </c>
      <c r="Y193" s="533">
        <v>28.4</v>
      </c>
      <c r="Z193" s="534">
        <f>SUM(V193:Y193)</f>
        <v>119.1</v>
      </c>
      <c r="AA193" s="122">
        <v>29.1</v>
      </c>
      <c r="AB193" s="122">
        <v>37.5</v>
      </c>
      <c r="AC193" s="122">
        <v>36.4</v>
      </c>
      <c r="AD193" s="533">
        <v>32.1</v>
      </c>
      <c r="AE193" s="534">
        <f>SUM(AA193:AD193)</f>
        <v>135.1</v>
      </c>
      <c r="AF193" s="122">
        <v>32.200000000000003</v>
      </c>
      <c r="AG193" s="122">
        <v>28.8</v>
      </c>
      <c r="AH193" s="122">
        <v>30.7</v>
      </c>
      <c r="AI193" s="533">
        <v>29.7</v>
      </c>
      <c r="AJ193" s="534">
        <f>SUM(AF193:AI193)</f>
        <v>121.4</v>
      </c>
      <c r="AK193" s="122">
        <v>34.700000000000003</v>
      </c>
      <c r="AL193" s="122">
        <v>30.9</v>
      </c>
      <c r="AM193" s="122">
        <v>28.2</v>
      </c>
      <c r="AN193" s="533">
        <v>29.6</v>
      </c>
      <c r="AO193" s="534">
        <f>SUM(AK193:AN193)</f>
        <v>123.4</v>
      </c>
      <c r="AP193" s="122">
        <v>29</v>
      </c>
      <c r="AQ193" s="122">
        <v>25.1</v>
      </c>
      <c r="AR193" s="122">
        <v>30.9</v>
      </c>
      <c r="AS193" s="533">
        <v>38</v>
      </c>
      <c r="AT193" s="534">
        <f>SUM(AP193:AS193)</f>
        <v>123</v>
      </c>
      <c r="AU193" s="122">
        <v>30</v>
      </c>
      <c r="AV193" s="122">
        <v>22</v>
      </c>
      <c r="AW193" s="122">
        <v>21</v>
      </c>
      <c r="AX193" s="533">
        <v>22</v>
      </c>
      <c r="AY193" s="534">
        <f>SUM(AU193:AX193)</f>
        <v>95</v>
      </c>
      <c r="AZ193" s="122">
        <v>35</v>
      </c>
      <c r="BA193" s="122">
        <v>29</v>
      </c>
      <c r="BB193" s="122">
        <v>36</v>
      </c>
      <c r="BC193" s="533">
        <v>38</v>
      </c>
      <c r="BD193" s="534">
        <f>SUM(AZ193:BC193)</f>
        <v>138</v>
      </c>
      <c r="BE193" s="122">
        <v>32</v>
      </c>
      <c r="BF193" s="122">
        <v>34</v>
      </c>
      <c r="BG193" s="122">
        <v>33</v>
      </c>
      <c r="BH193" s="533">
        <v>43</v>
      </c>
      <c r="BI193" s="534">
        <f>SUM(BE193:BH193)</f>
        <v>142</v>
      </c>
      <c r="BJ193" s="122">
        <v>37</v>
      </c>
      <c r="BK193" s="122">
        <v>40</v>
      </c>
      <c r="BL193" s="122">
        <v>32</v>
      </c>
      <c r="BM193" s="533">
        <v>34</v>
      </c>
      <c r="BN193" s="534">
        <f>SUM(BJ193:BM193)</f>
        <v>143</v>
      </c>
      <c r="BO193" s="122">
        <v>35</v>
      </c>
      <c r="BP193" s="122">
        <v>37</v>
      </c>
      <c r="BQ193" s="122">
        <v>57</v>
      </c>
      <c r="BR193" s="533">
        <v>42</v>
      </c>
      <c r="BS193" s="534">
        <f>SUM(BO193:BR193)</f>
        <v>171</v>
      </c>
      <c r="BT193" s="122">
        <v>51</v>
      </c>
      <c r="BU193" s="122">
        <v>47</v>
      </c>
      <c r="BV193" s="122">
        <v>44</v>
      </c>
      <c r="BW193" s="533">
        <v>39</v>
      </c>
      <c r="BX193" s="534">
        <f>SUM(BT193:BW193)</f>
        <v>181</v>
      </c>
      <c r="BY193" s="122">
        <v>40</v>
      </c>
      <c r="BZ193" s="122">
        <v>38</v>
      </c>
      <c r="CA193" s="122">
        <v>31</v>
      </c>
      <c r="CB193" s="533">
        <v>42</v>
      </c>
      <c r="CC193" s="534">
        <f>SUM(BY193:CB193)</f>
        <v>151</v>
      </c>
      <c r="CD193" s="122">
        <f>78</f>
        <v>78</v>
      </c>
      <c r="CE193" s="122">
        <v>40</v>
      </c>
      <c r="CF193" s="122">
        <v>59</v>
      </c>
      <c r="CG193" s="533">
        <v>47</v>
      </c>
      <c r="CH193" s="534">
        <f>SUM(CD193:CG193)</f>
        <v>224</v>
      </c>
      <c r="CI193" s="122">
        <v>53</v>
      </c>
      <c r="CJ193" s="122">
        <v>65</v>
      </c>
      <c r="CK193" s="122">
        <v>50</v>
      </c>
      <c r="CL193" s="533">
        <v>52</v>
      </c>
      <c r="CM193" s="534">
        <f>SUM(CI193:CL193)</f>
        <v>220</v>
      </c>
      <c r="CN193" s="122">
        <v>52</v>
      </c>
      <c r="CO193" s="122">
        <v>46</v>
      </c>
      <c r="CP193" s="122">
        <v>33</v>
      </c>
      <c r="CQ193" s="533">
        <v>40</v>
      </c>
      <c r="CR193" s="534">
        <f>SUM(CN193:CQ193)</f>
        <v>171</v>
      </c>
      <c r="CS193" s="122">
        <f>65-13</f>
        <v>52</v>
      </c>
      <c r="CT193" s="122">
        <f>42</f>
        <v>42</v>
      </c>
      <c r="CU193" s="122">
        <v>34</v>
      </c>
      <c r="CV193" s="533">
        <v>39</v>
      </c>
      <c r="CW193" s="534">
        <f>SUM(CS193:CV193)</f>
        <v>167</v>
      </c>
      <c r="CX193" s="122">
        <v>36</v>
      </c>
      <c r="CY193" s="122">
        <v>21</v>
      </c>
      <c r="CZ193" s="122">
        <v>23</v>
      </c>
      <c r="DA193" s="122">
        <v>22</v>
      </c>
      <c r="DB193" s="534">
        <f>SUM(CX193:DA193)</f>
        <v>102</v>
      </c>
      <c r="DC193" s="122">
        <v>34</v>
      </c>
      <c r="DD193" s="122">
        <v>39</v>
      </c>
      <c r="DE193" s="122">
        <v>32</v>
      </c>
      <c r="DF193" s="122">
        <v>37</v>
      </c>
      <c r="DG193" s="539">
        <f>SUM(DC193:DF193)</f>
        <v>142</v>
      </c>
      <c r="DH193" s="122">
        <v>41</v>
      </c>
      <c r="DI193" s="122">
        <v>43</v>
      </c>
      <c r="DJ193" s="122">
        <v>30</v>
      </c>
      <c r="DK193" s="122">
        <v>44</v>
      </c>
      <c r="DL193" s="539">
        <f>SUM(DH193:DK193)</f>
        <v>158</v>
      </c>
      <c r="DM193" s="122">
        <v>38</v>
      </c>
      <c r="DN193" s="122">
        <v>30</v>
      </c>
      <c r="DO193" s="122">
        <v>33</v>
      </c>
      <c r="DP193" s="122">
        <v>29</v>
      </c>
      <c r="DQ193" s="539">
        <f>SUM(DM193:DP193)</f>
        <v>130</v>
      </c>
      <c r="DR193" s="122">
        <v>35</v>
      </c>
      <c r="DS193" s="122">
        <v>20</v>
      </c>
      <c r="DT193" s="540">
        <v>23</v>
      </c>
      <c r="DU193" s="122">
        <v>12</v>
      </c>
      <c r="DV193" s="539">
        <f>SUM(DR193:DU193)</f>
        <v>90</v>
      </c>
      <c r="DW193" s="122">
        <v>30</v>
      </c>
      <c r="DX193" s="122">
        <v>42</v>
      </c>
      <c r="DY193" s="540">
        <v>35</v>
      </c>
      <c r="DZ193" s="122">
        <v>28</v>
      </c>
      <c r="EA193" s="539">
        <f>SUM(DW193:DZ193)</f>
        <v>135</v>
      </c>
      <c r="EB193" s="122">
        <v>36</v>
      </c>
      <c r="EC193" s="122">
        <v>26</v>
      </c>
      <c r="ED193" s="540">
        <v>27</v>
      </c>
      <c r="EE193" s="122">
        <v>48</v>
      </c>
      <c r="EF193" s="539">
        <f>SUM(EB193:EE193)</f>
        <v>137</v>
      </c>
      <c r="EG193" s="122">
        <v>33</v>
      </c>
      <c r="EH193" s="122">
        <v>32</v>
      </c>
      <c r="EI193" s="540">
        <v>36</v>
      </c>
      <c r="EJ193" s="122">
        <v>49</v>
      </c>
      <c r="EK193" s="539">
        <f>SUM(EG193:EJ193)</f>
        <v>150</v>
      </c>
      <c r="EL193" s="122">
        <f>31+9</f>
        <v>40</v>
      </c>
      <c r="EM193" s="122">
        <v>35</v>
      </c>
      <c r="EN193" s="540">
        <v>39</v>
      </c>
      <c r="EO193" s="122">
        <v>31</v>
      </c>
      <c r="EP193" s="539">
        <f>SUM(EL193:EO193)</f>
        <v>145</v>
      </c>
      <c r="EQ193" s="122">
        <v>47</v>
      </c>
      <c r="ER193" s="671">
        <v>37</v>
      </c>
      <c r="ES193" s="671">
        <v>39</v>
      </c>
      <c r="ET193" s="671">
        <v>37</v>
      </c>
      <c r="EU193" s="1966">
        <f>SUM(EQ193:ET193)</f>
        <v>160</v>
      </c>
      <c r="EV193" s="540"/>
      <c r="EW193" s="540"/>
      <c r="EX193" s="540"/>
      <c r="EY193" s="540"/>
      <c r="EZ193" s="855">
        <f>EZ$13*EZ197/1000</f>
        <v>166.46137067216043</v>
      </c>
      <c r="FA193" s="540"/>
      <c r="FB193" s="540"/>
      <c r="FC193" s="540"/>
      <c r="FD193" s="540"/>
      <c r="FE193" s="855">
        <f>FE$13*FE197/1000</f>
        <v>173.81422765273257</v>
      </c>
      <c r="FF193" s="780"/>
      <c r="FG193" s="656"/>
      <c r="FH193" s="1034"/>
      <c r="FI193" s="1034"/>
      <c r="FJ193" s="1034"/>
      <c r="FK193" s="1034"/>
      <c r="FL193" s="1822"/>
      <c r="FM193" s="122">
        <f t="shared" si="624"/>
        <v>47</v>
      </c>
      <c r="FN193" s="122">
        <f t="shared" si="625"/>
        <v>40</v>
      </c>
      <c r="FO193" s="671">
        <v>40</v>
      </c>
      <c r="FP193" s="571">
        <f>IFERROR(($FM193/FN193)-1,"")</f>
        <v>0.17500000000000004</v>
      </c>
      <c r="FQ193" s="571">
        <f>IFERROR(($FM193/FO193)-1,"")</f>
        <v>0.17500000000000004</v>
      </c>
      <c r="FR193" s="1426"/>
      <c r="FS193" s="540"/>
      <c r="FT193" s="540"/>
      <c r="FU193" s="540"/>
      <c r="FV193" s="540"/>
      <c r="FW193" s="540"/>
      <c r="FX193" s="540"/>
      <c r="FY193" s="540"/>
      <c r="FZ193" s="540"/>
      <c r="GA193" s="656"/>
      <c r="GB193"/>
      <c r="GC193"/>
      <c r="GD193"/>
      <c r="GE193"/>
      <c r="GF193"/>
      <c r="GG193"/>
      <c r="GH193" s="972"/>
      <c r="GI193" s="972"/>
      <c r="GJ193" s="972"/>
      <c r="GK193" s="972"/>
      <c r="GL193" s="972"/>
      <c r="GM193" s="972"/>
      <c r="GN193" s="972"/>
      <c r="GO193" s="972"/>
      <c r="GP193" s="972"/>
      <c r="GQ193" s="972"/>
      <c r="GR193" s="972"/>
      <c r="GS193" s="972"/>
      <c r="GT193" s="972"/>
      <c r="GU193" s="972"/>
      <c r="GV193" s="972"/>
      <c r="GW193" s="972"/>
      <c r="GX193" s="972"/>
      <c r="GY193" s="972"/>
      <c r="GZ193" s="972"/>
      <c r="HA193" s="972"/>
      <c r="HB193" s="972"/>
      <c r="HC193" s="972"/>
      <c r="HD193" s="972"/>
      <c r="HE193" s="972"/>
      <c r="HF193" s="972"/>
      <c r="HG193" s="972"/>
      <c r="HH193" s="972"/>
      <c r="HI193" s="972"/>
      <c r="HJ193" s="972"/>
      <c r="HK193" s="972"/>
      <c r="HL193" s="972"/>
      <c r="HM193" s="972"/>
      <c r="HN193" s="972"/>
      <c r="HO193" s="972"/>
      <c r="HP193" s="972"/>
      <c r="HQ193" s="972"/>
      <c r="HR193" s="972"/>
      <c r="HS193" s="972"/>
      <c r="HT193" s="972"/>
      <c r="HU193" s="972"/>
      <c r="HV193" s="972"/>
      <c r="HW193" s="972"/>
      <c r="HX193" s="972"/>
      <c r="HY193" s="972"/>
      <c r="HZ193" s="972"/>
      <c r="IA193" s="972"/>
      <c r="IB193" s="972"/>
      <c r="IC193" s="972"/>
      <c r="ID193" s="972"/>
      <c r="IE193" s="972"/>
      <c r="IF193" s="972"/>
      <c r="IG193" s="972"/>
      <c r="IH193" s="972"/>
      <c r="II193" s="972"/>
      <c r="IJ193" s="972"/>
      <c r="IK193" s="972"/>
      <c r="IL193" s="972"/>
      <c r="IM193" s="972"/>
      <c r="IN193" s="972"/>
      <c r="IO193" s="972"/>
      <c r="IP193" s="972"/>
      <c r="IQ193" s="972"/>
      <c r="IR193" s="972"/>
      <c r="IS193" s="972"/>
      <c r="IT193" s="972"/>
      <c r="IU193" s="972"/>
      <c r="IV193" s="972"/>
    </row>
    <row r="194" spans="1:256" s="244" customFormat="1" ht="12.75" x14ac:dyDescent="0.2">
      <c r="A194" s="242" t="s">
        <v>74</v>
      </c>
      <c r="B194" s="22"/>
      <c r="C194" s="22"/>
      <c r="D194" s="22"/>
      <c r="E194" s="197"/>
      <c r="F194" s="21"/>
      <c r="G194" s="22">
        <f t="shared" ref="G194:BR194" si="695">G193/B193-1</f>
        <v>0.47988505747126453</v>
      </c>
      <c r="H194" s="22">
        <f t="shared" si="695"/>
        <v>0.13966480446927365</v>
      </c>
      <c r="I194" s="22">
        <f t="shared" si="695"/>
        <v>-2.1505376344086335E-2</v>
      </c>
      <c r="J194" s="197">
        <f t="shared" si="695"/>
        <v>-2.6385224274405927E-2</v>
      </c>
      <c r="K194" s="21">
        <f t="shared" si="695"/>
        <v>0.13658201784488688</v>
      </c>
      <c r="L194" s="22">
        <f t="shared" si="695"/>
        <v>-0.2640776699029127</v>
      </c>
      <c r="M194" s="22">
        <f t="shared" si="695"/>
        <v>-0.16666666666666641</v>
      </c>
      <c r="N194" s="22">
        <f t="shared" si="695"/>
        <v>-0.10439560439560436</v>
      </c>
      <c r="O194" s="197">
        <f t="shared" si="695"/>
        <v>-0.14634146341463428</v>
      </c>
      <c r="P194" s="21">
        <f t="shared" si="695"/>
        <v>-0.17874396135265702</v>
      </c>
      <c r="Q194" s="22">
        <f t="shared" si="695"/>
        <v>-0.15831134564643801</v>
      </c>
      <c r="R194" s="22">
        <f t="shared" si="695"/>
        <v>-0.17058823529411782</v>
      </c>
      <c r="S194" s="22">
        <f t="shared" si="695"/>
        <v>-6.4417177914110058E-2</v>
      </c>
      <c r="T194" s="197">
        <f t="shared" si="695"/>
        <v>-0.10793650793650811</v>
      </c>
      <c r="U194" s="21">
        <f t="shared" si="695"/>
        <v>-0.12720588235294128</v>
      </c>
      <c r="V194" s="22">
        <f t="shared" si="695"/>
        <v>-4.7021943573667735E-2</v>
      </c>
      <c r="W194" s="22">
        <f t="shared" si="695"/>
        <v>5.6737588652482351E-2</v>
      </c>
      <c r="X194" s="22">
        <f t="shared" si="695"/>
        <v>0</v>
      </c>
      <c r="Y194" s="197">
        <f t="shared" si="695"/>
        <v>1.067615658362997E-2</v>
      </c>
      <c r="Z194" s="21">
        <f t="shared" si="695"/>
        <v>3.3698399326032025E-3</v>
      </c>
      <c r="AA194" s="22">
        <f t="shared" si="695"/>
        <v>-4.2763157894736725E-2</v>
      </c>
      <c r="AB194" s="22">
        <f t="shared" si="695"/>
        <v>0.25838926174496635</v>
      </c>
      <c r="AC194" s="22">
        <f t="shared" si="695"/>
        <v>0.19344262295081971</v>
      </c>
      <c r="AD194" s="197">
        <f t="shared" si="695"/>
        <v>0.13028169014084523</v>
      </c>
      <c r="AE194" s="21">
        <f t="shared" si="695"/>
        <v>0.13434089000839622</v>
      </c>
      <c r="AF194" s="22">
        <f t="shared" si="695"/>
        <v>0.10652920962199319</v>
      </c>
      <c r="AG194" s="22">
        <f t="shared" si="695"/>
        <v>-0.23199999999999998</v>
      </c>
      <c r="AH194" s="22">
        <f t="shared" si="695"/>
        <v>-0.15659340659340659</v>
      </c>
      <c r="AI194" s="197">
        <f t="shared" si="695"/>
        <v>-7.4766355140186924E-2</v>
      </c>
      <c r="AJ194" s="21">
        <f t="shared" si="695"/>
        <v>-0.10140636565507022</v>
      </c>
      <c r="AK194" s="22">
        <f t="shared" si="695"/>
        <v>7.7639751552795122E-2</v>
      </c>
      <c r="AL194" s="22">
        <f t="shared" si="695"/>
        <v>7.2916666666666519E-2</v>
      </c>
      <c r="AM194" s="22">
        <f t="shared" si="695"/>
        <v>-8.1433224755700362E-2</v>
      </c>
      <c r="AN194" s="197">
        <f t="shared" si="695"/>
        <v>-3.3670033670032407E-3</v>
      </c>
      <c r="AO194" s="21">
        <f t="shared" si="695"/>
        <v>1.6474464579901094E-2</v>
      </c>
      <c r="AP194" s="22">
        <f t="shared" si="695"/>
        <v>-0.16426512968299722</v>
      </c>
      <c r="AQ194" s="22">
        <f t="shared" si="695"/>
        <v>-0.18770226537216816</v>
      </c>
      <c r="AR194" s="22">
        <f t="shared" si="695"/>
        <v>9.5744680851063801E-2</v>
      </c>
      <c r="AS194" s="197">
        <f t="shared" si="695"/>
        <v>0.28378378378378377</v>
      </c>
      <c r="AT194" s="21">
        <f t="shared" si="695"/>
        <v>-3.2414910858995505E-3</v>
      </c>
      <c r="AU194" s="22">
        <f t="shared" si="695"/>
        <v>3.4482758620689724E-2</v>
      </c>
      <c r="AV194" s="22">
        <f t="shared" si="695"/>
        <v>-0.12350597609561753</v>
      </c>
      <c r="AW194" s="22">
        <f t="shared" si="695"/>
        <v>-0.32038834951456308</v>
      </c>
      <c r="AX194" s="197">
        <f t="shared" si="695"/>
        <v>-0.42105263157894735</v>
      </c>
      <c r="AY194" s="21">
        <f t="shared" si="695"/>
        <v>-0.22764227642276424</v>
      </c>
      <c r="AZ194" s="22">
        <f t="shared" si="695"/>
        <v>0.16666666666666674</v>
      </c>
      <c r="BA194" s="22">
        <f t="shared" si="695"/>
        <v>0.31818181818181812</v>
      </c>
      <c r="BB194" s="22">
        <f t="shared" si="695"/>
        <v>0.71428571428571419</v>
      </c>
      <c r="BC194" s="197">
        <f t="shared" si="695"/>
        <v>0.72727272727272729</v>
      </c>
      <c r="BD194" s="21">
        <f t="shared" si="695"/>
        <v>0.4526315789473685</v>
      </c>
      <c r="BE194" s="22">
        <f t="shared" si="695"/>
        <v>-8.5714285714285743E-2</v>
      </c>
      <c r="BF194" s="22">
        <f t="shared" si="695"/>
        <v>0.17241379310344818</v>
      </c>
      <c r="BG194" s="22">
        <f t="shared" si="695"/>
        <v>-8.333333333333337E-2</v>
      </c>
      <c r="BH194" s="197">
        <f t="shared" si="695"/>
        <v>0.13157894736842102</v>
      </c>
      <c r="BI194" s="21">
        <f t="shared" si="695"/>
        <v>2.8985507246376718E-2</v>
      </c>
      <c r="BJ194" s="22">
        <f t="shared" si="695"/>
        <v>0.15625</v>
      </c>
      <c r="BK194" s="22">
        <f t="shared" si="695"/>
        <v>0.17647058823529416</v>
      </c>
      <c r="BL194" s="22">
        <f t="shared" si="695"/>
        <v>-3.0303030303030276E-2</v>
      </c>
      <c r="BM194" s="197">
        <f t="shared" si="695"/>
        <v>-0.20930232558139539</v>
      </c>
      <c r="BN194" s="21">
        <f t="shared" si="695"/>
        <v>7.0422535211267512E-3</v>
      </c>
      <c r="BO194" s="22">
        <f t="shared" si="695"/>
        <v>-5.4054054054054057E-2</v>
      </c>
      <c r="BP194" s="22">
        <f t="shared" si="695"/>
        <v>-7.4999999999999956E-2</v>
      </c>
      <c r="BQ194" s="22">
        <f t="shared" si="695"/>
        <v>0.78125</v>
      </c>
      <c r="BR194" s="197">
        <f t="shared" si="695"/>
        <v>0.23529411764705888</v>
      </c>
      <c r="BS194" s="21">
        <f t="shared" ref="BS194:DY194" si="696">BS193/BN193-1</f>
        <v>0.19580419580419584</v>
      </c>
      <c r="BT194" s="22">
        <f t="shared" si="696"/>
        <v>0.45714285714285707</v>
      </c>
      <c r="BU194" s="22">
        <f t="shared" si="696"/>
        <v>0.27027027027027017</v>
      </c>
      <c r="BV194" s="22">
        <f t="shared" si="696"/>
        <v>-0.22807017543859653</v>
      </c>
      <c r="BW194" s="197">
        <f t="shared" si="696"/>
        <v>-7.1428571428571397E-2</v>
      </c>
      <c r="BX194" s="21">
        <f t="shared" si="696"/>
        <v>5.8479532163742798E-2</v>
      </c>
      <c r="BY194" s="22">
        <f t="shared" si="696"/>
        <v>-0.21568627450980393</v>
      </c>
      <c r="BZ194" s="22">
        <f t="shared" si="696"/>
        <v>-0.19148936170212771</v>
      </c>
      <c r="CA194" s="22">
        <f t="shared" si="696"/>
        <v>-0.29545454545454541</v>
      </c>
      <c r="CB194" s="197">
        <f t="shared" si="696"/>
        <v>7.6923076923076872E-2</v>
      </c>
      <c r="CC194" s="21">
        <f t="shared" si="696"/>
        <v>-0.16574585635359118</v>
      </c>
      <c r="CD194" s="22">
        <f t="shared" si="696"/>
        <v>0.95</v>
      </c>
      <c r="CE194" s="22">
        <f t="shared" si="696"/>
        <v>5.2631578947368363E-2</v>
      </c>
      <c r="CF194" s="22">
        <f t="shared" si="696"/>
        <v>0.90322580645161299</v>
      </c>
      <c r="CG194" s="197">
        <f t="shared" si="696"/>
        <v>0.11904761904761907</v>
      </c>
      <c r="CH194" s="21">
        <f t="shared" si="696"/>
        <v>0.48344370860927155</v>
      </c>
      <c r="CI194" s="22">
        <f t="shared" si="696"/>
        <v>-0.32051282051282048</v>
      </c>
      <c r="CJ194" s="22">
        <f t="shared" si="696"/>
        <v>0.625</v>
      </c>
      <c r="CK194" s="22">
        <f t="shared" si="696"/>
        <v>-0.15254237288135597</v>
      </c>
      <c r="CL194" s="197">
        <f t="shared" si="696"/>
        <v>0.1063829787234043</v>
      </c>
      <c r="CM194" s="21">
        <f t="shared" si="696"/>
        <v>-1.7857142857142905E-2</v>
      </c>
      <c r="CN194" s="22">
        <f t="shared" si="696"/>
        <v>-1.8867924528301883E-2</v>
      </c>
      <c r="CO194" s="22">
        <f t="shared" si="696"/>
        <v>-0.29230769230769227</v>
      </c>
      <c r="CP194" s="22">
        <f t="shared" si="696"/>
        <v>-0.33999999999999997</v>
      </c>
      <c r="CQ194" s="197">
        <f t="shared" si="696"/>
        <v>-0.23076923076923073</v>
      </c>
      <c r="CR194" s="21">
        <f t="shared" si="696"/>
        <v>-0.22272727272727277</v>
      </c>
      <c r="CS194" s="22">
        <f t="shared" si="696"/>
        <v>0</v>
      </c>
      <c r="CT194" s="22">
        <f t="shared" si="696"/>
        <v>-8.6956521739130488E-2</v>
      </c>
      <c r="CU194" s="22">
        <f t="shared" si="696"/>
        <v>3.0303030303030276E-2</v>
      </c>
      <c r="CV194" s="197">
        <f t="shared" si="696"/>
        <v>-2.5000000000000022E-2</v>
      </c>
      <c r="CW194" s="21">
        <f t="shared" si="696"/>
        <v>-2.3391812865497075E-2</v>
      </c>
      <c r="CX194" s="22">
        <f t="shared" si="696"/>
        <v>-0.30769230769230771</v>
      </c>
      <c r="CY194" s="22">
        <f t="shared" si="696"/>
        <v>-0.5</v>
      </c>
      <c r="CZ194" s="22">
        <f t="shared" si="696"/>
        <v>-0.32352941176470584</v>
      </c>
      <c r="DA194" s="22">
        <f>DA193/CV193-1</f>
        <v>-0.4358974358974359</v>
      </c>
      <c r="DB194" s="21">
        <f>DB193/CW193-1</f>
        <v>-0.3892215568862275</v>
      </c>
      <c r="DC194" s="22">
        <f t="shared" si="696"/>
        <v>-5.555555555555558E-2</v>
      </c>
      <c r="DD194" s="22">
        <f t="shared" si="696"/>
        <v>0.85714285714285721</v>
      </c>
      <c r="DE194" s="22">
        <f t="shared" si="696"/>
        <v>0.39130434782608692</v>
      </c>
      <c r="DF194" s="22">
        <f>DF193/DA193-1</f>
        <v>0.68181818181818188</v>
      </c>
      <c r="DG194" s="21">
        <f t="shared" si="696"/>
        <v>0.39215686274509798</v>
      </c>
      <c r="DH194" s="22">
        <f>DH193/DC193-1</f>
        <v>0.20588235294117641</v>
      </c>
      <c r="DI194" s="22">
        <f t="shared" si="696"/>
        <v>0.10256410256410264</v>
      </c>
      <c r="DJ194" s="22">
        <f t="shared" si="696"/>
        <v>-6.25E-2</v>
      </c>
      <c r="DK194" s="22">
        <f t="shared" si="696"/>
        <v>0.18918918918918926</v>
      </c>
      <c r="DL194" s="21">
        <f t="shared" si="696"/>
        <v>0.11267605633802824</v>
      </c>
      <c r="DM194" s="22">
        <f t="shared" si="696"/>
        <v>-7.3170731707317027E-2</v>
      </c>
      <c r="DN194" s="22">
        <f t="shared" si="696"/>
        <v>-0.30232558139534882</v>
      </c>
      <c r="DO194" s="22">
        <f t="shared" si="696"/>
        <v>0.10000000000000009</v>
      </c>
      <c r="DP194" s="22">
        <f t="shared" si="696"/>
        <v>-0.34090909090909094</v>
      </c>
      <c r="DQ194" s="21">
        <f t="shared" si="696"/>
        <v>-0.17721518987341767</v>
      </c>
      <c r="DR194" s="22">
        <f t="shared" si="696"/>
        <v>-7.8947368421052655E-2</v>
      </c>
      <c r="DS194" s="22">
        <f t="shared" si="696"/>
        <v>-0.33333333333333337</v>
      </c>
      <c r="DT194" s="22">
        <f t="shared" si="696"/>
        <v>-0.30303030303030298</v>
      </c>
      <c r="DU194" s="22">
        <f t="shared" si="696"/>
        <v>-0.5862068965517242</v>
      </c>
      <c r="DV194" s="21">
        <f t="shared" si="696"/>
        <v>-0.30769230769230771</v>
      </c>
      <c r="DW194" s="22">
        <f>DW193/DR193-1</f>
        <v>-0.1428571428571429</v>
      </c>
      <c r="DX194" s="22">
        <f t="shared" si="696"/>
        <v>1.1000000000000001</v>
      </c>
      <c r="DY194" s="22">
        <f t="shared" si="696"/>
        <v>0.52173913043478271</v>
      </c>
      <c r="DZ194" s="22">
        <f t="shared" ref="DZ194:EI194" si="697">DZ193/DU193-1</f>
        <v>1.3333333333333335</v>
      </c>
      <c r="EA194" s="21">
        <f t="shared" si="697"/>
        <v>0.5</v>
      </c>
      <c r="EB194" s="22">
        <f t="shared" si="697"/>
        <v>0.19999999999999996</v>
      </c>
      <c r="EC194" s="22">
        <f t="shared" si="697"/>
        <v>-0.38095238095238093</v>
      </c>
      <c r="ED194" s="22">
        <f t="shared" si="697"/>
        <v>-0.22857142857142854</v>
      </c>
      <c r="EE194" s="22">
        <f t="shared" si="697"/>
        <v>0.71428571428571419</v>
      </c>
      <c r="EF194" s="21">
        <f t="shared" si="697"/>
        <v>1.4814814814814836E-2</v>
      </c>
      <c r="EG194" s="22">
        <f t="shared" si="697"/>
        <v>-8.333333333333337E-2</v>
      </c>
      <c r="EH194" s="22">
        <f t="shared" si="697"/>
        <v>0.23076923076923084</v>
      </c>
      <c r="EI194" s="22">
        <f t="shared" si="697"/>
        <v>0.33333333333333326</v>
      </c>
      <c r="EJ194" s="22">
        <f t="shared" ref="EJ194:EN194" si="698">EJ193/EE193-1</f>
        <v>2.0833333333333259E-2</v>
      </c>
      <c r="EK194" s="21">
        <f t="shared" si="698"/>
        <v>9.4890510948905105E-2</v>
      </c>
      <c r="EL194" s="22">
        <f t="shared" si="698"/>
        <v>0.21212121212121215</v>
      </c>
      <c r="EM194" s="22">
        <f t="shared" si="698"/>
        <v>9.375E-2</v>
      </c>
      <c r="EN194" s="22">
        <f t="shared" si="698"/>
        <v>8.3333333333333259E-2</v>
      </c>
      <c r="EO194" s="22">
        <f t="shared" ref="EO194" si="699">EO193/EJ193-1</f>
        <v>-0.36734693877551017</v>
      </c>
      <c r="EP194" s="21">
        <f t="shared" ref="EP194:EQ194" si="700">EP193/EK193-1</f>
        <v>-3.3333333333333326E-2</v>
      </c>
      <c r="EQ194" s="22">
        <f t="shared" si="700"/>
        <v>0.17500000000000004</v>
      </c>
      <c r="ER194" s="22">
        <f t="shared" ref="ER194" si="701">ER193/EM193-1</f>
        <v>5.7142857142857162E-2</v>
      </c>
      <c r="ES194" s="22">
        <f t="shared" ref="ES194:EU194" si="702">ES193/EN193-1</f>
        <v>0</v>
      </c>
      <c r="ET194" s="22">
        <f t="shared" si="702"/>
        <v>0.19354838709677424</v>
      </c>
      <c r="EU194" s="270">
        <f t="shared" si="702"/>
        <v>0.10344827586206895</v>
      </c>
      <c r="EV194" s="243"/>
      <c r="EW194" s="243"/>
      <c r="EX194" s="243"/>
      <c r="EY194" s="243"/>
      <c r="EZ194" s="844">
        <f>EZ193/EU193-1</f>
        <v>4.0383566701002627E-2</v>
      </c>
      <c r="FA194" s="243"/>
      <c r="FB194" s="243"/>
      <c r="FC194" s="243"/>
      <c r="FD194" s="243"/>
      <c r="FE194" s="844">
        <f>FE193/EZ193-1</f>
        <v>4.4171551338798798E-2</v>
      </c>
      <c r="FF194" s="791"/>
      <c r="FG194" s="618"/>
      <c r="FH194" s="1041"/>
      <c r="FI194" s="1041"/>
      <c r="FJ194" s="1041"/>
      <c r="FK194" s="1041"/>
      <c r="FL194" s="1806"/>
      <c r="FM194" s="22">
        <f t="shared" si="624"/>
        <v>0.17500000000000004</v>
      </c>
      <c r="FN194" s="22">
        <f t="shared" si="625"/>
        <v>0.21212121212121215</v>
      </c>
      <c r="FO194" s="2041">
        <v>0</v>
      </c>
      <c r="FP194" s="1892">
        <f t="shared" ref="FP194:FQ196" si="703">IFERROR(($FM194-FN194)*10000,"")</f>
        <v>-371.21212121212113</v>
      </c>
      <c r="FQ194" s="1892">
        <f t="shared" si="703"/>
        <v>1750.0000000000005</v>
      </c>
      <c r="FR194" s="120"/>
      <c r="FS194" s="1426"/>
      <c r="FT194" s="1426"/>
      <c r="FU194" s="540"/>
      <c r="FV194" s="120"/>
      <c r="FW194" s="120"/>
      <c r="FX194" s="120"/>
      <c r="FY194" s="120"/>
      <c r="FZ194" s="120"/>
      <c r="GA194" s="618"/>
      <c r="GB194"/>
      <c r="GC194"/>
      <c r="GD194"/>
      <c r="GE194"/>
      <c r="GF194"/>
      <c r="GG194"/>
      <c r="GH194" s="973"/>
      <c r="GI194" s="973"/>
      <c r="GJ194" s="973"/>
      <c r="GK194" s="973"/>
      <c r="GL194" s="973"/>
      <c r="GM194" s="973"/>
      <c r="GN194" s="973"/>
      <c r="GO194" s="973"/>
      <c r="GP194" s="973"/>
      <c r="GQ194" s="973"/>
      <c r="GR194" s="973"/>
      <c r="GS194" s="973"/>
      <c r="GT194" s="973"/>
      <c r="GU194" s="973"/>
      <c r="GV194" s="973"/>
      <c r="GW194" s="973"/>
      <c r="GX194" s="973"/>
      <c r="GY194" s="973"/>
      <c r="GZ194" s="973"/>
      <c r="HA194" s="973"/>
      <c r="HB194" s="973"/>
      <c r="HC194" s="973"/>
      <c r="HD194" s="973"/>
      <c r="HE194" s="973"/>
      <c r="HF194" s="973"/>
      <c r="HG194" s="973"/>
      <c r="HH194" s="973"/>
      <c r="HI194" s="973"/>
      <c r="HJ194" s="973"/>
      <c r="HK194" s="973"/>
      <c r="HL194" s="973"/>
      <c r="HM194" s="973"/>
      <c r="HN194" s="973"/>
      <c r="HO194" s="973"/>
      <c r="HP194" s="973"/>
      <c r="HQ194" s="973"/>
      <c r="HR194" s="973"/>
      <c r="HS194" s="973"/>
      <c r="HT194" s="973"/>
      <c r="HU194" s="973"/>
      <c r="HV194" s="973"/>
      <c r="HW194" s="973"/>
      <c r="HX194" s="973"/>
      <c r="HY194" s="973"/>
      <c r="HZ194" s="973"/>
      <c r="IA194" s="973"/>
      <c r="IB194" s="973"/>
      <c r="IC194" s="973"/>
      <c r="ID194" s="973"/>
      <c r="IE194" s="973"/>
      <c r="IF194" s="973"/>
      <c r="IG194" s="973"/>
      <c r="IH194" s="973"/>
      <c r="II194" s="973"/>
      <c r="IJ194" s="973"/>
      <c r="IK194" s="973"/>
      <c r="IL194" s="973"/>
      <c r="IM194" s="973"/>
      <c r="IN194" s="973"/>
      <c r="IO194" s="973"/>
      <c r="IP194" s="973"/>
      <c r="IQ194" s="973"/>
      <c r="IR194" s="973"/>
      <c r="IS194" s="973"/>
      <c r="IT194" s="973"/>
      <c r="IU194" s="973"/>
      <c r="IV194" s="973"/>
    </row>
    <row r="195" spans="1:256" s="191" customFormat="1" ht="12.75" x14ac:dyDescent="0.2">
      <c r="A195" s="420" t="s">
        <v>471</v>
      </c>
      <c r="B195" s="27">
        <f t="shared" ref="B195:AG195" si="704">B193/B$214</f>
        <v>4.7887711572863624E-2</v>
      </c>
      <c r="C195" s="27">
        <f t="shared" si="704"/>
        <v>4.9358885978215902E-2</v>
      </c>
      <c r="D195" s="27">
        <f t="shared" si="704"/>
        <v>5.2217855137563163E-2</v>
      </c>
      <c r="E195" s="213">
        <f t="shared" si="704"/>
        <v>5.4142857142857145E-2</v>
      </c>
      <c r="F195" s="28">
        <f t="shared" si="704"/>
        <v>5.0865800865800871E-2</v>
      </c>
      <c r="G195" s="27">
        <f t="shared" si="704"/>
        <v>6.9192529893860003E-2</v>
      </c>
      <c r="H195" s="27">
        <f t="shared" si="704"/>
        <v>5.5314533622559656E-2</v>
      </c>
      <c r="I195" s="27">
        <f t="shared" si="704"/>
        <v>5.0061889698803451E-2</v>
      </c>
      <c r="J195" s="213">
        <f t="shared" si="704"/>
        <v>5.0485702558489554E-2</v>
      </c>
      <c r="K195" s="28">
        <f t="shared" si="704"/>
        <v>5.6328446545800874E-2</v>
      </c>
      <c r="L195" s="27">
        <f t="shared" si="704"/>
        <v>5.1846785225718194E-2</v>
      </c>
      <c r="M195" s="27">
        <f t="shared" si="704"/>
        <v>4.8213272830402734E-2</v>
      </c>
      <c r="N195" s="27">
        <f t="shared" si="704"/>
        <v>4.5921960839554854E-2</v>
      </c>
      <c r="O195" s="213">
        <f t="shared" si="704"/>
        <v>4.398826979472141E-2</v>
      </c>
      <c r="P195" s="28">
        <f t="shared" si="704"/>
        <v>4.7515896862553281E-2</v>
      </c>
      <c r="Q195" s="27">
        <f t="shared" si="704"/>
        <v>4.6406750072737854E-2</v>
      </c>
      <c r="R195" s="27">
        <f t="shared" si="704"/>
        <v>3.947921041579168E-2</v>
      </c>
      <c r="S195" s="27">
        <f t="shared" si="704"/>
        <v>4.2249619060811754E-2</v>
      </c>
      <c r="T195" s="213">
        <f t="shared" si="704"/>
        <v>3.863605114808194E-2</v>
      </c>
      <c r="U195" s="28">
        <f t="shared" si="704"/>
        <v>4.1635974604510857E-2</v>
      </c>
      <c r="V195" s="27">
        <f t="shared" si="704"/>
        <v>4.2041211450698383E-2</v>
      </c>
      <c r="W195" s="27">
        <f t="shared" si="704"/>
        <v>4.1859811771316195E-2</v>
      </c>
      <c r="X195" s="27">
        <f t="shared" si="704"/>
        <v>4.3219498370412356E-2</v>
      </c>
      <c r="Y195" s="213">
        <f t="shared" si="704"/>
        <v>4.0951694304253786E-2</v>
      </c>
      <c r="Z195" s="28">
        <f t="shared" si="704"/>
        <v>4.2022440194763956E-2</v>
      </c>
      <c r="AA195" s="27">
        <f t="shared" si="704"/>
        <v>4.0529247910863514E-2</v>
      </c>
      <c r="AB195" s="27">
        <f t="shared" si="704"/>
        <v>5.1709873138444565E-2</v>
      </c>
      <c r="AC195" s="27">
        <f t="shared" si="704"/>
        <v>5.1130776794493606E-2</v>
      </c>
      <c r="AD195" s="213">
        <f t="shared" si="704"/>
        <v>4.4601917465610673E-2</v>
      </c>
      <c r="AE195" s="28">
        <f t="shared" si="704"/>
        <v>4.6994573535550303E-2</v>
      </c>
      <c r="AF195" s="27">
        <f t="shared" si="704"/>
        <v>4.2979177789642289E-2</v>
      </c>
      <c r="AG195" s="27">
        <f t="shared" si="704"/>
        <v>3.9658496282015974E-2</v>
      </c>
      <c r="AH195" s="27">
        <f t="shared" ref="AH195:BM195" si="705">AH193/AH$214</f>
        <v>4.2739802311012105E-2</v>
      </c>
      <c r="AI195" s="213">
        <f t="shared" si="705"/>
        <v>4.1468863445964808E-2</v>
      </c>
      <c r="AJ195" s="28">
        <f t="shared" si="705"/>
        <v>4.1719646723255101E-2</v>
      </c>
      <c r="AK195" s="27">
        <f t="shared" si="705"/>
        <v>4.5972443031266561E-2</v>
      </c>
      <c r="AL195" s="27">
        <f t="shared" si="705"/>
        <v>4.1869918699186992E-2</v>
      </c>
      <c r="AM195" s="27">
        <f t="shared" si="705"/>
        <v>3.9182992913714042E-2</v>
      </c>
      <c r="AN195" s="213">
        <f t="shared" si="705"/>
        <v>4.083885209713025E-2</v>
      </c>
      <c r="AO195" s="28">
        <f t="shared" si="705"/>
        <v>4.2011370986960804E-2</v>
      </c>
      <c r="AP195" s="27">
        <f t="shared" si="705"/>
        <v>3.793328973185088E-2</v>
      </c>
      <c r="AQ195" s="27">
        <f t="shared" si="705"/>
        <v>3.3628081457663453E-2</v>
      </c>
      <c r="AR195" s="27">
        <f t="shared" si="705"/>
        <v>4.1150619256891723E-2</v>
      </c>
      <c r="AS195" s="213">
        <f t="shared" si="705"/>
        <v>5.0802139037433157E-2</v>
      </c>
      <c r="AT195" s="28">
        <f t="shared" si="705"/>
        <v>4.0866502757658317E-2</v>
      </c>
      <c r="AU195" s="27">
        <f t="shared" si="705"/>
        <v>3.679175864606328E-2</v>
      </c>
      <c r="AV195" s="27">
        <f t="shared" si="705"/>
        <v>2.7989821882951654E-2</v>
      </c>
      <c r="AW195" s="27">
        <f t="shared" si="705"/>
        <v>2.6582278481012658E-2</v>
      </c>
      <c r="AX195" s="213">
        <f t="shared" si="705"/>
        <v>2.8277634961439587E-2</v>
      </c>
      <c r="AY195" s="28">
        <f t="shared" si="705"/>
        <v>2.9974127595128418E-2</v>
      </c>
      <c r="AZ195" s="27">
        <f t="shared" si="705"/>
        <v>4.4136191677175286E-2</v>
      </c>
      <c r="BA195" s="27">
        <f t="shared" si="705"/>
        <v>2.9116465863453816E-2</v>
      </c>
      <c r="BB195" s="27">
        <f t="shared" si="705"/>
        <v>2.6587887740029542E-2</v>
      </c>
      <c r="BC195" s="213">
        <f t="shared" si="705"/>
        <v>2.8485757121439279E-2</v>
      </c>
      <c r="BD195" s="28">
        <f t="shared" si="705"/>
        <v>3.0824212642394461E-2</v>
      </c>
      <c r="BE195" s="27">
        <f t="shared" si="705"/>
        <v>2.3205221174764323E-2</v>
      </c>
      <c r="BF195" s="27">
        <f t="shared" si="705"/>
        <v>2.5875190258751901E-2</v>
      </c>
      <c r="BG195" s="27">
        <f t="shared" si="705"/>
        <v>2.4924471299093656E-2</v>
      </c>
      <c r="BH195" s="213">
        <f t="shared" si="705"/>
        <v>3.1994047619047616E-2</v>
      </c>
      <c r="BI195" s="28">
        <f t="shared" si="705"/>
        <v>2.6487595597836224E-2</v>
      </c>
      <c r="BJ195" s="27">
        <f t="shared" si="705"/>
        <v>2.7715355805243445E-2</v>
      </c>
      <c r="BK195" s="27">
        <f t="shared" si="705"/>
        <v>3.0534351145038167E-2</v>
      </c>
      <c r="BL195" s="27">
        <f t="shared" si="705"/>
        <v>2.5336500395882817E-2</v>
      </c>
      <c r="BM195" s="213">
        <f t="shared" si="705"/>
        <v>2.7091633466135457E-2</v>
      </c>
      <c r="BN195" s="28">
        <f t="shared" ref="BN195:CS195" si="706">BN193/BN$214</f>
        <v>2.7697075343792368E-2</v>
      </c>
      <c r="BO195" s="27">
        <f t="shared" si="706"/>
        <v>2.775574940523394E-2</v>
      </c>
      <c r="BP195" s="27">
        <f t="shared" si="706"/>
        <v>2.9110936270653028E-2</v>
      </c>
      <c r="BQ195" s="27">
        <f t="shared" si="706"/>
        <v>4.4289044289044288E-2</v>
      </c>
      <c r="BR195" s="213">
        <f t="shared" si="706"/>
        <v>3.248259860788863E-2</v>
      </c>
      <c r="BS195" s="28">
        <f t="shared" si="706"/>
        <v>3.345070422535211E-2</v>
      </c>
      <c r="BT195" s="27">
        <f t="shared" si="706"/>
        <v>3.8345864661654135E-2</v>
      </c>
      <c r="BU195" s="27">
        <f t="shared" si="706"/>
        <v>3.5205992509363293E-2</v>
      </c>
      <c r="BV195" s="27">
        <f t="shared" si="706"/>
        <v>3.4188034188034191E-2</v>
      </c>
      <c r="BW195" s="213">
        <f t="shared" si="706"/>
        <v>2.8996282527881039E-2</v>
      </c>
      <c r="BX195" s="28">
        <f t="shared" si="706"/>
        <v>3.4170285067019066E-2</v>
      </c>
      <c r="BY195" s="27">
        <f t="shared" si="706"/>
        <v>2.9695619896065329E-2</v>
      </c>
      <c r="BZ195" s="27">
        <f t="shared" si="706"/>
        <v>2.7377521613832854E-2</v>
      </c>
      <c r="CA195" s="27">
        <f t="shared" si="706"/>
        <v>2.2334293948126801E-2</v>
      </c>
      <c r="CB195" s="213">
        <f t="shared" si="706"/>
        <v>2.824478816408877E-2</v>
      </c>
      <c r="CC195" s="28">
        <f t="shared" si="706"/>
        <v>2.8539028539028538E-2</v>
      </c>
      <c r="CD195" s="27">
        <f t="shared" si="706"/>
        <v>5.0064184852374842E-2</v>
      </c>
      <c r="CE195" s="27">
        <f t="shared" si="706"/>
        <v>2.5957170668397145E-2</v>
      </c>
      <c r="CF195" s="27">
        <f t="shared" si="706"/>
        <v>3.6263060848186847E-2</v>
      </c>
      <c r="CG195" s="213">
        <f t="shared" si="706"/>
        <v>2.826217678893566E-2</v>
      </c>
      <c r="CH195" s="28">
        <f t="shared" si="706"/>
        <v>3.5060259821568324E-2</v>
      </c>
      <c r="CI195" s="27">
        <f t="shared" si="706"/>
        <v>3.0251141552511414E-2</v>
      </c>
      <c r="CJ195" s="27">
        <f t="shared" si="706"/>
        <v>3.7900874635568516E-2</v>
      </c>
      <c r="CK195" s="27">
        <f t="shared" si="706"/>
        <v>2.9797377830750895E-2</v>
      </c>
      <c r="CL195" s="213">
        <f t="shared" si="706"/>
        <v>3.0498533724340176E-2</v>
      </c>
      <c r="CM195" s="28">
        <f t="shared" si="706"/>
        <v>3.2116788321167884E-2</v>
      </c>
      <c r="CN195" s="27">
        <f t="shared" si="706"/>
        <v>3.0250145433391506E-2</v>
      </c>
      <c r="CO195" s="27">
        <f t="shared" si="706"/>
        <v>2.7251184834123223E-2</v>
      </c>
      <c r="CP195" s="27">
        <f t="shared" si="706"/>
        <v>1.9736842105263157E-2</v>
      </c>
      <c r="CQ195" s="213">
        <f t="shared" si="706"/>
        <v>2.2624434389140271E-2</v>
      </c>
      <c r="CR195" s="28">
        <f t="shared" si="706"/>
        <v>2.4974441361180079E-2</v>
      </c>
      <c r="CS195" s="27">
        <f t="shared" si="706"/>
        <v>2.7239392352016764E-2</v>
      </c>
      <c r="CT195" s="27">
        <f t="shared" ref="CT195:DY195" si="707">CT193/CT$214</f>
        <v>2.1363173957273652E-2</v>
      </c>
      <c r="CU195" s="27">
        <f t="shared" si="707"/>
        <v>1.7000000000000001E-2</v>
      </c>
      <c r="CV195" s="213">
        <f t="shared" si="707"/>
        <v>2.3090586145648313E-2</v>
      </c>
      <c r="CW195" s="28">
        <f t="shared" si="707"/>
        <v>2.2078265468006345E-2</v>
      </c>
      <c r="CX195" s="421">
        <f t="shared" si="707"/>
        <v>2.3076923076923078E-2</v>
      </c>
      <c r="CY195" s="421">
        <f t="shared" si="707"/>
        <v>1.511879049676026E-2</v>
      </c>
      <c r="CZ195" s="421">
        <f t="shared" si="707"/>
        <v>1.5323117921385743E-2</v>
      </c>
      <c r="DA195" s="27">
        <f t="shared" si="707"/>
        <v>1.4129736673089274E-2</v>
      </c>
      <c r="DB195" s="28">
        <f t="shared" si="707"/>
        <v>1.6980189778591642E-2</v>
      </c>
      <c r="DC195" s="421">
        <f t="shared" si="707"/>
        <v>2.0202020202020204E-2</v>
      </c>
      <c r="DD195" s="421">
        <f t="shared" si="707"/>
        <v>2.2981732469063054E-2</v>
      </c>
      <c r="DE195" s="421">
        <f t="shared" si="707"/>
        <v>1.8713450292397661E-2</v>
      </c>
      <c r="DF195" s="27">
        <f t="shared" si="707"/>
        <v>2.1142857142857144E-2</v>
      </c>
      <c r="DG195" s="422">
        <f t="shared" si="707"/>
        <v>2.0760233918128656E-2</v>
      </c>
      <c r="DH195" s="27">
        <f t="shared" si="707"/>
        <v>2.0897043832823651E-2</v>
      </c>
      <c r="DI195" s="421">
        <f t="shared" si="707"/>
        <v>2.1597187343043698E-2</v>
      </c>
      <c r="DJ195" s="421">
        <f t="shared" si="707"/>
        <v>1.5376729882111738E-2</v>
      </c>
      <c r="DK195" s="27">
        <f t="shared" si="707"/>
        <v>2.2033049574361543E-2</v>
      </c>
      <c r="DL195" s="422">
        <f t="shared" si="707"/>
        <v>1.9997468674851283E-2</v>
      </c>
      <c r="DM195" s="27">
        <f t="shared" si="707"/>
        <v>1.8590998043052837E-2</v>
      </c>
      <c r="DN195" s="421">
        <f t="shared" si="707"/>
        <v>1.5463917525773196E-2</v>
      </c>
      <c r="DO195" s="421">
        <f t="shared" si="707"/>
        <v>1.6819571865443424E-2</v>
      </c>
      <c r="DP195" s="27">
        <f t="shared" si="707"/>
        <v>1.4720812182741117E-2</v>
      </c>
      <c r="DQ195" s="422">
        <f t="shared" si="707"/>
        <v>1.6422435573521982E-2</v>
      </c>
      <c r="DR195" s="27">
        <f t="shared" si="707"/>
        <v>1.709819247679531E-2</v>
      </c>
      <c r="DS195" s="421">
        <f t="shared" si="707"/>
        <v>1.0172939979654121E-2</v>
      </c>
      <c r="DT195" s="27">
        <f t="shared" si="707"/>
        <v>1.1645569620253165E-2</v>
      </c>
      <c r="DU195" s="27">
        <f t="shared" si="707"/>
        <v>6.0000000000000001E-3</v>
      </c>
      <c r="DV195" s="422">
        <f t="shared" si="707"/>
        <v>1.1266900350525789E-2</v>
      </c>
      <c r="DW195" s="27">
        <f t="shared" si="707"/>
        <v>1.483679525222552E-2</v>
      </c>
      <c r="DX195" s="421">
        <f t="shared" si="707"/>
        <v>2.0761245674740483E-2</v>
      </c>
      <c r="DY195" s="27">
        <f t="shared" si="707"/>
        <v>1.7284804187861127E-2</v>
      </c>
      <c r="DZ195" s="27">
        <f t="shared" ref="DZ195:EU195" si="708">DZ193/DZ$214</f>
        <v>1.4148559878726629E-2</v>
      </c>
      <c r="EA195" s="422">
        <f t="shared" si="708"/>
        <v>1.6772478226838451E-2</v>
      </c>
      <c r="EB195" s="27">
        <f t="shared" si="708"/>
        <v>1.8357980622131564E-2</v>
      </c>
      <c r="EC195" s="421">
        <f t="shared" si="708"/>
        <v>1.369141653501843E-2</v>
      </c>
      <c r="ED195" s="27">
        <f t="shared" si="708"/>
        <v>1.4278159703860392E-2</v>
      </c>
      <c r="EE195" s="27">
        <f t="shared" si="708"/>
        <v>2.5586353944562899E-2</v>
      </c>
      <c r="EF195" s="422">
        <f t="shared" si="708"/>
        <v>1.7962501638914382E-2</v>
      </c>
      <c r="EG195" s="27">
        <f t="shared" si="708"/>
        <v>1.9446081319976428E-2</v>
      </c>
      <c r="EH195" s="421">
        <f t="shared" si="708"/>
        <v>1.9002375296912115E-2</v>
      </c>
      <c r="EI195" s="27">
        <f t="shared" si="708"/>
        <v>2.1126760563380281E-2</v>
      </c>
      <c r="EJ195" s="27">
        <f t="shared" si="708"/>
        <v>2.8340080971659919E-2</v>
      </c>
      <c r="EK195" s="422">
        <f t="shared" si="708"/>
        <v>2.2013501614323451E-2</v>
      </c>
      <c r="EL195" s="27">
        <f t="shared" si="708"/>
        <v>2.2002200220022004E-2</v>
      </c>
      <c r="EM195" s="421">
        <f t="shared" si="708"/>
        <v>1.9830028328611898E-2</v>
      </c>
      <c r="EN195" s="27">
        <f t="shared" si="708"/>
        <v>2.1971830985915493E-2</v>
      </c>
      <c r="EO195" s="27">
        <f t="shared" ref="EO195:EQ195" si="709">EO193/EO$214</f>
        <v>1.7014270032930844E-2</v>
      </c>
      <c r="EP195" s="422">
        <f t="shared" si="709"/>
        <v>2.0194986072423399E-2</v>
      </c>
      <c r="EQ195" s="27">
        <f t="shared" si="709"/>
        <v>2.4973432518597238E-2</v>
      </c>
      <c r="ER195" s="27">
        <f t="shared" si="708"/>
        <v>1.9742697130373483E-2</v>
      </c>
      <c r="ES195" s="27">
        <f t="shared" si="708"/>
        <v>1.9872004332514411E-2</v>
      </c>
      <c r="ET195" s="27">
        <f t="shared" si="708"/>
        <v>1.9001292665264402E-2</v>
      </c>
      <c r="EU195" s="1979">
        <f t="shared" si="708"/>
        <v>2.0871634406223354E-2</v>
      </c>
      <c r="EV195" s="241"/>
      <c r="EW195" s="241"/>
      <c r="EX195" s="241"/>
      <c r="EY195" s="241"/>
      <c r="EZ195" s="835">
        <f>EZ193/EZ$214</f>
        <v>2.1007768408451751E-2</v>
      </c>
      <c r="FA195" s="241"/>
      <c r="FB195" s="241"/>
      <c r="FC195" s="241"/>
      <c r="FD195" s="241"/>
      <c r="FE195" s="835">
        <f>FE193/FE$214</f>
        <v>2.1261791775239836E-2</v>
      </c>
      <c r="FF195" s="790"/>
      <c r="FG195" s="618"/>
      <c r="FH195" s="1041"/>
      <c r="FI195" s="1041"/>
      <c r="FJ195" s="1041"/>
      <c r="FK195" s="1041"/>
      <c r="FL195" s="1806"/>
      <c r="FM195" s="421">
        <f t="shared" si="624"/>
        <v>2.4973432518597238E-2</v>
      </c>
      <c r="FN195" s="421">
        <f t="shared" si="625"/>
        <v>2.2002200220022004E-2</v>
      </c>
      <c r="FO195" s="27">
        <v>2.1223550496574151E-2</v>
      </c>
      <c r="FP195" s="1897">
        <f t="shared" si="703"/>
        <v>29.712322985752348</v>
      </c>
      <c r="FQ195" s="1897">
        <f t="shared" si="703"/>
        <v>37.498820220230876</v>
      </c>
      <c r="FR195" s="587"/>
      <c r="FS195" s="120"/>
      <c r="FT195" s="120"/>
      <c r="FU195" s="1426"/>
      <c r="FV195" s="587"/>
      <c r="FW195" s="587"/>
      <c r="FX195" s="587"/>
      <c r="FY195" s="587"/>
      <c r="FZ195" s="587"/>
      <c r="GA195" s="618"/>
      <c r="GB195"/>
      <c r="GC195"/>
      <c r="GD195"/>
      <c r="GE195"/>
      <c r="GF195"/>
      <c r="GG195"/>
      <c r="GH195" s="978"/>
      <c r="GI195" s="978"/>
      <c r="GJ195" s="978"/>
      <c r="GK195" s="978"/>
      <c r="GL195" s="978"/>
      <c r="GM195" s="978"/>
      <c r="GN195" s="978"/>
      <c r="GO195" s="978"/>
      <c r="GP195" s="978"/>
      <c r="GQ195" s="978"/>
      <c r="GR195" s="978"/>
      <c r="GS195" s="978"/>
      <c r="GT195" s="978"/>
      <c r="GU195" s="978"/>
      <c r="GV195" s="978"/>
      <c r="GW195" s="978"/>
      <c r="GX195" s="978"/>
      <c r="GY195" s="978"/>
      <c r="GZ195" s="978"/>
      <c r="HA195" s="978"/>
      <c r="HB195" s="978"/>
      <c r="HC195" s="978"/>
      <c r="HD195" s="978"/>
      <c r="HE195" s="978"/>
      <c r="HF195" s="978"/>
      <c r="HG195" s="978"/>
      <c r="HH195" s="978"/>
      <c r="HI195" s="978"/>
      <c r="HJ195" s="978"/>
      <c r="HK195" s="978"/>
      <c r="HL195" s="978"/>
      <c r="HM195" s="978"/>
      <c r="HN195" s="978"/>
      <c r="HO195" s="978"/>
      <c r="HP195" s="978"/>
      <c r="HQ195" s="978"/>
      <c r="HR195" s="978"/>
      <c r="HS195" s="978"/>
      <c r="HT195" s="978"/>
      <c r="HU195" s="978"/>
      <c r="HV195" s="978"/>
      <c r="HW195" s="978"/>
      <c r="HX195" s="978"/>
      <c r="HY195" s="978"/>
      <c r="HZ195" s="978"/>
      <c r="IA195" s="978"/>
      <c r="IB195" s="978"/>
      <c r="IC195" s="978"/>
      <c r="ID195" s="978"/>
      <c r="IE195" s="978"/>
      <c r="IF195" s="978"/>
      <c r="IG195" s="978"/>
      <c r="IH195" s="978"/>
      <c r="II195" s="978"/>
      <c r="IJ195" s="978"/>
      <c r="IK195" s="978"/>
      <c r="IL195" s="978"/>
      <c r="IM195" s="978"/>
      <c r="IN195" s="978"/>
      <c r="IO195" s="978"/>
      <c r="IP195" s="978"/>
      <c r="IQ195" s="978"/>
      <c r="IR195" s="978"/>
      <c r="IS195" s="978"/>
      <c r="IT195" s="978"/>
      <c r="IU195" s="978"/>
      <c r="IV195" s="978"/>
    </row>
    <row r="196" spans="1:256" s="244" customFormat="1" ht="12.75" x14ac:dyDescent="0.2">
      <c r="A196" s="242" t="s">
        <v>484</v>
      </c>
      <c r="B196" s="22"/>
      <c r="C196" s="22"/>
      <c r="D196" s="22"/>
      <c r="E196" s="197"/>
      <c r="F196" s="21"/>
      <c r="G196" s="22"/>
      <c r="H196" s="22"/>
      <c r="I196" s="22"/>
      <c r="J196" s="197"/>
      <c r="K196" s="21"/>
      <c r="L196" s="22">
        <f>L193/P193</f>
        <v>0.2786764705882353</v>
      </c>
      <c r="M196" s="22">
        <f>M193/P193</f>
        <v>0.25000000000000006</v>
      </c>
      <c r="N196" s="22">
        <f>N193/P193</f>
        <v>0.23970588235294113</v>
      </c>
      <c r="O196" s="22">
        <f>O193/P193</f>
        <v>0.23161764705882354</v>
      </c>
      <c r="P196" s="21"/>
      <c r="Q196" s="22">
        <f>Q193/U193</f>
        <v>0.26874473462510534</v>
      </c>
      <c r="R196" s="22">
        <f>R193/U193</f>
        <v>0.23757371524852572</v>
      </c>
      <c r="S196" s="22">
        <f>S193/U193</f>
        <v>0.25695029486099419</v>
      </c>
      <c r="T196" s="22">
        <f>T193/U193</f>
        <v>0.23673125526537486</v>
      </c>
      <c r="U196" s="21"/>
      <c r="V196" s="22">
        <f>V193/Z193</f>
        <v>0.25524769101595296</v>
      </c>
      <c r="W196" s="22">
        <f>W193/Z193</f>
        <v>0.25020990764063816</v>
      </c>
      <c r="X196" s="22">
        <f>X193/Z193</f>
        <v>0.25608732157850544</v>
      </c>
      <c r="Y196" s="22">
        <f>Y193/Z193</f>
        <v>0.23845507976490343</v>
      </c>
      <c r="Z196" s="21"/>
      <c r="AA196" s="22">
        <f>AA193/AE193</f>
        <v>0.21539600296076983</v>
      </c>
      <c r="AB196" s="22">
        <f>AB193/AE193</f>
        <v>0.27757216876387864</v>
      </c>
      <c r="AC196" s="22">
        <f>AC193/AE193</f>
        <v>0.26943005181347152</v>
      </c>
      <c r="AD196" s="22">
        <f>AD193/AE193</f>
        <v>0.2376017764618801</v>
      </c>
      <c r="AE196" s="21"/>
      <c r="AF196" s="22">
        <f>AF193/AJ193</f>
        <v>0.26523887973640858</v>
      </c>
      <c r="AG196" s="22">
        <f>AG193/AJ193</f>
        <v>0.2372322899505766</v>
      </c>
      <c r="AH196" s="22">
        <f>AH193/AJ193</f>
        <v>0.25288303130148271</v>
      </c>
      <c r="AI196" s="22">
        <f>AI193/AJ193</f>
        <v>0.24464579901153211</v>
      </c>
      <c r="AJ196" s="21"/>
      <c r="AK196" s="22">
        <f>AK193/AO193</f>
        <v>0.28119935170178284</v>
      </c>
      <c r="AL196" s="22">
        <f>AL193/AO193</f>
        <v>0.25040518638573744</v>
      </c>
      <c r="AM196" s="22">
        <f>AM193/AO193</f>
        <v>0.2285251215559157</v>
      </c>
      <c r="AN196" s="22">
        <f>AN193/AO193</f>
        <v>0.23987034035656402</v>
      </c>
      <c r="AO196" s="21"/>
      <c r="AP196" s="22">
        <f>AP193/AT193</f>
        <v>0.23577235772357724</v>
      </c>
      <c r="AQ196" s="22">
        <f>AQ193/AT193</f>
        <v>0.20406504065040651</v>
      </c>
      <c r="AR196" s="22">
        <f>AR193/AT193</f>
        <v>0.25121951219512195</v>
      </c>
      <c r="AS196" s="22">
        <f>AS193/AT193</f>
        <v>0.30894308943089432</v>
      </c>
      <c r="AT196" s="21"/>
      <c r="AU196" s="22">
        <f>AU193/AY193</f>
        <v>0.31578947368421051</v>
      </c>
      <c r="AV196" s="22">
        <f>AV193/AY193</f>
        <v>0.23157894736842105</v>
      </c>
      <c r="AW196" s="22">
        <f>AW193/AY193</f>
        <v>0.22105263157894736</v>
      </c>
      <c r="AX196" s="22">
        <f>AX193/AY193</f>
        <v>0.23157894736842105</v>
      </c>
      <c r="AY196" s="21"/>
      <c r="AZ196" s="22">
        <f>AZ193/BD193</f>
        <v>0.25362318840579712</v>
      </c>
      <c r="BA196" s="22">
        <f>BA193/BD193</f>
        <v>0.21014492753623187</v>
      </c>
      <c r="BB196" s="22">
        <f>BB193/BD193</f>
        <v>0.2608695652173913</v>
      </c>
      <c r="BC196" s="22">
        <f>BC193/BD193</f>
        <v>0.27536231884057971</v>
      </c>
      <c r="BD196" s="21"/>
      <c r="BE196" s="22">
        <f>BE193/BI193</f>
        <v>0.22535211267605634</v>
      </c>
      <c r="BF196" s="22">
        <f>BF193/BI193</f>
        <v>0.23943661971830985</v>
      </c>
      <c r="BG196" s="22">
        <f>BG193/BI193</f>
        <v>0.23239436619718309</v>
      </c>
      <c r="BH196" s="22">
        <f>BH193/BI193</f>
        <v>0.30281690140845069</v>
      </c>
      <c r="BI196" s="21"/>
      <c r="BJ196" s="22">
        <f>BJ193/BN193</f>
        <v>0.25874125874125875</v>
      </c>
      <c r="BK196" s="22">
        <f>BK193/BN193</f>
        <v>0.27972027972027974</v>
      </c>
      <c r="BL196" s="22">
        <f>BL193/BN193</f>
        <v>0.22377622377622378</v>
      </c>
      <c r="BM196" s="22">
        <f>BM193/BN193</f>
        <v>0.23776223776223776</v>
      </c>
      <c r="BN196" s="21"/>
      <c r="BO196" s="22">
        <f>BO193/BS193</f>
        <v>0.2046783625730994</v>
      </c>
      <c r="BP196" s="22">
        <f>BP193/BS193</f>
        <v>0.21637426900584794</v>
      </c>
      <c r="BQ196" s="22">
        <f>BQ193/BS193</f>
        <v>0.33333333333333331</v>
      </c>
      <c r="BR196" s="22">
        <f>BR193/BS193</f>
        <v>0.24561403508771928</v>
      </c>
      <c r="BS196" s="21"/>
      <c r="BT196" s="22">
        <f>BT193/BX193</f>
        <v>0.28176795580110497</v>
      </c>
      <c r="BU196" s="22">
        <f>BU193/BX193</f>
        <v>0.25966850828729282</v>
      </c>
      <c r="BV196" s="22">
        <f>BV193/BX193</f>
        <v>0.24309392265193369</v>
      </c>
      <c r="BW196" s="22">
        <f>BW193/BX193</f>
        <v>0.21546961325966851</v>
      </c>
      <c r="BX196" s="21"/>
      <c r="BY196" s="22">
        <f>BY193/CC193</f>
        <v>0.26490066225165565</v>
      </c>
      <c r="BZ196" s="22">
        <f>BZ193/CC193</f>
        <v>0.25165562913907286</v>
      </c>
      <c r="CA196" s="22">
        <f>CA193/CC193</f>
        <v>0.20529801324503311</v>
      </c>
      <c r="CB196" s="22">
        <f>CB193/CC193</f>
        <v>0.27814569536423839</v>
      </c>
      <c r="CC196" s="21"/>
      <c r="CD196" s="22">
        <f>CD193/CH193</f>
        <v>0.3482142857142857</v>
      </c>
      <c r="CE196" s="22">
        <f>CE193/CH193</f>
        <v>0.17857142857142858</v>
      </c>
      <c r="CF196" s="22">
        <f>CF193/CH193</f>
        <v>0.26339285714285715</v>
      </c>
      <c r="CG196" s="22">
        <f>CG193/CH193</f>
        <v>0.20982142857142858</v>
      </c>
      <c r="CH196" s="21"/>
      <c r="CI196" s="22">
        <f>CI193/CM193</f>
        <v>0.24090909090909091</v>
      </c>
      <c r="CJ196" s="22">
        <f>CJ193/CM193</f>
        <v>0.29545454545454547</v>
      </c>
      <c r="CK196" s="22">
        <f>CK193/CM193</f>
        <v>0.22727272727272727</v>
      </c>
      <c r="CL196" s="22">
        <f>CL193/CM193</f>
        <v>0.23636363636363636</v>
      </c>
      <c r="CM196" s="21"/>
      <c r="CN196" s="22">
        <f>CN193/CR193</f>
        <v>0.30409356725146197</v>
      </c>
      <c r="CO196" s="22">
        <f>CO193/CR193</f>
        <v>0.26900584795321636</v>
      </c>
      <c r="CP196" s="22">
        <f>CP193/CR193</f>
        <v>0.19298245614035087</v>
      </c>
      <c r="CQ196" s="22">
        <f>CQ193/CR193</f>
        <v>0.23391812865497075</v>
      </c>
      <c r="CR196" s="21"/>
      <c r="CS196" s="22">
        <f>CS193/CW193</f>
        <v>0.31137724550898205</v>
      </c>
      <c r="CT196" s="22">
        <f>CT193/CW193</f>
        <v>0.25149700598802394</v>
      </c>
      <c r="CU196" s="22">
        <f>CU193/CW193</f>
        <v>0.20359281437125748</v>
      </c>
      <c r="CV196" s="22">
        <f>CV193/CW193</f>
        <v>0.23353293413173654</v>
      </c>
      <c r="CW196" s="21"/>
      <c r="CX196" s="22">
        <f>CX193/DB193</f>
        <v>0.35294117647058826</v>
      </c>
      <c r="CY196" s="22">
        <f>CY193/DB193</f>
        <v>0.20588235294117646</v>
      </c>
      <c r="CZ196" s="22">
        <f>CZ193/DB193</f>
        <v>0.22549019607843138</v>
      </c>
      <c r="DA196" s="22">
        <f>DA193/DB193</f>
        <v>0.21568627450980393</v>
      </c>
      <c r="DB196" s="21"/>
      <c r="DC196" s="22">
        <f>DC193/DG193</f>
        <v>0.23943661971830985</v>
      </c>
      <c r="DD196" s="22">
        <f>DD193/DG193</f>
        <v>0.27464788732394368</v>
      </c>
      <c r="DE196" s="22">
        <f>DE193/DG193</f>
        <v>0.22535211267605634</v>
      </c>
      <c r="DF196" s="22">
        <f>DF193/DG193</f>
        <v>0.26056338028169013</v>
      </c>
      <c r="DG196" s="21"/>
      <c r="DH196" s="22">
        <f>DH193/DL193</f>
        <v>0.25949367088607594</v>
      </c>
      <c r="DI196" s="22">
        <f>DI193/DL193</f>
        <v>0.27215189873417722</v>
      </c>
      <c r="DJ196" s="22">
        <f>DJ193/DL193</f>
        <v>0.189873417721519</v>
      </c>
      <c r="DK196" s="22">
        <f>DK193/DL193</f>
        <v>0.27848101265822783</v>
      </c>
      <c r="DL196" s="21"/>
      <c r="DM196" s="22">
        <f>DM193/DQ193</f>
        <v>0.29230769230769232</v>
      </c>
      <c r="DN196" s="22">
        <f>DN193/DQ193</f>
        <v>0.23076923076923078</v>
      </c>
      <c r="DO196" s="22">
        <f>DO193/DQ193</f>
        <v>0.25384615384615383</v>
      </c>
      <c r="DP196" s="22">
        <f>DP193/DQ193</f>
        <v>0.22307692307692309</v>
      </c>
      <c r="DQ196" s="21"/>
      <c r="DR196" s="22">
        <f>DR193/DV193</f>
        <v>0.3888888888888889</v>
      </c>
      <c r="DS196" s="22">
        <f>DS193/DV193</f>
        <v>0.22222222222222221</v>
      </c>
      <c r="DT196" s="22">
        <f>DT193/DV193</f>
        <v>0.25555555555555554</v>
      </c>
      <c r="DU196" s="22">
        <f>DU193/DV193</f>
        <v>0.13333333333333333</v>
      </c>
      <c r="DV196" s="21"/>
      <c r="DW196" s="22">
        <f>DW193/EA193</f>
        <v>0.22222222222222221</v>
      </c>
      <c r="DX196" s="22">
        <f>DX193/EA193</f>
        <v>0.31111111111111112</v>
      </c>
      <c r="DY196" s="22">
        <f>DY193/EA193</f>
        <v>0.25925925925925924</v>
      </c>
      <c r="DZ196" s="22">
        <f>DZ193/EA193</f>
        <v>0.2074074074074074</v>
      </c>
      <c r="EA196" s="21"/>
      <c r="EB196" s="22">
        <f>EB193/EF193</f>
        <v>0.26277372262773724</v>
      </c>
      <c r="EC196" s="22">
        <f>EC193/EF193</f>
        <v>0.18978102189781021</v>
      </c>
      <c r="ED196" s="22">
        <f>ED193/EF193</f>
        <v>0.19708029197080293</v>
      </c>
      <c r="EE196" s="22">
        <f>EE193/EF193</f>
        <v>0.35036496350364965</v>
      </c>
      <c r="EF196" s="21"/>
      <c r="EG196" s="22">
        <f>EG193/EK193</f>
        <v>0.22</v>
      </c>
      <c r="EH196" s="22">
        <f>EH193/EK193</f>
        <v>0.21333333333333335</v>
      </c>
      <c r="EI196" s="22">
        <f>EI193/EK193</f>
        <v>0.24</v>
      </c>
      <c r="EJ196" s="22">
        <f>EJ193/EK193</f>
        <v>0.32666666666666666</v>
      </c>
      <c r="EK196" s="21"/>
      <c r="EL196" s="22">
        <f>EL193/EP193</f>
        <v>0.27586206896551724</v>
      </c>
      <c r="EM196" s="22">
        <f>EM193/EP193</f>
        <v>0.2413793103448276</v>
      </c>
      <c r="EN196" s="22">
        <f>EN193/EP193</f>
        <v>0.26896551724137929</v>
      </c>
      <c r="EO196" s="22">
        <f>EO193/EP193</f>
        <v>0.21379310344827587</v>
      </c>
      <c r="EP196" s="21"/>
      <c r="EQ196" s="22">
        <f>EQ193/EU193</f>
        <v>0.29375000000000001</v>
      </c>
      <c r="ER196" s="22">
        <f t="shared" ref="ER196:ET196" si="710">ER193/$EU193</f>
        <v>0.23125000000000001</v>
      </c>
      <c r="ES196" s="22">
        <f t="shared" si="710"/>
        <v>0.24374999999999999</v>
      </c>
      <c r="ET196" s="22">
        <f t="shared" si="710"/>
        <v>0.23125000000000001</v>
      </c>
      <c r="EU196" s="270"/>
      <c r="EV196" s="243"/>
      <c r="EW196" s="243"/>
      <c r="EX196" s="243"/>
      <c r="EY196" s="243"/>
      <c r="EZ196" s="844"/>
      <c r="FA196" s="243"/>
      <c r="FB196" s="243"/>
      <c r="FC196" s="243"/>
      <c r="FD196" s="243"/>
      <c r="FE196" s="844"/>
      <c r="FF196" s="791"/>
      <c r="FG196" s="618"/>
      <c r="FH196" s="1073"/>
      <c r="FI196" s="1073"/>
      <c r="FJ196" s="1073"/>
      <c r="FK196" s="1073"/>
      <c r="FL196" s="1806"/>
      <c r="FM196" s="22">
        <f t="shared" si="624"/>
        <v>0.29375000000000001</v>
      </c>
      <c r="FN196" s="22">
        <f t="shared" si="625"/>
        <v>0.27586206896551724</v>
      </c>
      <c r="FO196" s="2041">
        <v>0.26143790849673204</v>
      </c>
      <c r="FP196" s="1892">
        <f t="shared" si="703"/>
        <v>178.87931034482773</v>
      </c>
      <c r="FQ196" s="1892">
        <f t="shared" si="703"/>
        <v>323.1209150326797</v>
      </c>
      <c r="FR196" s="587"/>
      <c r="FS196" s="120"/>
      <c r="FT196" s="120"/>
      <c r="FU196" s="120"/>
      <c r="FV196" s="120"/>
      <c r="FW196" s="120"/>
      <c r="FX196" s="120"/>
      <c r="FY196" s="120"/>
      <c r="FZ196" s="120"/>
      <c r="GA196" s="618"/>
      <c r="GB196"/>
      <c r="GC196"/>
      <c r="GD196"/>
      <c r="GE196"/>
      <c r="GF196"/>
      <c r="GG196"/>
      <c r="GH196" s="973"/>
      <c r="GI196" s="973"/>
      <c r="GJ196" s="973"/>
      <c r="GK196" s="973"/>
      <c r="GL196" s="973"/>
      <c r="GM196" s="973"/>
      <c r="GN196" s="973"/>
      <c r="GO196" s="973"/>
      <c r="GP196" s="973"/>
      <c r="GQ196" s="973"/>
      <c r="GR196" s="973"/>
      <c r="GS196" s="973"/>
      <c r="GT196" s="973"/>
      <c r="GU196" s="973"/>
      <c r="GV196" s="973"/>
      <c r="GW196" s="973"/>
      <c r="GX196" s="973"/>
      <c r="GY196" s="973"/>
      <c r="GZ196" s="973"/>
      <c r="HA196" s="973"/>
      <c r="HB196" s="973"/>
      <c r="HC196" s="973"/>
      <c r="HD196" s="973"/>
      <c r="HE196" s="973"/>
      <c r="HF196" s="973"/>
      <c r="HG196" s="973"/>
      <c r="HH196" s="973"/>
      <c r="HI196" s="973"/>
      <c r="HJ196" s="973"/>
      <c r="HK196" s="973"/>
      <c r="HL196" s="973"/>
      <c r="HM196" s="973"/>
      <c r="HN196" s="973"/>
      <c r="HO196" s="973"/>
      <c r="HP196" s="973"/>
      <c r="HQ196" s="973"/>
      <c r="HR196" s="973"/>
      <c r="HS196" s="973"/>
      <c r="HT196" s="973"/>
      <c r="HU196" s="973"/>
      <c r="HV196" s="973"/>
      <c r="HW196" s="973"/>
      <c r="HX196" s="973"/>
      <c r="HY196" s="973"/>
      <c r="HZ196" s="973"/>
      <c r="IA196" s="973"/>
      <c r="IB196" s="973"/>
      <c r="IC196" s="973"/>
      <c r="ID196" s="973"/>
      <c r="IE196" s="973"/>
      <c r="IF196" s="973"/>
      <c r="IG196" s="973"/>
      <c r="IH196" s="973"/>
      <c r="II196" s="973"/>
      <c r="IJ196" s="973"/>
      <c r="IK196" s="973"/>
      <c r="IL196" s="973"/>
      <c r="IM196" s="973"/>
      <c r="IN196" s="973"/>
      <c r="IO196" s="973"/>
      <c r="IP196" s="973"/>
      <c r="IQ196" s="973"/>
      <c r="IR196" s="973"/>
      <c r="IS196" s="973"/>
      <c r="IT196" s="973"/>
      <c r="IU196" s="973"/>
      <c r="IV196" s="973"/>
    </row>
    <row r="197" spans="1:256" s="49" customFormat="1" ht="12.75" x14ac:dyDescent="0.2">
      <c r="A197" s="35" t="str">
        <f>A193&amp;" per Carload"</f>
        <v>Casualties &amp; Insurance per Carload</v>
      </c>
      <c r="B197" s="20"/>
      <c r="C197" s="20"/>
      <c r="D197" s="20"/>
      <c r="E197" s="205"/>
      <c r="F197" s="48"/>
      <c r="G197" s="20"/>
      <c r="H197" s="20"/>
      <c r="I197" s="20"/>
      <c r="J197" s="205"/>
      <c r="K197" s="48"/>
      <c r="L197" s="20">
        <f>L193/L$13*1000</f>
        <v>39.869556069850624</v>
      </c>
      <c r="M197" s="20">
        <f>M193/M$13*1000</f>
        <v>35.838515863813647</v>
      </c>
      <c r="N197" s="20">
        <f>N193/N$13*1000</f>
        <v>33.143554290361934</v>
      </c>
      <c r="O197" s="205">
        <f>O193/O$13*1000</f>
        <v>32.826177573989163</v>
      </c>
      <c r="P197" s="48">
        <f>P193/P$13*1000</f>
        <v>35.393623942745613</v>
      </c>
      <c r="Q197" s="20">
        <f t="shared" ref="Q197:CB197" si="711">Q193/Q$13*1000</f>
        <v>32.957950201467085</v>
      </c>
      <c r="R197" s="20">
        <f t="shared" si="711"/>
        <v>28.819621870209506</v>
      </c>
      <c r="S197" s="20">
        <f t="shared" si="711"/>
        <v>30.662511309942708</v>
      </c>
      <c r="T197" s="205">
        <f t="shared" si="711"/>
        <v>27.74760541127678</v>
      </c>
      <c r="U197" s="48">
        <f t="shared" si="711"/>
        <v>30.021751226668009</v>
      </c>
      <c r="V197" s="20">
        <f t="shared" si="711"/>
        <v>31.282156822391439</v>
      </c>
      <c r="W197" s="20">
        <f t="shared" si="711"/>
        <v>28.962970162309269</v>
      </c>
      <c r="X197" s="20">
        <f t="shared" si="711"/>
        <v>30.644026926554808</v>
      </c>
      <c r="Y197" s="205">
        <f t="shared" si="711"/>
        <v>27.52471409187827</v>
      </c>
      <c r="Z197" s="48">
        <f t="shared" si="711"/>
        <v>29.569492030388794</v>
      </c>
      <c r="AA197" s="20">
        <f t="shared" si="711"/>
        <v>28.686908517350158</v>
      </c>
      <c r="AB197" s="20">
        <f t="shared" si="711"/>
        <v>34.063039331456089</v>
      </c>
      <c r="AC197" s="20">
        <f t="shared" si="711"/>
        <v>33.763101753084136</v>
      </c>
      <c r="AD197" s="205">
        <f t="shared" si="711"/>
        <v>28.815080789946141</v>
      </c>
      <c r="AE197" s="48">
        <f t="shared" si="711"/>
        <v>31.36462831406417</v>
      </c>
      <c r="AF197" s="20">
        <f t="shared" si="711"/>
        <v>28.962043533009538</v>
      </c>
      <c r="AG197" s="20">
        <f t="shared" si="711"/>
        <v>25.650160313501956</v>
      </c>
      <c r="AH197" s="20">
        <f t="shared" si="711"/>
        <v>27.893876067599493</v>
      </c>
      <c r="AI197" s="205">
        <f t="shared" si="711"/>
        <v>26.675049398239626</v>
      </c>
      <c r="AJ197" s="48">
        <f t="shared" si="711"/>
        <v>27.289484332149438</v>
      </c>
      <c r="AK197" s="20">
        <f t="shared" si="711"/>
        <v>31.408399710354821</v>
      </c>
      <c r="AL197" s="20">
        <f t="shared" si="711"/>
        <v>27.062532842879662</v>
      </c>
      <c r="AM197" s="20">
        <f t="shared" si="711"/>
        <v>24.605182793822529</v>
      </c>
      <c r="AN197" s="205">
        <f t="shared" si="711"/>
        <v>25.512842613342528</v>
      </c>
      <c r="AO197" s="48">
        <f t="shared" si="711"/>
        <v>27.103604296162889</v>
      </c>
      <c r="AP197" s="20">
        <f t="shared" si="711"/>
        <v>25.097360450021636</v>
      </c>
      <c r="AQ197" s="20">
        <f t="shared" si="711"/>
        <v>20.885338658678645</v>
      </c>
      <c r="AR197" s="20">
        <f t="shared" si="711"/>
        <v>25.890238793464601</v>
      </c>
      <c r="AS197" s="205">
        <f t="shared" si="711"/>
        <v>31.459557910423047</v>
      </c>
      <c r="AT197" s="48">
        <f t="shared" si="711"/>
        <v>25.8473952970349</v>
      </c>
      <c r="AU197" s="20">
        <f t="shared" si="711"/>
        <v>24.809791597750579</v>
      </c>
      <c r="AV197" s="20">
        <f t="shared" si="711"/>
        <v>17.874553136171592</v>
      </c>
      <c r="AW197" s="20">
        <f t="shared" si="711"/>
        <v>17.758985200845665</v>
      </c>
      <c r="AX197" s="205">
        <f t="shared" si="711"/>
        <v>18.631436314363146</v>
      </c>
      <c r="AY197" s="48">
        <f t="shared" si="711"/>
        <v>19.778069244061371</v>
      </c>
      <c r="AZ197" s="20">
        <f t="shared" si="711"/>
        <v>30.206265642530422</v>
      </c>
      <c r="BA197" s="20">
        <f t="shared" si="711"/>
        <v>21.177157879363225</v>
      </c>
      <c r="BB197" s="20">
        <f t="shared" si="711"/>
        <v>21.007177452296197</v>
      </c>
      <c r="BC197" s="205">
        <f t="shared" si="711"/>
        <v>22.105103952159901</v>
      </c>
      <c r="BD197" s="48">
        <f t="shared" si="711"/>
        <v>23.151021832420152</v>
      </c>
      <c r="BE197" s="20">
        <f t="shared" si="711"/>
        <v>19.076005961251862</v>
      </c>
      <c r="BF197" s="20">
        <f t="shared" si="711"/>
        <v>19.364392299806354</v>
      </c>
      <c r="BG197" s="20">
        <f t="shared" si="711"/>
        <v>19.050917907862836</v>
      </c>
      <c r="BH197" s="205">
        <f t="shared" si="711"/>
        <v>25.570884871550906</v>
      </c>
      <c r="BI197" s="48">
        <f t="shared" si="711"/>
        <v>20.738706897810751</v>
      </c>
      <c r="BJ197" s="20">
        <f t="shared" si="711"/>
        <v>22.375423318819543</v>
      </c>
      <c r="BK197" s="20">
        <f t="shared" si="711"/>
        <v>23.712134684925008</v>
      </c>
      <c r="BL197" s="20">
        <f t="shared" si="711"/>
        <v>19.71050200184786</v>
      </c>
      <c r="BM197" s="205">
        <f t="shared" si="711"/>
        <v>20.46974451350642</v>
      </c>
      <c r="BN197" s="48">
        <f t="shared" si="711"/>
        <v>21.584944757635785</v>
      </c>
      <c r="BO197" s="20">
        <f t="shared" si="711"/>
        <v>21.78784860557769</v>
      </c>
      <c r="BP197" s="20">
        <f t="shared" si="711"/>
        <v>21.555490824351878</v>
      </c>
      <c r="BQ197" s="20">
        <f t="shared" si="711"/>
        <v>32.837884548911163</v>
      </c>
      <c r="BR197" s="205">
        <f t="shared" si="711"/>
        <v>25.270758122743679</v>
      </c>
      <c r="BS197" s="48">
        <f t="shared" si="711"/>
        <v>25.443778177868374</v>
      </c>
      <c r="BT197" s="20">
        <f t="shared" si="711"/>
        <v>30.946601941747574</v>
      </c>
      <c r="BU197" s="20">
        <f t="shared" si="711"/>
        <v>27.076852171909206</v>
      </c>
      <c r="BV197" s="20">
        <f t="shared" si="711"/>
        <v>25.553168012079677</v>
      </c>
      <c r="BW197" s="205">
        <f t="shared" si="711"/>
        <v>22.215892908003415</v>
      </c>
      <c r="BX197" s="48">
        <f t="shared" si="711"/>
        <v>26.380225033521839</v>
      </c>
      <c r="BY197" s="20">
        <f t="shared" si="711"/>
        <v>22.766078542970973</v>
      </c>
      <c r="BZ197" s="20">
        <f t="shared" si="711"/>
        <v>20.264505119453929</v>
      </c>
      <c r="CA197" s="20">
        <f t="shared" si="711"/>
        <v>16.275528954691026</v>
      </c>
      <c r="CB197" s="205">
        <f t="shared" si="711"/>
        <v>21.792144450786079</v>
      </c>
      <c r="CC197" s="48">
        <f t="shared" ref="CC197:DT197" si="712">CC193/CC$13*1000</f>
        <v>20.229897376811984</v>
      </c>
      <c r="CD197" s="20">
        <f t="shared" si="712"/>
        <v>41.865348158676113</v>
      </c>
      <c r="CE197" s="20">
        <f t="shared" si="712"/>
        <v>20.534935058267877</v>
      </c>
      <c r="CF197" s="20">
        <f t="shared" si="712"/>
        <v>29.614013953721834</v>
      </c>
      <c r="CG197" s="205">
        <f t="shared" si="712"/>
        <v>23.69907220653489</v>
      </c>
      <c r="CH197" s="48">
        <f t="shared" si="712"/>
        <v>28.767679922573844</v>
      </c>
      <c r="CI197" s="20">
        <f t="shared" si="712"/>
        <v>27.079501328428371</v>
      </c>
      <c r="CJ197" s="20">
        <f t="shared" si="712"/>
        <v>32.10352150935941</v>
      </c>
      <c r="CK197" s="20">
        <f t="shared" si="712"/>
        <v>25.114269928173186</v>
      </c>
      <c r="CL197" s="205">
        <f t="shared" si="712"/>
        <v>26.969555520979203</v>
      </c>
      <c r="CM197" s="48">
        <f t="shared" si="712"/>
        <v>27.844929058714833</v>
      </c>
      <c r="CN197" s="20">
        <f t="shared" si="712"/>
        <v>27.785199038204649</v>
      </c>
      <c r="CO197" s="20">
        <f t="shared" si="712"/>
        <v>23.683262111929153</v>
      </c>
      <c r="CP197" s="20">
        <f t="shared" si="712"/>
        <v>17.285631973181079</v>
      </c>
      <c r="CQ197" s="205">
        <f t="shared" si="712"/>
        <v>21.389230522431959</v>
      </c>
      <c r="CR197" s="48">
        <f t="shared" si="712"/>
        <v>22.520742789411305</v>
      </c>
      <c r="CS197" s="20">
        <f t="shared" si="712"/>
        <v>28.446389496717725</v>
      </c>
      <c r="CT197" s="20">
        <f t="shared" si="712"/>
        <v>22.093634928984745</v>
      </c>
      <c r="CU197" s="20">
        <f t="shared" si="712"/>
        <v>17.939112541550148</v>
      </c>
      <c r="CV197" s="205">
        <f t="shared" si="712"/>
        <v>22.606074658010662</v>
      </c>
      <c r="CW197" s="48">
        <f t="shared" si="712"/>
        <v>22.722634192802232</v>
      </c>
      <c r="CX197" s="20">
        <f t="shared" si="712"/>
        <v>24.732069249793899</v>
      </c>
      <c r="CY197" s="20">
        <f t="shared" si="712"/>
        <v>14.869362033562275</v>
      </c>
      <c r="CZ197" s="20">
        <f t="shared" si="712"/>
        <v>15.109709630797532</v>
      </c>
      <c r="DA197" s="20">
        <f t="shared" si="712"/>
        <v>14.037774374680959</v>
      </c>
      <c r="DB197" s="48">
        <f t="shared" si="712"/>
        <v>17.121850502744532</v>
      </c>
      <c r="DC197" s="20">
        <f t="shared" si="712"/>
        <v>21.479562827721271</v>
      </c>
      <c r="DD197" s="20">
        <f t="shared" si="712"/>
        <v>22.677055471566465</v>
      </c>
      <c r="DE197" s="20">
        <f t="shared" si="712"/>
        <v>18.258587241812169</v>
      </c>
      <c r="DF197" s="20">
        <f t="shared" si="712"/>
        <v>21.65262172284644</v>
      </c>
      <c r="DG197" s="48">
        <f t="shared" si="712"/>
        <v>20.993184606969145</v>
      </c>
      <c r="DH197" s="20">
        <f t="shared" si="712"/>
        <v>23.959794296400187</v>
      </c>
      <c r="DI197" s="20">
        <f t="shared" si="712"/>
        <v>24.064021489730816</v>
      </c>
      <c r="DJ197" s="20">
        <f t="shared" si="712"/>
        <v>16.575501408917617</v>
      </c>
      <c r="DK197" s="20">
        <f t="shared" si="712"/>
        <v>24.353794210438924</v>
      </c>
      <c r="DL197" s="48">
        <f t="shared" si="712"/>
        <v>22.207542131080718</v>
      </c>
      <c r="DM197" s="20">
        <f t="shared" si="712"/>
        <v>21.955165241506815</v>
      </c>
      <c r="DN197" s="20">
        <f t="shared" si="712"/>
        <v>16.673150669704885</v>
      </c>
      <c r="DO197" s="20">
        <f t="shared" si="712"/>
        <v>18.487394957983195</v>
      </c>
      <c r="DP197" s="20">
        <f t="shared" si="712"/>
        <v>16.182132693488089</v>
      </c>
      <c r="DQ197" s="48">
        <f t="shared" si="712"/>
        <v>18.291310220621337</v>
      </c>
      <c r="DR197" s="20">
        <f t="shared" si="712"/>
        <v>19.623233908948194</v>
      </c>
      <c r="DS197" s="20">
        <f t="shared" si="712"/>
        <v>10.880208900010881</v>
      </c>
      <c r="DT197" s="20">
        <f t="shared" si="712"/>
        <v>12.384901190027463</v>
      </c>
      <c r="DU197" s="20">
        <f t="shared" ref="DU197:EF197" si="713">DU193/DU$13*1000</f>
        <v>6.4446831364124604</v>
      </c>
      <c r="DV197" s="48">
        <f t="shared" si="713"/>
        <v>12.260077102262667</v>
      </c>
      <c r="DW197" s="20">
        <f t="shared" si="713"/>
        <v>17.020310904345852</v>
      </c>
      <c r="DX197" s="20">
        <f t="shared" si="713"/>
        <v>21.17896223085069</v>
      </c>
      <c r="DY197" s="20">
        <f t="shared" si="713"/>
        <v>17.491254372813593</v>
      </c>
      <c r="DZ197" s="20">
        <f t="shared" si="713"/>
        <v>14.521315216263876</v>
      </c>
      <c r="EA197" s="48">
        <f t="shared" si="713"/>
        <v>17.589805730367821</v>
      </c>
      <c r="EB197" s="20">
        <f t="shared" si="713"/>
        <v>19.976693857166641</v>
      </c>
      <c r="EC197" s="20">
        <f t="shared" si="713"/>
        <v>13.422125858241699</v>
      </c>
      <c r="ED197" s="20">
        <f t="shared" si="713"/>
        <v>13.944120229303312</v>
      </c>
      <c r="EE197" s="20">
        <f t="shared" si="713"/>
        <v>26.616391260951534</v>
      </c>
      <c r="EF197" s="48">
        <f t="shared" si="713"/>
        <v>18.318201874607229</v>
      </c>
      <c r="EG197" s="20">
        <f t="shared" ref="EG197:ER197" si="714">EG193/EG$13*1000</f>
        <v>18.780945876728701</v>
      </c>
      <c r="EH197" s="20">
        <f t="shared" si="714"/>
        <v>17.772840877534019</v>
      </c>
      <c r="EI197" s="20">
        <f t="shared" si="714"/>
        <v>19.331972935237893</v>
      </c>
      <c r="EJ197" s="20">
        <f t="shared" si="714"/>
        <v>26.631882167509104</v>
      </c>
      <c r="EK197" s="48">
        <f t="shared" si="714"/>
        <v>20.66201082689367</v>
      </c>
      <c r="EL197" s="20">
        <f>EL193/EL$13*1000</f>
        <v>21.661431820643347</v>
      </c>
      <c r="EM197" s="20">
        <f t="shared" ref="EM197:EP197" si="715">EM193/EM$13*1000</f>
        <v>18.316935315051285</v>
      </c>
      <c r="EN197" s="20">
        <f t="shared" si="715"/>
        <v>20.217729393468119</v>
      </c>
      <c r="EO197" s="20">
        <f t="shared" si="715"/>
        <v>16.103059581320451</v>
      </c>
      <c r="EP197" s="48">
        <f t="shared" si="715"/>
        <v>19.050121526637323</v>
      </c>
      <c r="EQ197" s="20">
        <f>EQ193/EQ$13*1000</f>
        <v>24.679689140936777</v>
      </c>
      <c r="ER197" s="20">
        <f t="shared" si="714"/>
        <v>18.618563009242859</v>
      </c>
      <c r="ES197" s="20">
        <f t="shared" ref="ES197:EU197" si="716">ES193/ES$13*1000</f>
        <v>19.385586269835429</v>
      </c>
      <c r="ET197" s="20">
        <f t="shared" si="716"/>
        <v>18.71541915330938</v>
      </c>
      <c r="EU197" s="1954">
        <f t="shared" si="716"/>
        <v>20.303415510350142</v>
      </c>
      <c r="EV197" s="20"/>
      <c r="EW197" s="20"/>
      <c r="EX197" s="20"/>
      <c r="EY197" s="20"/>
      <c r="EZ197" s="747">
        <f>EU197*(1+EZ198)</f>
        <v>20.709483820557146</v>
      </c>
      <c r="FA197" s="20"/>
      <c r="FB197" s="20"/>
      <c r="FC197" s="20"/>
      <c r="FD197" s="20"/>
      <c r="FE197" s="747">
        <f>EZ197*(1+FE198)</f>
        <v>21.123673496968291</v>
      </c>
      <c r="FF197" s="767"/>
      <c r="FG197" s="655"/>
      <c r="FH197" s="1031"/>
      <c r="FI197" s="1031"/>
      <c r="FJ197" s="1031"/>
      <c r="FK197" s="1031"/>
      <c r="FL197" s="1809"/>
      <c r="FM197" s="20">
        <f t="shared" si="624"/>
        <v>24.679689140936777</v>
      </c>
      <c r="FN197" s="20">
        <f t="shared" si="625"/>
        <v>21.661431820643347</v>
      </c>
      <c r="FO197" s="2048">
        <v>21.079091385765818</v>
      </c>
      <c r="FP197" s="16">
        <f>IFERROR(($FM197/FN197)-1,"")</f>
        <v>0.13933784919134617</v>
      </c>
      <c r="FQ197" s="16">
        <f>IFERROR(($FM197/FO197)-1,"")</f>
        <v>0.17081370772946847</v>
      </c>
      <c r="FR197" s="537"/>
      <c r="FS197" s="537"/>
      <c r="FT197" s="537"/>
      <c r="FU197" s="537"/>
      <c r="FV197" s="537"/>
      <c r="FW197" s="537"/>
      <c r="FX197" s="537"/>
      <c r="FY197" s="537"/>
      <c r="FZ197" s="537"/>
      <c r="GA197" s="655"/>
      <c r="GB197"/>
      <c r="GC197"/>
      <c r="GD197"/>
      <c r="GE197"/>
      <c r="GF197"/>
      <c r="GG197"/>
      <c r="GH197" s="963"/>
      <c r="GI197" s="963"/>
      <c r="GJ197" s="963"/>
      <c r="GK197" s="963"/>
      <c r="GL197" s="963"/>
      <c r="GM197" s="963"/>
      <c r="GN197" s="963"/>
      <c r="GO197" s="963"/>
      <c r="GP197" s="963"/>
      <c r="GQ197" s="963"/>
      <c r="GR197" s="963"/>
      <c r="GS197" s="963"/>
      <c r="GT197" s="963"/>
      <c r="GU197" s="963"/>
      <c r="GV197" s="963"/>
      <c r="GW197" s="963"/>
      <c r="GX197" s="963"/>
      <c r="GY197" s="963"/>
      <c r="GZ197" s="963"/>
      <c r="HA197" s="963"/>
      <c r="HB197" s="963"/>
      <c r="HC197" s="963"/>
      <c r="HD197" s="963"/>
      <c r="HE197" s="963"/>
      <c r="HF197" s="963"/>
      <c r="HG197" s="963"/>
      <c r="HH197" s="963"/>
      <c r="HI197" s="963"/>
      <c r="HJ197" s="963"/>
      <c r="HK197" s="963"/>
      <c r="HL197" s="963"/>
      <c r="HM197" s="963"/>
      <c r="HN197" s="963"/>
      <c r="HO197" s="963"/>
      <c r="HP197" s="963"/>
      <c r="HQ197" s="963"/>
      <c r="HR197" s="963"/>
      <c r="HS197" s="963"/>
      <c r="HT197" s="963"/>
      <c r="HU197" s="963"/>
      <c r="HV197" s="963"/>
      <c r="HW197" s="963"/>
      <c r="HX197" s="963"/>
      <c r="HY197" s="963"/>
      <c r="HZ197" s="963"/>
      <c r="IA197" s="963"/>
      <c r="IB197" s="963"/>
      <c r="IC197" s="963"/>
      <c r="ID197" s="963"/>
      <c r="IE197" s="963"/>
      <c r="IF197" s="963"/>
      <c r="IG197" s="963"/>
      <c r="IH197" s="963"/>
      <c r="II197" s="963"/>
      <c r="IJ197" s="963"/>
      <c r="IK197" s="963"/>
      <c r="IL197" s="963"/>
      <c r="IM197" s="963"/>
      <c r="IN197" s="963"/>
      <c r="IO197" s="963"/>
      <c r="IP197" s="963"/>
      <c r="IQ197" s="963"/>
      <c r="IR197" s="963"/>
      <c r="IS197" s="963"/>
      <c r="IT197" s="963"/>
      <c r="IU197" s="963"/>
      <c r="IV197" s="963"/>
    </row>
    <row r="198" spans="1:256" s="56" customFormat="1" ht="12.75" x14ac:dyDescent="0.2">
      <c r="A198" s="44" t="s">
        <v>74</v>
      </c>
      <c r="B198" s="22"/>
      <c r="C198" s="22"/>
      <c r="D198" s="22"/>
      <c r="E198" s="197"/>
      <c r="F198" s="21"/>
      <c r="G198" s="22"/>
      <c r="H198" s="22"/>
      <c r="I198" s="22"/>
      <c r="J198" s="197"/>
      <c r="K198" s="21"/>
      <c r="L198" s="22"/>
      <c r="M198" s="22"/>
      <c r="N198" s="22"/>
      <c r="O198" s="197"/>
      <c r="P198" s="21"/>
      <c r="Q198" s="22">
        <f t="shared" ref="Q198:CB198" si="717">Q197/L197-1</f>
        <v>-0.17335547594948264</v>
      </c>
      <c r="R198" s="22">
        <f t="shared" si="717"/>
        <v>-0.19584778622741905</v>
      </c>
      <c r="S198" s="22">
        <f t="shared" si="717"/>
        <v>-7.4857480844796043E-2</v>
      </c>
      <c r="T198" s="197">
        <f t="shared" si="717"/>
        <v>-0.15471104277266046</v>
      </c>
      <c r="U198" s="21">
        <f t="shared" si="717"/>
        <v>-0.15177515376123674</v>
      </c>
      <c r="V198" s="22">
        <f t="shared" si="717"/>
        <v>-5.084640788737671E-2</v>
      </c>
      <c r="W198" s="22">
        <f t="shared" si="717"/>
        <v>4.9739824049510606E-3</v>
      </c>
      <c r="X198" s="22">
        <f t="shared" si="717"/>
        <v>-6.0283331658828043E-4</v>
      </c>
      <c r="Y198" s="197">
        <f t="shared" si="717"/>
        <v>-8.0328127813121819E-3</v>
      </c>
      <c r="Z198" s="21">
        <f t="shared" si="717"/>
        <v>-1.5064384248093976E-2</v>
      </c>
      <c r="AA198" s="22">
        <f t="shared" si="717"/>
        <v>-8.2962575751286738E-2</v>
      </c>
      <c r="AB198" s="22">
        <f t="shared" si="717"/>
        <v>0.17608930094413289</v>
      </c>
      <c r="AC198" s="22">
        <f t="shared" si="717"/>
        <v>0.10178410409326699</v>
      </c>
      <c r="AD198" s="197">
        <f t="shared" si="717"/>
        <v>4.6880294333325079E-2</v>
      </c>
      <c r="AE198" s="21">
        <f t="shared" si="717"/>
        <v>6.0709067366815139E-2</v>
      </c>
      <c r="AF198" s="22">
        <f t="shared" si="717"/>
        <v>9.590960820786032E-3</v>
      </c>
      <c r="AG198" s="22">
        <f t="shared" si="717"/>
        <v>-0.24697969362308536</v>
      </c>
      <c r="AH198" s="22">
        <f t="shared" si="717"/>
        <v>-0.17383550031651074</v>
      </c>
      <c r="AI198" s="197">
        <f t="shared" si="717"/>
        <v>-7.4267756086014214E-2</v>
      </c>
      <c r="AJ198" s="21">
        <f t="shared" si="717"/>
        <v>-0.12992801767357154</v>
      </c>
      <c r="AK198" s="22">
        <f t="shared" si="717"/>
        <v>8.4467664533306897E-2</v>
      </c>
      <c r="AL198" s="22">
        <f t="shared" si="717"/>
        <v>5.5062912360600347E-2</v>
      </c>
      <c r="AM198" s="22">
        <f t="shared" si="717"/>
        <v>-0.1179001894827012</v>
      </c>
      <c r="AN198" s="197">
        <f t="shared" si="717"/>
        <v>-4.3569058394088533E-2</v>
      </c>
      <c r="AO198" s="21">
        <f t="shared" si="717"/>
        <v>-6.8114162116125199E-3</v>
      </c>
      <c r="AP198" s="22">
        <f t="shared" si="717"/>
        <v>-0.20093476008115563</v>
      </c>
      <c r="AQ198" s="22">
        <f t="shared" si="717"/>
        <v>-0.22825632102008808</v>
      </c>
      <c r="AR198" s="22">
        <f t="shared" si="717"/>
        <v>5.2227045432261754E-2</v>
      </c>
      <c r="AS198" s="197">
        <f t="shared" si="717"/>
        <v>0.23308713134029801</v>
      </c>
      <c r="AT198" s="21">
        <f t="shared" si="717"/>
        <v>-4.634841128144096E-2</v>
      </c>
      <c r="AU198" s="22">
        <f t="shared" si="717"/>
        <v>-1.1458131337903743E-2</v>
      </c>
      <c r="AV198" s="22">
        <f t="shared" si="717"/>
        <v>-0.144157850237011</v>
      </c>
      <c r="AW198" s="22">
        <f t="shared" si="717"/>
        <v>-0.31406638067283821</v>
      </c>
      <c r="AX198" s="197">
        <f t="shared" si="717"/>
        <v>-0.40776547568107246</v>
      </c>
      <c r="AY198" s="21">
        <f t="shared" si="717"/>
        <v>-0.23481383649012311</v>
      </c>
      <c r="AZ198" s="22">
        <f t="shared" si="717"/>
        <v>0.21751388049825948</v>
      </c>
      <c r="BA198" s="22">
        <f t="shared" si="717"/>
        <v>0.18476572354183007</v>
      </c>
      <c r="BB198" s="22">
        <f t="shared" si="717"/>
        <v>0.18290415892096457</v>
      </c>
      <c r="BC198" s="197">
        <f t="shared" si="717"/>
        <v>0.18644121575956407</v>
      </c>
      <c r="BD198" s="21">
        <f t="shared" si="717"/>
        <v>0.17054003334382895</v>
      </c>
      <c r="BE198" s="22">
        <f t="shared" si="717"/>
        <v>-0.36847519693421338</v>
      </c>
      <c r="BF198" s="22">
        <f t="shared" si="717"/>
        <v>-8.5600040849833747E-2</v>
      </c>
      <c r="BG198" s="22">
        <f t="shared" si="717"/>
        <v>-9.3123388369318105E-2</v>
      </c>
      <c r="BH198" s="197">
        <f t="shared" si="717"/>
        <v>0.15678645650758694</v>
      </c>
      <c r="BI198" s="21">
        <f t="shared" si="717"/>
        <v>-0.10419906957330294</v>
      </c>
      <c r="BJ198" s="22">
        <f t="shared" si="717"/>
        <v>0.17296164429124317</v>
      </c>
      <c r="BK198" s="22">
        <f t="shared" si="717"/>
        <v>0.22452253175856862</v>
      </c>
      <c r="BL198" s="22">
        <f t="shared" si="717"/>
        <v>3.4622168715177537E-2</v>
      </c>
      <c r="BM198" s="197">
        <f t="shared" si="717"/>
        <v>-0.1994901773508746</v>
      </c>
      <c r="BN198" s="21">
        <f t="shared" si="717"/>
        <v>4.0804755281746541E-2</v>
      </c>
      <c r="BO198" s="22">
        <f t="shared" si="717"/>
        <v>-2.6259825562614303E-2</v>
      </c>
      <c r="BP198" s="22">
        <f t="shared" si="717"/>
        <v>-9.0951063210020333E-2</v>
      </c>
      <c r="BQ198" s="22">
        <f t="shared" si="717"/>
        <v>0.66600954891116459</v>
      </c>
      <c r="BR198" s="197">
        <f t="shared" si="717"/>
        <v>0.23454194096411096</v>
      </c>
      <c r="BS198" s="21">
        <f t="shared" si="717"/>
        <v>0.17877430141985906</v>
      </c>
      <c r="BT198" s="22">
        <f t="shared" si="717"/>
        <v>0.42036061026352289</v>
      </c>
      <c r="BU198" s="22">
        <f t="shared" si="717"/>
        <v>0.25614639873195011</v>
      </c>
      <c r="BV198" s="22">
        <f t="shared" si="717"/>
        <v>-0.22183878885319464</v>
      </c>
      <c r="BW198" s="197">
        <f t="shared" si="717"/>
        <v>-0.12088538064043619</v>
      </c>
      <c r="BX198" s="21">
        <f t="shared" si="717"/>
        <v>3.6804551946141739E-2</v>
      </c>
      <c r="BY198" s="22">
        <f t="shared" si="717"/>
        <v>-0.26434318747419283</v>
      </c>
      <c r="BZ198" s="22">
        <f t="shared" si="717"/>
        <v>-0.25159302156706109</v>
      </c>
      <c r="CA198" s="22">
        <f t="shared" si="717"/>
        <v>-0.36307197029357996</v>
      </c>
      <c r="CB198" s="197">
        <f t="shared" si="717"/>
        <v>-1.9074113247308566E-2</v>
      </c>
      <c r="CC198" s="21">
        <f t="shared" ref="CC198:DU198" si="718">CC197/BX197-1</f>
        <v>-0.23314159181335714</v>
      </c>
      <c r="CD198" s="22">
        <f t="shared" si="718"/>
        <v>0.83893541786984827</v>
      </c>
      <c r="CE198" s="22">
        <f t="shared" si="718"/>
        <v>1.3345005822734679E-2</v>
      </c>
      <c r="CF198" s="22">
        <f t="shared" si="718"/>
        <v>0.81954233476303173</v>
      </c>
      <c r="CG198" s="197">
        <f t="shared" si="718"/>
        <v>8.7505282467968515E-2</v>
      </c>
      <c r="CH198" s="21">
        <f t="shared" si="718"/>
        <v>0.42203785747069977</v>
      </c>
      <c r="CI198" s="22">
        <f t="shared" si="718"/>
        <v>-0.35317625388440832</v>
      </c>
      <c r="CJ198" s="22">
        <f t="shared" si="718"/>
        <v>0.56336123870202992</v>
      </c>
      <c r="CK198" s="22">
        <f t="shared" si="718"/>
        <v>-0.15194644105255206</v>
      </c>
      <c r="CL198" s="197">
        <f t="shared" si="718"/>
        <v>0.13800047891927569</v>
      </c>
      <c r="CM198" s="21">
        <f t="shared" si="718"/>
        <v>-3.2075956988625087E-2</v>
      </c>
      <c r="CN198" s="22">
        <f t="shared" si="718"/>
        <v>2.6060218067436525E-2</v>
      </c>
      <c r="CO198" s="22">
        <f t="shared" si="718"/>
        <v>-0.26228460310733914</v>
      </c>
      <c r="CP198" s="22">
        <f t="shared" si="718"/>
        <v>-0.31172070609187574</v>
      </c>
      <c r="CQ198" s="197">
        <f t="shared" si="718"/>
        <v>-0.20691201210959498</v>
      </c>
      <c r="CR198" s="21">
        <f t="shared" si="718"/>
        <v>-0.19120846952336468</v>
      </c>
      <c r="CS198" s="22">
        <f t="shared" si="718"/>
        <v>2.379649890590807E-2</v>
      </c>
      <c r="CT198" s="22">
        <f t="shared" si="718"/>
        <v>-6.7120279944194006E-2</v>
      </c>
      <c r="CU198" s="22">
        <f t="shared" si="718"/>
        <v>3.7804841002224032E-2</v>
      </c>
      <c r="CV198" s="197">
        <f t="shared" si="718"/>
        <v>5.6890505448643269E-2</v>
      </c>
      <c r="CW198" s="21">
        <f t="shared" si="718"/>
        <v>8.9646867014463449E-3</v>
      </c>
      <c r="CX198" s="22">
        <f t="shared" si="718"/>
        <v>-0.13057264252647605</v>
      </c>
      <c r="CY198" s="22">
        <f t="shared" si="718"/>
        <v>-0.32698435176662177</v>
      </c>
      <c r="CZ198" s="22">
        <f t="shared" si="718"/>
        <v>-0.15772256872792456</v>
      </c>
      <c r="DA198" s="22">
        <f t="shared" si="718"/>
        <v>-0.37902645253334377</v>
      </c>
      <c r="DB198" s="21">
        <f t="shared" si="718"/>
        <v>-0.24648478880286862</v>
      </c>
      <c r="DC198" s="22">
        <f t="shared" si="718"/>
        <v>-0.1315096763324699</v>
      </c>
      <c r="DD198" s="22">
        <f t="shared" si="718"/>
        <v>0.52508597345206276</v>
      </c>
      <c r="DE198" s="22">
        <f t="shared" si="718"/>
        <v>0.20840093476028176</v>
      </c>
      <c r="DF198" s="22">
        <f t="shared" si="718"/>
        <v>0.54245403472931564</v>
      </c>
      <c r="DG198" s="21">
        <f>DG197/DB197-1</f>
        <v>0.22610488881467927</v>
      </c>
      <c r="DH198" s="22">
        <f t="shared" si="718"/>
        <v>0.11546936446387823</v>
      </c>
      <c r="DI198" s="22">
        <f t="shared" si="718"/>
        <v>6.1161645077924431E-2</v>
      </c>
      <c r="DJ198" s="22">
        <f t="shared" si="718"/>
        <v>-9.2180507210343432E-2</v>
      </c>
      <c r="DK198" s="22">
        <f t="shared" si="718"/>
        <v>0.12475036612967672</v>
      </c>
      <c r="DL198" s="21">
        <f>DL197/DG197-1</f>
        <v>5.7845322034106195E-2</v>
      </c>
      <c r="DM198" s="22">
        <f t="shared" si="718"/>
        <v>-8.3666371676427764E-2</v>
      </c>
      <c r="DN198" s="22">
        <f t="shared" si="718"/>
        <v>-0.3071336527512637</v>
      </c>
      <c r="DO198" s="22">
        <f t="shared" si="718"/>
        <v>0.11534453781512632</v>
      </c>
      <c r="DP198" s="22">
        <f t="shared" si="718"/>
        <v>-0.33553956506079707</v>
      </c>
      <c r="DQ198" s="21">
        <f>DQ197/DL197-1</f>
        <v>-0.17634693147686931</v>
      </c>
      <c r="DR198" s="22">
        <f t="shared" si="718"/>
        <v>-0.1062133355366438</v>
      </c>
      <c r="DS198" s="22">
        <f t="shared" si="718"/>
        <v>-0.34744133754034734</v>
      </c>
      <c r="DT198" s="22">
        <f t="shared" si="718"/>
        <v>-0.33008943563033277</v>
      </c>
      <c r="DU198" s="22">
        <f t="shared" si="718"/>
        <v>-0.60174080521500795</v>
      </c>
      <c r="DV198" s="21">
        <f t="shared" ref="DV198:ED198" si="719">DV197/DQ197-1</f>
        <v>-0.32973215399075961</v>
      </c>
      <c r="DW198" s="22">
        <f t="shared" si="719"/>
        <v>-0.13264495631453532</v>
      </c>
      <c r="DX198" s="22">
        <f t="shared" si="719"/>
        <v>0.94655841863748669</v>
      </c>
      <c r="DY198" s="22">
        <f t="shared" si="719"/>
        <v>0.41230471720661388</v>
      </c>
      <c r="DZ198" s="22">
        <f>DZ197/DU197-1</f>
        <v>1.253224077723611</v>
      </c>
      <c r="EA198" s="21">
        <f>EA197/DV197-1</f>
        <v>0.43472227651174578</v>
      </c>
      <c r="EB198" s="22">
        <f>EB197/DW197-1</f>
        <v>0.17369735308806411</v>
      </c>
      <c r="EC198" s="22">
        <f>EC197/DX197-1</f>
        <v>-0.36625195739335448</v>
      </c>
      <c r="ED198" s="22">
        <f t="shared" si="719"/>
        <v>-0.20279472631897344</v>
      </c>
      <c r="EE198" s="22">
        <f>EE197/DZ197-1</f>
        <v>0.83291877247738344</v>
      </c>
      <c r="EF198" s="21">
        <f>EF197/EA197-1</f>
        <v>4.1410130129059475E-2</v>
      </c>
      <c r="EG198" s="22">
        <f t="shared" ref="EG198:EN198" si="720">EG197/EB197-1</f>
        <v>-5.9857150987422503E-2</v>
      </c>
      <c r="EH198" s="22">
        <f t="shared" si="720"/>
        <v>0.32414500245658284</v>
      </c>
      <c r="EI198" s="22">
        <f t="shared" si="720"/>
        <v>0.38638885905559728</v>
      </c>
      <c r="EJ198" s="22">
        <f t="shared" si="720"/>
        <v>5.820062684567251E-4</v>
      </c>
      <c r="EK198" s="21">
        <f t="shared" si="720"/>
        <v>0.12794972827193485</v>
      </c>
      <c r="EL198" s="22">
        <f t="shared" si="720"/>
        <v>0.15337278339552807</v>
      </c>
      <c r="EM198" s="22">
        <f t="shared" si="720"/>
        <v>3.0613813585932403E-2</v>
      </c>
      <c r="EN198" s="22">
        <f t="shared" si="720"/>
        <v>4.5818213236564542E-2</v>
      </c>
      <c r="EO198" s="22">
        <f t="shared" ref="EO198" si="721">EO197/EJ197-1</f>
        <v>-0.39534654441486738</v>
      </c>
      <c r="EP198" s="21">
        <f t="shared" ref="EP198:EQ198" si="722">EP197/EK197-1</f>
        <v>-7.8012218353806673E-2</v>
      </c>
      <c r="EQ198" s="22">
        <f t="shared" si="722"/>
        <v>0.13933784919134617</v>
      </c>
      <c r="ER198" s="22">
        <f t="shared" ref="ER198" si="723">ER197/EM197-1</f>
        <v>1.6467148516035923E-2</v>
      </c>
      <c r="ES198" s="22">
        <f t="shared" ref="ES198:EU198" si="724">ES197/EN197-1</f>
        <v>-4.1159079115063113E-2</v>
      </c>
      <c r="ET198" s="22">
        <f t="shared" si="724"/>
        <v>0.16222752942051244</v>
      </c>
      <c r="EU198" s="270">
        <f t="shared" si="724"/>
        <v>6.5789290738138773E-2</v>
      </c>
      <c r="EV198" s="96"/>
      <c r="EW198" s="96"/>
      <c r="EX198" s="96"/>
      <c r="EY198" s="96"/>
      <c r="EZ198" s="834">
        <v>0.02</v>
      </c>
      <c r="FA198" s="96"/>
      <c r="FB198" s="96"/>
      <c r="FC198" s="96"/>
      <c r="FD198" s="96"/>
      <c r="FE198" s="834">
        <v>0.02</v>
      </c>
      <c r="FF198" s="768"/>
      <c r="FG198" s="656"/>
      <c r="FH198" s="1039"/>
      <c r="FI198" s="1039"/>
      <c r="FJ198" s="1039"/>
      <c r="FK198" s="1039"/>
      <c r="FL198" s="1813"/>
      <c r="FM198" s="22">
        <f t="shared" si="624"/>
        <v>0.13933784919134617</v>
      </c>
      <c r="FN198" s="22">
        <f t="shared" si="625"/>
        <v>0.15337278339552807</v>
      </c>
      <c r="FO198" s="2041">
        <v>-2.6883746176121215E-2</v>
      </c>
      <c r="FP198" s="1892">
        <f>IFERROR(($FM198-FN198)*10000,"")</f>
        <v>-140.34934204181891</v>
      </c>
      <c r="FQ198" s="1892">
        <f>IFERROR(($FM198-FO198)*10000,"")</f>
        <v>1662.215953674674</v>
      </c>
      <c r="FR198" s="575"/>
      <c r="FS198" s="575"/>
      <c r="FT198" s="575"/>
      <c r="FU198" s="575"/>
      <c r="FV198" s="575"/>
      <c r="FW198" s="575"/>
      <c r="FX198" s="575"/>
      <c r="FY198" s="575"/>
      <c r="FZ198" s="575"/>
      <c r="GA198" s="656"/>
      <c r="GB198"/>
      <c r="GC198"/>
      <c r="GD198"/>
      <c r="GE198"/>
      <c r="GF198"/>
      <c r="GG198"/>
      <c r="GH198" s="964"/>
      <c r="GI198" s="964"/>
      <c r="GJ198" s="964"/>
      <c r="GK198" s="964"/>
      <c r="GL198" s="964"/>
      <c r="GM198" s="964"/>
      <c r="GN198" s="964"/>
      <c r="GO198" s="964"/>
      <c r="GP198" s="964"/>
      <c r="GQ198" s="964"/>
      <c r="GR198" s="964"/>
      <c r="GS198" s="964"/>
      <c r="GT198" s="964"/>
      <c r="GU198" s="964"/>
      <c r="GV198" s="964"/>
      <c r="GW198" s="964"/>
      <c r="GX198" s="964"/>
      <c r="GY198" s="964"/>
      <c r="GZ198" s="964"/>
      <c r="HA198" s="964"/>
      <c r="HB198" s="964"/>
      <c r="HC198" s="964"/>
      <c r="HD198" s="964"/>
      <c r="HE198" s="964"/>
      <c r="HF198" s="964"/>
      <c r="HG198" s="964"/>
      <c r="HH198" s="964"/>
      <c r="HI198" s="964"/>
      <c r="HJ198" s="964"/>
      <c r="HK198" s="964"/>
      <c r="HL198" s="964"/>
      <c r="HM198" s="964"/>
      <c r="HN198" s="964"/>
      <c r="HO198" s="964"/>
      <c r="HP198" s="964"/>
      <c r="HQ198" s="964"/>
      <c r="HR198" s="964"/>
      <c r="HS198" s="964"/>
      <c r="HT198" s="964"/>
      <c r="HU198" s="964"/>
      <c r="HV198" s="964"/>
      <c r="HW198" s="964"/>
      <c r="HX198" s="964"/>
      <c r="HY198" s="964"/>
      <c r="HZ198" s="964"/>
      <c r="IA198" s="964"/>
      <c r="IB198" s="964"/>
      <c r="IC198" s="964"/>
      <c r="ID198" s="964"/>
      <c r="IE198" s="964"/>
      <c r="IF198" s="964"/>
      <c r="IG198" s="964"/>
      <c r="IH198" s="964"/>
      <c r="II198" s="964"/>
      <c r="IJ198" s="964"/>
      <c r="IK198" s="964"/>
      <c r="IL198" s="964"/>
      <c r="IM198" s="964"/>
      <c r="IN198" s="964"/>
      <c r="IO198" s="964"/>
      <c r="IP198" s="964"/>
      <c r="IQ198" s="964"/>
      <c r="IR198" s="964"/>
      <c r="IS198" s="964"/>
      <c r="IT198" s="964"/>
      <c r="IU198" s="964"/>
      <c r="IV198" s="964"/>
    </row>
    <row r="199" spans="1:256" s="458" customFormat="1" ht="12.75" x14ac:dyDescent="0.2">
      <c r="A199" s="460" t="s">
        <v>13</v>
      </c>
      <c r="F199" s="462"/>
      <c r="K199" s="462"/>
      <c r="P199" s="462"/>
      <c r="U199" s="462"/>
      <c r="Z199" s="462"/>
      <c r="AE199" s="462"/>
      <c r="AJ199" s="462"/>
      <c r="AO199" s="462"/>
      <c r="AQ199" s="458">
        <f>AQ197/AP197-1</f>
        <v>-0.16782728206540776</v>
      </c>
      <c r="AR199" s="458">
        <f>AR197/AQ197-1</f>
        <v>0.23963701123449255</v>
      </c>
      <c r="AS199" s="458">
        <f>AS197/AR197-1</f>
        <v>0.21511269793171217</v>
      </c>
      <c r="AT199" s="462"/>
      <c r="AU199" s="458">
        <f>AU197/AS197-1</f>
        <v>-0.21137507181781778</v>
      </c>
      <c r="AV199" s="458">
        <f>AV197/AU197-1</f>
        <v>-0.27953634492471036</v>
      </c>
      <c r="AW199" s="458">
        <f>AW197/AV197-1</f>
        <v>-6.4655006726886954E-3</v>
      </c>
      <c r="AX199" s="458">
        <f>AX197/AW197-1</f>
        <v>4.9127306749258137E-2</v>
      </c>
      <c r="AY199" s="462"/>
      <c r="AZ199" s="458">
        <f>AZ197/AX197-1</f>
        <v>0.62125265775908711</v>
      </c>
      <c r="BA199" s="458">
        <f>BA197/AZ197-1</f>
        <v>-0.29891506186233807</v>
      </c>
      <c r="BB199" s="458">
        <f>BB197/BA197-1</f>
        <v>-8.0265929939857816E-3</v>
      </c>
      <c r="BC199" s="458">
        <f>BC197/BB197-1</f>
        <v>5.2264351189345248E-2</v>
      </c>
      <c r="BD199" s="462"/>
      <c r="BE199" s="458">
        <f>BE197/BC197-1</f>
        <v>-0.13703161032237821</v>
      </c>
      <c r="BF199" s="458">
        <f>BF197/BE197-1</f>
        <v>1.5117752591411238E-2</v>
      </c>
      <c r="BG199" s="458">
        <f>BG197/BF197-1</f>
        <v>-1.6188186393365611E-2</v>
      </c>
      <c r="BH199" s="458">
        <f>BH197/BG197-1</f>
        <v>0.34223899316668094</v>
      </c>
      <c r="BI199" s="462"/>
      <c r="BJ199" s="458">
        <f>BJ197/BH197-1</f>
        <v>-0.124964840629606</v>
      </c>
      <c r="BK199" s="458">
        <f>BK197/BJ197-1</f>
        <v>5.9740159864648534E-2</v>
      </c>
      <c r="BL199" s="458">
        <f>BL197/BK197-1</f>
        <v>-0.16875885432707105</v>
      </c>
      <c r="BM199" s="458">
        <f>BM197/BL197-1</f>
        <v>3.8519694302427299E-2</v>
      </c>
      <c r="BN199" s="462"/>
      <c r="BO199" s="458">
        <f>BO197/BM197-1</f>
        <v>6.4392796461213875E-2</v>
      </c>
      <c r="BP199" s="458">
        <f>BP197/BO197-1</f>
        <v>-1.0664558278889791E-2</v>
      </c>
      <c r="BQ199" s="458">
        <f>BQ197/BP197-1</f>
        <v>0.52341158995151393</v>
      </c>
      <c r="BR199" s="458">
        <f>BR197/BQ197-1</f>
        <v>-0.23043891316739507</v>
      </c>
      <c r="BS199" s="462"/>
      <c r="BT199" s="458">
        <f>BT197/BR197-1</f>
        <v>0.2246012482662969</v>
      </c>
      <c r="BU199" s="458">
        <f>BU197/BT197-1</f>
        <v>-0.12504603177830642</v>
      </c>
      <c r="BV199" s="458">
        <f>BV197/BU197-1</f>
        <v>-5.6272573715576479E-2</v>
      </c>
      <c r="BW199" s="458">
        <f>BW197/BV197-1</f>
        <v>-0.13060122731156631</v>
      </c>
      <c r="BX199" s="462"/>
      <c r="BY199" s="458">
        <f>BY197/BW197-1</f>
        <v>2.4765407235527004E-2</v>
      </c>
      <c r="BZ199" s="458">
        <f>BZ197/BY197-1</f>
        <v>-0.10988161262798612</v>
      </c>
      <c r="CA199" s="458">
        <f>CA197/BZ197-1</f>
        <v>-0.19684547642535244</v>
      </c>
      <c r="CB199" s="458">
        <f>CB197/CA197-1</f>
        <v>0.33895153340039519</v>
      </c>
      <c r="CC199" s="462"/>
      <c r="CD199" s="458">
        <f>CD197/CB197-1</f>
        <v>0.92112108348134414</v>
      </c>
      <c r="CE199" s="458">
        <f>CE197/CD197-1</f>
        <v>-0.50950043505102804</v>
      </c>
      <c r="CF199" s="458">
        <f>CF197/CE197-1</f>
        <v>0.44212844451136912</v>
      </c>
      <c r="CG199" s="458">
        <f>CG197/CF197-1</f>
        <v>-0.19973454988000927</v>
      </c>
      <c r="CH199" s="462"/>
      <c r="CI199" s="458">
        <f>CI197/CG197-1</f>
        <v>0.14263972413913084</v>
      </c>
      <c r="CJ199" s="458">
        <f>CJ197/CI197-1</f>
        <v>0.18552853392675894</v>
      </c>
      <c r="CK199" s="458">
        <f>CK197/CJ197-1</f>
        <v>-0.21770981040658077</v>
      </c>
      <c r="CL199" s="458">
        <f>CL197/CK197-1</f>
        <v>7.3873761734349896E-2</v>
      </c>
      <c r="CM199" s="462"/>
      <c r="CN199" s="458">
        <f>CN197/CL197-1</f>
        <v>3.0243120491584286E-2</v>
      </c>
      <c r="CO199" s="458">
        <f>CO197/CN197-1</f>
        <v>-0.14763028764470365</v>
      </c>
      <c r="CP199" s="458">
        <f>CP197/CO197-1</f>
        <v>-0.27013297866283448</v>
      </c>
      <c r="CQ199" s="458">
        <f>CQ197/CP197-1</f>
        <v>0.23739939364772278</v>
      </c>
      <c r="CR199" s="462"/>
      <c r="CS199" s="458">
        <f>CS197/CQ197-1</f>
        <v>0.32993982494529517</v>
      </c>
      <c r="CT199" s="458">
        <f>CT197/CS197-1</f>
        <v>-0.2233237567272286</v>
      </c>
      <c r="CU199" s="458">
        <f>CU197/CT197-1</f>
        <v>-0.18804159663126585</v>
      </c>
      <c r="CV199" s="458">
        <f>CV197/CU197-1</f>
        <v>0.26015568527434163</v>
      </c>
      <c r="CW199" s="462"/>
      <c r="CX199" s="458">
        <f>CX197/CV197-1</f>
        <v>9.4045278711395897E-2</v>
      </c>
      <c r="CY199" s="458">
        <f>CY197/CX197-1</f>
        <v>-0.39878212844296534</v>
      </c>
      <c r="CZ199" s="458">
        <f>CZ197/CY197-1</f>
        <v>1.6163948170254905E-2</v>
      </c>
      <c r="DA199" s="458">
        <f>DA197/CZ197-1</f>
        <v>-7.094347160263681E-2</v>
      </c>
      <c r="DB199" s="462"/>
      <c r="DC199" s="458">
        <f>DC197/DA197-1</f>
        <v>0.53012594834567173</v>
      </c>
      <c r="DD199" s="458">
        <f>DD197/DC197-1</f>
        <v>5.5750326645369386E-2</v>
      </c>
      <c r="DE199" s="458">
        <f>DE197/DD197-1</f>
        <v>-0.19484311952644706</v>
      </c>
      <c r="DF199" s="458">
        <f>DF197/DE197-1</f>
        <v>0.18588702598314577</v>
      </c>
      <c r="DG199" s="462"/>
      <c r="DH199" s="458">
        <f>DH197/DF197-1</f>
        <v>0.10655395928888223</v>
      </c>
      <c r="DI199" s="458">
        <f>DI197/DH197-1</f>
        <v>4.3500871518871165E-3</v>
      </c>
      <c r="DJ199" s="458">
        <f>DJ197/DI197-1</f>
        <v>-0.31119154726523501</v>
      </c>
      <c r="DK199" s="458">
        <f>DK197/DJ197-1</f>
        <v>0.46926440471578057</v>
      </c>
      <c r="DL199" s="462"/>
      <c r="DM199" s="458">
        <f>DM197/DK197-1</f>
        <v>-9.8490976322037294E-2</v>
      </c>
      <c r="DN199" s="458">
        <f>DN197/DM197-1</f>
        <v>-0.24058186370723111</v>
      </c>
      <c r="DO199" s="458">
        <f>DO197/DN197-1</f>
        <v>0.10881232492997217</v>
      </c>
      <c r="DP199" s="458">
        <f>DP197/DO197-1</f>
        <v>-0.12469373157950803</v>
      </c>
      <c r="DQ199" s="462"/>
      <c r="DR199" s="458">
        <f>DR197/DP197-1</f>
        <v>0.21264818924917428</v>
      </c>
      <c r="DS199" s="458">
        <f>DS197/DR197-1</f>
        <v>-0.4455445544554455</v>
      </c>
      <c r="DT199" s="458">
        <f>DT197/DS197-1</f>
        <v>0.13829626837542408</v>
      </c>
      <c r="DU199" s="458">
        <f>DU197/DT197-1</f>
        <v>-0.47963386727688784</v>
      </c>
      <c r="DV199" s="462"/>
      <c r="DW199" s="458">
        <f>DW197/DU197-1</f>
        <v>1.6409849086576642</v>
      </c>
      <c r="DX199" s="458">
        <f>DX197/DW197-1</f>
        <v>0.24433462760324764</v>
      </c>
      <c r="DY199" s="458">
        <f>DY197/DX197-1</f>
        <v>-0.17412127269698496</v>
      </c>
      <c r="DZ199" s="458">
        <f>DZ197/DY197-1</f>
        <v>-0.16979566435017102</v>
      </c>
      <c r="EA199" s="462"/>
      <c r="EB199" s="458">
        <f>EB197/DZ197-1</f>
        <v>0.37568075340673968</v>
      </c>
      <c r="EC199" s="458">
        <f>EC197/EB197-1</f>
        <v>-0.32811074974618437</v>
      </c>
      <c r="ED199" s="458">
        <f>ED197/EC197-1</f>
        <v>3.889058831474812E-2</v>
      </c>
      <c r="EE199" s="458">
        <f>EE197/ED197-1</f>
        <v>0.90878957031779439</v>
      </c>
      <c r="EF199" s="462"/>
      <c r="EG199" s="458">
        <f>EG197/EE197-1</f>
        <v>-0.29438421262307202</v>
      </c>
      <c r="EH199" s="458">
        <f>EH197/EG197-1</f>
        <v>-5.3677008911665935E-2</v>
      </c>
      <c r="EI199" s="458">
        <f>EI197/EH197-1</f>
        <v>8.7725539684244458E-2</v>
      </c>
      <c r="EJ199" s="458">
        <f>EJ197/EI197-1</f>
        <v>0.37760808256487355</v>
      </c>
      <c r="EK199" s="462"/>
      <c r="EL199" s="458">
        <f>EL197/EJ197-1</f>
        <v>-0.18663533863670012</v>
      </c>
      <c r="EM199" s="458">
        <f>EM197/EL197-1</f>
        <v>-0.15439868118065747</v>
      </c>
      <c r="EN199" s="458">
        <f>EN197/EM197-1</f>
        <v>0.10377249500111096</v>
      </c>
      <c r="EO199" s="458">
        <f>EO197/EN197-1</f>
        <v>-0.20351789917007312</v>
      </c>
      <c r="EP199" s="462"/>
      <c r="EQ199" s="458">
        <f>EQ197/EO197-1</f>
        <v>0.53260869565217384</v>
      </c>
      <c r="ER199" s="458">
        <f>ER197/EQ197-1</f>
        <v>-0.24559167245101909</v>
      </c>
      <c r="ES199" s="458">
        <f>ES197/ER197-1</f>
        <v>4.119669494427658E-2</v>
      </c>
      <c r="ET199" s="458">
        <f>ET197/ES197-1</f>
        <v>-3.4570381684501772E-2</v>
      </c>
      <c r="EU199" s="1932"/>
      <c r="EZ199" s="740"/>
      <c r="FE199" s="740"/>
      <c r="FF199" s="740"/>
      <c r="FG199" s="655"/>
      <c r="FH199" s="1088">
        <f>AVERAGE(CI199,CN199,CS199,CX199,DC199,DH199,DM199,DR199,DW199,EB199,EG199,EL199,EQ199)</f>
        <v>0.26276614425430017</v>
      </c>
      <c r="FI199" s="1088">
        <f>AVERAGE(CJ199,CO199,CT199,CY199,DD199,DI199,DN199,DS199,DX199,EC199,EH199,EM199)</f>
        <v>-0.12517378795740158</v>
      </c>
      <c r="FJ199" s="1088">
        <f>AVERAGE(CK199,CP199,CU199,CZ199,DE199,DJ199,DO199,DT199,DY199,ED199,EI199,EN199)</f>
        <v>-7.1864930059466106E-2</v>
      </c>
      <c r="FK199" s="1088">
        <f>AVERAGE(CL199,CQ199,CV199,DA199,DF199,DK199,DP199,DU199,DZ199,EE199,EJ199,EO199)</f>
        <v>0.12203277418822767</v>
      </c>
      <c r="FL199" s="1795"/>
      <c r="FM199" s="458">
        <f t="shared" si="624"/>
        <v>0.53260869565217384</v>
      </c>
      <c r="FN199" s="458">
        <f t="shared" si="625"/>
        <v>-0.18663533863670012</v>
      </c>
      <c r="FO199" s="2040">
        <v>0.30901157505605714</v>
      </c>
      <c r="FP199" s="1888">
        <f>IFERROR(($FM199-FN199)*10000,"")</f>
        <v>7192.4403428887399</v>
      </c>
      <c r="FQ199" s="1888">
        <f>IFERROR(($FM199-FO199)*10000,"")</f>
        <v>2235.971205961167</v>
      </c>
      <c r="FR199" s="566"/>
      <c r="FS199" s="566"/>
      <c r="FT199" s="566"/>
      <c r="FU199" s="566"/>
      <c r="FV199" s="566"/>
      <c r="FW199" s="566"/>
      <c r="FX199" s="566"/>
      <c r="FY199" s="566"/>
      <c r="FZ199" s="566"/>
      <c r="GA199" s="655"/>
      <c r="GB199"/>
      <c r="GC199"/>
      <c r="GD199"/>
      <c r="GE199"/>
      <c r="GF199"/>
      <c r="GG199"/>
      <c r="GH199" s="913"/>
      <c r="GI199" s="913"/>
      <c r="GJ199" s="913"/>
      <c r="GK199" s="913"/>
      <c r="GL199" s="913"/>
      <c r="GM199" s="913"/>
      <c r="GN199" s="913"/>
      <c r="GO199" s="913"/>
      <c r="GP199" s="913"/>
      <c r="GQ199" s="913"/>
      <c r="GR199" s="913"/>
      <c r="GS199" s="913"/>
      <c r="GT199" s="913"/>
      <c r="GU199" s="913"/>
      <c r="GV199" s="913"/>
      <c r="GW199" s="913"/>
      <c r="GX199" s="913"/>
      <c r="GY199" s="913"/>
      <c r="GZ199" s="913"/>
      <c r="HA199" s="913"/>
      <c r="HB199" s="913"/>
      <c r="HC199" s="913"/>
      <c r="HD199" s="913"/>
      <c r="HE199" s="913"/>
      <c r="HF199" s="913"/>
      <c r="HG199" s="913"/>
      <c r="HH199" s="913"/>
      <c r="HI199" s="913"/>
      <c r="HJ199" s="913"/>
      <c r="HK199" s="913"/>
      <c r="HL199" s="913"/>
      <c r="HM199" s="913"/>
      <c r="HN199" s="913"/>
      <c r="HO199" s="913"/>
      <c r="HP199" s="913"/>
      <c r="HQ199" s="913"/>
      <c r="HR199" s="913"/>
      <c r="HS199" s="913"/>
      <c r="HT199" s="913"/>
      <c r="HU199" s="913"/>
      <c r="HV199" s="913"/>
      <c r="HW199" s="913"/>
      <c r="HX199" s="913"/>
      <c r="HY199" s="913"/>
      <c r="HZ199" s="913"/>
      <c r="IA199" s="913"/>
      <c r="IB199" s="913"/>
      <c r="IC199" s="913"/>
      <c r="ID199" s="913"/>
      <c r="IE199" s="913"/>
      <c r="IF199" s="913"/>
      <c r="IG199" s="913"/>
      <c r="IH199" s="913"/>
      <c r="II199" s="913"/>
      <c r="IJ199" s="913"/>
      <c r="IK199" s="913"/>
      <c r="IL199" s="913"/>
      <c r="IM199" s="913"/>
      <c r="IN199" s="913"/>
      <c r="IO199" s="913"/>
      <c r="IP199" s="913"/>
      <c r="IQ199" s="913"/>
      <c r="IR199" s="913"/>
      <c r="IS199" s="913"/>
      <c r="IT199" s="913"/>
      <c r="IU199" s="913"/>
      <c r="IV199" s="913"/>
    </row>
    <row r="200" spans="1:256" s="541" customFormat="1" ht="12.75" x14ac:dyDescent="0.2">
      <c r="A200" s="121" t="s">
        <v>153</v>
      </c>
      <c r="B200" s="122">
        <v>30.7</v>
      </c>
      <c r="C200" s="122">
        <f>75.8-30.7</f>
        <v>45.099999999999994</v>
      </c>
      <c r="D200" s="122">
        <f>121.4-75.8</f>
        <v>45.600000000000009</v>
      </c>
      <c r="E200" s="533">
        <f>154.6-121.4</f>
        <v>33.199999999999989</v>
      </c>
      <c r="F200" s="534">
        <f>SUM(B200:E200)</f>
        <v>154.6</v>
      </c>
      <c r="G200" s="122">
        <v>29.4</v>
      </c>
      <c r="H200" s="122">
        <f>63.3-29.4</f>
        <v>33.9</v>
      </c>
      <c r="I200" s="122">
        <f>99.2-63.3</f>
        <v>35.900000000000006</v>
      </c>
      <c r="J200" s="533">
        <f>167.8-99.2-29.5</f>
        <v>39.100000000000009</v>
      </c>
      <c r="K200" s="534">
        <f>SUM(G200:J200)</f>
        <v>138.30000000000001</v>
      </c>
      <c r="L200" s="122">
        <v>38.4</v>
      </c>
      <c r="M200" s="122">
        <f>75.5-38.4</f>
        <v>37.1</v>
      </c>
      <c r="N200" s="122">
        <f>113.3-75.5</f>
        <v>37.799999999999997</v>
      </c>
      <c r="O200" s="533">
        <f>150.2-113.3</f>
        <v>36.899999999999991</v>
      </c>
      <c r="P200" s="534">
        <f>SUM(L200:O200)</f>
        <v>150.19999999999999</v>
      </c>
      <c r="Q200" s="122">
        <v>31.5</v>
      </c>
      <c r="R200" s="122">
        <f>67.6-31.5</f>
        <v>36.099999999999994</v>
      </c>
      <c r="S200" s="122">
        <f>104.5-67.6</f>
        <v>36.900000000000006</v>
      </c>
      <c r="T200" s="533">
        <f>134.6-104.5</f>
        <v>30.099999999999994</v>
      </c>
      <c r="U200" s="534">
        <f>SUM(Q200:T200)</f>
        <v>134.6</v>
      </c>
      <c r="V200" s="122">
        <v>34.9</v>
      </c>
      <c r="W200" s="122">
        <v>32.6</v>
      </c>
      <c r="X200" s="122">
        <v>33.200000000000003</v>
      </c>
      <c r="Y200" s="533">
        <v>29.4</v>
      </c>
      <c r="Z200" s="534">
        <f>SUM(V200:Y200)</f>
        <v>130.1</v>
      </c>
      <c r="AA200" s="122">
        <v>37.5</v>
      </c>
      <c r="AB200" s="122">
        <v>39</v>
      </c>
      <c r="AC200" s="122">
        <v>32.5</v>
      </c>
      <c r="AD200" s="533">
        <v>36.6</v>
      </c>
      <c r="AE200" s="534">
        <f>SUM(AA200:AD200)</f>
        <v>145.6</v>
      </c>
      <c r="AF200" s="122">
        <v>35.5</v>
      </c>
      <c r="AG200" s="122">
        <f>40.9-3.7</f>
        <v>37.199999999999996</v>
      </c>
      <c r="AH200" s="122">
        <v>37.700000000000003</v>
      </c>
      <c r="AI200" s="533">
        <v>37.200000000000003</v>
      </c>
      <c r="AJ200" s="534">
        <f>SUM(AF200:AI200)</f>
        <v>147.6</v>
      </c>
      <c r="AK200" s="122">
        <v>35.200000000000003</v>
      </c>
      <c r="AL200" s="122">
        <v>39.1</v>
      </c>
      <c r="AM200" s="122">
        <v>39.6</v>
      </c>
      <c r="AN200" s="533">
        <v>34.4</v>
      </c>
      <c r="AO200" s="534">
        <f>SUM(AK200:AN200)</f>
        <v>148.30000000000001</v>
      </c>
      <c r="AP200" s="122">
        <v>38.6</v>
      </c>
      <c r="AQ200" s="122">
        <v>34.299999999999997</v>
      </c>
      <c r="AR200" s="122">
        <v>38.1</v>
      </c>
      <c r="AS200" s="533">
        <v>38</v>
      </c>
      <c r="AT200" s="534">
        <f>SUM(AP200:AS200)</f>
        <v>149</v>
      </c>
      <c r="AU200" s="122">
        <v>44</v>
      </c>
      <c r="AV200" s="122">
        <v>39</v>
      </c>
      <c r="AW200" s="122">
        <v>40</v>
      </c>
      <c r="AX200" s="533">
        <v>42</v>
      </c>
      <c r="AY200" s="534">
        <f>SUM(AU200:AX200)</f>
        <v>165</v>
      </c>
      <c r="AZ200" s="122">
        <v>43</v>
      </c>
      <c r="BA200" s="122">
        <v>51</v>
      </c>
      <c r="BB200" s="122">
        <v>54</v>
      </c>
      <c r="BC200" s="533">
        <v>68</v>
      </c>
      <c r="BD200" s="534">
        <f>SUM(AZ200:BC200)</f>
        <v>216</v>
      </c>
      <c r="BE200" s="122">
        <v>61</v>
      </c>
      <c r="BF200" s="122">
        <v>61</v>
      </c>
      <c r="BG200" s="122">
        <v>61</v>
      </c>
      <c r="BH200" s="533">
        <v>63</v>
      </c>
      <c r="BI200" s="534">
        <f>SUM(BE200:BH200)</f>
        <v>246</v>
      </c>
      <c r="BJ200" s="122">
        <v>58</v>
      </c>
      <c r="BK200" s="122">
        <v>51</v>
      </c>
      <c r="BL200" s="122">
        <v>55</v>
      </c>
      <c r="BM200" s="533">
        <v>51</v>
      </c>
      <c r="BN200" s="534">
        <f>SUM(BJ200:BM200)</f>
        <v>215</v>
      </c>
      <c r="BO200" s="122">
        <v>43</v>
      </c>
      <c r="BP200" s="122">
        <v>57</v>
      </c>
      <c r="BQ200" s="122">
        <v>45</v>
      </c>
      <c r="BR200" s="533">
        <v>48</v>
      </c>
      <c r="BS200" s="534">
        <f>SUM(BO200:BR200)</f>
        <v>193</v>
      </c>
      <c r="BT200" s="122">
        <v>55</v>
      </c>
      <c r="BU200" s="122">
        <v>52</v>
      </c>
      <c r="BV200" s="122">
        <v>47</v>
      </c>
      <c r="BW200" s="533">
        <v>55</v>
      </c>
      <c r="BX200" s="534">
        <f>SUM(BT200:BW200)</f>
        <v>209</v>
      </c>
      <c r="BY200" s="122">
        <v>59</v>
      </c>
      <c r="BZ200" s="122">
        <v>59</v>
      </c>
      <c r="CA200" s="122">
        <v>49</v>
      </c>
      <c r="CB200" s="533">
        <v>53</v>
      </c>
      <c r="CC200" s="534">
        <f>SUM(BY200:CB200)</f>
        <v>220</v>
      </c>
      <c r="CD200" s="122">
        <v>58</v>
      </c>
      <c r="CE200" s="122">
        <v>60</v>
      </c>
      <c r="CF200" s="122">
        <v>58</v>
      </c>
      <c r="CG200" s="533">
        <v>60</v>
      </c>
      <c r="CH200" s="534">
        <f>SUM(CD200:CG200)</f>
        <v>236</v>
      </c>
      <c r="CI200" s="122">
        <v>56</v>
      </c>
      <c r="CJ200" s="122">
        <v>63</v>
      </c>
      <c r="CK200" s="122">
        <v>53</v>
      </c>
      <c r="CL200" s="533">
        <v>64</v>
      </c>
      <c r="CM200" s="534">
        <f>SUM(CI200:CL200)</f>
        <v>236</v>
      </c>
      <c r="CN200" s="122">
        <v>73</v>
      </c>
      <c r="CO200" s="122">
        <v>71</v>
      </c>
      <c r="CP200" s="122">
        <v>58</v>
      </c>
      <c r="CQ200" s="533">
        <v>68</v>
      </c>
      <c r="CR200" s="534">
        <f>SUM(CN200:CQ200)</f>
        <v>270</v>
      </c>
      <c r="CS200" s="122">
        <v>74</v>
      </c>
      <c r="CT200" s="122">
        <v>76</v>
      </c>
      <c r="CU200" s="122">
        <v>68</v>
      </c>
      <c r="CV200" s="533">
        <v>74</v>
      </c>
      <c r="CW200" s="534">
        <f>SUM(CS200:CV200)</f>
        <v>292</v>
      </c>
      <c r="CX200" s="122">
        <v>75</v>
      </c>
      <c r="CY200" s="122">
        <v>47</v>
      </c>
      <c r="CZ200" s="122">
        <v>54</v>
      </c>
      <c r="DA200" s="122">
        <v>54</v>
      </c>
      <c r="DB200" s="534">
        <f>SUM(CX200:DA200)</f>
        <v>230</v>
      </c>
      <c r="DC200" s="122">
        <v>70</v>
      </c>
      <c r="DD200" s="122">
        <v>70</v>
      </c>
      <c r="DE200" s="122">
        <v>68</v>
      </c>
      <c r="DF200" s="122">
        <v>61</v>
      </c>
      <c r="DG200" s="539">
        <f>SUM(DC200:DF200)</f>
        <v>269</v>
      </c>
      <c r="DH200" s="122">
        <v>79</v>
      </c>
      <c r="DI200" s="122">
        <v>76</v>
      </c>
      <c r="DJ200" s="122">
        <v>75</v>
      </c>
      <c r="DK200" s="122">
        <v>70</v>
      </c>
      <c r="DL200" s="539">
        <f>SUM(DH200:DK200)</f>
        <v>300</v>
      </c>
      <c r="DM200" s="122">
        <v>80</v>
      </c>
      <c r="DN200" s="122">
        <v>80</v>
      </c>
      <c r="DO200" s="122">
        <v>84</v>
      </c>
      <c r="DP200" s="122">
        <v>77</v>
      </c>
      <c r="DQ200" s="539">
        <f>SUM(DM200:DP200)</f>
        <v>321</v>
      </c>
      <c r="DR200" s="122">
        <v>82</v>
      </c>
      <c r="DS200" s="122">
        <v>77</v>
      </c>
      <c r="DT200" s="540">
        <v>77</v>
      </c>
      <c r="DU200" s="122">
        <v>80</v>
      </c>
      <c r="DV200" s="539">
        <f>SUM(DR200:DU200)</f>
        <v>316</v>
      </c>
      <c r="DW200" s="122">
        <v>83</v>
      </c>
      <c r="DX200" s="122">
        <v>82</v>
      </c>
      <c r="DY200" s="540">
        <v>83.4</v>
      </c>
      <c r="DZ200" s="122">
        <v>87</v>
      </c>
      <c r="EA200" s="539">
        <f>SUM(DW200:DZ200)</f>
        <v>335.4</v>
      </c>
      <c r="EB200" s="122">
        <v>88</v>
      </c>
      <c r="EC200" s="122">
        <v>92</v>
      </c>
      <c r="ED200" s="540">
        <v>98</v>
      </c>
      <c r="EE200" s="122">
        <v>92</v>
      </c>
      <c r="EF200" s="539">
        <f>SUM(EB200:EE200)</f>
        <v>370</v>
      </c>
      <c r="EG200" s="122">
        <v>81</v>
      </c>
      <c r="EH200" s="122">
        <v>79</v>
      </c>
      <c r="EI200" s="122">
        <v>50</v>
      </c>
      <c r="EJ200" s="122">
        <v>75</v>
      </c>
      <c r="EK200" s="539">
        <f>SUM(EG200:EJ200)</f>
        <v>285</v>
      </c>
      <c r="EL200" s="122">
        <v>78</v>
      </c>
      <c r="EM200" s="122">
        <v>78</v>
      </c>
      <c r="EN200" s="122">
        <f>40</f>
        <v>40</v>
      </c>
      <c r="EO200" s="122">
        <f>52</f>
        <v>52</v>
      </c>
      <c r="EP200" s="539">
        <f>SUM(EL200:EO200)</f>
        <v>248</v>
      </c>
      <c r="EQ200" s="122">
        <v>69</v>
      </c>
      <c r="ER200" s="540">
        <f>ER$13*ER204/1000</f>
        <v>60.840979694368848</v>
      </c>
      <c r="ES200" s="540">
        <f>ES$13*ES204/1000</f>
        <v>61.324041057542772</v>
      </c>
      <c r="ET200" s="540">
        <f>ET$13*ET204/1000</f>
        <v>61.411549581839914</v>
      </c>
      <c r="EU200" s="1966">
        <f>SUM(EQ200:ET200)</f>
        <v>252.57657033375156</v>
      </c>
      <c r="EV200" s="540"/>
      <c r="EW200" s="540"/>
      <c r="EX200" s="540"/>
      <c r="EY200" s="540"/>
      <c r="EZ200" s="855">
        <f>EZ$13*EZ204/1000</f>
        <v>260.20027278433764</v>
      </c>
      <c r="FA200" s="540"/>
      <c r="FB200" s="540"/>
      <c r="FC200" s="540"/>
      <c r="FD200" s="540"/>
      <c r="FE200" s="855">
        <f>FE$13*FE204/1000</f>
        <v>269.03005854600048</v>
      </c>
      <c r="FF200" s="780"/>
      <c r="FG200" s="656"/>
      <c r="FH200" s="1917">
        <f>+EL200-18+9</f>
        <v>69</v>
      </c>
      <c r="FI200" s="1917">
        <f>+EM200-18</f>
        <v>60</v>
      </c>
      <c r="FJ200" s="1917">
        <f>+EN200+37-18</f>
        <v>59</v>
      </c>
      <c r="FK200" s="1917">
        <f>+EO200+25-18</f>
        <v>59</v>
      </c>
      <c r="FL200" s="1822"/>
      <c r="FM200" s="122">
        <f t="shared" si="624"/>
        <v>69</v>
      </c>
      <c r="FN200" s="122">
        <f t="shared" si="625"/>
        <v>78</v>
      </c>
      <c r="FO200" s="540">
        <v>80.154862991443736</v>
      </c>
      <c r="FP200" s="571">
        <f>IFERROR(($FM200/FN200)-1,"")</f>
        <v>-0.11538461538461542</v>
      </c>
      <c r="FQ200" s="571">
        <f>IFERROR(($FM200/FO200)-1,"")</f>
        <v>-0.13916639084810711</v>
      </c>
      <c r="FR200" s="540" t="s">
        <v>872</v>
      </c>
      <c r="FS200" s="540"/>
      <c r="FT200" s="540"/>
      <c r="FU200" s="540"/>
      <c r="FV200" s="540"/>
      <c r="FW200" s="540"/>
      <c r="FX200" s="540"/>
      <c r="FY200" s="540"/>
      <c r="FZ200" s="540"/>
      <c r="GA200" s="656"/>
      <c r="GB200"/>
      <c r="GC200"/>
      <c r="GD200"/>
      <c r="GE200"/>
      <c r="GF200"/>
      <c r="GG200"/>
      <c r="GH200" s="972"/>
      <c r="GI200" s="972"/>
      <c r="GJ200" s="972"/>
      <c r="GK200" s="972"/>
      <c r="GL200" s="972"/>
      <c r="GM200" s="972"/>
      <c r="GN200" s="972"/>
      <c r="GO200" s="972"/>
      <c r="GP200" s="972"/>
      <c r="GQ200" s="972"/>
      <c r="GR200" s="972"/>
      <c r="GS200" s="972"/>
      <c r="GT200" s="972"/>
      <c r="GU200" s="972"/>
      <c r="GV200" s="972"/>
      <c r="GW200" s="972"/>
      <c r="GX200" s="972"/>
      <c r="GY200" s="972"/>
      <c r="GZ200" s="972"/>
      <c r="HA200" s="972"/>
      <c r="HB200" s="972"/>
      <c r="HC200" s="972"/>
      <c r="HD200" s="972"/>
      <c r="HE200" s="972"/>
      <c r="HF200" s="972"/>
      <c r="HG200" s="972"/>
      <c r="HH200" s="972"/>
      <c r="HI200" s="972"/>
      <c r="HJ200" s="972"/>
      <c r="HK200" s="972"/>
      <c r="HL200" s="972"/>
      <c r="HM200" s="972"/>
      <c r="HN200" s="972"/>
      <c r="HO200" s="972"/>
      <c r="HP200" s="972"/>
      <c r="HQ200" s="972"/>
      <c r="HR200" s="972"/>
      <c r="HS200" s="972"/>
      <c r="HT200" s="972"/>
      <c r="HU200" s="972"/>
      <c r="HV200" s="972"/>
      <c r="HW200" s="972"/>
      <c r="HX200" s="972"/>
      <c r="HY200" s="972"/>
      <c r="HZ200" s="972"/>
      <c r="IA200" s="972"/>
      <c r="IB200" s="972"/>
      <c r="IC200" s="972"/>
      <c r="ID200" s="972"/>
      <c r="IE200" s="972"/>
      <c r="IF200" s="972"/>
      <c r="IG200" s="972"/>
      <c r="IH200" s="972"/>
      <c r="II200" s="972"/>
      <c r="IJ200" s="972"/>
      <c r="IK200" s="972"/>
      <c r="IL200" s="972"/>
      <c r="IM200" s="972"/>
      <c r="IN200" s="972"/>
      <c r="IO200" s="972"/>
      <c r="IP200" s="972"/>
      <c r="IQ200" s="972"/>
      <c r="IR200" s="972"/>
      <c r="IS200" s="972"/>
      <c r="IT200" s="972"/>
      <c r="IU200" s="972"/>
      <c r="IV200" s="972"/>
    </row>
    <row r="201" spans="1:256" s="244" customFormat="1" ht="12.75" x14ac:dyDescent="0.2">
      <c r="A201" s="242" t="s">
        <v>74</v>
      </c>
      <c r="B201" s="22"/>
      <c r="C201" s="22"/>
      <c r="D201" s="22"/>
      <c r="E201" s="197"/>
      <c r="F201" s="21"/>
      <c r="G201" s="22">
        <f t="shared" ref="G201:BR201" si="725">G200/B200-1</f>
        <v>-4.2345276872964188E-2</v>
      </c>
      <c r="H201" s="22">
        <f t="shared" si="725"/>
        <v>-0.24833702882483366</v>
      </c>
      <c r="I201" s="22">
        <f t="shared" si="725"/>
        <v>-0.21271929824561409</v>
      </c>
      <c r="J201" s="197">
        <f t="shared" si="725"/>
        <v>0.17771084337349463</v>
      </c>
      <c r="K201" s="21">
        <f t="shared" si="725"/>
        <v>-0.10543337645536854</v>
      </c>
      <c r="L201" s="22">
        <f t="shared" si="725"/>
        <v>0.30612244897959195</v>
      </c>
      <c r="M201" s="22">
        <f t="shared" si="725"/>
        <v>9.4395280235988199E-2</v>
      </c>
      <c r="N201" s="22">
        <f t="shared" si="725"/>
        <v>5.292479108635062E-2</v>
      </c>
      <c r="O201" s="197">
        <f t="shared" si="725"/>
        <v>-5.6265984654731871E-2</v>
      </c>
      <c r="P201" s="21">
        <f t="shared" si="725"/>
        <v>8.6044830079537116E-2</v>
      </c>
      <c r="Q201" s="22">
        <f t="shared" si="725"/>
        <v>-0.1796875</v>
      </c>
      <c r="R201" s="22">
        <f t="shared" si="725"/>
        <v>-2.6954177897574261E-2</v>
      </c>
      <c r="S201" s="22">
        <f t="shared" si="725"/>
        <v>-2.3809523809523614E-2</v>
      </c>
      <c r="T201" s="197">
        <f t="shared" si="725"/>
        <v>-0.18428184281842819</v>
      </c>
      <c r="U201" s="21">
        <f t="shared" si="725"/>
        <v>-0.10386151797603194</v>
      </c>
      <c r="V201" s="22">
        <f t="shared" si="725"/>
        <v>0.107936507936508</v>
      </c>
      <c r="W201" s="22">
        <f t="shared" si="725"/>
        <v>-9.6952908587257469E-2</v>
      </c>
      <c r="X201" s="22">
        <f t="shared" si="725"/>
        <v>-0.1002710027100272</v>
      </c>
      <c r="Y201" s="197">
        <f t="shared" si="725"/>
        <v>-2.3255813953488191E-2</v>
      </c>
      <c r="Z201" s="21">
        <f t="shared" si="725"/>
        <v>-3.3432392273402667E-2</v>
      </c>
      <c r="AA201" s="22">
        <f t="shared" si="725"/>
        <v>7.4498567335243626E-2</v>
      </c>
      <c r="AB201" s="22">
        <f t="shared" si="725"/>
        <v>0.19631901840490795</v>
      </c>
      <c r="AC201" s="22">
        <f t="shared" si="725"/>
        <v>-2.108433734939763E-2</v>
      </c>
      <c r="AD201" s="197">
        <f t="shared" si="725"/>
        <v>0.24489795918367352</v>
      </c>
      <c r="AE201" s="21">
        <f t="shared" si="725"/>
        <v>0.1191391237509607</v>
      </c>
      <c r="AF201" s="22">
        <f t="shared" si="725"/>
        <v>-5.3333333333333344E-2</v>
      </c>
      <c r="AG201" s="22">
        <f t="shared" si="725"/>
        <v>-4.6153846153846212E-2</v>
      </c>
      <c r="AH201" s="22">
        <f t="shared" si="725"/>
        <v>0.16000000000000014</v>
      </c>
      <c r="AI201" s="197">
        <f t="shared" si="725"/>
        <v>1.6393442622950838E-2</v>
      </c>
      <c r="AJ201" s="21">
        <f t="shared" si="725"/>
        <v>1.3736263736263687E-2</v>
      </c>
      <c r="AK201" s="22">
        <f t="shared" si="725"/>
        <v>-8.4507042253519904E-3</v>
      </c>
      <c r="AL201" s="22">
        <f t="shared" si="725"/>
        <v>5.1075268817204478E-2</v>
      </c>
      <c r="AM201" s="22">
        <f t="shared" si="725"/>
        <v>5.0397877984084793E-2</v>
      </c>
      <c r="AN201" s="197">
        <f t="shared" si="725"/>
        <v>-7.526881720430123E-2</v>
      </c>
      <c r="AO201" s="21">
        <f t="shared" si="725"/>
        <v>4.7425474254743083E-3</v>
      </c>
      <c r="AP201" s="22">
        <f t="shared" si="725"/>
        <v>9.659090909090895E-2</v>
      </c>
      <c r="AQ201" s="22">
        <f t="shared" si="725"/>
        <v>-0.12276214833759602</v>
      </c>
      <c r="AR201" s="22">
        <f t="shared" si="725"/>
        <v>-3.7878787878787845E-2</v>
      </c>
      <c r="AS201" s="197">
        <f t="shared" si="725"/>
        <v>0.10465116279069764</v>
      </c>
      <c r="AT201" s="21">
        <f t="shared" si="725"/>
        <v>4.7201618341199403E-3</v>
      </c>
      <c r="AU201" s="22">
        <f t="shared" si="725"/>
        <v>0.13989637305699487</v>
      </c>
      <c r="AV201" s="22">
        <f t="shared" si="725"/>
        <v>0.13702623906705558</v>
      </c>
      <c r="AW201" s="22">
        <f t="shared" si="725"/>
        <v>4.986876640419946E-2</v>
      </c>
      <c r="AX201" s="197">
        <f t="shared" si="725"/>
        <v>0.10526315789473695</v>
      </c>
      <c r="AY201" s="21">
        <f t="shared" si="725"/>
        <v>0.10738255033557054</v>
      </c>
      <c r="AZ201" s="22">
        <f t="shared" si="725"/>
        <v>-2.2727272727272707E-2</v>
      </c>
      <c r="BA201" s="22">
        <f t="shared" si="725"/>
        <v>0.30769230769230771</v>
      </c>
      <c r="BB201" s="22">
        <f t="shared" si="725"/>
        <v>0.35000000000000009</v>
      </c>
      <c r="BC201" s="197">
        <f t="shared" si="725"/>
        <v>0.61904761904761907</v>
      </c>
      <c r="BD201" s="21">
        <f t="shared" si="725"/>
        <v>0.30909090909090908</v>
      </c>
      <c r="BE201" s="22">
        <f t="shared" si="725"/>
        <v>0.41860465116279078</v>
      </c>
      <c r="BF201" s="22">
        <f t="shared" si="725"/>
        <v>0.19607843137254899</v>
      </c>
      <c r="BG201" s="22">
        <f t="shared" si="725"/>
        <v>0.12962962962962954</v>
      </c>
      <c r="BH201" s="197">
        <f t="shared" si="725"/>
        <v>-7.3529411764705843E-2</v>
      </c>
      <c r="BI201" s="21">
        <f t="shared" si="725"/>
        <v>0.13888888888888884</v>
      </c>
      <c r="BJ201" s="22">
        <f t="shared" si="725"/>
        <v>-4.9180327868852514E-2</v>
      </c>
      <c r="BK201" s="22">
        <f t="shared" si="725"/>
        <v>-0.16393442622950816</v>
      </c>
      <c r="BL201" s="22">
        <f t="shared" si="725"/>
        <v>-9.8360655737704916E-2</v>
      </c>
      <c r="BM201" s="197">
        <f t="shared" si="725"/>
        <v>-0.19047619047619047</v>
      </c>
      <c r="BN201" s="21">
        <f t="shared" si="725"/>
        <v>-0.12601626016260159</v>
      </c>
      <c r="BO201" s="22">
        <f t="shared" si="725"/>
        <v>-0.25862068965517238</v>
      </c>
      <c r="BP201" s="22">
        <f t="shared" si="725"/>
        <v>0.11764705882352944</v>
      </c>
      <c r="BQ201" s="22">
        <f t="shared" si="725"/>
        <v>-0.18181818181818177</v>
      </c>
      <c r="BR201" s="197">
        <f t="shared" si="725"/>
        <v>-5.8823529411764719E-2</v>
      </c>
      <c r="BS201" s="21">
        <f t="shared" ref="BS201:DY201" si="726">BS200/BN200-1</f>
        <v>-0.10232558139534886</v>
      </c>
      <c r="BT201" s="22">
        <f t="shared" si="726"/>
        <v>0.27906976744186052</v>
      </c>
      <c r="BU201" s="22">
        <f t="shared" si="726"/>
        <v>-8.7719298245614086E-2</v>
      </c>
      <c r="BV201" s="22">
        <f t="shared" si="726"/>
        <v>4.4444444444444509E-2</v>
      </c>
      <c r="BW201" s="197">
        <f t="shared" si="726"/>
        <v>0.14583333333333326</v>
      </c>
      <c r="BX201" s="21">
        <f t="shared" si="726"/>
        <v>8.290155440414515E-2</v>
      </c>
      <c r="BY201" s="22">
        <f t="shared" si="726"/>
        <v>7.2727272727272751E-2</v>
      </c>
      <c r="BZ201" s="22">
        <f t="shared" si="726"/>
        <v>0.13461538461538458</v>
      </c>
      <c r="CA201" s="22">
        <f t="shared" si="726"/>
        <v>4.2553191489361764E-2</v>
      </c>
      <c r="CB201" s="197">
        <f t="shared" si="726"/>
        <v>-3.6363636363636376E-2</v>
      </c>
      <c r="CC201" s="21">
        <f t="shared" si="726"/>
        <v>5.2631578947368363E-2</v>
      </c>
      <c r="CD201" s="22">
        <f t="shared" si="726"/>
        <v>-1.6949152542372836E-2</v>
      </c>
      <c r="CE201" s="22">
        <f t="shared" si="726"/>
        <v>1.6949152542372836E-2</v>
      </c>
      <c r="CF201" s="22">
        <f t="shared" si="726"/>
        <v>0.18367346938775508</v>
      </c>
      <c r="CG201" s="197">
        <f t="shared" si="726"/>
        <v>0.13207547169811318</v>
      </c>
      <c r="CH201" s="21">
        <f t="shared" si="726"/>
        <v>7.2727272727272751E-2</v>
      </c>
      <c r="CI201" s="22">
        <f t="shared" si="726"/>
        <v>-3.4482758620689613E-2</v>
      </c>
      <c r="CJ201" s="22">
        <f t="shared" si="726"/>
        <v>5.0000000000000044E-2</v>
      </c>
      <c r="CK201" s="22">
        <f t="shared" si="726"/>
        <v>-8.6206896551724088E-2</v>
      </c>
      <c r="CL201" s="197">
        <f t="shared" si="726"/>
        <v>6.6666666666666652E-2</v>
      </c>
      <c r="CM201" s="21">
        <f t="shared" si="726"/>
        <v>0</v>
      </c>
      <c r="CN201" s="22">
        <f t="shared" si="726"/>
        <v>0.3035714285714286</v>
      </c>
      <c r="CO201" s="22">
        <f t="shared" si="726"/>
        <v>0.12698412698412698</v>
      </c>
      <c r="CP201" s="22">
        <f t="shared" si="726"/>
        <v>9.4339622641509413E-2</v>
      </c>
      <c r="CQ201" s="197">
        <f t="shared" si="726"/>
        <v>6.25E-2</v>
      </c>
      <c r="CR201" s="21">
        <f t="shared" si="726"/>
        <v>0.14406779661016955</v>
      </c>
      <c r="CS201" s="22">
        <f t="shared" si="726"/>
        <v>1.3698630136986356E-2</v>
      </c>
      <c r="CT201" s="22">
        <f t="shared" si="726"/>
        <v>7.0422535211267512E-2</v>
      </c>
      <c r="CU201" s="22">
        <f t="shared" si="726"/>
        <v>0.17241379310344818</v>
      </c>
      <c r="CV201" s="197">
        <f t="shared" si="726"/>
        <v>8.8235294117646967E-2</v>
      </c>
      <c r="CW201" s="21">
        <f t="shared" si="726"/>
        <v>8.1481481481481488E-2</v>
      </c>
      <c r="CX201" s="22">
        <f t="shared" si="726"/>
        <v>1.3513513513513598E-2</v>
      </c>
      <c r="CY201" s="22">
        <f t="shared" si="726"/>
        <v>-0.38157894736842102</v>
      </c>
      <c r="CZ201" s="22">
        <f t="shared" si="726"/>
        <v>-0.20588235294117652</v>
      </c>
      <c r="DA201" s="22">
        <f>DA200/CV200-1</f>
        <v>-0.27027027027027029</v>
      </c>
      <c r="DB201" s="21">
        <f>DB200/CW200-1</f>
        <v>-0.21232876712328763</v>
      </c>
      <c r="DC201" s="22">
        <f t="shared" si="726"/>
        <v>-6.6666666666666652E-2</v>
      </c>
      <c r="DD201" s="22">
        <f t="shared" si="726"/>
        <v>0.4893617021276595</v>
      </c>
      <c r="DE201" s="22">
        <f t="shared" si="726"/>
        <v>0.2592592592592593</v>
      </c>
      <c r="DF201" s="22">
        <f>DF200/DA200-1</f>
        <v>0.12962962962962954</v>
      </c>
      <c r="DG201" s="21">
        <f t="shared" si="726"/>
        <v>0.16956521739130426</v>
      </c>
      <c r="DH201" s="22">
        <f>DH200/DC200-1</f>
        <v>0.12857142857142856</v>
      </c>
      <c r="DI201" s="22">
        <f t="shared" si="726"/>
        <v>8.5714285714285632E-2</v>
      </c>
      <c r="DJ201" s="22">
        <f t="shared" si="726"/>
        <v>0.10294117647058831</v>
      </c>
      <c r="DK201" s="22">
        <f t="shared" si="726"/>
        <v>0.14754098360655732</v>
      </c>
      <c r="DL201" s="21">
        <f t="shared" si="726"/>
        <v>0.11524163568773238</v>
      </c>
      <c r="DM201" s="22">
        <f t="shared" si="726"/>
        <v>1.2658227848101333E-2</v>
      </c>
      <c r="DN201" s="22">
        <f t="shared" si="726"/>
        <v>5.2631578947368363E-2</v>
      </c>
      <c r="DO201" s="22">
        <f t="shared" si="726"/>
        <v>0.12000000000000011</v>
      </c>
      <c r="DP201" s="22">
        <f t="shared" si="726"/>
        <v>0.10000000000000009</v>
      </c>
      <c r="DQ201" s="21">
        <f t="shared" si="726"/>
        <v>7.0000000000000062E-2</v>
      </c>
      <c r="DR201" s="22">
        <f t="shared" si="726"/>
        <v>2.4999999999999911E-2</v>
      </c>
      <c r="DS201" s="22">
        <f t="shared" si="726"/>
        <v>-3.7499999999999978E-2</v>
      </c>
      <c r="DT201" s="22">
        <f t="shared" si="726"/>
        <v>-8.333333333333337E-2</v>
      </c>
      <c r="DU201" s="22">
        <f t="shared" si="726"/>
        <v>3.8961038961038863E-2</v>
      </c>
      <c r="DV201" s="21">
        <f t="shared" si="726"/>
        <v>-1.5576323987538943E-2</v>
      </c>
      <c r="DW201" s="22">
        <f>DW200/DR200-1</f>
        <v>1.2195121951219523E-2</v>
      </c>
      <c r="DX201" s="22">
        <f t="shared" si="726"/>
        <v>6.4935064935064846E-2</v>
      </c>
      <c r="DY201" s="22">
        <f t="shared" si="726"/>
        <v>8.3116883116883145E-2</v>
      </c>
      <c r="DZ201" s="22">
        <f t="shared" ref="DZ201:EI201" si="727">DZ200/DU200-1</f>
        <v>8.7499999999999911E-2</v>
      </c>
      <c r="EA201" s="21">
        <f t="shared" si="727"/>
        <v>6.1392405063291022E-2</v>
      </c>
      <c r="EB201" s="22">
        <f t="shared" si="727"/>
        <v>6.024096385542177E-2</v>
      </c>
      <c r="EC201" s="22">
        <f t="shared" si="727"/>
        <v>0.12195121951219523</v>
      </c>
      <c r="ED201" s="22">
        <f t="shared" si="727"/>
        <v>0.17505995203836933</v>
      </c>
      <c r="EE201" s="22">
        <f t="shared" si="727"/>
        <v>5.7471264367816133E-2</v>
      </c>
      <c r="EF201" s="21">
        <f t="shared" si="727"/>
        <v>0.10316040548598693</v>
      </c>
      <c r="EG201" s="22">
        <f t="shared" si="727"/>
        <v>-7.9545454545454586E-2</v>
      </c>
      <c r="EH201" s="22">
        <f t="shared" si="727"/>
        <v>-0.14130434782608692</v>
      </c>
      <c r="EI201" s="22">
        <f t="shared" si="727"/>
        <v>-0.48979591836734693</v>
      </c>
      <c r="EJ201" s="22">
        <f t="shared" ref="EJ201:EN201" si="728">EJ200/EE200-1</f>
        <v>-0.18478260869565222</v>
      </c>
      <c r="EK201" s="21">
        <f t="shared" si="728"/>
        <v>-0.22972972972972971</v>
      </c>
      <c r="EL201" s="22">
        <f t="shared" si="728"/>
        <v>-3.703703703703709E-2</v>
      </c>
      <c r="EM201" s="22">
        <f t="shared" si="728"/>
        <v>-1.2658227848101222E-2</v>
      </c>
      <c r="EN201" s="22">
        <f t="shared" si="728"/>
        <v>-0.19999999999999996</v>
      </c>
      <c r="EO201" s="22">
        <f t="shared" ref="EO201" si="729">EO200/EJ200-1</f>
        <v>-0.30666666666666664</v>
      </c>
      <c r="EP201" s="21">
        <f t="shared" ref="EP201:EQ201" si="730">EP200/EK200-1</f>
        <v>-0.12982456140350873</v>
      </c>
      <c r="EQ201" s="22">
        <f t="shared" si="730"/>
        <v>-0.11538461538461542</v>
      </c>
      <c r="ER201" s="22">
        <f t="shared" ref="ER201" si="731">ER200/EM200-1</f>
        <v>-0.21998743981578406</v>
      </c>
      <c r="ES201" s="22">
        <f t="shared" ref="ES201:EU201" si="732">ES200/EN200-1</f>
        <v>0.53310102643856938</v>
      </c>
      <c r="ET201" s="22">
        <f t="shared" si="732"/>
        <v>0.18099133811230605</v>
      </c>
      <c r="EU201" s="270">
        <f t="shared" si="732"/>
        <v>1.8453912636094971E-2</v>
      </c>
      <c r="EV201" s="243"/>
      <c r="EW201" s="243"/>
      <c r="EX201" s="243"/>
      <c r="EY201" s="243"/>
      <c r="EZ201" s="844">
        <f>EZ200/EU200-1</f>
        <v>3.0183727811776917E-2</v>
      </c>
      <c r="FA201" s="243"/>
      <c r="FB201" s="243"/>
      <c r="FC201" s="243"/>
      <c r="FD201" s="243"/>
      <c r="FE201" s="844">
        <f>FE200/EZ200-1</f>
        <v>3.3934575345281326E-2</v>
      </c>
      <c r="FF201" s="791"/>
      <c r="FG201" s="618"/>
      <c r="FH201" s="1041"/>
      <c r="FI201" s="1041"/>
      <c r="FJ201" s="1041"/>
      <c r="FK201" s="1041"/>
      <c r="FL201" s="1806"/>
      <c r="FM201" s="22">
        <f t="shared" si="624"/>
        <v>-0.11538461538461542</v>
      </c>
      <c r="FN201" s="22">
        <f t="shared" si="625"/>
        <v>-3.703703703703709E-2</v>
      </c>
      <c r="FO201" s="2041">
        <v>2.7626448608252918E-2</v>
      </c>
      <c r="FP201" s="1892">
        <f t="shared" ref="FP201:FQ203" si="733">IFERROR(($FM201-FN201)*10000,"")</f>
        <v>-783.47578347578326</v>
      </c>
      <c r="FQ201" s="1892">
        <f t="shared" si="733"/>
        <v>-1430.1106399286834</v>
      </c>
      <c r="FR201" s="120"/>
      <c r="FS201" s="1579" t="s">
        <v>826</v>
      </c>
      <c r="FT201" s="120"/>
      <c r="FU201" s="120"/>
      <c r="FV201" s="120"/>
      <c r="FW201" s="120"/>
      <c r="FX201" s="120"/>
      <c r="FY201" s="120"/>
      <c r="FZ201" s="120"/>
      <c r="GA201" s="618"/>
      <c r="GB201"/>
      <c r="GC201"/>
      <c r="GD201"/>
      <c r="GE201"/>
      <c r="GF201"/>
      <c r="GG201"/>
      <c r="GH201" s="973"/>
      <c r="GI201" s="973"/>
      <c r="GJ201" s="973"/>
      <c r="GK201" s="973"/>
      <c r="GL201" s="973"/>
      <c r="GM201" s="973"/>
      <c r="GN201" s="973"/>
      <c r="GO201" s="973"/>
      <c r="GP201" s="973"/>
      <c r="GQ201" s="973"/>
      <c r="GR201" s="973"/>
      <c r="GS201" s="973"/>
      <c r="GT201" s="973"/>
      <c r="GU201" s="973"/>
      <c r="GV201" s="973"/>
      <c r="GW201" s="973"/>
      <c r="GX201" s="973"/>
      <c r="GY201" s="973"/>
      <c r="GZ201" s="973"/>
      <c r="HA201" s="973"/>
      <c r="HB201" s="973"/>
      <c r="HC201" s="973"/>
      <c r="HD201" s="973"/>
      <c r="HE201" s="973"/>
      <c r="HF201" s="973"/>
      <c r="HG201" s="973"/>
      <c r="HH201" s="973"/>
      <c r="HI201" s="973"/>
      <c r="HJ201" s="973"/>
      <c r="HK201" s="973"/>
      <c r="HL201" s="973"/>
      <c r="HM201" s="973"/>
      <c r="HN201" s="973"/>
      <c r="HO201" s="973"/>
      <c r="HP201" s="973"/>
      <c r="HQ201" s="973"/>
      <c r="HR201" s="973"/>
      <c r="HS201" s="973"/>
      <c r="HT201" s="973"/>
      <c r="HU201" s="973"/>
      <c r="HV201" s="973"/>
      <c r="HW201" s="973"/>
      <c r="HX201" s="973"/>
      <c r="HY201" s="973"/>
      <c r="HZ201" s="973"/>
      <c r="IA201" s="973"/>
      <c r="IB201" s="973"/>
      <c r="IC201" s="973"/>
      <c r="ID201" s="973"/>
      <c r="IE201" s="973"/>
      <c r="IF201" s="973"/>
      <c r="IG201" s="973"/>
      <c r="IH201" s="973"/>
      <c r="II201" s="973"/>
      <c r="IJ201" s="973"/>
      <c r="IK201" s="973"/>
      <c r="IL201" s="973"/>
      <c r="IM201" s="973"/>
      <c r="IN201" s="973"/>
      <c r="IO201" s="973"/>
      <c r="IP201" s="973"/>
      <c r="IQ201" s="973"/>
      <c r="IR201" s="973"/>
      <c r="IS201" s="973"/>
      <c r="IT201" s="973"/>
      <c r="IU201" s="973"/>
      <c r="IV201" s="973"/>
    </row>
    <row r="202" spans="1:256" s="191" customFormat="1" ht="12.75" x14ac:dyDescent="0.2">
      <c r="A202" s="420" t="s">
        <v>471</v>
      </c>
      <c r="B202" s="27">
        <f t="shared" ref="B202:AG202" si="734">B200/B$214</f>
        <v>4.2245768542727394E-2</v>
      </c>
      <c r="C202" s="27">
        <f t="shared" si="734"/>
        <v>6.2181166413897683E-2</v>
      </c>
      <c r="D202" s="27">
        <f t="shared" si="734"/>
        <v>6.4008983717012913E-2</v>
      </c>
      <c r="E202" s="213">
        <f t="shared" si="734"/>
        <v>4.7428571428571431E-2</v>
      </c>
      <c r="F202" s="28">
        <f t="shared" si="734"/>
        <v>5.3972908811618495E-2</v>
      </c>
      <c r="G202" s="27">
        <f t="shared" si="734"/>
        <v>3.9500201531640459E-2</v>
      </c>
      <c r="H202" s="27">
        <f t="shared" si="734"/>
        <v>4.5959869848156185E-2</v>
      </c>
      <c r="I202" s="27">
        <f t="shared" si="734"/>
        <v>4.9374226378764964E-2</v>
      </c>
      <c r="J202" s="213">
        <f t="shared" si="734"/>
        <v>5.3495690244903568E-2</v>
      </c>
      <c r="K202" s="28">
        <f t="shared" si="734"/>
        <v>4.7042416408721387E-2</v>
      </c>
      <c r="L202" s="27">
        <f t="shared" si="734"/>
        <v>5.2530779753761969E-2</v>
      </c>
      <c r="M202" s="27">
        <f t="shared" si="734"/>
        <v>5.2609188882586505E-2</v>
      </c>
      <c r="N202" s="27">
        <f t="shared" si="734"/>
        <v>5.3246936188195509E-2</v>
      </c>
      <c r="O202" s="213">
        <f t="shared" si="734"/>
        <v>5.1529116045245071E-2</v>
      </c>
      <c r="P202" s="28">
        <f t="shared" si="734"/>
        <v>5.2477115505555165E-2</v>
      </c>
      <c r="Q202" s="27">
        <f t="shared" si="734"/>
        <v>4.5824847250509164E-2</v>
      </c>
      <c r="R202" s="27">
        <f t="shared" si="734"/>
        <v>5.0538989220215581E-2</v>
      </c>
      <c r="S202" s="27">
        <f t="shared" si="734"/>
        <v>5.1115112896523068E-2</v>
      </c>
      <c r="T202" s="213">
        <f t="shared" si="734"/>
        <v>4.1385948026948984E-2</v>
      </c>
      <c r="U202" s="28">
        <f t="shared" si="734"/>
        <v>4.7213160756252419E-2</v>
      </c>
      <c r="V202" s="27">
        <f t="shared" si="734"/>
        <v>4.8264417093071499E-2</v>
      </c>
      <c r="W202" s="27">
        <f t="shared" si="734"/>
        <v>4.5792948447815708E-2</v>
      </c>
      <c r="X202" s="27">
        <f t="shared" si="734"/>
        <v>4.7045486750743944E-2</v>
      </c>
      <c r="Y202" s="213">
        <f t="shared" si="734"/>
        <v>4.2393655371304975E-2</v>
      </c>
      <c r="Z202" s="28">
        <f t="shared" si="734"/>
        <v>4.590360595582528E-2</v>
      </c>
      <c r="AA202" s="27">
        <f t="shared" si="734"/>
        <v>5.2228412256267412E-2</v>
      </c>
      <c r="AB202" s="27">
        <f t="shared" si="734"/>
        <v>5.3778268063982344E-2</v>
      </c>
      <c r="AC202" s="27">
        <f t="shared" si="734"/>
        <v>4.5652479280797867E-2</v>
      </c>
      <c r="AD202" s="213">
        <f t="shared" si="734"/>
        <v>5.0854522717799083E-2</v>
      </c>
      <c r="AE202" s="28">
        <f t="shared" si="734"/>
        <v>5.0647001530541261E-2</v>
      </c>
      <c r="AF202" s="27">
        <f t="shared" si="734"/>
        <v>4.7383876134543514E-2</v>
      </c>
      <c r="AG202" s="27">
        <f t="shared" si="734"/>
        <v>5.1225557697603959E-2</v>
      </c>
      <c r="AH202" s="27">
        <f t="shared" ref="AH202:BM202" si="735">AH200/AH$214</f>
        <v>5.248503410831129E-2</v>
      </c>
      <c r="AI202" s="213">
        <f t="shared" si="735"/>
        <v>5.1940798659592294E-2</v>
      </c>
      <c r="AJ202" s="28">
        <f t="shared" si="735"/>
        <v>5.0723392556445243E-2</v>
      </c>
      <c r="AK202" s="27">
        <f t="shared" si="735"/>
        <v>4.663487016428193E-2</v>
      </c>
      <c r="AL202" s="27">
        <f t="shared" si="735"/>
        <v>5.2981029810298105E-2</v>
      </c>
      <c r="AM202" s="27">
        <f t="shared" si="735"/>
        <v>5.5022926219258021E-2</v>
      </c>
      <c r="AN202" s="213">
        <f t="shared" si="735"/>
        <v>4.7461368653421633E-2</v>
      </c>
      <c r="AO202" s="28">
        <f t="shared" si="735"/>
        <v>5.0488543900861327E-2</v>
      </c>
      <c r="AP202" s="27">
        <f t="shared" si="735"/>
        <v>5.0490516677567036E-2</v>
      </c>
      <c r="AQ202" s="27">
        <f t="shared" si="735"/>
        <v>4.5953912111468376E-2</v>
      </c>
      <c r="AR202" s="27">
        <f t="shared" si="735"/>
        <v>5.0739113064322806E-2</v>
      </c>
      <c r="AS202" s="213">
        <f t="shared" si="735"/>
        <v>5.0802139037433157E-2</v>
      </c>
      <c r="AT202" s="28">
        <f t="shared" si="735"/>
        <v>4.95049504950495E-2</v>
      </c>
      <c r="AU202" s="27">
        <f t="shared" si="735"/>
        <v>5.3961246014226139E-2</v>
      </c>
      <c r="AV202" s="27">
        <f t="shared" si="735"/>
        <v>4.9618320610687022E-2</v>
      </c>
      <c r="AW202" s="27">
        <f t="shared" si="735"/>
        <v>5.0632911392405063E-2</v>
      </c>
      <c r="AX202" s="213">
        <f t="shared" si="735"/>
        <v>5.3984575835475578E-2</v>
      </c>
      <c r="AY202" s="28">
        <f t="shared" si="735"/>
        <v>5.2060326875749359E-2</v>
      </c>
      <c r="AZ202" s="27">
        <f t="shared" si="735"/>
        <v>5.4224464060529637E-2</v>
      </c>
      <c r="BA202" s="27">
        <f t="shared" si="735"/>
        <v>5.1204819277108432E-2</v>
      </c>
      <c r="BB202" s="27">
        <f t="shared" si="735"/>
        <v>3.9881831610044313E-2</v>
      </c>
      <c r="BC202" s="213">
        <f t="shared" si="735"/>
        <v>5.0974512743628186E-2</v>
      </c>
      <c r="BD202" s="28">
        <f t="shared" si="735"/>
        <v>4.8246593701139158E-2</v>
      </c>
      <c r="BE202" s="27">
        <f t="shared" si="735"/>
        <v>4.4234952864394488E-2</v>
      </c>
      <c r="BF202" s="27">
        <f t="shared" si="735"/>
        <v>4.6423135464231352E-2</v>
      </c>
      <c r="BG202" s="27">
        <f t="shared" si="735"/>
        <v>4.6072507552870089E-2</v>
      </c>
      <c r="BH202" s="213">
        <f t="shared" si="735"/>
        <v>4.6875E-2</v>
      </c>
      <c r="BI202" s="28">
        <f t="shared" si="735"/>
        <v>4.5886961387800781E-2</v>
      </c>
      <c r="BJ202" s="27">
        <f t="shared" si="735"/>
        <v>4.3445692883895132E-2</v>
      </c>
      <c r="BK202" s="27">
        <f t="shared" si="735"/>
        <v>3.8931297709923665E-2</v>
      </c>
      <c r="BL202" s="27">
        <f t="shared" si="735"/>
        <v>4.3547110055423596E-2</v>
      </c>
      <c r="BM202" s="213">
        <f t="shared" si="735"/>
        <v>4.0637450199203187E-2</v>
      </c>
      <c r="BN202" s="28">
        <f t="shared" ref="BN202:CS202" si="736">BN200/BN$214</f>
        <v>4.1642455936471041E-2</v>
      </c>
      <c r="BO202" s="27">
        <f t="shared" si="736"/>
        <v>3.4099920697858839E-2</v>
      </c>
      <c r="BP202" s="27">
        <f t="shared" si="736"/>
        <v>4.4846577498033044E-2</v>
      </c>
      <c r="BQ202" s="27">
        <f t="shared" si="736"/>
        <v>3.4965034965034968E-2</v>
      </c>
      <c r="BR202" s="213">
        <f t="shared" si="736"/>
        <v>3.7122969837587005E-2</v>
      </c>
      <c r="BS202" s="28">
        <f t="shared" si="736"/>
        <v>3.7754303599374019E-2</v>
      </c>
      <c r="BT202" s="27">
        <f t="shared" si="736"/>
        <v>4.1353383458646614E-2</v>
      </c>
      <c r="BU202" s="27">
        <f t="shared" si="736"/>
        <v>3.895131086142322E-2</v>
      </c>
      <c r="BV202" s="27">
        <f t="shared" si="736"/>
        <v>3.651903651903652E-2</v>
      </c>
      <c r="BW202" s="213">
        <f t="shared" si="736"/>
        <v>4.0892193308550186E-2</v>
      </c>
      <c r="BX202" s="28">
        <f t="shared" si="736"/>
        <v>3.9456296016613178E-2</v>
      </c>
      <c r="BY202" s="27">
        <f t="shared" si="736"/>
        <v>4.3801039346696359E-2</v>
      </c>
      <c r="BZ202" s="27">
        <f t="shared" si="736"/>
        <v>4.2507204610951012E-2</v>
      </c>
      <c r="CA202" s="27">
        <f t="shared" si="736"/>
        <v>3.5302593659942365E-2</v>
      </c>
      <c r="CB202" s="213">
        <f t="shared" si="736"/>
        <v>3.5642232683254872E-2</v>
      </c>
      <c r="CC202" s="28">
        <f t="shared" si="736"/>
        <v>4.1580041580041582E-2</v>
      </c>
      <c r="CD202" s="27">
        <f t="shared" si="736"/>
        <v>3.7227214377406934E-2</v>
      </c>
      <c r="CE202" s="27">
        <f t="shared" si="736"/>
        <v>3.8935756002595717E-2</v>
      </c>
      <c r="CF202" s="27">
        <f t="shared" si="736"/>
        <v>3.5648432698217582E-2</v>
      </c>
      <c r="CG202" s="213">
        <f t="shared" si="736"/>
        <v>3.6079374624173183E-2</v>
      </c>
      <c r="CH202" s="28">
        <f t="shared" si="736"/>
        <v>3.6938488026295194E-2</v>
      </c>
      <c r="CI202" s="27">
        <f t="shared" si="736"/>
        <v>3.1963470319634701E-2</v>
      </c>
      <c r="CJ202" s="27">
        <f t="shared" si="736"/>
        <v>3.6734693877551024E-2</v>
      </c>
      <c r="CK202" s="27">
        <f t="shared" si="736"/>
        <v>3.1585220500595951E-2</v>
      </c>
      <c r="CL202" s="213">
        <f t="shared" si="736"/>
        <v>3.7536656891495601E-2</v>
      </c>
      <c r="CM202" s="28">
        <f t="shared" si="736"/>
        <v>3.4452554744525549E-2</v>
      </c>
      <c r="CN202" s="27">
        <f t="shared" si="736"/>
        <v>4.2466550319953458E-2</v>
      </c>
      <c r="CO202" s="27">
        <f t="shared" si="736"/>
        <v>4.206161137440758E-2</v>
      </c>
      <c r="CP202" s="27">
        <f t="shared" si="736"/>
        <v>3.4688995215311005E-2</v>
      </c>
      <c r="CQ202" s="213">
        <f t="shared" si="736"/>
        <v>3.8461538461538464E-2</v>
      </c>
      <c r="CR202" s="28">
        <f t="shared" si="736"/>
        <v>3.9433328465021178E-2</v>
      </c>
      <c r="CS202" s="27">
        <f t="shared" si="736"/>
        <v>3.8763750654793087E-2</v>
      </c>
      <c r="CT202" s="27">
        <f t="shared" ref="CT202:DY202" si="737">CT200/CT$214</f>
        <v>3.8657171922685654E-2</v>
      </c>
      <c r="CU202" s="27">
        <f t="shared" si="737"/>
        <v>3.4000000000000002E-2</v>
      </c>
      <c r="CV202" s="213">
        <f t="shared" si="737"/>
        <v>4.3812907045589107E-2</v>
      </c>
      <c r="CW202" s="28">
        <f t="shared" si="737"/>
        <v>3.860391327340032E-2</v>
      </c>
      <c r="CX202" s="421">
        <f t="shared" si="737"/>
        <v>4.807692307692308E-2</v>
      </c>
      <c r="CY202" s="421">
        <f t="shared" si="737"/>
        <v>3.3837293016558675E-2</v>
      </c>
      <c r="CZ202" s="421">
        <f t="shared" si="737"/>
        <v>3.5976015989340443E-2</v>
      </c>
      <c r="DA202" s="27">
        <f t="shared" si="737"/>
        <v>3.4682080924855488E-2</v>
      </c>
      <c r="DB202" s="28">
        <f t="shared" si="737"/>
        <v>3.8288663226236058E-2</v>
      </c>
      <c r="DC202" s="421">
        <f t="shared" si="737"/>
        <v>4.1592394533571005E-2</v>
      </c>
      <c r="DD202" s="421">
        <f t="shared" si="737"/>
        <v>4.1249263406010608E-2</v>
      </c>
      <c r="DE202" s="421">
        <f t="shared" si="737"/>
        <v>3.9766081871345033E-2</v>
      </c>
      <c r="DF202" s="27">
        <f t="shared" si="737"/>
        <v>3.4857142857142857E-2</v>
      </c>
      <c r="DG202" s="422">
        <f t="shared" si="737"/>
        <v>3.9327485380116961E-2</v>
      </c>
      <c r="DH202" s="27">
        <f t="shared" si="737"/>
        <v>4.0265035677879715E-2</v>
      </c>
      <c r="DI202" s="421">
        <f t="shared" si="737"/>
        <v>3.817177297840281E-2</v>
      </c>
      <c r="DJ202" s="421">
        <f t="shared" si="737"/>
        <v>3.8441824705279341E-2</v>
      </c>
      <c r="DK202" s="27">
        <f t="shared" si="737"/>
        <v>3.5052578868302452E-2</v>
      </c>
      <c r="DL202" s="422">
        <f t="shared" si="737"/>
        <v>3.7969877230730288E-2</v>
      </c>
      <c r="DM202" s="27">
        <f t="shared" si="737"/>
        <v>3.9138943248532287E-2</v>
      </c>
      <c r="DN202" s="421">
        <f t="shared" si="737"/>
        <v>4.1237113402061855E-2</v>
      </c>
      <c r="DO202" s="421">
        <f t="shared" si="737"/>
        <v>4.2813455657492352E-2</v>
      </c>
      <c r="DP202" s="27">
        <f t="shared" si="737"/>
        <v>3.9086294416243658E-2</v>
      </c>
      <c r="DQ202" s="422">
        <f t="shared" si="737"/>
        <v>4.0550783223850431E-2</v>
      </c>
      <c r="DR202" s="27">
        <f t="shared" si="737"/>
        <v>4.0058622374206154E-2</v>
      </c>
      <c r="DS202" s="421">
        <f t="shared" si="737"/>
        <v>3.9165818921668365E-2</v>
      </c>
      <c r="DT202" s="27">
        <f t="shared" si="737"/>
        <v>3.89873417721519E-2</v>
      </c>
      <c r="DU202" s="27">
        <f t="shared" si="737"/>
        <v>0.04</v>
      </c>
      <c r="DV202" s="422">
        <f t="shared" si="737"/>
        <v>3.9559339008512766E-2</v>
      </c>
      <c r="DW202" s="27">
        <f t="shared" si="737"/>
        <v>4.1048466864490603E-2</v>
      </c>
      <c r="DX202" s="421">
        <f t="shared" si="737"/>
        <v>4.0533860603064756E-2</v>
      </c>
      <c r="DY202" s="27">
        <f t="shared" si="737"/>
        <v>4.1187219121931948E-2</v>
      </c>
      <c r="DZ202" s="27">
        <f t="shared" ref="DZ202:EU202" si="738">DZ200/DZ$214</f>
        <v>4.3961596766043456E-2</v>
      </c>
      <c r="EA202" s="422">
        <f t="shared" si="738"/>
        <v>4.1670290350234195E-2</v>
      </c>
      <c r="EB202" s="27">
        <f t="shared" si="738"/>
        <v>4.4875063742988268E-2</v>
      </c>
      <c r="EC202" s="421">
        <f t="shared" si="738"/>
        <v>4.8446550816219063E-2</v>
      </c>
      <c r="ED202" s="27">
        <f t="shared" si="738"/>
        <v>5.1824431517715493E-2</v>
      </c>
      <c r="EE202" s="27">
        <f t="shared" si="738"/>
        <v>4.9040511727078892E-2</v>
      </c>
      <c r="EF202" s="422">
        <f t="shared" si="738"/>
        <v>4.8511865740133733E-2</v>
      </c>
      <c r="EG202" s="27">
        <f t="shared" si="738"/>
        <v>4.7731290512669416E-2</v>
      </c>
      <c r="EH202" s="421">
        <f t="shared" si="738"/>
        <v>4.6912114014251778E-2</v>
      </c>
      <c r="EI202" s="27">
        <f t="shared" si="738"/>
        <v>2.9342723004694836E-2</v>
      </c>
      <c r="EJ202" s="27">
        <f t="shared" si="738"/>
        <v>4.3377674956622328E-2</v>
      </c>
      <c r="EK202" s="422">
        <f t="shared" si="738"/>
        <v>4.1825653067214558E-2</v>
      </c>
      <c r="EL202" s="27">
        <f t="shared" si="738"/>
        <v>4.2904290429042903E-2</v>
      </c>
      <c r="EM202" s="421">
        <f t="shared" si="738"/>
        <v>4.4192634560906517E-2</v>
      </c>
      <c r="EN202" s="27">
        <f t="shared" si="738"/>
        <v>2.2535211267605635E-2</v>
      </c>
      <c r="EO202" s="27">
        <f t="shared" ref="EO202:EQ202" si="739">EO200/EO$214</f>
        <v>2.8540065861690452E-2</v>
      </c>
      <c r="EP202" s="422">
        <f t="shared" si="739"/>
        <v>3.4540389972144848E-2</v>
      </c>
      <c r="EQ202" s="27">
        <f t="shared" si="739"/>
        <v>3.6663124335812966E-2</v>
      </c>
      <c r="ER202" s="27">
        <f t="shared" si="738"/>
        <v>3.2463919870841275E-2</v>
      </c>
      <c r="ES202" s="27">
        <f t="shared" si="738"/>
        <v>3.1246964348276451E-2</v>
      </c>
      <c r="ET202" s="27">
        <f t="shared" si="738"/>
        <v>3.1537806125187459E-2</v>
      </c>
      <c r="EU202" s="1979">
        <f t="shared" si="738"/>
        <v>3.2948036472398891E-2</v>
      </c>
      <c r="EV202" s="241"/>
      <c r="EW202" s="241"/>
      <c r="EX202" s="241"/>
      <c r="EY202" s="241"/>
      <c r="EZ202" s="835">
        <f>EZ200/EZ$214</f>
        <v>3.2837811249523292E-2</v>
      </c>
      <c r="FA202" s="241"/>
      <c r="FB202" s="241"/>
      <c r="FC202" s="241"/>
      <c r="FD202" s="241"/>
      <c r="FE202" s="835">
        <f>FE200/FE$214</f>
        <v>3.2909049870841908E-2</v>
      </c>
      <c r="FF202" s="790"/>
      <c r="FG202" s="656"/>
      <c r="FH202" s="1041"/>
      <c r="FI202" s="1041"/>
      <c r="FJ202" s="1041"/>
      <c r="FK202" s="1041"/>
      <c r="FL202" s="1806"/>
      <c r="FM202" s="421">
        <f t="shared" ref="FM202:FM211" si="740">EQ202</f>
        <v>3.6663124335812966E-2</v>
      </c>
      <c r="FN202" s="421">
        <f t="shared" ref="FN202:FN211" si="741">EL202</f>
        <v>4.2904290429042903E-2</v>
      </c>
      <c r="FO202" s="27">
        <v>4.2529269556122219E-2</v>
      </c>
      <c r="FP202" s="1897">
        <f t="shared" si="733"/>
        <v>-62.41166093229937</v>
      </c>
      <c r="FQ202" s="1897">
        <f t="shared" si="733"/>
        <v>-58.66145220309253</v>
      </c>
      <c r="FR202" s="587"/>
      <c r="FS202" s="587"/>
      <c r="FT202" s="587"/>
      <c r="FU202" s="587"/>
      <c r="FV202" s="587"/>
      <c r="FW202" s="587"/>
      <c r="FX202" s="587"/>
      <c r="FY202" s="587"/>
      <c r="FZ202" s="587"/>
      <c r="GA202" s="656"/>
      <c r="GB202"/>
      <c r="GC202"/>
      <c r="GD202"/>
      <c r="GE202"/>
      <c r="GF202"/>
      <c r="GG202"/>
      <c r="GH202" s="978"/>
      <c r="GI202" s="978"/>
      <c r="GJ202" s="978"/>
      <c r="GK202" s="978"/>
      <c r="GL202" s="978"/>
      <c r="GM202" s="978"/>
      <c r="GN202" s="978"/>
      <c r="GO202" s="978"/>
      <c r="GP202" s="978"/>
      <c r="GQ202" s="978"/>
      <c r="GR202" s="978"/>
      <c r="GS202" s="978"/>
      <c r="GT202" s="978"/>
      <c r="GU202" s="978"/>
      <c r="GV202" s="978"/>
      <c r="GW202" s="978"/>
      <c r="GX202" s="978"/>
      <c r="GY202" s="978"/>
      <c r="GZ202" s="978"/>
      <c r="HA202" s="978"/>
      <c r="HB202" s="978"/>
      <c r="HC202" s="978"/>
      <c r="HD202" s="978"/>
      <c r="HE202" s="978"/>
      <c r="HF202" s="978"/>
      <c r="HG202" s="978"/>
      <c r="HH202" s="978"/>
      <c r="HI202" s="978"/>
      <c r="HJ202" s="978"/>
      <c r="HK202" s="978"/>
      <c r="HL202" s="978"/>
      <c r="HM202" s="978"/>
      <c r="HN202" s="978"/>
      <c r="HO202" s="978"/>
      <c r="HP202" s="978"/>
      <c r="HQ202" s="978"/>
      <c r="HR202" s="978"/>
      <c r="HS202" s="978"/>
      <c r="HT202" s="978"/>
      <c r="HU202" s="978"/>
      <c r="HV202" s="978"/>
      <c r="HW202" s="978"/>
      <c r="HX202" s="978"/>
      <c r="HY202" s="978"/>
      <c r="HZ202" s="978"/>
      <c r="IA202" s="978"/>
      <c r="IB202" s="978"/>
      <c r="IC202" s="978"/>
      <c r="ID202" s="978"/>
      <c r="IE202" s="978"/>
      <c r="IF202" s="978"/>
      <c r="IG202" s="978"/>
      <c r="IH202" s="978"/>
      <c r="II202" s="978"/>
      <c r="IJ202" s="978"/>
      <c r="IK202" s="978"/>
      <c r="IL202" s="978"/>
      <c r="IM202" s="978"/>
      <c r="IN202" s="978"/>
      <c r="IO202" s="978"/>
      <c r="IP202" s="978"/>
      <c r="IQ202" s="978"/>
      <c r="IR202" s="978"/>
      <c r="IS202" s="978"/>
      <c r="IT202" s="978"/>
      <c r="IU202" s="978"/>
      <c r="IV202" s="978"/>
    </row>
    <row r="203" spans="1:256" s="244" customFormat="1" ht="12.75" x14ac:dyDescent="0.2">
      <c r="A203" s="242" t="s">
        <v>484</v>
      </c>
      <c r="B203" s="22"/>
      <c r="C203" s="22"/>
      <c r="D203" s="22"/>
      <c r="E203" s="197"/>
      <c r="F203" s="21"/>
      <c r="G203" s="22"/>
      <c r="H203" s="22"/>
      <c r="I203" s="22"/>
      <c r="J203" s="197"/>
      <c r="K203" s="21"/>
      <c r="L203" s="22">
        <f>L200/P200</f>
        <v>0.25565912117177098</v>
      </c>
      <c r="M203" s="22">
        <f>M200/P200</f>
        <v>0.24700399467376832</v>
      </c>
      <c r="N203" s="22">
        <f>N200/P200</f>
        <v>0.25166444740346205</v>
      </c>
      <c r="O203" s="22">
        <f>O200/P200</f>
        <v>0.24567243675099862</v>
      </c>
      <c r="P203" s="21"/>
      <c r="Q203" s="22">
        <f>Q200/U200</f>
        <v>0.23402674591381872</v>
      </c>
      <c r="R203" s="22">
        <f>R200/U200</f>
        <v>0.26820208023774145</v>
      </c>
      <c r="S203" s="22">
        <f>S200/U200</f>
        <v>0.27414561664190201</v>
      </c>
      <c r="T203" s="22">
        <f>T200/U200</f>
        <v>0.22362555720653784</v>
      </c>
      <c r="U203" s="21"/>
      <c r="V203" s="22">
        <f>V200/Z200</f>
        <v>0.26825518831667949</v>
      </c>
      <c r="W203" s="22">
        <f>W200/Z200</f>
        <v>0.25057647963105306</v>
      </c>
      <c r="X203" s="22">
        <f>X200/Z200</f>
        <v>0.25518831667947733</v>
      </c>
      <c r="Y203" s="22">
        <f>Y200/Z200</f>
        <v>0.22598001537279017</v>
      </c>
      <c r="Z203" s="21"/>
      <c r="AA203" s="22">
        <f>AA200/AE200</f>
        <v>0.25755494505494508</v>
      </c>
      <c r="AB203" s="22">
        <f>AB200/AE200</f>
        <v>0.26785714285714285</v>
      </c>
      <c r="AC203" s="22">
        <f>AC200/AE200</f>
        <v>0.22321428571428573</v>
      </c>
      <c r="AD203" s="22">
        <f>AD200/AE200</f>
        <v>0.25137362637362637</v>
      </c>
      <c r="AE203" s="21"/>
      <c r="AF203" s="22">
        <f>AF200/AJ200</f>
        <v>0.24051490514905149</v>
      </c>
      <c r="AG203" s="22">
        <f>AG200/AJ200</f>
        <v>0.25203252032520324</v>
      </c>
      <c r="AH203" s="22">
        <f>AH200/AJ200</f>
        <v>0.25542005420054203</v>
      </c>
      <c r="AI203" s="22">
        <f>AI200/AJ200</f>
        <v>0.25203252032520329</v>
      </c>
      <c r="AJ203" s="21"/>
      <c r="AK203" s="22">
        <f>AK200/AO200</f>
        <v>0.2373567093728928</v>
      </c>
      <c r="AL203" s="22">
        <f>AL200/AO200</f>
        <v>0.26365475387727577</v>
      </c>
      <c r="AM203" s="22">
        <f>AM200/AO200</f>
        <v>0.2670262980445044</v>
      </c>
      <c r="AN203" s="22">
        <f>AN200/AO200</f>
        <v>0.23196223870532701</v>
      </c>
      <c r="AO203" s="21"/>
      <c r="AP203" s="22">
        <f>AP200/AT200</f>
        <v>0.25906040268456376</v>
      </c>
      <c r="AQ203" s="22">
        <f>AQ200/AT200</f>
        <v>0.23020134228187916</v>
      </c>
      <c r="AR203" s="22">
        <f>AR200/AT200</f>
        <v>0.25570469798657719</v>
      </c>
      <c r="AS203" s="22">
        <f>AS200/AT200</f>
        <v>0.25503355704697989</v>
      </c>
      <c r="AT203" s="21"/>
      <c r="AU203" s="22">
        <f>AU200/AY200</f>
        <v>0.26666666666666666</v>
      </c>
      <c r="AV203" s="22">
        <f>AV200/AY200</f>
        <v>0.23636363636363636</v>
      </c>
      <c r="AW203" s="22">
        <f>AW200/AY200</f>
        <v>0.24242424242424243</v>
      </c>
      <c r="AX203" s="22">
        <f>AX200/AY200</f>
        <v>0.25454545454545452</v>
      </c>
      <c r="AY203" s="21"/>
      <c r="AZ203" s="22">
        <f>AZ200/BD200</f>
        <v>0.19907407407407407</v>
      </c>
      <c r="BA203" s="22">
        <f>BA200/BD200</f>
        <v>0.2361111111111111</v>
      </c>
      <c r="BB203" s="22">
        <f>BB200/BD200</f>
        <v>0.25</v>
      </c>
      <c r="BC203" s="22">
        <f>BC200/BD200</f>
        <v>0.31481481481481483</v>
      </c>
      <c r="BD203" s="21"/>
      <c r="BE203" s="22">
        <f>BE200/BI200</f>
        <v>0.24796747967479674</v>
      </c>
      <c r="BF203" s="22">
        <f>BF200/BI200</f>
        <v>0.24796747967479674</v>
      </c>
      <c r="BG203" s="22">
        <f>BG200/BI200</f>
        <v>0.24796747967479674</v>
      </c>
      <c r="BH203" s="22">
        <f>BH200/BI200</f>
        <v>0.25609756097560976</v>
      </c>
      <c r="BI203" s="21"/>
      <c r="BJ203" s="22">
        <f>BJ200/BN200</f>
        <v>0.26976744186046514</v>
      </c>
      <c r="BK203" s="22">
        <f>BK200/BN200</f>
        <v>0.23720930232558141</v>
      </c>
      <c r="BL203" s="22">
        <f>BL200/BN200</f>
        <v>0.2558139534883721</v>
      </c>
      <c r="BM203" s="22">
        <f>BM200/BN200</f>
        <v>0.23720930232558141</v>
      </c>
      <c r="BN203" s="21"/>
      <c r="BO203" s="22">
        <f>BO200/BS200</f>
        <v>0.22279792746113988</v>
      </c>
      <c r="BP203" s="22">
        <f>BP200/BS200</f>
        <v>0.29533678756476683</v>
      </c>
      <c r="BQ203" s="22">
        <f>BQ200/BS200</f>
        <v>0.23316062176165803</v>
      </c>
      <c r="BR203" s="22">
        <f>BR200/BS200</f>
        <v>0.24870466321243523</v>
      </c>
      <c r="BS203" s="21"/>
      <c r="BT203" s="22">
        <f>BT200/BX200</f>
        <v>0.26315789473684209</v>
      </c>
      <c r="BU203" s="22">
        <f>BU200/BX200</f>
        <v>0.24880382775119617</v>
      </c>
      <c r="BV203" s="22">
        <f>BV200/BX200</f>
        <v>0.22488038277511962</v>
      </c>
      <c r="BW203" s="22">
        <f>BW200/BX200</f>
        <v>0.26315789473684209</v>
      </c>
      <c r="BX203" s="21"/>
      <c r="BY203" s="22">
        <f>BY200/CC200</f>
        <v>0.26818181818181819</v>
      </c>
      <c r="BZ203" s="22">
        <f>BZ200/CC200</f>
        <v>0.26818181818181819</v>
      </c>
      <c r="CA203" s="22">
        <f>CA200/CC200</f>
        <v>0.22272727272727272</v>
      </c>
      <c r="CB203" s="22">
        <f>CB200/CC200</f>
        <v>0.24090909090909091</v>
      </c>
      <c r="CC203" s="21"/>
      <c r="CD203" s="22">
        <f>CD200/CH200</f>
        <v>0.24576271186440679</v>
      </c>
      <c r="CE203" s="22">
        <f>CE200/CH200</f>
        <v>0.25423728813559321</v>
      </c>
      <c r="CF203" s="22">
        <f>CF200/CH200</f>
        <v>0.24576271186440679</v>
      </c>
      <c r="CG203" s="22">
        <f>CG200/CH200</f>
        <v>0.25423728813559321</v>
      </c>
      <c r="CH203" s="21"/>
      <c r="CI203" s="22">
        <f>CI200/CM200</f>
        <v>0.23728813559322035</v>
      </c>
      <c r="CJ203" s="22">
        <f>CJ200/CM200</f>
        <v>0.26694915254237289</v>
      </c>
      <c r="CK203" s="22">
        <f>CK200/CM200</f>
        <v>0.22457627118644069</v>
      </c>
      <c r="CL203" s="22">
        <f>CL200/CM200</f>
        <v>0.2711864406779661</v>
      </c>
      <c r="CM203" s="21"/>
      <c r="CN203" s="22">
        <f>CN200/CR200</f>
        <v>0.27037037037037037</v>
      </c>
      <c r="CO203" s="22">
        <f>CO200/CR200</f>
        <v>0.26296296296296295</v>
      </c>
      <c r="CP203" s="22">
        <f>CP200/CR200</f>
        <v>0.21481481481481482</v>
      </c>
      <c r="CQ203" s="22">
        <f>CQ200/CR200</f>
        <v>0.25185185185185183</v>
      </c>
      <c r="CR203" s="21"/>
      <c r="CS203" s="22">
        <f>CS200/CW200</f>
        <v>0.25342465753424659</v>
      </c>
      <c r="CT203" s="22">
        <f>CT200/CW200</f>
        <v>0.26027397260273971</v>
      </c>
      <c r="CU203" s="22">
        <f>CU200/CW200</f>
        <v>0.23287671232876711</v>
      </c>
      <c r="CV203" s="22">
        <f>CV200/CW200</f>
        <v>0.25342465753424659</v>
      </c>
      <c r="CW203" s="21"/>
      <c r="CX203" s="22">
        <f>CX200/DB200</f>
        <v>0.32608695652173914</v>
      </c>
      <c r="CY203" s="22">
        <f>CY200/DB200</f>
        <v>0.20434782608695654</v>
      </c>
      <c r="CZ203" s="22">
        <f>CZ200/DB200</f>
        <v>0.23478260869565218</v>
      </c>
      <c r="DA203" s="22">
        <f>DA200/DB200</f>
        <v>0.23478260869565218</v>
      </c>
      <c r="DB203" s="21"/>
      <c r="DC203" s="22">
        <f>DC200/DG200</f>
        <v>0.26022304832713755</v>
      </c>
      <c r="DD203" s="22">
        <f>DD200/DG200</f>
        <v>0.26022304832713755</v>
      </c>
      <c r="DE203" s="22">
        <f>DE200/DG200</f>
        <v>0.25278810408921931</v>
      </c>
      <c r="DF203" s="22">
        <f>DF200/DG200</f>
        <v>0.22676579925650558</v>
      </c>
      <c r="DG203" s="21"/>
      <c r="DH203" s="22">
        <f>DH200/DL200</f>
        <v>0.26333333333333331</v>
      </c>
      <c r="DI203" s="22">
        <f>DI200/DL200</f>
        <v>0.25333333333333335</v>
      </c>
      <c r="DJ203" s="22">
        <f>DJ200/DL200</f>
        <v>0.25</v>
      </c>
      <c r="DK203" s="22">
        <f>DK200/DL200</f>
        <v>0.23333333333333334</v>
      </c>
      <c r="DL203" s="21"/>
      <c r="DM203" s="22">
        <f>DM200/DQ200</f>
        <v>0.24922118380062305</v>
      </c>
      <c r="DN203" s="22">
        <f>DN200/DQ200</f>
        <v>0.24922118380062305</v>
      </c>
      <c r="DO203" s="22">
        <f>DO200/DQ200</f>
        <v>0.26168224299065418</v>
      </c>
      <c r="DP203" s="22">
        <f>DP200/DQ200</f>
        <v>0.23987538940809969</v>
      </c>
      <c r="DQ203" s="21"/>
      <c r="DR203" s="22">
        <f>DR200/DV200</f>
        <v>0.25949367088607594</v>
      </c>
      <c r="DS203" s="22">
        <f>DS200/DV200</f>
        <v>0.24367088607594936</v>
      </c>
      <c r="DT203" s="22">
        <f>DT200/DV200</f>
        <v>0.24367088607594936</v>
      </c>
      <c r="DU203" s="22">
        <f>DU200/DV200</f>
        <v>0.25316455696202533</v>
      </c>
      <c r="DV203" s="21"/>
      <c r="DW203" s="22">
        <f>DW200/EA200</f>
        <v>0.24746571258199168</v>
      </c>
      <c r="DX203" s="22">
        <f>DX200/EA200</f>
        <v>0.24448419797257009</v>
      </c>
      <c r="DY203" s="22">
        <f>DY200/EA200</f>
        <v>0.24865831842576033</v>
      </c>
      <c r="DZ203" s="22">
        <f>DZ200/EA200</f>
        <v>0.25939177101967803</v>
      </c>
      <c r="EA203" s="21"/>
      <c r="EB203" s="22">
        <f>EB200/EF200</f>
        <v>0.23783783783783785</v>
      </c>
      <c r="EC203" s="22">
        <f>EC200/EF200</f>
        <v>0.24864864864864866</v>
      </c>
      <c r="ED203" s="22">
        <f>ED200/EF200</f>
        <v>0.26486486486486488</v>
      </c>
      <c r="EE203" s="22">
        <f>EE200/EF200</f>
        <v>0.24864864864864866</v>
      </c>
      <c r="EF203" s="21"/>
      <c r="EG203" s="22">
        <f>EG200/EK200</f>
        <v>0.28421052631578947</v>
      </c>
      <c r="EH203" s="22">
        <f>EH200/EK200</f>
        <v>0.27719298245614032</v>
      </c>
      <c r="EI203" s="22">
        <f>EI200/EK200</f>
        <v>0.17543859649122806</v>
      </c>
      <c r="EJ203" s="22">
        <f>EJ200/EK200</f>
        <v>0.26315789473684209</v>
      </c>
      <c r="EK203" s="21"/>
      <c r="EL203" s="22">
        <f>EL200/EP200</f>
        <v>0.31451612903225806</v>
      </c>
      <c r="EM203" s="22">
        <f>EM200/EP200</f>
        <v>0.31451612903225806</v>
      </c>
      <c r="EN203" s="22">
        <f>EN200/EP200</f>
        <v>0.16129032258064516</v>
      </c>
      <c r="EO203" s="22">
        <f>EO200/EP200</f>
        <v>0.20967741935483872</v>
      </c>
      <c r="EP203" s="21"/>
      <c r="EQ203" s="22">
        <f>EQ200/EU200</f>
        <v>0.273184483853052</v>
      </c>
      <c r="ER203" s="22">
        <f t="shared" ref="ER203:ET203" si="742">ER200/$EU200</f>
        <v>0.24088132804232129</v>
      </c>
      <c r="ES203" s="22">
        <f t="shared" si="742"/>
        <v>0.2427938623780897</v>
      </c>
      <c r="ET203" s="22">
        <f t="shared" si="742"/>
        <v>0.2431403257265369</v>
      </c>
      <c r="EU203" s="270"/>
      <c r="EV203" s="243"/>
      <c r="EW203" s="243"/>
      <c r="EX203" s="243"/>
      <c r="EY203" s="243"/>
      <c r="EZ203" s="844"/>
      <c r="FA203" s="243"/>
      <c r="FB203" s="243"/>
      <c r="FC203" s="243"/>
      <c r="FD203" s="243"/>
      <c r="FE203" s="844"/>
      <c r="FF203" s="791"/>
      <c r="FG203" s="618"/>
      <c r="FH203" s="1073"/>
      <c r="FI203" s="1073"/>
      <c r="FJ203" s="1073"/>
      <c r="FK203" s="1073"/>
      <c r="FL203" s="1806"/>
      <c r="FM203" s="22">
        <f t="shared" si="740"/>
        <v>0.273184483853052</v>
      </c>
      <c r="FN203" s="22">
        <f t="shared" si="741"/>
        <v>0.31451612903225806</v>
      </c>
      <c r="FO203" s="2041">
        <v>0.25383674447782317</v>
      </c>
      <c r="FP203" s="1892">
        <f t="shared" si="733"/>
        <v>-413.31645179206066</v>
      </c>
      <c r="FQ203" s="1892">
        <f t="shared" si="733"/>
        <v>193.47739375228824</v>
      </c>
      <c r="FR203" s="587"/>
      <c r="FS203" s="120"/>
      <c r="FT203" s="120"/>
      <c r="FU203" s="120"/>
      <c r="FV203" s="120"/>
      <c r="FW203" s="120"/>
      <c r="FX203" s="120"/>
      <c r="FY203" s="120"/>
      <c r="FZ203" s="120"/>
      <c r="GA203" s="618"/>
      <c r="GB203"/>
      <c r="GC203"/>
      <c r="GD203"/>
      <c r="GE203"/>
      <c r="GF203"/>
      <c r="GG203"/>
      <c r="GH203" s="973"/>
      <c r="GI203" s="973"/>
      <c r="GJ203" s="973"/>
      <c r="GK203" s="973"/>
      <c r="GL203" s="973"/>
      <c r="GM203" s="973"/>
      <c r="GN203" s="973"/>
      <c r="GO203" s="973"/>
      <c r="GP203" s="973"/>
      <c r="GQ203" s="973"/>
      <c r="GR203" s="973"/>
      <c r="GS203" s="973"/>
      <c r="GT203" s="973"/>
      <c r="GU203" s="973"/>
      <c r="GV203" s="973"/>
      <c r="GW203" s="973"/>
      <c r="GX203" s="973"/>
      <c r="GY203" s="973"/>
      <c r="GZ203" s="973"/>
      <c r="HA203" s="973"/>
      <c r="HB203" s="973"/>
      <c r="HC203" s="973"/>
      <c r="HD203" s="973"/>
      <c r="HE203" s="973"/>
      <c r="HF203" s="973"/>
      <c r="HG203" s="973"/>
      <c r="HH203" s="973"/>
      <c r="HI203" s="973"/>
      <c r="HJ203" s="973"/>
      <c r="HK203" s="973"/>
      <c r="HL203" s="973"/>
      <c r="HM203" s="973"/>
      <c r="HN203" s="973"/>
      <c r="HO203" s="973"/>
      <c r="HP203" s="973"/>
      <c r="HQ203" s="973"/>
      <c r="HR203" s="973"/>
      <c r="HS203" s="973"/>
      <c r="HT203" s="973"/>
      <c r="HU203" s="973"/>
      <c r="HV203" s="973"/>
      <c r="HW203" s="973"/>
      <c r="HX203" s="973"/>
      <c r="HY203" s="973"/>
      <c r="HZ203" s="973"/>
      <c r="IA203" s="973"/>
      <c r="IB203" s="973"/>
      <c r="IC203" s="973"/>
      <c r="ID203" s="973"/>
      <c r="IE203" s="973"/>
      <c r="IF203" s="973"/>
      <c r="IG203" s="973"/>
      <c r="IH203" s="973"/>
      <c r="II203" s="973"/>
      <c r="IJ203" s="973"/>
      <c r="IK203" s="973"/>
      <c r="IL203" s="973"/>
      <c r="IM203" s="973"/>
      <c r="IN203" s="973"/>
      <c r="IO203" s="973"/>
      <c r="IP203" s="973"/>
      <c r="IQ203" s="973"/>
      <c r="IR203" s="973"/>
      <c r="IS203" s="973"/>
      <c r="IT203" s="973"/>
      <c r="IU203" s="973"/>
      <c r="IV203" s="973"/>
    </row>
    <row r="204" spans="1:256" s="49" customFormat="1" ht="12.75" x14ac:dyDescent="0.2">
      <c r="A204" s="35" t="str">
        <f>A200&amp;" per Carload"</f>
        <v>Other per Carload</v>
      </c>
      <c r="B204" s="20"/>
      <c r="C204" s="20"/>
      <c r="D204" s="20"/>
      <c r="E204" s="205"/>
      <c r="F204" s="48"/>
      <c r="G204" s="20"/>
      <c r="H204" s="20"/>
      <c r="I204" s="20"/>
      <c r="J204" s="205"/>
      <c r="K204" s="48"/>
      <c r="L204" s="20">
        <f>L200/L$13*1000</f>
        <v>40.395539659162637</v>
      </c>
      <c r="M204" s="20">
        <f>M200/M$13*1000</f>
        <v>39.106145251396647</v>
      </c>
      <c r="N204" s="20">
        <f>N200/N$13*1000</f>
        <v>38.430256201708012</v>
      </c>
      <c r="O204" s="205">
        <f>O200/O$13*1000</f>
        <v>38.453522300958717</v>
      </c>
      <c r="P204" s="48">
        <f>P200/P$13*1000</f>
        <v>39.089134677944045</v>
      </c>
      <c r="Q204" s="20">
        <f t="shared" ref="Q204:CB204" si="743">Q200/Q$13*1000</f>
        <v>32.544684368219855</v>
      </c>
      <c r="R204" s="20">
        <f t="shared" si="743"/>
        <v>36.893203883495147</v>
      </c>
      <c r="S204" s="20">
        <f t="shared" si="743"/>
        <v>37.096612043832323</v>
      </c>
      <c r="T204" s="205">
        <f t="shared" si="743"/>
        <v>29.722523945887225</v>
      </c>
      <c r="U204" s="48">
        <f t="shared" si="743"/>
        <v>34.043198947847635</v>
      </c>
      <c r="V204" s="20">
        <f t="shared" si="743"/>
        <v>35.912739246758591</v>
      </c>
      <c r="W204" s="20">
        <f t="shared" si="743"/>
        <v>31.684323063465843</v>
      </c>
      <c r="X204" s="20">
        <f t="shared" si="743"/>
        <v>33.35677685120065</v>
      </c>
      <c r="Y204" s="205">
        <f t="shared" si="743"/>
        <v>28.493894165535956</v>
      </c>
      <c r="Z204" s="48">
        <f t="shared" si="743"/>
        <v>32.300511445454092</v>
      </c>
      <c r="AA204" s="20">
        <f t="shared" si="743"/>
        <v>36.967665615141954</v>
      </c>
      <c r="AB204" s="20">
        <f t="shared" si="743"/>
        <v>35.425560904714324</v>
      </c>
      <c r="AC204" s="20">
        <f t="shared" si="743"/>
        <v>30.145626565253689</v>
      </c>
      <c r="AD204" s="205">
        <f t="shared" si="743"/>
        <v>32.85457809694794</v>
      </c>
      <c r="AE204" s="48">
        <f t="shared" si="743"/>
        <v>33.802293727074336</v>
      </c>
      <c r="AF204" s="20">
        <f t="shared" si="743"/>
        <v>31.930203273970143</v>
      </c>
      <c r="AG204" s="20">
        <f t="shared" si="743"/>
        <v>33.13145707160669</v>
      </c>
      <c r="AH204" s="20">
        <f t="shared" si="743"/>
        <v>34.254043249136842</v>
      </c>
      <c r="AI204" s="205">
        <f t="shared" si="743"/>
        <v>33.411172983653678</v>
      </c>
      <c r="AJ204" s="48">
        <f t="shared" si="743"/>
        <v>33.178977655891735</v>
      </c>
      <c r="AK204" s="20">
        <f t="shared" si="743"/>
        <v>31.860970311368579</v>
      </c>
      <c r="AL204" s="20">
        <f t="shared" si="743"/>
        <v>34.244175862672975</v>
      </c>
      <c r="AM204" s="20">
        <f t="shared" si="743"/>
        <v>34.551958816857173</v>
      </c>
      <c r="AN204" s="205">
        <f t="shared" si="743"/>
        <v>29.650060334425099</v>
      </c>
      <c r="AO204" s="48">
        <f t="shared" si="743"/>
        <v>32.572646005842437</v>
      </c>
      <c r="AP204" s="20">
        <f t="shared" si="743"/>
        <v>33.405452185201213</v>
      </c>
      <c r="AQ204" s="20">
        <f t="shared" si="743"/>
        <v>28.540522549509063</v>
      </c>
      <c r="AR204" s="20">
        <f t="shared" si="743"/>
        <v>31.92291579388354</v>
      </c>
      <c r="AS204" s="205">
        <f t="shared" si="743"/>
        <v>31.459557910423047</v>
      </c>
      <c r="AT204" s="48">
        <f t="shared" si="743"/>
        <v>31.311072351692683</v>
      </c>
      <c r="AU204" s="20">
        <f t="shared" si="743"/>
        <v>36.387694343367514</v>
      </c>
      <c r="AV204" s="20">
        <f t="shared" si="743"/>
        <v>31.686707832304187</v>
      </c>
      <c r="AW204" s="20">
        <f t="shared" si="743"/>
        <v>33.826638477801268</v>
      </c>
      <c r="AX204" s="205">
        <f t="shared" si="743"/>
        <v>35.569105691056912</v>
      </c>
      <c r="AY204" s="48">
        <f t="shared" si="743"/>
        <v>34.35138342389606</v>
      </c>
      <c r="AZ204" s="20">
        <f t="shared" si="743"/>
        <v>37.110554932251659</v>
      </c>
      <c r="BA204" s="20">
        <f t="shared" si="743"/>
        <v>37.242587994742223</v>
      </c>
      <c r="BB204" s="20">
        <f t="shared" si="743"/>
        <v>31.510766178444296</v>
      </c>
      <c r="BC204" s="205">
        <f t="shared" si="743"/>
        <v>39.556501809128243</v>
      </c>
      <c r="BD204" s="48">
        <f t="shared" si="743"/>
        <v>36.236381998570678</v>
      </c>
      <c r="BE204" s="20">
        <f t="shared" si="743"/>
        <v>36.36363636363636</v>
      </c>
      <c r="BF204" s="20">
        <f t="shared" si="743"/>
        <v>34.741997949652578</v>
      </c>
      <c r="BG204" s="20">
        <f t="shared" si="743"/>
        <v>35.215333102413119</v>
      </c>
      <c r="BH204" s="205">
        <f t="shared" si="743"/>
        <v>37.464319695528069</v>
      </c>
      <c r="BI204" s="48">
        <f t="shared" si="743"/>
        <v>35.927618991982008</v>
      </c>
      <c r="BJ204" s="20">
        <f t="shared" si="743"/>
        <v>35.074987905176584</v>
      </c>
      <c r="BK204" s="20">
        <f t="shared" si="743"/>
        <v>30.232971723279384</v>
      </c>
      <c r="BL204" s="20">
        <f t="shared" si="743"/>
        <v>33.877425315676007</v>
      </c>
      <c r="BM204" s="205">
        <f t="shared" si="743"/>
        <v>30.704616770259626</v>
      </c>
      <c r="BN204" s="48">
        <f t="shared" si="743"/>
        <v>32.452888971270589</v>
      </c>
      <c r="BO204" s="20">
        <f t="shared" si="743"/>
        <v>26.767928286852595</v>
      </c>
      <c r="BP204" s="20">
        <f t="shared" si="743"/>
        <v>33.207107486163707</v>
      </c>
      <c r="BQ204" s="20">
        <f t="shared" si="743"/>
        <v>25.924645696508815</v>
      </c>
      <c r="BR204" s="205">
        <f t="shared" si="743"/>
        <v>28.880866425992782</v>
      </c>
      <c r="BS204" s="48">
        <f t="shared" si="743"/>
        <v>28.717246715371907</v>
      </c>
      <c r="BT204" s="20">
        <f t="shared" si="743"/>
        <v>33.373786407766993</v>
      </c>
      <c r="BU204" s="20">
        <f t="shared" si="743"/>
        <v>29.957368360410182</v>
      </c>
      <c r="BV204" s="20">
        <f t="shared" si="743"/>
        <v>27.295429467448745</v>
      </c>
      <c r="BW204" s="205">
        <f t="shared" si="743"/>
        <v>31.330105383081744</v>
      </c>
      <c r="BX204" s="48">
        <f t="shared" si="743"/>
        <v>30.461143823237922</v>
      </c>
      <c r="BY204" s="20">
        <f t="shared" si="743"/>
        <v>33.579965850882189</v>
      </c>
      <c r="BZ204" s="20">
        <f t="shared" si="743"/>
        <v>31.46331058020478</v>
      </c>
      <c r="CA204" s="20">
        <f t="shared" si="743"/>
        <v>25.72583608967291</v>
      </c>
      <c r="CB204" s="205">
        <f t="shared" si="743"/>
        <v>27.499610854563382</v>
      </c>
      <c r="CC204" s="48">
        <f t="shared" ref="CC204:DS204" si="744">CC200/CC$13*1000</f>
        <v>29.474022668202888</v>
      </c>
      <c r="CD204" s="20">
        <f t="shared" si="744"/>
        <v>31.130643502605313</v>
      </c>
      <c r="CE204" s="20">
        <f t="shared" si="744"/>
        <v>30.802402587401815</v>
      </c>
      <c r="CF204" s="20">
        <f t="shared" si="744"/>
        <v>29.11208151382824</v>
      </c>
      <c r="CG204" s="205">
        <f t="shared" si="744"/>
        <v>30.254134731746671</v>
      </c>
      <c r="CH204" s="48">
        <f t="shared" si="744"/>
        <v>30.308805632711731</v>
      </c>
      <c r="CI204" s="20">
        <f t="shared" si="744"/>
        <v>28.612303290414882</v>
      </c>
      <c r="CJ204" s="20">
        <f t="shared" si="744"/>
        <v>31.115720847532966</v>
      </c>
      <c r="CK204" s="20">
        <f t="shared" si="744"/>
        <v>26.621126123863579</v>
      </c>
      <c r="CL204" s="205">
        <f t="shared" si="744"/>
        <v>33.193299102743637</v>
      </c>
      <c r="CM204" s="48">
        <f t="shared" si="744"/>
        <v>29.870014808439546</v>
      </c>
      <c r="CN204" s="20">
        <f t="shared" si="744"/>
        <v>39.006144803633454</v>
      </c>
      <c r="CO204" s="20">
        <f t="shared" si="744"/>
        <v>36.554600216238477</v>
      </c>
      <c r="CP204" s="20">
        <f t="shared" si="744"/>
        <v>30.380807710439473</v>
      </c>
      <c r="CQ204" s="205">
        <f t="shared" si="744"/>
        <v>36.361691888134324</v>
      </c>
      <c r="CR204" s="48">
        <f t="shared" si="744"/>
        <v>35.559067562228378</v>
      </c>
      <c r="CS204" s="20">
        <f t="shared" si="744"/>
        <v>40.481400437636758</v>
      </c>
      <c r="CT204" s="20">
        <f t="shared" si="744"/>
        <v>39.978958442924778</v>
      </c>
      <c r="CU204" s="20">
        <f t="shared" si="744"/>
        <v>35.878225083100297</v>
      </c>
      <c r="CV204" s="205">
        <f t="shared" si="744"/>
        <v>42.893577556225367</v>
      </c>
      <c r="CW204" s="48">
        <f t="shared" si="744"/>
        <v>39.730593917953605</v>
      </c>
      <c r="CX204" s="20">
        <f t="shared" si="744"/>
        <v>51.525144270403956</v>
      </c>
      <c r="CY204" s="20">
        <f t="shared" si="744"/>
        <v>33.279048360829847</v>
      </c>
      <c r="CZ204" s="20">
        <f t="shared" si="744"/>
        <v>35.47497043752464</v>
      </c>
      <c r="DA204" s="20">
        <f t="shared" si="744"/>
        <v>34.456355283307808</v>
      </c>
      <c r="DB204" s="48">
        <f t="shared" si="744"/>
        <v>38.608094270894533</v>
      </c>
      <c r="DC204" s="20">
        <f t="shared" si="744"/>
        <v>44.222629351190847</v>
      </c>
      <c r="DD204" s="20">
        <f t="shared" si="744"/>
        <v>40.702407256657757</v>
      </c>
      <c r="DE204" s="20">
        <f t="shared" si="744"/>
        <v>38.799497888850851</v>
      </c>
      <c r="DF204" s="20">
        <f t="shared" si="744"/>
        <v>35.697565543071157</v>
      </c>
      <c r="DG204" s="48">
        <f t="shared" si="744"/>
        <v>39.768779290666906</v>
      </c>
      <c r="DH204" s="20">
        <f t="shared" si="744"/>
        <v>46.166432912575964</v>
      </c>
      <c r="DI204" s="20">
        <f t="shared" si="744"/>
        <v>42.531758912082381</v>
      </c>
      <c r="DJ204" s="20">
        <f t="shared" si="744"/>
        <v>41.43875352229405</v>
      </c>
      <c r="DK204" s="20">
        <f t="shared" si="744"/>
        <v>38.74467260751647</v>
      </c>
      <c r="DL204" s="48">
        <f t="shared" si="744"/>
        <v>42.166219236229217</v>
      </c>
      <c r="DM204" s="20">
        <f t="shared" si="744"/>
        <v>46.221400508435408</v>
      </c>
      <c r="DN204" s="20">
        <f t="shared" si="744"/>
        <v>44.461735119213031</v>
      </c>
      <c r="DO204" s="20">
        <f t="shared" si="744"/>
        <v>47.058823529411761</v>
      </c>
      <c r="DP204" s="20">
        <f t="shared" si="744"/>
        <v>42.966352324089058</v>
      </c>
      <c r="DQ204" s="48">
        <f t="shared" si="744"/>
        <v>45.165466006303461</v>
      </c>
      <c r="DR204" s="20">
        <f t="shared" si="744"/>
        <v>45.974433729535768</v>
      </c>
      <c r="DS204" s="20">
        <f t="shared" si="744"/>
        <v>41.888804265041891</v>
      </c>
      <c r="DT204" s="20">
        <f t="shared" ref="DT204:DY204" si="745">DT200/DT$13*1000</f>
        <v>41.462495288352812</v>
      </c>
      <c r="DU204" s="20">
        <f t="shared" si="745"/>
        <v>42.964554242749735</v>
      </c>
      <c r="DV204" s="48">
        <f t="shared" si="745"/>
        <v>43.04649293683336</v>
      </c>
      <c r="DW204" s="20">
        <f t="shared" si="745"/>
        <v>47.089526835356857</v>
      </c>
      <c r="DX204" s="20">
        <f t="shared" si="745"/>
        <v>41.349402450708489</v>
      </c>
      <c r="DY204" s="20">
        <f t="shared" si="745"/>
        <v>41.679160419790108</v>
      </c>
      <c r="DZ204" s="20">
        <f t="shared" ref="DZ204:EF204" si="746">DZ200/DZ$13*1000</f>
        <v>45.119800850534176</v>
      </c>
      <c r="EA204" s="48">
        <f t="shared" si="746"/>
        <v>43.70089512566939</v>
      </c>
      <c r="EB204" s="20">
        <f t="shared" si="746"/>
        <v>48.831918317518451</v>
      </c>
      <c r="EC204" s="20">
        <f t="shared" si="746"/>
        <v>47.493676113778328</v>
      </c>
      <c r="ED204" s="20">
        <f t="shared" si="746"/>
        <v>50.6119919433972</v>
      </c>
      <c r="EE204" s="20">
        <f t="shared" si="746"/>
        <v>51.014749916823774</v>
      </c>
      <c r="EF204" s="48">
        <f t="shared" si="746"/>
        <v>49.472516011712955</v>
      </c>
      <c r="EG204" s="20">
        <f t="shared" ref="EG204:EL204" si="747">EG200/EG$13*1000</f>
        <v>46.09868533378863</v>
      </c>
      <c r="EH204" s="20">
        <f t="shared" si="747"/>
        <v>43.876700916412112</v>
      </c>
      <c r="EI204" s="20">
        <f t="shared" si="747"/>
        <v>26.84996241005263</v>
      </c>
      <c r="EJ204" s="20">
        <f t="shared" si="747"/>
        <v>40.763084950269032</v>
      </c>
      <c r="EK204" s="48">
        <f t="shared" si="747"/>
        <v>39.257820571097973</v>
      </c>
      <c r="EL204" s="20">
        <f t="shared" si="747"/>
        <v>42.239792050254522</v>
      </c>
      <c r="EM204" s="20">
        <f t="shared" ref="EM204:EQ204" si="748">EM200/EM$13*1000</f>
        <v>40.820598702114296</v>
      </c>
      <c r="EN204" s="20">
        <f t="shared" si="748"/>
        <v>20.736132711249351</v>
      </c>
      <c r="EO204" s="20">
        <f t="shared" si="748"/>
        <v>27.011583813827855</v>
      </c>
      <c r="EP204" s="48">
        <f t="shared" si="748"/>
        <v>32.582276817972804</v>
      </c>
      <c r="EQ204" s="20">
        <f t="shared" si="748"/>
        <v>36.231884057971016</v>
      </c>
      <c r="ER204" s="20">
        <f>EM204*(1+ER205)</f>
        <v>30.615449026585722</v>
      </c>
      <c r="ES204" s="20">
        <f>EN204*(1+ES205)</f>
        <v>30.482115085536545</v>
      </c>
      <c r="ET204" s="20">
        <f>EO204*(1+ET205)</f>
        <v>31.063321385902032</v>
      </c>
      <c r="EU204" s="1954">
        <f>EU200/EU$13*1000</f>
        <v>32.051044097908338</v>
      </c>
      <c r="EV204" s="20"/>
      <c r="EW204" s="20"/>
      <c r="EX204" s="20"/>
      <c r="EY204" s="20"/>
      <c r="EZ204" s="747">
        <f>EU204*(1+EZ205)</f>
        <v>32.371554538887423</v>
      </c>
      <c r="FA204" s="20"/>
      <c r="FB204" s="20"/>
      <c r="FC204" s="20"/>
      <c r="FD204" s="20"/>
      <c r="FE204" s="747">
        <f>EZ204*(1+FE205)</f>
        <v>32.695270084276295</v>
      </c>
      <c r="FF204" s="767"/>
      <c r="FG204" s="656"/>
      <c r="FH204" s="1031"/>
      <c r="FI204" s="1031"/>
      <c r="FJ204" s="1031"/>
      <c r="FK204" s="1031"/>
      <c r="FL204" s="1809"/>
      <c r="FM204" s="20">
        <f t="shared" si="740"/>
        <v>36.231884057971016</v>
      </c>
      <c r="FN204" s="20">
        <f t="shared" si="741"/>
        <v>42.239792050254522</v>
      </c>
      <c r="FO204" s="2048">
        <v>42.239792050254522</v>
      </c>
      <c r="FP204" s="16">
        <f>IFERROR(($FM204/FN204)-1,"")</f>
        <v>-0.14223337049424001</v>
      </c>
      <c r="FQ204" s="16">
        <f>IFERROR(($FM204/FO204)-1,"")</f>
        <v>-0.14223337049424001</v>
      </c>
      <c r="FR204" s="537"/>
      <c r="FS204" s="537"/>
      <c r="FT204" s="537"/>
      <c r="FU204" s="537"/>
      <c r="FV204" s="537"/>
      <c r="FW204" s="537"/>
      <c r="FX204" s="537"/>
      <c r="FY204" s="537"/>
      <c r="FZ204" s="537"/>
      <c r="GA204" s="656"/>
      <c r="GB204"/>
      <c r="GC204"/>
      <c r="GD204"/>
      <c r="GE204"/>
      <c r="GF204"/>
      <c r="GG204"/>
      <c r="GH204" s="963"/>
      <c r="GI204" s="963"/>
      <c r="GJ204" s="963"/>
      <c r="GK204" s="963"/>
      <c r="GL204" s="963"/>
      <c r="GM204" s="963"/>
      <c r="GN204" s="963"/>
      <c r="GO204" s="963"/>
      <c r="GP204" s="963"/>
      <c r="GQ204" s="963"/>
      <c r="GR204" s="963"/>
      <c r="GS204" s="963"/>
      <c r="GT204" s="963"/>
      <c r="GU204" s="963"/>
      <c r="GV204" s="963"/>
      <c r="GW204" s="963"/>
      <c r="GX204" s="963"/>
      <c r="GY204" s="963"/>
      <c r="GZ204" s="963"/>
      <c r="HA204" s="963"/>
      <c r="HB204" s="963"/>
      <c r="HC204" s="963"/>
      <c r="HD204" s="963"/>
      <c r="HE204" s="963"/>
      <c r="HF204" s="963"/>
      <c r="HG204" s="963"/>
      <c r="HH204" s="963"/>
      <c r="HI204" s="963"/>
      <c r="HJ204" s="963"/>
      <c r="HK204" s="963"/>
      <c r="HL204" s="963"/>
      <c r="HM204" s="963"/>
      <c r="HN204" s="963"/>
      <c r="HO204" s="963"/>
      <c r="HP204" s="963"/>
      <c r="HQ204" s="963"/>
      <c r="HR204" s="963"/>
      <c r="HS204" s="963"/>
      <c r="HT204" s="963"/>
      <c r="HU204" s="963"/>
      <c r="HV204" s="963"/>
      <c r="HW204" s="963"/>
      <c r="HX204" s="963"/>
      <c r="HY204" s="963"/>
      <c r="HZ204" s="963"/>
      <c r="IA204" s="963"/>
      <c r="IB204" s="963"/>
      <c r="IC204" s="963"/>
      <c r="ID204" s="963"/>
      <c r="IE204" s="963"/>
      <c r="IF204" s="963"/>
      <c r="IG204" s="963"/>
      <c r="IH204" s="963"/>
      <c r="II204" s="963"/>
      <c r="IJ204" s="963"/>
      <c r="IK204" s="963"/>
      <c r="IL204" s="963"/>
      <c r="IM204" s="963"/>
      <c r="IN204" s="963"/>
      <c r="IO204" s="963"/>
      <c r="IP204" s="963"/>
      <c r="IQ204" s="963"/>
      <c r="IR204" s="963"/>
      <c r="IS204" s="963"/>
      <c r="IT204" s="963"/>
      <c r="IU204" s="963"/>
      <c r="IV204" s="963"/>
    </row>
    <row r="205" spans="1:256" s="56" customFormat="1" ht="12.75" x14ac:dyDescent="0.2">
      <c r="A205" s="44" t="s">
        <v>74</v>
      </c>
      <c r="B205" s="22"/>
      <c r="C205" s="22"/>
      <c r="D205" s="22"/>
      <c r="E205" s="197"/>
      <c r="F205" s="21"/>
      <c r="G205" s="22"/>
      <c r="H205" s="22"/>
      <c r="I205" s="22"/>
      <c r="J205" s="197"/>
      <c r="K205" s="21"/>
      <c r="L205" s="22"/>
      <c r="M205" s="22"/>
      <c r="N205" s="22"/>
      <c r="O205" s="197"/>
      <c r="P205" s="21"/>
      <c r="Q205" s="22">
        <f t="shared" ref="Q205:CB205" si="749">Q204/L204-1</f>
        <v>-0.19434955832214085</v>
      </c>
      <c r="R205" s="22">
        <f t="shared" si="749"/>
        <v>-5.6588072122052635E-2</v>
      </c>
      <c r="S205" s="22">
        <f t="shared" si="749"/>
        <v>-3.4702973377950475E-2</v>
      </c>
      <c r="T205" s="197">
        <f t="shared" si="749"/>
        <v>-0.22705327971616818</v>
      </c>
      <c r="U205" s="21">
        <f t="shared" si="749"/>
        <v>-0.12908793637080862</v>
      </c>
      <c r="V205" s="22">
        <f t="shared" si="749"/>
        <v>0.10349016879167117</v>
      </c>
      <c r="W205" s="22">
        <f t="shared" si="749"/>
        <v>-0.14118808538500482</v>
      </c>
      <c r="X205" s="22">
        <f t="shared" si="749"/>
        <v>-0.10081338932549389</v>
      </c>
      <c r="Y205" s="197">
        <f t="shared" si="749"/>
        <v>-4.133665709507417E-2</v>
      </c>
      <c r="Z205" s="21">
        <f t="shared" si="749"/>
        <v>-5.1190474345940484E-2</v>
      </c>
      <c r="AA205" s="22">
        <f t="shared" si="749"/>
        <v>2.93747118852421E-2</v>
      </c>
      <c r="AB205" s="22">
        <f t="shared" si="749"/>
        <v>0.11807851579326867</v>
      </c>
      <c r="AC205" s="22">
        <f t="shared" si="749"/>
        <v>-9.6266803602500284E-2</v>
      </c>
      <c r="AD205" s="197">
        <f t="shared" si="749"/>
        <v>0.15303924083098241</v>
      </c>
      <c r="AE205" s="21">
        <f t="shared" si="749"/>
        <v>4.6494071282936256E-2</v>
      </c>
      <c r="AF205" s="22">
        <f t="shared" si="749"/>
        <v>-0.13626671463692497</v>
      </c>
      <c r="AG205" s="22">
        <f t="shared" si="749"/>
        <v>-6.4758433586364017E-2</v>
      </c>
      <c r="AH205" s="22">
        <f t="shared" si="749"/>
        <v>0.13628566236598227</v>
      </c>
      <c r="AI205" s="197">
        <f t="shared" si="749"/>
        <v>1.6941166770223948E-2</v>
      </c>
      <c r="AJ205" s="21">
        <f t="shared" si="749"/>
        <v>-1.8440052506950133E-2</v>
      </c>
      <c r="AK205" s="22">
        <f t="shared" si="749"/>
        <v>-2.168259375223025E-3</v>
      </c>
      <c r="AL205" s="22">
        <f t="shared" si="749"/>
        <v>3.3584963941108326E-2</v>
      </c>
      <c r="AM205" s="22">
        <f t="shared" si="749"/>
        <v>8.697238032705501E-3</v>
      </c>
      <c r="AN205" s="197">
        <f t="shared" si="749"/>
        <v>-0.11257050601212637</v>
      </c>
      <c r="AO205" s="21">
        <f t="shared" si="749"/>
        <v>-1.8274573024453344E-2</v>
      </c>
      <c r="AP205" s="22">
        <f t="shared" si="749"/>
        <v>4.847566972188333E-2</v>
      </c>
      <c r="AQ205" s="22">
        <f t="shared" si="749"/>
        <v>-0.16655834662328783</v>
      </c>
      <c r="AR205" s="22">
        <f t="shared" si="749"/>
        <v>-7.6089550722981847E-2</v>
      </c>
      <c r="AS205" s="197">
        <f t="shared" si="749"/>
        <v>6.1028461850954008E-2</v>
      </c>
      <c r="AT205" s="21">
        <f t="shared" si="749"/>
        <v>-3.8731076803630526E-2</v>
      </c>
      <c r="AU205" s="22">
        <f t="shared" si="749"/>
        <v>8.9274114346143962E-2</v>
      </c>
      <c r="AV205" s="22">
        <f t="shared" si="749"/>
        <v>0.11023572807181292</v>
      </c>
      <c r="AW205" s="22">
        <f t="shared" si="749"/>
        <v>5.9634987487029001E-2</v>
      </c>
      <c r="AX205" s="197">
        <f t="shared" si="749"/>
        <v>0.13062954642704327</v>
      </c>
      <c r="AY205" s="21">
        <f t="shared" si="749"/>
        <v>9.7100189928149172E-2</v>
      </c>
      <c r="AZ205" s="22">
        <f t="shared" si="749"/>
        <v>1.9865523274516184E-2</v>
      </c>
      <c r="BA205" s="22">
        <f t="shared" si="749"/>
        <v>0.17533787958791636</v>
      </c>
      <c r="BB205" s="22">
        <f t="shared" si="749"/>
        <v>-6.846297484974051E-2</v>
      </c>
      <c r="BC205" s="197">
        <f t="shared" si="749"/>
        <v>0.11210279371949117</v>
      </c>
      <c r="BD205" s="21">
        <f t="shared" si="749"/>
        <v>5.4874022143845957E-2</v>
      </c>
      <c r="BE205" s="22">
        <f t="shared" si="749"/>
        <v>-2.0126849894291809E-2</v>
      </c>
      <c r="BF205" s="22">
        <f t="shared" si="749"/>
        <v>-6.71432942695247E-2</v>
      </c>
      <c r="BG205" s="22">
        <f t="shared" si="749"/>
        <v>0.11756511736306252</v>
      </c>
      <c r="BH205" s="197">
        <f t="shared" si="749"/>
        <v>-5.2890979179492925E-2</v>
      </c>
      <c r="BI205" s="21">
        <f t="shared" si="749"/>
        <v>-8.5208011826580776E-3</v>
      </c>
      <c r="BJ205" s="22">
        <f t="shared" si="749"/>
        <v>-3.5437832607643771E-2</v>
      </c>
      <c r="BK205" s="22">
        <f t="shared" si="749"/>
        <v>-0.12978603685682055</v>
      </c>
      <c r="BL205" s="22">
        <f t="shared" si="749"/>
        <v>-3.7992194560426684E-2</v>
      </c>
      <c r="BM205" s="197">
        <f t="shared" si="749"/>
        <v>-0.18043041966875262</v>
      </c>
      <c r="BN205" s="21">
        <f t="shared" si="749"/>
        <v>-9.6714731401679521E-2</v>
      </c>
      <c r="BO205" s="22">
        <f t="shared" si="749"/>
        <v>-0.23683713422173358</v>
      </c>
      <c r="BP205" s="22">
        <f t="shared" si="749"/>
        <v>9.8373914086462122E-2</v>
      </c>
      <c r="BQ205" s="22">
        <f t="shared" si="749"/>
        <v>-0.23475159475850793</v>
      </c>
      <c r="BR205" s="197">
        <f t="shared" si="749"/>
        <v>-5.9396616408296077E-2</v>
      </c>
      <c r="BS205" s="21">
        <f t="shared" si="749"/>
        <v>-0.1151096982214963</v>
      </c>
      <c r="BT205" s="22">
        <f t="shared" si="749"/>
        <v>0.24678256942876486</v>
      </c>
      <c r="BU205" s="22">
        <f t="shared" si="749"/>
        <v>-9.7862758058875898E-2</v>
      </c>
      <c r="BV205" s="22">
        <f t="shared" si="749"/>
        <v>5.2875699324389513E-2</v>
      </c>
      <c r="BW205" s="197">
        <f t="shared" si="749"/>
        <v>8.4804898889205393E-2</v>
      </c>
      <c r="BX205" s="21">
        <f t="shared" si="749"/>
        <v>6.0726473019871108E-2</v>
      </c>
      <c r="BY205" s="22">
        <f t="shared" si="749"/>
        <v>6.1778858591607921E-3</v>
      </c>
      <c r="BZ205" s="22">
        <f t="shared" si="749"/>
        <v>5.0269509713835925E-2</v>
      </c>
      <c r="CA205" s="22">
        <f t="shared" si="749"/>
        <v>-5.7503890153025705E-2</v>
      </c>
      <c r="CB205" s="197">
        <f t="shared" si="749"/>
        <v>-0.12226242081479965</v>
      </c>
      <c r="CC205" s="21">
        <f t="shared" ref="CC205:DU205" si="750">CC204/BX204-1</f>
        <v>-3.2405912291513794E-2</v>
      </c>
      <c r="CD205" s="22">
        <f t="shared" si="750"/>
        <v>-7.2939989252923221E-2</v>
      </c>
      <c r="CE205" s="22">
        <f t="shared" si="750"/>
        <v>-2.1005672340747794E-2</v>
      </c>
      <c r="CF205" s="22">
        <f t="shared" si="750"/>
        <v>0.13162819713038076</v>
      </c>
      <c r="CG205" s="197">
        <f t="shared" si="750"/>
        <v>0.10016592204708208</v>
      </c>
      <c r="CH205" s="21">
        <f t="shared" si="750"/>
        <v>2.8322668198576872E-2</v>
      </c>
      <c r="CI205" s="22">
        <f t="shared" si="750"/>
        <v>-8.0895861082334264E-2</v>
      </c>
      <c r="CJ205" s="22">
        <f t="shared" si="750"/>
        <v>1.0171877315157785E-2</v>
      </c>
      <c r="CK205" s="22">
        <f t="shared" si="750"/>
        <v>-8.5564317645286048E-2</v>
      </c>
      <c r="CL205" s="197">
        <f t="shared" si="750"/>
        <v>9.714917967601977E-2</v>
      </c>
      <c r="CM205" s="21">
        <f t="shared" si="750"/>
        <v>-1.4477338024782016E-2</v>
      </c>
      <c r="CN205" s="22">
        <f t="shared" si="750"/>
        <v>0.363264760886989</v>
      </c>
      <c r="CO205" s="22">
        <f t="shared" si="750"/>
        <v>0.17479522313996898</v>
      </c>
      <c r="CP205" s="22">
        <f t="shared" si="750"/>
        <v>0.14122924661724423</v>
      </c>
      <c r="CQ205" s="197">
        <f t="shared" si="750"/>
        <v>9.5452783273621611E-2</v>
      </c>
      <c r="CR205" s="21">
        <f t="shared" si="750"/>
        <v>0.19046032585767025</v>
      </c>
      <c r="CS205" s="22">
        <f t="shared" si="750"/>
        <v>3.7821108479961341E-2</v>
      </c>
      <c r="CT205" s="22">
        <f t="shared" si="750"/>
        <v>9.3677901178771839E-2</v>
      </c>
      <c r="CU205" s="22">
        <f t="shared" si="750"/>
        <v>0.18095033631287549</v>
      </c>
      <c r="CV205" s="197">
        <f t="shared" si="750"/>
        <v>0.17963646158672142</v>
      </c>
      <c r="CW205" s="21">
        <f t="shared" si="750"/>
        <v>0.11731259118156157</v>
      </c>
      <c r="CX205" s="22">
        <f t="shared" si="750"/>
        <v>0.27281032062565469</v>
      </c>
      <c r="CY205" s="22">
        <f t="shared" si="750"/>
        <v>-0.16758590876397983</v>
      </c>
      <c r="CZ205" s="22">
        <f t="shared" si="750"/>
        <v>-1.1239537202346273E-2</v>
      </c>
      <c r="DA205" s="22">
        <f t="shared" si="750"/>
        <v>-0.19670129547618076</v>
      </c>
      <c r="DB205" s="21">
        <f t="shared" si="750"/>
        <v>-2.8252777931714546E-2</v>
      </c>
      <c r="DC205" s="22">
        <f t="shared" si="750"/>
        <v>-0.14172720955208806</v>
      </c>
      <c r="DD205" s="22">
        <f t="shared" si="750"/>
        <v>0.22306403762931404</v>
      </c>
      <c r="DE205" s="22">
        <f t="shared" si="750"/>
        <v>9.3714734933495469E-2</v>
      </c>
      <c r="DF205" s="22">
        <f t="shared" si="750"/>
        <v>3.6022679983354067E-2</v>
      </c>
      <c r="DG205" s="21">
        <f>DG204/DB204-1</f>
        <v>3.0063255949086765E-2</v>
      </c>
      <c r="DH205" s="22">
        <f t="shared" si="750"/>
        <v>4.3954952247378554E-2</v>
      </c>
      <c r="DI205" s="22">
        <f t="shared" si="750"/>
        <v>4.4944556814275227E-2</v>
      </c>
      <c r="DJ205" s="22">
        <f t="shared" si="750"/>
        <v>6.8022932693714067E-2</v>
      </c>
      <c r="DK205" s="22">
        <f t="shared" si="750"/>
        <v>8.5358959864330286E-2</v>
      </c>
      <c r="DL205" s="21">
        <f>DL204/DG204-1</f>
        <v>6.0284474110698927E-2</v>
      </c>
      <c r="DM205" s="22">
        <f t="shared" si="750"/>
        <v>1.1906398738568136E-3</v>
      </c>
      <c r="DN205" s="22">
        <f t="shared" si="750"/>
        <v>4.5377295848970434E-2</v>
      </c>
      <c r="DO205" s="22">
        <f t="shared" si="750"/>
        <v>0.1356235294117647</v>
      </c>
      <c r="DP205" s="22">
        <f t="shared" si="750"/>
        <v>0.10896155348473857</v>
      </c>
      <c r="DQ205" s="21">
        <f>DQ204/DL204-1</f>
        <v>7.112913665015741E-2</v>
      </c>
      <c r="DR205" s="22">
        <f t="shared" si="750"/>
        <v>-5.3431262614936914E-3</v>
      </c>
      <c r="DS205" s="22">
        <f t="shared" si="750"/>
        <v>-5.7868431073876625E-2</v>
      </c>
      <c r="DT205" s="22">
        <f t="shared" si="750"/>
        <v>-0.11892197512250269</v>
      </c>
      <c r="DU205" s="22">
        <f t="shared" si="750"/>
        <v>-4.1848591794790835E-5</v>
      </c>
      <c r="DV205" s="21">
        <f t="shared" ref="DV205:EA205" si="751">DV204/DQ204-1</f>
        <v>-4.6915780060242662E-2</v>
      </c>
      <c r="DW205" s="22">
        <f t="shared" si="751"/>
        <v>2.4254634921250018E-2</v>
      </c>
      <c r="DX205" s="22">
        <f t="shared" si="751"/>
        <v>-1.2876992403995535E-2</v>
      </c>
      <c r="DY205" s="22">
        <f t="shared" si="751"/>
        <v>5.2255690336648897E-3</v>
      </c>
      <c r="DZ205" s="22">
        <f t="shared" si="751"/>
        <v>5.0163364796182774E-2</v>
      </c>
      <c r="EA205" s="21">
        <f t="shared" si="751"/>
        <v>1.5202218443121529E-2</v>
      </c>
      <c r="EB205" s="22">
        <f t="shared" ref="EB205:EI205" si="752">EB204/DW204-1</f>
        <v>3.700167742720506E-2</v>
      </c>
      <c r="EC205" s="22">
        <f t="shared" si="752"/>
        <v>0.14859401342968037</v>
      </c>
      <c r="ED205" s="22">
        <f t="shared" si="752"/>
        <v>0.21432369159158027</v>
      </c>
      <c r="EE205" s="22">
        <f t="shared" si="752"/>
        <v>0.13065104355884594</v>
      </c>
      <c r="EF205" s="21">
        <f t="shared" si="752"/>
        <v>0.13207099921972487</v>
      </c>
      <c r="EG205" s="22">
        <f t="shared" si="752"/>
        <v>-5.5972263181585324E-2</v>
      </c>
      <c r="EH205" s="22">
        <f t="shared" si="752"/>
        <v>-7.6156985378457609E-2</v>
      </c>
      <c r="EI205" s="22">
        <f t="shared" si="752"/>
        <v>-0.46949405903484787</v>
      </c>
      <c r="EJ205" s="22">
        <f>EJ204/EE204-1</f>
        <v>-0.20095491957266109</v>
      </c>
      <c r="EK205" s="21">
        <f>EK204/EF204-1</f>
        <v>-0.20647212359679834</v>
      </c>
      <c r="EL205" s="22">
        <f>EL204/EG204-1</f>
        <v>-8.3709399857997302E-2</v>
      </c>
      <c r="EM205" s="22">
        <f t="shared" ref="EM205:EN205" si="753">EM204/EH204-1</f>
        <v>-6.9652051099281187E-2</v>
      </c>
      <c r="EN205" s="22">
        <f t="shared" si="753"/>
        <v>-0.22770347330222929</v>
      </c>
      <c r="EO205" s="22">
        <f>EO204/EJ204-1</f>
        <v>-0.337351825879175</v>
      </c>
      <c r="EP205" s="21">
        <f>EP204/EK204-1</f>
        <v>-0.17004366661250103</v>
      </c>
      <c r="EQ205" s="22">
        <f>EQ204/EL204-1</f>
        <v>-0.14223337049424001</v>
      </c>
      <c r="ER205" s="97">
        <v>-0.25</v>
      </c>
      <c r="ES205" s="97">
        <v>0.47</v>
      </c>
      <c r="ET205" s="97">
        <v>0.15</v>
      </c>
      <c r="EU205" s="270">
        <f>EU204/EP204-1</f>
        <v>-1.6304346164397909E-2</v>
      </c>
      <c r="EV205" s="96"/>
      <c r="EW205" s="96"/>
      <c r="EX205" s="96"/>
      <c r="EY205" s="96"/>
      <c r="EZ205" s="834">
        <v>0.01</v>
      </c>
      <c r="FA205" s="96"/>
      <c r="FB205" s="96"/>
      <c r="FC205" s="96"/>
      <c r="FD205" s="96"/>
      <c r="FE205" s="834">
        <v>0.01</v>
      </c>
      <c r="FF205" s="768"/>
      <c r="FG205" s="655"/>
      <c r="FH205" s="1039"/>
      <c r="FI205" s="1039"/>
      <c r="FJ205" s="1039"/>
      <c r="FK205" s="1039"/>
      <c r="FL205" s="1813"/>
      <c r="FM205" s="22">
        <f t="shared" si="740"/>
        <v>-0.14223337049424001</v>
      </c>
      <c r="FN205" s="22">
        <f t="shared" si="741"/>
        <v>-8.3709399857997302E-2</v>
      </c>
      <c r="FO205" s="97">
        <v>0</v>
      </c>
      <c r="FP205" s="1892">
        <f>IFERROR(($FM205-FN205)*10000,"")</f>
        <v>-585.23970636242711</v>
      </c>
      <c r="FQ205" s="1892">
        <f>IFERROR(($FM205-FO205)*10000,"")</f>
        <v>-1422.3337049424001</v>
      </c>
      <c r="FR205" s="575"/>
      <c r="FS205" s="575"/>
      <c r="FT205" s="575"/>
      <c r="FU205" s="575"/>
      <c r="FV205" s="575"/>
      <c r="FW205" s="575"/>
      <c r="FX205" s="575"/>
      <c r="FY205" s="575"/>
      <c r="FZ205" s="575"/>
      <c r="GA205" s="655"/>
      <c r="GB205"/>
      <c r="GC205"/>
      <c r="GD205"/>
      <c r="GE205"/>
      <c r="GF205"/>
      <c r="GG205"/>
      <c r="GH205" s="964"/>
      <c r="GI205" s="964"/>
      <c r="GJ205" s="964"/>
      <c r="GK205" s="964"/>
      <c r="GL205" s="964"/>
      <c r="GM205" s="964"/>
      <c r="GN205" s="964"/>
      <c r="GO205" s="964"/>
      <c r="GP205" s="964"/>
      <c r="GQ205" s="964"/>
      <c r="GR205" s="964"/>
      <c r="GS205" s="964"/>
      <c r="GT205" s="964"/>
      <c r="GU205" s="964"/>
      <c r="GV205" s="964"/>
      <c r="GW205" s="964"/>
      <c r="GX205" s="964"/>
      <c r="GY205" s="964"/>
      <c r="GZ205" s="964"/>
      <c r="HA205" s="964"/>
      <c r="HB205" s="964"/>
      <c r="HC205" s="964"/>
      <c r="HD205" s="964"/>
      <c r="HE205" s="964"/>
      <c r="HF205" s="964"/>
      <c r="HG205" s="964"/>
      <c r="HH205" s="964"/>
      <c r="HI205" s="964"/>
      <c r="HJ205" s="964"/>
      <c r="HK205" s="964"/>
      <c r="HL205" s="964"/>
      <c r="HM205" s="964"/>
      <c r="HN205" s="964"/>
      <c r="HO205" s="964"/>
      <c r="HP205" s="964"/>
      <c r="HQ205" s="964"/>
      <c r="HR205" s="964"/>
      <c r="HS205" s="964"/>
      <c r="HT205" s="964"/>
      <c r="HU205" s="964"/>
      <c r="HV205" s="964"/>
      <c r="HW205" s="964"/>
      <c r="HX205" s="964"/>
      <c r="HY205" s="964"/>
      <c r="HZ205" s="964"/>
      <c r="IA205" s="964"/>
      <c r="IB205" s="964"/>
      <c r="IC205" s="964"/>
      <c r="ID205" s="964"/>
      <c r="IE205" s="964"/>
      <c r="IF205" s="964"/>
      <c r="IG205" s="964"/>
      <c r="IH205" s="964"/>
      <c r="II205" s="964"/>
      <c r="IJ205" s="964"/>
      <c r="IK205" s="964"/>
      <c r="IL205" s="964"/>
      <c r="IM205" s="964"/>
      <c r="IN205" s="964"/>
      <c r="IO205" s="964"/>
      <c r="IP205" s="964"/>
      <c r="IQ205" s="964"/>
      <c r="IR205" s="964"/>
      <c r="IS205" s="964"/>
      <c r="IT205" s="964"/>
      <c r="IU205" s="964"/>
      <c r="IV205" s="964"/>
    </row>
    <row r="206" spans="1:256" s="458" customFormat="1" ht="12.75" x14ac:dyDescent="0.2">
      <c r="A206" s="460" t="s">
        <v>13</v>
      </c>
      <c r="F206" s="462"/>
      <c r="K206" s="462"/>
      <c r="P206" s="462"/>
      <c r="U206" s="462"/>
      <c r="Z206" s="462"/>
      <c r="AE206" s="462"/>
      <c r="AJ206" s="462"/>
      <c r="AO206" s="462"/>
      <c r="AT206" s="462"/>
      <c r="AY206" s="462"/>
      <c r="BD206" s="462"/>
      <c r="BI206" s="462"/>
      <c r="BN206" s="462"/>
      <c r="BS206" s="462"/>
      <c r="BU206" s="458">
        <f>BU204/BT204-1</f>
        <v>-0.10236830803716401</v>
      </c>
      <c r="BV206" s="458">
        <f>BV204/BU204-1</f>
        <v>-8.8857567892355105E-2</v>
      </c>
      <c r="BW206" s="458">
        <f>BW204/BV204-1</f>
        <v>0.14781507359847801</v>
      </c>
      <c r="BX206" s="462"/>
      <c r="BY206" s="458">
        <f>BY204/BW204-1</f>
        <v>7.1811455476794128E-2</v>
      </c>
      <c r="BZ206" s="458">
        <f>BZ204/BY204-1</f>
        <v>-6.3033276450512044E-2</v>
      </c>
      <c r="CA206" s="458">
        <f>CA204/BZ204-1</f>
        <v>-0.18235444346856544</v>
      </c>
      <c r="CB206" s="458">
        <f>CB204/CA204-1</f>
        <v>6.8949159075242461E-2</v>
      </c>
      <c r="CC206" s="462"/>
      <c r="CD206" s="458">
        <f>CD204/CB204-1</f>
        <v>0.13203941929379637</v>
      </c>
      <c r="CE206" s="458">
        <f>CE204/CD204-1</f>
        <v>-1.0543981051211682E-2</v>
      </c>
      <c r="CF206" s="458">
        <f>CF204/CE204-1</f>
        <v>-5.4876273653566066E-2</v>
      </c>
      <c r="CG206" s="458">
        <f>CG204/CF204-1</f>
        <v>3.9229528035498173E-2</v>
      </c>
      <c r="CH206" s="462"/>
      <c r="CI206" s="458">
        <f>CI204/CG204-1</f>
        <v>-5.4268001907486707E-2</v>
      </c>
      <c r="CJ206" s="458">
        <f>CJ204/CI204-1</f>
        <v>8.7494443621277007E-2</v>
      </c>
      <c r="CK206" s="458">
        <f>CK204/CJ204-1</f>
        <v>-0.14444771328592709</v>
      </c>
      <c r="CL206" s="458">
        <f>CL204/CK204-1</f>
        <v>0.24687809780476044</v>
      </c>
      <c r="CM206" s="462"/>
      <c r="CN206" s="458">
        <f>CN204/CL204-1</f>
        <v>0.17512105931071331</v>
      </c>
      <c r="CO206" s="458">
        <f>CO204/CN204-1</f>
        <v>-6.2850215004242482E-2</v>
      </c>
      <c r="CP206" s="458">
        <f>CP204/CO204-1</f>
        <v>-0.1688923547044141</v>
      </c>
      <c r="CQ206" s="458">
        <f>CQ204/CP204-1</f>
        <v>0.19686389626960765</v>
      </c>
      <c r="CR206" s="462"/>
      <c r="CS206" s="458">
        <f>CS204/CQ204-1</f>
        <v>0.11329804350624273</v>
      </c>
      <c r="CT206" s="458">
        <f>CT204/CS204-1</f>
        <v>-1.2411675220722951E-2</v>
      </c>
      <c r="CU206" s="458">
        <f>CU204/CT204-1</f>
        <v>-0.1025722910135044</v>
      </c>
      <c r="CV206" s="458">
        <f>CV204/CU204-1</f>
        <v>0.1955323167987344</v>
      </c>
      <c r="CW206" s="462"/>
      <c r="CX206" s="458">
        <f>CX204/CV204-1</f>
        <v>0.2012321472337959</v>
      </c>
      <c r="CY206" s="458">
        <f>CY204/CX204-1</f>
        <v>-0.35412022941301435</v>
      </c>
      <c r="CZ206" s="458">
        <f>CZ204/CY204-1</f>
        <v>6.5985122317362865E-2</v>
      </c>
      <c r="DA206" s="458">
        <f>DA204/CZ204-1</f>
        <v>-2.871362940275668E-2</v>
      </c>
      <c r="DB206" s="462"/>
      <c r="DC206" s="458">
        <f>DC204/DA204-1</f>
        <v>0.28343897628122772</v>
      </c>
      <c r="DD206" s="458">
        <f>DD204/DC204-1</f>
        <v>-7.9602279334806125E-2</v>
      </c>
      <c r="DE206" s="458">
        <f>DE204/DD204-1</f>
        <v>-4.6751764725061706E-2</v>
      </c>
      <c r="DF206" s="458">
        <f>DF204/DE204-1</f>
        <v>-7.9947744547257282E-2</v>
      </c>
      <c r="DG206" s="462"/>
      <c r="DH206" s="458">
        <f>DH204/DF204-1</f>
        <v>0.29326558296737404</v>
      </c>
      <c r="DI206" s="458">
        <f>DI204/DH204-1</f>
        <v>-7.8729799362590169E-2</v>
      </c>
      <c r="DJ206" s="458">
        <f>DJ204/DI204-1</f>
        <v>-2.5698570144904842E-2</v>
      </c>
      <c r="DK206" s="458">
        <f>DK204/DJ204-1</f>
        <v>-6.5013560635412526E-2</v>
      </c>
      <c r="DL206" s="462"/>
      <c r="DM206" s="458">
        <f>DM204/DK204-1</f>
        <v>0.19297434712271766</v>
      </c>
      <c r="DN206" s="458">
        <f>DN204/DM204-1</f>
        <v>-3.8070360695826144E-2</v>
      </c>
      <c r="DO206" s="458">
        <f>DO204/DN204-1</f>
        <v>5.8411764705882163E-2</v>
      </c>
      <c r="DP206" s="458">
        <f>DP204/DO204-1</f>
        <v>-8.6965013113107448E-2</v>
      </c>
      <c r="DQ206" s="462"/>
      <c r="DR206" s="458">
        <f>DR204/DP204-1</f>
        <v>7.0010164762351224E-2</v>
      </c>
      <c r="DS206" s="458">
        <f>DS204/DR204-1</f>
        <v>-8.886742332769848E-2</v>
      </c>
      <c r="DT206" s="458">
        <f>DT204/DS204-1</f>
        <v>-1.0177157934413872E-2</v>
      </c>
      <c r="DU206" s="458">
        <f>DU204/DT204-1</f>
        <v>3.6226930963773052E-2</v>
      </c>
      <c r="DV206" s="462"/>
      <c r="DW206" s="458">
        <f>DW204/DU204-1</f>
        <v>9.6008737092930785E-2</v>
      </c>
      <c r="DX206" s="458">
        <f>DX204/DW204-1</f>
        <v>-0.12189811132989414</v>
      </c>
      <c r="DY206" s="458">
        <f>DY204/DX204-1</f>
        <v>7.9749149815335763E-3</v>
      </c>
      <c r="DZ206" s="458">
        <f>DZ204/DY204-1</f>
        <v>8.2550617529003389E-2</v>
      </c>
      <c r="EA206" s="462"/>
      <c r="EB206" s="458">
        <f>EB204/DZ204-1</f>
        <v>8.2272470113092799E-2</v>
      </c>
      <c r="EC206" s="458">
        <f>EC204/EB204-1</f>
        <v>-2.7405071310909968E-2</v>
      </c>
      <c r="ED206" s="458">
        <f>ED204/EC204-1</f>
        <v>6.5657495582116532E-2</v>
      </c>
      <c r="EE206" s="458">
        <f>EE204/ED204-1</f>
        <v>7.957757795366005E-3</v>
      </c>
      <c r="EF206" s="462"/>
      <c r="EG206" s="458">
        <f>EG204/EE204-1</f>
        <v>-9.6365552924408515E-2</v>
      </c>
      <c r="EH206" s="458">
        <f>EH204/EG204-1</f>
        <v>-4.8200602713238005E-2</v>
      </c>
      <c r="EI206" s="458">
        <f>EI204/EH204-1</f>
        <v>-0.38805876811012974</v>
      </c>
      <c r="EJ206" s="458">
        <f>EJ204/EI204-1</f>
        <v>0.51818033588781964</v>
      </c>
      <c r="EK206" s="462"/>
      <c r="EL206" s="458">
        <f>EL204/EJ204-1</f>
        <v>3.6226578576844082E-2</v>
      </c>
      <c r="EM206" s="458">
        <f>EM204/EL204-1</f>
        <v>-3.3598492777894062E-2</v>
      </c>
      <c r="EN206" s="458">
        <f>EN204/EM204-1</f>
        <v>-0.49201791814544538</v>
      </c>
      <c r="EO206" s="458">
        <f>EO204/EN204-1</f>
        <v>0.30263362942184835</v>
      </c>
      <c r="EP206" s="462"/>
      <c r="EQ206" s="458">
        <f>EQ204/EO204-1</f>
        <v>0.34134615384615374</v>
      </c>
      <c r="ER206" s="458">
        <f>ER204/EQ204-1</f>
        <v>-0.15501360686623411</v>
      </c>
      <c r="ES206" s="458">
        <f>ES204/ER204-1</f>
        <v>-4.3551195650729513E-3</v>
      </c>
      <c r="ET206" s="458">
        <f>ET204/ES204-1</f>
        <v>1.906712505790864E-2</v>
      </c>
      <c r="EU206" s="1932"/>
      <c r="EZ206" s="740"/>
      <c r="FE206" s="740"/>
      <c r="FF206" s="740"/>
      <c r="FG206" s="656"/>
      <c r="FH206" s="1088">
        <f>AVERAGE(CI206,CN206,CS206,CX206,DC206,DH206,DM206,DR206,DW206,EB206,EG206,EL206,EQ206)</f>
        <v>0.13342774661396528</v>
      </c>
      <c r="FI206" s="1088">
        <f>AVERAGE(CJ206,CO206,CT206,CY206,DD206,DI206,DN206,DS206,DX206,EC206,EH206,EM206)</f>
        <v>-7.1521651405796652E-2</v>
      </c>
      <c r="FJ206" s="1088">
        <f>AVERAGE(CK206,CP206,CU206,CZ206,DE206,DJ206,DO206,DT206,DY206,ED206,EI206,EN206)</f>
        <v>-9.8382270039742162E-2</v>
      </c>
      <c r="FK206" s="1088">
        <f>AVERAGE(CL206,CQ206,CV206,DA206,DF206,DK206,DP206,DU206,DZ206,EE206,EJ206,EO206)</f>
        <v>0.11051530289769824</v>
      </c>
      <c r="FL206" s="1795"/>
      <c r="FM206" s="458">
        <f t="shared" si="740"/>
        <v>0.34134615384615374</v>
      </c>
      <c r="FN206" s="458">
        <f t="shared" si="741"/>
        <v>3.6226578576844082E-2</v>
      </c>
      <c r="FO206" s="2040">
        <v>0.56376583992201867</v>
      </c>
      <c r="FP206" s="1888">
        <f>IFERROR(($FM206-FN206)*10000,"")</f>
        <v>3051.1957526930964</v>
      </c>
      <c r="FQ206" s="1888">
        <f>IFERROR(($FM206-FO206)*10000,"")</f>
        <v>-2224.1968607586491</v>
      </c>
      <c r="FR206" s="566"/>
      <c r="FS206" s="566"/>
      <c r="FT206" s="566"/>
      <c r="FU206" s="566"/>
      <c r="FV206" s="566"/>
      <c r="FW206" s="566"/>
      <c r="FX206" s="566"/>
      <c r="FY206" s="566"/>
      <c r="FZ206" s="566"/>
      <c r="GA206" s="656"/>
      <c r="GB206"/>
      <c r="GC206"/>
      <c r="GD206"/>
      <c r="GE206"/>
      <c r="GF206"/>
      <c r="GG206"/>
      <c r="GH206" s="913"/>
      <c r="GI206" s="913"/>
      <c r="GJ206" s="913"/>
      <c r="GK206" s="913"/>
      <c r="GL206" s="913"/>
      <c r="GM206" s="913"/>
      <c r="GN206" s="913"/>
      <c r="GO206" s="913"/>
      <c r="GP206" s="913"/>
      <c r="GQ206" s="913"/>
      <c r="GR206" s="913"/>
      <c r="GS206" s="913"/>
      <c r="GT206" s="913"/>
      <c r="GU206" s="913"/>
      <c r="GV206" s="913"/>
      <c r="GW206" s="913"/>
      <c r="GX206" s="913"/>
      <c r="GY206" s="913"/>
      <c r="GZ206" s="913"/>
      <c r="HA206" s="913"/>
      <c r="HB206" s="913"/>
      <c r="HC206" s="913"/>
      <c r="HD206" s="913"/>
      <c r="HE206" s="913"/>
      <c r="HF206" s="913"/>
      <c r="HG206" s="913"/>
      <c r="HH206" s="913"/>
      <c r="HI206" s="913"/>
      <c r="HJ206" s="913"/>
      <c r="HK206" s="913"/>
      <c r="HL206" s="913"/>
      <c r="HM206" s="913"/>
      <c r="HN206" s="913"/>
      <c r="HO206" s="913"/>
      <c r="HP206" s="913"/>
      <c r="HQ206" s="913"/>
      <c r="HR206" s="913"/>
      <c r="HS206" s="913"/>
      <c r="HT206" s="913"/>
      <c r="HU206" s="913"/>
      <c r="HV206" s="913"/>
      <c r="HW206" s="913"/>
      <c r="HX206" s="913"/>
      <c r="HY206" s="913"/>
      <c r="HZ206" s="913"/>
      <c r="IA206" s="913"/>
      <c r="IB206" s="913"/>
      <c r="IC206" s="913"/>
      <c r="ID206" s="913"/>
      <c r="IE206" s="913"/>
      <c r="IF206" s="913"/>
      <c r="IG206" s="913"/>
      <c r="IH206" s="913"/>
      <c r="II206" s="913"/>
      <c r="IJ206" s="913"/>
      <c r="IK206" s="913"/>
      <c r="IL206" s="913"/>
      <c r="IM206" s="913"/>
      <c r="IN206" s="913"/>
      <c r="IO206" s="913"/>
      <c r="IP206" s="913"/>
      <c r="IQ206" s="913"/>
      <c r="IR206" s="913"/>
      <c r="IS206" s="913"/>
      <c r="IT206" s="913"/>
      <c r="IU206" s="913"/>
      <c r="IV206" s="913"/>
    </row>
    <row r="207" spans="1:256" s="541" customFormat="1" ht="12.75" x14ac:dyDescent="0.2">
      <c r="A207" s="121" t="s">
        <v>538</v>
      </c>
      <c r="B207" s="122">
        <v>75.8</v>
      </c>
      <c r="C207" s="122">
        <f>148.5-75.8</f>
        <v>72.7</v>
      </c>
      <c r="D207" s="122">
        <f>222.8-148.5</f>
        <v>74.300000000000011</v>
      </c>
      <c r="E207" s="533">
        <f>299.6-222.8</f>
        <v>76.800000000000011</v>
      </c>
      <c r="F207" s="534">
        <f>SUM(B207:E207)</f>
        <v>299.60000000000002</v>
      </c>
      <c r="G207" s="122">
        <v>78.7</v>
      </c>
      <c r="H207" s="122">
        <f>158.1-78.7</f>
        <v>79.399999999999991</v>
      </c>
      <c r="I207" s="122">
        <f>237.8-158.1</f>
        <v>79.700000000000017</v>
      </c>
      <c r="J207" s="533">
        <f>318.6-237.8</f>
        <v>80.800000000000011</v>
      </c>
      <c r="K207" s="534">
        <f>SUM(G207:J207)</f>
        <v>318.60000000000002</v>
      </c>
      <c r="L207" s="122">
        <v>80.400000000000006</v>
      </c>
      <c r="M207" s="122">
        <f>161.8-80.4</f>
        <v>81.400000000000006</v>
      </c>
      <c r="N207" s="122">
        <f>242.6-161.8</f>
        <v>80.799999999999983</v>
      </c>
      <c r="O207" s="533">
        <f>324.8-242.6</f>
        <v>82.200000000000017</v>
      </c>
      <c r="P207" s="534">
        <f>SUM(L207:O207)</f>
        <v>324.8</v>
      </c>
      <c r="Q207" s="122">
        <v>83.9</v>
      </c>
      <c r="R207" s="122">
        <v>83.9</v>
      </c>
      <c r="S207" s="122">
        <f>252.7-167.7</f>
        <v>85</v>
      </c>
      <c r="T207" s="533">
        <f>339.7-252.7</f>
        <v>87</v>
      </c>
      <c r="U207" s="534">
        <f>SUM(Q207:T207)</f>
        <v>339.8</v>
      </c>
      <c r="V207" s="122">
        <v>88.7</v>
      </c>
      <c r="W207" s="122">
        <v>90</v>
      </c>
      <c r="X207" s="122">
        <v>90.5</v>
      </c>
      <c r="Y207" s="533">
        <v>92.7</v>
      </c>
      <c r="Z207" s="534">
        <f>SUM(V207:Y207)</f>
        <v>361.9</v>
      </c>
      <c r="AA207" s="122">
        <v>93.3</v>
      </c>
      <c r="AB207" s="122">
        <v>95</v>
      </c>
      <c r="AC207" s="122">
        <v>95.1</v>
      </c>
      <c r="AD207" s="533">
        <v>90.9</v>
      </c>
      <c r="AE207" s="534">
        <f>SUM(AA207:AD207)</f>
        <v>374.29999999999995</v>
      </c>
      <c r="AF207" s="122">
        <v>94.4</v>
      </c>
      <c r="AG207" s="122">
        <v>96.7</v>
      </c>
      <c r="AH207" s="122">
        <v>98.3</v>
      </c>
      <c r="AI207" s="533">
        <v>99.6</v>
      </c>
      <c r="AJ207" s="534">
        <f>SUM(AF207:AI207)</f>
        <v>389</v>
      </c>
      <c r="AK207" s="122">
        <v>100.3</v>
      </c>
      <c r="AL207" s="122">
        <v>101.6</v>
      </c>
      <c r="AM207" s="122">
        <v>102.2</v>
      </c>
      <c r="AN207" s="533">
        <v>103.8</v>
      </c>
      <c r="AO207" s="534">
        <f>SUM(AK207:AN207)</f>
        <v>407.9</v>
      </c>
      <c r="AP207" s="122">
        <v>102.9</v>
      </c>
      <c r="AQ207" s="122">
        <v>104.4</v>
      </c>
      <c r="AR207" s="122">
        <v>106.3</v>
      </c>
      <c r="AS207" s="533">
        <v>107</v>
      </c>
      <c r="AT207" s="534">
        <f>SUM(AP207:AS207)</f>
        <v>420.6</v>
      </c>
      <c r="AU207" s="122">
        <v>107</v>
      </c>
      <c r="AV207" s="122">
        <v>109</v>
      </c>
      <c r="AW207" s="122">
        <v>112</v>
      </c>
      <c r="AX207" s="533">
        <v>109</v>
      </c>
      <c r="AY207" s="534">
        <f>SUM(AU207:AX207)</f>
        <v>437</v>
      </c>
      <c r="AZ207" s="122">
        <v>114</v>
      </c>
      <c r="BA207" s="122">
        <v>117</v>
      </c>
      <c r="BB207" s="122">
        <v>121</v>
      </c>
      <c r="BC207" s="533">
        <v>123</v>
      </c>
      <c r="BD207" s="534">
        <f>SUM(AZ207:BC207)</f>
        <v>475</v>
      </c>
      <c r="BE207" s="122">
        <v>125</v>
      </c>
      <c r="BF207" s="122">
        <v>126</v>
      </c>
      <c r="BG207" s="122">
        <v>126</v>
      </c>
      <c r="BH207" s="533">
        <v>126</v>
      </c>
      <c r="BI207" s="534">
        <f>SUM(BE207:BH207)</f>
        <v>503</v>
      </c>
      <c r="BJ207" s="122">
        <v>127</v>
      </c>
      <c r="BK207" s="122">
        <v>128</v>
      </c>
      <c r="BL207" s="122">
        <v>129</v>
      </c>
      <c r="BM207" s="533">
        <v>130</v>
      </c>
      <c r="BN207" s="534">
        <f>SUM(BJ207:BM207)</f>
        <v>514</v>
      </c>
      <c r="BO207" s="122">
        <v>127</v>
      </c>
      <c r="BP207" s="122">
        <v>129</v>
      </c>
      <c r="BQ207" s="122">
        <v>129</v>
      </c>
      <c r="BR207" s="533">
        <v>130</v>
      </c>
      <c r="BS207" s="534">
        <f>SUM(BO207:BR207)</f>
        <v>515</v>
      </c>
      <c r="BT207" s="122">
        <v>127</v>
      </c>
      <c r="BU207" s="122">
        <v>129</v>
      </c>
      <c r="BV207" s="122">
        <v>128</v>
      </c>
      <c r="BW207" s="533">
        <v>129</v>
      </c>
      <c r="BX207" s="534">
        <f>SUM(BT207:BW207)</f>
        <v>513</v>
      </c>
      <c r="BY207" s="122">
        <v>129</v>
      </c>
      <c r="BZ207" s="122">
        <v>130</v>
      </c>
      <c r="CA207" s="122">
        <v>150</v>
      </c>
      <c r="CB207" s="533">
        <v>189</v>
      </c>
      <c r="CC207" s="534">
        <f>SUM(BY207:CB207)</f>
        <v>598</v>
      </c>
      <c r="CD207" s="122">
        <v>193</v>
      </c>
      <c r="CE207" s="122">
        <v>194</v>
      </c>
      <c r="CF207" s="122">
        <v>195</v>
      </c>
      <c r="CG207" s="533">
        <v>192</v>
      </c>
      <c r="CH207" s="534">
        <f>SUM(CD207:CG207)</f>
        <v>774</v>
      </c>
      <c r="CI207" s="122">
        <v>183</v>
      </c>
      <c r="CJ207" s="122">
        <v>182</v>
      </c>
      <c r="CK207" s="122">
        <v>186</v>
      </c>
      <c r="CL207" s="533">
        <v>187</v>
      </c>
      <c r="CM207" s="534">
        <f>SUM(CI207:CL207)</f>
        <v>738</v>
      </c>
      <c r="CN207" s="122">
        <v>192</v>
      </c>
      <c r="CO207" s="122">
        <v>192</v>
      </c>
      <c r="CP207" s="122">
        <v>194</v>
      </c>
      <c r="CQ207" s="533">
        <v>197</v>
      </c>
      <c r="CR207" s="534">
        <f>SUM(CN207:CQ207)</f>
        <v>775</v>
      </c>
      <c r="CS207" s="122">
        <v>198</v>
      </c>
      <c r="CT207" s="122">
        <v>199</v>
      </c>
      <c r="CU207" s="122">
        <v>201</v>
      </c>
      <c r="CV207" s="533">
        <v>206</v>
      </c>
      <c r="CW207" s="534">
        <f>SUM(CS207:CV207)</f>
        <v>804</v>
      </c>
      <c r="CX207" s="122">
        <v>207</v>
      </c>
      <c r="CY207" s="122">
        <v>207</v>
      </c>
      <c r="CZ207" s="122">
        <v>210</v>
      </c>
      <c r="DA207" s="122">
        <v>213</v>
      </c>
      <c r="DB207" s="534">
        <f>SUM(CX207:DA207)</f>
        <v>837</v>
      </c>
      <c r="DC207" s="122">
        <v>204</v>
      </c>
      <c r="DD207" s="122">
        <v>204</v>
      </c>
      <c r="DE207" s="122">
        <v>204</v>
      </c>
      <c r="DF207" s="122">
        <v>207</v>
      </c>
      <c r="DG207" s="539">
        <f>SUM(DC207:DF207)</f>
        <v>819</v>
      </c>
      <c r="DH207" s="122">
        <v>211</v>
      </c>
      <c r="DI207" s="122">
        <v>213</v>
      </c>
      <c r="DJ207" s="122">
        <v>217</v>
      </c>
      <c r="DK207" s="122">
        <v>221</v>
      </c>
      <c r="DL207" s="539">
        <f>SUM(DH207:DK207)</f>
        <v>862</v>
      </c>
      <c r="DM207" s="122">
        <v>224</v>
      </c>
      <c r="DN207" s="122">
        <v>229</v>
      </c>
      <c r="DO207" s="122">
        <v>230</v>
      </c>
      <c r="DP207" s="122">
        <v>233</v>
      </c>
      <c r="DQ207" s="539">
        <f>SUM(DM207:DP207)</f>
        <v>916</v>
      </c>
      <c r="DR207" s="122">
        <v>227</v>
      </c>
      <c r="DS207" s="122">
        <v>226</v>
      </c>
      <c r="DT207" s="540">
        <v>230</v>
      </c>
      <c r="DU207" s="122">
        <v>233</v>
      </c>
      <c r="DV207" s="539">
        <f>SUM(DR207:DU207)</f>
        <v>916</v>
      </c>
      <c r="DW207" s="122">
        <v>237</v>
      </c>
      <c r="DX207" s="122">
        <v>238</v>
      </c>
      <c r="DY207" s="540">
        <v>236</v>
      </c>
      <c r="DZ207" s="122">
        <v>240</v>
      </c>
      <c r="EA207" s="539">
        <f>SUM(DW207:DZ207)</f>
        <v>951</v>
      </c>
      <c r="EB207" s="122">
        <v>245</v>
      </c>
      <c r="EC207" s="122">
        <v>247</v>
      </c>
      <c r="ED207" s="540">
        <v>275</v>
      </c>
      <c r="EE207" s="122">
        <v>287</v>
      </c>
      <c r="EF207" s="539">
        <f>SUM(EB207:EE207)</f>
        <v>1054</v>
      </c>
      <c r="EG207" s="122">
        <v>252</v>
      </c>
      <c r="EH207" s="122">
        <v>257</v>
      </c>
      <c r="EI207" s="540">
        <v>258</v>
      </c>
      <c r="EJ207" s="122">
        <v>259</v>
      </c>
      <c r="EK207" s="539">
        <f>SUM(EG207:EJ207)</f>
        <v>1026</v>
      </c>
      <c r="EL207" s="122">
        <v>259</v>
      </c>
      <c r="EM207" s="122">
        <v>264</v>
      </c>
      <c r="EN207" s="540">
        <v>265</v>
      </c>
      <c r="EO207" s="122">
        <v>267</v>
      </c>
      <c r="EP207" s="539">
        <f>SUM(EL207:EO207)</f>
        <v>1055</v>
      </c>
      <c r="EQ207" s="122">
        <v>272</v>
      </c>
      <c r="ER207" s="671">
        <f>+EQ207+2</f>
        <v>274</v>
      </c>
      <c r="ES207" s="671">
        <f>+ER207+2</f>
        <v>276</v>
      </c>
      <c r="ET207" s="671">
        <f>+ES207+2</f>
        <v>278</v>
      </c>
      <c r="EU207" s="1966">
        <f>SUM(EQ207:ET207)</f>
        <v>1100</v>
      </c>
      <c r="EV207" s="540"/>
      <c r="EW207" s="540"/>
      <c r="EX207" s="540"/>
      <c r="EY207" s="540"/>
      <c r="EZ207" s="855">
        <f>EU207*(1+EZ208)</f>
        <v>1138.5</v>
      </c>
      <c r="FA207" s="540"/>
      <c r="FB207" s="540"/>
      <c r="FC207" s="540"/>
      <c r="FD207" s="540"/>
      <c r="FE207" s="855">
        <f>EZ207*(1+FE208)</f>
        <v>1178.3474999999999</v>
      </c>
      <c r="FF207" s="780"/>
      <c r="FG207" s="656"/>
      <c r="FH207" s="1034"/>
      <c r="FI207" s="1034"/>
      <c r="FJ207" s="1034"/>
      <c r="FK207" s="1034"/>
      <c r="FL207" s="1822"/>
      <c r="FM207" s="122">
        <f t="shared" si="740"/>
        <v>272</v>
      </c>
      <c r="FN207" s="122">
        <f t="shared" si="741"/>
        <v>259</v>
      </c>
      <c r="FO207" s="671">
        <v>269</v>
      </c>
      <c r="FP207" s="571">
        <f>IFERROR(($FM207/FN207)-1,"")</f>
        <v>5.0193050193050093E-2</v>
      </c>
      <c r="FQ207" s="571">
        <f>IFERROR(($FM207/FO207)-1,"")</f>
        <v>1.1152416356877248E-2</v>
      </c>
      <c r="FR207" s="86" t="s">
        <v>823</v>
      </c>
      <c r="FS207" s="540"/>
      <c r="FT207" s="540"/>
      <c r="FU207" s="540"/>
      <c r="FV207" s="540"/>
      <c r="FW207" s="540"/>
      <c r="FX207" s="540"/>
      <c r="FY207" s="540"/>
      <c r="FZ207" s="540"/>
      <c r="GA207" s="656"/>
      <c r="GB207"/>
      <c r="GC207"/>
      <c r="GD207"/>
      <c r="GE207"/>
      <c r="GF207"/>
      <c r="GG207"/>
      <c r="GH207" s="972"/>
      <c r="GI207" s="972"/>
      <c r="GJ207" s="972"/>
      <c r="GK207" s="972"/>
      <c r="GL207" s="972"/>
      <c r="GM207" s="972"/>
      <c r="GN207" s="972"/>
      <c r="GO207" s="972"/>
      <c r="GP207" s="972"/>
      <c r="GQ207" s="972"/>
      <c r="GR207" s="972"/>
      <c r="GS207" s="972"/>
      <c r="GT207" s="972"/>
      <c r="GU207" s="972"/>
      <c r="GV207" s="972"/>
      <c r="GW207" s="972"/>
      <c r="GX207" s="972"/>
      <c r="GY207" s="972"/>
      <c r="GZ207" s="972"/>
      <c r="HA207" s="972"/>
      <c r="HB207" s="972"/>
      <c r="HC207" s="972"/>
      <c r="HD207" s="972"/>
      <c r="HE207" s="972"/>
      <c r="HF207" s="972"/>
      <c r="HG207" s="972"/>
      <c r="HH207" s="972"/>
      <c r="HI207" s="972"/>
      <c r="HJ207" s="972"/>
      <c r="HK207" s="972"/>
      <c r="HL207" s="972"/>
      <c r="HM207" s="972"/>
      <c r="HN207" s="972"/>
      <c r="HO207" s="972"/>
      <c r="HP207" s="972"/>
      <c r="HQ207" s="972"/>
      <c r="HR207" s="972"/>
      <c r="HS207" s="972"/>
      <c r="HT207" s="972"/>
      <c r="HU207" s="972"/>
      <c r="HV207" s="972"/>
      <c r="HW207" s="972"/>
      <c r="HX207" s="972"/>
      <c r="HY207" s="972"/>
      <c r="HZ207" s="972"/>
      <c r="IA207" s="972"/>
      <c r="IB207" s="972"/>
      <c r="IC207" s="972"/>
      <c r="ID207" s="972"/>
      <c r="IE207" s="972"/>
      <c r="IF207" s="972"/>
      <c r="IG207" s="972"/>
      <c r="IH207" s="972"/>
      <c r="II207" s="972"/>
      <c r="IJ207" s="972"/>
      <c r="IK207" s="972"/>
      <c r="IL207" s="972"/>
      <c r="IM207" s="972"/>
      <c r="IN207" s="972"/>
      <c r="IO207" s="972"/>
      <c r="IP207" s="972"/>
      <c r="IQ207" s="972"/>
      <c r="IR207" s="972"/>
      <c r="IS207" s="972"/>
      <c r="IT207" s="972"/>
      <c r="IU207" s="972"/>
      <c r="IV207" s="972"/>
    </row>
    <row r="208" spans="1:256" s="99" customFormat="1" ht="12.75" x14ac:dyDescent="0.2">
      <c r="A208" s="44" t="s">
        <v>74</v>
      </c>
      <c r="B208" s="22"/>
      <c r="C208" s="22"/>
      <c r="D208" s="22"/>
      <c r="E208" s="197"/>
      <c r="F208" s="21"/>
      <c r="G208" s="22">
        <f t="shared" ref="G208:BR208" si="754">G207/B207-1</f>
        <v>3.8258575197889222E-2</v>
      </c>
      <c r="H208" s="22">
        <f t="shared" si="754"/>
        <v>9.2159559834937843E-2</v>
      </c>
      <c r="I208" s="22">
        <f t="shared" si="754"/>
        <v>7.2678331090175075E-2</v>
      </c>
      <c r="J208" s="197">
        <f t="shared" si="754"/>
        <v>5.2083333333333259E-2</v>
      </c>
      <c r="K208" s="21">
        <f t="shared" si="754"/>
        <v>6.3417890520694353E-2</v>
      </c>
      <c r="L208" s="22">
        <f t="shared" si="754"/>
        <v>2.1601016518424387E-2</v>
      </c>
      <c r="M208" s="22">
        <f t="shared" si="754"/>
        <v>2.518891687657443E-2</v>
      </c>
      <c r="N208" s="22">
        <f t="shared" si="754"/>
        <v>1.3801756587201508E-2</v>
      </c>
      <c r="O208" s="197">
        <f t="shared" si="754"/>
        <v>1.7326732673267342E-2</v>
      </c>
      <c r="P208" s="21">
        <f t="shared" si="754"/>
        <v>1.9460138104205882E-2</v>
      </c>
      <c r="Q208" s="22">
        <f t="shared" si="754"/>
        <v>4.3532338308457819E-2</v>
      </c>
      <c r="R208" s="22">
        <f t="shared" si="754"/>
        <v>3.0712530712530661E-2</v>
      </c>
      <c r="S208" s="22">
        <f t="shared" si="754"/>
        <v>5.1980198019802248E-2</v>
      </c>
      <c r="T208" s="197">
        <f t="shared" si="754"/>
        <v>5.8394160583941312E-2</v>
      </c>
      <c r="U208" s="21">
        <f t="shared" si="754"/>
        <v>4.6182266009852313E-2</v>
      </c>
      <c r="V208" s="22">
        <f t="shared" si="754"/>
        <v>5.7210965435041672E-2</v>
      </c>
      <c r="W208" s="22">
        <f t="shared" si="754"/>
        <v>7.2705601907032014E-2</v>
      </c>
      <c r="X208" s="22">
        <f t="shared" si="754"/>
        <v>6.4705882352941169E-2</v>
      </c>
      <c r="Y208" s="197">
        <f t="shared" si="754"/>
        <v>6.5517241379310365E-2</v>
      </c>
      <c r="Z208" s="21">
        <f t="shared" si="754"/>
        <v>6.5038257798704979E-2</v>
      </c>
      <c r="AA208" s="22">
        <f t="shared" si="754"/>
        <v>5.1860202931228727E-2</v>
      </c>
      <c r="AB208" s="22">
        <f t="shared" si="754"/>
        <v>5.555555555555558E-2</v>
      </c>
      <c r="AC208" s="22">
        <f t="shared" si="754"/>
        <v>5.0828729281767959E-2</v>
      </c>
      <c r="AD208" s="197">
        <f t="shared" si="754"/>
        <v>-1.9417475728155331E-2</v>
      </c>
      <c r="AE208" s="21">
        <f t="shared" si="754"/>
        <v>3.4263608731693873E-2</v>
      </c>
      <c r="AF208" s="22">
        <f t="shared" si="754"/>
        <v>1.1789924973204746E-2</v>
      </c>
      <c r="AG208" s="22">
        <f t="shared" si="754"/>
        <v>1.7894736842105186E-2</v>
      </c>
      <c r="AH208" s="22">
        <f t="shared" si="754"/>
        <v>3.3648790746582558E-2</v>
      </c>
      <c r="AI208" s="197">
        <f t="shared" si="754"/>
        <v>9.5709570957095647E-2</v>
      </c>
      <c r="AJ208" s="21">
        <f t="shared" si="754"/>
        <v>3.927331017900082E-2</v>
      </c>
      <c r="AK208" s="22">
        <f t="shared" si="754"/>
        <v>6.25E-2</v>
      </c>
      <c r="AL208" s="22">
        <f t="shared" si="754"/>
        <v>5.0672182006204602E-2</v>
      </c>
      <c r="AM208" s="22">
        <f t="shared" si="754"/>
        <v>3.9674465920651159E-2</v>
      </c>
      <c r="AN208" s="197">
        <f t="shared" si="754"/>
        <v>4.2168674698795261E-2</v>
      </c>
      <c r="AO208" s="21">
        <f t="shared" si="754"/>
        <v>4.8586118251928045E-2</v>
      </c>
      <c r="AP208" s="22">
        <f t="shared" si="754"/>
        <v>2.5922233300099684E-2</v>
      </c>
      <c r="AQ208" s="22">
        <f t="shared" si="754"/>
        <v>2.7559055118110409E-2</v>
      </c>
      <c r="AR208" s="22">
        <f t="shared" si="754"/>
        <v>4.0117416829745567E-2</v>
      </c>
      <c r="AS208" s="197">
        <f t="shared" si="754"/>
        <v>3.0828516377649384E-2</v>
      </c>
      <c r="AT208" s="21">
        <f t="shared" si="754"/>
        <v>3.1135082127972558E-2</v>
      </c>
      <c r="AU208" s="22">
        <f t="shared" si="754"/>
        <v>3.9844509232264347E-2</v>
      </c>
      <c r="AV208" s="22">
        <f t="shared" si="754"/>
        <v>4.4061302681992265E-2</v>
      </c>
      <c r="AW208" s="22">
        <f t="shared" si="754"/>
        <v>5.362182502351831E-2</v>
      </c>
      <c r="AX208" s="197">
        <f t="shared" si="754"/>
        <v>1.8691588785046731E-2</v>
      </c>
      <c r="AY208" s="21">
        <f t="shared" si="754"/>
        <v>3.8991916310033181E-2</v>
      </c>
      <c r="AZ208" s="22">
        <f t="shared" si="754"/>
        <v>6.5420560747663448E-2</v>
      </c>
      <c r="BA208" s="22">
        <f t="shared" si="754"/>
        <v>7.3394495412844041E-2</v>
      </c>
      <c r="BB208" s="22">
        <f t="shared" si="754"/>
        <v>8.0357142857142794E-2</v>
      </c>
      <c r="BC208" s="197">
        <f t="shared" si="754"/>
        <v>0.12844036697247696</v>
      </c>
      <c r="BD208" s="21">
        <f t="shared" si="754"/>
        <v>8.6956521739130377E-2</v>
      </c>
      <c r="BE208" s="22">
        <f t="shared" si="754"/>
        <v>9.6491228070175517E-2</v>
      </c>
      <c r="BF208" s="22">
        <f t="shared" si="754"/>
        <v>7.6923076923076872E-2</v>
      </c>
      <c r="BG208" s="22">
        <f t="shared" si="754"/>
        <v>4.1322314049586861E-2</v>
      </c>
      <c r="BH208" s="197">
        <f t="shared" si="754"/>
        <v>2.4390243902439046E-2</v>
      </c>
      <c r="BI208" s="21">
        <f t="shared" si="754"/>
        <v>5.8947368421052637E-2</v>
      </c>
      <c r="BJ208" s="22">
        <f t="shared" si="754"/>
        <v>1.6000000000000014E-2</v>
      </c>
      <c r="BK208" s="22">
        <f t="shared" si="754"/>
        <v>1.5873015873015817E-2</v>
      </c>
      <c r="BL208" s="22">
        <f t="shared" si="754"/>
        <v>2.3809523809523725E-2</v>
      </c>
      <c r="BM208" s="197">
        <f t="shared" si="754"/>
        <v>3.1746031746031855E-2</v>
      </c>
      <c r="BN208" s="21">
        <f t="shared" si="754"/>
        <v>2.1868787276341894E-2</v>
      </c>
      <c r="BO208" s="22">
        <f t="shared" si="754"/>
        <v>0</v>
      </c>
      <c r="BP208" s="22">
        <f t="shared" si="754"/>
        <v>7.8125E-3</v>
      </c>
      <c r="BQ208" s="22">
        <f t="shared" si="754"/>
        <v>0</v>
      </c>
      <c r="BR208" s="197">
        <f t="shared" si="754"/>
        <v>0</v>
      </c>
      <c r="BS208" s="21">
        <f t="shared" ref="BS208:DY208" si="755">BS207/BN207-1</f>
        <v>1.9455252918287869E-3</v>
      </c>
      <c r="BT208" s="22">
        <f t="shared" si="755"/>
        <v>0</v>
      </c>
      <c r="BU208" s="22">
        <f t="shared" si="755"/>
        <v>0</v>
      </c>
      <c r="BV208" s="22">
        <f t="shared" si="755"/>
        <v>-7.7519379844961378E-3</v>
      </c>
      <c r="BW208" s="197">
        <f t="shared" si="755"/>
        <v>-7.692307692307665E-3</v>
      </c>
      <c r="BX208" s="21">
        <f>BX207/BS207-1</f>
        <v>-3.8834951456310218E-3</v>
      </c>
      <c r="BY208" s="22">
        <f t="shared" si="755"/>
        <v>1.5748031496062964E-2</v>
      </c>
      <c r="BZ208" s="22">
        <f t="shared" si="755"/>
        <v>7.7519379844961378E-3</v>
      </c>
      <c r="CA208" s="22">
        <f t="shared" si="755"/>
        <v>0.171875</v>
      </c>
      <c r="CB208" s="197">
        <f t="shared" si="755"/>
        <v>0.46511627906976738</v>
      </c>
      <c r="CC208" s="21">
        <f>CC207/BX207-1</f>
        <v>0.165692007797271</v>
      </c>
      <c r="CD208" s="22">
        <f t="shared" si="755"/>
        <v>0.49612403100775193</v>
      </c>
      <c r="CE208" s="22">
        <f t="shared" si="755"/>
        <v>0.49230769230769234</v>
      </c>
      <c r="CF208" s="22">
        <f t="shared" si="755"/>
        <v>0.30000000000000004</v>
      </c>
      <c r="CG208" s="197">
        <f t="shared" si="755"/>
        <v>1.5873015873015817E-2</v>
      </c>
      <c r="CH208" s="21">
        <f>CH207/CC207-1</f>
        <v>0.29431438127090304</v>
      </c>
      <c r="CI208" s="22">
        <f t="shared" si="755"/>
        <v>-5.1813471502590636E-2</v>
      </c>
      <c r="CJ208" s="22">
        <f t="shared" si="755"/>
        <v>-6.1855670103092786E-2</v>
      </c>
      <c r="CK208" s="22">
        <f t="shared" si="755"/>
        <v>-4.6153846153846101E-2</v>
      </c>
      <c r="CL208" s="197">
        <f t="shared" si="755"/>
        <v>-2.604166666666663E-2</v>
      </c>
      <c r="CM208" s="21">
        <f>CM207/CH207-1</f>
        <v>-4.6511627906976716E-2</v>
      </c>
      <c r="CN208" s="22">
        <f t="shared" si="755"/>
        <v>4.9180327868852514E-2</v>
      </c>
      <c r="CO208" s="22">
        <f t="shared" si="755"/>
        <v>5.4945054945054972E-2</v>
      </c>
      <c r="CP208" s="22">
        <f t="shared" si="755"/>
        <v>4.3010752688172005E-2</v>
      </c>
      <c r="CQ208" s="197">
        <f t="shared" si="755"/>
        <v>5.3475935828876997E-2</v>
      </c>
      <c r="CR208" s="21">
        <f>CR207/CM207-1</f>
        <v>5.0135501355013545E-2</v>
      </c>
      <c r="CS208" s="22">
        <f t="shared" si="755"/>
        <v>3.125E-2</v>
      </c>
      <c r="CT208" s="22">
        <f t="shared" si="755"/>
        <v>3.6458333333333259E-2</v>
      </c>
      <c r="CU208" s="22">
        <f t="shared" si="755"/>
        <v>3.6082474226804218E-2</v>
      </c>
      <c r="CV208" s="197">
        <f t="shared" si="755"/>
        <v>4.5685279187817285E-2</v>
      </c>
      <c r="CW208" s="21">
        <f t="shared" si="755"/>
        <v>3.7419354838709618E-2</v>
      </c>
      <c r="CX208" s="22">
        <f t="shared" si="755"/>
        <v>4.5454545454545414E-2</v>
      </c>
      <c r="CY208" s="22">
        <f t="shared" si="755"/>
        <v>4.020100502512558E-2</v>
      </c>
      <c r="CZ208" s="22">
        <f t="shared" si="755"/>
        <v>4.4776119402984982E-2</v>
      </c>
      <c r="DA208" s="22">
        <f t="shared" si="755"/>
        <v>3.398058252427183E-2</v>
      </c>
      <c r="DB208" s="21">
        <f t="shared" si="755"/>
        <v>4.1044776119403048E-2</v>
      </c>
      <c r="DC208" s="22">
        <f t="shared" si="755"/>
        <v>-1.4492753623188359E-2</v>
      </c>
      <c r="DD208" s="22">
        <f t="shared" si="755"/>
        <v>-1.4492753623188359E-2</v>
      </c>
      <c r="DE208" s="22">
        <f t="shared" si="755"/>
        <v>-2.8571428571428581E-2</v>
      </c>
      <c r="DF208" s="22">
        <f t="shared" si="755"/>
        <v>-2.8169014084507005E-2</v>
      </c>
      <c r="DG208" s="21">
        <f>DG207/DB207-1</f>
        <v>-2.1505376344086002E-2</v>
      </c>
      <c r="DH208" s="22">
        <f t="shared" si="755"/>
        <v>3.4313725490196179E-2</v>
      </c>
      <c r="DI208" s="22">
        <f t="shared" si="755"/>
        <v>4.4117647058823595E-2</v>
      </c>
      <c r="DJ208" s="22">
        <f t="shared" si="755"/>
        <v>6.3725490196078427E-2</v>
      </c>
      <c r="DK208" s="22">
        <f t="shared" si="755"/>
        <v>6.7632850241545972E-2</v>
      </c>
      <c r="DL208" s="21">
        <f>DL207/DG207-1</f>
        <v>5.2503052503052539E-2</v>
      </c>
      <c r="DM208" s="22">
        <f t="shared" si="755"/>
        <v>6.1611374407583019E-2</v>
      </c>
      <c r="DN208" s="22">
        <f t="shared" si="755"/>
        <v>7.5117370892018753E-2</v>
      </c>
      <c r="DO208" s="22">
        <f t="shared" si="755"/>
        <v>5.9907834101382562E-2</v>
      </c>
      <c r="DP208" s="22">
        <f t="shared" si="755"/>
        <v>5.4298642533936681E-2</v>
      </c>
      <c r="DQ208" s="21">
        <f t="shared" si="755"/>
        <v>6.2645011600928058E-2</v>
      </c>
      <c r="DR208" s="22">
        <f t="shared" si="755"/>
        <v>1.3392857142857206E-2</v>
      </c>
      <c r="DS208" s="22">
        <f t="shared" si="755"/>
        <v>-1.3100436681222738E-2</v>
      </c>
      <c r="DT208" s="22">
        <f t="shared" si="755"/>
        <v>0</v>
      </c>
      <c r="DU208" s="22">
        <f t="shared" si="755"/>
        <v>0</v>
      </c>
      <c r="DV208" s="21">
        <f t="shared" si="755"/>
        <v>0</v>
      </c>
      <c r="DW208" s="22">
        <f>DW207/DR207-1</f>
        <v>4.4052863436123246E-2</v>
      </c>
      <c r="DX208" s="22">
        <f t="shared" si="755"/>
        <v>5.3097345132743445E-2</v>
      </c>
      <c r="DY208" s="22">
        <f t="shared" si="755"/>
        <v>2.6086956521739202E-2</v>
      </c>
      <c r="DZ208" s="22">
        <f t="shared" ref="DZ208:EI208" si="756">DZ207/DU207-1</f>
        <v>3.0042918454935563E-2</v>
      </c>
      <c r="EA208" s="21">
        <f t="shared" si="756"/>
        <v>3.8209606986899569E-2</v>
      </c>
      <c r="EB208" s="22">
        <f t="shared" si="756"/>
        <v>3.3755274261603407E-2</v>
      </c>
      <c r="EC208" s="22">
        <f t="shared" si="756"/>
        <v>3.7815126050420256E-2</v>
      </c>
      <c r="ED208" s="22">
        <f t="shared" si="756"/>
        <v>0.1652542372881356</v>
      </c>
      <c r="EE208" s="22">
        <f t="shared" si="756"/>
        <v>0.1958333333333333</v>
      </c>
      <c r="EF208" s="21">
        <f t="shared" si="756"/>
        <v>0.10830704521556256</v>
      </c>
      <c r="EG208" s="22">
        <f t="shared" si="756"/>
        <v>2.857142857142847E-2</v>
      </c>
      <c r="EH208" s="22">
        <f t="shared" si="756"/>
        <v>4.0485829959514108E-2</v>
      </c>
      <c r="EI208" s="22">
        <f t="shared" si="756"/>
        <v>-6.1818181818181772E-2</v>
      </c>
      <c r="EJ208" s="22">
        <f t="shared" ref="EJ208:EN208" si="757">EJ207/EE207-1</f>
        <v>-9.7560975609756073E-2</v>
      </c>
      <c r="EK208" s="21">
        <f t="shared" si="757"/>
        <v>-2.6565464895635715E-2</v>
      </c>
      <c r="EL208" s="22">
        <f t="shared" si="757"/>
        <v>2.7777777777777679E-2</v>
      </c>
      <c r="EM208" s="22">
        <f t="shared" si="757"/>
        <v>2.7237354085603016E-2</v>
      </c>
      <c r="EN208" s="22">
        <f t="shared" si="757"/>
        <v>2.7131782945736482E-2</v>
      </c>
      <c r="EO208" s="22">
        <f t="shared" ref="EO208" si="758">EO207/EJ207-1</f>
        <v>3.0888030888030826E-2</v>
      </c>
      <c r="EP208" s="21">
        <f t="shared" ref="EP208:EQ208" si="759">EP207/EK207-1</f>
        <v>2.8265107212475549E-2</v>
      </c>
      <c r="EQ208" s="22">
        <f t="shared" si="759"/>
        <v>5.0193050193050093E-2</v>
      </c>
      <c r="ER208" s="22">
        <f t="shared" ref="ER208" si="760">ER207/EM207-1</f>
        <v>3.7878787878787845E-2</v>
      </c>
      <c r="ES208" s="22">
        <f t="shared" ref="ES208:EU208" si="761">ES207/EN207-1</f>
        <v>4.1509433962264142E-2</v>
      </c>
      <c r="ET208" s="22">
        <f t="shared" si="761"/>
        <v>4.1198501872659277E-2</v>
      </c>
      <c r="EU208" s="270">
        <f t="shared" si="761"/>
        <v>4.2654028436019065E-2</v>
      </c>
      <c r="EV208" s="96"/>
      <c r="EW208" s="96"/>
      <c r="EX208" s="96"/>
      <c r="EY208" s="96"/>
      <c r="EZ208" s="834">
        <v>3.5000000000000003E-2</v>
      </c>
      <c r="FA208" s="96"/>
      <c r="FB208" s="96"/>
      <c r="FC208" s="96"/>
      <c r="FD208" s="96"/>
      <c r="FE208" s="834">
        <f>EZ208</f>
        <v>3.5000000000000003E-2</v>
      </c>
      <c r="FF208" s="784"/>
      <c r="FG208" s="656"/>
      <c r="FH208" s="1039"/>
      <c r="FI208" s="1039"/>
      <c r="FJ208" s="1039"/>
      <c r="FK208" s="1039"/>
      <c r="FL208" s="1813"/>
      <c r="FM208" s="22">
        <f t="shared" si="740"/>
        <v>5.0193050193050093E-2</v>
      </c>
      <c r="FN208" s="22">
        <f t="shared" si="741"/>
        <v>2.7777777777777679E-2</v>
      </c>
      <c r="FO208" s="2041">
        <v>3.8610038610038533E-2</v>
      </c>
      <c r="FP208" s="1892">
        <f t="shared" ref="FP208:FQ211" si="762">IFERROR(($FM208-FN208)*10000,"")</f>
        <v>224.15272415272415</v>
      </c>
      <c r="FQ208" s="1892">
        <f t="shared" si="762"/>
        <v>115.8301158301156</v>
      </c>
      <c r="FR208" s="575"/>
      <c r="FS208" s="1426" t="s">
        <v>825</v>
      </c>
      <c r="FT208" s="1426"/>
      <c r="FU208" s="86"/>
      <c r="FV208" s="86"/>
      <c r="FW208" s="86"/>
      <c r="FX208" s="86"/>
      <c r="FY208" s="86"/>
      <c r="FZ208" s="86"/>
      <c r="GA208" s="656"/>
      <c r="GB208"/>
      <c r="GC208"/>
      <c r="GD208"/>
      <c r="GE208"/>
      <c r="GF208"/>
      <c r="GG208"/>
      <c r="GH208" s="974"/>
      <c r="GI208" s="974"/>
      <c r="GJ208" s="974"/>
      <c r="GK208" s="974"/>
      <c r="GL208" s="974"/>
      <c r="GM208" s="974"/>
      <c r="GN208" s="974"/>
      <c r="GO208" s="974"/>
      <c r="GP208" s="974"/>
      <c r="GQ208" s="974"/>
      <c r="GR208" s="974"/>
      <c r="GS208" s="974"/>
      <c r="GT208" s="974"/>
      <c r="GU208" s="974"/>
      <c r="GV208" s="974"/>
      <c r="GW208" s="974"/>
      <c r="GX208" s="974"/>
      <c r="GY208" s="974"/>
      <c r="GZ208" s="974"/>
      <c r="HA208" s="974"/>
      <c r="HB208" s="974"/>
      <c r="HC208" s="974"/>
      <c r="HD208" s="974"/>
      <c r="HE208" s="974"/>
      <c r="HF208" s="974"/>
      <c r="HG208" s="974"/>
      <c r="HH208" s="974"/>
      <c r="HI208" s="974"/>
      <c r="HJ208" s="974"/>
      <c r="HK208" s="974"/>
      <c r="HL208" s="974"/>
      <c r="HM208" s="974"/>
      <c r="HN208" s="974"/>
      <c r="HO208" s="974"/>
      <c r="HP208" s="974"/>
      <c r="HQ208" s="974"/>
      <c r="HR208" s="974"/>
      <c r="HS208" s="974"/>
      <c r="HT208" s="974"/>
      <c r="HU208" s="974"/>
      <c r="HV208" s="974"/>
      <c r="HW208" s="974"/>
      <c r="HX208" s="974"/>
      <c r="HY208" s="974"/>
      <c r="HZ208" s="974"/>
      <c r="IA208" s="974"/>
      <c r="IB208" s="974"/>
      <c r="IC208" s="974"/>
      <c r="ID208" s="974"/>
      <c r="IE208" s="974"/>
      <c r="IF208" s="974"/>
      <c r="IG208" s="974"/>
      <c r="IH208" s="974"/>
      <c r="II208" s="974"/>
      <c r="IJ208" s="974"/>
      <c r="IK208" s="974"/>
      <c r="IL208" s="974"/>
      <c r="IM208" s="974"/>
      <c r="IN208" s="974"/>
      <c r="IO208" s="974"/>
      <c r="IP208" s="974"/>
      <c r="IQ208" s="974"/>
      <c r="IR208" s="974"/>
      <c r="IS208" s="974"/>
      <c r="IT208" s="974"/>
      <c r="IU208" s="974"/>
      <c r="IV208" s="974"/>
    </row>
    <row r="209" spans="1:256" s="458" customFormat="1" ht="12.75" x14ac:dyDescent="0.2">
      <c r="A209" s="460" t="s">
        <v>13</v>
      </c>
      <c r="F209" s="462"/>
      <c r="K209" s="462"/>
      <c r="P209" s="462"/>
      <c r="U209" s="462"/>
      <c r="Z209" s="462"/>
      <c r="AE209" s="462"/>
      <c r="AJ209" s="462"/>
      <c r="AO209" s="462"/>
      <c r="AT209" s="462"/>
      <c r="AY209" s="462"/>
      <c r="BD209" s="462"/>
      <c r="BI209" s="462"/>
      <c r="BN209" s="462"/>
      <c r="BS209" s="462"/>
      <c r="BU209" s="458">
        <f>BU207/BT207-1</f>
        <v>1.5748031496062964E-2</v>
      </c>
      <c r="BV209" s="458">
        <f>BV207/BU207-1</f>
        <v>-7.7519379844961378E-3</v>
      </c>
      <c r="BW209" s="458">
        <f>BW207/BV207-1</f>
        <v>7.8125E-3</v>
      </c>
      <c r="BX209" s="462"/>
      <c r="BY209" s="458">
        <f>BY207/BW207-1</f>
        <v>0</v>
      </c>
      <c r="BZ209" s="458">
        <f>BZ207/BY207-1</f>
        <v>7.7519379844961378E-3</v>
      </c>
      <c r="CA209" s="458">
        <f>CA207/BZ207-1</f>
        <v>0.15384615384615374</v>
      </c>
      <c r="CB209" s="458">
        <f>CB207/CA207-1</f>
        <v>0.26</v>
      </c>
      <c r="CC209" s="462"/>
      <c r="CD209" s="458">
        <f>CD207/CB207-1</f>
        <v>2.1164021164021163E-2</v>
      </c>
      <c r="CE209" s="458">
        <f>CE207/CD207-1</f>
        <v>5.1813471502590858E-3</v>
      </c>
      <c r="CF209" s="458">
        <f>CF207/CE207-1</f>
        <v>5.1546391752577136E-3</v>
      </c>
      <c r="CG209" s="458">
        <f>CG207/CF207-1</f>
        <v>-1.538461538461533E-2</v>
      </c>
      <c r="CH209" s="462"/>
      <c r="CI209" s="458">
        <f>CI207/CG207-1</f>
        <v>-4.6875E-2</v>
      </c>
      <c r="CJ209" s="458">
        <f>CJ207/CI207-1</f>
        <v>-5.464480874316946E-3</v>
      </c>
      <c r="CK209" s="458">
        <f>CK207/CJ207-1</f>
        <v>2.19780219780219E-2</v>
      </c>
      <c r="CL209" s="458">
        <f>CL207/CK207-1</f>
        <v>5.3763440860215006E-3</v>
      </c>
      <c r="CM209" s="462"/>
      <c r="CN209" s="458">
        <f>CN207/CL207-1</f>
        <v>2.673796791443861E-2</v>
      </c>
      <c r="CO209" s="458">
        <f>CO207/CN207-1</f>
        <v>0</v>
      </c>
      <c r="CP209" s="458">
        <f>CP207/CO207-1</f>
        <v>1.0416666666666741E-2</v>
      </c>
      <c r="CQ209" s="458">
        <f>CQ207/CP207-1</f>
        <v>1.5463917525773141E-2</v>
      </c>
      <c r="CR209" s="462"/>
      <c r="CS209" s="458">
        <f>CS207/CQ207-1</f>
        <v>5.0761421319795996E-3</v>
      </c>
      <c r="CT209" s="458">
        <f>CT207/CS207-1</f>
        <v>5.050505050504972E-3</v>
      </c>
      <c r="CU209" s="458">
        <f>CU207/CT207-1</f>
        <v>1.0050251256281451E-2</v>
      </c>
      <c r="CV209" s="458">
        <f>CV207/CU207-1</f>
        <v>2.4875621890547261E-2</v>
      </c>
      <c r="CW209" s="462"/>
      <c r="CX209" s="458">
        <f>CX207/CV207-1</f>
        <v>4.8543689320388328E-3</v>
      </c>
      <c r="CY209" s="458">
        <f>CY207/CX207-1</f>
        <v>0</v>
      </c>
      <c r="CZ209" s="458">
        <f>CZ207/CY207-1</f>
        <v>1.449275362318847E-2</v>
      </c>
      <c r="DA209" s="458">
        <f>DA207/CZ207-1</f>
        <v>1.4285714285714235E-2</v>
      </c>
      <c r="DB209" s="462"/>
      <c r="DC209" s="458">
        <f>DC207/DA207-1</f>
        <v>-4.2253521126760618E-2</v>
      </c>
      <c r="DD209" s="458">
        <f>DD207/DC207-1</f>
        <v>0</v>
      </c>
      <c r="DE209" s="458">
        <f>DE207/DD207-1</f>
        <v>0</v>
      </c>
      <c r="DF209" s="458">
        <f>DF207/DE207-1</f>
        <v>1.4705882352941124E-2</v>
      </c>
      <c r="DG209" s="462"/>
      <c r="DH209" s="458">
        <f>DH207/DF207-1</f>
        <v>1.9323671497584627E-2</v>
      </c>
      <c r="DI209" s="458">
        <f>DI207/DH207-1</f>
        <v>9.4786729857820884E-3</v>
      </c>
      <c r="DJ209" s="458">
        <f>DJ207/DI207-1</f>
        <v>1.8779342723004744E-2</v>
      </c>
      <c r="DK209" s="458">
        <f>DK207/DJ207-1</f>
        <v>1.8433179723502224E-2</v>
      </c>
      <c r="DL209" s="462"/>
      <c r="DM209" s="458">
        <f>DM207/DK207-1</f>
        <v>1.3574660633484115E-2</v>
      </c>
      <c r="DN209" s="458">
        <f>DN207/DM207-1</f>
        <v>2.2321428571428603E-2</v>
      </c>
      <c r="DO209" s="458">
        <f>DO207/DN207-1</f>
        <v>4.366812227074135E-3</v>
      </c>
      <c r="DP209" s="458">
        <f>DP207/DO207-1</f>
        <v>1.304347826086949E-2</v>
      </c>
      <c r="DQ209" s="462"/>
      <c r="DR209" s="458">
        <f>DR207/DP207-1</f>
        <v>-2.5751072961373356E-2</v>
      </c>
      <c r="DS209" s="458">
        <f>DS207/DR207-1</f>
        <v>-4.405286343612369E-3</v>
      </c>
      <c r="DT209" s="458">
        <f>DT207/DS207-1</f>
        <v>1.7699115044247815E-2</v>
      </c>
      <c r="DU209" s="458">
        <f>DU207/DT207-1</f>
        <v>1.304347826086949E-2</v>
      </c>
      <c r="DV209" s="462"/>
      <c r="DW209" s="458">
        <f>DW207/DU207-1</f>
        <v>1.716738197424883E-2</v>
      </c>
      <c r="DX209" s="458">
        <f>DX207/DW207-1</f>
        <v>4.2194092827003704E-3</v>
      </c>
      <c r="DY209" s="458">
        <f>DY207/DX207-1</f>
        <v>-8.4033613445377853E-3</v>
      </c>
      <c r="DZ209" s="458">
        <f>DZ207/DY207-1</f>
        <v>1.6949152542372836E-2</v>
      </c>
      <c r="EA209" s="462"/>
      <c r="EB209" s="458">
        <f>EB207/DZ207-1</f>
        <v>2.0833333333333259E-2</v>
      </c>
      <c r="EC209" s="458">
        <f>EC207/EB207-1</f>
        <v>8.1632653061225469E-3</v>
      </c>
      <c r="ED209" s="458">
        <f>ED207/EC207-1</f>
        <v>0.11336032388663964</v>
      </c>
      <c r="EE209" s="458">
        <f>EE207/ED207-1</f>
        <v>4.3636363636363695E-2</v>
      </c>
      <c r="EF209" s="462"/>
      <c r="EG209" s="458">
        <f>EG207/EE207-1</f>
        <v>-0.12195121951219512</v>
      </c>
      <c r="EH209" s="458">
        <f>EH207/EG207-1</f>
        <v>1.9841269841269771E-2</v>
      </c>
      <c r="EI209" s="458">
        <f>EI207/EH207-1</f>
        <v>3.8910505836575737E-3</v>
      </c>
      <c r="EJ209" s="458">
        <f>EJ207/EI207-1</f>
        <v>3.8759689922480689E-3</v>
      </c>
      <c r="EK209" s="462"/>
      <c r="EL209" s="458">
        <f>EL207/EJ207-1</f>
        <v>0</v>
      </c>
      <c r="EM209" s="458">
        <f>EM207/EL207-1</f>
        <v>1.9305019305019266E-2</v>
      </c>
      <c r="EN209" s="458">
        <f>EN207/EM207-1</f>
        <v>3.7878787878788955E-3</v>
      </c>
      <c r="EO209" s="458">
        <f>EO207/EN207-1</f>
        <v>7.547169811320753E-3</v>
      </c>
      <c r="EP209" s="462"/>
      <c r="EQ209" s="458">
        <f>EQ207/EO207-1</f>
        <v>1.8726591760299671E-2</v>
      </c>
      <c r="ER209" s="458">
        <f>ER207/EQ207-1</f>
        <v>7.3529411764705621E-3</v>
      </c>
      <c r="ES209" s="458">
        <f>ES207/ER207-1</f>
        <v>7.2992700729928028E-3</v>
      </c>
      <c r="ET209" s="458">
        <f>ET207/ES207-1</f>
        <v>7.2463768115942351E-3</v>
      </c>
      <c r="EU209" s="1932"/>
      <c r="EZ209" s="740"/>
      <c r="FE209" s="740"/>
      <c r="FF209" s="740"/>
      <c r="FG209" s="655"/>
      <c r="FH209" s="1088">
        <f>AVERAGE(CI209,CN209,CS209,CX209,DC209,DH209,DM209,DR209,DW209,EB209,EG209,EL209,EQ209)</f>
        <v>-8.5028227248401186E-3</v>
      </c>
      <c r="FI209" s="1088">
        <f>AVERAGE(CJ209,CO209,CT209,CY209,DD209,DI209,DN209,DS209,DX209,EC209,EH209,EM209)</f>
        <v>6.5424835937415255E-3</v>
      </c>
      <c r="FJ209" s="1088">
        <f>AVERAGE(CK209,CP209,CU209,CZ209,DE209,DJ209,DO209,DT209,DY209,ED209,EI209,EN209)</f>
        <v>1.7534904619343632E-2</v>
      </c>
      <c r="FK209" s="1088">
        <f>AVERAGE(CL209,CQ209,CV209,DA209,DF209,DK209,DP209,DU209,DZ209,EE209,EJ209,EO209)</f>
        <v>1.593635594737865E-2</v>
      </c>
      <c r="FL209" s="1795"/>
      <c r="FM209" s="458">
        <f t="shared" si="740"/>
        <v>1.8726591760299671E-2</v>
      </c>
      <c r="FN209" s="458">
        <f t="shared" si="741"/>
        <v>0</v>
      </c>
      <c r="FO209" s="2040">
        <v>7.4906367041198685E-3</v>
      </c>
      <c r="FP209" s="1888">
        <f t="shared" si="762"/>
        <v>187.26591760299672</v>
      </c>
      <c r="FQ209" s="1888">
        <f t="shared" si="762"/>
        <v>112.35955056179803</v>
      </c>
      <c r="FR209" s="566"/>
      <c r="FS209" s="566"/>
      <c r="FT209" s="566"/>
      <c r="FU209" s="566"/>
      <c r="FV209" s="566"/>
      <c r="FW209" s="566"/>
      <c r="FX209" s="566"/>
      <c r="FY209" s="566"/>
      <c r="FZ209" s="566"/>
      <c r="GA209" s="655"/>
      <c r="GB209"/>
      <c r="GC209"/>
      <c r="GD209"/>
      <c r="GE209"/>
      <c r="GF209"/>
      <c r="GG209"/>
      <c r="GH209" s="913"/>
      <c r="GI209" s="913"/>
      <c r="GJ209" s="913"/>
      <c r="GK209" s="913"/>
      <c r="GL209" s="913"/>
      <c r="GM209" s="913"/>
      <c r="GN209" s="913"/>
      <c r="GO209" s="913"/>
      <c r="GP209" s="913"/>
      <c r="GQ209" s="913"/>
      <c r="GR209" s="913"/>
      <c r="GS209" s="913"/>
      <c r="GT209" s="913"/>
      <c r="GU209" s="913"/>
      <c r="GV209" s="913"/>
      <c r="GW209" s="913"/>
      <c r="GX209" s="913"/>
      <c r="GY209" s="913"/>
      <c r="GZ209" s="913"/>
      <c r="HA209" s="913"/>
      <c r="HB209" s="913"/>
      <c r="HC209" s="913"/>
      <c r="HD209" s="913"/>
      <c r="HE209" s="913"/>
      <c r="HF209" s="913"/>
      <c r="HG209" s="913"/>
      <c r="HH209" s="913"/>
      <c r="HI209" s="913"/>
      <c r="HJ209" s="913"/>
      <c r="HK209" s="913"/>
      <c r="HL209" s="913"/>
      <c r="HM209" s="913"/>
      <c r="HN209" s="913"/>
      <c r="HO209" s="913"/>
      <c r="HP209" s="913"/>
      <c r="HQ209" s="913"/>
      <c r="HR209" s="913"/>
      <c r="HS209" s="913"/>
      <c r="HT209" s="913"/>
      <c r="HU209" s="913"/>
      <c r="HV209" s="913"/>
      <c r="HW209" s="913"/>
      <c r="HX209" s="913"/>
      <c r="HY209" s="913"/>
      <c r="HZ209" s="913"/>
      <c r="IA209" s="913"/>
      <c r="IB209" s="913"/>
      <c r="IC209" s="913"/>
      <c r="ID209" s="913"/>
      <c r="IE209" s="913"/>
      <c r="IF209" s="913"/>
      <c r="IG209" s="913"/>
      <c r="IH209" s="913"/>
      <c r="II209" s="913"/>
      <c r="IJ209" s="913"/>
      <c r="IK209" s="913"/>
      <c r="IL209" s="913"/>
      <c r="IM209" s="913"/>
      <c r="IN209" s="913"/>
      <c r="IO209" s="913"/>
      <c r="IP209" s="913"/>
      <c r="IQ209" s="913"/>
      <c r="IR209" s="913"/>
      <c r="IS209" s="913"/>
      <c r="IT209" s="913"/>
      <c r="IU209" s="913"/>
      <c r="IV209" s="913"/>
    </row>
    <row r="210" spans="1:256" s="191" customFormat="1" ht="12.75" x14ac:dyDescent="0.2">
      <c r="A210" s="420" t="s">
        <v>471</v>
      </c>
      <c r="B210" s="27">
        <f t="shared" ref="B210:BM210" si="763">B207/B$214</f>
        <v>0.10430714187422595</v>
      </c>
      <c r="C210" s="27">
        <f t="shared" si="763"/>
        <v>0.10023438577140494</v>
      </c>
      <c r="D210" s="27">
        <f t="shared" si="763"/>
        <v>0.10429533969679955</v>
      </c>
      <c r="E210" s="213">
        <f t="shared" si="763"/>
        <v>0.10971428571428576</v>
      </c>
      <c r="F210" s="28">
        <f t="shared" si="763"/>
        <v>0.10459433040078203</v>
      </c>
      <c r="G210" s="27">
        <f t="shared" si="763"/>
        <v>0.10573693403197634</v>
      </c>
      <c r="H210" s="27">
        <f t="shared" si="763"/>
        <v>0.10764642082429501</v>
      </c>
      <c r="I210" s="27">
        <f t="shared" si="763"/>
        <v>0.10961353321413837</v>
      </c>
      <c r="J210" s="213">
        <f t="shared" si="763"/>
        <v>0.11054863866466004</v>
      </c>
      <c r="K210" s="28">
        <f t="shared" si="763"/>
        <v>0.1083710330283343</v>
      </c>
      <c r="L210" s="27">
        <f t="shared" si="763"/>
        <v>0.10998632010943914</v>
      </c>
      <c r="M210" s="27">
        <f t="shared" si="763"/>
        <v>0.11542824730572888</v>
      </c>
      <c r="N210" s="27">
        <f t="shared" si="763"/>
        <v>0.11381884772503166</v>
      </c>
      <c r="O210" s="213">
        <f t="shared" si="763"/>
        <v>0.11478843736908256</v>
      </c>
      <c r="P210" s="28">
        <f t="shared" si="763"/>
        <v>0.11347914191880373</v>
      </c>
      <c r="Q210" s="27">
        <f t="shared" si="763"/>
        <v>0.12205411696246728</v>
      </c>
      <c r="R210" s="27">
        <f t="shared" si="763"/>
        <v>0.11745765084698306</v>
      </c>
      <c r="S210" s="27">
        <f t="shared" si="763"/>
        <v>0.11774484000554092</v>
      </c>
      <c r="T210" s="213">
        <f t="shared" si="763"/>
        <v>0.11962051423071636</v>
      </c>
      <c r="U210" s="28">
        <f t="shared" si="763"/>
        <v>0.1191904310919359</v>
      </c>
      <c r="V210" s="27">
        <f t="shared" si="763"/>
        <v>0.1226662978841101</v>
      </c>
      <c r="W210" s="27">
        <f t="shared" si="763"/>
        <v>0.12642225031605564</v>
      </c>
      <c r="X210" s="27">
        <f t="shared" si="763"/>
        <v>0.12824146237778092</v>
      </c>
      <c r="Y210" s="213">
        <f t="shared" si="763"/>
        <v>0.13366979091564529</v>
      </c>
      <c r="Z210" s="28">
        <f t="shared" si="763"/>
        <v>0.1276903535389175</v>
      </c>
      <c r="AA210" s="27">
        <f t="shared" si="763"/>
        <v>0.12994428969359331</v>
      </c>
      <c r="AB210" s="27">
        <f t="shared" si="763"/>
        <v>0.13099834528405957</v>
      </c>
      <c r="AC210" s="27">
        <f t="shared" si="763"/>
        <v>0.13358617783396545</v>
      </c>
      <c r="AD210" s="213">
        <f t="shared" si="763"/>
        <v>0.12630262609420592</v>
      </c>
      <c r="AE210" s="28">
        <f t="shared" si="763"/>
        <v>0.13020036176429664</v>
      </c>
      <c r="AF210" s="27">
        <f t="shared" si="763"/>
        <v>0.12600106780565937</v>
      </c>
      <c r="AG210" s="27">
        <f t="shared" si="763"/>
        <v>0.13315890939135225</v>
      </c>
      <c r="AH210" s="27">
        <f t="shared" si="763"/>
        <v>0.1368508979535013</v>
      </c>
      <c r="AI210" s="213">
        <f t="shared" si="763"/>
        <v>0.1390672996369729</v>
      </c>
      <c r="AJ210" s="28">
        <f t="shared" si="763"/>
        <v>0.13368156981339566</v>
      </c>
      <c r="AK210" s="27">
        <f t="shared" si="763"/>
        <v>0.13288288288288286</v>
      </c>
      <c r="AL210" s="27">
        <f t="shared" si="763"/>
        <v>0.13766937669376694</v>
      </c>
      <c r="AM210" s="27">
        <f t="shared" si="763"/>
        <v>0.14200361261636793</v>
      </c>
      <c r="AN210" s="213">
        <f t="shared" si="763"/>
        <v>0.14321192052980133</v>
      </c>
      <c r="AO210" s="28">
        <f t="shared" si="763"/>
        <v>0.13886902938072376</v>
      </c>
      <c r="AP210" s="27">
        <f t="shared" si="763"/>
        <v>0.13459777632439504</v>
      </c>
      <c r="AQ210" s="27">
        <f t="shared" si="763"/>
        <v>0.13987138263665597</v>
      </c>
      <c r="AR210" s="27">
        <f t="shared" si="763"/>
        <v>0.14156345718471167</v>
      </c>
      <c r="AS210" s="213">
        <f t="shared" si="763"/>
        <v>0.14304812834224598</v>
      </c>
      <c r="AT210" s="28">
        <f t="shared" si="763"/>
        <v>0.13974350455179746</v>
      </c>
      <c r="AU210" s="27">
        <f t="shared" si="763"/>
        <v>0.13122393917095904</v>
      </c>
      <c r="AV210" s="27">
        <f t="shared" si="763"/>
        <v>0.138676844783715</v>
      </c>
      <c r="AW210" s="27">
        <f t="shared" si="763"/>
        <v>0.14177215189873418</v>
      </c>
      <c r="AX210" s="213">
        <f t="shared" si="763"/>
        <v>0.14010282776349614</v>
      </c>
      <c r="AY210" s="28">
        <f t="shared" si="763"/>
        <v>0.13788098693759074</v>
      </c>
      <c r="AZ210" s="27">
        <f t="shared" si="763"/>
        <v>0.1437578814627995</v>
      </c>
      <c r="BA210" s="27">
        <f t="shared" si="763"/>
        <v>0.11746987951807229</v>
      </c>
      <c r="BB210" s="27">
        <f t="shared" si="763"/>
        <v>8.9364844903988189E-2</v>
      </c>
      <c r="BC210" s="213">
        <f t="shared" si="763"/>
        <v>9.2203898050974509E-2</v>
      </c>
      <c r="BD210" s="28">
        <f t="shared" si="763"/>
        <v>0.10609783337056064</v>
      </c>
      <c r="BE210" s="27">
        <f t="shared" si="763"/>
        <v>9.0645395213923133E-2</v>
      </c>
      <c r="BF210" s="27">
        <f t="shared" si="763"/>
        <v>9.5890410958904104E-2</v>
      </c>
      <c r="BG210" s="27">
        <f t="shared" si="763"/>
        <v>9.5166163141993956E-2</v>
      </c>
      <c r="BH210" s="213">
        <f t="shared" si="763"/>
        <v>9.375E-2</v>
      </c>
      <c r="BI210" s="28">
        <f t="shared" si="763"/>
        <v>9.3825778772617052E-2</v>
      </c>
      <c r="BJ210" s="27">
        <f t="shared" si="763"/>
        <v>9.5131086142322102E-2</v>
      </c>
      <c r="BK210" s="27">
        <f t="shared" si="763"/>
        <v>9.7709923664122136E-2</v>
      </c>
      <c r="BL210" s="27">
        <f t="shared" si="763"/>
        <v>0.10213776722090261</v>
      </c>
      <c r="BM210" s="213">
        <f t="shared" si="763"/>
        <v>0.10358565737051793</v>
      </c>
      <c r="BN210" s="28">
        <f t="shared" ref="BN210:DV210" si="764">BN207/BN$214</f>
        <v>9.9554522564400547E-2</v>
      </c>
      <c r="BO210" s="27">
        <f t="shared" si="764"/>
        <v>0.1007137192704203</v>
      </c>
      <c r="BP210" s="27">
        <f t="shared" si="764"/>
        <v>0.10149488591660111</v>
      </c>
      <c r="BQ210" s="27">
        <f t="shared" si="764"/>
        <v>0.10023310023310024</v>
      </c>
      <c r="BR210" s="213">
        <f t="shared" si="764"/>
        <v>0.10054137664346481</v>
      </c>
      <c r="BS210" s="28">
        <f t="shared" si="764"/>
        <v>0.1007433489827856</v>
      </c>
      <c r="BT210" s="27">
        <f t="shared" si="764"/>
        <v>9.5488721804511276E-2</v>
      </c>
      <c r="BU210" s="27">
        <f t="shared" si="764"/>
        <v>9.662921348314607E-2</v>
      </c>
      <c r="BV210" s="27">
        <f t="shared" si="764"/>
        <v>9.9456099456099456E-2</v>
      </c>
      <c r="BW210" s="213">
        <f t="shared" si="764"/>
        <v>9.5910780669144977E-2</v>
      </c>
      <c r="BX210" s="28">
        <f t="shared" si="764"/>
        <v>9.6847272040777796E-2</v>
      </c>
      <c r="BY210" s="27">
        <f t="shared" si="764"/>
        <v>9.5768374164810696E-2</v>
      </c>
      <c r="BZ210" s="27">
        <f t="shared" si="764"/>
        <v>9.3659942363112397E-2</v>
      </c>
      <c r="CA210" s="27">
        <f t="shared" si="764"/>
        <v>0.10806916426512968</v>
      </c>
      <c r="CB210" s="213">
        <f t="shared" si="764"/>
        <v>0.12710154673839946</v>
      </c>
      <c r="CC210" s="28">
        <f t="shared" si="764"/>
        <v>0.11302211302211303</v>
      </c>
      <c r="CD210" s="27">
        <f t="shared" si="764"/>
        <v>0.12387676508344031</v>
      </c>
      <c r="CE210" s="27">
        <f t="shared" si="764"/>
        <v>0.12589227774172615</v>
      </c>
      <c r="CF210" s="27">
        <f t="shared" si="764"/>
        <v>0.11985248924400738</v>
      </c>
      <c r="CG210" s="213">
        <f t="shared" si="764"/>
        <v>0.11545399879735418</v>
      </c>
      <c r="CH210" s="28">
        <f t="shared" si="764"/>
        <v>0.12114571920488339</v>
      </c>
      <c r="CI210" s="27">
        <f t="shared" si="764"/>
        <v>0.10445205479452055</v>
      </c>
      <c r="CJ210" s="27">
        <f t="shared" si="764"/>
        <v>0.10612244897959183</v>
      </c>
      <c r="CK210" s="27">
        <f t="shared" si="764"/>
        <v>0.11084624553039332</v>
      </c>
      <c r="CL210" s="213">
        <f t="shared" si="764"/>
        <v>0.10967741935483871</v>
      </c>
      <c r="CM210" s="28">
        <f t="shared" si="764"/>
        <v>0.10773722627737227</v>
      </c>
      <c r="CN210" s="27">
        <f t="shared" si="764"/>
        <v>0.11169284467713787</v>
      </c>
      <c r="CO210" s="27">
        <f t="shared" si="764"/>
        <v>0.11374407582938388</v>
      </c>
      <c r="CP210" s="27">
        <f t="shared" si="764"/>
        <v>0.11602870813397129</v>
      </c>
      <c r="CQ210" s="213">
        <f t="shared" si="764"/>
        <v>0.11142533936651584</v>
      </c>
      <c r="CR210" s="28">
        <f t="shared" si="764"/>
        <v>0.1131882576310793</v>
      </c>
      <c r="CS210" s="27">
        <f t="shared" si="764"/>
        <v>0.1037192247249869</v>
      </c>
      <c r="CT210" s="27">
        <f t="shared" si="764"/>
        <v>0.10122075279755849</v>
      </c>
      <c r="CU210" s="27">
        <f t="shared" si="764"/>
        <v>0.10050000000000001</v>
      </c>
      <c r="CV210" s="213">
        <f t="shared" si="764"/>
        <v>0.12196566015393724</v>
      </c>
      <c r="CW210" s="28">
        <f t="shared" si="764"/>
        <v>0.10629296668429403</v>
      </c>
      <c r="CX210" s="421">
        <f t="shared" si="764"/>
        <v>0.13269230769230769</v>
      </c>
      <c r="CY210" s="421">
        <f t="shared" si="764"/>
        <v>0.14902807775377969</v>
      </c>
      <c r="CZ210" s="421">
        <f t="shared" si="764"/>
        <v>0.13990672884743505</v>
      </c>
      <c r="DA210" s="27">
        <f t="shared" si="764"/>
        <v>0.13680154142581888</v>
      </c>
      <c r="DB210" s="28">
        <f t="shared" si="764"/>
        <v>0.13933743965373729</v>
      </c>
      <c r="DC210" s="421">
        <f t="shared" si="764"/>
        <v>0.12121212121212122</v>
      </c>
      <c r="DD210" s="421">
        <f t="shared" si="764"/>
        <v>0.12021213906894519</v>
      </c>
      <c r="DE210" s="421">
        <f t="shared" si="764"/>
        <v>0.11929824561403508</v>
      </c>
      <c r="DF210" s="27">
        <f t="shared" si="764"/>
        <v>0.11828571428571429</v>
      </c>
      <c r="DG210" s="422">
        <f t="shared" si="764"/>
        <v>0.11973684210526316</v>
      </c>
      <c r="DH210" s="27">
        <f t="shared" si="764"/>
        <v>0.10754332313965341</v>
      </c>
      <c r="DI210" s="421">
        <f t="shared" si="764"/>
        <v>0.10698141637368157</v>
      </c>
      <c r="DJ210" s="421">
        <f t="shared" si="764"/>
        <v>0.11122501281394157</v>
      </c>
      <c r="DK210" s="27">
        <f t="shared" si="764"/>
        <v>0.11066599899849774</v>
      </c>
      <c r="DL210" s="422">
        <f t="shared" si="764"/>
        <v>0.10910011390963169</v>
      </c>
      <c r="DM210" s="27">
        <f t="shared" si="764"/>
        <v>0.1095890410958904</v>
      </c>
      <c r="DN210" s="421">
        <f t="shared" si="764"/>
        <v>0.11804123711340206</v>
      </c>
      <c r="DO210" s="421">
        <f t="shared" si="764"/>
        <v>0.11722731906218145</v>
      </c>
      <c r="DP210" s="27">
        <f t="shared" si="764"/>
        <v>0.1182741116751269</v>
      </c>
      <c r="DQ210" s="422">
        <f t="shared" si="764"/>
        <v>0.11571500757958565</v>
      </c>
      <c r="DR210" s="27">
        <f>DR207/DR$214</f>
        <v>0.11089399120664387</v>
      </c>
      <c r="DS210" s="421">
        <f>DS207/DS$214</f>
        <v>0.11495422177009156</v>
      </c>
      <c r="DT210" s="27">
        <f t="shared" si="764"/>
        <v>0.11645569620253164</v>
      </c>
      <c r="DU210" s="27">
        <f>DU207/DU$214</f>
        <v>0.11650000000000001</v>
      </c>
      <c r="DV210" s="422">
        <f t="shared" si="764"/>
        <v>0.11467200801201803</v>
      </c>
      <c r="DW210" s="27">
        <f t="shared" ref="DW210:EF210" si="765">DW207/DW$214</f>
        <v>0.1172106824925816</v>
      </c>
      <c r="DX210" s="421">
        <f t="shared" si="765"/>
        <v>0.11764705882352941</v>
      </c>
      <c r="DY210" s="27">
        <f t="shared" si="765"/>
        <v>0.11654896538100647</v>
      </c>
      <c r="DZ210" s="27">
        <f t="shared" si="765"/>
        <v>0.12127337038908539</v>
      </c>
      <c r="EA210" s="422">
        <f t="shared" si="765"/>
        <v>0.11815279106461753</v>
      </c>
      <c r="EB210" s="27">
        <f t="shared" si="765"/>
        <v>0.12493625701172871</v>
      </c>
      <c r="EC210" s="421">
        <f t="shared" si="765"/>
        <v>0.13006845708267509</v>
      </c>
      <c r="ED210" s="27">
        <f t="shared" si="765"/>
        <v>0.14542570068746694</v>
      </c>
      <c r="EE210" s="27">
        <f t="shared" si="765"/>
        <v>0.15298507462686567</v>
      </c>
      <c r="EF210" s="422">
        <f t="shared" si="765"/>
        <v>0.13819326078405664</v>
      </c>
      <c r="EG210" s="27">
        <f t="shared" ref="EG210:ER210" si="766">EG207/EG$214</f>
        <v>0.14849734826163818</v>
      </c>
      <c r="EH210" s="421">
        <f t="shared" si="766"/>
        <v>0.15261282660332542</v>
      </c>
      <c r="EI210" s="27">
        <f t="shared" si="766"/>
        <v>0.15140845070422534</v>
      </c>
      <c r="EJ210" s="27">
        <f t="shared" si="766"/>
        <v>0.14979757085020243</v>
      </c>
      <c r="EK210" s="422">
        <f t="shared" si="766"/>
        <v>0.15057235104197242</v>
      </c>
      <c r="EL210" s="27">
        <f>EL207/EL$214</f>
        <v>0.14246424642464248</v>
      </c>
      <c r="EM210" s="421">
        <f t="shared" ref="EM210:EP210" si="767">EM207/EM$214</f>
        <v>0.14957507082152974</v>
      </c>
      <c r="EN210" s="27">
        <f t="shared" si="767"/>
        <v>0.14929577464788732</v>
      </c>
      <c r="EO210" s="27">
        <f t="shared" si="767"/>
        <v>0.14654226125137212</v>
      </c>
      <c r="EP210" s="422">
        <f t="shared" si="767"/>
        <v>0.14693593314763231</v>
      </c>
      <c r="EQ210" s="27">
        <f>EQ207/EQ$214</f>
        <v>0.14452709883103082</v>
      </c>
      <c r="ER210" s="27">
        <f t="shared" si="766"/>
        <v>0.14620267604654957</v>
      </c>
      <c r="ES210" s="27">
        <f t="shared" ref="ES210:EU210" si="768">ES207/ES$214</f>
        <v>0.14063264604548659</v>
      </c>
      <c r="ET210" s="27">
        <f t="shared" si="768"/>
        <v>0.1427664692146893</v>
      </c>
      <c r="EU210" s="1979">
        <f t="shared" si="768"/>
        <v>0.14349248654278557</v>
      </c>
      <c r="EV210" s="241"/>
      <c r="EW210" s="241"/>
      <c r="EX210" s="241"/>
      <c r="EY210" s="241"/>
      <c r="EZ210" s="835">
        <f>EZ207/EZ$214</f>
        <v>0.14368104886103966</v>
      </c>
      <c r="FA210" s="241"/>
      <c r="FB210" s="241"/>
      <c r="FC210" s="241"/>
      <c r="FD210" s="241"/>
      <c r="FE210" s="835">
        <f>FE207/FE$214</f>
        <v>0.14414112999961048</v>
      </c>
      <c r="FF210" s="790"/>
      <c r="FG210" s="618"/>
      <c r="FH210" s="1041"/>
      <c r="FI210" s="1041"/>
      <c r="FJ210" s="1041"/>
      <c r="FK210" s="1041"/>
      <c r="FL210" s="1806"/>
      <c r="FM210" s="421">
        <f t="shared" si="740"/>
        <v>0.14452709883103082</v>
      </c>
      <c r="FN210" s="421">
        <f t="shared" si="741"/>
        <v>0.14246424642464248</v>
      </c>
      <c r="FO210" s="27">
        <v>0.14272837708946115</v>
      </c>
      <c r="FP210" s="1897">
        <f t="shared" si="762"/>
        <v>20.628524063883436</v>
      </c>
      <c r="FQ210" s="1897">
        <f t="shared" si="762"/>
        <v>17.987217415696698</v>
      </c>
      <c r="FR210" s="587"/>
      <c r="FS210" s="587"/>
      <c r="FT210" s="587"/>
      <c r="FU210" s="587"/>
      <c r="FV210" s="587"/>
      <c r="FW210" s="587"/>
      <c r="FX210" s="587"/>
      <c r="FY210" s="587"/>
      <c r="FZ210" s="587"/>
      <c r="GA210" s="618"/>
      <c r="GB210"/>
      <c r="GC210"/>
      <c r="GD210"/>
      <c r="GE210"/>
      <c r="GF210"/>
      <c r="GG210"/>
      <c r="GH210" s="978"/>
      <c r="GI210" s="978"/>
      <c r="GJ210" s="978"/>
      <c r="GK210" s="978"/>
      <c r="GL210" s="978"/>
      <c r="GM210" s="978"/>
      <c r="GN210" s="978"/>
      <c r="GO210" s="978"/>
      <c r="GP210" s="978"/>
      <c r="GQ210" s="978"/>
      <c r="GR210" s="978"/>
      <c r="GS210" s="978"/>
      <c r="GT210" s="978"/>
      <c r="GU210" s="978"/>
      <c r="GV210" s="978"/>
      <c r="GW210" s="978"/>
      <c r="GX210" s="978"/>
      <c r="GY210" s="978"/>
      <c r="GZ210" s="978"/>
      <c r="HA210" s="978"/>
      <c r="HB210" s="978"/>
      <c r="HC210" s="978"/>
      <c r="HD210" s="978"/>
      <c r="HE210" s="978"/>
      <c r="HF210" s="978"/>
      <c r="HG210" s="978"/>
      <c r="HH210" s="978"/>
      <c r="HI210" s="978"/>
      <c r="HJ210" s="978"/>
      <c r="HK210" s="978"/>
      <c r="HL210" s="978"/>
      <c r="HM210" s="978"/>
      <c r="HN210" s="978"/>
      <c r="HO210" s="978"/>
      <c r="HP210" s="978"/>
      <c r="HQ210" s="978"/>
      <c r="HR210" s="978"/>
      <c r="HS210" s="978"/>
      <c r="HT210" s="978"/>
      <c r="HU210" s="978"/>
      <c r="HV210" s="978"/>
      <c r="HW210" s="978"/>
      <c r="HX210" s="978"/>
      <c r="HY210" s="978"/>
      <c r="HZ210" s="978"/>
      <c r="IA210" s="978"/>
      <c r="IB210" s="978"/>
      <c r="IC210" s="978"/>
      <c r="ID210" s="978"/>
      <c r="IE210" s="978"/>
      <c r="IF210" s="978"/>
      <c r="IG210" s="978"/>
      <c r="IH210" s="978"/>
      <c r="II210" s="978"/>
      <c r="IJ210" s="978"/>
      <c r="IK210" s="978"/>
      <c r="IL210" s="978"/>
      <c r="IM210" s="978"/>
      <c r="IN210" s="978"/>
      <c r="IO210" s="978"/>
      <c r="IP210" s="978"/>
      <c r="IQ210" s="978"/>
      <c r="IR210" s="978"/>
      <c r="IS210" s="978"/>
      <c r="IT210" s="978"/>
      <c r="IU210" s="978"/>
      <c r="IV210" s="978"/>
    </row>
    <row r="211" spans="1:256" s="244" customFormat="1" ht="12.75" x14ac:dyDescent="0.2">
      <c r="A211" s="242" t="s">
        <v>484</v>
      </c>
      <c r="B211" s="22"/>
      <c r="C211" s="22"/>
      <c r="D211" s="22"/>
      <c r="E211" s="197"/>
      <c r="F211" s="21"/>
      <c r="G211" s="22"/>
      <c r="H211" s="22"/>
      <c r="I211" s="22"/>
      <c r="J211" s="197"/>
      <c r="K211" s="21"/>
      <c r="L211" s="22">
        <f>L207/P207</f>
        <v>0.24753694581280788</v>
      </c>
      <c r="M211" s="22">
        <f>M207/P207</f>
        <v>0.25061576354679804</v>
      </c>
      <c r="N211" s="22">
        <f>N207/P207</f>
        <v>0.24876847290640389</v>
      </c>
      <c r="O211" s="22">
        <f>O207/P207</f>
        <v>0.25307881773399021</v>
      </c>
      <c r="P211" s="21"/>
      <c r="Q211" s="22">
        <f>Q207/U207</f>
        <v>0.24690994702766333</v>
      </c>
      <c r="R211" s="22">
        <f>R207/U207</f>
        <v>0.24690994702766333</v>
      </c>
      <c r="S211" s="22">
        <f>S207/U207</f>
        <v>0.25014714537963506</v>
      </c>
      <c r="T211" s="22">
        <f>T207/U207</f>
        <v>0.25603296056503827</v>
      </c>
      <c r="U211" s="21"/>
      <c r="V211" s="22">
        <f>V207/Z207</f>
        <v>0.2450953302017132</v>
      </c>
      <c r="W211" s="22">
        <f>W207/Z207</f>
        <v>0.24868748273003594</v>
      </c>
      <c r="X211" s="22">
        <f>X207/Z207</f>
        <v>0.25006907985631394</v>
      </c>
      <c r="Y211" s="22">
        <f>Y207/Z207</f>
        <v>0.25614810721193704</v>
      </c>
      <c r="Z211" s="21"/>
      <c r="AA211" s="22">
        <f>AA207/AE207</f>
        <v>0.2492652952177398</v>
      </c>
      <c r="AB211" s="22">
        <f>AB207/AE207</f>
        <v>0.25380710659898481</v>
      </c>
      <c r="AC211" s="22">
        <f>AC207/AE207</f>
        <v>0.25407427197435212</v>
      </c>
      <c r="AD211" s="22">
        <f>AD207/AE207</f>
        <v>0.24285332620892336</v>
      </c>
      <c r="AE211" s="21"/>
      <c r="AF211" s="22">
        <f>AF207/AJ207</f>
        <v>0.24267352185089977</v>
      </c>
      <c r="AG211" s="22">
        <f>AG207/AJ207</f>
        <v>0.24858611825192803</v>
      </c>
      <c r="AH211" s="22">
        <f>AH207/AJ207</f>
        <v>0.25269922879177376</v>
      </c>
      <c r="AI211" s="22">
        <f>AI207/AJ207</f>
        <v>0.25604113110539845</v>
      </c>
      <c r="AJ211" s="21"/>
      <c r="AK211" s="22">
        <f>AK207/AO207</f>
        <v>0.24589360137288552</v>
      </c>
      <c r="AL211" s="22">
        <f>AL207/AO207</f>
        <v>0.24908065702378035</v>
      </c>
      <c r="AM211" s="22">
        <f>AM207/AO207</f>
        <v>0.25055160578573182</v>
      </c>
      <c r="AN211" s="22">
        <f>AN207/AO207</f>
        <v>0.25447413581760236</v>
      </c>
      <c r="AO211" s="21"/>
      <c r="AP211" s="22">
        <f>AP207/AT207</f>
        <v>0.24465049928673324</v>
      </c>
      <c r="AQ211" s="22">
        <f>AQ207/AT207</f>
        <v>0.24821683309557774</v>
      </c>
      <c r="AR211" s="22">
        <f>AR207/AT207</f>
        <v>0.25273418925344743</v>
      </c>
      <c r="AS211" s="22">
        <f>AS207/AT207</f>
        <v>0.25439847836424156</v>
      </c>
      <c r="AT211" s="21"/>
      <c r="AU211" s="22">
        <f>AU207/AY207</f>
        <v>0.24485125858123569</v>
      </c>
      <c r="AV211" s="22">
        <f>AV207/AY207</f>
        <v>0.2494279176201373</v>
      </c>
      <c r="AW211" s="22">
        <f>AW207/AY207</f>
        <v>0.25629290617848971</v>
      </c>
      <c r="AX211" s="22">
        <f>AX207/AY207</f>
        <v>0.2494279176201373</v>
      </c>
      <c r="AY211" s="21"/>
      <c r="AZ211" s="22">
        <f>AZ207/BD207</f>
        <v>0.24</v>
      </c>
      <c r="BA211" s="22">
        <f>BA207/BD207</f>
        <v>0.24631578947368421</v>
      </c>
      <c r="BB211" s="22">
        <f>BB207/BD207</f>
        <v>0.25473684210526315</v>
      </c>
      <c r="BC211" s="22">
        <f>BC207/BD207</f>
        <v>0.25894736842105265</v>
      </c>
      <c r="BD211" s="21"/>
      <c r="BE211" s="22">
        <f>BE207/BI207</f>
        <v>0.2485089463220676</v>
      </c>
      <c r="BF211" s="22">
        <f>BF207/BI207</f>
        <v>0.25049701789264411</v>
      </c>
      <c r="BG211" s="22">
        <f>BG207/BI207</f>
        <v>0.25049701789264411</v>
      </c>
      <c r="BH211" s="22">
        <f>BH207/BI207</f>
        <v>0.25049701789264411</v>
      </c>
      <c r="BI211" s="21"/>
      <c r="BJ211" s="22">
        <f>BJ207/BN207</f>
        <v>0.24708171206225682</v>
      </c>
      <c r="BK211" s="22">
        <f>BK207/BN207</f>
        <v>0.24902723735408561</v>
      </c>
      <c r="BL211" s="22">
        <f>BL207/BN207</f>
        <v>0.25097276264591439</v>
      </c>
      <c r="BM211" s="22">
        <f>BM207/BN207</f>
        <v>0.25291828793774318</v>
      </c>
      <c r="BN211" s="21"/>
      <c r="BO211" s="22">
        <f>BO207/BS207</f>
        <v>0.24660194174757283</v>
      </c>
      <c r="BP211" s="22">
        <f>BP207/BS207</f>
        <v>0.25048543689320391</v>
      </c>
      <c r="BQ211" s="22">
        <f>BQ207/BS207</f>
        <v>0.25048543689320391</v>
      </c>
      <c r="BR211" s="22">
        <f>BR207/BS207</f>
        <v>0.25242718446601942</v>
      </c>
      <c r="BS211" s="21"/>
      <c r="BT211" s="22">
        <f>BT207/BX207</f>
        <v>0.24756335282651071</v>
      </c>
      <c r="BU211" s="22">
        <f>BU207/BX207</f>
        <v>0.25146198830409355</v>
      </c>
      <c r="BV211" s="22">
        <f>BV207/BX207</f>
        <v>0.24951267056530213</v>
      </c>
      <c r="BW211" s="22">
        <f>BW207/BX207</f>
        <v>0.25146198830409355</v>
      </c>
      <c r="BX211" s="21"/>
      <c r="BY211" s="22">
        <f>BY207/CC207</f>
        <v>0.2157190635451505</v>
      </c>
      <c r="BZ211" s="22">
        <f>BZ207/CC207</f>
        <v>0.21739130434782608</v>
      </c>
      <c r="CA211" s="22">
        <f>CA207/CC207</f>
        <v>0.25083612040133779</v>
      </c>
      <c r="CB211" s="22">
        <f>CB207/CC207</f>
        <v>0.31605351170568563</v>
      </c>
      <c r="CC211" s="21"/>
      <c r="CD211" s="22">
        <f>CD207/CH207</f>
        <v>0.24935400516795866</v>
      </c>
      <c r="CE211" s="22">
        <f>CE207/CH207</f>
        <v>0.25064599483204136</v>
      </c>
      <c r="CF211" s="22">
        <f>CF207/CH207</f>
        <v>0.25193798449612403</v>
      </c>
      <c r="CG211" s="22">
        <f>CG207/CH207</f>
        <v>0.24806201550387597</v>
      </c>
      <c r="CH211" s="21"/>
      <c r="CI211" s="22">
        <f>CI207/CM207</f>
        <v>0.24796747967479674</v>
      </c>
      <c r="CJ211" s="22">
        <f>CJ207/CM207</f>
        <v>0.24661246612466126</v>
      </c>
      <c r="CK211" s="22">
        <f>CK207/CM207</f>
        <v>0.25203252032520324</v>
      </c>
      <c r="CL211" s="22">
        <f>CL207/CM207</f>
        <v>0.25338753387533874</v>
      </c>
      <c r="CM211" s="21"/>
      <c r="CN211" s="22">
        <f>CN207/CR207</f>
        <v>0.24774193548387097</v>
      </c>
      <c r="CO211" s="22">
        <f>CO207/CR207</f>
        <v>0.24774193548387097</v>
      </c>
      <c r="CP211" s="22">
        <f>CP207/CR207</f>
        <v>0.25032258064516127</v>
      </c>
      <c r="CQ211" s="22">
        <f>CQ207/CR207</f>
        <v>0.25419354838709679</v>
      </c>
      <c r="CR211" s="21"/>
      <c r="CS211" s="22">
        <f>CS207/CW207</f>
        <v>0.2462686567164179</v>
      </c>
      <c r="CT211" s="22">
        <f>CT207/CW207</f>
        <v>0.24751243781094528</v>
      </c>
      <c r="CU211" s="22">
        <f>CU207/CW207</f>
        <v>0.25</v>
      </c>
      <c r="CV211" s="22">
        <f>CV207/CW207</f>
        <v>0.25621890547263682</v>
      </c>
      <c r="CW211" s="21"/>
      <c r="CX211" s="22">
        <f>CX207/DB207</f>
        <v>0.24731182795698925</v>
      </c>
      <c r="CY211" s="22">
        <f>CY207/DB207</f>
        <v>0.24731182795698925</v>
      </c>
      <c r="CZ211" s="22">
        <f>CZ207/DB207</f>
        <v>0.25089605734767023</v>
      </c>
      <c r="DA211" s="22">
        <f>DA207/DB207</f>
        <v>0.25448028673835127</v>
      </c>
      <c r="DB211" s="21"/>
      <c r="DC211" s="22">
        <f>DC207/DG207</f>
        <v>0.24908424908424909</v>
      </c>
      <c r="DD211" s="22">
        <f>DD207/DG207</f>
        <v>0.24908424908424909</v>
      </c>
      <c r="DE211" s="22">
        <f>DE207/DG207</f>
        <v>0.24908424908424909</v>
      </c>
      <c r="DF211" s="22">
        <f>DF207/DG207</f>
        <v>0.25274725274725274</v>
      </c>
      <c r="DG211" s="21"/>
      <c r="DH211" s="22">
        <f>DH207/DL207</f>
        <v>0.24477958236658934</v>
      </c>
      <c r="DI211" s="22">
        <f>DI207/DL207</f>
        <v>0.24709976798143851</v>
      </c>
      <c r="DJ211" s="22">
        <f>DJ207/DL207</f>
        <v>0.25174013921113692</v>
      </c>
      <c r="DK211" s="22">
        <f>DK207/DL207</f>
        <v>0.25638051044083526</v>
      </c>
      <c r="DL211" s="21"/>
      <c r="DM211" s="22">
        <f>DM207/DQ207</f>
        <v>0.24454148471615719</v>
      </c>
      <c r="DN211" s="22">
        <f>DN207/DQ207</f>
        <v>0.25</v>
      </c>
      <c r="DO211" s="22">
        <f>DO207/DQ207</f>
        <v>0.25109170305676853</v>
      </c>
      <c r="DP211" s="22">
        <f>DP207/DQ207</f>
        <v>0.25436681222707425</v>
      </c>
      <c r="DQ211" s="21"/>
      <c r="DR211" s="22">
        <f>DR207/DV207</f>
        <v>0.24781659388646288</v>
      </c>
      <c r="DS211" s="22">
        <f>DS207/DV207</f>
        <v>0.24672489082969432</v>
      </c>
      <c r="DT211" s="22">
        <f>DT207/DV207</f>
        <v>0.25109170305676853</v>
      </c>
      <c r="DU211" s="22">
        <f>DU207/DV207</f>
        <v>0.25436681222707425</v>
      </c>
      <c r="DV211" s="21"/>
      <c r="DW211" s="22">
        <f>DW207/EA207</f>
        <v>0.24921135646687698</v>
      </c>
      <c r="DX211" s="22">
        <f>DX207/EA207</f>
        <v>0.25026288117770767</v>
      </c>
      <c r="DY211" s="22">
        <f>DY207/EA207</f>
        <v>0.24815983175604628</v>
      </c>
      <c r="DZ211" s="22">
        <f>DZ207/EA207</f>
        <v>0.25236593059936907</v>
      </c>
      <c r="EA211" s="21"/>
      <c r="EB211" s="22">
        <f>EB207/EF207</f>
        <v>0.23244781783681215</v>
      </c>
      <c r="EC211" s="22">
        <f>EC207/EF207</f>
        <v>0.23434535104364326</v>
      </c>
      <c r="ED211" s="22">
        <f>ED207/EF207</f>
        <v>0.26091081593927895</v>
      </c>
      <c r="EE211" s="22">
        <f>EE207/EF207</f>
        <v>0.27229601518026564</v>
      </c>
      <c r="EF211" s="21"/>
      <c r="EG211" s="22">
        <f>EG207/EK207</f>
        <v>0.24561403508771928</v>
      </c>
      <c r="EH211" s="22">
        <f>EH207/EK207</f>
        <v>0.25048732943469787</v>
      </c>
      <c r="EI211" s="22">
        <f>EI207/EK207</f>
        <v>0.25146198830409355</v>
      </c>
      <c r="EJ211" s="22">
        <f>EJ207/EK207</f>
        <v>0.25243664717348929</v>
      </c>
      <c r="EK211" s="21"/>
      <c r="EL211" s="22">
        <f>EL207/EP207</f>
        <v>0.24549763033175356</v>
      </c>
      <c r="EM211" s="22">
        <f>EM207/EP207</f>
        <v>0.25023696682464452</v>
      </c>
      <c r="EN211" s="22">
        <f>EN207/EP207</f>
        <v>0.25118483412322273</v>
      </c>
      <c r="EO211" s="22">
        <f>EO207/EP207</f>
        <v>0.25308056872037915</v>
      </c>
      <c r="EP211" s="21"/>
      <c r="EQ211" s="22">
        <f>EQ207/EU207</f>
        <v>0.24727272727272728</v>
      </c>
      <c r="ER211" s="22">
        <f t="shared" ref="ER211:ET211" si="769">ER207/$EU207</f>
        <v>0.24909090909090909</v>
      </c>
      <c r="ES211" s="22">
        <f t="shared" si="769"/>
        <v>0.25090909090909091</v>
      </c>
      <c r="ET211" s="22">
        <f t="shared" si="769"/>
        <v>0.25272727272727274</v>
      </c>
      <c r="EU211" s="270"/>
      <c r="EV211" s="243"/>
      <c r="EW211" s="243"/>
      <c r="EX211" s="243"/>
      <c r="EY211" s="243"/>
      <c r="EZ211" s="844"/>
      <c r="FA211" s="243"/>
      <c r="FB211" s="243"/>
      <c r="FC211" s="243"/>
      <c r="FD211" s="243"/>
      <c r="FE211" s="844"/>
      <c r="FF211" s="791"/>
      <c r="FG211" s="618"/>
      <c r="FH211" s="1073"/>
      <c r="FI211" s="1073"/>
      <c r="FJ211" s="1073"/>
      <c r="FK211" s="1073"/>
      <c r="FL211" s="1806"/>
      <c r="FM211" s="22">
        <f t="shared" si="740"/>
        <v>0.24727272727272728</v>
      </c>
      <c r="FN211" s="22">
        <f t="shared" si="741"/>
        <v>0.24549763033175356</v>
      </c>
      <c r="FO211" s="2041">
        <v>0.24765749612747456</v>
      </c>
      <c r="FP211" s="1892">
        <f t="shared" si="762"/>
        <v>17.750969409737195</v>
      </c>
      <c r="FQ211" s="1892">
        <f t="shared" si="762"/>
        <v>-3.8476885474728051</v>
      </c>
      <c r="FR211" s="587"/>
      <c r="FS211" s="120"/>
      <c r="FT211" s="120"/>
      <c r="FU211" s="120"/>
      <c r="FV211" s="120"/>
      <c r="FW211" s="120"/>
      <c r="FX211" s="120"/>
      <c r="FY211" s="120"/>
      <c r="FZ211" s="120"/>
      <c r="GA211" s="618"/>
      <c r="GB211"/>
      <c r="GC211"/>
      <c r="GD211"/>
      <c r="GE211"/>
      <c r="GF211"/>
      <c r="GG211"/>
      <c r="GH211" s="973"/>
      <c r="GI211" s="973"/>
      <c r="GJ211" s="973"/>
      <c r="GK211" s="973"/>
      <c r="GL211" s="973"/>
      <c r="GM211" s="973"/>
      <c r="GN211" s="973"/>
      <c r="GO211" s="973"/>
      <c r="GP211" s="973"/>
      <c r="GQ211" s="973"/>
      <c r="GR211" s="973"/>
      <c r="GS211" s="973"/>
      <c r="GT211" s="973"/>
      <c r="GU211" s="973"/>
      <c r="GV211" s="973"/>
      <c r="GW211" s="973"/>
      <c r="GX211" s="973"/>
      <c r="GY211" s="973"/>
      <c r="GZ211" s="973"/>
      <c r="HA211" s="973"/>
      <c r="HB211" s="973"/>
      <c r="HC211" s="973"/>
      <c r="HD211" s="973"/>
      <c r="HE211" s="973"/>
      <c r="HF211" s="973"/>
      <c r="HG211" s="973"/>
      <c r="HH211" s="973"/>
      <c r="HI211" s="973"/>
      <c r="HJ211" s="973"/>
      <c r="HK211" s="973"/>
      <c r="HL211" s="973"/>
      <c r="HM211" s="973"/>
      <c r="HN211" s="973"/>
      <c r="HO211" s="973"/>
      <c r="HP211" s="973"/>
      <c r="HQ211" s="973"/>
      <c r="HR211" s="973"/>
      <c r="HS211" s="973"/>
      <c r="HT211" s="973"/>
      <c r="HU211" s="973"/>
      <c r="HV211" s="973"/>
      <c r="HW211" s="973"/>
      <c r="HX211" s="973"/>
      <c r="HY211" s="973"/>
      <c r="HZ211" s="973"/>
      <c r="IA211" s="973"/>
      <c r="IB211" s="973"/>
      <c r="IC211" s="973"/>
      <c r="ID211" s="973"/>
      <c r="IE211" s="973"/>
      <c r="IF211" s="973"/>
      <c r="IG211" s="973"/>
      <c r="IH211" s="973"/>
      <c r="II211" s="973"/>
      <c r="IJ211" s="973"/>
      <c r="IK211" s="973"/>
      <c r="IL211" s="973"/>
      <c r="IM211" s="973"/>
      <c r="IN211" s="973"/>
      <c r="IO211" s="973"/>
      <c r="IP211" s="973"/>
      <c r="IQ211" s="973"/>
      <c r="IR211" s="973"/>
      <c r="IS211" s="973"/>
      <c r="IT211" s="973"/>
      <c r="IU211" s="973"/>
      <c r="IV211" s="973"/>
    </row>
    <row r="212" spans="1:256" s="244" customFormat="1" ht="12.75" x14ac:dyDescent="0.2">
      <c r="A212" s="1761" t="s">
        <v>779</v>
      </c>
      <c r="B212" s="22"/>
      <c r="C212" s="22"/>
      <c r="D212" s="22"/>
      <c r="E212" s="197"/>
      <c r="F212" s="21"/>
      <c r="G212" s="22"/>
      <c r="H212" s="22"/>
      <c r="I212" s="22"/>
      <c r="J212" s="197"/>
      <c r="K212" s="21"/>
      <c r="L212" s="22"/>
      <c r="M212" s="22"/>
      <c r="N212" s="22"/>
      <c r="O212" s="22"/>
      <c r="P212" s="21"/>
      <c r="Q212" s="22"/>
      <c r="R212" s="22"/>
      <c r="S212" s="22"/>
      <c r="T212" s="22"/>
      <c r="U212" s="21"/>
      <c r="V212" s="22"/>
      <c r="W212" s="22"/>
      <c r="X212" s="22"/>
      <c r="Y212" s="22"/>
      <c r="Z212" s="21"/>
      <c r="AA212" s="22"/>
      <c r="AB212" s="22"/>
      <c r="AC212" s="22"/>
      <c r="AD212" s="22"/>
      <c r="AE212" s="21"/>
      <c r="AF212" s="22"/>
      <c r="AG212" s="22"/>
      <c r="AH212" s="22"/>
      <c r="AI212" s="22"/>
      <c r="AJ212" s="21"/>
      <c r="AK212" s="22"/>
      <c r="AL212" s="22"/>
      <c r="AM212" s="22"/>
      <c r="AN212" s="22"/>
      <c r="AO212" s="21"/>
      <c r="AP212" s="22"/>
      <c r="AQ212" s="22"/>
      <c r="AR212" s="22"/>
      <c r="AS212" s="22"/>
      <c r="AT212" s="21">
        <f>+-AT207/AT294</f>
        <v>0.48068571428571433</v>
      </c>
      <c r="AU212" s="22"/>
      <c r="AV212" s="22"/>
      <c r="AW212" s="22"/>
      <c r="AX212" s="22"/>
      <c r="AY212" s="21">
        <f>+-AY207/AY294</f>
        <v>0.45711297071129708</v>
      </c>
      <c r="AZ212" s="22"/>
      <c r="BA212" s="22"/>
      <c r="BB212" s="22"/>
      <c r="BC212" s="22"/>
      <c r="BD212" s="21">
        <f>+-BD207/BD294</f>
        <v>0.52083333333333337</v>
      </c>
      <c r="BE212" s="22"/>
      <c r="BF212" s="22"/>
      <c r="BG212" s="22"/>
      <c r="BH212" s="22"/>
      <c r="BI212" s="21">
        <f>+-BI207/BI294</f>
        <v>0.68809849521203825</v>
      </c>
      <c r="BJ212" s="22"/>
      <c r="BK212" s="22"/>
      <c r="BL212" s="22"/>
      <c r="BM212" s="22"/>
      <c r="BN212" s="21">
        <f>+-BN207/BN294</f>
        <v>0.68900804289544237</v>
      </c>
      <c r="BO212" s="22"/>
      <c r="BP212" s="22"/>
      <c r="BQ212" s="22"/>
      <c r="BR212" s="22"/>
      <c r="BS212" s="21">
        <f>+-BS207/BS294</f>
        <v>0.7474600870827286</v>
      </c>
      <c r="BT212" s="22"/>
      <c r="BU212" s="22"/>
      <c r="BV212" s="22"/>
      <c r="BW212" s="22"/>
      <c r="BX212" s="21">
        <f>+-BX207/BX294</f>
        <v>0.71250000000000002</v>
      </c>
      <c r="BY212" s="22"/>
      <c r="BZ212" s="22"/>
      <c r="CA212" s="22"/>
      <c r="CB212" s="22"/>
      <c r="CC212" s="21">
        <f>+-CC207/CC294</f>
        <v>0.57444764649375601</v>
      </c>
      <c r="CD212" s="22"/>
      <c r="CE212" s="22"/>
      <c r="CF212" s="22"/>
      <c r="CG212" s="22"/>
      <c r="CH212" s="21">
        <f>+-CH207/CH294</f>
        <v>0.7551219512195122</v>
      </c>
      <c r="CI212" s="22"/>
      <c r="CJ212" s="22"/>
      <c r="CK212" s="22"/>
      <c r="CL212" s="22"/>
      <c r="CM212" s="21">
        <f>+-CM207/CM294</f>
        <v>0.62648556876061123</v>
      </c>
      <c r="CN212" s="22"/>
      <c r="CO212" s="22"/>
      <c r="CP212" s="22"/>
      <c r="CQ212" s="22"/>
      <c r="CR212" s="21">
        <f>+-CR207/CR294</f>
        <v>0.57792692020879943</v>
      </c>
      <c r="CS212" s="22"/>
      <c r="CT212" s="22"/>
      <c r="CU212" s="22"/>
      <c r="CV212" s="22"/>
      <c r="CW212" s="21">
        <f>+-CW207/CW294</f>
        <v>0.5160462130937099</v>
      </c>
      <c r="CX212" s="22"/>
      <c r="CY212" s="22"/>
      <c r="CZ212" s="22"/>
      <c r="DA212" s="22"/>
      <c r="DB212" s="21">
        <f>+-DB207/DB294</f>
        <v>0.64434180138568131</v>
      </c>
      <c r="DC212" s="22"/>
      <c r="DD212" s="22"/>
      <c r="DE212" s="22"/>
      <c r="DF212" s="22"/>
      <c r="DG212" s="21">
        <f>+-DG207/DG294</f>
        <v>0.55714285714285716</v>
      </c>
      <c r="DH212" s="22"/>
      <c r="DI212" s="22"/>
      <c r="DJ212" s="22"/>
      <c r="DK212" s="22"/>
      <c r="DL212" s="21">
        <f>+-DL207/DL294</f>
        <v>0.39907407407407408</v>
      </c>
      <c r="DM212" s="22"/>
      <c r="DN212" s="22"/>
      <c r="DO212" s="22"/>
      <c r="DP212" s="22"/>
      <c r="DQ212" s="21">
        <f>+-DQ207/DQ294</f>
        <v>0.40874609549308344</v>
      </c>
      <c r="DR212" s="22"/>
      <c r="DS212" s="22"/>
      <c r="DT212" s="22"/>
      <c r="DU212" s="22"/>
      <c r="DV212" s="21">
        <f>+-DV207/DV294</f>
        <v>0.46473871131405375</v>
      </c>
      <c r="DW212" s="22"/>
      <c r="DX212" s="22"/>
      <c r="DY212" s="22"/>
      <c r="DZ212" s="22"/>
      <c r="EA212" s="21">
        <f>+-EA207/EA294</f>
        <v>0.44900849858356939</v>
      </c>
      <c r="EB212" s="22"/>
      <c r="EC212" s="22"/>
      <c r="ED212" s="22"/>
      <c r="EE212" s="22"/>
      <c r="EF212" s="21">
        <f>+-EF207/EF294</f>
        <v>0.44192872117400417</v>
      </c>
      <c r="EG212" s="22"/>
      <c r="EH212" s="22"/>
      <c r="EI212" s="22"/>
      <c r="EJ212" s="22"/>
      <c r="EK212" s="21">
        <f>+-EK207/EK294</f>
        <v>0.54372019077901435</v>
      </c>
      <c r="EL212" s="22"/>
      <c r="EM212" s="22"/>
      <c r="EN212" s="22"/>
      <c r="EO212" s="22"/>
      <c r="EP212" s="21">
        <f>+-EP207/EP294</f>
        <v>0.61230412071967499</v>
      </c>
      <c r="EQ212" s="22"/>
      <c r="ER212" s="22"/>
      <c r="ES212" s="22"/>
      <c r="ET212" s="22"/>
      <c r="EU212" s="270">
        <f>+-EU207/EU294</f>
        <v>0.57788782555944684</v>
      </c>
      <c r="EV212" s="243"/>
      <c r="EW212" s="243"/>
      <c r="EX212" s="243"/>
      <c r="EY212" s="243"/>
      <c r="EZ212" s="21">
        <f>+-EZ207/EZ294</f>
        <v>0.54486198890477899</v>
      </c>
      <c r="FA212" s="243"/>
      <c r="FB212" s="243"/>
      <c r="FC212" s="243"/>
      <c r="FD212" s="243"/>
      <c r="FE212" s="21">
        <f>+-FE207/FE294</f>
        <v>0.54336752952116274</v>
      </c>
      <c r="FF212" s="791"/>
      <c r="FG212" s="618"/>
      <c r="FH212" s="1073"/>
      <c r="FI212" s="1073"/>
      <c r="FJ212" s="1073"/>
      <c r="FK212" s="1073"/>
      <c r="FL212" s="1806"/>
      <c r="FM212" s="22"/>
      <c r="FN212" s="22"/>
      <c r="FO212" s="2041"/>
      <c r="FP212" s="22"/>
      <c r="FQ212" s="22"/>
      <c r="FR212" s="587"/>
      <c r="FS212" s="120"/>
      <c r="FT212" s="120"/>
      <c r="FU212" s="120"/>
      <c r="FV212" s="120"/>
      <c r="FW212" s="120"/>
      <c r="FX212" s="120"/>
      <c r="FY212" s="120"/>
      <c r="FZ212" s="120"/>
      <c r="GA212" s="618"/>
      <c r="GB212"/>
      <c r="GC212"/>
      <c r="GD212"/>
      <c r="GE212"/>
      <c r="GF212"/>
      <c r="GG212"/>
      <c r="GH212" s="973"/>
      <c r="GI212" s="973"/>
      <c r="GJ212" s="973"/>
      <c r="GK212" s="973"/>
      <c r="GL212" s="973"/>
      <c r="GM212" s="973"/>
      <c r="GN212" s="973"/>
      <c r="GO212" s="973"/>
      <c r="GP212" s="973"/>
      <c r="GQ212" s="973"/>
      <c r="GR212" s="973"/>
      <c r="GS212" s="973"/>
      <c r="GT212" s="973"/>
      <c r="GU212" s="973"/>
      <c r="GV212" s="973"/>
      <c r="GW212" s="973"/>
      <c r="GX212" s="973"/>
      <c r="GY212" s="973"/>
      <c r="GZ212" s="973"/>
      <c r="HA212" s="973"/>
      <c r="HB212" s="973"/>
      <c r="HC212" s="973"/>
      <c r="HD212" s="973"/>
      <c r="HE212" s="973"/>
      <c r="HF212" s="973"/>
      <c r="HG212" s="973"/>
      <c r="HH212" s="973"/>
      <c r="HI212" s="973"/>
      <c r="HJ212" s="973"/>
      <c r="HK212" s="973"/>
      <c r="HL212" s="973"/>
      <c r="HM212" s="973"/>
      <c r="HN212" s="973"/>
      <c r="HO212" s="973"/>
      <c r="HP212" s="973"/>
      <c r="HQ212" s="973"/>
      <c r="HR212" s="973"/>
      <c r="HS212" s="973"/>
      <c r="HT212" s="973"/>
      <c r="HU212" s="973"/>
      <c r="HV212" s="973"/>
      <c r="HW212" s="973"/>
      <c r="HX212" s="973"/>
      <c r="HY212" s="973"/>
      <c r="HZ212" s="973"/>
      <c r="IA212" s="973"/>
      <c r="IB212" s="973"/>
      <c r="IC212" s="973"/>
      <c r="ID212" s="973"/>
      <c r="IE212" s="973"/>
      <c r="IF212" s="973"/>
      <c r="IG212" s="973"/>
      <c r="IH212" s="973"/>
      <c r="II212" s="973"/>
      <c r="IJ212" s="973"/>
      <c r="IK212" s="973"/>
      <c r="IL212" s="973"/>
      <c r="IM212" s="973"/>
      <c r="IN212" s="973"/>
      <c r="IO212" s="973"/>
      <c r="IP212" s="973"/>
      <c r="IQ212" s="973"/>
      <c r="IR212" s="973"/>
      <c r="IS212" s="973"/>
      <c r="IT212" s="973"/>
      <c r="IU212" s="973"/>
      <c r="IV212" s="973"/>
    </row>
    <row r="213" spans="1:256" s="244" customFormat="1" ht="12.75" x14ac:dyDescent="0.2">
      <c r="A213" s="1761" t="s">
        <v>780</v>
      </c>
      <c r="B213" s="22"/>
      <c r="C213" s="22"/>
      <c r="D213" s="22"/>
      <c r="E213" s="197"/>
      <c r="F213" s="21"/>
      <c r="G213" s="22"/>
      <c r="H213" s="22"/>
      <c r="I213" s="22"/>
      <c r="J213" s="197"/>
      <c r="K213" s="21"/>
      <c r="L213" s="22"/>
      <c r="M213" s="22"/>
      <c r="N213" s="22"/>
      <c r="O213" s="22"/>
      <c r="P213" s="21"/>
      <c r="Q213" s="22"/>
      <c r="R213" s="22"/>
      <c r="S213" s="22"/>
      <c r="T213" s="22"/>
      <c r="U213" s="21"/>
      <c r="V213" s="22"/>
      <c r="W213" s="22"/>
      <c r="X213" s="22"/>
      <c r="Y213" s="22"/>
      <c r="Z213" s="21"/>
      <c r="AA213" s="22"/>
      <c r="AB213" s="22"/>
      <c r="AC213" s="22"/>
      <c r="AD213" s="22"/>
      <c r="AE213" s="21"/>
      <c r="AF213" s="22"/>
      <c r="AG213" s="22"/>
      <c r="AH213" s="22"/>
      <c r="AI213" s="22"/>
      <c r="AJ213" s="21"/>
      <c r="AK213" s="22"/>
      <c r="AL213" s="22"/>
      <c r="AM213" s="22"/>
      <c r="AN213" s="22"/>
      <c r="AO213" s="21"/>
      <c r="AP213" s="22"/>
      <c r="AQ213" s="22"/>
      <c r="AR213" s="22"/>
      <c r="AS213" s="22"/>
      <c r="AT213" s="21">
        <f>+AT207/AT328</f>
        <v>4.2467689822294027E-2</v>
      </c>
      <c r="AU213" s="22"/>
      <c r="AV213" s="22"/>
      <c r="AW213" s="22"/>
      <c r="AX213" s="22"/>
      <c r="AY213" s="21">
        <f>+AY207/AY328</f>
        <v>4.1710413286246063E-2</v>
      </c>
      <c r="AZ213" s="22"/>
      <c r="BA213" s="22"/>
      <c r="BB213" s="22"/>
      <c r="BC213" s="22"/>
      <c r="BD213" s="21">
        <f>+BD207/BD328</f>
        <v>4.3355239138371665E-2</v>
      </c>
      <c r="BE213" s="22"/>
      <c r="BF213" s="22"/>
      <c r="BG213" s="22"/>
      <c r="BH213" s="22"/>
      <c r="BI213" s="21">
        <f>+BI207/BI328</f>
        <v>4.5294912201710939E-2</v>
      </c>
      <c r="BJ213" s="22"/>
      <c r="BK213" s="22"/>
      <c r="BL213" s="22"/>
      <c r="BM213" s="22"/>
      <c r="BN213" s="21">
        <f>+BN207/BN328</f>
        <v>4.586009992862241E-2</v>
      </c>
      <c r="BO213" s="22"/>
      <c r="BP213" s="22"/>
      <c r="BQ213" s="22"/>
      <c r="BR213" s="22"/>
      <c r="BS213" s="21">
        <f>+BS207/BS328</f>
        <v>4.5294635004397538E-2</v>
      </c>
      <c r="BT213" s="22"/>
      <c r="BU213" s="22"/>
      <c r="BV213" s="22"/>
      <c r="BW213" s="22"/>
      <c r="BX213" s="21">
        <f>+BX207/BX328</f>
        <v>4.3552084217675521E-2</v>
      </c>
      <c r="BY213" s="22"/>
      <c r="BZ213" s="22"/>
      <c r="CA213" s="22"/>
      <c r="CB213" s="22"/>
      <c r="CC213" s="21">
        <f>+CC207/CC328</f>
        <v>2.9133781545357108E-2</v>
      </c>
      <c r="CD213" s="22"/>
      <c r="CE213" s="22"/>
      <c r="CF213" s="22"/>
      <c r="CG213" s="22"/>
      <c r="CH213" s="21">
        <f>+CH207/CH328</f>
        <v>3.7328189052326981E-2</v>
      </c>
      <c r="CI213" s="22"/>
      <c r="CJ213" s="22"/>
      <c r="CK213" s="22"/>
      <c r="CL213" s="22"/>
      <c r="CM213" s="21">
        <f>+CM207/CM328</f>
        <v>3.497961892122476E-2</v>
      </c>
      <c r="CN213" s="22"/>
      <c r="CO213" s="22"/>
      <c r="CP213" s="22"/>
      <c r="CQ213" s="22"/>
      <c r="CR213" s="21">
        <f>+CR207/CR328</f>
        <v>3.5907890469350875E-2</v>
      </c>
      <c r="CS213" s="22"/>
      <c r="CT213" s="22"/>
      <c r="CU213" s="22"/>
      <c r="CV213" s="22"/>
      <c r="CW213" s="21">
        <f>+CW207/CW328</f>
        <v>3.6139704229783791E-2</v>
      </c>
      <c r="CX213" s="22"/>
      <c r="CY213" s="22"/>
      <c r="CZ213" s="22"/>
      <c r="DA213" s="22"/>
      <c r="DB213" s="21">
        <f>+DB207/DB328</f>
        <v>3.6965066466457627E-2</v>
      </c>
      <c r="DC213" s="22"/>
      <c r="DD213" s="22"/>
      <c r="DE213" s="22"/>
      <c r="DF213" s="22"/>
      <c r="DG213" s="21">
        <f>+DG207/DG328</f>
        <v>3.5254616675993285E-2</v>
      </c>
      <c r="DH213" s="22"/>
      <c r="DI213" s="22"/>
      <c r="DJ213" s="22"/>
      <c r="DK213" s="22"/>
      <c r="DL213" s="21">
        <f>+DL207/DL328</f>
        <v>3.5228247987249175E-2</v>
      </c>
      <c r="DM213" s="22"/>
      <c r="DN213" s="22"/>
      <c r="DO213" s="22"/>
      <c r="DP213" s="22"/>
      <c r="DQ213" s="21">
        <f>+DQ207/DQ328</f>
        <v>3.5592166614858561E-2</v>
      </c>
      <c r="DR213" s="22"/>
      <c r="DS213" s="22"/>
      <c r="DT213" s="22"/>
      <c r="DU213" s="22"/>
      <c r="DV213" s="21">
        <f>+DV207/DV328</f>
        <v>3.4377932069806716E-2</v>
      </c>
      <c r="DW213" s="22"/>
      <c r="DX213" s="22"/>
      <c r="DY213" s="22"/>
      <c r="DZ213" s="22"/>
      <c r="EA213" s="21">
        <f>+EA207/EA328</f>
        <v>3.4339568137502711E-2</v>
      </c>
      <c r="EB213" s="22"/>
      <c r="EC213" s="22"/>
      <c r="ED213" s="22"/>
      <c r="EE213" s="22"/>
      <c r="EF213" s="21">
        <f>+EF207/EF328</f>
        <v>3.6354856512141279E-2</v>
      </c>
      <c r="EG213" s="22"/>
      <c r="EH213" s="22"/>
      <c r="EI213" s="22"/>
      <c r="EJ213" s="22"/>
      <c r="EK213" s="21">
        <f>+EK207/EK328</f>
        <v>3.4486235756781287E-2</v>
      </c>
      <c r="EL213" s="22"/>
      <c r="EM213" s="22"/>
      <c r="EN213" s="22"/>
      <c r="EO213" s="22"/>
      <c r="EP213" s="21">
        <f>+EP207/EP328</f>
        <v>3.478404220243983E-2</v>
      </c>
      <c r="EQ213" s="22"/>
      <c r="ER213" s="22"/>
      <c r="ES213" s="22"/>
      <c r="ET213" s="22"/>
      <c r="EU213" s="270">
        <f>+EU207/EU328</f>
        <v>3.5331735248345923E-2</v>
      </c>
      <c r="EV213" s="243"/>
      <c r="EW213" s="243"/>
      <c r="EX213" s="243"/>
      <c r="EY213" s="243"/>
      <c r="EZ213" s="21">
        <f>+EZ207/EZ328</f>
        <v>3.5484420005647277E-2</v>
      </c>
      <c r="FA213" s="243"/>
      <c r="FB213" s="243"/>
      <c r="FC213" s="243"/>
      <c r="FD213" s="243"/>
      <c r="FE213" s="21">
        <f>+FE207/FE328</f>
        <v>3.5626792033450198E-2</v>
      </c>
      <c r="FF213" s="791"/>
      <c r="FG213" s="618"/>
      <c r="FH213" s="1073"/>
      <c r="FI213" s="1073"/>
      <c r="FJ213" s="1073"/>
      <c r="FK213" s="1073"/>
      <c r="FL213" s="1806"/>
      <c r="FM213" s="22"/>
      <c r="FN213" s="22"/>
      <c r="FO213" s="2041"/>
      <c r="FP213" s="22"/>
      <c r="FQ213" s="22"/>
      <c r="FR213" s="587"/>
      <c r="FS213" s="120"/>
      <c r="FT213" s="120"/>
      <c r="FU213" s="120"/>
      <c r="FV213" s="120"/>
      <c r="FW213" s="120"/>
      <c r="FX213" s="120"/>
      <c r="FY213" s="120"/>
      <c r="FZ213" s="120"/>
      <c r="GA213" s="618"/>
      <c r="GB213"/>
      <c r="GC213"/>
      <c r="GD213"/>
      <c r="GE213"/>
      <c r="GF213"/>
      <c r="GG213"/>
      <c r="GH213" s="973"/>
      <c r="GI213" s="973"/>
      <c r="GJ213" s="973"/>
      <c r="GK213" s="973"/>
      <c r="GL213" s="973"/>
      <c r="GM213" s="973"/>
      <c r="GN213" s="973"/>
      <c r="GO213" s="973"/>
      <c r="GP213" s="973"/>
      <c r="GQ213" s="973"/>
      <c r="GR213" s="973"/>
      <c r="GS213" s="973"/>
      <c r="GT213" s="973"/>
      <c r="GU213" s="973"/>
      <c r="GV213" s="973"/>
      <c r="GW213" s="973"/>
      <c r="GX213" s="973"/>
      <c r="GY213" s="973"/>
      <c r="GZ213" s="973"/>
      <c r="HA213" s="973"/>
      <c r="HB213" s="973"/>
      <c r="HC213" s="973"/>
      <c r="HD213" s="973"/>
      <c r="HE213" s="973"/>
      <c r="HF213" s="973"/>
      <c r="HG213" s="973"/>
      <c r="HH213" s="973"/>
      <c r="HI213" s="973"/>
      <c r="HJ213" s="973"/>
      <c r="HK213" s="973"/>
      <c r="HL213" s="973"/>
      <c r="HM213" s="973"/>
      <c r="HN213" s="973"/>
      <c r="HO213" s="973"/>
      <c r="HP213" s="973"/>
      <c r="HQ213" s="973"/>
      <c r="HR213" s="973"/>
      <c r="HS213" s="973"/>
      <c r="HT213" s="973"/>
      <c r="HU213" s="973"/>
      <c r="HV213" s="973"/>
      <c r="HW213" s="973"/>
      <c r="HX213" s="973"/>
      <c r="HY213" s="973"/>
      <c r="HZ213" s="973"/>
      <c r="IA213" s="973"/>
      <c r="IB213" s="973"/>
      <c r="IC213" s="973"/>
      <c r="ID213" s="973"/>
      <c r="IE213" s="973"/>
      <c r="IF213" s="973"/>
      <c r="IG213" s="973"/>
      <c r="IH213" s="973"/>
      <c r="II213" s="973"/>
      <c r="IJ213" s="973"/>
      <c r="IK213" s="973"/>
      <c r="IL213" s="973"/>
      <c r="IM213" s="973"/>
      <c r="IN213" s="973"/>
      <c r="IO213" s="973"/>
      <c r="IP213" s="973"/>
      <c r="IQ213" s="973"/>
      <c r="IR213" s="973"/>
      <c r="IS213" s="973"/>
      <c r="IT213" s="973"/>
      <c r="IU213" s="973"/>
      <c r="IV213" s="973"/>
    </row>
    <row r="214" spans="1:256" s="541" customFormat="1" ht="12.75" x14ac:dyDescent="0.2">
      <c r="A214" s="121" t="s">
        <v>539</v>
      </c>
      <c r="B214" s="540">
        <f t="shared" ref="B214:AG214" si="770">B207+B181+B174+B167+B153+B138+B188+B193+B200</f>
        <v>726.7</v>
      </c>
      <c r="C214" s="540">
        <f t="shared" si="770"/>
        <v>725.30000000000007</v>
      </c>
      <c r="D214" s="540">
        <f t="shared" si="770"/>
        <v>712.40000000000009</v>
      </c>
      <c r="E214" s="543">
        <f t="shared" si="770"/>
        <v>699.99999999999977</v>
      </c>
      <c r="F214" s="539">
        <f t="shared" si="770"/>
        <v>2864.3999999999996</v>
      </c>
      <c r="G214" s="540">
        <f t="shared" si="770"/>
        <v>744.30000000000007</v>
      </c>
      <c r="H214" s="540">
        <f t="shared" si="770"/>
        <v>737.59999999999991</v>
      </c>
      <c r="I214" s="540">
        <f t="shared" si="770"/>
        <v>727.1</v>
      </c>
      <c r="J214" s="543">
        <f t="shared" si="770"/>
        <v>730.89999999999986</v>
      </c>
      <c r="K214" s="539">
        <f t="shared" si="770"/>
        <v>2939.9</v>
      </c>
      <c r="L214" s="540">
        <f t="shared" si="770"/>
        <v>731</v>
      </c>
      <c r="M214" s="540">
        <f t="shared" si="770"/>
        <v>705.19999999999993</v>
      </c>
      <c r="N214" s="540">
        <f t="shared" si="770"/>
        <v>709.90000000000009</v>
      </c>
      <c r="O214" s="543">
        <f t="shared" si="770"/>
        <v>716.09999999999991</v>
      </c>
      <c r="P214" s="539">
        <f t="shared" si="770"/>
        <v>2862.2</v>
      </c>
      <c r="Q214" s="540">
        <f t="shared" si="770"/>
        <v>687.4</v>
      </c>
      <c r="R214" s="540">
        <f t="shared" si="770"/>
        <v>714.30000000000007</v>
      </c>
      <c r="S214" s="540">
        <f t="shared" si="770"/>
        <v>721.90000000000009</v>
      </c>
      <c r="T214" s="543">
        <f t="shared" si="770"/>
        <v>727.3</v>
      </c>
      <c r="U214" s="539">
        <f t="shared" si="770"/>
        <v>2850.8999999999996</v>
      </c>
      <c r="V214" s="540">
        <f t="shared" si="770"/>
        <v>723.09999999999991</v>
      </c>
      <c r="W214" s="540">
        <f t="shared" si="770"/>
        <v>711.9</v>
      </c>
      <c r="X214" s="540">
        <f t="shared" si="770"/>
        <v>705.7</v>
      </c>
      <c r="Y214" s="543">
        <f t="shared" si="770"/>
        <v>693.5</v>
      </c>
      <c r="Z214" s="539">
        <f t="shared" si="770"/>
        <v>2834.2</v>
      </c>
      <c r="AA214" s="540">
        <f t="shared" si="770"/>
        <v>718</v>
      </c>
      <c r="AB214" s="540">
        <f t="shared" si="770"/>
        <v>725.2</v>
      </c>
      <c r="AC214" s="540">
        <f t="shared" si="770"/>
        <v>711.9</v>
      </c>
      <c r="AD214" s="543">
        <f t="shared" si="770"/>
        <v>719.7</v>
      </c>
      <c r="AE214" s="539">
        <f t="shared" si="770"/>
        <v>2874.7999999999997</v>
      </c>
      <c r="AF214" s="540">
        <f t="shared" si="770"/>
        <v>749.2</v>
      </c>
      <c r="AG214" s="540">
        <f t="shared" si="770"/>
        <v>726.2</v>
      </c>
      <c r="AH214" s="540">
        <f t="shared" ref="AH214:BM214" si="771">AH207+AH181+AH174+AH167+AH153+AH138+AH188+AH193+AH200</f>
        <v>718.30000000000007</v>
      </c>
      <c r="AI214" s="543">
        <f t="shared" si="771"/>
        <v>716.2</v>
      </c>
      <c r="AJ214" s="539">
        <f t="shared" si="771"/>
        <v>2909.8999999999996</v>
      </c>
      <c r="AK214" s="540">
        <f t="shared" si="771"/>
        <v>754.80000000000007</v>
      </c>
      <c r="AL214" s="540">
        <f t="shared" si="771"/>
        <v>738</v>
      </c>
      <c r="AM214" s="540">
        <f t="shared" si="771"/>
        <v>719.7</v>
      </c>
      <c r="AN214" s="543">
        <f t="shared" si="771"/>
        <v>724.8</v>
      </c>
      <c r="AO214" s="539">
        <f t="shared" si="771"/>
        <v>2937.3000000000006</v>
      </c>
      <c r="AP214" s="540">
        <f t="shared" si="771"/>
        <v>764.5</v>
      </c>
      <c r="AQ214" s="540">
        <f t="shared" si="771"/>
        <v>746.4</v>
      </c>
      <c r="AR214" s="540">
        <f t="shared" si="771"/>
        <v>750.90000000000009</v>
      </c>
      <c r="AS214" s="543">
        <f t="shared" si="771"/>
        <v>748</v>
      </c>
      <c r="AT214" s="539">
        <f t="shared" si="771"/>
        <v>3009.8</v>
      </c>
      <c r="AU214" s="540">
        <f t="shared" si="771"/>
        <v>815.40000000000009</v>
      </c>
      <c r="AV214" s="540">
        <f t="shared" si="771"/>
        <v>786</v>
      </c>
      <c r="AW214" s="540">
        <f t="shared" si="771"/>
        <v>790</v>
      </c>
      <c r="AX214" s="543">
        <f t="shared" si="771"/>
        <v>778</v>
      </c>
      <c r="AY214" s="539">
        <f t="shared" si="771"/>
        <v>3169.3999999999996</v>
      </c>
      <c r="AZ214" s="540">
        <f t="shared" si="771"/>
        <v>793</v>
      </c>
      <c r="BA214" s="540">
        <f t="shared" si="771"/>
        <v>996</v>
      </c>
      <c r="BB214" s="540">
        <f t="shared" si="771"/>
        <v>1354</v>
      </c>
      <c r="BC214" s="543">
        <f t="shared" si="771"/>
        <v>1334</v>
      </c>
      <c r="BD214" s="539">
        <f t="shared" si="771"/>
        <v>4477</v>
      </c>
      <c r="BE214" s="540">
        <f t="shared" si="771"/>
        <v>1379</v>
      </c>
      <c r="BF214" s="540">
        <f t="shared" si="771"/>
        <v>1314</v>
      </c>
      <c r="BG214" s="540">
        <f t="shared" si="771"/>
        <v>1324</v>
      </c>
      <c r="BH214" s="543">
        <f t="shared" si="771"/>
        <v>1344</v>
      </c>
      <c r="BI214" s="539">
        <f t="shared" si="771"/>
        <v>5361</v>
      </c>
      <c r="BJ214" s="540">
        <f t="shared" si="771"/>
        <v>1335</v>
      </c>
      <c r="BK214" s="540">
        <f t="shared" si="771"/>
        <v>1310</v>
      </c>
      <c r="BL214" s="540">
        <f t="shared" si="771"/>
        <v>1263</v>
      </c>
      <c r="BM214" s="543">
        <f t="shared" si="771"/>
        <v>1255</v>
      </c>
      <c r="BN214" s="539">
        <f t="shared" ref="BN214:CS214" si="772">BN207+BN181+BN174+BN167+BN153+BN138+BN188+BN193+BN200</f>
        <v>5163</v>
      </c>
      <c r="BO214" s="540">
        <f t="shared" si="772"/>
        <v>1261</v>
      </c>
      <c r="BP214" s="540">
        <f t="shared" si="772"/>
        <v>1271</v>
      </c>
      <c r="BQ214" s="540">
        <f t="shared" si="772"/>
        <v>1287</v>
      </c>
      <c r="BR214" s="543">
        <f t="shared" si="772"/>
        <v>1293</v>
      </c>
      <c r="BS214" s="539">
        <f t="shared" si="772"/>
        <v>5112</v>
      </c>
      <c r="BT214" s="540">
        <f t="shared" si="772"/>
        <v>1330</v>
      </c>
      <c r="BU214" s="540">
        <f t="shared" si="772"/>
        <v>1335</v>
      </c>
      <c r="BV214" s="540">
        <f t="shared" si="772"/>
        <v>1287</v>
      </c>
      <c r="BW214" s="543">
        <f t="shared" si="772"/>
        <v>1345</v>
      </c>
      <c r="BX214" s="539">
        <f t="shared" si="772"/>
        <v>5297</v>
      </c>
      <c r="BY214" s="540">
        <f t="shared" si="772"/>
        <v>1347</v>
      </c>
      <c r="BZ214" s="540">
        <f t="shared" si="772"/>
        <v>1388</v>
      </c>
      <c r="CA214" s="540">
        <f t="shared" si="772"/>
        <v>1388</v>
      </c>
      <c r="CB214" s="543">
        <f t="shared" si="772"/>
        <v>1487</v>
      </c>
      <c r="CC214" s="539">
        <f t="shared" si="772"/>
        <v>5291</v>
      </c>
      <c r="CD214" s="540">
        <f t="shared" si="772"/>
        <v>1558</v>
      </c>
      <c r="CE214" s="540">
        <f t="shared" si="772"/>
        <v>1541</v>
      </c>
      <c r="CF214" s="540">
        <f t="shared" si="772"/>
        <v>1627</v>
      </c>
      <c r="CG214" s="543">
        <f t="shared" si="772"/>
        <v>1663</v>
      </c>
      <c r="CH214" s="539">
        <f t="shared" si="772"/>
        <v>6389</v>
      </c>
      <c r="CI214" s="540">
        <f t="shared" si="772"/>
        <v>1752</v>
      </c>
      <c r="CJ214" s="540">
        <f t="shared" si="772"/>
        <v>1715</v>
      </c>
      <c r="CK214" s="540">
        <f t="shared" si="772"/>
        <v>1678</v>
      </c>
      <c r="CL214" s="543">
        <f t="shared" si="772"/>
        <v>1705</v>
      </c>
      <c r="CM214" s="539">
        <f t="shared" si="772"/>
        <v>6850</v>
      </c>
      <c r="CN214" s="540">
        <f t="shared" si="772"/>
        <v>1719</v>
      </c>
      <c r="CO214" s="540">
        <f t="shared" si="772"/>
        <v>1688</v>
      </c>
      <c r="CP214" s="540">
        <f t="shared" si="772"/>
        <v>1672</v>
      </c>
      <c r="CQ214" s="543">
        <f t="shared" si="772"/>
        <v>1768</v>
      </c>
      <c r="CR214" s="539">
        <f t="shared" si="772"/>
        <v>6847</v>
      </c>
      <c r="CS214" s="540">
        <f t="shared" si="772"/>
        <v>1909</v>
      </c>
      <c r="CT214" s="540">
        <f t="shared" ref="CT214:DY214" si="773">CT207+CT181+CT174+CT167+CT153+CT138+CT188+CT193+CT200</f>
        <v>1966</v>
      </c>
      <c r="CU214" s="540">
        <f t="shared" si="773"/>
        <v>2000</v>
      </c>
      <c r="CV214" s="543">
        <f t="shared" si="773"/>
        <v>1689</v>
      </c>
      <c r="CW214" s="539">
        <f t="shared" si="773"/>
        <v>7564</v>
      </c>
      <c r="CX214" s="540">
        <f t="shared" si="773"/>
        <v>1560</v>
      </c>
      <c r="CY214" s="540">
        <f t="shared" si="773"/>
        <v>1389</v>
      </c>
      <c r="CZ214" s="540">
        <f t="shared" si="773"/>
        <v>1501</v>
      </c>
      <c r="DA214" s="540">
        <f t="shared" si="773"/>
        <v>1557</v>
      </c>
      <c r="DB214" s="539">
        <f t="shared" si="773"/>
        <v>6007</v>
      </c>
      <c r="DC214" s="540">
        <f t="shared" si="773"/>
        <v>1683</v>
      </c>
      <c r="DD214" s="540">
        <f t="shared" si="773"/>
        <v>1697</v>
      </c>
      <c r="DE214" s="540">
        <f t="shared" si="773"/>
        <v>1710</v>
      </c>
      <c r="DF214" s="540">
        <f t="shared" si="773"/>
        <v>1750</v>
      </c>
      <c r="DG214" s="539">
        <f t="shared" si="773"/>
        <v>6840</v>
      </c>
      <c r="DH214" s="540">
        <f t="shared" si="773"/>
        <v>1962</v>
      </c>
      <c r="DI214" s="540">
        <f t="shared" si="773"/>
        <v>1991</v>
      </c>
      <c r="DJ214" s="540">
        <f t="shared" si="773"/>
        <v>1951</v>
      </c>
      <c r="DK214" s="540">
        <f t="shared" si="773"/>
        <v>1997</v>
      </c>
      <c r="DL214" s="539">
        <f t="shared" si="773"/>
        <v>7901</v>
      </c>
      <c r="DM214" s="540">
        <f t="shared" si="773"/>
        <v>2044</v>
      </c>
      <c r="DN214" s="540">
        <f t="shared" si="773"/>
        <v>1940</v>
      </c>
      <c r="DO214" s="540">
        <f t="shared" si="773"/>
        <v>1962</v>
      </c>
      <c r="DP214" s="540">
        <f t="shared" si="773"/>
        <v>1970</v>
      </c>
      <c r="DQ214" s="539">
        <f t="shared" si="773"/>
        <v>7916</v>
      </c>
      <c r="DR214" s="540">
        <f t="shared" si="773"/>
        <v>2047</v>
      </c>
      <c r="DS214" s="540">
        <f t="shared" si="773"/>
        <v>1966</v>
      </c>
      <c r="DT214" s="540">
        <f t="shared" si="773"/>
        <v>1975</v>
      </c>
      <c r="DU214" s="540">
        <f t="shared" si="773"/>
        <v>2000</v>
      </c>
      <c r="DV214" s="539">
        <f t="shared" si="773"/>
        <v>7988</v>
      </c>
      <c r="DW214" s="540">
        <f t="shared" si="773"/>
        <v>2022</v>
      </c>
      <c r="DX214" s="540">
        <f t="shared" si="773"/>
        <v>2023</v>
      </c>
      <c r="DY214" s="540">
        <f t="shared" si="773"/>
        <v>2024.9</v>
      </c>
      <c r="DZ214" s="540">
        <f t="shared" ref="DZ214:EU214" si="774">DZ207+DZ181+DZ174+DZ167+DZ153+DZ138+DZ188+DZ193+DZ200</f>
        <v>1979</v>
      </c>
      <c r="EA214" s="539">
        <f t="shared" si="774"/>
        <v>8048.9</v>
      </c>
      <c r="EB214" s="540">
        <f t="shared" si="774"/>
        <v>1961</v>
      </c>
      <c r="EC214" s="540">
        <f t="shared" si="774"/>
        <v>1899</v>
      </c>
      <c r="ED214" s="540">
        <f t="shared" si="774"/>
        <v>1891</v>
      </c>
      <c r="EE214" s="540">
        <f t="shared" si="774"/>
        <v>1876</v>
      </c>
      <c r="EF214" s="539">
        <f t="shared" si="774"/>
        <v>7627</v>
      </c>
      <c r="EG214" s="540">
        <f t="shared" si="774"/>
        <v>1697</v>
      </c>
      <c r="EH214" s="540">
        <f t="shared" si="774"/>
        <v>1684</v>
      </c>
      <c r="EI214" s="540">
        <f t="shared" si="774"/>
        <v>1704</v>
      </c>
      <c r="EJ214" s="540">
        <f t="shared" si="774"/>
        <v>1729</v>
      </c>
      <c r="EK214" s="539">
        <f t="shared" si="774"/>
        <v>6814</v>
      </c>
      <c r="EL214" s="540">
        <f t="shared" si="774"/>
        <v>1818</v>
      </c>
      <c r="EM214" s="540">
        <f t="shared" si="774"/>
        <v>1765</v>
      </c>
      <c r="EN214" s="540">
        <f t="shared" si="774"/>
        <v>1775</v>
      </c>
      <c r="EO214" s="540">
        <f t="shared" ref="EO214:EQ214" si="775">EO207+EO181+EO174+EO167+EO153+EO138+EO188+EO193+EO200</f>
        <v>1822</v>
      </c>
      <c r="EP214" s="539">
        <f t="shared" si="775"/>
        <v>7180</v>
      </c>
      <c r="EQ214" s="540">
        <f t="shared" si="775"/>
        <v>1882</v>
      </c>
      <c r="ER214" s="540">
        <f t="shared" si="774"/>
        <v>1874.1107030952085</v>
      </c>
      <c r="ES214" s="540">
        <f t="shared" si="774"/>
        <v>1962.5599585940367</v>
      </c>
      <c r="ET214" s="540">
        <f t="shared" si="774"/>
        <v>1947.2359408282998</v>
      </c>
      <c r="EU214" s="1966">
        <f t="shared" si="774"/>
        <v>7665.9066025175462</v>
      </c>
      <c r="EV214" s="540"/>
      <c r="EW214" s="540"/>
      <c r="EX214" s="540"/>
      <c r="EY214" s="540"/>
      <c r="EZ214" s="855">
        <f>EZ207+EZ181+EZ174+EZ167+EZ153+EZ138+EZ188+EZ193+EZ200</f>
        <v>7923.8007310281673</v>
      </c>
      <c r="FA214" s="540"/>
      <c r="FB214" s="540"/>
      <c r="FC214" s="540"/>
      <c r="FD214" s="540"/>
      <c r="FE214" s="855">
        <f>FE207+FE181+FE174+FE167+FE153+FE138+FE188+FE193+FE200</f>
        <v>8174.9567247265513</v>
      </c>
      <c r="FF214" s="780"/>
      <c r="FG214" s="656"/>
      <c r="FH214" s="1034"/>
      <c r="FI214" s="1034"/>
      <c r="FJ214" s="1034"/>
      <c r="FK214" s="1034"/>
      <c r="FL214" s="1822"/>
      <c r="FM214" s="540">
        <f t="shared" ref="FM214:FM219" si="776">EQ214</f>
        <v>1882</v>
      </c>
      <c r="FN214" s="540">
        <f t="shared" ref="FN214:FN219" si="777">EL214</f>
        <v>1818</v>
      </c>
      <c r="FO214" s="540">
        <v>1884.6987928083331</v>
      </c>
      <c r="FP214" s="1875">
        <f>IFERROR(($FM214/FN214)-1,"")</f>
        <v>3.5203520352035111E-2</v>
      </c>
      <c r="FQ214" s="1875">
        <f>IFERROR(($FM214/FO214)-1,"")</f>
        <v>-1.4319491361862724E-3</v>
      </c>
      <c r="FR214" s="540" t="s">
        <v>863</v>
      </c>
      <c r="FS214" s="540"/>
      <c r="FT214" s="540"/>
      <c r="FU214" s="540"/>
      <c r="FV214" s="540"/>
      <c r="FW214" s="540"/>
      <c r="FX214" s="540"/>
      <c r="FY214" s="540"/>
      <c r="FZ214" s="540"/>
      <c r="GA214" s="656"/>
      <c r="GB214"/>
      <c r="GC214"/>
      <c r="GD214"/>
      <c r="GE214"/>
      <c r="GF214"/>
      <c r="GG214"/>
      <c r="GH214" s="972"/>
      <c r="GI214" s="972"/>
      <c r="GJ214" s="972"/>
      <c r="GK214" s="972"/>
      <c r="GL214" s="972"/>
      <c r="GM214" s="972"/>
      <c r="GN214" s="972"/>
      <c r="GO214" s="972"/>
      <c r="GP214" s="972"/>
      <c r="GQ214" s="972"/>
      <c r="GR214" s="972"/>
      <c r="GS214" s="972"/>
      <c r="GT214" s="972"/>
      <c r="GU214" s="972"/>
      <c r="GV214" s="972"/>
      <c r="GW214" s="972"/>
      <c r="GX214" s="972"/>
      <c r="GY214" s="972"/>
      <c r="GZ214" s="972"/>
      <c r="HA214" s="972"/>
      <c r="HB214" s="972"/>
      <c r="HC214" s="972"/>
      <c r="HD214" s="972"/>
      <c r="HE214" s="972"/>
      <c r="HF214" s="972"/>
      <c r="HG214" s="972"/>
      <c r="HH214" s="972"/>
      <c r="HI214" s="972"/>
      <c r="HJ214" s="972"/>
      <c r="HK214" s="972"/>
      <c r="HL214" s="972"/>
      <c r="HM214" s="972"/>
      <c r="HN214" s="972"/>
      <c r="HO214" s="972"/>
      <c r="HP214" s="972"/>
      <c r="HQ214" s="972"/>
      <c r="HR214" s="972"/>
      <c r="HS214" s="972"/>
      <c r="HT214" s="972"/>
      <c r="HU214" s="972"/>
      <c r="HV214" s="972"/>
      <c r="HW214" s="972"/>
      <c r="HX214" s="972"/>
      <c r="HY214" s="972"/>
      <c r="HZ214" s="972"/>
      <c r="IA214" s="972"/>
      <c r="IB214" s="972"/>
      <c r="IC214" s="972"/>
      <c r="ID214" s="972"/>
      <c r="IE214" s="972"/>
      <c r="IF214" s="972"/>
      <c r="IG214" s="972"/>
      <c r="IH214" s="972"/>
      <c r="II214" s="972"/>
      <c r="IJ214" s="972"/>
      <c r="IK214" s="972"/>
      <c r="IL214" s="972"/>
      <c r="IM214" s="972"/>
      <c r="IN214" s="972"/>
      <c r="IO214" s="972"/>
      <c r="IP214" s="972"/>
      <c r="IQ214" s="972"/>
      <c r="IR214" s="972"/>
      <c r="IS214" s="972"/>
      <c r="IT214" s="972"/>
      <c r="IU214" s="972"/>
      <c r="IV214" s="972"/>
    </row>
    <row r="215" spans="1:256" s="99" customFormat="1" ht="12.75" x14ac:dyDescent="0.2">
      <c r="A215" s="44" t="s">
        <v>74</v>
      </c>
      <c r="B215" s="22"/>
      <c r="C215" s="22"/>
      <c r="D215" s="22"/>
      <c r="E215" s="197"/>
      <c r="F215" s="21"/>
      <c r="G215" s="22">
        <f t="shared" ref="G215:BR215" si="778">G214/B214-1</f>
        <v>2.4219072519609197E-2</v>
      </c>
      <c r="H215" s="22">
        <f t="shared" si="778"/>
        <v>1.6958499931062798E-2</v>
      </c>
      <c r="I215" s="22">
        <f t="shared" si="778"/>
        <v>2.0634475014037035E-2</v>
      </c>
      <c r="J215" s="197">
        <f t="shared" si="778"/>
        <v>4.4142857142857261E-2</v>
      </c>
      <c r="K215" s="21">
        <f t="shared" si="778"/>
        <v>2.635805055159901E-2</v>
      </c>
      <c r="L215" s="22">
        <f t="shared" si="778"/>
        <v>-1.7869138788123129E-2</v>
      </c>
      <c r="M215" s="22">
        <f t="shared" si="778"/>
        <v>-4.3926247288503251E-2</v>
      </c>
      <c r="N215" s="22">
        <f t="shared" si="778"/>
        <v>-2.3655618209324603E-2</v>
      </c>
      <c r="O215" s="197">
        <f t="shared" si="778"/>
        <v>-2.0249008072239616E-2</v>
      </c>
      <c r="P215" s="21">
        <f t="shared" si="778"/>
        <v>-2.6429470390149423E-2</v>
      </c>
      <c r="Q215" s="22">
        <f t="shared" si="778"/>
        <v>-5.9644322845417319E-2</v>
      </c>
      <c r="R215" s="22">
        <f t="shared" si="778"/>
        <v>1.2904140669313779E-2</v>
      </c>
      <c r="S215" s="22">
        <f t="shared" si="778"/>
        <v>1.6903789266093705E-2</v>
      </c>
      <c r="T215" s="197">
        <f t="shared" si="778"/>
        <v>1.564027370478982E-2</v>
      </c>
      <c r="U215" s="21">
        <f t="shared" si="778"/>
        <v>-3.9480120187269652E-3</v>
      </c>
      <c r="V215" s="22">
        <f t="shared" si="778"/>
        <v>5.1934826883910379E-2</v>
      </c>
      <c r="W215" s="22">
        <f t="shared" si="778"/>
        <v>-3.3599328013440566E-3</v>
      </c>
      <c r="X215" s="22">
        <f t="shared" si="778"/>
        <v>-2.2440781271644283E-2</v>
      </c>
      <c r="Y215" s="197">
        <f t="shared" si="778"/>
        <v>-4.6473257252853006E-2</v>
      </c>
      <c r="Z215" s="21">
        <f t="shared" si="778"/>
        <v>-5.857799291451804E-3</v>
      </c>
      <c r="AA215" s="22">
        <f t="shared" si="778"/>
        <v>-7.0529663946894416E-3</v>
      </c>
      <c r="AB215" s="22">
        <f t="shared" si="778"/>
        <v>1.8682399213372669E-2</v>
      </c>
      <c r="AC215" s="22">
        <f t="shared" si="778"/>
        <v>8.7856029474280284E-3</v>
      </c>
      <c r="AD215" s="197">
        <f t="shared" si="778"/>
        <v>3.7779379956741188E-2</v>
      </c>
      <c r="AE215" s="21">
        <f t="shared" si="778"/>
        <v>1.432502999082641E-2</v>
      </c>
      <c r="AF215" s="22">
        <f t="shared" si="778"/>
        <v>4.345403899721445E-2</v>
      </c>
      <c r="AG215" s="22">
        <f t="shared" si="778"/>
        <v>1.3789299503585983E-3</v>
      </c>
      <c r="AH215" s="22">
        <f t="shared" si="778"/>
        <v>8.990026689141839E-3</v>
      </c>
      <c r="AI215" s="197">
        <f t="shared" si="778"/>
        <v>-4.8631374183687459E-3</v>
      </c>
      <c r="AJ215" s="21">
        <f t="shared" si="778"/>
        <v>1.2209545011826917E-2</v>
      </c>
      <c r="AK215" s="22">
        <f t="shared" si="778"/>
        <v>7.4746396155900285E-3</v>
      </c>
      <c r="AL215" s="22">
        <f t="shared" si="778"/>
        <v>1.624896722665925E-2</v>
      </c>
      <c r="AM215" s="22">
        <f t="shared" si="778"/>
        <v>1.9490463594598051E-3</v>
      </c>
      <c r="AN215" s="197">
        <f t="shared" si="778"/>
        <v>1.2007819044959289E-2</v>
      </c>
      <c r="AO215" s="21">
        <f t="shared" si="778"/>
        <v>9.4161311385274615E-3</v>
      </c>
      <c r="AP215" s="22">
        <f t="shared" si="778"/>
        <v>1.2851086380498034E-2</v>
      </c>
      <c r="AQ215" s="22">
        <f t="shared" si="778"/>
        <v>1.1382113821138073E-2</v>
      </c>
      <c r="AR215" s="22">
        <f t="shared" si="778"/>
        <v>4.3351396415173049E-2</v>
      </c>
      <c r="AS215" s="197">
        <f t="shared" si="778"/>
        <v>3.2008830022075108E-2</v>
      </c>
      <c r="AT215" s="21">
        <f t="shared" si="778"/>
        <v>2.4682531576617928E-2</v>
      </c>
      <c r="AU215" s="22">
        <f t="shared" si="778"/>
        <v>6.657946370176604E-2</v>
      </c>
      <c r="AV215" s="22">
        <f t="shared" si="778"/>
        <v>5.3054662379421247E-2</v>
      </c>
      <c r="AW215" s="22">
        <f t="shared" si="778"/>
        <v>5.207084831535469E-2</v>
      </c>
      <c r="AX215" s="197">
        <f t="shared" si="778"/>
        <v>4.0106951871657692E-2</v>
      </c>
      <c r="AY215" s="21">
        <f t="shared" si="778"/>
        <v>5.3026779187985706E-2</v>
      </c>
      <c r="AZ215" s="22">
        <f t="shared" si="778"/>
        <v>-2.7471179789060662E-2</v>
      </c>
      <c r="BA215" s="22">
        <f t="shared" si="778"/>
        <v>0.26717557251908386</v>
      </c>
      <c r="BB215" s="22">
        <f t="shared" si="778"/>
        <v>0.71392405063291142</v>
      </c>
      <c r="BC215" s="197">
        <f t="shared" si="778"/>
        <v>0.71465295629820047</v>
      </c>
      <c r="BD215" s="21">
        <f t="shared" si="778"/>
        <v>0.41257020256199928</v>
      </c>
      <c r="BE215" s="22">
        <f t="shared" si="778"/>
        <v>0.73896595208070615</v>
      </c>
      <c r="BF215" s="22">
        <f t="shared" si="778"/>
        <v>0.31927710843373491</v>
      </c>
      <c r="BG215" s="22">
        <f t="shared" si="778"/>
        <v>-2.215657311669128E-2</v>
      </c>
      <c r="BH215" s="197">
        <f t="shared" si="778"/>
        <v>7.496251874062887E-3</v>
      </c>
      <c r="BI215" s="21">
        <f t="shared" si="778"/>
        <v>0.19745365199910658</v>
      </c>
      <c r="BJ215" s="22">
        <f t="shared" si="778"/>
        <v>-3.1907179115300943E-2</v>
      </c>
      <c r="BK215" s="22">
        <f t="shared" si="778"/>
        <v>-3.0441400304414001E-3</v>
      </c>
      <c r="BL215" s="22">
        <f t="shared" si="778"/>
        <v>-4.6072507552870068E-2</v>
      </c>
      <c r="BM215" s="197">
        <f t="shared" si="778"/>
        <v>-6.6220238095238138E-2</v>
      </c>
      <c r="BN215" s="21">
        <f t="shared" si="778"/>
        <v>-3.693340794627864E-2</v>
      </c>
      <c r="BO215" s="22">
        <f t="shared" si="778"/>
        <v>-5.5430711610486849E-2</v>
      </c>
      <c r="BP215" s="22">
        <f t="shared" si="778"/>
        <v>-2.977099236641223E-2</v>
      </c>
      <c r="BQ215" s="22">
        <f t="shared" si="778"/>
        <v>1.9002375296912177E-2</v>
      </c>
      <c r="BR215" s="197">
        <f t="shared" si="778"/>
        <v>3.0278884462151323E-2</v>
      </c>
      <c r="BS215" s="21">
        <f t="shared" ref="BS215:DY215" si="779">BS214/BN214-1</f>
        <v>-9.8779779198140405E-3</v>
      </c>
      <c r="BT215" s="22">
        <f t="shared" si="779"/>
        <v>5.4718477398889798E-2</v>
      </c>
      <c r="BU215" s="22">
        <f t="shared" si="779"/>
        <v>5.0354051927615995E-2</v>
      </c>
      <c r="BV215" s="22">
        <f t="shared" si="779"/>
        <v>0</v>
      </c>
      <c r="BW215" s="197">
        <f t="shared" si="779"/>
        <v>4.0216550657385941E-2</v>
      </c>
      <c r="BX215" s="21">
        <f t="shared" si="779"/>
        <v>3.618935837245707E-2</v>
      </c>
      <c r="BY215" s="22">
        <f t="shared" si="779"/>
        <v>1.2781954887218117E-2</v>
      </c>
      <c r="BZ215" s="22">
        <f t="shared" si="779"/>
        <v>3.970037453183517E-2</v>
      </c>
      <c r="CA215" s="22">
        <f t="shared" si="779"/>
        <v>7.8477078477078521E-2</v>
      </c>
      <c r="CB215" s="197">
        <f t="shared" si="779"/>
        <v>0.1055762081784386</v>
      </c>
      <c r="CC215" s="21">
        <f t="shared" si="779"/>
        <v>-1.1327166320558302E-3</v>
      </c>
      <c r="CD215" s="22">
        <f t="shared" si="779"/>
        <v>0.15664439495174465</v>
      </c>
      <c r="CE215" s="22">
        <f t="shared" si="779"/>
        <v>0.11023054755043238</v>
      </c>
      <c r="CF215" s="22">
        <f t="shared" si="779"/>
        <v>0.1721902017291066</v>
      </c>
      <c r="CG215" s="197">
        <f t="shared" si="779"/>
        <v>0.11835911230665763</v>
      </c>
      <c r="CH215" s="21">
        <f t="shared" si="779"/>
        <v>0.20752220752220762</v>
      </c>
      <c r="CI215" s="22">
        <f t="shared" si="779"/>
        <v>0.12451861360718874</v>
      </c>
      <c r="CJ215" s="22">
        <f t="shared" si="779"/>
        <v>0.11291369240752758</v>
      </c>
      <c r="CK215" s="22">
        <f t="shared" si="779"/>
        <v>3.1346035648432746E-2</v>
      </c>
      <c r="CL215" s="197">
        <f t="shared" si="779"/>
        <v>2.525556223692127E-2</v>
      </c>
      <c r="CM215" s="21">
        <f t="shared" si="779"/>
        <v>7.2155266864924128E-2</v>
      </c>
      <c r="CN215" s="22">
        <f t="shared" si="779"/>
        <v>-1.8835616438356184E-2</v>
      </c>
      <c r="CO215" s="22">
        <f t="shared" si="779"/>
        <v>-1.574344023323615E-2</v>
      </c>
      <c r="CP215" s="22">
        <f t="shared" si="779"/>
        <v>-3.5756853396901045E-3</v>
      </c>
      <c r="CQ215" s="197">
        <f t="shared" si="779"/>
        <v>3.6950146627565905E-2</v>
      </c>
      <c r="CR215" s="21">
        <f t="shared" si="779"/>
        <v>-4.3795620437958593E-4</v>
      </c>
      <c r="CS215" s="22">
        <f t="shared" si="779"/>
        <v>0.11052937754508441</v>
      </c>
      <c r="CT215" s="22">
        <f t="shared" si="779"/>
        <v>0.16469194312796209</v>
      </c>
      <c r="CU215" s="22">
        <f t="shared" si="779"/>
        <v>0.19617224880382778</v>
      </c>
      <c r="CV215" s="197">
        <f t="shared" si="779"/>
        <v>-4.4683257918551988E-2</v>
      </c>
      <c r="CW215" s="21">
        <f t="shared" si="779"/>
        <v>0.10471739447933404</v>
      </c>
      <c r="CX215" s="22">
        <f t="shared" si="779"/>
        <v>-0.1828182294394971</v>
      </c>
      <c r="CY215" s="22">
        <f t="shared" si="779"/>
        <v>-0.29348931841302139</v>
      </c>
      <c r="CZ215" s="22">
        <f t="shared" si="779"/>
        <v>-0.24950000000000006</v>
      </c>
      <c r="DA215" s="22">
        <f>DA214/CV214-1</f>
        <v>-7.8152753108348127E-2</v>
      </c>
      <c r="DB215" s="21">
        <f>DB214/CW214-1</f>
        <v>-0.20584346906398732</v>
      </c>
      <c r="DC215" s="22">
        <f t="shared" si="779"/>
        <v>7.8846153846153788E-2</v>
      </c>
      <c r="DD215" s="22">
        <f t="shared" si="779"/>
        <v>0.22174226061915037</v>
      </c>
      <c r="DE215" s="22">
        <f t="shared" si="779"/>
        <v>0.139240506329114</v>
      </c>
      <c r="DF215" s="22">
        <f>DF214/DA214-1</f>
        <v>0.12395632626846509</v>
      </c>
      <c r="DG215" s="21">
        <f t="shared" si="779"/>
        <v>0.1386715498584985</v>
      </c>
      <c r="DH215" s="22">
        <f>DH214/DC214-1</f>
        <v>0.16577540106951871</v>
      </c>
      <c r="DI215" s="22">
        <f t="shared" si="779"/>
        <v>0.17324690630524464</v>
      </c>
      <c r="DJ215" s="22">
        <f t="shared" si="779"/>
        <v>0.1409356725146198</v>
      </c>
      <c r="DK215" s="22">
        <f t="shared" si="779"/>
        <v>0.14114285714285724</v>
      </c>
      <c r="DL215" s="21">
        <f t="shared" si="779"/>
        <v>0.15511695906432754</v>
      </c>
      <c r="DM215" s="22">
        <f t="shared" si="779"/>
        <v>4.1794087665647295E-2</v>
      </c>
      <c r="DN215" s="22">
        <f t="shared" si="779"/>
        <v>-2.5615268709191397E-2</v>
      </c>
      <c r="DO215" s="22">
        <f t="shared" si="779"/>
        <v>5.6381342901077325E-3</v>
      </c>
      <c r="DP215" s="22">
        <f t="shared" si="779"/>
        <v>-1.3520280420630915E-2</v>
      </c>
      <c r="DQ215" s="21">
        <f t="shared" si="779"/>
        <v>1.8984938615365099E-3</v>
      </c>
      <c r="DR215" s="22">
        <f t="shared" si="779"/>
        <v>1.4677103718199191E-3</v>
      </c>
      <c r="DS215" s="22">
        <f t="shared" si="779"/>
        <v>1.3402061855670055E-2</v>
      </c>
      <c r="DT215" s="22">
        <f t="shared" si="779"/>
        <v>6.6258919469928124E-3</v>
      </c>
      <c r="DU215" s="22">
        <f t="shared" si="779"/>
        <v>1.5228426395939021E-2</v>
      </c>
      <c r="DV215" s="21">
        <f t="shared" si="779"/>
        <v>9.0955027791814747E-3</v>
      </c>
      <c r="DW215" s="22">
        <f>DW214/DR214-1</f>
        <v>-1.2212994626282336E-2</v>
      </c>
      <c r="DX215" s="22">
        <f t="shared" si="779"/>
        <v>2.8992878942014189E-2</v>
      </c>
      <c r="DY215" s="22">
        <f t="shared" si="779"/>
        <v>2.5265822784810155E-2</v>
      </c>
      <c r="DZ215" s="22">
        <f t="shared" ref="DZ215:EI215" si="780">DZ214/DU214-1</f>
        <v>-1.0499999999999954E-2</v>
      </c>
      <c r="EA215" s="21">
        <f t="shared" si="780"/>
        <v>7.6239359038556831E-3</v>
      </c>
      <c r="EB215" s="22">
        <f t="shared" si="780"/>
        <v>-3.0168150346191913E-2</v>
      </c>
      <c r="EC215" s="22">
        <f t="shared" si="780"/>
        <v>-6.1295106277805211E-2</v>
      </c>
      <c r="ED215" s="22">
        <f t="shared" si="780"/>
        <v>-6.6126722307274455E-2</v>
      </c>
      <c r="EE215" s="22">
        <f t="shared" si="780"/>
        <v>-5.2046488125315871E-2</v>
      </c>
      <c r="EF215" s="21">
        <f t="shared" si="780"/>
        <v>-5.241710047335657E-2</v>
      </c>
      <c r="EG215" s="22">
        <f t="shared" si="780"/>
        <v>-0.13462519122896477</v>
      </c>
      <c r="EH215" s="22">
        <f t="shared" si="780"/>
        <v>-0.1132174828857293</v>
      </c>
      <c r="EI215" s="22">
        <f t="shared" si="780"/>
        <v>-9.8889476467477477E-2</v>
      </c>
      <c r="EJ215" s="22">
        <f t="shared" ref="EJ215:EN215" si="781">EJ214/EE214-1</f>
        <v>-7.8358208955223829E-2</v>
      </c>
      <c r="EK215" s="21">
        <f t="shared" si="781"/>
        <v>-0.10659499147764517</v>
      </c>
      <c r="EL215" s="22">
        <f t="shared" si="781"/>
        <v>7.1302298173246959E-2</v>
      </c>
      <c r="EM215" s="22">
        <f t="shared" si="781"/>
        <v>4.8099762470308782E-2</v>
      </c>
      <c r="EN215" s="22">
        <f t="shared" si="781"/>
        <v>4.1666666666666741E-2</v>
      </c>
      <c r="EO215" s="22">
        <f t="shared" ref="EO215" si="782">EO214/EJ214-1</f>
        <v>5.3788316946211667E-2</v>
      </c>
      <c r="EP215" s="21">
        <f t="shared" ref="EP215:EQ215" si="783">EP214/EK214-1</f>
        <v>5.3712943938949209E-2</v>
      </c>
      <c r="EQ215" s="22">
        <f t="shared" si="783"/>
        <v>3.5203520352035111E-2</v>
      </c>
      <c r="ER215" s="22">
        <f t="shared" ref="ER215" si="784">ER214/EM214-1</f>
        <v>6.1819095238078381E-2</v>
      </c>
      <c r="ES215" s="22">
        <f t="shared" ref="ES215:EU215" si="785">ES214/EN214-1</f>
        <v>0.10566758230649964</v>
      </c>
      <c r="ET215" s="22">
        <f t="shared" si="785"/>
        <v>6.8735423067123991E-2</v>
      </c>
      <c r="EU215" s="270">
        <f t="shared" si="785"/>
        <v>6.7675014278209877E-2</v>
      </c>
      <c r="EV215" s="96"/>
      <c r="EW215" s="96"/>
      <c r="EX215" s="96"/>
      <c r="EY215" s="96"/>
      <c r="EZ215" s="844">
        <f>EZ214/EU214-1</f>
        <v>3.3641699786157941E-2</v>
      </c>
      <c r="FA215" s="96"/>
      <c r="FB215" s="96"/>
      <c r="FC215" s="96"/>
      <c r="FD215" s="96"/>
      <c r="FE215" s="844">
        <f>FE214/EZ214-1</f>
        <v>3.1696404569451442E-2</v>
      </c>
      <c r="FF215" s="784"/>
      <c r="FG215" s="656"/>
      <c r="FH215" s="1039"/>
      <c r="FI215" s="1039"/>
      <c r="FJ215" s="1039"/>
      <c r="FK215" s="1039"/>
      <c r="FL215" s="1813"/>
      <c r="FM215" s="22">
        <f t="shared" si="776"/>
        <v>3.5203520352035111E-2</v>
      </c>
      <c r="FN215" s="22">
        <f t="shared" si="777"/>
        <v>7.1302298173246959E-2</v>
      </c>
      <c r="FO215" s="2041">
        <v>4.5892781802626681E-2</v>
      </c>
      <c r="FP215" s="1892">
        <f>IFERROR(($FM215-FN215)*10000,"")</f>
        <v>-360.98777821211849</v>
      </c>
      <c r="FQ215" s="1892">
        <f>IFERROR(($FM215-FO215)*10000,"")</f>
        <v>-106.8926145059157</v>
      </c>
      <c r="FR215" s="540" t="s">
        <v>841</v>
      </c>
      <c r="FS215" s="540"/>
      <c r="FT215" s="540"/>
      <c r="FU215" s="86"/>
      <c r="FV215" s="86"/>
      <c r="FW215" s="86"/>
      <c r="FX215" s="86"/>
      <c r="FY215" s="86"/>
      <c r="FZ215" s="86"/>
      <c r="GA215" s="656"/>
      <c r="GB215"/>
      <c r="GC215"/>
      <c r="GD215"/>
      <c r="GE215"/>
      <c r="GF215"/>
      <c r="GG215"/>
      <c r="GH215" s="974"/>
      <c r="GI215" s="974"/>
      <c r="GJ215" s="974"/>
      <c r="GK215" s="974"/>
      <c r="GL215" s="974"/>
      <c r="GM215" s="974"/>
      <c r="GN215" s="974"/>
      <c r="GO215" s="974"/>
      <c r="GP215" s="974"/>
      <c r="GQ215" s="974"/>
      <c r="GR215" s="974"/>
      <c r="GS215" s="974"/>
      <c r="GT215" s="974"/>
      <c r="GU215" s="974"/>
      <c r="GV215" s="974"/>
      <c r="GW215" s="974"/>
      <c r="GX215" s="974"/>
      <c r="GY215" s="974"/>
      <c r="GZ215" s="974"/>
      <c r="HA215" s="974"/>
      <c r="HB215" s="974"/>
      <c r="HC215" s="974"/>
      <c r="HD215" s="974"/>
      <c r="HE215" s="974"/>
      <c r="HF215" s="974"/>
      <c r="HG215" s="974"/>
      <c r="HH215" s="974"/>
      <c r="HI215" s="974"/>
      <c r="HJ215" s="974"/>
      <c r="HK215" s="974"/>
      <c r="HL215" s="974"/>
      <c r="HM215" s="974"/>
      <c r="HN215" s="974"/>
      <c r="HO215" s="974"/>
      <c r="HP215" s="974"/>
      <c r="HQ215" s="974"/>
      <c r="HR215" s="974"/>
      <c r="HS215" s="974"/>
      <c r="HT215" s="974"/>
      <c r="HU215" s="974"/>
      <c r="HV215" s="974"/>
      <c r="HW215" s="974"/>
      <c r="HX215" s="974"/>
      <c r="HY215" s="974"/>
      <c r="HZ215" s="974"/>
      <c r="IA215" s="974"/>
      <c r="IB215" s="974"/>
      <c r="IC215" s="974"/>
      <c r="ID215" s="974"/>
      <c r="IE215" s="974"/>
      <c r="IF215" s="974"/>
      <c r="IG215" s="974"/>
      <c r="IH215" s="974"/>
      <c r="II215" s="974"/>
      <c r="IJ215" s="974"/>
      <c r="IK215" s="974"/>
      <c r="IL215" s="974"/>
      <c r="IM215" s="974"/>
      <c r="IN215" s="974"/>
      <c r="IO215" s="974"/>
      <c r="IP215" s="974"/>
      <c r="IQ215" s="974"/>
      <c r="IR215" s="974"/>
      <c r="IS215" s="974"/>
      <c r="IT215" s="974"/>
      <c r="IU215" s="974"/>
      <c r="IV215" s="974"/>
    </row>
    <row r="216" spans="1:256" s="119" customFormat="1" ht="12.75" x14ac:dyDescent="0.2">
      <c r="A216" s="10" t="s">
        <v>540</v>
      </c>
      <c r="B216" s="20"/>
      <c r="C216" s="20"/>
      <c r="D216" s="20"/>
      <c r="E216" s="205"/>
      <c r="F216" s="48"/>
      <c r="G216" s="20"/>
      <c r="H216" s="20"/>
      <c r="I216" s="20"/>
      <c r="J216" s="205"/>
      <c r="K216" s="48"/>
      <c r="L216" s="20">
        <f t="shared" ref="L216:BW216" si="786">L214/L$13*1000</f>
        <v>768.9880075741637</v>
      </c>
      <c r="M216" s="20">
        <f t="shared" si="786"/>
        <v>743.33298197533463</v>
      </c>
      <c r="N216" s="20">
        <f t="shared" si="786"/>
        <v>721.73647824318846</v>
      </c>
      <c r="O216" s="205">
        <f t="shared" si="786"/>
        <v>746.24843684868677</v>
      </c>
      <c r="P216" s="48">
        <f t="shared" si="786"/>
        <v>744.87963565387122</v>
      </c>
      <c r="Q216" s="20">
        <f t="shared" si="786"/>
        <v>710.19733443537552</v>
      </c>
      <c r="R216" s="20">
        <f t="shared" si="786"/>
        <v>729.99489013796642</v>
      </c>
      <c r="S216" s="20">
        <f t="shared" si="786"/>
        <v>725.74645621795526</v>
      </c>
      <c r="T216" s="205">
        <f t="shared" si="786"/>
        <v>718.17912511108909</v>
      </c>
      <c r="U216" s="48">
        <f t="shared" si="786"/>
        <v>721.05316404471625</v>
      </c>
      <c r="V216" s="20">
        <f t="shared" si="786"/>
        <v>744.08314467997525</v>
      </c>
      <c r="W216" s="20">
        <f t="shared" si="786"/>
        <v>691.90397511905917</v>
      </c>
      <c r="X216" s="20">
        <f t="shared" si="786"/>
        <v>709.03245252687645</v>
      </c>
      <c r="Y216" s="205">
        <f t="shared" si="786"/>
        <v>672.1263810816049</v>
      </c>
      <c r="Z216" s="48">
        <f t="shared" si="786"/>
        <v>703.65956601618745</v>
      </c>
      <c r="AA216" s="20">
        <f t="shared" si="786"/>
        <v>707.80757097791798</v>
      </c>
      <c r="AB216" s="20">
        <f t="shared" si="786"/>
        <v>658.73376328458539</v>
      </c>
      <c r="AC216" s="20">
        <f t="shared" si="786"/>
        <v>660.32835544012619</v>
      </c>
      <c r="AD216" s="205">
        <f t="shared" si="786"/>
        <v>646.05026929982046</v>
      </c>
      <c r="AE216" s="48">
        <f t="shared" si="786"/>
        <v>667.40957422110785</v>
      </c>
      <c r="AF216" s="20">
        <f t="shared" si="786"/>
        <v>673.86220543263187</v>
      </c>
      <c r="AG216" s="20">
        <f t="shared" si="786"/>
        <v>646.77591734948339</v>
      </c>
      <c r="AH216" s="20">
        <f t="shared" si="786"/>
        <v>652.64401235689638</v>
      </c>
      <c r="AI216" s="205">
        <f t="shared" si="786"/>
        <v>643.25489491647204</v>
      </c>
      <c r="AJ216" s="48">
        <f t="shared" si="786"/>
        <v>654.115901631974</v>
      </c>
      <c r="AK216" s="20">
        <f t="shared" si="786"/>
        <v>683.20057929036932</v>
      </c>
      <c r="AL216" s="20">
        <f t="shared" si="786"/>
        <v>646.34787178139788</v>
      </c>
      <c r="AM216" s="20">
        <f t="shared" si="786"/>
        <v>627.9556757700027</v>
      </c>
      <c r="AN216" s="205">
        <f t="shared" si="786"/>
        <v>624.71987588346838</v>
      </c>
      <c r="AO216" s="48">
        <f t="shared" si="786"/>
        <v>645.1492455358125</v>
      </c>
      <c r="AP216" s="20">
        <f t="shared" si="786"/>
        <v>661.61834703591512</v>
      </c>
      <c r="AQ216" s="20">
        <f t="shared" si="786"/>
        <v>621.0683974038941</v>
      </c>
      <c r="AR216" s="20">
        <f t="shared" si="786"/>
        <v>629.15793883535832</v>
      </c>
      <c r="AS216" s="205">
        <f t="shared" si="786"/>
        <v>619.25656097359047</v>
      </c>
      <c r="AT216" s="48">
        <f t="shared" si="786"/>
        <v>632.48366150419224</v>
      </c>
      <c r="AU216" s="20">
        <f t="shared" si="786"/>
        <v>674.33013562686085</v>
      </c>
      <c r="AV216" s="20">
        <f t="shared" si="786"/>
        <v>638.60903477413058</v>
      </c>
      <c r="AW216" s="20">
        <f t="shared" si="786"/>
        <v>668.07610993657511</v>
      </c>
      <c r="AX216" s="205">
        <f t="shared" si="786"/>
        <v>658.8753387533875</v>
      </c>
      <c r="AY216" s="48">
        <f t="shared" si="786"/>
        <v>659.83802802240098</v>
      </c>
      <c r="AZ216" s="20">
        <f t="shared" si="786"/>
        <v>684.38767584361779</v>
      </c>
      <c r="BA216" s="20">
        <f t="shared" si="786"/>
        <v>727.32583613261295</v>
      </c>
      <c r="BB216" s="20">
        <f t="shared" si="786"/>
        <v>790.10328528914033</v>
      </c>
      <c r="BC216" s="205">
        <f t="shared" si="786"/>
        <v>776.00549137319229</v>
      </c>
      <c r="BD216" s="48">
        <f t="shared" si="786"/>
        <v>751.06612133148565</v>
      </c>
      <c r="BE216" s="20">
        <f t="shared" si="786"/>
        <v>822.05663189269751</v>
      </c>
      <c r="BF216" s="20">
        <f t="shared" si="786"/>
        <v>748.37680829251622</v>
      </c>
      <c r="BG216" s="20">
        <f t="shared" si="786"/>
        <v>764.34591848516345</v>
      </c>
      <c r="BH216" s="205">
        <f t="shared" si="786"/>
        <v>799.2388201712655</v>
      </c>
      <c r="BI216" s="48">
        <f t="shared" si="786"/>
        <v>782.95920900819317</v>
      </c>
      <c r="BJ216" s="20">
        <f t="shared" si="786"/>
        <v>807.32946298984029</v>
      </c>
      <c r="BK216" s="20">
        <f t="shared" si="786"/>
        <v>776.57241093129403</v>
      </c>
      <c r="BL216" s="20">
        <f t="shared" si="786"/>
        <v>777.9488758854327</v>
      </c>
      <c r="BM216" s="205">
        <f t="shared" si="786"/>
        <v>755.57439307207517</v>
      </c>
      <c r="BN216" s="48">
        <f t="shared" si="786"/>
        <v>779.32216631939559</v>
      </c>
      <c r="BO216" s="20">
        <f t="shared" si="786"/>
        <v>784.98505976095623</v>
      </c>
      <c r="BP216" s="20">
        <f t="shared" si="786"/>
        <v>740.46023885814157</v>
      </c>
      <c r="BQ216" s="20">
        <f t="shared" si="786"/>
        <v>741.44486692015209</v>
      </c>
      <c r="BR216" s="205">
        <f t="shared" si="786"/>
        <v>777.97833935018048</v>
      </c>
      <c r="BS216" s="48">
        <f t="shared" si="786"/>
        <v>760.63505289627562</v>
      </c>
      <c r="BT216" s="20">
        <f t="shared" si="786"/>
        <v>807.03883495145635</v>
      </c>
      <c r="BU216" s="20">
        <f t="shared" si="786"/>
        <v>769.09782232976147</v>
      </c>
      <c r="BV216" s="20">
        <f t="shared" si="786"/>
        <v>747.4301643533305</v>
      </c>
      <c r="BW216" s="205">
        <f t="shared" si="786"/>
        <v>766.16348618627171</v>
      </c>
      <c r="BX216" s="48">
        <f t="shared" ref="BX216:DV216" si="787">BX214/BX$13*1000</f>
        <v>772.02238675450371</v>
      </c>
      <c r="BY216" s="20">
        <f t="shared" si="787"/>
        <v>766.64769493454753</v>
      </c>
      <c r="BZ216" s="20">
        <f t="shared" si="787"/>
        <v>740.18771331058031</v>
      </c>
      <c r="CA216" s="20">
        <f t="shared" si="787"/>
        <v>728.72368351971431</v>
      </c>
      <c r="CB216" s="205">
        <f t="shared" si="787"/>
        <v>771.5456856742594</v>
      </c>
      <c r="CC216" s="48">
        <f t="shared" si="787"/>
        <v>708.85024517027955</v>
      </c>
      <c r="CD216" s="20">
        <f t="shared" si="787"/>
        <v>836.23349270791516</v>
      </c>
      <c r="CE216" s="20">
        <f t="shared" si="787"/>
        <v>791.10837311977002</v>
      </c>
      <c r="CF216" s="20">
        <f t="shared" si="787"/>
        <v>816.64407970687159</v>
      </c>
      <c r="CG216" s="205">
        <f t="shared" si="787"/>
        <v>838.54376764824519</v>
      </c>
      <c r="CH216" s="48">
        <f t="shared" si="787"/>
        <v>820.52101350591204</v>
      </c>
      <c r="CI216" s="20">
        <f t="shared" si="787"/>
        <v>895.15634580012272</v>
      </c>
      <c r="CJ216" s="20">
        <f t="shared" si="787"/>
        <v>847.03906751617524</v>
      </c>
      <c r="CK216" s="20">
        <f t="shared" si="787"/>
        <v>842.83489878949217</v>
      </c>
      <c r="CL216" s="205">
        <f t="shared" si="787"/>
        <v>884.29023390902967</v>
      </c>
      <c r="CM216" s="48">
        <f t="shared" si="787"/>
        <v>866.98983660089357</v>
      </c>
      <c r="CN216" s="20">
        <f t="shared" si="787"/>
        <v>918.51456051295759</v>
      </c>
      <c r="CO216" s="20">
        <f t="shared" si="787"/>
        <v>869.07274880296552</v>
      </c>
      <c r="CP216" s="20">
        <f t="shared" si="787"/>
        <v>875.80535330784153</v>
      </c>
      <c r="CQ216" s="205">
        <f t="shared" si="787"/>
        <v>945.40398909149246</v>
      </c>
      <c r="CR216" s="48">
        <f t="shared" si="787"/>
        <v>901.75161332806545</v>
      </c>
      <c r="CS216" s="20">
        <f t="shared" si="787"/>
        <v>1044.3107221006564</v>
      </c>
      <c r="CT216" s="20">
        <f t="shared" si="787"/>
        <v>1034.1925302472384</v>
      </c>
      <c r="CU216" s="20">
        <f t="shared" si="787"/>
        <v>1055.2419142088322</v>
      </c>
      <c r="CV216" s="205">
        <f t="shared" si="787"/>
        <v>979.01692557384649</v>
      </c>
      <c r="CW216" s="48">
        <f t="shared" si="787"/>
        <v>1029.1856588883597</v>
      </c>
      <c r="CX216" s="20">
        <f t="shared" si="787"/>
        <v>1071.7230008244023</v>
      </c>
      <c r="CY216" s="20">
        <f t="shared" si="787"/>
        <v>983.50208879133322</v>
      </c>
      <c r="CZ216" s="20">
        <f t="shared" si="787"/>
        <v>986.0727893837867</v>
      </c>
      <c r="DA216" s="20">
        <f t="shared" si="787"/>
        <v>993.49157733537515</v>
      </c>
      <c r="DB216" s="48">
        <f t="shared" si="787"/>
        <v>1008.342705588102</v>
      </c>
      <c r="DC216" s="20">
        <f t="shared" si="787"/>
        <v>1063.2383599722029</v>
      </c>
      <c r="DD216" s="20">
        <f t="shared" si="787"/>
        <v>986.74264449354587</v>
      </c>
      <c r="DE216" s="20">
        <f>DE214/DE$13*1000</f>
        <v>975.69325573433764</v>
      </c>
      <c r="DF216" s="20">
        <f>DF214/DF$13*1000</f>
        <v>1024.1104868913858</v>
      </c>
      <c r="DG216" s="48">
        <f t="shared" si="787"/>
        <v>1011.2210050117532</v>
      </c>
      <c r="DH216" s="20">
        <f t="shared" si="787"/>
        <v>1146.5638148667601</v>
      </c>
      <c r="DI216" s="20">
        <f t="shared" si="787"/>
        <v>1114.2201578152108</v>
      </c>
      <c r="DJ216" s="20">
        <f t="shared" si="787"/>
        <v>1077.9601082932757</v>
      </c>
      <c r="DK216" s="20">
        <f>DK214/DK$13*1000</f>
        <v>1105.3301599601484</v>
      </c>
      <c r="DL216" s="48">
        <f t="shared" si="787"/>
        <v>1110.5176606181567</v>
      </c>
      <c r="DM216" s="20">
        <f>DM214/DM$13*1000</f>
        <v>1180.9567829905245</v>
      </c>
      <c r="DN216" s="20">
        <f>DN214/DN$13*1000</f>
        <v>1078.1970766409161</v>
      </c>
      <c r="DO216" s="20">
        <f>DO214/DO$13*1000</f>
        <v>1099.1596638655462</v>
      </c>
      <c r="DP216" s="20">
        <f>DP214/DP$13*1000</f>
        <v>1099.2690140059149</v>
      </c>
      <c r="DQ216" s="48">
        <f t="shared" si="787"/>
        <v>1113.8000900495272</v>
      </c>
      <c r="DR216" s="20">
        <f>DR214/DR$13*1000</f>
        <v>1147.6788517604843</v>
      </c>
      <c r="DS216" s="20">
        <f>DS214/DS$13*1000</f>
        <v>1069.5245348710696</v>
      </c>
      <c r="DT216" s="20">
        <f t="shared" si="787"/>
        <v>1063.4860804480104</v>
      </c>
      <c r="DU216" s="20">
        <f>DU214/DU$13*1000</f>
        <v>1074.1138560687434</v>
      </c>
      <c r="DV216" s="48">
        <f t="shared" si="787"/>
        <v>1088.1499543652685</v>
      </c>
      <c r="DW216" s="20">
        <f t="shared" ref="DW216:EF216" si="788">DW214/DW$13*1000</f>
        <v>1147.1689549529106</v>
      </c>
      <c r="DX216" s="20">
        <f t="shared" si="788"/>
        <v>1020.1200141193083</v>
      </c>
      <c r="DY216" s="20">
        <f t="shared" si="788"/>
        <v>1011.944027986007</v>
      </c>
      <c r="DZ216" s="20">
        <f t="shared" si="788"/>
        <v>1026.3458147495076</v>
      </c>
      <c r="EA216" s="48">
        <f t="shared" si="788"/>
        <v>1048.7302766159821</v>
      </c>
      <c r="EB216" s="20">
        <f t="shared" si="788"/>
        <v>1088.1749070528829</v>
      </c>
      <c r="EC216" s="20">
        <f t="shared" si="788"/>
        <v>980.33142326157656</v>
      </c>
      <c r="ED216" s="20">
        <f t="shared" si="788"/>
        <v>976.60486494861334</v>
      </c>
      <c r="EE216" s="20">
        <f t="shared" si="788"/>
        <v>1040.257291782189</v>
      </c>
      <c r="EF216" s="48">
        <f t="shared" si="788"/>
        <v>1019.8023773549587</v>
      </c>
      <c r="EG216" s="20">
        <f t="shared" ref="EG216:EK216" si="789">EG214/EG$13*1000</f>
        <v>965.79591372147286</v>
      </c>
      <c r="EH216" s="20">
        <f t="shared" si="789"/>
        <v>935.29575118022763</v>
      </c>
      <c r="EI216" s="20">
        <f t="shared" si="789"/>
        <v>915.04671893459351</v>
      </c>
      <c r="EJ216" s="20">
        <f t="shared" si="789"/>
        <v>939.72498505353553</v>
      </c>
      <c r="EK216" s="48">
        <f t="shared" si="789"/>
        <v>938.60627849635648</v>
      </c>
      <c r="EL216" s="20">
        <f>EL214/EL$13*1000</f>
        <v>984.51207624824008</v>
      </c>
      <c r="EM216" s="20">
        <f t="shared" ref="EM216:EP216" si="790">EM214/EM$13*1000</f>
        <v>923.69688088758642</v>
      </c>
      <c r="EN216" s="20">
        <f t="shared" si="790"/>
        <v>920.16588906169</v>
      </c>
      <c r="EO216" s="20">
        <f t="shared" si="790"/>
        <v>946.44434055373745</v>
      </c>
      <c r="EP216" s="48">
        <f t="shared" si="790"/>
        <v>943.30946593969657</v>
      </c>
      <c r="EQ216" s="20">
        <f>EQ214/EQ$13*1000</f>
        <v>988.23776517538329</v>
      </c>
      <c r="ER216" s="20">
        <f>ER214/ER$13*1000</f>
        <v>943.0607624830966</v>
      </c>
      <c r="ES216" s="20">
        <f t="shared" ref="ES216:EU216" si="791">ES214/ES$13*1000</f>
        <v>975.52244582177809</v>
      </c>
      <c r="ET216" s="20">
        <f t="shared" si="791"/>
        <v>984.95504927001002</v>
      </c>
      <c r="EU216" s="1954">
        <f t="shared" si="791"/>
        <v>972.77554384031441</v>
      </c>
      <c r="EV216" s="118"/>
      <c r="EW216" s="118"/>
      <c r="EX216" s="118"/>
      <c r="EY216" s="118"/>
      <c r="EZ216" s="747">
        <f>EZ214/EZ$13*1000</f>
        <v>985.80122447586575</v>
      </c>
      <c r="FA216" s="118"/>
      <c r="FB216" s="118"/>
      <c r="FC216" s="118"/>
      <c r="FD216" s="118"/>
      <c r="FE216" s="747">
        <f>FE214/FE$13*1000</f>
        <v>993.50392103677791</v>
      </c>
      <c r="FF216" s="783"/>
      <c r="FG216" s="656"/>
      <c r="FH216" s="1040"/>
      <c r="FI216" s="1040"/>
      <c r="FJ216" s="1040"/>
      <c r="FK216" s="1040"/>
      <c r="FL216" s="1825"/>
      <c r="FM216" s="20">
        <f t="shared" si="776"/>
        <v>988.23776517538329</v>
      </c>
      <c r="FN216" s="20">
        <f t="shared" si="777"/>
        <v>984.51207624824008</v>
      </c>
      <c r="FO216" s="2048">
        <v>993.19345220623427</v>
      </c>
      <c r="FP216" s="16">
        <f>IFERROR(($FM216/FN216)-1,"")</f>
        <v>3.7842998750619028E-3</v>
      </c>
      <c r="FQ216" s="16">
        <f>IFERROR(($FM216/FO216)-1,"")</f>
        <v>-4.9896493174039769E-3</v>
      </c>
      <c r="FR216" s="86"/>
      <c r="FS216" s="1579" t="s">
        <v>836</v>
      </c>
      <c r="FT216" s="86"/>
      <c r="FU216" s="418"/>
      <c r="FV216" s="418"/>
      <c r="FW216" s="418"/>
      <c r="FX216" s="418"/>
      <c r="FY216" s="418"/>
      <c r="FZ216" s="418"/>
      <c r="GA216" s="656"/>
      <c r="GB216"/>
      <c r="GC216"/>
      <c r="GD216"/>
      <c r="GE216"/>
      <c r="GF216"/>
      <c r="GG216"/>
      <c r="GH216" s="975"/>
      <c r="GI216" s="975"/>
      <c r="GJ216" s="975"/>
      <c r="GK216" s="975"/>
      <c r="GL216" s="975"/>
      <c r="GM216" s="975"/>
      <c r="GN216" s="975"/>
      <c r="GO216" s="975"/>
      <c r="GP216" s="975"/>
      <c r="GQ216" s="975"/>
      <c r="GR216" s="975"/>
      <c r="GS216" s="975"/>
      <c r="GT216" s="975"/>
      <c r="GU216" s="975"/>
      <c r="GV216" s="975"/>
      <c r="GW216" s="975"/>
      <c r="GX216" s="975"/>
      <c r="GY216" s="975"/>
      <c r="GZ216" s="975"/>
      <c r="HA216" s="975"/>
      <c r="HB216" s="975"/>
      <c r="HC216" s="975"/>
      <c r="HD216" s="975"/>
      <c r="HE216" s="975"/>
      <c r="HF216" s="975"/>
      <c r="HG216" s="975"/>
      <c r="HH216" s="975"/>
      <c r="HI216" s="975"/>
      <c r="HJ216" s="975"/>
      <c r="HK216" s="975"/>
      <c r="HL216" s="975"/>
      <c r="HM216" s="975"/>
      <c r="HN216" s="975"/>
      <c r="HO216" s="975"/>
      <c r="HP216" s="975"/>
      <c r="HQ216" s="975"/>
      <c r="HR216" s="975"/>
      <c r="HS216" s="975"/>
      <c r="HT216" s="975"/>
      <c r="HU216" s="975"/>
      <c r="HV216" s="975"/>
      <c r="HW216" s="975"/>
      <c r="HX216" s="975"/>
      <c r="HY216" s="975"/>
      <c r="HZ216" s="975"/>
      <c r="IA216" s="975"/>
      <c r="IB216" s="975"/>
      <c r="IC216" s="975"/>
      <c r="ID216" s="975"/>
      <c r="IE216" s="975"/>
      <c r="IF216" s="975"/>
      <c r="IG216" s="975"/>
      <c r="IH216" s="975"/>
      <c r="II216" s="975"/>
      <c r="IJ216" s="975"/>
      <c r="IK216" s="975"/>
      <c r="IL216" s="975"/>
      <c r="IM216" s="975"/>
      <c r="IN216" s="975"/>
      <c r="IO216" s="975"/>
      <c r="IP216" s="975"/>
      <c r="IQ216" s="975"/>
      <c r="IR216" s="975"/>
      <c r="IS216" s="975"/>
      <c r="IT216" s="975"/>
      <c r="IU216" s="975"/>
      <c r="IV216" s="975"/>
    </row>
    <row r="217" spans="1:256" s="99" customFormat="1" ht="12.75" x14ac:dyDescent="0.2">
      <c r="A217" s="19" t="s">
        <v>194</v>
      </c>
      <c r="B217" s="22"/>
      <c r="C217" s="22"/>
      <c r="D217" s="22"/>
      <c r="E217" s="197"/>
      <c r="F217" s="21"/>
      <c r="G217" s="22"/>
      <c r="H217" s="22"/>
      <c r="I217" s="22"/>
      <c r="J217" s="197"/>
      <c r="K217" s="21"/>
      <c r="L217" s="22"/>
      <c r="M217" s="22"/>
      <c r="N217" s="22"/>
      <c r="O217" s="197"/>
      <c r="P217" s="21"/>
      <c r="Q217" s="22">
        <f t="shared" ref="Q217:CB217" si="792">Q216/L216-1</f>
        <v>-7.6452002579660783E-2</v>
      </c>
      <c r="R217" s="22">
        <f t="shared" si="792"/>
        <v>-1.794362978745212E-2</v>
      </c>
      <c r="S217" s="22">
        <f t="shared" si="792"/>
        <v>5.5560139963102273E-3</v>
      </c>
      <c r="T217" s="197">
        <f t="shared" si="792"/>
        <v>-3.761389686272687E-2</v>
      </c>
      <c r="U217" s="21">
        <f t="shared" si="792"/>
        <v>-3.1987008999433297E-2</v>
      </c>
      <c r="V217" s="22">
        <f t="shared" si="792"/>
        <v>4.7713232085755175E-2</v>
      </c>
      <c r="W217" s="22">
        <f t="shared" si="792"/>
        <v>-5.2179700890383263E-2</v>
      </c>
      <c r="X217" s="22">
        <f t="shared" si="792"/>
        <v>-2.3030086537631389E-2</v>
      </c>
      <c r="Y217" s="197">
        <f t="shared" si="792"/>
        <v>-6.4124314421364792E-2</v>
      </c>
      <c r="Z217" s="21">
        <f t="shared" si="792"/>
        <v>-2.4122490401345953E-2</v>
      </c>
      <c r="AA217" s="22">
        <f t="shared" si="792"/>
        <v>-4.8752043318571747E-2</v>
      </c>
      <c r="AB217" s="22">
        <f t="shared" si="792"/>
        <v>-4.7940484557508212E-2</v>
      </c>
      <c r="AC217" s="22">
        <f t="shared" si="792"/>
        <v>-6.8690927916171929E-2</v>
      </c>
      <c r="AD217" s="197">
        <f t="shared" si="792"/>
        <v>-3.8796441436835138E-2</v>
      </c>
      <c r="AE217" s="21">
        <f t="shared" si="792"/>
        <v>-5.151637744415416E-2</v>
      </c>
      <c r="AF217" s="22">
        <f t="shared" si="792"/>
        <v>-4.7958466307991943E-2</v>
      </c>
      <c r="AG217" s="22">
        <f t="shared" si="792"/>
        <v>-1.8152775220565021E-2</v>
      </c>
      <c r="AH217" s="22">
        <f t="shared" si="792"/>
        <v>-1.1637154485222734E-2</v>
      </c>
      <c r="AI217" s="197">
        <f t="shared" si="792"/>
        <v>-4.3268682271087044E-3</v>
      </c>
      <c r="AJ217" s="21">
        <f t="shared" si="792"/>
        <v>-1.9918312686251216E-2</v>
      </c>
      <c r="AK217" s="22">
        <f t="shared" si="792"/>
        <v>1.3857987259787041E-2</v>
      </c>
      <c r="AL217" s="22">
        <f t="shared" si="792"/>
        <v>-6.6181432642031801E-4</v>
      </c>
      <c r="AM217" s="22">
        <f t="shared" si="792"/>
        <v>-3.7828182162794377E-2</v>
      </c>
      <c r="AN217" s="197">
        <f t="shared" si="792"/>
        <v>-2.8814423612603002E-2</v>
      </c>
      <c r="AO217" s="21">
        <f t="shared" si="792"/>
        <v>-1.3708053991334457E-2</v>
      </c>
      <c r="AP217" s="22">
        <f t="shared" si="792"/>
        <v>-3.1589891619927091E-2</v>
      </c>
      <c r="AQ217" s="22">
        <f t="shared" si="792"/>
        <v>-3.9111251821455029E-2</v>
      </c>
      <c r="AR217" s="22">
        <f t="shared" si="792"/>
        <v>1.914566762823533E-3</v>
      </c>
      <c r="AS217" s="197">
        <f t="shared" si="792"/>
        <v>-8.7452234525943195E-3</v>
      </c>
      <c r="AT217" s="21">
        <f t="shared" si="792"/>
        <v>-1.9632021767461261E-2</v>
      </c>
      <c r="AU217" s="22">
        <f t="shared" si="792"/>
        <v>1.9213174253548404E-2</v>
      </c>
      <c r="AV217" s="22">
        <f t="shared" si="792"/>
        <v>2.8242682196610636E-2</v>
      </c>
      <c r="AW217" s="22">
        <f t="shared" si="792"/>
        <v>6.1857553881079053E-2</v>
      </c>
      <c r="AX217" s="197">
        <f t="shared" si="792"/>
        <v>6.3977970160717712E-2</v>
      </c>
      <c r="AY217" s="21">
        <f t="shared" si="792"/>
        <v>4.3249127500232465E-2</v>
      </c>
      <c r="AZ217" s="22">
        <f t="shared" si="792"/>
        <v>1.4914860964069687E-2</v>
      </c>
      <c r="BA217" s="22">
        <f t="shared" si="792"/>
        <v>0.13892193271249376</v>
      </c>
      <c r="BB217" s="22">
        <f t="shared" si="792"/>
        <v>0.18265460108152953</v>
      </c>
      <c r="BC217" s="197">
        <f t="shared" si="792"/>
        <v>0.17777285888620242</v>
      </c>
      <c r="BD217" s="21">
        <f t="shared" si="792"/>
        <v>0.1382583140630802</v>
      </c>
      <c r="BE217" s="22">
        <f t="shared" si="792"/>
        <v>0.20115639265330221</v>
      </c>
      <c r="BF217" s="22">
        <f t="shared" si="792"/>
        <v>2.8942973168445407E-2</v>
      </c>
      <c r="BG217" s="22">
        <f t="shared" si="792"/>
        <v>-3.2599999624796983E-2</v>
      </c>
      <c r="BH217" s="197">
        <f t="shared" si="792"/>
        <v>2.9939644830296652E-2</v>
      </c>
      <c r="BI217" s="21">
        <f t="shared" si="792"/>
        <v>4.2463754882416493E-2</v>
      </c>
      <c r="BJ217" s="22">
        <f t="shared" si="792"/>
        <v>-1.7915029611706323E-2</v>
      </c>
      <c r="BK217" s="22">
        <f t="shared" si="792"/>
        <v>3.767567664624516E-2</v>
      </c>
      <c r="BL217" s="22">
        <f t="shared" si="792"/>
        <v>1.7796860127451852E-2</v>
      </c>
      <c r="BM217" s="197">
        <f t="shared" si="792"/>
        <v>-5.4632515334820275E-2</v>
      </c>
      <c r="BN217" s="21">
        <f t="shared" si="792"/>
        <v>-4.6452518176582913E-3</v>
      </c>
      <c r="BO217" s="22">
        <f t="shared" si="792"/>
        <v>-2.7676932718563863E-2</v>
      </c>
      <c r="BP217" s="22">
        <f t="shared" si="792"/>
        <v>-4.6502002343664861E-2</v>
      </c>
      <c r="BQ217" s="22">
        <f t="shared" si="792"/>
        <v>-4.6923403448244749E-2</v>
      </c>
      <c r="BR217" s="197">
        <f t="shared" si="792"/>
        <v>2.9651542566197175E-2</v>
      </c>
      <c r="BS217" s="21">
        <f t="shared" si="792"/>
        <v>-2.3978675611622813E-2</v>
      </c>
      <c r="BT217" s="22">
        <f t="shared" si="792"/>
        <v>2.8094515833480882E-2</v>
      </c>
      <c r="BU217" s="22">
        <f t="shared" si="792"/>
        <v>3.8675383185708512E-2</v>
      </c>
      <c r="BV217" s="22">
        <f t="shared" si="792"/>
        <v>8.0724780765430992E-3</v>
      </c>
      <c r="BW217" s="197">
        <f t="shared" si="792"/>
        <v>-1.5186609403260887E-2</v>
      </c>
      <c r="BX217" s="21">
        <f t="shared" si="792"/>
        <v>1.4970824464200616E-2</v>
      </c>
      <c r="BY217" s="22">
        <f t="shared" si="792"/>
        <v>-5.0048570487117083E-2</v>
      </c>
      <c r="BZ217" s="22">
        <f t="shared" si="792"/>
        <v>-3.7589638378647705E-2</v>
      </c>
      <c r="CA217" s="22">
        <f t="shared" si="792"/>
        <v>-2.5027730650663327E-2</v>
      </c>
      <c r="CB217" s="197">
        <f t="shared" si="792"/>
        <v>7.0248707815334654E-3</v>
      </c>
      <c r="CC217" s="21">
        <f t="shared" ref="CC217:DY217" si="793">CC216/BX216-1</f>
        <v>-8.1826826097353034E-2</v>
      </c>
      <c r="CD217" s="22">
        <f t="shared" si="793"/>
        <v>9.0766330132002082E-2</v>
      </c>
      <c r="CE217" s="22">
        <f t="shared" si="793"/>
        <v>6.8794251638467196E-2</v>
      </c>
      <c r="CF217" s="22">
        <f t="shared" si="793"/>
        <v>0.12064984050265015</v>
      </c>
      <c r="CG217" s="197">
        <f t="shared" si="793"/>
        <v>8.6836182507372461E-2</v>
      </c>
      <c r="CH217" s="21">
        <f t="shared" si="793"/>
        <v>0.15753788490093146</v>
      </c>
      <c r="CI217" s="22">
        <f t="shared" si="793"/>
        <v>7.0462201772619526E-2</v>
      </c>
      <c r="CJ217" s="22">
        <f t="shared" si="793"/>
        <v>7.0699156141958319E-2</v>
      </c>
      <c r="CK217" s="22">
        <f t="shared" si="793"/>
        <v>3.207127772483398E-2</v>
      </c>
      <c r="CL217" s="197">
        <f t="shared" si="793"/>
        <v>5.4554655374857264E-2</v>
      </c>
      <c r="CM217" s="21">
        <f t="shared" si="793"/>
        <v>5.6633312651470202E-2</v>
      </c>
      <c r="CN217" s="22">
        <f t="shared" si="793"/>
        <v>2.6094005614132554E-2</v>
      </c>
      <c r="CO217" s="22">
        <f t="shared" si="793"/>
        <v>2.6012591545985009E-2</v>
      </c>
      <c r="CP217" s="22">
        <f t="shared" si="793"/>
        <v>3.9118520798916423E-2</v>
      </c>
      <c r="CQ217" s="197">
        <f t="shared" si="793"/>
        <v>6.9110516930971588E-2</v>
      </c>
      <c r="CR217" s="21">
        <f t="shared" si="793"/>
        <v>4.009479149543238E-2</v>
      </c>
      <c r="CS217" s="22">
        <f t="shared" si="793"/>
        <v>0.13695608866281472</v>
      </c>
      <c r="CT217" s="22">
        <f t="shared" si="793"/>
        <v>0.18999535041422466</v>
      </c>
      <c r="CU217" s="22">
        <f t="shared" si="793"/>
        <v>0.20488178134933088</v>
      </c>
      <c r="CV217" s="197">
        <f t="shared" si="793"/>
        <v>3.5554045540526102E-2</v>
      </c>
      <c r="CW217" s="21">
        <f t="shared" si="793"/>
        <v>0.14131834495973639</v>
      </c>
      <c r="CX217" s="22">
        <f t="shared" si="793"/>
        <v>2.6249159511266384E-2</v>
      </c>
      <c r="CY217" s="22">
        <f t="shared" si="793"/>
        <v>-4.9014511295867647E-2</v>
      </c>
      <c r="CZ217" s="22">
        <f t="shared" si="793"/>
        <v>-6.5548121140454385E-2</v>
      </c>
      <c r="DA217" s="22">
        <f>DA216/CV216-1</f>
        <v>1.4784884084659167E-2</v>
      </c>
      <c r="DB217" s="21">
        <f>DB216/CW216-1</f>
        <v>-2.0251888588080913E-2</v>
      </c>
      <c r="DC217" s="22">
        <f t="shared" si="793"/>
        <v>-7.9168225797829894E-3</v>
      </c>
      <c r="DD217" s="22">
        <f t="shared" si="793"/>
        <v>3.2949149159358093E-3</v>
      </c>
      <c r="DE217" s="22">
        <f t="shared" si="793"/>
        <v>-1.0526133325244103E-2</v>
      </c>
      <c r="DF217" s="22">
        <f t="shared" si="793"/>
        <v>3.0819495861387214E-2</v>
      </c>
      <c r="DG217" s="21">
        <f t="shared" si="793"/>
        <v>2.8544852932439468E-3</v>
      </c>
      <c r="DH217" s="22">
        <f t="shared" si="793"/>
        <v>7.8369496466188071E-2</v>
      </c>
      <c r="DI217" s="22">
        <f t="shared" si="793"/>
        <v>0.12919023418420705</v>
      </c>
      <c r="DJ217" s="22">
        <f t="shared" si="793"/>
        <v>0.10481455309637111</v>
      </c>
      <c r="DK217" s="22">
        <f t="shared" si="793"/>
        <v>7.9307529908515084E-2</v>
      </c>
      <c r="DL217" s="21">
        <f t="shared" si="793"/>
        <v>9.8194811138490268E-2</v>
      </c>
      <c r="DM217" s="22">
        <f t="shared" si="793"/>
        <v>2.9996558131185402E-2</v>
      </c>
      <c r="DN217" s="22">
        <f t="shared" si="793"/>
        <v>-3.2330308262354168E-2</v>
      </c>
      <c r="DO217" s="22">
        <f t="shared" si="793"/>
        <v>1.9666363726423608E-2</v>
      </c>
      <c r="DP217" s="22">
        <f t="shared" si="793"/>
        <v>-5.4835615400670168E-3</v>
      </c>
      <c r="DQ217" s="21">
        <f t="shared" si="793"/>
        <v>2.9557651785054873E-3</v>
      </c>
      <c r="DR217" s="22">
        <f t="shared" si="793"/>
        <v>-2.8178788342932304E-2</v>
      </c>
      <c r="DS217" s="22">
        <f t="shared" si="793"/>
        <v>-8.0435589724148215E-3</v>
      </c>
      <c r="DT217" s="22">
        <f t="shared" si="793"/>
        <v>-3.2455324363048654E-2</v>
      </c>
      <c r="DU217" s="22">
        <f t="shared" si="793"/>
        <v>-2.288353225340356E-2</v>
      </c>
      <c r="DV217" s="21">
        <f t="shared" si="793"/>
        <v>-2.3029389127736666E-2</v>
      </c>
      <c r="DW217" s="22">
        <f>DW216/DR216-1</f>
        <v>-4.4428526916884259E-4</v>
      </c>
      <c r="DX217" s="22">
        <f t="shared" si="793"/>
        <v>-4.6192975608284614E-2</v>
      </c>
      <c r="DY217" s="22">
        <f t="shared" si="793"/>
        <v>-4.8465187659334941E-2</v>
      </c>
      <c r="DZ217" s="22">
        <f t="shared" ref="DZ217:EI217" si="794">DZ216/DU216-1</f>
        <v>-4.447204646820857E-2</v>
      </c>
      <c r="EA217" s="21">
        <f t="shared" si="794"/>
        <v>-3.6226328541529407E-2</v>
      </c>
      <c r="EB217" s="22">
        <f t="shared" si="794"/>
        <v>-5.1425770934020121E-2</v>
      </c>
      <c r="EC217" s="22">
        <f t="shared" si="794"/>
        <v>-3.9003833183375081E-2</v>
      </c>
      <c r="ED217" s="22">
        <f t="shared" si="794"/>
        <v>-3.4922053058336067E-2</v>
      </c>
      <c r="EE217" s="22">
        <f t="shared" si="794"/>
        <v>1.3554375954732967E-2</v>
      </c>
      <c r="EF217" s="21">
        <f t="shared" si="794"/>
        <v>-2.7583736167479889E-2</v>
      </c>
      <c r="EG217" s="22">
        <f t="shared" si="794"/>
        <v>-0.11246261289267412</v>
      </c>
      <c r="EH217" s="22">
        <f t="shared" si="794"/>
        <v>-4.5939231379031553E-2</v>
      </c>
      <c r="EI217" s="22">
        <f t="shared" si="794"/>
        <v>-6.3032807047565642E-2</v>
      </c>
      <c r="EJ217" s="22">
        <f t="shared" ref="EJ217:EN217" si="795">EJ216/EE216-1</f>
        <v>-9.6641770764634205E-2</v>
      </c>
      <c r="EK217" s="21">
        <f t="shared" si="795"/>
        <v>-7.9619444572387565E-2</v>
      </c>
      <c r="EL217" s="22">
        <f t="shared" si="795"/>
        <v>1.9379003639235615E-2</v>
      </c>
      <c r="EM217" s="22">
        <f t="shared" si="795"/>
        <v>-1.2401286200653505E-2</v>
      </c>
      <c r="EN217" s="22">
        <f t="shared" si="795"/>
        <v>5.5944358043891196E-3</v>
      </c>
      <c r="EO217" s="22">
        <f t="shared" ref="EO217" si="796">EO216/EJ216-1</f>
        <v>7.1503425013426103E-3</v>
      </c>
      <c r="EP217" s="21">
        <f t="shared" ref="EP217:EQ217" si="797">EP216/EK216-1</f>
        <v>5.0108203525704997E-3</v>
      </c>
      <c r="EQ217" s="22">
        <f t="shared" si="797"/>
        <v>3.7842998750619028E-3</v>
      </c>
      <c r="ER217" s="22">
        <f t="shared" ref="ER217" si="798">ER216/EM216-1</f>
        <v>2.0963458896714471E-2</v>
      </c>
      <c r="ES217" s="22">
        <f t="shared" ref="ES217:EU217" si="799">ES216/EN216-1</f>
        <v>6.0159322811385918E-2</v>
      </c>
      <c r="ET217" s="22">
        <f t="shared" si="799"/>
        <v>4.0689882189734572E-2</v>
      </c>
      <c r="EU217" s="270">
        <f t="shared" si="799"/>
        <v>3.1236915312054636E-2</v>
      </c>
      <c r="EV217" s="96"/>
      <c r="EW217" s="96"/>
      <c r="EX217" s="96"/>
      <c r="EY217" s="96"/>
      <c r="EZ217" s="844">
        <f>EZ216/EU216-1</f>
        <v>1.3390222151482778E-2</v>
      </c>
      <c r="FA217" s="96"/>
      <c r="FB217" s="96"/>
      <c r="FC217" s="96"/>
      <c r="FD217" s="96"/>
      <c r="FE217" s="844">
        <f>FE216/EZ216-1</f>
        <v>7.8136406911115674E-3</v>
      </c>
      <c r="FF217" s="784"/>
      <c r="FG217" s="656"/>
      <c r="FH217" s="1039"/>
      <c r="FI217" s="1039"/>
      <c r="FJ217" s="1039"/>
      <c r="FK217" s="1039"/>
      <c r="FL217" s="1813"/>
      <c r="FM217" s="22">
        <f t="shared" si="776"/>
        <v>3.7842998750619028E-3</v>
      </c>
      <c r="FN217" s="22">
        <f t="shared" si="777"/>
        <v>1.9379003639235615E-2</v>
      </c>
      <c r="FO217" s="2041">
        <v>1.7775265729207623E-2</v>
      </c>
      <c r="FP217" s="1892">
        <f>IFERROR(($FM217-FN217)*10000,"")</f>
        <v>-155.94703764173713</v>
      </c>
      <c r="FQ217" s="1892">
        <f>IFERROR(($FM217-FO217)*10000,"")</f>
        <v>-139.90965854145719</v>
      </c>
      <c r="FR217" s="418"/>
      <c r="FS217" s="1579" t="s">
        <v>827</v>
      </c>
      <c r="FT217" s="418"/>
      <c r="FU217" s="86"/>
      <c r="FV217" s="86"/>
      <c r="FW217" s="86"/>
      <c r="FX217" s="86"/>
      <c r="FY217" s="86"/>
      <c r="FZ217" s="86"/>
      <c r="GA217" s="656"/>
      <c r="GB217"/>
      <c r="GC217"/>
      <c r="GD217"/>
      <c r="GE217"/>
      <c r="GF217"/>
      <c r="GG217"/>
      <c r="GH217" s="974"/>
      <c r="GI217" s="974"/>
      <c r="GJ217" s="974"/>
      <c r="GK217" s="974"/>
      <c r="GL217" s="974"/>
      <c r="GM217" s="974"/>
      <c r="GN217" s="974"/>
      <c r="GO217" s="974"/>
      <c r="GP217" s="974"/>
      <c r="GQ217" s="974"/>
      <c r="GR217" s="974"/>
      <c r="GS217" s="974"/>
      <c r="GT217" s="974"/>
      <c r="GU217" s="974"/>
      <c r="GV217" s="974"/>
      <c r="GW217" s="974"/>
      <c r="GX217" s="974"/>
      <c r="GY217" s="974"/>
      <c r="GZ217" s="974"/>
      <c r="HA217" s="974"/>
      <c r="HB217" s="974"/>
      <c r="HC217" s="974"/>
      <c r="HD217" s="974"/>
      <c r="HE217" s="974"/>
      <c r="HF217" s="974"/>
      <c r="HG217" s="974"/>
      <c r="HH217" s="974"/>
      <c r="HI217" s="974"/>
      <c r="HJ217" s="974"/>
      <c r="HK217" s="974"/>
      <c r="HL217" s="974"/>
      <c r="HM217" s="974"/>
      <c r="HN217" s="974"/>
      <c r="HO217" s="974"/>
      <c r="HP217" s="974"/>
      <c r="HQ217" s="974"/>
      <c r="HR217" s="974"/>
      <c r="HS217" s="974"/>
      <c r="HT217" s="974"/>
      <c r="HU217" s="974"/>
      <c r="HV217" s="974"/>
      <c r="HW217" s="974"/>
      <c r="HX217" s="974"/>
      <c r="HY217" s="974"/>
      <c r="HZ217" s="974"/>
      <c r="IA217" s="974"/>
      <c r="IB217" s="974"/>
      <c r="IC217" s="974"/>
      <c r="ID217" s="974"/>
      <c r="IE217" s="974"/>
      <c r="IF217" s="974"/>
      <c r="IG217" s="974"/>
      <c r="IH217" s="974"/>
      <c r="II217" s="974"/>
      <c r="IJ217" s="974"/>
      <c r="IK217" s="974"/>
      <c r="IL217" s="974"/>
      <c r="IM217" s="974"/>
      <c r="IN217" s="974"/>
      <c r="IO217" s="974"/>
      <c r="IP217" s="974"/>
      <c r="IQ217" s="974"/>
      <c r="IR217" s="974"/>
      <c r="IS217" s="974"/>
      <c r="IT217" s="974"/>
      <c r="IU217" s="974"/>
      <c r="IV217" s="974"/>
    </row>
    <row r="218" spans="1:256" s="119" customFormat="1" ht="12.75" x14ac:dyDescent="0.2">
      <c r="A218" s="10" t="s">
        <v>541</v>
      </c>
      <c r="B218" s="20"/>
      <c r="C218" s="20"/>
      <c r="D218" s="20"/>
      <c r="E218" s="205"/>
      <c r="F218" s="48"/>
      <c r="G218" s="20"/>
      <c r="H218" s="20"/>
      <c r="I218" s="20"/>
      <c r="J218" s="205"/>
      <c r="K218" s="48"/>
      <c r="L218" s="20">
        <f t="shared" ref="L218:AQ218" si="800">(L214-L153)/L$13*1000</f>
        <v>709.02587839259422</v>
      </c>
      <c r="M218" s="20">
        <f t="shared" si="800"/>
        <v>699.16728154316422</v>
      </c>
      <c r="N218" s="20">
        <f t="shared" si="800"/>
        <v>677.40951606344061</v>
      </c>
      <c r="O218" s="205">
        <f t="shared" si="800"/>
        <v>693.83076281784065</v>
      </c>
      <c r="P218" s="48">
        <f t="shared" si="800"/>
        <v>694.7039687703317</v>
      </c>
      <c r="Q218" s="20">
        <f t="shared" si="800"/>
        <v>666.49447256948019</v>
      </c>
      <c r="R218" s="20">
        <f t="shared" si="800"/>
        <v>685.74348492590718</v>
      </c>
      <c r="S218" s="20">
        <f t="shared" si="800"/>
        <v>678.79762742535445</v>
      </c>
      <c r="T218" s="205">
        <f t="shared" si="800"/>
        <v>668.60866989236683</v>
      </c>
      <c r="U218" s="48">
        <f t="shared" si="800"/>
        <v>674.8950376852647</v>
      </c>
      <c r="V218" s="20">
        <f t="shared" si="800"/>
        <v>697.98312409960897</v>
      </c>
      <c r="W218" s="20">
        <f t="shared" si="800"/>
        <v>647.390416950141</v>
      </c>
      <c r="X218" s="20">
        <f t="shared" si="800"/>
        <v>668.84356475434549</v>
      </c>
      <c r="Y218" s="205">
        <f t="shared" si="800"/>
        <v>624.9273114944757</v>
      </c>
      <c r="Z218" s="48">
        <f t="shared" si="800"/>
        <v>659.14394955062301</v>
      </c>
      <c r="AA218" s="20">
        <f t="shared" si="800"/>
        <v>662.75630914826502</v>
      </c>
      <c r="AB218" s="20">
        <f t="shared" si="800"/>
        <v>616.31392497047875</v>
      </c>
      <c r="AC218" s="20">
        <f t="shared" si="800"/>
        <v>616.4548743159263</v>
      </c>
      <c r="AD218" s="205">
        <f t="shared" si="800"/>
        <v>602.42369838420109</v>
      </c>
      <c r="AE218" s="48">
        <f t="shared" si="800"/>
        <v>623.69410781445879</v>
      </c>
      <c r="AF218" s="20">
        <f t="shared" si="800"/>
        <v>630.0593631948193</v>
      </c>
      <c r="AG218" s="20">
        <f t="shared" si="800"/>
        <v>604.91628072675451</v>
      </c>
      <c r="AH218" s="20">
        <f t="shared" si="800"/>
        <v>611.57550427039814</v>
      </c>
      <c r="AI218" s="205">
        <f t="shared" si="800"/>
        <v>599.33536913957255</v>
      </c>
      <c r="AJ218" s="48">
        <f t="shared" si="800"/>
        <v>611.45079350806975</v>
      </c>
      <c r="AK218" s="20">
        <f t="shared" si="800"/>
        <v>633.055756698045</v>
      </c>
      <c r="AL218" s="20">
        <f t="shared" si="800"/>
        <v>596.68943772990008</v>
      </c>
      <c r="AM218" s="20">
        <f t="shared" si="800"/>
        <v>581.10112555623425</v>
      </c>
      <c r="AN218" s="205">
        <f t="shared" si="800"/>
        <v>566.45405964488873</v>
      </c>
      <c r="AO218" s="48">
        <f t="shared" si="800"/>
        <v>593.88521601616571</v>
      </c>
      <c r="AP218" s="20">
        <f t="shared" si="800"/>
        <v>607.35612289052358</v>
      </c>
      <c r="AQ218" s="20">
        <f t="shared" si="800"/>
        <v>575.22050257946398</v>
      </c>
      <c r="AR218" s="20">
        <f t="shared" ref="AR218:BW218" si="801">(AR214-AR153)/AR$13*1000</f>
        <v>586.17511520737344</v>
      </c>
      <c r="AS218" s="205">
        <f t="shared" si="801"/>
        <v>571.23934100505005</v>
      </c>
      <c r="AT218" s="48">
        <f t="shared" si="801"/>
        <v>584.76054384600832</v>
      </c>
      <c r="AU218" s="20">
        <f t="shared" si="801"/>
        <v>634.63446907045989</v>
      </c>
      <c r="AV218" s="20">
        <f t="shared" si="801"/>
        <v>602.04744881377962</v>
      </c>
      <c r="AW218" s="20">
        <f t="shared" si="801"/>
        <v>633.40380549682868</v>
      </c>
      <c r="AX218" s="205">
        <f t="shared" si="801"/>
        <v>625</v>
      </c>
      <c r="AY218" s="48">
        <f t="shared" si="801"/>
        <v>623.61293277538334</v>
      </c>
      <c r="AZ218" s="20">
        <f t="shared" si="801"/>
        <v>652.45533787865702</v>
      </c>
      <c r="BA218" s="20">
        <f t="shared" si="801"/>
        <v>692.27398860814958</v>
      </c>
      <c r="BB218" s="20">
        <f t="shared" si="801"/>
        <v>746.92186497053149</v>
      </c>
      <c r="BC218" s="205">
        <f t="shared" si="801"/>
        <v>720.16101823089366</v>
      </c>
      <c r="BD218" s="48">
        <f t="shared" si="801"/>
        <v>708.28705924983967</v>
      </c>
      <c r="BE218" s="20">
        <f t="shared" si="801"/>
        <v>753.50223546944858</v>
      </c>
      <c r="BF218" s="20">
        <f t="shared" si="801"/>
        <v>688.00546759311987</v>
      </c>
      <c r="BG218" s="20">
        <f t="shared" si="801"/>
        <v>696.2244544509872</v>
      </c>
      <c r="BH218" s="205">
        <f t="shared" si="801"/>
        <v>716.57944814462417</v>
      </c>
      <c r="BI218" s="48">
        <f t="shared" si="801"/>
        <v>713.14863226767534</v>
      </c>
      <c r="BJ218" s="20">
        <f t="shared" si="801"/>
        <v>736.57474600870819</v>
      </c>
      <c r="BK218" s="20">
        <f t="shared" si="801"/>
        <v>713.73525401624283</v>
      </c>
      <c r="BL218" s="20">
        <f t="shared" si="801"/>
        <v>720.66522944256235</v>
      </c>
      <c r="BM218" s="205">
        <f t="shared" si="801"/>
        <v>697.77746738688052</v>
      </c>
      <c r="BN218" s="48">
        <f t="shared" si="801"/>
        <v>717.13337443026307</v>
      </c>
      <c r="BO218" s="20">
        <f t="shared" si="801"/>
        <v>734.56175298804783</v>
      </c>
      <c r="BP218" s="20">
        <f t="shared" si="801"/>
        <v>691.52344887853189</v>
      </c>
      <c r="BQ218" s="20">
        <f t="shared" si="801"/>
        <v>694.78050466643629</v>
      </c>
      <c r="BR218" s="205">
        <f t="shared" si="801"/>
        <v>720.21660649819501</v>
      </c>
      <c r="BS218" s="48">
        <f t="shared" si="801"/>
        <v>709.7474965405388</v>
      </c>
      <c r="BT218" s="20">
        <f t="shared" si="801"/>
        <v>743.93203883495141</v>
      </c>
      <c r="BU218" s="20">
        <f t="shared" si="801"/>
        <v>715.52022122364326</v>
      </c>
      <c r="BV218" s="20">
        <f t="shared" si="801"/>
        <v>697.48533596608399</v>
      </c>
      <c r="BW218" s="205">
        <f t="shared" si="801"/>
        <v>710.90857305610928</v>
      </c>
      <c r="BX218" s="48">
        <f t="shared" ref="BX218:DC218" si="802">(BX214-BX153)/BX$13*1000</f>
        <v>716.63848889407109</v>
      </c>
      <c r="BY218" s="20">
        <f t="shared" si="802"/>
        <v>705.7484348321002</v>
      </c>
      <c r="BZ218" s="20">
        <f t="shared" si="802"/>
        <v>683.66040955631399</v>
      </c>
      <c r="CA218" s="20">
        <f t="shared" si="802"/>
        <v>677.27201134036852</v>
      </c>
      <c r="CB218" s="205">
        <f t="shared" si="802"/>
        <v>699.9429253359624</v>
      </c>
      <c r="CC218" s="48">
        <f t="shared" si="802"/>
        <v>648.69644436108354</v>
      </c>
      <c r="CD218" s="20">
        <f t="shared" si="802"/>
        <v>744.45176789850984</v>
      </c>
      <c r="CE218" s="20">
        <f t="shared" si="802"/>
        <v>697.16104522819444</v>
      </c>
      <c r="CF218" s="20">
        <f t="shared" si="802"/>
        <v>710.23440244943038</v>
      </c>
      <c r="CG218" s="205">
        <f t="shared" si="802"/>
        <v>709.96369503832193</v>
      </c>
      <c r="CH218" s="48">
        <f t="shared" si="802"/>
        <v>715.08232950397849</v>
      </c>
      <c r="CI218" s="20">
        <f t="shared" si="802"/>
        <v>762.31350909462503</v>
      </c>
      <c r="CJ218" s="20">
        <f t="shared" si="802"/>
        <v>703.31407122042765</v>
      </c>
      <c r="CK218" s="20">
        <f t="shared" si="802"/>
        <v>698.17670400321458</v>
      </c>
      <c r="CL218" s="205">
        <f t="shared" si="802"/>
        <v>751.51703749805506</v>
      </c>
      <c r="CM218" s="48">
        <f t="shared" si="802"/>
        <v>728.3980306041085</v>
      </c>
      <c r="CN218" s="20">
        <f t="shared" si="802"/>
        <v>786.00053433075084</v>
      </c>
      <c r="CO218" s="20">
        <f t="shared" si="802"/>
        <v>725.42861555887339</v>
      </c>
      <c r="CP218" s="20">
        <f t="shared" si="802"/>
        <v>724.42512178513437</v>
      </c>
      <c r="CQ218" s="205">
        <f t="shared" si="802"/>
        <v>756.64402973103051</v>
      </c>
      <c r="CR218" s="48">
        <f t="shared" si="802"/>
        <v>747.79402080863963</v>
      </c>
      <c r="CS218" s="20">
        <f t="shared" si="802"/>
        <v>823.30415754923411</v>
      </c>
      <c r="CT218" s="20">
        <f t="shared" si="802"/>
        <v>775.90741714886906</v>
      </c>
      <c r="CU218" s="20">
        <f t="shared" si="802"/>
        <v>805.14958054133899</v>
      </c>
      <c r="CV218" s="205">
        <f t="shared" si="802"/>
        <v>823.09297472756782</v>
      </c>
      <c r="CW218" s="48">
        <f t="shared" si="802"/>
        <v>806.31335464997619</v>
      </c>
      <c r="CX218" s="20">
        <f t="shared" si="802"/>
        <v>962.48969497114604</v>
      </c>
      <c r="CY218" s="20">
        <f t="shared" si="802"/>
        <v>875.16816540395109</v>
      </c>
      <c r="CZ218" s="20">
        <f t="shared" si="802"/>
        <v>859.93956116147695</v>
      </c>
      <c r="DA218" s="20">
        <f t="shared" si="802"/>
        <v>852.47575293517093</v>
      </c>
      <c r="DB218" s="48">
        <f t="shared" si="802"/>
        <v>886.64327799506486</v>
      </c>
      <c r="DC218" s="20">
        <f t="shared" si="802"/>
        <v>902.77339061216742</v>
      </c>
      <c r="DD218" s="20">
        <f t="shared" ref="DD218:EI218" si="803">(DD214-DD153)/DD$13*1000</f>
        <v>836.72520060472164</v>
      </c>
      <c r="DE218" s="20">
        <f t="shared" si="803"/>
        <v>827.91281524592046</v>
      </c>
      <c r="DF218" s="20">
        <f t="shared" si="803"/>
        <v>843.86704119850174</v>
      </c>
      <c r="DG218" s="48">
        <f t="shared" si="803"/>
        <v>851.70236986443126</v>
      </c>
      <c r="DH218" s="441">
        <f t="shared" si="803"/>
        <v>919.23796166432919</v>
      </c>
      <c r="DI218" s="20">
        <f t="shared" si="803"/>
        <v>883.65325423918512</v>
      </c>
      <c r="DJ218" s="20">
        <f t="shared" si="803"/>
        <v>865.24117354549969</v>
      </c>
      <c r="DK218" s="20">
        <f t="shared" si="803"/>
        <v>882.27154480544641</v>
      </c>
      <c r="DL218" s="48">
        <f t="shared" si="803"/>
        <v>887.17725273026258</v>
      </c>
      <c r="DM218" s="441">
        <f t="shared" si="803"/>
        <v>942.33880286572696</v>
      </c>
      <c r="DN218" s="20">
        <f t="shared" si="803"/>
        <v>861.44611793475258</v>
      </c>
      <c r="DO218" s="20">
        <f t="shared" si="803"/>
        <v>886.83473389355743</v>
      </c>
      <c r="DP218" s="20">
        <f t="shared" si="803"/>
        <v>878.85720662909443</v>
      </c>
      <c r="DQ218" s="48">
        <f t="shared" si="803"/>
        <v>891.912426834759</v>
      </c>
      <c r="DR218" s="441">
        <f t="shared" si="803"/>
        <v>907.15407041937647</v>
      </c>
      <c r="DS218" s="20">
        <f t="shared" si="803"/>
        <v>856.81645087585684</v>
      </c>
      <c r="DT218" s="20">
        <f t="shared" si="803"/>
        <v>853.4812341823274</v>
      </c>
      <c r="DU218" s="20">
        <f t="shared" si="803"/>
        <v>857.67991407089153</v>
      </c>
      <c r="DV218" s="48">
        <f t="shared" si="803"/>
        <v>868.42212807693886</v>
      </c>
      <c r="DW218" s="441">
        <f t="shared" si="803"/>
        <v>902.07647793033016</v>
      </c>
      <c r="DX218" s="20">
        <f t="shared" si="803"/>
        <v>814.38152387675871</v>
      </c>
      <c r="DY218" s="20">
        <f t="shared" si="803"/>
        <v>818.79060469765125</v>
      </c>
      <c r="DZ218" s="20">
        <f t="shared" si="803"/>
        <v>846.38522974795148</v>
      </c>
      <c r="EA218" s="48">
        <f t="shared" si="803"/>
        <v>843.7113187142503</v>
      </c>
      <c r="EB218" s="441">
        <f t="shared" si="803"/>
        <v>941.67915210032754</v>
      </c>
      <c r="EC218" s="20">
        <f t="shared" si="803"/>
        <v>848.69134272882138</v>
      </c>
      <c r="ED218" s="20">
        <f t="shared" si="803"/>
        <v>862.46965862727882</v>
      </c>
      <c r="EE218" s="20">
        <f t="shared" si="803"/>
        <v>932.68271043584343</v>
      </c>
      <c r="EF218" s="48">
        <f t="shared" si="803"/>
        <v>894.91770180106698</v>
      </c>
      <c r="EG218" s="441">
        <f t="shared" si="803"/>
        <v>880.99709749018268</v>
      </c>
      <c r="EH218" s="20">
        <f t="shared" si="803"/>
        <v>838.6559289086365</v>
      </c>
      <c r="EI218" s="20">
        <f t="shared" si="803"/>
        <v>817.84985501020299</v>
      </c>
      <c r="EJ218" s="20">
        <f t="shared" ref="EJ218:EU218" si="804">(EJ214-EJ153)/EJ$13*1000</f>
        <v>834.28447198217293</v>
      </c>
      <c r="EK218" s="48">
        <f t="shared" si="804"/>
        <v>842.45905478187797</v>
      </c>
      <c r="EL218" s="441">
        <f t="shared" si="804"/>
        <v>869.16495180331424</v>
      </c>
      <c r="EM218" s="20">
        <f t="shared" si="804"/>
        <v>824.26208917730787</v>
      </c>
      <c r="EN218" s="20">
        <f t="shared" si="804"/>
        <v>817.52203214100575</v>
      </c>
      <c r="EO218" s="20">
        <f t="shared" ref="EO218:EQ218" si="805">(EO214-EO153)/EO$13*1000</f>
        <v>822.29494571710563</v>
      </c>
      <c r="EP218" s="48">
        <f t="shared" si="805"/>
        <v>832.95014123365968</v>
      </c>
      <c r="EQ218" s="441">
        <f t="shared" si="805"/>
        <v>848.56122663306019</v>
      </c>
      <c r="ER218" s="20">
        <f t="shared" si="804"/>
        <v>810.52429624623301</v>
      </c>
      <c r="ES218" s="20">
        <f t="shared" si="804"/>
        <v>847.55780502705773</v>
      </c>
      <c r="ET218" s="20">
        <f t="shared" si="804"/>
        <v>850.61965126400435</v>
      </c>
      <c r="EU218" s="1954">
        <f t="shared" si="804"/>
        <v>839.22944100398047</v>
      </c>
      <c r="EV218" s="118"/>
      <c r="EW218" s="118"/>
      <c r="EX218" s="118"/>
      <c r="EY218" s="118"/>
      <c r="EZ218" s="747">
        <f>(EZ214-EZ153)/EZ$13*1000</f>
        <v>851.66171031627073</v>
      </c>
      <c r="FA218" s="118"/>
      <c r="FB218" s="118"/>
      <c r="FC218" s="118"/>
      <c r="FD218" s="118"/>
      <c r="FE218" s="747">
        <f>(FE214-FE153)/FE$13*1000</f>
        <v>860.34030243603138</v>
      </c>
      <c r="FF218" s="783"/>
      <c r="FG218" s="656"/>
      <c r="FH218" s="1040"/>
      <c r="FI218" s="1040"/>
      <c r="FJ218" s="1040"/>
      <c r="FK218" s="1040"/>
      <c r="FL218" s="1825"/>
      <c r="FM218" s="20">
        <f t="shared" si="776"/>
        <v>848.56122663306019</v>
      </c>
      <c r="FN218" s="20">
        <f t="shared" si="777"/>
        <v>869.16495180331424</v>
      </c>
      <c r="FO218" s="2048">
        <v>854.29895488535612</v>
      </c>
      <c r="FP218" s="16">
        <f>IFERROR(($FM218/FN218)-1,"")</f>
        <v>-2.3705195575944638E-2</v>
      </c>
      <c r="FQ218" s="16">
        <f>IFERROR(($FM218/FO218)-1,"")</f>
        <v>-6.7163002125713023E-3</v>
      </c>
      <c r="FR218" s="86"/>
      <c r="FS218" s="1579" t="s">
        <v>803</v>
      </c>
      <c r="FT218" s="86"/>
      <c r="FU218" s="418"/>
      <c r="FV218" s="418"/>
      <c r="FW218" s="418"/>
      <c r="FX218" s="418"/>
      <c r="FY218" s="418"/>
      <c r="FZ218" s="418"/>
      <c r="GA218" s="656"/>
      <c r="GB218"/>
      <c r="GC218"/>
      <c r="GD218"/>
      <c r="GE218"/>
      <c r="GF218"/>
      <c r="GG218"/>
      <c r="GH218" s="975"/>
      <c r="GI218" s="975"/>
      <c r="GJ218" s="975"/>
      <c r="GK218" s="975"/>
      <c r="GL218" s="975"/>
      <c r="GM218" s="975"/>
      <c r="GN218" s="975"/>
      <c r="GO218" s="975"/>
      <c r="GP218" s="975"/>
      <c r="GQ218" s="975"/>
      <c r="GR218" s="975"/>
      <c r="GS218" s="975"/>
      <c r="GT218" s="975"/>
      <c r="GU218" s="975"/>
      <c r="GV218" s="975"/>
      <c r="GW218" s="975"/>
      <c r="GX218" s="975"/>
      <c r="GY218" s="975"/>
      <c r="GZ218" s="975"/>
      <c r="HA218" s="975"/>
      <c r="HB218" s="975"/>
      <c r="HC218" s="975"/>
      <c r="HD218" s="975"/>
      <c r="HE218" s="975"/>
      <c r="HF218" s="975"/>
      <c r="HG218" s="975"/>
      <c r="HH218" s="975"/>
      <c r="HI218" s="975"/>
      <c r="HJ218" s="975"/>
      <c r="HK218" s="975"/>
      <c r="HL218" s="975"/>
      <c r="HM218" s="975"/>
      <c r="HN218" s="975"/>
      <c r="HO218" s="975"/>
      <c r="HP218" s="975"/>
      <c r="HQ218" s="975"/>
      <c r="HR218" s="975"/>
      <c r="HS218" s="975"/>
      <c r="HT218" s="975"/>
      <c r="HU218" s="975"/>
      <c r="HV218" s="975"/>
      <c r="HW218" s="975"/>
      <c r="HX218" s="975"/>
      <c r="HY218" s="975"/>
      <c r="HZ218" s="975"/>
      <c r="IA218" s="975"/>
      <c r="IB218" s="975"/>
      <c r="IC218" s="975"/>
      <c r="ID218" s="975"/>
      <c r="IE218" s="975"/>
      <c r="IF218" s="975"/>
      <c r="IG218" s="975"/>
      <c r="IH218" s="975"/>
      <c r="II218" s="975"/>
      <c r="IJ218" s="975"/>
      <c r="IK218" s="975"/>
      <c r="IL218" s="975"/>
      <c r="IM218" s="975"/>
      <c r="IN218" s="975"/>
      <c r="IO218" s="975"/>
      <c r="IP218" s="975"/>
      <c r="IQ218" s="975"/>
      <c r="IR218" s="975"/>
      <c r="IS218" s="975"/>
      <c r="IT218" s="975"/>
      <c r="IU218" s="975"/>
      <c r="IV218" s="975"/>
    </row>
    <row r="219" spans="1:256" s="99" customFormat="1" ht="12.75" x14ac:dyDescent="0.2">
      <c r="A219" s="19" t="s">
        <v>194</v>
      </c>
      <c r="B219" s="22"/>
      <c r="C219" s="22"/>
      <c r="D219" s="22"/>
      <c r="E219" s="197"/>
      <c r="F219" s="21"/>
      <c r="G219" s="22"/>
      <c r="H219" s="22"/>
      <c r="I219" s="22"/>
      <c r="J219" s="197"/>
      <c r="K219" s="21"/>
      <c r="L219" s="22"/>
      <c r="M219" s="22"/>
      <c r="N219" s="22"/>
      <c r="O219" s="197"/>
      <c r="P219" s="21"/>
      <c r="Q219" s="22">
        <f t="shared" ref="Q219:CB219" si="806">Q218/L218-1</f>
        <v>-5.9985688984350416E-2</v>
      </c>
      <c r="R219" s="22">
        <f t="shared" si="806"/>
        <v>-1.9199692221908315E-2</v>
      </c>
      <c r="S219" s="22">
        <f t="shared" si="806"/>
        <v>2.0491465339613768E-3</v>
      </c>
      <c r="T219" s="197">
        <f t="shared" si="806"/>
        <v>-3.6351938076426338E-2</v>
      </c>
      <c r="U219" s="21">
        <f t="shared" si="806"/>
        <v>-2.8514204575698643E-2</v>
      </c>
      <c r="V219" s="22">
        <f t="shared" si="806"/>
        <v>4.7245180306947132E-2</v>
      </c>
      <c r="W219" s="22">
        <f t="shared" si="806"/>
        <v>-5.5929175878222326E-2</v>
      </c>
      <c r="X219" s="22">
        <f t="shared" si="806"/>
        <v>-1.4664256722234259E-2</v>
      </c>
      <c r="Y219" s="197">
        <f t="shared" si="806"/>
        <v>-6.5331725962995635E-2</v>
      </c>
      <c r="Z219" s="21">
        <f t="shared" si="806"/>
        <v>-2.3338574526587608E-2</v>
      </c>
      <c r="AA219" s="22">
        <f t="shared" si="806"/>
        <v>-5.0469436487860952E-2</v>
      </c>
      <c r="AB219" s="22">
        <f t="shared" si="806"/>
        <v>-4.8002706197079248E-2</v>
      </c>
      <c r="AC219" s="22">
        <f t="shared" si="806"/>
        <v>-7.8327269931438459E-2</v>
      </c>
      <c r="AD219" s="197">
        <f t="shared" si="806"/>
        <v>-3.6009968993767627E-2</v>
      </c>
      <c r="AE219" s="21">
        <f t="shared" si="806"/>
        <v>-5.3781638685043598E-2</v>
      </c>
      <c r="AF219" s="22">
        <f t="shared" si="806"/>
        <v>-4.9334793953852984E-2</v>
      </c>
      <c r="AG219" s="22">
        <f t="shared" si="806"/>
        <v>-1.8493244727952884E-2</v>
      </c>
      <c r="AH219" s="22">
        <f t="shared" si="806"/>
        <v>-7.9152104214322838E-3</v>
      </c>
      <c r="AI219" s="197">
        <f t="shared" si="806"/>
        <v>-5.1265068969098548E-3</v>
      </c>
      <c r="AJ219" s="21">
        <f t="shared" si="806"/>
        <v>-1.9630319018552056E-2</v>
      </c>
      <c r="AK219" s="22">
        <f t="shared" si="806"/>
        <v>4.7557320440918538E-3</v>
      </c>
      <c r="AL219" s="22">
        <f t="shared" si="806"/>
        <v>-1.3599969547803514E-2</v>
      </c>
      <c r="AM219" s="22">
        <f t="shared" si="806"/>
        <v>-4.9829299083061662E-2</v>
      </c>
      <c r="AN219" s="197">
        <f t="shared" si="806"/>
        <v>-5.4862955179650785E-2</v>
      </c>
      <c r="AO219" s="21">
        <f t="shared" si="806"/>
        <v>-2.8727704139731802E-2</v>
      </c>
      <c r="AP219" s="22">
        <f t="shared" si="806"/>
        <v>-4.0596161610737314E-2</v>
      </c>
      <c r="AQ219" s="22">
        <f t="shared" si="806"/>
        <v>-3.5980082422967796E-2</v>
      </c>
      <c r="AR219" s="22">
        <f t="shared" si="806"/>
        <v>8.7316809897457492E-3</v>
      </c>
      <c r="AS219" s="197">
        <f t="shared" si="806"/>
        <v>8.4477836793352967E-3</v>
      </c>
      <c r="AT219" s="21">
        <f t="shared" si="806"/>
        <v>-1.5364369955808144E-2</v>
      </c>
      <c r="AU219" s="22">
        <f t="shared" si="806"/>
        <v>4.4913264478364745E-2</v>
      </c>
      <c r="AV219" s="22">
        <f t="shared" si="806"/>
        <v>4.6637673925069567E-2</v>
      </c>
      <c r="AW219" s="22">
        <f t="shared" si="806"/>
        <v>8.057095749065879E-2</v>
      </c>
      <c r="AX219" s="197">
        <f t="shared" si="806"/>
        <v>9.411231884057969E-2</v>
      </c>
      <c r="AY219" s="21">
        <f t="shared" si="806"/>
        <v>6.6441536348947672E-2</v>
      </c>
      <c r="AZ219" s="22">
        <f t="shared" si="806"/>
        <v>2.8080524580234467E-2</v>
      </c>
      <c r="BA219" s="22">
        <f t="shared" si="806"/>
        <v>0.14986616083523696</v>
      </c>
      <c r="BB219" s="22">
        <f t="shared" si="806"/>
        <v>0.17921909923585266</v>
      </c>
      <c r="BC219" s="197">
        <f t="shared" si="806"/>
        <v>0.15225762916942975</v>
      </c>
      <c r="BD219" s="21">
        <f t="shared" si="806"/>
        <v>0.13577993980595449</v>
      </c>
      <c r="BE219" s="22">
        <f t="shared" si="806"/>
        <v>0.15487174634715628</v>
      </c>
      <c r="BF219" s="22">
        <f t="shared" si="806"/>
        <v>-6.1659416434406422E-3</v>
      </c>
      <c r="BG219" s="22">
        <f t="shared" si="806"/>
        <v>-6.7875119068236733E-2</v>
      </c>
      <c r="BH219" s="197">
        <f t="shared" si="806"/>
        <v>-4.9732906886126305E-3</v>
      </c>
      <c r="BI219" s="21">
        <f t="shared" si="806"/>
        <v>6.863845603765073E-3</v>
      </c>
      <c r="BJ219" s="22">
        <f t="shared" si="806"/>
        <v>-2.2465081938601306E-2</v>
      </c>
      <c r="BK219" s="22">
        <f t="shared" si="806"/>
        <v>3.7397648180231169E-2</v>
      </c>
      <c r="BL219" s="22">
        <f t="shared" si="806"/>
        <v>3.5104735025212719E-2</v>
      </c>
      <c r="BM219" s="197">
        <f t="shared" si="806"/>
        <v>-2.6238515221760794E-2</v>
      </c>
      <c r="BN219" s="21">
        <f t="shared" si="806"/>
        <v>5.5875339056838946E-3</v>
      </c>
      <c r="BO219" s="22">
        <f t="shared" si="806"/>
        <v>-2.7329107216452764E-3</v>
      </c>
      <c r="BP219" s="22">
        <f t="shared" si="806"/>
        <v>-3.1120510038874283E-2</v>
      </c>
      <c r="BQ219" s="22">
        <f t="shared" si="806"/>
        <v>-3.5917821088923607E-2</v>
      </c>
      <c r="BR219" s="197">
        <f t="shared" si="806"/>
        <v>3.2158016215896534E-2</v>
      </c>
      <c r="BS219" s="21">
        <f t="shared" si="806"/>
        <v>-1.0299169098903049E-2</v>
      </c>
      <c r="BT219" s="22">
        <f t="shared" si="806"/>
        <v>1.2756294224123721E-2</v>
      </c>
      <c r="BU219" s="22">
        <f t="shared" si="806"/>
        <v>3.4701314010432638E-2</v>
      </c>
      <c r="BV219" s="22">
        <f t="shared" si="806"/>
        <v>3.8930731093933524E-3</v>
      </c>
      <c r="BW219" s="197">
        <f t="shared" si="806"/>
        <v>-1.2923936157682947E-2</v>
      </c>
      <c r="BX219" s="21">
        <f t="shared" si="806"/>
        <v>9.709075956055413E-3</v>
      </c>
      <c r="BY219" s="22">
        <f t="shared" si="806"/>
        <v>-5.1326736865170308E-2</v>
      </c>
      <c r="BZ219" s="22">
        <f t="shared" si="806"/>
        <v>-4.4526780267431731E-2</v>
      </c>
      <c r="CA219" s="22">
        <f t="shared" si="806"/>
        <v>-2.8980286155719792E-2</v>
      </c>
      <c r="CB219" s="197">
        <f t="shared" si="806"/>
        <v>-1.5424835394805991E-2</v>
      </c>
      <c r="CC219" s="21">
        <f t="shared" ref="CC219:DY219" si="807">CC218/BX218-1</f>
        <v>-9.4806580425001896E-2</v>
      </c>
      <c r="CD219" s="22">
        <f t="shared" si="807"/>
        <v>5.4840125965872399E-2</v>
      </c>
      <c r="CE219" s="22">
        <f t="shared" si="807"/>
        <v>1.9747575672316886E-2</v>
      </c>
      <c r="CF219" s="22">
        <f t="shared" si="807"/>
        <v>4.8669353756147338E-2</v>
      </c>
      <c r="CG219" s="197">
        <f t="shared" si="807"/>
        <v>1.4316552592555709E-2</v>
      </c>
      <c r="CH219" s="21">
        <f t="shared" si="807"/>
        <v>0.1023373655273847</v>
      </c>
      <c r="CI219" s="22">
        <f t="shared" si="807"/>
        <v>2.3993147664269188E-2</v>
      </c>
      <c r="CJ219" s="22">
        <f t="shared" si="807"/>
        <v>8.8258316128653203E-3</v>
      </c>
      <c r="CK219" s="22">
        <f t="shared" si="807"/>
        <v>-1.6977068985438715E-2</v>
      </c>
      <c r="CL219" s="197">
        <f t="shared" si="807"/>
        <v>5.8528827248681026E-2</v>
      </c>
      <c r="CM219" s="21">
        <f t="shared" si="807"/>
        <v>1.8621214020722032E-2</v>
      </c>
      <c r="CN219" s="22">
        <f t="shared" si="807"/>
        <v>3.1072550799025045E-2</v>
      </c>
      <c r="CO219" s="22">
        <f t="shared" si="807"/>
        <v>3.1443341237395339E-2</v>
      </c>
      <c r="CP219" s="22">
        <f t="shared" si="807"/>
        <v>3.7595665440305126E-2</v>
      </c>
      <c r="CQ219" s="197">
        <f t="shared" si="807"/>
        <v>6.8221902859904038E-3</v>
      </c>
      <c r="CR219" s="21">
        <f t="shared" si="807"/>
        <v>2.662828479704249E-2</v>
      </c>
      <c r="CS219" s="22">
        <f t="shared" si="807"/>
        <v>4.746004816681948E-2</v>
      </c>
      <c r="CT219" s="22">
        <f t="shared" si="807"/>
        <v>6.9584795122958454E-2</v>
      </c>
      <c r="CU219" s="22">
        <f t="shared" si="807"/>
        <v>0.11143243977691264</v>
      </c>
      <c r="CV219" s="197">
        <f t="shared" si="807"/>
        <v>8.7820616281289343E-2</v>
      </c>
      <c r="CW219" s="21">
        <f t="shared" si="807"/>
        <v>7.8255953127380762E-2</v>
      </c>
      <c r="CX219" s="22">
        <f t="shared" si="807"/>
        <v>0.16905725076894029</v>
      </c>
      <c r="CY219" s="22">
        <f t="shared" si="807"/>
        <v>0.12792859825960057</v>
      </c>
      <c r="CZ219" s="22">
        <f t="shared" si="807"/>
        <v>6.8049443164710066E-2</v>
      </c>
      <c r="DA219" s="22">
        <f>DA218/CV218-1</f>
        <v>3.5698006312504749E-2</v>
      </c>
      <c r="DB219" s="21">
        <f>DB218/CW218-1</f>
        <v>9.9626184884362035E-2</v>
      </c>
      <c r="DC219" s="22">
        <f t="shared" si="807"/>
        <v>-6.2043577890741775E-2</v>
      </c>
      <c r="DD219" s="22">
        <f t="shared" si="807"/>
        <v>-4.3926374745915653E-2</v>
      </c>
      <c r="DE219" s="22">
        <f t="shared" si="807"/>
        <v>-3.7243019581864045E-2</v>
      </c>
      <c r="DF219" s="22">
        <f>DF218/DA218-1</f>
        <v>-1.0098482809661635E-2</v>
      </c>
      <c r="DG219" s="21">
        <f t="shared" si="807"/>
        <v>-3.9408078759300191E-2</v>
      </c>
      <c r="DH219" s="268">
        <f>DH218/DC218-1</f>
        <v>1.8237767332726973E-2</v>
      </c>
      <c r="DI219" s="22">
        <f t="shared" si="807"/>
        <v>5.6085383349930629E-2</v>
      </c>
      <c r="DJ219" s="22">
        <f t="shared" si="807"/>
        <v>4.5087305827596458E-2</v>
      </c>
      <c r="DK219" s="22">
        <f t="shared" si="807"/>
        <v>4.5510135758354497E-2</v>
      </c>
      <c r="DL219" s="21">
        <f t="shared" si="807"/>
        <v>4.1651736711121323E-2</v>
      </c>
      <c r="DM219" s="268">
        <f t="shared" si="807"/>
        <v>2.5130425596841643E-2</v>
      </c>
      <c r="DN219" s="22">
        <f t="shared" si="807"/>
        <v>-2.5131052477764704E-2</v>
      </c>
      <c r="DO219" s="22">
        <f t="shared" si="807"/>
        <v>2.4956695321806999E-2</v>
      </c>
      <c r="DP219" s="22">
        <f t="shared" si="807"/>
        <v>-3.869940265505134E-3</v>
      </c>
      <c r="DQ219" s="21">
        <f t="shared" si="807"/>
        <v>5.3373484159158213E-3</v>
      </c>
      <c r="DR219" s="268">
        <f t="shared" si="807"/>
        <v>-3.7337667025225896E-2</v>
      </c>
      <c r="DS219" s="22">
        <f t="shared" si="807"/>
        <v>-5.3742967348845427E-3</v>
      </c>
      <c r="DT219" s="22">
        <f t="shared" si="807"/>
        <v>-3.7609600116579656E-2</v>
      </c>
      <c r="DU219" s="22">
        <f t="shared" si="807"/>
        <v>-2.4096397456225715E-2</v>
      </c>
      <c r="DV219" s="21">
        <f t="shared" si="807"/>
        <v>-2.6337001314336583E-2</v>
      </c>
      <c r="DW219" s="268">
        <f>DW218/DR218-1</f>
        <v>-5.5972768624616975E-3</v>
      </c>
      <c r="DX219" s="22">
        <f t="shared" si="807"/>
        <v>-4.952627479983629E-2</v>
      </c>
      <c r="DY219" s="22">
        <f t="shared" si="807"/>
        <v>-4.0646036603149582E-2</v>
      </c>
      <c r="DZ219" s="22">
        <f t="shared" ref="DZ219:EI219" si="808">DZ218/DU218-1</f>
        <v>-1.3168880531818639E-2</v>
      </c>
      <c r="EA219" s="21">
        <f t="shared" si="808"/>
        <v>-2.8454836149107487E-2</v>
      </c>
      <c r="EB219" s="268">
        <f t="shared" si="808"/>
        <v>4.3901681441532947E-2</v>
      </c>
      <c r="EC219" s="22">
        <f t="shared" si="808"/>
        <v>4.2129908213947687E-2</v>
      </c>
      <c r="ED219" s="22">
        <f t="shared" si="808"/>
        <v>5.3345817207754331E-2</v>
      </c>
      <c r="EE219" s="22">
        <f t="shared" si="808"/>
        <v>0.10196005040587819</v>
      </c>
      <c r="EF219" s="21">
        <f t="shared" si="808"/>
        <v>6.0691829007166964E-2</v>
      </c>
      <c r="EG219" s="268">
        <f t="shared" si="808"/>
        <v>-6.4440265535027685E-2</v>
      </c>
      <c r="EH219" s="22">
        <f t="shared" si="808"/>
        <v>-1.1824574276812716E-2</v>
      </c>
      <c r="EI219" s="22">
        <f t="shared" si="808"/>
        <v>-5.1734925595056214E-2</v>
      </c>
      <c r="EJ219" s="22">
        <f t="shared" ref="EJ219:EN219" si="809">EJ218/EE218-1</f>
        <v>-0.10550022784027902</v>
      </c>
      <c r="EK219" s="21">
        <f t="shared" si="809"/>
        <v>-5.8618403584612677E-2</v>
      </c>
      <c r="EL219" s="268">
        <f t="shared" si="809"/>
        <v>-1.3430402575191569E-2</v>
      </c>
      <c r="EM219" s="22">
        <f t="shared" si="809"/>
        <v>-1.7162985719375579E-2</v>
      </c>
      <c r="EN219" s="22">
        <f t="shared" si="809"/>
        <v>-4.0083502758969658E-4</v>
      </c>
      <c r="EO219" s="22">
        <f t="shared" ref="EO219" si="810">EO218/EJ218-1</f>
        <v>-1.4371028908858219E-2</v>
      </c>
      <c r="EP219" s="21">
        <f t="shared" ref="EP219:EQ219" si="811">EP218/EK218-1</f>
        <v>-1.128709281981688E-2</v>
      </c>
      <c r="EQ219" s="268">
        <f t="shared" si="811"/>
        <v>-2.3705195575944638E-2</v>
      </c>
      <c r="ER219" s="22">
        <f t="shared" ref="ER219" si="812">ER218/EM218-1</f>
        <v>-1.6666777608062122E-2</v>
      </c>
      <c r="ES219" s="22">
        <f t="shared" ref="ES219:EU219" si="813">ES218/EN218-1</f>
        <v>3.6740016421809907E-2</v>
      </c>
      <c r="ET219" s="22">
        <f t="shared" si="813"/>
        <v>3.4445919550432524E-2</v>
      </c>
      <c r="EU219" s="270">
        <f t="shared" si="813"/>
        <v>7.5386262147945082E-3</v>
      </c>
      <c r="EV219" s="96"/>
      <c r="EW219" s="96"/>
      <c r="EX219" s="96"/>
      <c r="EY219" s="96"/>
      <c r="EZ219" s="844">
        <f>EZ218/EU218-1</f>
        <v>1.4813909885498466E-2</v>
      </c>
      <c r="FA219" s="96"/>
      <c r="FB219" s="96"/>
      <c r="FC219" s="96"/>
      <c r="FD219" s="96"/>
      <c r="FE219" s="844">
        <f>FE218/EZ218-1</f>
        <v>1.0190187036279719E-2</v>
      </c>
      <c r="FF219" s="784"/>
      <c r="FG219" s="656"/>
      <c r="FH219" s="1039"/>
      <c r="FI219" s="1039"/>
      <c r="FJ219" s="1039"/>
      <c r="FK219" s="1039"/>
      <c r="FL219" s="1813"/>
      <c r="FM219" s="22">
        <f t="shared" si="776"/>
        <v>-2.3705195575944638E-2</v>
      </c>
      <c r="FN219" s="22">
        <f t="shared" si="777"/>
        <v>-1.3430402575191569E-2</v>
      </c>
      <c r="FO219" s="2041">
        <v>-7.206765203713994E-3</v>
      </c>
      <c r="FP219" s="1892">
        <f>IFERROR(($FM219-FN219)*10000,"")</f>
        <v>-102.74793000753068</v>
      </c>
      <c r="FQ219" s="1892">
        <f>IFERROR(($FM219-FO219)*10000,"")</f>
        <v>-164.98430372230644</v>
      </c>
      <c r="FR219" s="418"/>
      <c r="FS219" s="1579" t="s">
        <v>793</v>
      </c>
      <c r="FT219" s="418"/>
      <c r="FU219" s="86"/>
      <c r="FV219" s="86"/>
      <c r="FW219" s="86"/>
      <c r="FX219" s="86"/>
      <c r="FY219" s="86"/>
      <c r="FZ219" s="86"/>
      <c r="GA219" s="656"/>
      <c r="GB219"/>
      <c r="GC219"/>
      <c r="GD219"/>
      <c r="GE219"/>
      <c r="GF219"/>
      <c r="GG219"/>
      <c r="GH219" s="974"/>
      <c r="GI219" s="974"/>
      <c r="GJ219" s="974"/>
      <c r="GK219" s="974"/>
      <c r="GL219" s="974"/>
      <c r="GM219" s="974"/>
      <c r="GN219" s="974"/>
      <c r="GO219" s="974"/>
      <c r="GP219" s="974"/>
      <c r="GQ219" s="974"/>
      <c r="GR219" s="974"/>
      <c r="GS219" s="974"/>
      <c r="GT219" s="974"/>
      <c r="GU219" s="974"/>
      <c r="GV219" s="974"/>
      <c r="GW219" s="974"/>
      <c r="GX219" s="974"/>
      <c r="GY219" s="974"/>
      <c r="GZ219" s="974"/>
      <c r="HA219" s="974"/>
      <c r="HB219" s="974"/>
      <c r="HC219" s="974"/>
      <c r="HD219" s="974"/>
      <c r="HE219" s="974"/>
      <c r="HF219" s="974"/>
      <c r="HG219" s="974"/>
      <c r="HH219" s="974"/>
      <c r="HI219" s="974"/>
      <c r="HJ219" s="974"/>
      <c r="HK219" s="974"/>
      <c r="HL219" s="974"/>
      <c r="HM219" s="974"/>
      <c r="HN219" s="974"/>
      <c r="HO219" s="974"/>
      <c r="HP219" s="974"/>
      <c r="HQ219" s="974"/>
      <c r="HR219" s="974"/>
      <c r="HS219" s="974"/>
      <c r="HT219" s="974"/>
      <c r="HU219" s="974"/>
      <c r="HV219" s="974"/>
      <c r="HW219" s="974"/>
      <c r="HX219" s="974"/>
      <c r="HY219" s="974"/>
      <c r="HZ219" s="974"/>
      <c r="IA219" s="974"/>
      <c r="IB219" s="974"/>
      <c r="IC219" s="974"/>
      <c r="ID219" s="974"/>
      <c r="IE219" s="974"/>
      <c r="IF219" s="974"/>
      <c r="IG219" s="974"/>
      <c r="IH219" s="974"/>
      <c r="II219" s="974"/>
      <c r="IJ219" s="974"/>
      <c r="IK219" s="974"/>
      <c r="IL219" s="974"/>
      <c r="IM219" s="974"/>
      <c r="IN219" s="974"/>
      <c r="IO219" s="974"/>
      <c r="IP219" s="974"/>
      <c r="IQ219" s="974"/>
      <c r="IR219" s="974"/>
      <c r="IS219" s="974"/>
      <c r="IT219" s="974"/>
      <c r="IU219" s="974"/>
      <c r="IV219" s="974"/>
    </row>
    <row r="220" spans="1:256" s="527" customFormat="1" ht="12.75" x14ac:dyDescent="0.2">
      <c r="A220" s="522" t="s">
        <v>430</v>
      </c>
      <c r="B220" s="523"/>
      <c r="C220" s="523"/>
      <c r="D220" s="523"/>
      <c r="E220" s="524"/>
      <c r="F220" s="525"/>
      <c r="G220" s="523"/>
      <c r="H220" s="523"/>
      <c r="I220" s="523"/>
      <c r="J220" s="524"/>
      <c r="K220" s="525"/>
      <c r="L220" s="523"/>
      <c r="M220" s="523"/>
      <c r="N220" s="523"/>
      <c r="O220" s="524"/>
      <c r="P220" s="525"/>
      <c r="Q220" s="523"/>
      <c r="R220" s="523"/>
      <c r="S220" s="523"/>
      <c r="T220" s="524"/>
      <c r="U220" s="525"/>
      <c r="V220" s="523"/>
      <c r="W220" s="523"/>
      <c r="X220" s="523"/>
      <c r="Y220" s="524"/>
      <c r="Z220" s="525"/>
      <c r="AA220" s="523"/>
      <c r="AB220" s="523"/>
      <c r="AC220" s="523"/>
      <c r="AD220" s="524"/>
      <c r="AE220" s="525"/>
      <c r="AF220" s="523"/>
      <c r="AG220" s="523"/>
      <c r="AH220" s="523"/>
      <c r="AI220" s="524"/>
      <c r="AJ220" s="525"/>
      <c r="AK220" s="523"/>
      <c r="AL220" s="523"/>
      <c r="AM220" s="523"/>
      <c r="AN220" s="524"/>
      <c r="AO220" s="525"/>
      <c r="AP220" s="523"/>
      <c r="AQ220" s="523"/>
      <c r="AR220" s="523"/>
      <c r="AS220" s="524"/>
      <c r="AT220" s="525"/>
      <c r="AU220" s="523"/>
      <c r="AV220" s="523"/>
      <c r="AW220" s="523"/>
      <c r="AX220" s="524"/>
      <c r="AY220" s="525"/>
      <c r="AZ220" s="523"/>
      <c r="BA220" s="523"/>
      <c r="BB220" s="523"/>
      <c r="BC220" s="524"/>
      <c r="BD220" s="525"/>
      <c r="BE220" s="523"/>
      <c r="BF220" s="523"/>
      <c r="BG220" s="523"/>
      <c r="BH220" s="524"/>
      <c r="BI220" s="525"/>
      <c r="BJ220" s="523"/>
      <c r="BK220" s="523"/>
      <c r="BL220" s="523"/>
      <c r="BM220" s="524"/>
      <c r="BN220" s="525"/>
      <c r="BO220" s="523"/>
      <c r="BP220" s="523"/>
      <c r="BQ220" s="523"/>
      <c r="BR220" s="524"/>
      <c r="BS220" s="525"/>
      <c r="BT220" s="523"/>
      <c r="BU220" s="523"/>
      <c r="BV220" s="523"/>
      <c r="BW220" s="524"/>
      <c r="BX220" s="525"/>
      <c r="BY220" s="523"/>
      <c r="BZ220" s="523"/>
      <c r="CA220" s="523"/>
      <c r="CB220" s="524"/>
      <c r="CC220" s="525"/>
      <c r="CD220" s="523"/>
      <c r="CE220" s="523"/>
      <c r="CF220" s="523"/>
      <c r="CG220" s="524"/>
      <c r="CH220" s="525"/>
      <c r="CI220" s="523"/>
      <c r="CJ220" s="523"/>
      <c r="CK220" s="523"/>
      <c r="CL220" s="524"/>
      <c r="CM220" s="525"/>
      <c r="CN220" s="523"/>
      <c r="CO220" s="523"/>
      <c r="CP220" s="523"/>
      <c r="CQ220" s="524"/>
      <c r="CR220" s="525"/>
      <c r="CS220" s="523"/>
      <c r="CT220" s="523"/>
      <c r="CU220" s="523"/>
      <c r="CV220" s="524"/>
      <c r="CW220" s="525"/>
      <c r="CX220" s="523"/>
      <c r="CY220" s="523"/>
      <c r="CZ220" s="523"/>
      <c r="DA220" s="523"/>
      <c r="DB220" s="525"/>
      <c r="DC220" s="523"/>
      <c r="DD220" s="523"/>
      <c r="DE220" s="523"/>
      <c r="DF220" s="523"/>
      <c r="DG220" s="526"/>
      <c r="DH220" s="523"/>
      <c r="DI220" s="523"/>
      <c r="DJ220" s="523"/>
      <c r="DK220" s="523"/>
      <c r="DL220" s="526"/>
      <c r="DM220" s="523"/>
      <c r="DN220" s="523"/>
      <c r="DO220" s="523"/>
      <c r="DP220" s="523"/>
      <c r="DQ220" s="526"/>
      <c r="DR220" s="523"/>
      <c r="DS220" s="523"/>
      <c r="DU220" s="523"/>
      <c r="DV220" s="526"/>
      <c r="DW220" s="523"/>
      <c r="DX220" s="523"/>
      <c r="DZ220" s="523"/>
      <c r="EA220" s="526"/>
      <c r="EB220" s="523"/>
      <c r="EC220" s="523"/>
      <c r="EE220" s="523"/>
      <c r="EF220" s="525"/>
      <c r="EG220" s="1650"/>
      <c r="EH220" s="523"/>
      <c r="EJ220" s="523"/>
      <c r="EK220" s="525"/>
      <c r="EL220" s="1650"/>
      <c r="EM220" s="523"/>
      <c r="EO220" s="523"/>
      <c r="EP220" s="525"/>
      <c r="EQ220" s="1650"/>
      <c r="EU220" s="1941"/>
      <c r="EZ220" s="735"/>
      <c r="FE220" s="735"/>
      <c r="FF220" s="735"/>
      <c r="FG220" s="655"/>
      <c r="FH220" s="1033"/>
      <c r="FI220" s="1033"/>
      <c r="FJ220" s="1033"/>
      <c r="FK220" s="1033"/>
      <c r="FL220" s="1821"/>
      <c r="FM220" s="523"/>
      <c r="FN220" s="523"/>
      <c r="FO220" s="523"/>
      <c r="FP220" s="523"/>
      <c r="FQ220" s="523"/>
      <c r="FR220" s="86"/>
      <c r="FS220" s="1579" t="s">
        <v>731</v>
      </c>
      <c r="FT220" s="86"/>
      <c r="FU220" s="563"/>
      <c r="FV220" s="563"/>
      <c r="FW220" s="563"/>
      <c r="FX220" s="563"/>
      <c r="FY220" s="563"/>
      <c r="FZ220" s="563"/>
      <c r="GA220" s="655"/>
      <c r="GB220"/>
      <c r="GC220"/>
      <c r="GD220"/>
      <c r="GE220"/>
      <c r="GF220"/>
      <c r="GG220"/>
      <c r="GH220" s="943"/>
      <c r="GI220" s="943"/>
      <c r="GJ220" s="943"/>
      <c r="GK220" s="943"/>
      <c r="GL220" s="943"/>
      <c r="GM220" s="943"/>
      <c r="GN220" s="943"/>
      <c r="GO220" s="943"/>
      <c r="GP220" s="943"/>
      <c r="GQ220" s="943"/>
      <c r="GR220" s="943"/>
      <c r="GS220" s="943"/>
      <c r="GT220" s="943"/>
      <c r="GU220" s="943"/>
      <c r="GV220" s="943"/>
      <c r="GW220" s="943"/>
      <c r="GX220" s="943"/>
      <c r="GY220" s="943"/>
      <c r="GZ220" s="943"/>
      <c r="HA220" s="943"/>
      <c r="HB220" s="943"/>
      <c r="HC220" s="943"/>
      <c r="HD220" s="943"/>
      <c r="HE220" s="943"/>
      <c r="HF220" s="943"/>
      <c r="HG220" s="943"/>
      <c r="HH220" s="943"/>
      <c r="HI220" s="943"/>
      <c r="HJ220" s="943"/>
      <c r="HK220" s="943"/>
      <c r="HL220" s="943"/>
      <c r="HM220" s="943"/>
      <c r="HN220" s="943"/>
      <c r="HO220" s="943"/>
      <c r="HP220" s="943"/>
      <c r="HQ220" s="943"/>
      <c r="HR220" s="943"/>
      <c r="HS220" s="943"/>
      <c r="HT220" s="943"/>
      <c r="HU220" s="943"/>
      <c r="HV220" s="943"/>
      <c r="HW220" s="943"/>
      <c r="HX220" s="943"/>
      <c r="HY220" s="943"/>
      <c r="HZ220" s="943"/>
      <c r="IA220" s="943"/>
      <c r="IB220" s="943"/>
      <c r="IC220" s="943"/>
      <c r="ID220" s="943"/>
      <c r="IE220" s="943"/>
      <c r="IF220" s="943"/>
      <c r="IG220" s="943"/>
      <c r="IH220" s="943"/>
      <c r="II220" s="943"/>
      <c r="IJ220" s="943"/>
      <c r="IK220" s="943"/>
      <c r="IL220" s="943"/>
      <c r="IM220" s="943"/>
      <c r="IN220" s="943"/>
      <c r="IO220" s="943"/>
      <c r="IP220" s="943"/>
      <c r="IQ220" s="943"/>
      <c r="IR220" s="943"/>
      <c r="IS220" s="943"/>
      <c r="IT220" s="943"/>
      <c r="IU220" s="943"/>
      <c r="IV220" s="943"/>
    </row>
    <row r="221" spans="1:256" s="338" customFormat="1" ht="12.75" x14ac:dyDescent="0.2">
      <c r="A221" s="339" t="s">
        <v>179</v>
      </c>
      <c r="B221" s="118">
        <f t="shared" ref="B221:AG221" si="814">B135</f>
        <v>923.10000000000014</v>
      </c>
      <c r="C221" s="118">
        <f t="shared" si="814"/>
        <v>955.69999999999993</v>
      </c>
      <c r="D221" s="118">
        <f t="shared" si="814"/>
        <v>903.3</v>
      </c>
      <c r="E221" s="340">
        <f t="shared" si="814"/>
        <v>911.99999999999989</v>
      </c>
      <c r="F221" s="341">
        <f t="shared" si="814"/>
        <v>3694.1</v>
      </c>
      <c r="G221" s="118">
        <f t="shared" si="814"/>
        <v>954.09999999999991</v>
      </c>
      <c r="H221" s="118">
        <f t="shared" si="814"/>
        <v>964.09999999999991</v>
      </c>
      <c r="I221" s="118">
        <f t="shared" si="814"/>
        <v>936.8</v>
      </c>
      <c r="J221" s="340">
        <f t="shared" si="814"/>
        <v>931</v>
      </c>
      <c r="K221" s="341">
        <f t="shared" si="814"/>
        <v>3786.0000000000005</v>
      </c>
      <c r="L221" s="118">
        <f t="shared" si="814"/>
        <v>891.5</v>
      </c>
      <c r="M221" s="118">
        <f t="shared" si="814"/>
        <v>908.00000000000023</v>
      </c>
      <c r="N221" s="118">
        <f t="shared" si="814"/>
        <v>941.9</v>
      </c>
      <c r="O221" s="340">
        <f t="shared" si="814"/>
        <v>912.69999999999993</v>
      </c>
      <c r="P221" s="341">
        <f t="shared" si="814"/>
        <v>3654.1</v>
      </c>
      <c r="Q221" s="118">
        <f t="shared" si="814"/>
        <v>918.7</v>
      </c>
      <c r="R221" s="118">
        <f t="shared" si="814"/>
        <v>939.5</v>
      </c>
      <c r="S221" s="118">
        <f t="shared" si="814"/>
        <v>950.7</v>
      </c>
      <c r="T221" s="340">
        <f t="shared" si="814"/>
        <v>968.1</v>
      </c>
      <c r="U221" s="341">
        <f t="shared" si="814"/>
        <v>3777</v>
      </c>
      <c r="V221" s="118">
        <f t="shared" si="814"/>
        <v>929.00000000000011</v>
      </c>
      <c r="W221" s="118">
        <f t="shared" si="814"/>
        <v>963.2</v>
      </c>
      <c r="X221" s="118">
        <f t="shared" si="814"/>
        <v>914.29999999999984</v>
      </c>
      <c r="Y221" s="340">
        <f t="shared" si="814"/>
        <v>939.4</v>
      </c>
      <c r="Z221" s="341">
        <f t="shared" si="814"/>
        <v>3745.8999999999996</v>
      </c>
      <c r="AA221" s="118">
        <f t="shared" si="814"/>
        <v>942.30000000000007</v>
      </c>
      <c r="AB221" s="118">
        <f t="shared" si="814"/>
        <v>997.8</v>
      </c>
      <c r="AC221" s="118">
        <f t="shared" si="814"/>
        <v>975.8</v>
      </c>
      <c r="AD221" s="340">
        <f t="shared" si="814"/>
        <v>1002.1999999999999</v>
      </c>
      <c r="AE221" s="341">
        <f t="shared" si="814"/>
        <v>3918.1000000000004</v>
      </c>
      <c r="AF221" s="118">
        <f t="shared" si="814"/>
        <v>999.2</v>
      </c>
      <c r="AG221" s="118">
        <f t="shared" si="814"/>
        <v>1016.4000000000001</v>
      </c>
      <c r="AH221" s="118">
        <f t="shared" ref="AH221:BM221" si="815">AH135</f>
        <v>996</v>
      </c>
      <c r="AI221" s="340">
        <f t="shared" si="815"/>
        <v>1000.1999999999998</v>
      </c>
      <c r="AJ221" s="341">
        <f t="shared" si="815"/>
        <v>4011.8</v>
      </c>
      <c r="AK221" s="118">
        <f t="shared" si="815"/>
        <v>1016.6999999999999</v>
      </c>
      <c r="AL221" s="118">
        <f t="shared" si="815"/>
        <v>1038</v>
      </c>
      <c r="AM221" s="118">
        <f t="shared" si="815"/>
        <v>1020.0999999999999</v>
      </c>
      <c r="AN221" s="340">
        <f t="shared" si="815"/>
        <v>1027.5999999999999</v>
      </c>
      <c r="AO221" s="341">
        <f t="shared" si="815"/>
        <v>4102.3999999999996</v>
      </c>
      <c r="AP221" s="118">
        <f t="shared" si="815"/>
        <v>1046</v>
      </c>
      <c r="AQ221" s="118">
        <f t="shared" si="815"/>
        <v>1066.8</v>
      </c>
      <c r="AR221" s="118">
        <f t="shared" si="815"/>
        <v>1048.0999999999999</v>
      </c>
      <c r="AS221" s="340">
        <f t="shared" si="815"/>
        <v>1062</v>
      </c>
      <c r="AT221" s="341">
        <f t="shared" si="815"/>
        <v>4222.9000000000005</v>
      </c>
      <c r="AU221" s="118">
        <f t="shared" si="815"/>
        <v>1066.3</v>
      </c>
      <c r="AV221" s="118">
        <f t="shared" si="815"/>
        <v>1080.3</v>
      </c>
      <c r="AW221" s="118">
        <f t="shared" si="815"/>
        <v>1048.05</v>
      </c>
      <c r="AX221" s="340">
        <f t="shared" si="815"/>
        <v>1028.24</v>
      </c>
      <c r="AY221" s="341">
        <f t="shared" si="815"/>
        <v>4222.8900000000003</v>
      </c>
      <c r="AZ221" s="118">
        <f t="shared" si="815"/>
        <v>1030.2</v>
      </c>
      <c r="BA221" s="118">
        <f t="shared" si="815"/>
        <v>1193.7</v>
      </c>
      <c r="BB221" s="118">
        <f t="shared" si="815"/>
        <v>1500.09</v>
      </c>
      <c r="BC221" s="340">
        <f t="shared" si="815"/>
        <v>1471.2</v>
      </c>
      <c r="BD221" s="341">
        <f t="shared" si="815"/>
        <v>5195.1899999999996</v>
      </c>
      <c r="BE221" s="118">
        <f t="shared" si="815"/>
        <v>1508</v>
      </c>
      <c r="BF221" s="118">
        <f t="shared" si="815"/>
        <v>1592</v>
      </c>
      <c r="BG221" s="118">
        <f t="shared" si="815"/>
        <v>1535</v>
      </c>
      <c r="BH221" s="340">
        <f t="shared" si="815"/>
        <v>1524</v>
      </c>
      <c r="BI221" s="341">
        <f t="shared" si="815"/>
        <v>6159</v>
      </c>
      <c r="BJ221" s="118">
        <f t="shared" si="815"/>
        <v>1540</v>
      </c>
      <c r="BK221" s="118">
        <f t="shared" si="815"/>
        <v>1592</v>
      </c>
      <c r="BL221" s="118">
        <f t="shared" si="815"/>
        <v>1508</v>
      </c>
      <c r="BM221" s="340">
        <f t="shared" si="815"/>
        <v>1530</v>
      </c>
      <c r="BN221" s="341">
        <f t="shared" ref="BN221:BW221" si="816">BN135</f>
        <v>6170</v>
      </c>
      <c r="BO221" s="118">
        <f t="shared" si="816"/>
        <v>1498</v>
      </c>
      <c r="BP221" s="118">
        <f t="shared" si="816"/>
        <v>1593</v>
      </c>
      <c r="BQ221" s="118">
        <f t="shared" si="816"/>
        <v>1598</v>
      </c>
      <c r="BR221" s="340">
        <f t="shared" si="816"/>
        <v>1581</v>
      </c>
      <c r="BS221" s="341">
        <f t="shared" si="816"/>
        <v>6270</v>
      </c>
      <c r="BT221" s="118">
        <f t="shared" si="816"/>
        <v>1561</v>
      </c>
      <c r="BU221" s="118">
        <f t="shared" si="816"/>
        <v>1633</v>
      </c>
      <c r="BV221" s="118">
        <f t="shared" si="816"/>
        <v>1598</v>
      </c>
      <c r="BW221" s="340">
        <f t="shared" si="816"/>
        <v>1676</v>
      </c>
      <c r="BX221" s="341">
        <f>SUM(BT221:BW221)</f>
        <v>6468</v>
      </c>
      <c r="BY221" s="118">
        <f>BY135</f>
        <v>1693</v>
      </c>
      <c r="BZ221" s="118">
        <f>BZ135</f>
        <v>1813</v>
      </c>
      <c r="CA221" s="118">
        <f>CA135</f>
        <v>1857</v>
      </c>
      <c r="CB221" s="340">
        <f>CB135</f>
        <v>1949</v>
      </c>
      <c r="CC221" s="341">
        <f>SUM(BY221:CB221)</f>
        <v>7312</v>
      </c>
      <c r="CD221" s="118">
        <f>CD135</f>
        <v>1961</v>
      </c>
      <c r="CE221" s="118">
        <f>CE135</f>
        <v>2099</v>
      </c>
      <c r="CF221" s="118">
        <f>CF135</f>
        <v>2155</v>
      </c>
      <c r="CG221" s="340">
        <f>CG135</f>
        <v>2257</v>
      </c>
      <c r="CH221" s="341">
        <f>SUM(CD221:CG221)</f>
        <v>8472</v>
      </c>
      <c r="CI221" s="118">
        <f>CI135</f>
        <v>2303</v>
      </c>
      <c r="CJ221" s="118">
        <f>CJ135</f>
        <v>2392</v>
      </c>
      <c r="CK221" s="118">
        <f>CK135</f>
        <v>2393</v>
      </c>
      <c r="CL221" s="340">
        <f>CL135</f>
        <v>2319</v>
      </c>
      <c r="CM221" s="341">
        <f>SUM(CI221:CL221)</f>
        <v>9407</v>
      </c>
      <c r="CN221" s="118">
        <f>CN135</f>
        <v>2247</v>
      </c>
      <c r="CO221" s="118">
        <f>CO135</f>
        <v>2378</v>
      </c>
      <c r="CP221" s="118">
        <f>CP135</f>
        <v>2353</v>
      </c>
      <c r="CQ221" s="340">
        <f>CQ135</f>
        <v>2454</v>
      </c>
      <c r="CR221" s="341">
        <f>SUM(CN221:CQ221)</f>
        <v>9432</v>
      </c>
      <c r="CS221" s="118">
        <f>CS135</f>
        <v>2500</v>
      </c>
      <c r="CT221" s="118">
        <f>CT135</f>
        <v>2765</v>
      </c>
      <c r="CU221" s="118">
        <f>CU135</f>
        <v>2894</v>
      </c>
      <c r="CV221" s="340">
        <f>CV135</f>
        <v>2502</v>
      </c>
      <c r="CW221" s="341">
        <f>SUM(CS221:CV221)</f>
        <v>10661</v>
      </c>
      <c r="CX221" s="118">
        <f>CX135</f>
        <v>1943</v>
      </c>
      <c r="CY221" s="118">
        <f>CY135</f>
        <v>1857</v>
      </c>
      <c r="CZ221" s="118">
        <f>CZ135</f>
        <v>2063</v>
      </c>
      <c r="DA221" s="118">
        <f>DA135</f>
        <v>2106</v>
      </c>
      <c r="DB221" s="341">
        <f>SUM(CX221:DA221)</f>
        <v>7969</v>
      </c>
      <c r="DC221" s="118">
        <f t="shared" ref="DC221:EU221" si="817">DC135</f>
        <v>2238</v>
      </c>
      <c r="DD221" s="118">
        <f t="shared" si="817"/>
        <v>2430</v>
      </c>
      <c r="DE221" s="118">
        <f t="shared" si="817"/>
        <v>2456</v>
      </c>
      <c r="DF221" s="118">
        <f t="shared" si="817"/>
        <v>2391.8731758530184</v>
      </c>
      <c r="DG221" s="341">
        <f t="shared" si="817"/>
        <v>9515.8731758530193</v>
      </c>
      <c r="DH221" s="443">
        <f t="shared" si="817"/>
        <v>2620</v>
      </c>
      <c r="DI221" s="118">
        <f t="shared" si="817"/>
        <v>2866</v>
      </c>
      <c r="DJ221" s="118">
        <f t="shared" si="817"/>
        <v>2889</v>
      </c>
      <c r="DK221" s="118">
        <f t="shared" si="817"/>
        <v>2797</v>
      </c>
      <c r="DL221" s="341">
        <f t="shared" si="817"/>
        <v>11172</v>
      </c>
      <c r="DM221" s="443">
        <f t="shared" si="817"/>
        <v>2789</v>
      </c>
      <c r="DN221" s="118">
        <f t="shared" si="817"/>
        <v>2874</v>
      </c>
      <c r="DO221" s="118">
        <f t="shared" si="817"/>
        <v>2693</v>
      </c>
      <c r="DP221" s="118">
        <f t="shared" si="817"/>
        <v>2684</v>
      </c>
      <c r="DQ221" s="341">
        <f t="shared" si="817"/>
        <v>11040</v>
      </c>
      <c r="DR221" s="443">
        <f t="shared" si="817"/>
        <v>2738</v>
      </c>
      <c r="DS221" s="118">
        <f t="shared" si="817"/>
        <v>2802</v>
      </c>
      <c r="DT221" s="118">
        <f t="shared" si="817"/>
        <v>2824</v>
      </c>
      <c r="DU221" s="118">
        <f t="shared" si="817"/>
        <v>2881</v>
      </c>
      <c r="DV221" s="341">
        <f t="shared" si="817"/>
        <v>11245</v>
      </c>
      <c r="DW221" s="443">
        <f t="shared" si="817"/>
        <v>2689</v>
      </c>
      <c r="DX221" s="118">
        <f t="shared" si="817"/>
        <v>3042</v>
      </c>
      <c r="DY221" s="118">
        <f t="shared" si="817"/>
        <v>3023</v>
      </c>
      <c r="DZ221" s="118">
        <f t="shared" si="817"/>
        <v>2870</v>
      </c>
      <c r="EA221" s="341">
        <f t="shared" si="817"/>
        <v>11624</v>
      </c>
      <c r="EB221" s="443">
        <f t="shared" si="817"/>
        <v>2567</v>
      </c>
      <c r="EC221" s="118">
        <f t="shared" si="817"/>
        <v>2713</v>
      </c>
      <c r="ED221" s="118">
        <f t="shared" si="817"/>
        <v>2713</v>
      </c>
      <c r="EE221" s="118">
        <f t="shared" si="817"/>
        <v>2518</v>
      </c>
      <c r="EF221" s="341">
        <f t="shared" si="817"/>
        <v>10511</v>
      </c>
      <c r="EG221" s="443">
        <f t="shared" si="817"/>
        <v>2420</v>
      </c>
      <c r="EH221" s="118">
        <f t="shared" si="817"/>
        <v>2454</v>
      </c>
      <c r="EI221" s="118">
        <f t="shared" si="817"/>
        <v>2524</v>
      </c>
      <c r="EJ221" s="118">
        <f t="shared" si="817"/>
        <v>2490</v>
      </c>
      <c r="EK221" s="341">
        <f t="shared" si="817"/>
        <v>9888</v>
      </c>
      <c r="EL221" s="443">
        <f t="shared" si="817"/>
        <v>2575</v>
      </c>
      <c r="EM221" s="118">
        <f t="shared" si="817"/>
        <v>2637</v>
      </c>
      <c r="EN221" s="118">
        <f t="shared" si="817"/>
        <v>2670</v>
      </c>
      <c r="EO221" s="118">
        <f t="shared" ref="EO221:EQ221" si="818">EO135</f>
        <v>2669</v>
      </c>
      <c r="EP221" s="341">
        <f t="shared" si="818"/>
        <v>10551</v>
      </c>
      <c r="EQ221" s="443">
        <f t="shared" si="818"/>
        <v>2717</v>
      </c>
      <c r="ER221" s="118">
        <f t="shared" si="817"/>
        <v>2824.8051164156664</v>
      </c>
      <c r="ES221" s="118">
        <f t="shared" si="817"/>
        <v>2853.0120480124183</v>
      </c>
      <c r="ET221" s="118">
        <f t="shared" si="817"/>
        <v>2802.1452028445119</v>
      </c>
      <c r="EU221" s="1982">
        <f t="shared" si="817"/>
        <v>11196.962367272597</v>
      </c>
      <c r="EV221" s="118"/>
      <c r="EW221" s="118"/>
      <c r="EX221" s="118"/>
      <c r="EY221" s="118"/>
      <c r="EZ221" s="867">
        <f>EZ135</f>
        <v>11608.44420935623</v>
      </c>
      <c r="FA221" s="118"/>
      <c r="FB221" s="118"/>
      <c r="FC221" s="118"/>
      <c r="FD221" s="118"/>
      <c r="FE221" s="867">
        <f>FE135</f>
        <v>12047.784684095732</v>
      </c>
      <c r="FF221" s="793"/>
      <c r="FG221" s="655"/>
      <c r="FH221" s="1031"/>
      <c r="FI221" s="1031"/>
      <c r="FJ221" s="1031"/>
      <c r="FK221" s="1031"/>
      <c r="FL221" s="1809"/>
      <c r="FM221" s="118">
        <f t="shared" ref="FM221:FM237" si="819">EQ221</f>
        <v>2717</v>
      </c>
      <c r="FN221" s="118">
        <f t="shared" ref="FN221:FN237" si="820">EL221</f>
        <v>2575</v>
      </c>
      <c r="FO221" s="118">
        <v>2670.8099133132096</v>
      </c>
      <c r="FP221" s="34">
        <f>IFERROR(($FM221/FN221)-1,"")</f>
        <v>5.514563106796122E-2</v>
      </c>
      <c r="FQ221" s="34">
        <f>IFERROR(($FM221/FO221)-1,"")</f>
        <v>1.7294411877290861E-2</v>
      </c>
      <c r="FR221" s="122"/>
      <c r="FS221" s="122"/>
      <c r="FT221" s="122"/>
      <c r="FU221" s="1927"/>
      <c r="FV221" s="122"/>
      <c r="FW221" s="122"/>
      <c r="FX221" s="122"/>
      <c r="FY221" s="122"/>
      <c r="FZ221" s="122"/>
      <c r="GA221" s="655"/>
      <c r="GB221"/>
      <c r="GC221"/>
      <c r="GD221"/>
      <c r="GE221"/>
      <c r="GF221"/>
      <c r="GG221"/>
      <c r="GH221" s="956"/>
      <c r="GI221" s="956"/>
      <c r="GJ221" s="956"/>
      <c r="GK221" s="956"/>
      <c r="GL221" s="956"/>
      <c r="GM221" s="956"/>
      <c r="GN221" s="956"/>
      <c r="GO221" s="956"/>
      <c r="GP221" s="956"/>
      <c r="GQ221" s="956"/>
      <c r="GR221" s="956"/>
      <c r="GS221" s="956"/>
      <c r="GT221" s="956"/>
      <c r="GU221" s="956"/>
      <c r="GV221" s="956"/>
      <c r="GW221" s="956"/>
      <c r="GX221" s="956"/>
      <c r="GY221" s="956"/>
      <c r="GZ221" s="956"/>
      <c r="HA221" s="956"/>
      <c r="HB221" s="956"/>
      <c r="HC221" s="956"/>
      <c r="HD221" s="956"/>
      <c r="HE221" s="956"/>
      <c r="HF221" s="956"/>
      <c r="HG221" s="956"/>
      <c r="HH221" s="956"/>
      <c r="HI221" s="956"/>
      <c r="HJ221" s="956"/>
      <c r="HK221" s="956"/>
      <c r="HL221" s="956"/>
      <c r="HM221" s="956"/>
      <c r="HN221" s="956"/>
      <c r="HO221" s="956"/>
      <c r="HP221" s="956"/>
      <c r="HQ221" s="956"/>
      <c r="HR221" s="956"/>
      <c r="HS221" s="956"/>
      <c r="HT221" s="956"/>
      <c r="HU221" s="956"/>
      <c r="HV221" s="956"/>
      <c r="HW221" s="956"/>
      <c r="HX221" s="956"/>
      <c r="HY221" s="956"/>
      <c r="HZ221" s="956"/>
      <c r="IA221" s="956"/>
      <c r="IB221" s="956"/>
      <c r="IC221" s="956"/>
      <c r="ID221" s="956"/>
      <c r="IE221" s="956"/>
      <c r="IF221" s="956"/>
      <c r="IG221" s="956"/>
      <c r="IH221" s="956"/>
      <c r="II221" s="956"/>
      <c r="IJ221" s="956"/>
      <c r="IK221" s="956"/>
      <c r="IL221" s="956"/>
      <c r="IM221" s="956"/>
      <c r="IN221" s="956"/>
      <c r="IO221" s="956"/>
      <c r="IP221" s="956"/>
      <c r="IQ221" s="956"/>
      <c r="IR221" s="956"/>
      <c r="IS221" s="956"/>
      <c r="IT221" s="956"/>
      <c r="IU221" s="956"/>
      <c r="IV221" s="956"/>
    </row>
    <row r="222" spans="1:256" s="191" customFormat="1" ht="12.75" x14ac:dyDescent="0.2">
      <c r="A222" s="242" t="s">
        <v>74</v>
      </c>
      <c r="B222" s="22"/>
      <c r="C222" s="22"/>
      <c r="D222" s="22"/>
      <c r="E222" s="197"/>
      <c r="F222" s="21"/>
      <c r="G222" s="22">
        <f t="shared" ref="G222:BR222" si="821">G221/B221-1</f>
        <v>3.3582493770988764E-2</v>
      </c>
      <c r="H222" s="22">
        <f t="shared" si="821"/>
        <v>8.7893690488647369E-3</v>
      </c>
      <c r="I222" s="22">
        <f t="shared" si="821"/>
        <v>3.7086239344625183E-2</v>
      </c>
      <c r="J222" s="197">
        <f t="shared" si="821"/>
        <v>2.0833333333333481E-2</v>
      </c>
      <c r="K222" s="21">
        <f t="shared" si="821"/>
        <v>2.4877507376627639E-2</v>
      </c>
      <c r="L222" s="22">
        <f t="shared" si="821"/>
        <v>-6.5611571114138845E-2</v>
      </c>
      <c r="M222" s="22">
        <f t="shared" si="821"/>
        <v>-5.8188984545171296E-2</v>
      </c>
      <c r="N222" s="22">
        <f t="shared" si="821"/>
        <v>5.4440649017932774E-3</v>
      </c>
      <c r="O222" s="197">
        <f t="shared" si="821"/>
        <v>-1.9656283566058086E-2</v>
      </c>
      <c r="P222" s="21">
        <f t="shared" si="821"/>
        <v>-3.4838880084522073E-2</v>
      </c>
      <c r="Q222" s="22">
        <f t="shared" si="821"/>
        <v>3.0510375771172216E-2</v>
      </c>
      <c r="R222" s="22">
        <f t="shared" si="821"/>
        <v>3.4691629955946768E-2</v>
      </c>
      <c r="S222" s="22">
        <f t="shared" si="821"/>
        <v>9.3428177088863418E-3</v>
      </c>
      <c r="T222" s="197">
        <f t="shared" si="821"/>
        <v>6.0699024871261109E-2</v>
      </c>
      <c r="U222" s="21">
        <f t="shared" si="821"/>
        <v>3.3633452833803146E-2</v>
      </c>
      <c r="V222" s="22">
        <f t="shared" si="821"/>
        <v>1.1211494503102326E-2</v>
      </c>
      <c r="W222" s="22">
        <f t="shared" si="821"/>
        <v>2.5226184140500374E-2</v>
      </c>
      <c r="X222" s="22">
        <f t="shared" si="821"/>
        <v>-3.8287577574419029E-2</v>
      </c>
      <c r="Y222" s="197">
        <f t="shared" si="821"/>
        <v>-2.9645697758496015E-2</v>
      </c>
      <c r="Z222" s="21">
        <f t="shared" si="821"/>
        <v>-8.2340481863913961E-3</v>
      </c>
      <c r="AA222" s="22">
        <f t="shared" si="821"/>
        <v>1.4316469321851377E-2</v>
      </c>
      <c r="AB222" s="22">
        <f t="shared" si="821"/>
        <v>3.5921926910298829E-2</v>
      </c>
      <c r="AC222" s="22">
        <f t="shared" si="821"/>
        <v>6.7264573991031584E-2</v>
      </c>
      <c r="AD222" s="197">
        <f t="shared" si="821"/>
        <v>6.6851181605279919E-2</v>
      </c>
      <c r="AE222" s="21">
        <f t="shared" si="821"/>
        <v>4.597026081849509E-2</v>
      </c>
      <c r="AF222" s="22">
        <f t="shared" si="821"/>
        <v>6.0384166401358241E-2</v>
      </c>
      <c r="AG222" s="22">
        <f t="shared" si="821"/>
        <v>1.8641010222489651E-2</v>
      </c>
      <c r="AH222" s="22">
        <f t="shared" si="821"/>
        <v>2.0700963312154208E-2</v>
      </c>
      <c r="AI222" s="197">
        <f t="shared" si="821"/>
        <v>-1.9956096587508965E-3</v>
      </c>
      <c r="AJ222" s="21">
        <f t="shared" si="821"/>
        <v>2.391465251014524E-2</v>
      </c>
      <c r="AK222" s="22">
        <f t="shared" si="821"/>
        <v>1.7514011208967117E-2</v>
      </c>
      <c r="AL222" s="22">
        <f t="shared" si="821"/>
        <v>2.1251475796930208E-2</v>
      </c>
      <c r="AM222" s="22">
        <f t="shared" si="821"/>
        <v>2.419678714859419E-2</v>
      </c>
      <c r="AN222" s="197">
        <f t="shared" si="821"/>
        <v>2.7394521095780888E-2</v>
      </c>
      <c r="AO222" s="21">
        <f t="shared" si="821"/>
        <v>2.2583379031855921E-2</v>
      </c>
      <c r="AP222" s="22">
        <f t="shared" si="821"/>
        <v>2.8818727254844134E-2</v>
      </c>
      <c r="AQ222" s="22">
        <f t="shared" si="821"/>
        <v>2.7745664739884379E-2</v>
      </c>
      <c r="AR222" s="22">
        <f t="shared" si="821"/>
        <v>2.7448289383393831E-2</v>
      </c>
      <c r="AS222" s="197">
        <f t="shared" si="821"/>
        <v>3.3476060724017209E-2</v>
      </c>
      <c r="AT222" s="21">
        <f t="shared" si="821"/>
        <v>2.9373049921997074E-2</v>
      </c>
      <c r="AU222" s="22">
        <f t="shared" si="821"/>
        <v>1.9407265774378457E-2</v>
      </c>
      <c r="AV222" s="22">
        <f t="shared" si="821"/>
        <v>1.2654668166479199E-2</v>
      </c>
      <c r="AW222" s="22">
        <f t="shared" si="821"/>
        <v>-4.770537162479549E-5</v>
      </c>
      <c r="AX222" s="197">
        <f t="shared" si="821"/>
        <v>-3.1789077212805994E-2</v>
      </c>
      <c r="AY222" s="21">
        <f t="shared" si="821"/>
        <v>-2.3680409197979202E-6</v>
      </c>
      <c r="AZ222" s="22">
        <f t="shared" si="821"/>
        <v>-3.3855387789552549E-2</v>
      </c>
      <c r="BA222" s="22">
        <f t="shared" si="821"/>
        <v>0.10497084143293534</v>
      </c>
      <c r="BB222" s="22">
        <f t="shared" si="821"/>
        <v>0.43131529984256467</v>
      </c>
      <c r="BC222" s="197">
        <f t="shared" si="821"/>
        <v>0.43079436707383501</v>
      </c>
      <c r="BD222" s="21">
        <f t="shared" si="821"/>
        <v>0.23024516385697935</v>
      </c>
      <c r="BE222" s="22">
        <f t="shared" si="821"/>
        <v>0.46379343816734608</v>
      </c>
      <c r="BF222" s="22">
        <f t="shared" si="821"/>
        <v>0.33366842590265566</v>
      </c>
      <c r="BG222" s="22">
        <f t="shared" si="821"/>
        <v>2.3271937017112387E-2</v>
      </c>
      <c r="BH222" s="197">
        <f t="shared" si="821"/>
        <v>3.5889070146818858E-2</v>
      </c>
      <c r="BI222" s="21">
        <f t="shared" si="821"/>
        <v>0.18551968262950935</v>
      </c>
      <c r="BJ222" s="22">
        <f t="shared" si="821"/>
        <v>2.1220159151193574E-2</v>
      </c>
      <c r="BK222" s="22">
        <f t="shared" si="821"/>
        <v>0</v>
      </c>
      <c r="BL222" s="22">
        <f t="shared" si="821"/>
        <v>-1.7589576547231256E-2</v>
      </c>
      <c r="BM222" s="197">
        <f t="shared" si="821"/>
        <v>3.937007874015741E-3</v>
      </c>
      <c r="BN222" s="21">
        <f t="shared" si="821"/>
        <v>1.7860042214645766E-3</v>
      </c>
      <c r="BO222" s="22">
        <f t="shared" si="821"/>
        <v>-2.7272727272727226E-2</v>
      </c>
      <c r="BP222" s="22">
        <f t="shared" si="821"/>
        <v>6.2814070351757678E-4</v>
      </c>
      <c r="BQ222" s="22">
        <f t="shared" si="821"/>
        <v>5.9681697612732121E-2</v>
      </c>
      <c r="BR222" s="197">
        <f t="shared" si="821"/>
        <v>3.3333333333333437E-2</v>
      </c>
      <c r="BS222" s="21">
        <f t="shared" ref="BS222:DY222" si="822">BS221/BN221-1</f>
        <v>1.620745542949753E-2</v>
      </c>
      <c r="BT222" s="22">
        <f t="shared" si="822"/>
        <v>4.20560747663552E-2</v>
      </c>
      <c r="BU222" s="22">
        <f t="shared" si="822"/>
        <v>2.5109855618330235E-2</v>
      </c>
      <c r="BV222" s="22">
        <f t="shared" si="822"/>
        <v>0</v>
      </c>
      <c r="BW222" s="197">
        <f t="shared" si="822"/>
        <v>6.0088551549652092E-2</v>
      </c>
      <c r="BX222" s="21">
        <f t="shared" si="822"/>
        <v>3.1578947368421151E-2</v>
      </c>
      <c r="BY222" s="22">
        <f t="shared" si="822"/>
        <v>8.4561178731582309E-2</v>
      </c>
      <c r="BZ222" s="22">
        <f t="shared" si="822"/>
        <v>0.11022657685241888</v>
      </c>
      <c r="CA222" s="22">
        <f t="shared" si="822"/>
        <v>0.16207759699624535</v>
      </c>
      <c r="CB222" s="197">
        <f t="shared" si="822"/>
        <v>0.16288782816229119</v>
      </c>
      <c r="CC222" s="21">
        <f t="shared" si="822"/>
        <v>0.13048855905998757</v>
      </c>
      <c r="CD222" s="22">
        <f t="shared" si="822"/>
        <v>0.15829887773183704</v>
      </c>
      <c r="CE222" s="22">
        <f t="shared" si="822"/>
        <v>0.15774958632101499</v>
      </c>
      <c r="CF222" s="22">
        <f t="shared" si="822"/>
        <v>0.16047388260635431</v>
      </c>
      <c r="CG222" s="197">
        <f t="shared" si="822"/>
        <v>0.1580297588506927</v>
      </c>
      <c r="CH222" s="21">
        <f t="shared" si="822"/>
        <v>0.15864332603938736</v>
      </c>
      <c r="CI222" s="22">
        <f t="shared" si="822"/>
        <v>0.17440081591024992</v>
      </c>
      <c r="CJ222" s="22">
        <f t="shared" si="822"/>
        <v>0.1395902810862315</v>
      </c>
      <c r="CK222" s="22">
        <f t="shared" si="822"/>
        <v>0.11044083526682136</v>
      </c>
      <c r="CL222" s="197">
        <f t="shared" si="822"/>
        <v>2.7470093043863608E-2</v>
      </c>
      <c r="CM222" s="21">
        <f t="shared" si="822"/>
        <v>0.11036355051935787</v>
      </c>
      <c r="CN222" s="22">
        <f t="shared" si="822"/>
        <v>-2.4316109422492405E-2</v>
      </c>
      <c r="CO222" s="22">
        <f t="shared" si="822"/>
        <v>-5.8528428093646001E-3</v>
      </c>
      <c r="CP222" s="22">
        <f t="shared" si="822"/>
        <v>-1.6715419974926871E-2</v>
      </c>
      <c r="CQ222" s="197">
        <f t="shared" si="822"/>
        <v>5.8214747736093253E-2</v>
      </c>
      <c r="CR222" s="21">
        <f t="shared" si="822"/>
        <v>2.657595407675073E-3</v>
      </c>
      <c r="CS222" s="22">
        <f t="shared" si="822"/>
        <v>0.11259457053849586</v>
      </c>
      <c r="CT222" s="22">
        <f t="shared" si="822"/>
        <v>0.16274179983179149</v>
      </c>
      <c r="CU222" s="22">
        <f t="shared" si="822"/>
        <v>0.22991925201869945</v>
      </c>
      <c r="CV222" s="197">
        <f t="shared" si="822"/>
        <v>1.9559902200489088E-2</v>
      </c>
      <c r="CW222" s="21">
        <f t="shared" si="822"/>
        <v>0.1303011026293468</v>
      </c>
      <c r="CX222" s="22">
        <f t="shared" si="822"/>
        <v>-0.2228</v>
      </c>
      <c r="CY222" s="22">
        <f t="shared" si="822"/>
        <v>-0.32839059674502713</v>
      </c>
      <c r="CZ222" s="22">
        <f t="shared" si="822"/>
        <v>-0.2871458189357291</v>
      </c>
      <c r="DA222" s="22">
        <f>DA221/CV221-1</f>
        <v>-0.15827338129496404</v>
      </c>
      <c r="DB222" s="21">
        <f>DB221/CW221-1</f>
        <v>-0.25250914548353809</v>
      </c>
      <c r="DC222" s="22">
        <f t="shared" si="822"/>
        <v>0.15182707153885744</v>
      </c>
      <c r="DD222" s="22">
        <f t="shared" si="822"/>
        <v>0.30856219709208399</v>
      </c>
      <c r="DE222" s="22">
        <f t="shared" si="822"/>
        <v>0.19049927290353863</v>
      </c>
      <c r="DF222" s="22">
        <f>DF221/DA221-1</f>
        <v>0.13574224874312368</v>
      </c>
      <c r="DG222" s="21">
        <f t="shared" si="822"/>
        <v>0.1941113283790965</v>
      </c>
      <c r="DH222" s="268">
        <f>DH221/DC221-1</f>
        <v>0.17068811438784626</v>
      </c>
      <c r="DI222" s="22">
        <f t="shared" si="822"/>
        <v>0.17942386831275714</v>
      </c>
      <c r="DJ222" s="22">
        <f t="shared" si="822"/>
        <v>0.17630293159609112</v>
      </c>
      <c r="DK222" s="22">
        <f t="shared" si="822"/>
        <v>0.16937638175673775</v>
      </c>
      <c r="DL222" s="21">
        <f t="shared" si="822"/>
        <v>0.17403834556659303</v>
      </c>
      <c r="DM222" s="268">
        <f t="shared" si="822"/>
        <v>6.4503816793893165E-2</v>
      </c>
      <c r="DN222" s="22">
        <f t="shared" si="822"/>
        <v>2.7913468248430551E-3</v>
      </c>
      <c r="DO222" s="22">
        <f t="shared" si="822"/>
        <v>-6.7843544479058493E-2</v>
      </c>
      <c r="DP222" s="22">
        <f t="shared" si="822"/>
        <v>-4.0400429031104745E-2</v>
      </c>
      <c r="DQ222" s="21">
        <f t="shared" si="822"/>
        <v>-1.1815252416756183E-2</v>
      </c>
      <c r="DR222" s="268">
        <f t="shared" si="822"/>
        <v>-1.8286124058802478E-2</v>
      </c>
      <c r="DS222" s="22">
        <f t="shared" si="822"/>
        <v>-2.5052192066805867E-2</v>
      </c>
      <c r="DT222" s="22">
        <f t="shared" si="822"/>
        <v>4.8644634236910456E-2</v>
      </c>
      <c r="DU222" s="22">
        <f t="shared" si="822"/>
        <v>7.3397913561847883E-2</v>
      </c>
      <c r="DV222" s="21">
        <f t="shared" si="822"/>
        <v>1.85688405797102E-2</v>
      </c>
      <c r="DW222" s="268">
        <f t="shared" si="822"/>
        <v>-1.7896274653031452E-2</v>
      </c>
      <c r="DX222" s="22">
        <f t="shared" si="822"/>
        <v>8.5653104925053514E-2</v>
      </c>
      <c r="DY222" s="22">
        <f t="shared" si="822"/>
        <v>7.0467422096317289E-2</v>
      </c>
      <c r="DZ222" s="22">
        <f>DZ221/DU221-1</f>
        <v>-3.8181187087816815E-3</v>
      </c>
      <c r="EA222" s="21">
        <f>EA221/DV221-1</f>
        <v>3.3703868385949409E-2</v>
      </c>
      <c r="EB222" s="268">
        <f>EB221/DW221-1</f>
        <v>-4.5370026031982147E-2</v>
      </c>
      <c r="EC222" s="22">
        <f t="shared" ref="EC222:EI222" si="823">EC221/DX221-1</f>
        <v>-0.10815253122945434</v>
      </c>
      <c r="ED222" s="22">
        <f t="shared" si="823"/>
        <v>-0.10254713860403575</v>
      </c>
      <c r="EE222" s="22">
        <f t="shared" si="823"/>
        <v>-0.12264808362369339</v>
      </c>
      <c r="EF222" s="21">
        <f t="shared" si="823"/>
        <v>-9.5750172057811445E-2</v>
      </c>
      <c r="EG222" s="268">
        <f>EG221/EB221-1</f>
        <v>-5.726529022204907E-2</v>
      </c>
      <c r="EH222" s="22">
        <f t="shared" si="823"/>
        <v>-9.5466273497972765E-2</v>
      </c>
      <c r="EI222" s="22">
        <f t="shared" si="823"/>
        <v>-6.9664577957980089E-2</v>
      </c>
      <c r="EJ222" s="22">
        <f t="shared" ref="EJ222:EK222" si="824">EJ221/EE221-1</f>
        <v>-1.1119936457505974E-2</v>
      </c>
      <c r="EK222" s="21">
        <f t="shared" si="824"/>
        <v>-5.9271239653696073E-2</v>
      </c>
      <c r="EL222" s="268">
        <f>EL221/EG221-1</f>
        <v>6.4049586776859568E-2</v>
      </c>
      <c r="EM222" s="22">
        <f t="shared" ref="EM222:EN222" si="825">EM221/EH221-1</f>
        <v>7.457212713936423E-2</v>
      </c>
      <c r="EN222" s="22">
        <f t="shared" si="825"/>
        <v>5.7844690966719403E-2</v>
      </c>
      <c r="EO222" s="22">
        <f t="shared" ref="EO222" si="826">EO221/EJ221-1</f>
        <v>7.1887550200803174E-2</v>
      </c>
      <c r="EP222" s="21">
        <f t="shared" ref="EP222" si="827">EP221/EK221-1</f>
        <v>6.7050970873786309E-2</v>
      </c>
      <c r="EQ222" s="268">
        <f>EQ221/EL221-1</f>
        <v>5.514563106796122E-2</v>
      </c>
      <c r="ER222" s="22">
        <f t="shared" ref="ER222" si="828">ER221/EM221-1</f>
        <v>7.1219232618758621E-2</v>
      </c>
      <c r="ES222" s="22">
        <f t="shared" ref="ES222:EU222" si="829">ES221/EN221-1</f>
        <v>6.8543838206898133E-2</v>
      </c>
      <c r="ET222" s="22">
        <f t="shared" si="829"/>
        <v>4.9885800990824958E-2</v>
      </c>
      <c r="EU222" s="1935">
        <f t="shared" si="829"/>
        <v>6.1222857290550436E-2</v>
      </c>
      <c r="EV222" s="68"/>
      <c r="EW222" s="68"/>
      <c r="EX222" s="68"/>
      <c r="EY222" s="68"/>
      <c r="EZ222" s="844">
        <f>EZ221/EU221-1</f>
        <v>3.6749417260376394E-2</v>
      </c>
      <c r="FA222" s="68"/>
      <c r="FB222" s="68"/>
      <c r="FC222" s="68"/>
      <c r="FD222" s="68"/>
      <c r="FE222" s="844">
        <f>FE221/EZ221-1</f>
        <v>3.7846628438408692E-2</v>
      </c>
      <c r="FF222" s="790"/>
      <c r="FG222" s="618"/>
      <c r="FH222" s="1041"/>
      <c r="FI222" s="1041"/>
      <c r="FJ222" s="1041"/>
      <c r="FK222" s="1041"/>
      <c r="FL222" s="1806"/>
      <c r="FM222" s="22">
        <f t="shared" si="819"/>
        <v>5.514563106796122E-2</v>
      </c>
      <c r="FN222" s="22">
        <f t="shared" si="820"/>
        <v>6.4049586776859568E-2</v>
      </c>
      <c r="FO222" s="2041">
        <v>3.72077333255183E-2</v>
      </c>
      <c r="FP222" s="1892">
        <f>IFERROR(($FM222-FN222)*10000,"")</f>
        <v>-89.039557088983486</v>
      </c>
      <c r="FQ222" s="1892">
        <f>IFERROR(($FM222-FO222)*10000,"")</f>
        <v>179.37897742442919</v>
      </c>
      <c r="FR222" s="587"/>
      <c r="FS222" s="587"/>
      <c r="FT222" s="587"/>
      <c r="FU222" s="587"/>
      <c r="FV222" s="587"/>
      <c r="FW222" s="587"/>
      <c r="FX222" s="587"/>
      <c r="FY222" s="587"/>
      <c r="FZ222" s="587"/>
      <c r="GA222" s="618"/>
      <c r="GB222"/>
      <c r="GC222"/>
      <c r="GD222"/>
      <c r="GE222"/>
      <c r="GF222"/>
      <c r="GG222"/>
      <c r="GH222" s="978"/>
      <c r="GI222" s="978"/>
      <c r="GJ222" s="978"/>
      <c r="GK222" s="978"/>
      <c r="GL222" s="978"/>
      <c r="GM222" s="978"/>
      <c r="GN222" s="978"/>
      <c r="GO222" s="978"/>
      <c r="GP222" s="978"/>
      <c r="GQ222" s="978"/>
      <c r="GR222" s="978"/>
      <c r="GS222" s="978"/>
      <c r="GT222" s="978"/>
      <c r="GU222" s="978"/>
      <c r="GV222" s="978"/>
      <c r="GW222" s="978"/>
      <c r="GX222" s="978"/>
      <c r="GY222" s="978"/>
      <c r="GZ222" s="978"/>
      <c r="HA222" s="978"/>
      <c r="HB222" s="978"/>
      <c r="HC222" s="978"/>
      <c r="HD222" s="978"/>
      <c r="HE222" s="978"/>
      <c r="HF222" s="978"/>
      <c r="HG222" s="978"/>
      <c r="HH222" s="978"/>
      <c r="HI222" s="978"/>
      <c r="HJ222" s="978"/>
      <c r="HK222" s="978"/>
      <c r="HL222" s="978"/>
      <c r="HM222" s="978"/>
      <c r="HN222" s="978"/>
      <c r="HO222" s="978"/>
      <c r="HP222" s="978"/>
      <c r="HQ222" s="978"/>
      <c r="HR222" s="978"/>
      <c r="HS222" s="978"/>
      <c r="HT222" s="978"/>
      <c r="HU222" s="978"/>
      <c r="HV222" s="978"/>
      <c r="HW222" s="978"/>
      <c r="HX222" s="978"/>
      <c r="HY222" s="978"/>
      <c r="HZ222" s="978"/>
      <c r="IA222" s="978"/>
      <c r="IB222" s="978"/>
      <c r="IC222" s="978"/>
      <c r="ID222" s="978"/>
      <c r="IE222" s="978"/>
      <c r="IF222" s="978"/>
      <c r="IG222" s="978"/>
      <c r="IH222" s="978"/>
      <c r="II222" s="978"/>
      <c r="IJ222" s="978"/>
      <c r="IK222" s="978"/>
      <c r="IL222" s="978"/>
      <c r="IM222" s="978"/>
      <c r="IN222" s="978"/>
      <c r="IO222" s="978"/>
      <c r="IP222" s="978"/>
      <c r="IQ222" s="978"/>
      <c r="IR222" s="978"/>
      <c r="IS222" s="978"/>
      <c r="IT222" s="978"/>
      <c r="IU222" s="978"/>
      <c r="IV222" s="978"/>
    </row>
    <row r="223" spans="1:256" s="338" customFormat="1" ht="12.75" x14ac:dyDescent="0.2">
      <c r="A223" s="339" t="s">
        <v>115</v>
      </c>
      <c r="B223" s="118">
        <f t="shared" ref="B223:BM223" si="830">B214</f>
        <v>726.7</v>
      </c>
      <c r="C223" s="118">
        <f t="shared" si="830"/>
        <v>725.30000000000007</v>
      </c>
      <c r="D223" s="118">
        <f t="shared" si="830"/>
        <v>712.40000000000009</v>
      </c>
      <c r="E223" s="340">
        <f t="shared" si="830"/>
        <v>699.99999999999977</v>
      </c>
      <c r="F223" s="341">
        <f t="shared" si="830"/>
        <v>2864.3999999999996</v>
      </c>
      <c r="G223" s="118">
        <f t="shared" si="830"/>
        <v>744.30000000000007</v>
      </c>
      <c r="H223" s="118">
        <f t="shared" si="830"/>
        <v>737.59999999999991</v>
      </c>
      <c r="I223" s="118">
        <f t="shared" si="830"/>
        <v>727.1</v>
      </c>
      <c r="J223" s="340">
        <f t="shared" si="830"/>
        <v>730.89999999999986</v>
      </c>
      <c r="K223" s="341">
        <f t="shared" si="830"/>
        <v>2939.9</v>
      </c>
      <c r="L223" s="118">
        <f t="shared" si="830"/>
        <v>731</v>
      </c>
      <c r="M223" s="118">
        <f t="shared" si="830"/>
        <v>705.19999999999993</v>
      </c>
      <c r="N223" s="118">
        <f t="shared" si="830"/>
        <v>709.90000000000009</v>
      </c>
      <c r="O223" s="340">
        <f t="shared" si="830"/>
        <v>716.09999999999991</v>
      </c>
      <c r="P223" s="341">
        <f t="shared" si="830"/>
        <v>2862.2</v>
      </c>
      <c r="Q223" s="118">
        <f t="shared" si="830"/>
        <v>687.4</v>
      </c>
      <c r="R223" s="118">
        <f t="shared" si="830"/>
        <v>714.30000000000007</v>
      </c>
      <c r="S223" s="118">
        <f t="shared" si="830"/>
        <v>721.90000000000009</v>
      </c>
      <c r="T223" s="340">
        <f t="shared" si="830"/>
        <v>727.3</v>
      </c>
      <c r="U223" s="341">
        <f t="shared" si="830"/>
        <v>2850.8999999999996</v>
      </c>
      <c r="V223" s="118">
        <f t="shared" si="830"/>
        <v>723.09999999999991</v>
      </c>
      <c r="W223" s="118">
        <f t="shared" si="830"/>
        <v>711.9</v>
      </c>
      <c r="X223" s="118">
        <f t="shared" si="830"/>
        <v>705.7</v>
      </c>
      <c r="Y223" s="340">
        <f t="shared" si="830"/>
        <v>693.5</v>
      </c>
      <c r="Z223" s="341">
        <f t="shared" si="830"/>
        <v>2834.2</v>
      </c>
      <c r="AA223" s="118">
        <f t="shared" si="830"/>
        <v>718</v>
      </c>
      <c r="AB223" s="118">
        <f t="shared" si="830"/>
        <v>725.2</v>
      </c>
      <c r="AC223" s="118">
        <f t="shared" si="830"/>
        <v>711.9</v>
      </c>
      <c r="AD223" s="340">
        <f t="shared" si="830"/>
        <v>719.7</v>
      </c>
      <c r="AE223" s="341">
        <f t="shared" si="830"/>
        <v>2874.7999999999997</v>
      </c>
      <c r="AF223" s="118">
        <f t="shared" si="830"/>
        <v>749.2</v>
      </c>
      <c r="AG223" s="118">
        <f t="shared" si="830"/>
        <v>726.2</v>
      </c>
      <c r="AH223" s="118">
        <f t="shared" si="830"/>
        <v>718.30000000000007</v>
      </c>
      <c r="AI223" s="340">
        <f t="shared" si="830"/>
        <v>716.2</v>
      </c>
      <c r="AJ223" s="341">
        <f t="shared" si="830"/>
        <v>2909.8999999999996</v>
      </c>
      <c r="AK223" s="118">
        <f t="shared" si="830"/>
        <v>754.80000000000007</v>
      </c>
      <c r="AL223" s="118">
        <f t="shared" si="830"/>
        <v>738</v>
      </c>
      <c r="AM223" s="118">
        <f t="shared" si="830"/>
        <v>719.7</v>
      </c>
      <c r="AN223" s="340">
        <f t="shared" si="830"/>
        <v>724.8</v>
      </c>
      <c r="AO223" s="341">
        <f t="shared" si="830"/>
        <v>2937.3000000000006</v>
      </c>
      <c r="AP223" s="118">
        <f t="shared" si="830"/>
        <v>764.5</v>
      </c>
      <c r="AQ223" s="118">
        <f t="shared" si="830"/>
        <v>746.4</v>
      </c>
      <c r="AR223" s="118">
        <f t="shared" si="830"/>
        <v>750.90000000000009</v>
      </c>
      <c r="AS223" s="340">
        <f t="shared" si="830"/>
        <v>748</v>
      </c>
      <c r="AT223" s="341">
        <f t="shared" si="830"/>
        <v>3009.8</v>
      </c>
      <c r="AU223" s="118">
        <f t="shared" si="830"/>
        <v>815.40000000000009</v>
      </c>
      <c r="AV223" s="118">
        <f t="shared" si="830"/>
        <v>786</v>
      </c>
      <c r="AW223" s="118">
        <f t="shared" si="830"/>
        <v>790</v>
      </c>
      <c r="AX223" s="340">
        <f t="shared" si="830"/>
        <v>778</v>
      </c>
      <c r="AY223" s="341">
        <f t="shared" si="830"/>
        <v>3169.3999999999996</v>
      </c>
      <c r="AZ223" s="118">
        <f t="shared" si="830"/>
        <v>793</v>
      </c>
      <c r="BA223" s="118">
        <f t="shared" si="830"/>
        <v>996</v>
      </c>
      <c r="BB223" s="118">
        <f t="shared" si="830"/>
        <v>1354</v>
      </c>
      <c r="BC223" s="340">
        <f t="shared" si="830"/>
        <v>1334</v>
      </c>
      <c r="BD223" s="341">
        <f t="shared" si="830"/>
        <v>4477</v>
      </c>
      <c r="BE223" s="118">
        <f t="shared" si="830"/>
        <v>1379</v>
      </c>
      <c r="BF223" s="118">
        <f t="shared" si="830"/>
        <v>1314</v>
      </c>
      <c r="BG223" s="118">
        <f t="shared" si="830"/>
        <v>1324</v>
      </c>
      <c r="BH223" s="340">
        <f t="shared" si="830"/>
        <v>1344</v>
      </c>
      <c r="BI223" s="341">
        <f t="shared" si="830"/>
        <v>5361</v>
      </c>
      <c r="BJ223" s="118">
        <f t="shared" si="830"/>
        <v>1335</v>
      </c>
      <c r="BK223" s="118">
        <f t="shared" si="830"/>
        <v>1310</v>
      </c>
      <c r="BL223" s="118">
        <f t="shared" si="830"/>
        <v>1263</v>
      </c>
      <c r="BM223" s="340">
        <f t="shared" si="830"/>
        <v>1255</v>
      </c>
      <c r="BN223" s="341">
        <f t="shared" ref="BN223:CV223" si="831">BN214</f>
        <v>5163</v>
      </c>
      <c r="BO223" s="118">
        <f t="shared" si="831"/>
        <v>1261</v>
      </c>
      <c r="BP223" s="118">
        <f t="shared" si="831"/>
        <v>1271</v>
      </c>
      <c r="BQ223" s="118">
        <f t="shared" si="831"/>
        <v>1287</v>
      </c>
      <c r="BR223" s="340">
        <f t="shared" si="831"/>
        <v>1293</v>
      </c>
      <c r="BS223" s="341">
        <f t="shared" si="831"/>
        <v>5112</v>
      </c>
      <c r="BT223" s="118">
        <f t="shared" si="831"/>
        <v>1330</v>
      </c>
      <c r="BU223" s="118">
        <f t="shared" si="831"/>
        <v>1335</v>
      </c>
      <c r="BV223" s="118">
        <f t="shared" si="831"/>
        <v>1287</v>
      </c>
      <c r="BW223" s="340">
        <f t="shared" si="831"/>
        <v>1345</v>
      </c>
      <c r="BX223" s="341">
        <f>SUM(BT223:BW223)</f>
        <v>5297</v>
      </c>
      <c r="BY223" s="118">
        <f t="shared" si="831"/>
        <v>1347</v>
      </c>
      <c r="BZ223" s="118">
        <f t="shared" si="831"/>
        <v>1388</v>
      </c>
      <c r="CA223" s="118">
        <f t="shared" si="831"/>
        <v>1388</v>
      </c>
      <c r="CB223" s="340">
        <f t="shared" si="831"/>
        <v>1487</v>
      </c>
      <c r="CC223" s="341">
        <f>SUM(BY223:CB223)</f>
        <v>5610</v>
      </c>
      <c r="CD223" s="118">
        <f t="shared" si="831"/>
        <v>1558</v>
      </c>
      <c r="CE223" s="118">
        <f t="shared" si="831"/>
        <v>1541</v>
      </c>
      <c r="CF223" s="118">
        <f t="shared" si="831"/>
        <v>1627</v>
      </c>
      <c r="CG223" s="340">
        <f t="shared" si="831"/>
        <v>1663</v>
      </c>
      <c r="CH223" s="341">
        <f>SUM(CD223:CG223)</f>
        <v>6389</v>
      </c>
      <c r="CI223" s="118">
        <f t="shared" si="831"/>
        <v>1752</v>
      </c>
      <c r="CJ223" s="118">
        <f t="shared" si="831"/>
        <v>1715</v>
      </c>
      <c r="CK223" s="118">
        <f t="shared" si="831"/>
        <v>1678</v>
      </c>
      <c r="CL223" s="340">
        <f t="shared" si="831"/>
        <v>1705</v>
      </c>
      <c r="CM223" s="341">
        <f>SUM(CI223:CL223)</f>
        <v>6850</v>
      </c>
      <c r="CN223" s="118">
        <f t="shared" si="831"/>
        <v>1719</v>
      </c>
      <c r="CO223" s="118">
        <f t="shared" si="831"/>
        <v>1688</v>
      </c>
      <c r="CP223" s="118">
        <f t="shared" si="831"/>
        <v>1672</v>
      </c>
      <c r="CQ223" s="340">
        <f t="shared" si="831"/>
        <v>1768</v>
      </c>
      <c r="CR223" s="341">
        <f>SUM(CN223:CQ223)</f>
        <v>6847</v>
      </c>
      <c r="CS223" s="118">
        <f t="shared" si="831"/>
        <v>1909</v>
      </c>
      <c r="CT223" s="118">
        <f t="shared" si="831"/>
        <v>1966</v>
      </c>
      <c r="CU223" s="118">
        <f t="shared" si="831"/>
        <v>2000</v>
      </c>
      <c r="CV223" s="340">
        <f t="shared" si="831"/>
        <v>1689</v>
      </c>
      <c r="CW223" s="341">
        <f>SUM(CS223:CV223)</f>
        <v>7564</v>
      </c>
      <c r="CX223" s="118">
        <f>CX214</f>
        <v>1560</v>
      </c>
      <c r="CY223" s="118">
        <f>CY214</f>
        <v>1389</v>
      </c>
      <c r="CZ223" s="118">
        <f>CZ214</f>
        <v>1501</v>
      </c>
      <c r="DA223" s="118">
        <f>DA214</f>
        <v>1557</v>
      </c>
      <c r="DB223" s="341">
        <f>SUM(CX223:DA223)</f>
        <v>6007</v>
      </c>
      <c r="DC223" s="118">
        <f t="shared" ref="DC223:DY223" si="832">DC214</f>
        <v>1683</v>
      </c>
      <c r="DD223" s="118">
        <f t="shared" si="832"/>
        <v>1697</v>
      </c>
      <c r="DE223" s="118">
        <f t="shared" si="832"/>
        <v>1710</v>
      </c>
      <c r="DF223" s="118">
        <f t="shared" si="832"/>
        <v>1750</v>
      </c>
      <c r="DG223" s="341">
        <f t="shared" si="832"/>
        <v>6840</v>
      </c>
      <c r="DH223" s="443">
        <f t="shared" si="832"/>
        <v>1962</v>
      </c>
      <c r="DI223" s="118">
        <f t="shared" si="832"/>
        <v>1991</v>
      </c>
      <c r="DJ223" s="118">
        <f t="shared" si="832"/>
        <v>1951</v>
      </c>
      <c r="DK223" s="118">
        <f t="shared" si="832"/>
        <v>1997</v>
      </c>
      <c r="DL223" s="341">
        <f t="shared" si="832"/>
        <v>7901</v>
      </c>
      <c r="DM223" s="443">
        <f t="shared" si="832"/>
        <v>2044</v>
      </c>
      <c r="DN223" s="118">
        <f t="shared" si="832"/>
        <v>1940</v>
      </c>
      <c r="DO223" s="118">
        <f t="shared" si="832"/>
        <v>1962</v>
      </c>
      <c r="DP223" s="118">
        <f t="shared" si="832"/>
        <v>1970</v>
      </c>
      <c r="DQ223" s="341">
        <f t="shared" si="832"/>
        <v>7916</v>
      </c>
      <c r="DR223" s="443">
        <f t="shared" si="832"/>
        <v>2047</v>
      </c>
      <c r="DS223" s="118">
        <f t="shared" si="832"/>
        <v>1966</v>
      </c>
      <c r="DT223" s="118">
        <f t="shared" si="832"/>
        <v>1975</v>
      </c>
      <c r="DU223" s="118">
        <f t="shared" si="832"/>
        <v>2000</v>
      </c>
      <c r="DV223" s="341">
        <f t="shared" si="832"/>
        <v>7988</v>
      </c>
      <c r="DW223" s="443">
        <f t="shared" si="832"/>
        <v>2022</v>
      </c>
      <c r="DX223" s="118">
        <f t="shared" si="832"/>
        <v>2023</v>
      </c>
      <c r="DY223" s="118">
        <f t="shared" si="832"/>
        <v>2024.9</v>
      </c>
      <c r="DZ223" s="118">
        <f t="shared" ref="DZ223:EF223" si="833">DZ214</f>
        <v>1979</v>
      </c>
      <c r="EA223" s="341">
        <f t="shared" si="833"/>
        <v>8048.9</v>
      </c>
      <c r="EB223" s="443">
        <f t="shared" si="833"/>
        <v>1961</v>
      </c>
      <c r="EC223" s="118">
        <f t="shared" si="833"/>
        <v>1899</v>
      </c>
      <c r="ED223" s="118">
        <f t="shared" si="833"/>
        <v>1891</v>
      </c>
      <c r="EE223" s="118">
        <f t="shared" si="833"/>
        <v>1876</v>
      </c>
      <c r="EF223" s="341">
        <f t="shared" si="833"/>
        <v>7627</v>
      </c>
      <c r="EG223" s="443">
        <f t="shared" ref="EG223:ER223" si="834">EG214</f>
        <v>1697</v>
      </c>
      <c r="EH223" s="118">
        <f t="shared" si="834"/>
        <v>1684</v>
      </c>
      <c r="EI223" s="118">
        <f t="shared" si="834"/>
        <v>1704</v>
      </c>
      <c r="EJ223" s="118">
        <f t="shared" si="834"/>
        <v>1729</v>
      </c>
      <c r="EK223" s="341">
        <f t="shared" si="834"/>
        <v>6814</v>
      </c>
      <c r="EL223" s="443">
        <f>EL214</f>
        <v>1818</v>
      </c>
      <c r="EM223" s="118">
        <f t="shared" ref="EM223:EP223" si="835">EM214</f>
        <v>1765</v>
      </c>
      <c r="EN223" s="118">
        <f t="shared" si="835"/>
        <v>1775</v>
      </c>
      <c r="EO223" s="118">
        <f t="shared" si="835"/>
        <v>1822</v>
      </c>
      <c r="EP223" s="341">
        <f t="shared" si="835"/>
        <v>7180</v>
      </c>
      <c r="EQ223" s="443">
        <f>EQ214</f>
        <v>1882</v>
      </c>
      <c r="ER223" s="118">
        <f t="shared" si="834"/>
        <v>1874.1107030952085</v>
      </c>
      <c r="ES223" s="118">
        <f t="shared" ref="ES223:EU223" si="836">ES214</f>
        <v>1962.5599585940367</v>
      </c>
      <c r="ET223" s="118">
        <f t="shared" si="836"/>
        <v>1947.2359408282998</v>
      </c>
      <c r="EU223" s="1982">
        <f t="shared" si="836"/>
        <v>7665.9066025175462</v>
      </c>
      <c r="EV223" s="118"/>
      <c r="EW223" s="118"/>
      <c r="EX223" s="118"/>
      <c r="EY223" s="118"/>
      <c r="EZ223" s="867">
        <f>EZ214</f>
        <v>7923.8007310281673</v>
      </c>
      <c r="FA223" s="118"/>
      <c r="FB223" s="118"/>
      <c r="FC223" s="118"/>
      <c r="FD223" s="118"/>
      <c r="FE223" s="867">
        <f>FE214</f>
        <v>8174.9567247265513</v>
      </c>
      <c r="FF223" s="793"/>
      <c r="FG223" s="655"/>
      <c r="FH223" s="1031"/>
      <c r="FI223" s="1031"/>
      <c r="FJ223" s="1031"/>
      <c r="FK223" s="1031"/>
      <c r="FL223" s="1809"/>
      <c r="FM223" s="118">
        <f t="shared" si="819"/>
        <v>1882</v>
      </c>
      <c r="FN223" s="118">
        <f t="shared" si="820"/>
        <v>1818</v>
      </c>
      <c r="FO223" s="118">
        <v>1884.6987928083331</v>
      </c>
      <c r="FP223" s="34">
        <f>IFERROR(($FM223/FN223)-1,"")</f>
        <v>3.5203520352035111E-2</v>
      </c>
      <c r="FQ223" s="34">
        <f>IFERROR(($FM223/FO223)-1,"")</f>
        <v>-1.4319491361862724E-3</v>
      </c>
      <c r="FR223" s="122"/>
      <c r="FS223" s="122"/>
      <c r="FT223" s="122"/>
      <c r="FU223" s="122"/>
      <c r="FV223" s="122"/>
      <c r="FW223" s="122"/>
      <c r="FX223" s="122"/>
      <c r="FY223" s="122"/>
      <c r="FZ223" s="122"/>
      <c r="GA223" s="655"/>
      <c r="GB223"/>
      <c r="GC223"/>
      <c r="GD223"/>
      <c r="GE223"/>
      <c r="GF223"/>
      <c r="GG223"/>
      <c r="GH223" s="956"/>
      <c r="GI223" s="956"/>
      <c r="GJ223" s="956"/>
      <c r="GK223" s="956"/>
      <c r="GL223" s="956"/>
      <c r="GM223" s="956"/>
      <c r="GN223" s="956"/>
      <c r="GO223" s="956"/>
      <c r="GP223" s="956"/>
      <c r="GQ223" s="956"/>
      <c r="GR223" s="956"/>
      <c r="GS223" s="956"/>
      <c r="GT223" s="956"/>
      <c r="GU223" s="956"/>
      <c r="GV223" s="956"/>
      <c r="GW223" s="956"/>
      <c r="GX223" s="956"/>
      <c r="GY223" s="956"/>
      <c r="GZ223" s="956"/>
      <c r="HA223" s="956"/>
      <c r="HB223" s="956"/>
      <c r="HC223" s="956"/>
      <c r="HD223" s="956"/>
      <c r="HE223" s="956"/>
      <c r="HF223" s="956"/>
      <c r="HG223" s="956"/>
      <c r="HH223" s="956"/>
      <c r="HI223" s="956"/>
      <c r="HJ223" s="956"/>
      <c r="HK223" s="956"/>
      <c r="HL223" s="956"/>
      <c r="HM223" s="956"/>
      <c r="HN223" s="956"/>
      <c r="HO223" s="956"/>
      <c r="HP223" s="956"/>
      <c r="HQ223" s="956"/>
      <c r="HR223" s="956"/>
      <c r="HS223" s="956"/>
      <c r="HT223" s="956"/>
      <c r="HU223" s="956"/>
      <c r="HV223" s="956"/>
      <c r="HW223" s="956"/>
      <c r="HX223" s="956"/>
      <c r="HY223" s="956"/>
      <c r="HZ223" s="956"/>
      <c r="IA223" s="956"/>
      <c r="IB223" s="956"/>
      <c r="IC223" s="956"/>
      <c r="ID223" s="956"/>
      <c r="IE223" s="956"/>
      <c r="IF223" s="956"/>
      <c r="IG223" s="956"/>
      <c r="IH223" s="956"/>
      <c r="II223" s="956"/>
      <c r="IJ223" s="956"/>
      <c r="IK223" s="956"/>
      <c r="IL223" s="956"/>
      <c r="IM223" s="956"/>
      <c r="IN223" s="956"/>
      <c r="IO223" s="956"/>
      <c r="IP223" s="956"/>
      <c r="IQ223" s="956"/>
      <c r="IR223" s="956"/>
      <c r="IS223" s="956"/>
      <c r="IT223" s="956"/>
      <c r="IU223" s="956"/>
      <c r="IV223" s="956"/>
    </row>
    <row r="224" spans="1:256" s="191" customFormat="1" ht="12.75" x14ac:dyDescent="0.2">
      <c r="A224" s="242" t="s">
        <v>74</v>
      </c>
      <c r="B224" s="22"/>
      <c r="C224" s="22"/>
      <c r="D224" s="22"/>
      <c r="E224" s="197"/>
      <c r="F224" s="21"/>
      <c r="G224" s="22">
        <f t="shared" ref="G224:BR224" si="837">G223/B223-1</f>
        <v>2.4219072519609197E-2</v>
      </c>
      <c r="H224" s="22">
        <f t="shared" si="837"/>
        <v>1.6958499931062798E-2</v>
      </c>
      <c r="I224" s="22">
        <f t="shared" si="837"/>
        <v>2.0634475014037035E-2</v>
      </c>
      <c r="J224" s="197">
        <f t="shared" si="837"/>
        <v>4.4142857142857261E-2</v>
      </c>
      <c r="K224" s="21">
        <f t="shared" si="837"/>
        <v>2.635805055159901E-2</v>
      </c>
      <c r="L224" s="22">
        <f t="shared" si="837"/>
        <v>-1.7869138788123129E-2</v>
      </c>
      <c r="M224" s="22">
        <f t="shared" si="837"/>
        <v>-4.3926247288503251E-2</v>
      </c>
      <c r="N224" s="22">
        <f t="shared" si="837"/>
        <v>-2.3655618209324603E-2</v>
      </c>
      <c r="O224" s="197">
        <f t="shared" si="837"/>
        <v>-2.0249008072239616E-2</v>
      </c>
      <c r="P224" s="21">
        <f t="shared" si="837"/>
        <v>-2.6429470390149423E-2</v>
      </c>
      <c r="Q224" s="22">
        <f t="shared" si="837"/>
        <v>-5.9644322845417319E-2</v>
      </c>
      <c r="R224" s="22">
        <f t="shared" si="837"/>
        <v>1.2904140669313779E-2</v>
      </c>
      <c r="S224" s="22">
        <f t="shared" si="837"/>
        <v>1.6903789266093705E-2</v>
      </c>
      <c r="T224" s="197">
        <f t="shared" si="837"/>
        <v>1.564027370478982E-2</v>
      </c>
      <c r="U224" s="21">
        <f t="shared" si="837"/>
        <v>-3.9480120187269652E-3</v>
      </c>
      <c r="V224" s="22">
        <f t="shared" si="837"/>
        <v>5.1934826883910379E-2</v>
      </c>
      <c r="W224" s="22">
        <f t="shared" si="837"/>
        <v>-3.3599328013440566E-3</v>
      </c>
      <c r="X224" s="22">
        <f t="shared" si="837"/>
        <v>-2.2440781271644283E-2</v>
      </c>
      <c r="Y224" s="197">
        <f t="shared" si="837"/>
        <v>-4.6473257252853006E-2</v>
      </c>
      <c r="Z224" s="21">
        <f t="shared" si="837"/>
        <v>-5.857799291451804E-3</v>
      </c>
      <c r="AA224" s="22">
        <f t="shared" si="837"/>
        <v>-7.0529663946894416E-3</v>
      </c>
      <c r="AB224" s="22">
        <f t="shared" si="837"/>
        <v>1.8682399213372669E-2</v>
      </c>
      <c r="AC224" s="22">
        <f t="shared" si="837"/>
        <v>8.7856029474280284E-3</v>
      </c>
      <c r="AD224" s="197">
        <f t="shared" si="837"/>
        <v>3.7779379956741188E-2</v>
      </c>
      <c r="AE224" s="21">
        <f t="shared" si="837"/>
        <v>1.432502999082641E-2</v>
      </c>
      <c r="AF224" s="22">
        <f t="shared" si="837"/>
        <v>4.345403899721445E-2</v>
      </c>
      <c r="AG224" s="22">
        <f t="shared" si="837"/>
        <v>1.3789299503585983E-3</v>
      </c>
      <c r="AH224" s="22">
        <f t="shared" si="837"/>
        <v>8.990026689141839E-3</v>
      </c>
      <c r="AI224" s="197">
        <f t="shared" si="837"/>
        <v>-4.8631374183687459E-3</v>
      </c>
      <c r="AJ224" s="21">
        <f t="shared" si="837"/>
        <v>1.2209545011826917E-2</v>
      </c>
      <c r="AK224" s="22">
        <f t="shared" si="837"/>
        <v>7.4746396155900285E-3</v>
      </c>
      <c r="AL224" s="22">
        <f t="shared" si="837"/>
        <v>1.624896722665925E-2</v>
      </c>
      <c r="AM224" s="22">
        <f t="shared" si="837"/>
        <v>1.9490463594598051E-3</v>
      </c>
      <c r="AN224" s="197">
        <f t="shared" si="837"/>
        <v>1.2007819044959289E-2</v>
      </c>
      <c r="AO224" s="21">
        <f t="shared" si="837"/>
        <v>9.4161311385274615E-3</v>
      </c>
      <c r="AP224" s="22">
        <f t="shared" si="837"/>
        <v>1.2851086380498034E-2</v>
      </c>
      <c r="AQ224" s="22">
        <f t="shared" si="837"/>
        <v>1.1382113821138073E-2</v>
      </c>
      <c r="AR224" s="22">
        <f t="shared" si="837"/>
        <v>4.3351396415173049E-2</v>
      </c>
      <c r="AS224" s="197">
        <f t="shared" si="837"/>
        <v>3.2008830022075108E-2</v>
      </c>
      <c r="AT224" s="21">
        <f t="shared" si="837"/>
        <v>2.4682531576617928E-2</v>
      </c>
      <c r="AU224" s="22">
        <f t="shared" si="837"/>
        <v>6.657946370176604E-2</v>
      </c>
      <c r="AV224" s="22">
        <f t="shared" si="837"/>
        <v>5.3054662379421247E-2</v>
      </c>
      <c r="AW224" s="22">
        <f t="shared" si="837"/>
        <v>5.207084831535469E-2</v>
      </c>
      <c r="AX224" s="197">
        <f t="shared" si="837"/>
        <v>4.0106951871657692E-2</v>
      </c>
      <c r="AY224" s="21">
        <f t="shared" si="837"/>
        <v>5.3026779187985706E-2</v>
      </c>
      <c r="AZ224" s="22">
        <f t="shared" si="837"/>
        <v>-2.7471179789060662E-2</v>
      </c>
      <c r="BA224" s="22">
        <f t="shared" si="837"/>
        <v>0.26717557251908386</v>
      </c>
      <c r="BB224" s="22">
        <f t="shared" si="837"/>
        <v>0.71392405063291142</v>
      </c>
      <c r="BC224" s="197">
        <f t="shared" si="837"/>
        <v>0.71465295629820047</v>
      </c>
      <c r="BD224" s="21">
        <f t="shared" si="837"/>
        <v>0.41257020256199928</v>
      </c>
      <c r="BE224" s="22">
        <f t="shared" si="837"/>
        <v>0.73896595208070615</v>
      </c>
      <c r="BF224" s="22">
        <f t="shared" si="837"/>
        <v>0.31927710843373491</v>
      </c>
      <c r="BG224" s="22">
        <f t="shared" si="837"/>
        <v>-2.215657311669128E-2</v>
      </c>
      <c r="BH224" s="197">
        <f t="shared" si="837"/>
        <v>7.496251874062887E-3</v>
      </c>
      <c r="BI224" s="21">
        <f t="shared" si="837"/>
        <v>0.19745365199910658</v>
      </c>
      <c r="BJ224" s="22">
        <f t="shared" si="837"/>
        <v>-3.1907179115300943E-2</v>
      </c>
      <c r="BK224" s="22">
        <f t="shared" si="837"/>
        <v>-3.0441400304414001E-3</v>
      </c>
      <c r="BL224" s="22">
        <f t="shared" si="837"/>
        <v>-4.6072507552870068E-2</v>
      </c>
      <c r="BM224" s="197">
        <f t="shared" si="837"/>
        <v>-6.6220238095238138E-2</v>
      </c>
      <c r="BN224" s="21">
        <f t="shared" si="837"/>
        <v>-3.693340794627864E-2</v>
      </c>
      <c r="BO224" s="22">
        <f t="shared" si="837"/>
        <v>-5.5430711610486849E-2</v>
      </c>
      <c r="BP224" s="22">
        <f t="shared" si="837"/>
        <v>-2.977099236641223E-2</v>
      </c>
      <c r="BQ224" s="22">
        <f t="shared" si="837"/>
        <v>1.9002375296912177E-2</v>
      </c>
      <c r="BR224" s="197">
        <f t="shared" si="837"/>
        <v>3.0278884462151323E-2</v>
      </c>
      <c r="BS224" s="21">
        <f t="shared" ref="BS224:DY224" si="838">BS223/BN223-1</f>
        <v>-9.8779779198140405E-3</v>
      </c>
      <c r="BT224" s="22">
        <f t="shared" si="838"/>
        <v>5.4718477398889798E-2</v>
      </c>
      <c r="BU224" s="22">
        <f t="shared" si="838"/>
        <v>5.0354051927615995E-2</v>
      </c>
      <c r="BV224" s="22">
        <f t="shared" si="838"/>
        <v>0</v>
      </c>
      <c r="BW224" s="197">
        <f t="shared" si="838"/>
        <v>4.0216550657385941E-2</v>
      </c>
      <c r="BX224" s="21">
        <f t="shared" si="838"/>
        <v>3.618935837245707E-2</v>
      </c>
      <c r="BY224" s="22">
        <f t="shared" si="838"/>
        <v>1.2781954887218117E-2</v>
      </c>
      <c r="BZ224" s="22">
        <f t="shared" si="838"/>
        <v>3.970037453183517E-2</v>
      </c>
      <c r="CA224" s="22">
        <f t="shared" si="838"/>
        <v>7.8477078477078521E-2</v>
      </c>
      <c r="CB224" s="197">
        <f t="shared" si="838"/>
        <v>0.1055762081784386</v>
      </c>
      <c r="CC224" s="21">
        <f t="shared" si="838"/>
        <v>5.9090050972248509E-2</v>
      </c>
      <c r="CD224" s="22">
        <f t="shared" si="838"/>
        <v>0.15664439495174465</v>
      </c>
      <c r="CE224" s="22">
        <f t="shared" si="838"/>
        <v>0.11023054755043238</v>
      </c>
      <c r="CF224" s="22">
        <f t="shared" si="838"/>
        <v>0.1721902017291066</v>
      </c>
      <c r="CG224" s="197">
        <f t="shared" si="838"/>
        <v>0.11835911230665763</v>
      </c>
      <c r="CH224" s="21">
        <f t="shared" si="838"/>
        <v>0.13885918003565068</v>
      </c>
      <c r="CI224" s="22">
        <f t="shared" si="838"/>
        <v>0.12451861360718874</v>
      </c>
      <c r="CJ224" s="22">
        <f t="shared" si="838"/>
        <v>0.11291369240752758</v>
      </c>
      <c r="CK224" s="22">
        <f t="shared" si="838"/>
        <v>3.1346035648432746E-2</v>
      </c>
      <c r="CL224" s="197">
        <f t="shared" si="838"/>
        <v>2.525556223692127E-2</v>
      </c>
      <c r="CM224" s="21">
        <f t="shared" si="838"/>
        <v>7.2155266864924128E-2</v>
      </c>
      <c r="CN224" s="22">
        <f t="shared" si="838"/>
        <v>-1.8835616438356184E-2</v>
      </c>
      <c r="CO224" s="22">
        <f t="shared" si="838"/>
        <v>-1.574344023323615E-2</v>
      </c>
      <c r="CP224" s="22">
        <f t="shared" si="838"/>
        <v>-3.5756853396901045E-3</v>
      </c>
      <c r="CQ224" s="197">
        <f t="shared" si="838"/>
        <v>3.6950146627565905E-2</v>
      </c>
      <c r="CR224" s="21">
        <f t="shared" si="838"/>
        <v>-4.3795620437958593E-4</v>
      </c>
      <c r="CS224" s="22">
        <f t="shared" si="838"/>
        <v>0.11052937754508441</v>
      </c>
      <c r="CT224" s="22">
        <f t="shared" si="838"/>
        <v>0.16469194312796209</v>
      </c>
      <c r="CU224" s="22">
        <f t="shared" si="838"/>
        <v>0.19617224880382778</v>
      </c>
      <c r="CV224" s="197">
        <f t="shared" si="838"/>
        <v>-4.4683257918551988E-2</v>
      </c>
      <c r="CW224" s="21">
        <f t="shared" si="838"/>
        <v>0.10471739447933404</v>
      </c>
      <c r="CX224" s="22">
        <f t="shared" si="838"/>
        <v>-0.1828182294394971</v>
      </c>
      <c r="CY224" s="22">
        <f t="shared" si="838"/>
        <v>-0.29348931841302139</v>
      </c>
      <c r="CZ224" s="22">
        <f t="shared" si="838"/>
        <v>-0.24950000000000006</v>
      </c>
      <c r="DA224" s="22">
        <f>DA223/CV223-1</f>
        <v>-7.8152753108348127E-2</v>
      </c>
      <c r="DB224" s="21">
        <f>DB223/CW223-1</f>
        <v>-0.20584346906398732</v>
      </c>
      <c r="DC224" s="22">
        <f t="shared" si="838"/>
        <v>7.8846153846153788E-2</v>
      </c>
      <c r="DD224" s="22">
        <f t="shared" si="838"/>
        <v>0.22174226061915037</v>
      </c>
      <c r="DE224" s="22">
        <f t="shared" si="838"/>
        <v>0.139240506329114</v>
      </c>
      <c r="DF224" s="22">
        <f>DF223/DA223-1</f>
        <v>0.12395632626846509</v>
      </c>
      <c r="DG224" s="21">
        <f t="shared" si="838"/>
        <v>0.1386715498584985</v>
      </c>
      <c r="DH224" s="268">
        <f>DH223/DC223-1</f>
        <v>0.16577540106951871</v>
      </c>
      <c r="DI224" s="22">
        <f t="shared" si="838"/>
        <v>0.17324690630524464</v>
      </c>
      <c r="DJ224" s="22">
        <f t="shared" si="838"/>
        <v>0.1409356725146198</v>
      </c>
      <c r="DK224" s="22">
        <f t="shared" si="838"/>
        <v>0.14114285714285724</v>
      </c>
      <c r="DL224" s="21">
        <f t="shared" si="838"/>
        <v>0.15511695906432754</v>
      </c>
      <c r="DM224" s="268">
        <f t="shared" si="838"/>
        <v>4.1794087665647295E-2</v>
      </c>
      <c r="DN224" s="22">
        <f t="shared" si="838"/>
        <v>-2.5615268709191397E-2</v>
      </c>
      <c r="DO224" s="22">
        <f t="shared" si="838"/>
        <v>5.6381342901077325E-3</v>
      </c>
      <c r="DP224" s="22">
        <f t="shared" si="838"/>
        <v>-1.3520280420630915E-2</v>
      </c>
      <c r="DQ224" s="21">
        <f t="shared" si="838"/>
        <v>1.8984938615365099E-3</v>
      </c>
      <c r="DR224" s="268">
        <f t="shared" si="838"/>
        <v>1.4677103718199191E-3</v>
      </c>
      <c r="DS224" s="22">
        <f t="shared" si="838"/>
        <v>1.3402061855670055E-2</v>
      </c>
      <c r="DT224" s="22">
        <f t="shared" si="838"/>
        <v>6.6258919469928124E-3</v>
      </c>
      <c r="DU224" s="22">
        <f t="shared" si="838"/>
        <v>1.5228426395939021E-2</v>
      </c>
      <c r="DV224" s="21">
        <f t="shared" si="838"/>
        <v>9.0955027791814747E-3</v>
      </c>
      <c r="DW224" s="268">
        <f t="shared" si="838"/>
        <v>-1.2212994626282336E-2</v>
      </c>
      <c r="DX224" s="22">
        <f t="shared" si="838"/>
        <v>2.8992878942014189E-2</v>
      </c>
      <c r="DY224" s="22">
        <f t="shared" si="838"/>
        <v>2.5265822784810155E-2</v>
      </c>
      <c r="DZ224" s="22">
        <f>DZ223/DU223-1</f>
        <v>-1.0499999999999954E-2</v>
      </c>
      <c r="EA224" s="21">
        <f>EA223/DV223-1</f>
        <v>7.6239359038556831E-3</v>
      </c>
      <c r="EB224" s="268">
        <f>EB223/DW223-1</f>
        <v>-3.0168150346191913E-2</v>
      </c>
      <c r="EC224" s="22">
        <f t="shared" ref="EC224:EI224" si="839">EC223/DX223-1</f>
        <v>-6.1295106277805211E-2</v>
      </c>
      <c r="ED224" s="22">
        <f t="shared" si="839"/>
        <v>-6.6126722307274455E-2</v>
      </c>
      <c r="EE224" s="22">
        <f t="shared" si="839"/>
        <v>-5.2046488125315871E-2</v>
      </c>
      <c r="EF224" s="21">
        <f t="shared" si="839"/>
        <v>-5.241710047335657E-2</v>
      </c>
      <c r="EG224" s="268">
        <f>EG223/EB223-1</f>
        <v>-0.13462519122896477</v>
      </c>
      <c r="EH224" s="22">
        <f t="shared" si="839"/>
        <v>-0.1132174828857293</v>
      </c>
      <c r="EI224" s="22">
        <f t="shared" si="839"/>
        <v>-9.8889476467477477E-2</v>
      </c>
      <c r="EJ224" s="22">
        <f t="shared" ref="EJ224:EK224" si="840">EJ223/EE223-1</f>
        <v>-7.8358208955223829E-2</v>
      </c>
      <c r="EK224" s="21">
        <f t="shared" si="840"/>
        <v>-0.10659499147764517</v>
      </c>
      <c r="EL224" s="268">
        <f>EL223/EG223-1</f>
        <v>7.1302298173246959E-2</v>
      </c>
      <c r="EM224" s="22">
        <f t="shared" ref="EM224:EN224" si="841">EM223/EH223-1</f>
        <v>4.8099762470308782E-2</v>
      </c>
      <c r="EN224" s="22">
        <f t="shared" si="841"/>
        <v>4.1666666666666741E-2</v>
      </c>
      <c r="EO224" s="22">
        <f t="shared" ref="EO224" si="842">EO223/EJ223-1</f>
        <v>5.3788316946211667E-2</v>
      </c>
      <c r="EP224" s="21">
        <f t="shared" ref="EP224" si="843">EP223/EK223-1</f>
        <v>5.3712943938949209E-2</v>
      </c>
      <c r="EQ224" s="268">
        <f>EQ223/EL223-1</f>
        <v>3.5203520352035111E-2</v>
      </c>
      <c r="ER224" s="22">
        <f t="shared" ref="ER224" si="844">ER223/EM223-1</f>
        <v>6.1819095238078381E-2</v>
      </c>
      <c r="ES224" s="22">
        <f t="shared" ref="ES224:EU224" si="845">ES223/EN223-1</f>
        <v>0.10566758230649964</v>
      </c>
      <c r="ET224" s="22">
        <f t="shared" si="845"/>
        <v>6.8735423067123991E-2</v>
      </c>
      <c r="EU224" s="1935">
        <f t="shared" si="845"/>
        <v>6.7675014278209877E-2</v>
      </c>
      <c r="EV224" s="68"/>
      <c r="EW224" s="68"/>
      <c r="EX224" s="68"/>
      <c r="EY224" s="68"/>
      <c r="EZ224" s="844">
        <f>EZ223/EU223-1</f>
        <v>3.3641699786157941E-2</v>
      </c>
      <c r="FA224" s="68"/>
      <c r="FB224" s="68"/>
      <c r="FC224" s="68"/>
      <c r="FD224" s="68"/>
      <c r="FE224" s="844">
        <f>FE223/EZ223-1</f>
        <v>3.1696404569451442E-2</v>
      </c>
      <c r="FF224" s="790"/>
      <c r="FG224" s="618"/>
      <c r="FH224" s="1041"/>
      <c r="FI224" s="1041"/>
      <c r="FJ224" s="1041"/>
      <c r="FK224" s="1041"/>
      <c r="FL224" s="1806"/>
      <c r="FM224" s="22">
        <f t="shared" si="819"/>
        <v>3.5203520352035111E-2</v>
      </c>
      <c r="FN224" s="22">
        <f t="shared" si="820"/>
        <v>7.1302298173246959E-2</v>
      </c>
      <c r="FO224" s="2041">
        <v>4.5892781802626681E-2</v>
      </c>
      <c r="FP224" s="1892">
        <f>IFERROR(($FM224-FN224)*10000,"")</f>
        <v>-360.98777821211849</v>
      </c>
      <c r="FQ224" s="1892">
        <f>IFERROR(($FM224-FO224)*10000,"")</f>
        <v>-106.8926145059157</v>
      </c>
      <c r="FR224" s="587"/>
      <c r="FS224" s="587"/>
      <c r="FT224" s="587"/>
      <c r="FU224" s="587"/>
      <c r="FV224" s="587"/>
      <c r="FW224" s="587"/>
      <c r="FX224" s="587"/>
      <c r="FY224" s="587"/>
      <c r="FZ224" s="587"/>
      <c r="GA224" s="618"/>
      <c r="GB224"/>
      <c r="GC224"/>
      <c r="GD224"/>
      <c r="GE224"/>
      <c r="GF224"/>
      <c r="GG224"/>
      <c r="GH224" s="978"/>
      <c r="GI224" s="978"/>
      <c r="GJ224" s="978"/>
      <c r="GK224" s="978"/>
      <c r="GL224" s="978"/>
      <c r="GM224" s="978"/>
      <c r="GN224" s="978"/>
      <c r="GO224" s="978"/>
      <c r="GP224" s="978"/>
      <c r="GQ224" s="978"/>
      <c r="GR224" s="978"/>
      <c r="GS224" s="978"/>
      <c r="GT224" s="978"/>
      <c r="GU224" s="978"/>
      <c r="GV224" s="978"/>
      <c r="GW224" s="978"/>
      <c r="GX224" s="978"/>
      <c r="GY224" s="978"/>
      <c r="GZ224" s="978"/>
      <c r="HA224" s="978"/>
      <c r="HB224" s="978"/>
      <c r="HC224" s="978"/>
      <c r="HD224" s="978"/>
      <c r="HE224" s="978"/>
      <c r="HF224" s="978"/>
      <c r="HG224" s="978"/>
      <c r="HH224" s="978"/>
      <c r="HI224" s="978"/>
      <c r="HJ224" s="978"/>
      <c r="HK224" s="978"/>
      <c r="HL224" s="978"/>
      <c r="HM224" s="978"/>
      <c r="HN224" s="978"/>
      <c r="HO224" s="978"/>
      <c r="HP224" s="978"/>
      <c r="HQ224" s="978"/>
      <c r="HR224" s="978"/>
      <c r="HS224" s="978"/>
      <c r="HT224" s="978"/>
      <c r="HU224" s="978"/>
      <c r="HV224" s="978"/>
      <c r="HW224" s="978"/>
      <c r="HX224" s="978"/>
      <c r="HY224" s="978"/>
      <c r="HZ224" s="978"/>
      <c r="IA224" s="978"/>
      <c r="IB224" s="978"/>
      <c r="IC224" s="978"/>
      <c r="ID224" s="978"/>
      <c r="IE224" s="978"/>
      <c r="IF224" s="978"/>
      <c r="IG224" s="978"/>
      <c r="IH224" s="978"/>
      <c r="II224" s="978"/>
      <c r="IJ224" s="978"/>
      <c r="IK224" s="978"/>
      <c r="IL224" s="978"/>
      <c r="IM224" s="978"/>
      <c r="IN224" s="978"/>
      <c r="IO224" s="978"/>
      <c r="IP224" s="978"/>
      <c r="IQ224" s="978"/>
      <c r="IR224" s="978"/>
      <c r="IS224" s="978"/>
      <c r="IT224" s="978"/>
      <c r="IU224" s="978"/>
      <c r="IV224" s="978"/>
    </row>
    <row r="225" spans="1:256" s="244" customFormat="1" ht="12.75" x14ac:dyDescent="0.2">
      <c r="A225" s="914" t="s">
        <v>404</v>
      </c>
      <c r="B225" s="915">
        <f t="shared" ref="B225:BM225" si="846">B223/B221</f>
        <v>0.78723865236702406</v>
      </c>
      <c r="C225" s="915">
        <f t="shared" si="846"/>
        <v>0.75892016323113964</v>
      </c>
      <c r="D225" s="915">
        <f t="shared" si="846"/>
        <v>0.78866378833167294</v>
      </c>
      <c r="E225" s="916">
        <f t="shared" si="846"/>
        <v>0.76754385964912264</v>
      </c>
      <c r="F225" s="917">
        <f t="shared" si="846"/>
        <v>0.77539860859207921</v>
      </c>
      <c r="G225" s="915">
        <f t="shared" si="846"/>
        <v>0.78010690703280594</v>
      </c>
      <c r="H225" s="915">
        <f t="shared" si="846"/>
        <v>0.76506586453687375</v>
      </c>
      <c r="I225" s="915">
        <f t="shared" si="846"/>
        <v>0.77615286080273271</v>
      </c>
      <c r="J225" s="916">
        <f t="shared" si="846"/>
        <v>0.7850698174006443</v>
      </c>
      <c r="K225" s="917">
        <f t="shared" si="846"/>
        <v>0.77651875330163755</v>
      </c>
      <c r="L225" s="915">
        <f t="shared" si="846"/>
        <v>0.81996634885025244</v>
      </c>
      <c r="M225" s="915">
        <f t="shared" si="846"/>
        <v>0.77665198237885436</v>
      </c>
      <c r="N225" s="915">
        <f t="shared" si="846"/>
        <v>0.75368935131117964</v>
      </c>
      <c r="O225" s="916">
        <f t="shared" si="846"/>
        <v>0.78459515722581352</v>
      </c>
      <c r="P225" s="917">
        <f t="shared" si="846"/>
        <v>0.7832845297063572</v>
      </c>
      <c r="Q225" s="915">
        <f t="shared" si="846"/>
        <v>0.74823119625557843</v>
      </c>
      <c r="R225" s="915">
        <f t="shared" si="846"/>
        <v>0.76029803086748282</v>
      </c>
      <c r="S225" s="915">
        <f t="shared" si="846"/>
        <v>0.75933522667508158</v>
      </c>
      <c r="T225" s="916">
        <f t="shared" si="846"/>
        <v>0.75126536514822839</v>
      </c>
      <c r="U225" s="917">
        <f t="shared" si="846"/>
        <v>0.75480540111199357</v>
      </c>
      <c r="V225" s="915">
        <f t="shared" si="846"/>
        <v>0.77836383207750248</v>
      </c>
      <c r="W225" s="915">
        <f t="shared" si="846"/>
        <v>0.73909883720930225</v>
      </c>
      <c r="X225" s="915">
        <f t="shared" si="846"/>
        <v>0.77184731488570513</v>
      </c>
      <c r="Y225" s="916">
        <f t="shared" si="846"/>
        <v>0.73823717266340216</v>
      </c>
      <c r="Z225" s="917">
        <f t="shared" si="846"/>
        <v>0.75661389786166211</v>
      </c>
      <c r="AA225" s="915">
        <f t="shared" si="846"/>
        <v>0.76196540379921462</v>
      </c>
      <c r="AB225" s="915">
        <f t="shared" si="846"/>
        <v>0.72679895770695535</v>
      </c>
      <c r="AC225" s="915">
        <f t="shared" si="846"/>
        <v>0.72955523672883793</v>
      </c>
      <c r="AD225" s="916">
        <f t="shared" si="846"/>
        <v>0.71812013570145694</v>
      </c>
      <c r="AE225" s="917">
        <f t="shared" si="846"/>
        <v>0.73372297797401786</v>
      </c>
      <c r="AF225" s="915">
        <f t="shared" si="846"/>
        <v>0.74979983987189758</v>
      </c>
      <c r="AG225" s="915">
        <f t="shared" si="846"/>
        <v>0.71448248720975993</v>
      </c>
      <c r="AH225" s="915">
        <f t="shared" si="846"/>
        <v>0.72118473895582336</v>
      </c>
      <c r="AI225" s="916">
        <f t="shared" si="846"/>
        <v>0.71605678864227174</v>
      </c>
      <c r="AJ225" s="917">
        <f t="shared" si="846"/>
        <v>0.72533526098010859</v>
      </c>
      <c r="AK225" s="915">
        <f t="shared" si="846"/>
        <v>0.74240188846267352</v>
      </c>
      <c r="AL225" s="915">
        <f t="shared" si="846"/>
        <v>0.71098265895953761</v>
      </c>
      <c r="AM225" s="915">
        <f t="shared" si="846"/>
        <v>0.70551906675816112</v>
      </c>
      <c r="AN225" s="916">
        <f t="shared" si="846"/>
        <v>0.7053328143246399</v>
      </c>
      <c r="AO225" s="917">
        <f t="shared" si="846"/>
        <v>0.71599551482059309</v>
      </c>
      <c r="AP225" s="915">
        <f t="shared" si="846"/>
        <v>0.73087954110898656</v>
      </c>
      <c r="AQ225" s="915">
        <f t="shared" si="846"/>
        <v>0.69966254218222723</v>
      </c>
      <c r="AR225" s="915">
        <f t="shared" si="846"/>
        <v>0.71643927106192173</v>
      </c>
      <c r="AS225" s="916">
        <f t="shared" si="846"/>
        <v>0.70433145009416198</v>
      </c>
      <c r="AT225" s="917">
        <f t="shared" si="846"/>
        <v>0.71273295602548004</v>
      </c>
      <c r="AU225" s="915">
        <f t="shared" si="846"/>
        <v>0.76470036575072697</v>
      </c>
      <c r="AV225" s="915">
        <f t="shared" si="846"/>
        <v>0.72757567342404894</v>
      </c>
      <c r="AW225" s="915">
        <f t="shared" si="846"/>
        <v>0.75378083106722016</v>
      </c>
      <c r="AX225" s="916">
        <f t="shared" si="846"/>
        <v>0.75663269275655487</v>
      </c>
      <c r="AY225" s="917">
        <f t="shared" si="846"/>
        <v>0.75052866638723703</v>
      </c>
      <c r="AZ225" s="915">
        <f t="shared" si="846"/>
        <v>0.76975344593282857</v>
      </c>
      <c r="BA225" s="915">
        <f t="shared" si="846"/>
        <v>0.83438049761246547</v>
      </c>
      <c r="BB225" s="915">
        <f t="shared" si="846"/>
        <v>0.90261250991607178</v>
      </c>
      <c r="BC225" s="916">
        <f t="shared" si="846"/>
        <v>0.90674279499728105</v>
      </c>
      <c r="BD225" s="917">
        <f t="shared" si="846"/>
        <v>0.86175866522687339</v>
      </c>
      <c r="BE225" s="915">
        <f t="shared" si="846"/>
        <v>0.91445623342175064</v>
      </c>
      <c r="BF225" s="915">
        <f t="shared" si="846"/>
        <v>0.82537688442211055</v>
      </c>
      <c r="BG225" s="915">
        <f t="shared" si="846"/>
        <v>0.86254071661237786</v>
      </c>
      <c r="BH225" s="916">
        <f t="shared" si="846"/>
        <v>0.88188976377952755</v>
      </c>
      <c r="BI225" s="917">
        <f t="shared" si="846"/>
        <v>0.87043351193375551</v>
      </c>
      <c r="BJ225" s="915">
        <f t="shared" si="846"/>
        <v>0.86688311688311692</v>
      </c>
      <c r="BK225" s="915">
        <f t="shared" si="846"/>
        <v>0.82286432160804024</v>
      </c>
      <c r="BL225" s="915">
        <f t="shared" si="846"/>
        <v>0.83753315649867377</v>
      </c>
      <c r="BM225" s="916">
        <f t="shared" si="846"/>
        <v>0.8202614379084967</v>
      </c>
      <c r="BN225" s="917">
        <f t="shared" ref="BN225:DV225" si="847">BN223/BN221</f>
        <v>0.83679092382495945</v>
      </c>
      <c r="BO225" s="915">
        <f t="shared" si="847"/>
        <v>0.84178905206942589</v>
      </c>
      <c r="BP225" s="915">
        <f t="shared" si="847"/>
        <v>0.79786566227244193</v>
      </c>
      <c r="BQ225" s="915">
        <f t="shared" si="847"/>
        <v>0.80538172715894873</v>
      </c>
      <c r="BR225" s="916">
        <f t="shared" si="847"/>
        <v>0.81783681214421255</v>
      </c>
      <c r="BS225" s="917">
        <f t="shared" si="847"/>
        <v>0.81531100478468899</v>
      </c>
      <c r="BT225" s="915">
        <f t="shared" si="847"/>
        <v>0.85201793721973096</v>
      </c>
      <c r="BU225" s="915">
        <f t="shared" si="847"/>
        <v>0.81751377832210659</v>
      </c>
      <c r="BV225" s="915">
        <f t="shared" si="847"/>
        <v>0.80538172715894873</v>
      </c>
      <c r="BW225" s="916">
        <f t="shared" si="847"/>
        <v>0.80250596658711215</v>
      </c>
      <c r="BX225" s="917">
        <f t="shared" si="847"/>
        <v>0.81895485466914042</v>
      </c>
      <c r="BY225" s="915">
        <f t="shared" si="847"/>
        <v>0.79562906083874774</v>
      </c>
      <c r="BZ225" s="915">
        <f t="shared" si="847"/>
        <v>0.76558190843905127</v>
      </c>
      <c r="CA225" s="915">
        <f t="shared" si="847"/>
        <v>0.74744211093161017</v>
      </c>
      <c r="CB225" s="916">
        <f t="shared" si="847"/>
        <v>0.76295536172396106</v>
      </c>
      <c r="CC225" s="917">
        <f t="shared" si="847"/>
        <v>0.76723194748358858</v>
      </c>
      <c r="CD225" s="915">
        <f t="shared" si="847"/>
        <v>0.79449260581336056</v>
      </c>
      <c r="CE225" s="915">
        <f t="shared" si="847"/>
        <v>0.73415912339209144</v>
      </c>
      <c r="CF225" s="915">
        <f t="shared" si="847"/>
        <v>0.75498839907192572</v>
      </c>
      <c r="CG225" s="916">
        <f t="shared" si="847"/>
        <v>0.73681878599911388</v>
      </c>
      <c r="CH225" s="917">
        <f t="shared" si="847"/>
        <v>0.7541312559017942</v>
      </c>
      <c r="CI225" s="915">
        <f t="shared" si="847"/>
        <v>0.76074685193226221</v>
      </c>
      <c r="CJ225" s="915">
        <f t="shared" si="847"/>
        <v>0.71697324414715724</v>
      </c>
      <c r="CK225" s="915">
        <f t="shared" si="847"/>
        <v>0.70121186794818224</v>
      </c>
      <c r="CL225" s="916">
        <f t="shared" si="847"/>
        <v>0.73523070288917636</v>
      </c>
      <c r="CM225" s="917">
        <f t="shared" si="847"/>
        <v>0.72818114170298709</v>
      </c>
      <c r="CN225" s="915">
        <f t="shared" si="847"/>
        <v>0.76502002670226965</v>
      </c>
      <c r="CO225" s="915">
        <f t="shared" si="847"/>
        <v>0.70984020185029439</v>
      </c>
      <c r="CP225" s="915">
        <f t="shared" si="847"/>
        <v>0.71058223544411392</v>
      </c>
      <c r="CQ225" s="916">
        <f t="shared" si="847"/>
        <v>0.7204563977180114</v>
      </c>
      <c r="CR225" s="917">
        <f t="shared" si="847"/>
        <v>0.72593299406276501</v>
      </c>
      <c r="CS225" s="915">
        <f t="shared" si="847"/>
        <v>0.76359999999999995</v>
      </c>
      <c r="CT225" s="915">
        <f t="shared" si="847"/>
        <v>0.71103074141048828</v>
      </c>
      <c r="CU225" s="915">
        <f t="shared" si="847"/>
        <v>0.69108500345542501</v>
      </c>
      <c r="CV225" s="916">
        <f t="shared" si="847"/>
        <v>0.67505995203836933</v>
      </c>
      <c r="CW225" s="917">
        <f t="shared" si="847"/>
        <v>0.70950192289653879</v>
      </c>
      <c r="CX225" s="915">
        <f t="shared" si="847"/>
        <v>0.80288214101904276</v>
      </c>
      <c r="CY225" s="915">
        <f t="shared" si="847"/>
        <v>0.74798061389337644</v>
      </c>
      <c r="CZ225" s="915">
        <f t="shared" si="847"/>
        <v>0.72758119243819686</v>
      </c>
      <c r="DA225" s="915">
        <f t="shared" si="847"/>
        <v>0.73931623931623935</v>
      </c>
      <c r="DB225" s="917">
        <f t="shared" si="847"/>
        <v>0.75379595934245203</v>
      </c>
      <c r="DC225" s="915">
        <f t="shared" si="847"/>
        <v>0.75201072386058976</v>
      </c>
      <c r="DD225" s="915">
        <f t="shared" si="847"/>
        <v>0.69835390946502063</v>
      </c>
      <c r="DE225" s="915">
        <f t="shared" si="847"/>
        <v>0.69625407166123776</v>
      </c>
      <c r="DF225" s="915">
        <f t="shared" si="847"/>
        <v>0.73164414303692926</v>
      </c>
      <c r="DG225" s="917">
        <f t="shared" si="847"/>
        <v>0.71879898708158751</v>
      </c>
      <c r="DH225" s="915">
        <f t="shared" si="847"/>
        <v>0.74885496183206102</v>
      </c>
      <c r="DI225" s="915">
        <f>DI223/DI221</f>
        <v>0.69469644103279837</v>
      </c>
      <c r="DJ225" s="915">
        <f>DJ223/DJ221</f>
        <v>0.67532017999307714</v>
      </c>
      <c r="DK225" s="915">
        <f>DK223/DK221</f>
        <v>0.71397926349660346</v>
      </c>
      <c r="DL225" s="917">
        <f t="shared" si="847"/>
        <v>0.70721446473326177</v>
      </c>
      <c r="DM225" s="915">
        <f t="shared" si="847"/>
        <v>0.73287916816063103</v>
      </c>
      <c r="DN225" s="915">
        <f t="shared" si="847"/>
        <v>0.67501739735560196</v>
      </c>
      <c r="DO225" s="915">
        <f t="shared" si="847"/>
        <v>0.72855551429632381</v>
      </c>
      <c r="DP225" s="915">
        <f>DP223/DP221</f>
        <v>0.73397913561847983</v>
      </c>
      <c r="DQ225" s="917">
        <f t="shared" si="847"/>
        <v>0.71702898550724636</v>
      </c>
      <c r="DR225" s="915">
        <f>DR223/DR221</f>
        <v>0.74762600438276117</v>
      </c>
      <c r="DS225" s="915">
        <f>DS223/DS221</f>
        <v>0.70164168451106357</v>
      </c>
      <c r="DT225" s="915">
        <f t="shared" si="847"/>
        <v>0.69936260623229463</v>
      </c>
      <c r="DU225" s="915">
        <f>DU223/DU221</f>
        <v>0.69420340159666782</v>
      </c>
      <c r="DV225" s="917">
        <f t="shared" si="847"/>
        <v>0.71036016007114278</v>
      </c>
      <c r="DW225" s="915">
        <f t="shared" ref="DW225:EF225" si="848">DW223/DW221</f>
        <v>0.75195239866121233</v>
      </c>
      <c r="DX225" s="915">
        <f t="shared" si="848"/>
        <v>0.66502301117685736</v>
      </c>
      <c r="DY225" s="915">
        <f t="shared" si="848"/>
        <v>0.66983129341713532</v>
      </c>
      <c r="DZ225" s="915">
        <f t="shared" si="848"/>
        <v>0.68954703832752617</v>
      </c>
      <c r="EA225" s="917">
        <f t="shared" si="848"/>
        <v>0.69243805918788714</v>
      </c>
      <c r="EB225" s="915">
        <f>(EB223-42)/EB221</f>
        <v>0.74756525126606932</v>
      </c>
      <c r="EC225" s="915">
        <f t="shared" si="848"/>
        <v>0.6999631404349429</v>
      </c>
      <c r="ED225" s="915">
        <f t="shared" si="848"/>
        <v>0.69701437523037224</v>
      </c>
      <c r="EE225" s="915">
        <f t="shared" si="848"/>
        <v>0.74503574265289918</v>
      </c>
      <c r="EF225" s="917">
        <f t="shared" si="848"/>
        <v>0.72562077823232807</v>
      </c>
      <c r="EG225" s="915">
        <f t="shared" ref="EG225:ER225" si="849">EG223/EG221</f>
        <v>0.70123966942148763</v>
      </c>
      <c r="EH225" s="915">
        <f t="shared" si="849"/>
        <v>0.68622656886715572</v>
      </c>
      <c r="EI225" s="915">
        <f t="shared" si="849"/>
        <v>0.67511885895404122</v>
      </c>
      <c r="EJ225" s="915">
        <f t="shared" si="849"/>
        <v>0.69437751004016068</v>
      </c>
      <c r="EK225" s="917">
        <f t="shared" si="849"/>
        <v>0.68911812297734631</v>
      </c>
      <c r="EL225" s="915">
        <f>EL223/EL221</f>
        <v>0.70601941747572816</v>
      </c>
      <c r="EM225" s="915">
        <f t="shared" ref="EM225:EP225" si="850">EM223/EM221</f>
        <v>0.66932119833143722</v>
      </c>
      <c r="EN225" s="915">
        <f t="shared" si="850"/>
        <v>0.66479400749063666</v>
      </c>
      <c r="EO225" s="915">
        <f t="shared" si="850"/>
        <v>0.68265267890595727</v>
      </c>
      <c r="EP225" s="917">
        <f t="shared" si="850"/>
        <v>0.68050421760970525</v>
      </c>
      <c r="EQ225" s="915">
        <f>EQ223/EQ221</f>
        <v>0.69267574530732423</v>
      </c>
      <c r="ER225" s="1920">
        <f t="shared" si="849"/>
        <v>0.66344778696564621</v>
      </c>
      <c r="ES225" s="1920">
        <f t="shared" ref="ES225:EU225" si="851">ES223/ES221</f>
        <v>0.68789052607095558</v>
      </c>
      <c r="ET225" s="1920">
        <f t="shared" si="851"/>
        <v>0.69490900716052217</v>
      </c>
      <c r="EU225" s="1983">
        <f t="shared" si="851"/>
        <v>0.68464163324546745</v>
      </c>
      <c r="EV225" s="243"/>
      <c r="EW225" s="243"/>
      <c r="EX225" s="243"/>
      <c r="EY225" s="243"/>
      <c r="EZ225" s="918">
        <f>EZ223/EZ221</f>
        <v>0.68258937960365984</v>
      </c>
      <c r="FA225" s="243"/>
      <c r="FB225" s="243"/>
      <c r="FC225" s="243"/>
      <c r="FD225" s="243"/>
      <c r="FE225" s="2096">
        <f>FE223/FE221</f>
        <v>0.67854439127869737</v>
      </c>
      <c r="FF225" s="791"/>
      <c r="FG225" s="618"/>
      <c r="FH225" s="2101">
        <f>+(2689-812.5)/2689</f>
        <v>0.69784306433618448</v>
      </c>
      <c r="FI225" s="2101">
        <f>+(10460-3343)/10460</f>
        <v>0.6804015296367113</v>
      </c>
      <c r="FJ225" s="2101">
        <f>+(10926-3595)/10926</f>
        <v>0.67096833241808529</v>
      </c>
      <c r="FK225" s="2101">
        <f>+(11385-3834)/11385</f>
        <v>0.66324110671936753</v>
      </c>
      <c r="FL225" s="1806"/>
      <c r="FM225" s="915">
        <f t="shared" si="819"/>
        <v>0.69267574530732423</v>
      </c>
      <c r="FN225" s="915">
        <f t="shared" si="820"/>
        <v>0.70601941747572816</v>
      </c>
      <c r="FO225" s="1920">
        <v>0.70566564225093609</v>
      </c>
      <c r="FP225" s="1899">
        <f>IFERROR(($FM225-FN225)*10000,"")</f>
        <v>-133.4367216840393</v>
      </c>
      <c r="FQ225" s="1899">
        <f>IFERROR(($FM225-FO225)*10000,"")</f>
        <v>-129.89896943611856</v>
      </c>
      <c r="FR225" s="540" t="s">
        <v>873</v>
      </c>
      <c r="FS225" s="540"/>
      <c r="FT225" s="587"/>
      <c r="FU225" s="120"/>
      <c r="FV225" s="120"/>
      <c r="FW225" s="120"/>
      <c r="FX225" s="120"/>
      <c r="FY225" s="120"/>
      <c r="FZ225" s="120"/>
      <c r="GA225" s="618"/>
      <c r="GB225"/>
      <c r="GC225"/>
      <c r="GD225"/>
      <c r="GE225"/>
      <c r="GF225"/>
      <c r="GG225"/>
      <c r="GH225" s="973"/>
      <c r="GI225" s="973"/>
      <c r="GJ225" s="973"/>
      <c r="GK225" s="973"/>
      <c r="GL225" s="973"/>
      <c r="GM225" s="973"/>
      <c r="GN225" s="973"/>
      <c r="GO225" s="973"/>
      <c r="GP225" s="973"/>
      <c r="GQ225" s="973"/>
      <c r="GR225" s="973"/>
      <c r="GS225" s="973"/>
      <c r="GT225" s="973"/>
      <c r="GU225" s="973"/>
      <c r="GV225" s="973"/>
      <c r="GW225" s="973"/>
      <c r="GX225" s="973"/>
      <c r="GY225" s="973"/>
      <c r="GZ225" s="973"/>
      <c r="HA225" s="973"/>
      <c r="HB225" s="973"/>
      <c r="HC225" s="973"/>
      <c r="HD225" s="973"/>
      <c r="HE225" s="973"/>
      <c r="HF225" s="973"/>
      <c r="HG225" s="973"/>
      <c r="HH225" s="973"/>
      <c r="HI225" s="973"/>
      <c r="HJ225" s="973"/>
      <c r="HK225" s="973"/>
      <c r="HL225" s="973"/>
      <c r="HM225" s="973"/>
      <c r="HN225" s="973"/>
      <c r="HO225" s="973"/>
      <c r="HP225" s="973"/>
      <c r="HQ225" s="973"/>
      <c r="HR225" s="973"/>
      <c r="HS225" s="973"/>
      <c r="HT225" s="973"/>
      <c r="HU225" s="973"/>
      <c r="HV225" s="973"/>
      <c r="HW225" s="973"/>
      <c r="HX225" s="973"/>
      <c r="HY225" s="973"/>
      <c r="HZ225" s="973"/>
      <c r="IA225" s="973"/>
      <c r="IB225" s="973"/>
      <c r="IC225" s="973"/>
      <c r="ID225" s="973"/>
      <c r="IE225" s="973"/>
      <c r="IF225" s="973"/>
      <c r="IG225" s="973"/>
      <c r="IH225" s="973"/>
      <c r="II225" s="973"/>
      <c r="IJ225" s="973"/>
      <c r="IK225" s="973"/>
      <c r="IL225" s="973"/>
      <c r="IM225" s="973"/>
      <c r="IN225" s="973"/>
      <c r="IO225" s="973"/>
      <c r="IP225" s="973"/>
      <c r="IQ225" s="973"/>
      <c r="IR225" s="973"/>
      <c r="IS225" s="973"/>
      <c r="IT225" s="973"/>
      <c r="IU225" s="973"/>
      <c r="IV225" s="973"/>
    </row>
    <row r="226" spans="1:256" s="56" customFormat="1" ht="12.75" x14ac:dyDescent="0.2">
      <c r="A226" s="342" t="s">
        <v>97</v>
      </c>
      <c r="B226" s="46"/>
      <c r="C226" s="46"/>
      <c r="D226" s="46"/>
      <c r="E226" s="212"/>
      <c r="F226" s="100"/>
      <c r="G226" s="46">
        <f t="shared" ref="G226:BR226" si="852">(G225-B225)*100</f>
        <v>-0.71317453342181203</v>
      </c>
      <c r="H226" s="46">
        <f t="shared" si="852"/>
        <v>0.61457013057341081</v>
      </c>
      <c r="I226" s="46">
        <f t="shared" si="852"/>
        <v>-1.251092752894023</v>
      </c>
      <c r="J226" s="212">
        <f t="shared" si="852"/>
        <v>1.7525957751521659</v>
      </c>
      <c r="K226" s="100">
        <f t="shared" si="852"/>
        <v>0.11201447095583461</v>
      </c>
      <c r="L226" s="46">
        <f t="shared" si="852"/>
        <v>3.9859441817446495</v>
      </c>
      <c r="M226" s="46">
        <f t="shared" si="852"/>
        <v>1.1586117841980603</v>
      </c>
      <c r="N226" s="46">
        <f t="shared" si="852"/>
        <v>-2.2463509491553069</v>
      </c>
      <c r="O226" s="212">
        <f t="shared" si="852"/>
        <v>-4.746601748307766E-2</v>
      </c>
      <c r="P226" s="100">
        <f t="shared" si="852"/>
        <v>0.67657764047196478</v>
      </c>
      <c r="Q226" s="46">
        <f t="shared" si="852"/>
        <v>-7.1735152594674005</v>
      </c>
      <c r="R226" s="46">
        <f t="shared" si="852"/>
        <v>-1.6353951511371534</v>
      </c>
      <c r="S226" s="46">
        <f t="shared" si="852"/>
        <v>0.5645875363901931</v>
      </c>
      <c r="T226" s="212">
        <f t="shared" si="852"/>
        <v>-3.332979207758513</v>
      </c>
      <c r="U226" s="100">
        <f t="shared" si="852"/>
        <v>-2.8479128594363634</v>
      </c>
      <c r="V226" s="46">
        <f t="shared" si="852"/>
        <v>3.0132635821924048</v>
      </c>
      <c r="W226" s="46">
        <f t="shared" si="852"/>
        <v>-2.1199193658180571</v>
      </c>
      <c r="X226" s="46">
        <f t="shared" si="852"/>
        <v>1.2512088210623551</v>
      </c>
      <c r="Y226" s="212">
        <f t="shared" si="852"/>
        <v>-1.3028192484826229</v>
      </c>
      <c r="Z226" s="100">
        <f t="shared" si="852"/>
        <v>0.18084967496685422</v>
      </c>
      <c r="AA226" s="46">
        <f t="shared" si="852"/>
        <v>-1.6398428278287858</v>
      </c>
      <c r="AB226" s="46">
        <f t="shared" si="852"/>
        <v>-1.22998795023469</v>
      </c>
      <c r="AC226" s="46">
        <f t="shared" si="852"/>
        <v>-4.2292078156867197</v>
      </c>
      <c r="AD226" s="212">
        <f t="shared" si="852"/>
        <v>-2.0117036961945223</v>
      </c>
      <c r="AE226" s="100">
        <f t="shared" si="852"/>
        <v>-2.2890919887644245</v>
      </c>
      <c r="AF226" s="46">
        <f t="shared" si="852"/>
        <v>-1.2165563927317047</v>
      </c>
      <c r="AG226" s="46">
        <f t="shared" si="852"/>
        <v>-1.231647049719542</v>
      </c>
      <c r="AH226" s="46">
        <f t="shared" si="852"/>
        <v>-0.83704977730145735</v>
      </c>
      <c r="AI226" s="212">
        <f t="shared" si="852"/>
        <v>-0.20633470591852054</v>
      </c>
      <c r="AJ226" s="100">
        <f t="shared" si="852"/>
        <v>-0.83877169939092777</v>
      </c>
      <c r="AK226" s="46">
        <f t="shared" si="852"/>
        <v>-0.73979514092240573</v>
      </c>
      <c r="AL226" s="46">
        <f t="shared" si="852"/>
        <v>-0.34998282502223255</v>
      </c>
      <c r="AM226" s="46">
        <f t="shared" si="852"/>
        <v>-1.5665672197662239</v>
      </c>
      <c r="AN226" s="212">
        <f t="shared" si="852"/>
        <v>-1.0723974317631835</v>
      </c>
      <c r="AO226" s="100">
        <f t="shared" si="852"/>
        <v>-0.9339746159515494</v>
      </c>
      <c r="AP226" s="46">
        <f t="shared" si="852"/>
        <v>-1.1522347353686957</v>
      </c>
      <c r="AQ226" s="46">
        <f t="shared" si="852"/>
        <v>-1.1320116777310374</v>
      </c>
      <c r="AR226" s="46">
        <f t="shared" si="852"/>
        <v>1.0920204303760617</v>
      </c>
      <c r="AS226" s="212">
        <f t="shared" si="852"/>
        <v>-0.10013642304779191</v>
      </c>
      <c r="AT226" s="100">
        <f t="shared" si="852"/>
        <v>-0.32625587951130575</v>
      </c>
      <c r="AU226" s="46">
        <f t="shared" si="852"/>
        <v>3.382082464174041</v>
      </c>
      <c r="AV226" s="46">
        <f t="shared" si="852"/>
        <v>2.7913131241821709</v>
      </c>
      <c r="AW226" s="46">
        <f t="shared" si="852"/>
        <v>3.7341560005298424</v>
      </c>
      <c r="AX226" s="212">
        <f t="shared" si="852"/>
        <v>5.2301242662392884</v>
      </c>
      <c r="AY226" s="100">
        <f t="shared" si="852"/>
        <v>3.7795710361756996</v>
      </c>
      <c r="AZ226" s="46">
        <f t="shared" si="852"/>
        <v>0.50530801821015991</v>
      </c>
      <c r="BA226" s="46">
        <f t="shared" si="852"/>
        <v>10.680482418841653</v>
      </c>
      <c r="BB226" s="46">
        <f t="shared" si="852"/>
        <v>14.883167884885163</v>
      </c>
      <c r="BC226" s="212">
        <f t="shared" si="852"/>
        <v>15.011010224072619</v>
      </c>
      <c r="BD226" s="100">
        <f t="shared" si="852"/>
        <v>11.122999883963637</v>
      </c>
      <c r="BE226" s="46">
        <f t="shared" si="852"/>
        <v>14.470278748892207</v>
      </c>
      <c r="BF226" s="46">
        <f t="shared" si="852"/>
        <v>-0.90036131903549199</v>
      </c>
      <c r="BG226" s="46">
        <f t="shared" si="852"/>
        <v>-4.007179330369393</v>
      </c>
      <c r="BH226" s="212">
        <f t="shared" si="852"/>
        <v>-2.4853031217753507</v>
      </c>
      <c r="BI226" s="100">
        <f t="shared" si="852"/>
        <v>0.86748467068821222</v>
      </c>
      <c r="BJ226" s="46">
        <f t="shared" si="852"/>
        <v>-4.757311653863372</v>
      </c>
      <c r="BK226" s="46">
        <f t="shared" si="852"/>
        <v>-0.25125628140703071</v>
      </c>
      <c r="BL226" s="46">
        <f t="shared" si="852"/>
        <v>-2.5007560113704086</v>
      </c>
      <c r="BM226" s="212">
        <f t="shared" si="852"/>
        <v>-6.1628325871030842</v>
      </c>
      <c r="BN226" s="100">
        <f t="shared" si="852"/>
        <v>-3.3642588108796057</v>
      </c>
      <c r="BO226" s="46">
        <f t="shared" si="852"/>
        <v>-2.509406481369103</v>
      </c>
      <c r="BP226" s="46">
        <f t="shared" si="852"/>
        <v>-2.4998659335598306</v>
      </c>
      <c r="BQ226" s="46">
        <f t="shared" si="852"/>
        <v>-3.2151429339725035</v>
      </c>
      <c r="BR226" s="212">
        <f t="shared" si="852"/>
        <v>-0.24246257642841496</v>
      </c>
      <c r="BS226" s="100">
        <f t="shared" ref="BS226:DY226" si="853">(BS225-BN225)*100</f>
        <v>-2.1479919040270468</v>
      </c>
      <c r="BT226" s="46">
        <f t="shared" si="853"/>
        <v>1.0228885150305067</v>
      </c>
      <c r="BU226" s="46">
        <f t="shared" si="853"/>
        <v>1.9648116049664655</v>
      </c>
      <c r="BV226" s="46">
        <f t="shared" si="853"/>
        <v>0</v>
      </c>
      <c r="BW226" s="212">
        <f t="shared" si="853"/>
        <v>-1.5330845557100403</v>
      </c>
      <c r="BX226" s="100">
        <f t="shared" si="853"/>
        <v>0.36438498844514333</v>
      </c>
      <c r="BY226" s="46">
        <f t="shared" si="853"/>
        <v>-5.6388876380983222</v>
      </c>
      <c r="BZ226" s="46">
        <f t="shared" si="853"/>
        <v>-5.1931869883055315</v>
      </c>
      <c r="CA226" s="46">
        <f t="shared" si="853"/>
        <v>-5.7939616227338568</v>
      </c>
      <c r="CB226" s="212">
        <f t="shared" si="853"/>
        <v>-3.9550604863151095</v>
      </c>
      <c r="CC226" s="100">
        <f t="shared" si="853"/>
        <v>-5.1722907185551836</v>
      </c>
      <c r="CD226" s="46">
        <f t="shared" si="853"/>
        <v>-0.1136455025387173</v>
      </c>
      <c r="CE226" s="46">
        <f t="shared" si="853"/>
        <v>-3.1422785046959834</v>
      </c>
      <c r="CF226" s="46">
        <f t="shared" si="853"/>
        <v>0.75462881403155491</v>
      </c>
      <c r="CG226" s="212">
        <f t="shared" si="853"/>
        <v>-2.6136575724847178</v>
      </c>
      <c r="CH226" s="100">
        <f t="shared" si="853"/>
        <v>-1.3100691581794388</v>
      </c>
      <c r="CI226" s="46">
        <f t="shared" si="853"/>
        <v>-3.374575388109835</v>
      </c>
      <c r="CJ226" s="46">
        <f t="shared" si="853"/>
        <v>-1.7185879244934199</v>
      </c>
      <c r="CK226" s="46">
        <f t="shared" si="853"/>
        <v>-5.3776531123743476</v>
      </c>
      <c r="CL226" s="212">
        <f t="shared" si="853"/>
        <v>-0.15880831099375214</v>
      </c>
      <c r="CM226" s="100">
        <f t="shared" si="853"/>
        <v>-2.5950114198807106</v>
      </c>
      <c r="CN226" s="46">
        <f t="shared" si="853"/>
        <v>0.42731747700074374</v>
      </c>
      <c r="CO226" s="46">
        <f t="shared" si="853"/>
        <v>-0.7133042296862846</v>
      </c>
      <c r="CP226" s="46">
        <f t="shared" si="853"/>
        <v>0.93703674959316752</v>
      </c>
      <c r="CQ226" s="212">
        <f t="shared" si="853"/>
        <v>-1.4774305171164959</v>
      </c>
      <c r="CR226" s="100">
        <f t="shared" si="853"/>
        <v>-0.22481476402220757</v>
      </c>
      <c r="CS226" s="46">
        <f t="shared" si="853"/>
        <v>-0.14200267022697055</v>
      </c>
      <c r="CT226" s="46">
        <f t="shared" si="853"/>
        <v>0.11905395601938817</v>
      </c>
      <c r="CU226" s="46">
        <f t="shared" si="853"/>
        <v>-1.9497231988688912</v>
      </c>
      <c r="CV226" s="212">
        <f t="shared" si="853"/>
        <v>-4.5396445679642072</v>
      </c>
      <c r="CW226" s="100">
        <f t="shared" si="853"/>
        <v>-1.6431071166226219</v>
      </c>
      <c r="CX226" s="46">
        <f t="shared" si="853"/>
        <v>3.9282141019042816</v>
      </c>
      <c r="CY226" s="46">
        <f t="shared" si="853"/>
        <v>3.6949872482888169</v>
      </c>
      <c r="CZ226" s="46">
        <f t="shared" si="853"/>
        <v>3.6496188982771849</v>
      </c>
      <c r="DA226" s="46">
        <f>(DA225-CV225)*100</f>
        <v>6.4256287277870028</v>
      </c>
      <c r="DB226" s="100">
        <f>(DB225-CW225)*100</f>
        <v>4.4294036445913232</v>
      </c>
      <c r="DC226" s="46">
        <f t="shared" si="853"/>
        <v>-5.0871417158453003</v>
      </c>
      <c r="DD226" s="46">
        <f t="shared" si="853"/>
        <v>-4.9626704428355817</v>
      </c>
      <c r="DE226" s="46">
        <f t="shared" si="853"/>
        <v>-3.1327120776959094</v>
      </c>
      <c r="DF226" s="46">
        <f>(DF225-DA225)*100</f>
        <v>-0.76720962793100922</v>
      </c>
      <c r="DG226" s="100">
        <f t="shared" si="853"/>
        <v>-3.4996972260864512</v>
      </c>
      <c r="DH226" s="46">
        <f>(DH225-DC225)*100</f>
        <v>-0.31557620285287413</v>
      </c>
      <c r="DI226" s="46">
        <f t="shared" si="853"/>
        <v>-0.3657468432222255</v>
      </c>
      <c r="DJ226" s="46">
        <f t="shared" si="853"/>
        <v>-2.093389166816062</v>
      </c>
      <c r="DK226" s="46">
        <f t="shared" si="853"/>
        <v>-1.7664879540325806</v>
      </c>
      <c r="DL226" s="100">
        <f t="shared" si="853"/>
        <v>-1.1584522348325743</v>
      </c>
      <c r="DM226" s="46">
        <f t="shared" si="853"/>
        <v>-1.5975793671429983</v>
      </c>
      <c r="DN226" s="46">
        <f t="shared" si="853"/>
        <v>-1.9679043677196417</v>
      </c>
      <c r="DO226" s="46">
        <f t="shared" si="853"/>
        <v>5.3235334303246677</v>
      </c>
      <c r="DP226" s="46">
        <f t="shared" si="853"/>
        <v>1.9999872121876372</v>
      </c>
      <c r="DQ226" s="100">
        <f t="shared" si="853"/>
        <v>0.98145207739845919</v>
      </c>
      <c r="DR226" s="46">
        <f t="shared" si="853"/>
        <v>1.4746836222130133</v>
      </c>
      <c r="DS226" s="46">
        <f t="shared" si="853"/>
        <v>2.6624287155461612</v>
      </c>
      <c r="DT226" s="46">
        <f t="shared" si="853"/>
        <v>-2.9192908064029188</v>
      </c>
      <c r="DU226" s="46">
        <f t="shared" si="853"/>
        <v>-3.9775734021812004</v>
      </c>
      <c r="DV226" s="100">
        <f t="shared" si="853"/>
        <v>-0.6668825436103587</v>
      </c>
      <c r="DW226" s="46">
        <f t="shared" si="853"/>
        <v>0.43263942784511622</v>
      </c>
      <c r="DX226" s="46">
        <f t="shared" si="853"/>
        <v>-3.6618673334206209</v>
      </c>
      <c r="DY226" s="46">
        <f t="shared" si="853"/>
        <v>-2.9531312815159305</v>
      </c>
      <c r="DZ226" s="46">
        <f>(DZ225-DU225)*100</f>
        <v>-0.46563632691416501</v>
      </c>
      <c r="EA226" s="100">
        <f>(EA225-DV225)*100</f>
        <v>-1.7922100883255632</v>
      </c>
      <c r="EB226" s="46">
        <f>(EB225-DW225)*100</f>
        <v>-0.43871473951430096</v>
      </c>
      <c r="EC226" s="46">
        <f t="shared" ref="EC226:EI226" si="854">(EC225-DX225)*100</f>
        <v>3.4940129258085539</v>
      </c>
      <c r="ED226" s="46">
        <f t="shared" si="854"/>
        <v>2.718308181323692</v>
      </c>
      <c r="EE226" s="46">
        <f t="shared" si="854"/>
        <v>5.5488704325373011</v>
      </c>
      <c r="EF226" s="100">
        <f t="shared" si="854"/>
        <v>3.3182719044440923</v>
      </c>
      <c r="EG226" s="46">
        <f>(EG225-EB225)*100</f>
        <v>-4.6325581844581691</v>
      </c>
      <c r="EH226" s="46">
        <f t="shared" si="854"/>
        <v>-1.3736571567787181</v>
      </c>
      <c r="EI226" s="46">
        <f t="shared" si="854"/>
        <v>-2.1895516276331017</v>
      </c>
      <c r="EJ226" s="46">
        <f t="shared" ref="EJ226:EK226" si="855">(EJ225-EE225)*100</f>
        <v>-5.0658232612738496</v>
      </c>
      <c r="EK226" s="100">
        <f t="shared" si="855"/>
        <v>-3.6502655254981753</v>
      </c>
      <c r="EL226" s="46">
        <f>(EL225-EG225)*100</f>
        <v>0.47797480542405291</v>
      </c>
      <c r="EM226" s="46">
        <f t="shared" ref="EM226:EN226" si="856">(EM225-EH225)*100</f>
        <v>-1.69053705357185</v>
      </c>
      <c r="EN226" s="46">
        <f t="shared" si="856"/>
        <v>-1.0324851463404561</v>
      </c>
      <c r="EO226" s="46">
        <f t="shared" ref="EO226" si="857">(EO225-EJ225)*100</f>
        <v>-1.1724831134203417</v>
      </c>
      <c r="EP226" s="100">
        <f t="shared" ref="EP226" si="858">(EP225-EK225)*100</f>
        <v>-0.86139053676410615</v>
      </c>
      <c r="EQ226" s="46">
        <f>(EQ225-EL225)*100</f>
        <v>-1.3343672168403931</v>
      </c>
      <c r="ER226" s="2099">
        <f t="shared" ref="ER226" si="859">(ER225-EM225)*100</f>
        <v>-0.58734113657910036</v>
      </c>
      <c r="ES226" s="2099">
        <f t="shared" ref="ES226:EU226" si="860">(ES225-EN225)*100</f>
        <v>2.3096518580318914</v>
      </c>
      <c r="ET226" s="2099">
        <f t="shared" si="860"/>
        <v>1.2256328254564908</v>
      </c>
      <c r="EU226" s="2073">
        <f t="shared" si="860"/>
        <v>0.41374156357621983</v>
      </c>
      <c r="EV226" s="46"/>
      <c r="EW226" s="46"/>
      <c r="EX226" s="46"/>
      <c r="EY226" s="46"/>
      <c r="EZ226" s="868">
        <f>(EZ225-EU225)*100</f>
        <v>-0.20522536418076109</v>
      </c>
      <c r="FA226" s="46"/>
      <c r="FB226" s="46"/>
      <c r="FC226" s="46"/>
      <c r="FD226" s="46"/>
      <c r="FE226" s="868">
        <f>(FE225-EZ225)*100</f>
        <v>-0.4044988324962473</v>
      </c>
      <c r="FF226" s="768"/>
      <c r="FG226" s="655"/>
      <c r="FH226" s="1039"/>
      <c r="FI226" s="1039"/>
      <c r="FJ226" s="1039"/>
      <c r="FK226" s="1041"/>
      <c r="FL226" s="1813"/>
      <c r="FM226" s="46">
        <f t="shared" si="819"/>
        <v>-1.3343672168403931</v>
      </c>
      <c r="FN226" s="46">
        <f t="shared" si="820"/>
        <v>0.47797480542405291</v>
      </c>
      <c r="FO226" s="2063">
        <v>0.58598170082176937</v>
      </c>
      <c r="FP226" s="46"/>
      <c r="FQ226" s="46"/>
      <c r="FR226" s="1426"/>
      <c r="FS226" s="540" t="s">
        <v>859</v>
      </c>
      <c r="FT226" s="575"/>
      <c r="FU226" s="575"/>
      <c r="FV226" s="575"/>
      <c r="FW226" s="575"/>
      <c r="FX226" s="575"/>
      <c r="FY226" s="575"/>
      <c r="FZ226" s="575"/>
      <c r="GA226" s="655"/>
      <c r="GB226"/>
      <c r="GC226"/>
      <c r="GD226"/>
      <c r="GE226"/>
      <c r="GF226"/>
      <c r="GG226"/>
      <c r="GH226" s="964"/>
      <c r="GI226" s="964"/>
      <c r="GJ226" s="964"/>
      <c r="GK226" s="964"/>
      <c r="GL226" s="964"/>
      <c r="GM226" s="964"/>
      <c r="GN226" s="964"/>
      <c r="GO226" s="964"/>
      <c r="GP226" s="964"/>
      <c r="GQ226" s="964"/>
      <c r="GR226" s="964"/>
      <c r="GS226" s="964"/>
      <c r="GT226" s="964"/>
      <c r="GU226" s="964"/>
      <c r="GV226" s="964"/>
      <c r="GW226" s="964"/>
      <c r="GX226" s="964"/>
      <c r="GY226" s="964"/>
      <c r="GZ226" s="964"/>
      <c r="HA226" s="964"/>
      <c r="HB226" s="964"/>
      <c r="HC226" s="964"/>
      <c r="HD226" s="964"/>
      <c r="HE226" s="964"/>
      <c r="HF226" s="964"/>
      <c r="HG226" s="964"/>
      <c r="HH226" s="964"/>
      <c r="HI226" s="964"/>
      <c r="HJ226" s="964"/>
      <c r="HK226" s="964"/>
      <c r="HL226" s="964"/>
      <c r="HM226" s="964"/>
      <c r="HN226" s="964"/>
      <c r="HO226" s="964"/>
      <c r="HP226" s="964"/>
      <c r="HQ226" s="964"/>
      <c r="HR226" s="964"/>
      <c r="HS226" s="964"/>
      <c r="HT226" s="964"/>
      <c r="HU226" s="964"/>
      <c r="HV226" s="964"/>
      <c r="HW226" s="964"/>
      <c r="HX226" s="964"/>
      <c r="HY226" s="964"/>
      <c r="HZ226" s="964"/>
      <c r="IA226" s="964"/>
      <c r="IB226" s="964"/>
      <c r="IC226" s="964"/>
      <c r="ID226" s="964"/>
      <c r="IE226" s="964"/>
      <c r="IF226" s="964"/>
      <c r="IG226" s="964"/>
      <c r="IH226" s="964"/>
      <c r="II226" s="964"/>
      <c r="IJ226" s="964"/>
      <c r="IK226" s="964"/>
      <c r="IL226" s="964"/>
      <c r="IM226" s="964"/>
      <c r="IN226" s="964"/>
      <c r="IO226" s="964"/>
      <c r="IP226" s="964"/>
      <c r="IQ226" s="964"/>
      <c r="IR226" s="964"/>
      <c r="IS226" s="964"/>
      <c r="IT226" s="964"/>
      <c r="IU226" s="964"/>
      <c r="IV226" s="964"/>
    </row>
    <row r="227" spans="1:256" s="407" customFormat="1" ht="12.75" x14ac:dyDescent="0.2">
      <c r="A227" s="451" t="s">
        <v>98</v>
      </c>
      <c r="C227" s="407">
        <f>(C225-B225)*100</f>
        <v>-2.8318489135884417</v>
      </c>
      <c r="D227" s="407">
        <f>(D225-C225)*100</f>
        <v>2.97436251005333</v>
      </c>
      <c r="E227" s="407">
        <f>(E225-D225)*100</f>
        <v>-2.1119928682550304</v>
      </c>
      <c r="F227" s="406"/>
      <c r="G227" s="407">
        <f>(G225-E225)*100</f>
        <v>1.2563047383683301</v>
      </c>
      <c r="H227" s="407">
        <f>(H225-G225)*100</f>
        <v>-1.5041042495932189</v>
      </c>
      <c r="I227" s="407">
        <f>(I225-H225)*100</f>
        <v>1.1086996265858962</v>
      </c>
      <c r="J227" s="407">
        <f>(J225-I225)*100</f>
        <v>0.8916956597911585</v>
      </c>
      <c r="K227" s="406"/>
      <c r="L227" s="407">
        <f>(L225-J225)*100</f>
        <v>3.4896531449608137</v>
      </c>
      <c r="M227" s="407">
        <f>(M225-L225)*100</f>
        <v>-4.3314366471398085</v>
      </c>
      <c r="N227" s="407">
        <f>(N225-M225)*100</f>
        <v>-2.296263106767471</v>
      </c>
      <c r="O227" s="407">
        <f>(O225-N225)*100</f>
        <v>3.0905805914633877</v>
      </c>
      <c r="P227" s="406"/>
      <c r="Q227" s="407">
        <f>(Q225-O225)*100</f>
        <v>-3.6363960970235087</v>
      </c>
      <c r="R227" s="407">
        <f>(R225-Q225)*100</f>
        <v>1.2066834611904387</v>
      </c>
      <c r="S227" s="407">
        <f>(S225-R225)*100</f>
        <v>-9.6280419240124537E-2</v>
      </c>
      <c r="T227" s="407">
        <f>(T225-S225)*100</f>
        <v>-0.80698615268531837</v>
      </c>
      <c r="U227" s="406"/>
      <c r="V227" s="407">
        <f>(V225-T225)*100</f>
        <v>2.709846692927409</v>
      </c>
      <c r="W227" s="407">
        <f>(W225-V225)*100</f>
        <v>-3.9264994868200231</v>
      </c>
      <c r="X227" s="407">
        <f>(X225-W225)*100</f>
        <v>3.2748477676402876</v>
      </c>
      <c r="Y227" s="407">
        <f>(Y225-X225)*100</f>
        <v>-3.3610142222302963</v>
      </c>
      <c r="Z227" s="406"/>
      <c r="AA227" s="407">
        <f>(AA225-Y225)*100</f>
        <v>2.3728231135812461</v>
      </c>
      <c r="AB227" s="407">
        <f>(AB225-AA225)*100</f>
        <v>-3.5166446092259274</v>
      </c>
      <c r="AC227" s="407">
        <f>(AC225-AB225)*100</f>
        <v>0.27562790218825794</v>
      </c>
      <c r="AD227" s="407">
        <f>(AD225-AC225)*100</f>
        <v>-1.1435101027380989</v>
      </c>
      <c r="AE227" s="406"/>
      <c r="AF227" s="407">
        <f>(AF225-AD225)*100</f>
        <v>3.1679704170440637</v>
      </c>
      <c r="AG227" s="407">
        <f>(AG225-AF225)*100</f>
        <v>-3.5317352662137647</v>
      </c>
      <c r="AH227" s="407">
        <f>(AH225-AG225)*100</f>
        <v>0.67022517460634257</v>
      </c>
      <c r="AI227" s="407">
        <f>(AI225-AH225)*100</f>
        <v>-0.51279503135516213</v>
      </c>
      <c r="AJ227" s="406"/>
      <c r="AK227" s="407">
        <f>(AK225-AI225)*100</f>
        <v>2.6345099820401785</v>
      </c>
      <c r="AL227" s="407">
        <f>(AL225-AK225)*100</f>
        <v>-3.1419229503135915</v>
      </c>
      <c r="AM227" s="407">
        <f>(AM225-AL225)*100</f>
        <v>-0.54635922013764882</v>
      </c>
      <c r="AN227" s="407">
        <f>(AN225-AM225)*100</f>
        <v>-1.8625243352121679E-2</v>
      </c>
      <c r="AO227" s="406"/>
      <c r="AP227" s="407">
        <f>(AP225-AN225)*100</f>
        <v>2.5546726784346663</v>
      </c>
      <c r="AQ227" s="407">
        <f>(AQ225-AP225)*100</f>
        <v>-3.1216998926759332</v>
      </c>
      <c r="AR227" s="407">
        <f>(AR225-AQ225)*100</f>
        <v>1.6776728879694502</v>
      </c>
      <c r="AS227" s="407">
        <f>(AS225-AR225)*100</f>
        <v>-1.2107820967759753</v>
      </c>
      <c r="AT227" s="406"/>
      <c r="AU227" s="407">
        <f>(AU225-AS225)*100</f>
        <v>6.0368915656564992</v>
      </c>
      <c r="AV227" s="407">
        <f>(AV225-AU225)*100</f>
        <v>-3.7124692326678033</v>
      </c>
      <c r="AW227" s="407">
        <f>(AW225-AV225)*100</f>
        <v>2.6205157643171217</v>
      </c>
      <c r="AX227" s="407">
        <f>(AX225-AW225)*100</f>
        <v>0.28518616893347115</v>
      </c>
      <c r="AY227" s="406"/>
      <c r="AZ227" s="407">
        <f>(AZ225-AX225)*100</f>
        <v>1.3120753176273703</v>
      </c>
      <c r="BC227" s="407">
        <f>(BC225-BB225)*100</f>
        <v>0.41302850812092728</v>
      </c>
      <c r="BD227" s="406"/>
      <c r="BE227" s="407">
        <f>(BE225-BC225)*100</f>
        <v>0.77134384244695875</v>
      </c>
      <c r="BF227" s="407">
        <f>(BF225-BE225)*100</f>
        <v>-8.90793489996401</v>
      </c>
      <c r="BG227" s="407">
        <f>(BG225-BF225)*100</f>
        <v>3.716383219026731</v>
      </c>
      <c r="BH227" s="407">
        <f>(BH225-BG225)*100</f>
        <v>1.9349047167149691</v>
      </c>
      <c r="BI227" s="406"/>
      <c r="BJ227" s="407">
        <f>(BJ225-BH225)*100</f>
        <v>-1.5006646896410625</v>
      </c>
      <c r="BK227" s="407">
        <f>(BK225-BJ225)*100</f>
        <v>-4.4018795275076688</v>
      </c>
      <c r="BL227" s="407">
        <f>(BL225-BK225)*100</f>
        <v>1.4668834890633531</v>
      </c>
      <c r="BM227" s="407">
        <f>(BM225-BL225)*100</f>
        <v>-1.7271718590177065</v>
      </c>
      <c r="BN227" s="406"/>
      <c r="BO227" s="407">
        <f>(BO225-BM225)*100</f>
        <v>2.1527614160929187</v>
      </c>
      <c r="BP227" s="407">
        <f>(BP225-BO225)*100</f>
        <v>-4.3923389796983958</v>
      </c>
      <c r="BQ227" s="407">
        <f>(BQ225-BP225)*100</f>
        <v>0.75160648865068014</v>
      </c>
      <c r="BR227" s="407">
        <f>(BR225-BQ225)*100</f>
        <v>1.245508498526382</v>
      </c>
      <c r="BS227" s="406"/>
      <c r="BT227" s="407">
        <f>(BT225-BR225)*100</f>
        <v>3.4181125075518404</v>
      </c>
      <c r="BU227" s="407">
        <f>(BU225-BT225)*100</f>
        <v>-3.4504158897624371</v>
      </c>
      <c r="BV227" s="407">
        <f>(BV225-BU225)*100</f>
        <v>-1.2132051163157853</v>
      </c>
      <c r="BW227" s="407">
        <f>(BW225-BV225)*100</f>
        <v>-0.28757605718365831</v>
      </c>
      <c r="BX227" s="406"/>
      <c r="BY227" s="407">
        <f>(BY225-BW225)*100</f>
        <v>-0.68769057483644147</v>
      </c>
      <c r="BZ227" s="407">
        <f>(BZ225-BY225)*100</f>
        <v>-3.0047152399696464</v>
      </c>
      <c r="CA227" s="407">
        <f>(CA225-BZ225)*100</f>
        <v>-1.8139797507441102</v>
      </c>
      <c r="CB227" s="407">
        <f>(CB225-CA225)*100</f>
        <v>1.5513250792350886</v>
      </c>
      <c r="CC227" s="406"/>
      <c r="CD227" s="407">
        <f>(CD225-CB225)*100</f>
        <v>3.1537244089399508</v>
      </c>
      <c r="CE227" s="407">
        <f>(CE225-CD225)*100</f>
        <v>-6.0333482421269125</v>
      </c>
      <c r="CF227" s="407">
        <f>(CF225-CE225)*100</f>
        <v>2.082927567983428</v>
      </c>
      <c r="CG227" s="407">
        <f>(CG225-CF225)*100</f>
        <v>-1.8169613072811841</v>
      </c>
      <c r="CH227" s="406"/>
      <c r="CI227" s="407">
        <f>(CI225-CG225)*100</f>
        <v>2.3928065933148335</v>
      </c>
      <c r="CJ227" s="407">
        <f>(CJ225-CI225)*100</f>
        <v>-4.3773607785104973</v>
      </c>
      <c r="CK227" s="407">
        <f>(CK225-CJ225)*100</f>
        <v>-1.5761376198974997</v>
      </c>
      <c r="CL227" s="407">
        <f>(CL225-CK225)*100</f>
        <v>3.4018834940994114</v>
      </c>
      <c r="CM227" s="406"/>
      <c r="CN227" s="407">
        <f>(CN225-CL225)*100</f>
        <v>2.9789323813093294</v>
      </c>
      <c r="CO227" s="407">
        <f>(CO225-CN225)*100</f>
        <v>-5.5179824851975257</v>
      </c>
      <c r="CP227" s="407">
        <f>(CP225-CO225)*100</f>
        <v>7.4203359381952438E-2</v>
      </c>
      <c r="CQ227" s="407">
        <f>(CQ225-CP225)*100</f>
        <v>0.98741622738974799</v>
      </c>
      <c r="CR227" s="406"/>
      <c r="CS227" s="407">
        <f>(CS225-CQ225)*100</f>
        <v>4.3143602281988542</v>
      </c>
      <c r="CT227" s="407">
        <f>(CT225-CS225)*100</f>
        <v>-5.2569258589511669</v>
      </c>
      <c r="CU227" s="407">
        <f>(CU225-CT225)*100</f>
        <v>-1.994573795506327</v>
      </c>
      <c r="CV227" s="407">
        <f>(CV225-CU225)*100</f>
        <v>-1.602505141705568</v>
      </c>
      <c r="CW227" s="406"/>
      <c r="CX227" s="407">
        <f>(CX225-CV225)*100</f>
        <v>12.782218898067343</v>
      </c>
      <c r="CY227" s="407">
        <f>(CY225-CX225)*100</f>
        <v>-5.4901527125666316</v>
      </c>
      <c r="CZ227" s="407">
        <f>(CZ225-CY225)*100</f>
        <v>-2.0399421455179589</v>
      </c>
      <c r="DA227" s="407">
        <f>(DA225-CZ225)*100</f>
        <v>1.1735046878042499</v>
      </c>
      <c r="DB227" s="406"/>
      <c r="DC227" s="407">
        <f>(DC225-DA225)*100</f>
        <v>1.2694484544350404</v>
      </c>
      <c r="DD227" s="407">
        <f>(DD225-DC225)*100</f>
        <v>-5.365681439556913</v>
      </c>
      <c r="DE227" s="407">
        <f>(DE225-DD225)*100</f>
        <v>-0.20998378037828669</v>
      </c>
      <c r="DF227" s="407">
        <f>(DF225-DE225)*100</f>
        <v>3.5390071375691501</v>
      </c>
      <c r="DG227" s="406"/>
      <c r="DH227" s="407">
        <f>(DH225-DF225)*100</f>
        <v>1.7210818795131755</v>
      </c>
      <c r="DI227" s="407">
        <f>(DI225-DH225)*100</f>
        <v>-5.4158520799262639</v>
      </c>
      <c r="DJ227" s="407">
        <f>(DJ225-DI225)*100</f>
        <v>-1.9376261039721232</v>
      </c>
      <c r="DK227" s="407">
        <f>(DK225-DJ225)*100</f>
        <v>3.8659083503526315</v>
      </c>
      <c r="DL227" s="406"/>
      <c r="DM227" s="407">
        <f>(DM225-DK225)*100</f>
        <v>1.8899904664027578</v>
      </c>
      <c r="DN227" s="407">
        <f>(DN225-DM225)*100</f>
        <v>-5.7861770805029078</v>
      </c>
      <c r="DO227" s="407">
        <f>(DO225-DN225)*100</f>
        <v>5.3538116940721858</v>
      </c>
      <c r="DP227" s="407">
        <f>(DP225-DO225)*100</f>
        <v>0.54236213221560137</v>
      </c>
      <c r="DQ227" s="406"/>
      <c r="DR227" s="407">
        <f>(DR225-DP225)*100</f>
        <v>1.3646868764281339</v>
      </c>
      <c r="DS227" s="407">
        <f>(DS225-DR225)*100</f>
        <v>-4.5984319871697599</v>
      </c>
      <c r="DT227" s="407">
        <f>(DT225-DS225)*100</f>
        <v>-0.22790782787689423</v>
      </c>
      <c r="DU227" s="407">
        <f>(DU225-DT225)*100</f>
        <v>-0.51592046356268018</v>
      </c>
      <c r="DV227" s="406"/>
      <c r="DW227" s="407">
        <f>(DW225-DU225)*100</f>
        <v>5.7748997064544501</v>
      </c>
      <c r="DX227" s="407">
        <f>(DX225-DW225)*100</f>
        <v>-8.6929387484354965</v>
      </c>
      <c r="DY227" s="407">
        <f>(DY225-DX225)*100</f>
        <v>0.48082822402779613</v>
      </c>
      <c r="DZ227" s="407">
        <f>(DZ225-DY225)*100</f>
        <v>1.9715744910390853</v>
      </c>
      <c r="EA227" s="406"/>
      <c r="EB227" s="407">
        <f>(EB225-DZ225)*100</f>
        <v>5.8018212938543146</v>
      </c>
      <c r="EC227" s="407">
        <f>(EC225-EB225)*100</f>
        <v>-4.7602110831126421</v>
      </c>
      <c r="ED227" s="407">
        <f>(ED225-EC225)*100</f>
        <v>-0.2948765204570658</v>
      </c>
      <c r="EE227" s="407">
        <f>(EE225-ED225)*100</f>
        <v>4.8021367422526939</v>
      </c>
      <c r="EF227" s="406"/>
      <c r="EG227" s="407">
        <f>(EG225-EE225)*100</f>
        <v>-4.3796073231411548</v>
      </c>
      <c r="EH227" s="407">
        <f>(EH225-EG225)*100</f>
        <v>-1.5013100554331915</v>
      </c>
      <c r="EI227" s="407">
        <f>(EI225-EH225)*100</f>
        <v>-1.1107709913114494</v>
      </c>
      <c r="EJ227" s="407">
        <f>(EJ225-EI225)*100</f>
        <v>1.925865108611946</v>
      </c>
      <c r="EK227" s="406"/>
      <c r="EL227" s="407">
        <f>(EL225-EJ225)*100</f>
        <v>1.1641907435567478</v>
      </c>
      <c r="EM227" s="407">
        <f>(EM225-EL225)*100</f>
        <v>-3.6698219144290944</v>
      </c>
      <c r="EN227" s="407">
        <f>(EN225-EM225)*100</f>
        <v>-0.45271908408005546</v>
      </c>
      <c r="EO227" s="407">
        <f>(EO225-EN225)*100</f>
        <v>1.7858671415320604</v>
      </c>
      <c r="EP227" s="406"/>
      <c r="EQ227" s="407">
        <f>(EQ225-EO225)*100</f>
        <v>1.0023066401366965</v>
      </c>
      <c r="ER227" s="407">
        <f>(ER225-EQ225)*100</f>
        <v>-2.9227958341678018</v>
      </c>
      <c r="ES227" s="407">
        <f>(ES225-ER225)*100</f>
        <v>2.4442739105309363</v>
      </c>
      <c r="ET227" s="407">
        <f>(ET225-ES225)*100</f>
        <v>0.70184810895665972</v>
      </c>
      <c r="EU227" s="1985"/>
      <c r="EZ227" s="794"/>
      <c r="FE227" s="794"/>
      <c r="FF227" s="794"/>
      <c r="FG227" s="655"/>
      <c r="FH227" s="1089">
        <f>AVERAGE(CI227,CN227,CS227,CX227,DC227,DH227,DM227,DR227,DW227,EB227,EG227,EL227,EQ227)</f>
        <v>2.9290105260408095</v>
      </c>
      <c r="FI227" s="1089">
        <f>AVERAGE(CJ227,CO227,CT227,CY227,DD227,DI227,DN227,DS227,DX227,EC227,EH227,EM227)</f>
        <v>-5.0360705186493409</v>
      </c>
      <c r="FJ227" s="1089">
        <f>AVERAGE(CK227,CP227,CU227,CZ227,DE227,DJ227,DO227,DT227,DY227,ED227,EI227,EN227)</f>
        <v>-0.32797454929297715</v>
      </c>
      <c r="FK227" s="1089">
        <f>AVERAGE(CL227,CQ227,CV227,DA227,DF227,DK227,DP227,DU227,DZ227,EE227,EJ227,EO227)</f>
        <v>1.8230916589665274</v>
      </c>
      <c r="FL227" s="1831"/>
      <c r="FM227" s="407">
        <f t="shared" si="819"/>
        <v>1.0023066401366965</v>
      </c>
      <c r="FN227" s="407">
        <f t="shared" si="820"/>
        <v>1.1641907435567478</v>
      </c>
      <c r="FO227" s="2064">
        <v>2.9007717934712796</v>
      </c>
      <c r="FR227" s="573"/>
      <c r="FS227" s="1427" t="s">
        <v>851</v>
      </c>
      <c r="FT227" s="573"/>
      <c r="FU227" s="573"/>
      <c r="FV227" s="573"/>
      <c r="FW227" s="573"/>
      <c r="FX227" s="573"/>
      <c r="FY227" s="573"/>
      <c r="FZ227" s="573"/>
      <c r="GA227" s="655"/>
      <c r="GB227"/>
      <c r="GC227"/>
      <c r="GD227"/>
      <c r="GE227"/>
      <c r="GF227"/>
      <c r="GG227"/>
      <c r="GH227" s="979"/>
      <c r="GI227" s="979"/>
      <c r="GJ227" s="979"/>
      <c r="GK227" s="979"/>
      <c r="GL227" s="979"/>
      <c r="GM227" s="979"/>
      <c r="GN227" s="979"/>
      <c r="GO227" s="979"/>
      <c r="GP227" s="979"/>
      <c r="GQ227" s="979"/>
      <c r="GR227" s="979"/>
      <c r="GS227" s="979"/>
      <c r="GT227" s="979"/>
      <c r="GU227" s="979"/>
      <c r="GV227" s="979"/>
      <c r="GW227" s="979"/>
      <c r="GX227" s="979"/>
      <c r="GY227" s="979"/>
      <c r="GZ227" s="979"/>
      <c r="HA227" s="979"/>
      <c r="HB227" s="979"/>
      <c r="HC227" s="979"/>
      <c r="HD227" s="979"/>
      <c r="HE227" s="979"/>
      <c r="HF227" s="979"/>
      <c r="HG227" s="979"/>
      <c r="HH227" s="979"/>
      <c r="HI227" s="979"/>
      <c r="HJ227" s="979"/>
      <c r="HK227" s="979"/>
      <c r="HL227" s="979"/>
      <c r="HM227" s="979"/>
      <c r="HN227" s="979"/>
      <c r="HO227" s="979"/>
      <c r="HP227" s="979"/>
      <c r="HQ227" s="979"/>
      <c r="HR227" s="979"/>
      <c r="HS227" s="979"/>
      <c r="HT227" s="979"/>
      <c r="HU227" s="979"/>
      <c r="HV227" s="979"/>
      <c r="HW227" s="979"/>
      <c r="HX227" s="979"/>
      <c r="HY227" s="979"/>
      <c r="HZ227" s="979"/>
      <c r="IA227" s="979"/>
      <c r="IB227" s="979"/>
      <c r="IC227" s="979"/>
      <c r="ID227" s="979"/>
      <c r="IE227" s="979"/>
      <c r="IF227" s="979"/>
      <c r="IG227" s="979"/>
      <c r="IH227" s="979"/>
      <c r="II227" s="979"/>
      <c r="IJ227" s="979"/>
      <c r="IK227" s="979"/>
      <c r="IL227" s="979"/>
      <c r="IM227" s="979"/>
      <c r="IN227" s="979"/>
      <c r="IO227" s="979"/>
      <c r="IP227" s="979"/>
      <c r="IQ227" s="979"/>
      <c r="IR227" s="979"/>
      <c r="IS227" s="979"/>
      <c r="IT227" s="979"/>
      <c r="IU227" s="979"/>
      <c r="IV227" s="979"/>
    </row>
    <row r="228" spans="1:256" s="413" customFormat="1" ht="12.75" x14ac:dyDescent="0.2">
      <c r="A228" s="478" t="s">
        <v>290</v>
      </c>
      <c r="B228" s="410"/>
      <c r="C228" s="410"/>
      <c r="D228" s="410"/>
      <c r="E228" s="410"/>
      <c r="F228" s="411"/>
      <c r="G228" s="412">
        <f t="shared" ref="G228:BR228" si="861">(G234-B234)/(G221-B221)</f>
        <v>0.43225806451612414</v>
      </c>
      <c r="H228" s="412">
        <f t="shared" si="861"/>
        <v>-0.46428571428569931</v>
      </c>
      <c r="I228" s="412">
        <f t="shared" si="861"/>
        <v>0.56119402985074829</v>
      </c>
      <c r="J228" s="412">
        <f t="shared" si="861"/>
        <v>-0.62631578947367927</v>
      </c>
      <c r="K228" s="411">
        <f t="shared" si="861"/>
        <v>0.17845484221980407</v>
      </c>
      <c r="L228" s="412">
        <f t="shared" si="861"/>
        <v>0.78753993610223505</v>
      </c>
      <c r="M228" s="412">
        <f t="shared" si="861"/>
        <v>0.42245989304812548</v>
      </c>
      <c r="N228" s="412">
        <f t="shared" si="861"/>
        <v>4.3725490196078152</v>
      </c>
      <c r="O228" s="412">
        <f t="shared" si="861"/>
        <v>0.19125683060109838</v>
      </c>
      <c r="P228" s="411">
        <f t="shared" si="861"/>
        <v>0.41091736163760462</v>
      </c>
      <c r="Q228" s="412">
        <f t="shared" si="861"/>
        <v>2.6029411764705865</v>
      </c>
      <c r="R228" s="412">
        <f t="shared" si="861"/>
        <v>0.7111111111111047</v>
      </c>
      <c r="S228" s="412">
        <f t="shared" si="861"/>
        <v>-0.36363636363635304</v>
      </c>
      <c r="T228" s="412">
        <f t="shared" si="861"/>
        <v>0.79783393501805</v>
      </c>
      <c r="U228" s="411">
        <f t="shared" si="861"/>
        <v>1.0919446704637932</v>
      </c>
      <c r="V228" s="412">
        <f t="shared" si="861"/>
        <v>-2.4660194174756986</v>
      </c>
      <c r="W228" s="412">
        <f t="shared" si="861"/>
        <v>1.1012658227848138</v>
      </c>
      <c r="X228" s="412">
        <f t="shared" si="861"/>
        <v>0.55494505494505619</v>
      </c>
      <c r="Y228" s="412">
        <f t="shared" si="861"/>
        <v>-0.17770034843205229</v>
      </c>
      <c r="Z228" s="411">
        <f t="shared" si="861"/>
        <v>0.46302250803859735</v>
      </c>
      <c r="AA228" s="412">
        <f t="shared" si="861"/>
        <v>1.3834586466165357</v>
      </c>
      <c r="AB228" s="412">
        <f t="shared" si="861"/>
        <v>0.61560693641618203</v>
      </c>
      <c r="AC228" s="412">
        <f t="shared" si="861"/>
        <v>0.89918699186992002</v>
      </c>
      <c r="AD228" s="412">
        <f t="shared" si="861"/>
        <v>0.58280254777069962</v>
      </c>
      <c r="AE228" s="411">
        <f t="shared" si="861"/>
        <v>0.76422764227642426</v>
      </c>
      <c r="AF228" s="412">
        <f t="shared" si="861"/>
        <v>0.45166959578207277</v>
      </c>
      <c r="AG228" s="412">
        <f t="shared" si="861"/>
        <v>0.94623655913978533</v>
      </c>
      <c r="AH228" s="412">
        <f t="shared" si="861"/>
        <v>0.68316831683167933</v>
      </c>
      <c r="AI228" s="412">
        <f t="shared" si="861"/>
        <v>-0.74999999999990052</v>
      </c>
      <c r="AJ228" s="411">
        <f t="shared" si="861"/>
        <v>0.62540021344717212</v>
      </c>
      <c r="AK228" s="412">
        <f t="shared" si="861"/>
        <v>0.67999999999999661</v>
      </c>
      <c r="AL228" s="412">
        <f t="shared" si="861"/>
        <v>0.4537037037037035</v>
      </c>
      <c r="AM228" s="412">
        <f t="shared" si="861"/>
        <v>0.94190871369294682</v>
      </c>
      <c r="AN228" s="412">
        <f t="shared" si="861"/>
        <v>0.68613138686131825</v>
      </c>
      <c r="AO228" s="411">
        <f t="shared" si="861"/>
        <v>0.69757174392934695</v>
      </c>
      <c r="AP228" s="412">
        <f t="shared" si="861"/>
        <v>0.66894197952218737</v>
      </c>
      <c r="AQ228" s="412">
        <f t="shared" si="861"/>
        <v>0.7083333333333337</v>
      </c>
      <c r="AR228" s="412">
        <f t="shared" si="861"/>
        <v>-0.11428571428571591</v>
      </c>
      <c r="AS228" s="412">
        <f t="shared" si="861"/>
        <v>0.32558139534883768</v>
      </c>
      <c r="AT228" s="411">
        <f t="shared" si="861"/>
        <v>0.3983402489626639</v>
      </c>
      <c r="AU228" s="412">
        <f t="shared" si="861"/>
        <v>-1.5073891625615865</v>
      </c>
      <c r="AV228" s="412">
        <f t="shared" si="861"/>
        <v>-1.9333333333333351</v>
      </c>
      <c r="AW228" s="412">
        <f t="shared" si="861"/>
        <v>783.00000000070941</v>
      </c>
      <c r="AX228" s="412">
        <f t="shared" si="861"/>
        <v>1.8886255924170618</v>
      </c>
      <c r="AY228" s="411">
        <f t="shared" si="861"/>
        <v>15960.999999651573</v>
      </c>
      <c r="AZ228" s="412">
        <f t="shared" si="861"/>
        <v>0.37950138504154718</v>
      </c>
      <c r="BA228" s="412">
        <f t="shared" si="861"/>
        <v>-0.85185185185185042</v>
      </c>
      <c r="BB228" s="412">
        <f t="shared" si="861"/>
        <v>-0.247677196708256</v>
      </c>
      <c r="BC228" s="412">
        <f t="shared" si="861"/>
        <v>-0.25519234242369504</v>
      </c>
      <c r="BD228" s="411">
        <f t="shared" si="861"/>
        <v>-0.34485241180705684</v>
      </c>
      <c r="BE228" s="412">
        <f t="shared" si="861"/>
        <v>-0.22645458350774395</v>
      </c>
      <c r="BF228" s="412">
        <f t="shared" si="861"/>
        <v>0.20160682902334914</v>
      </c>
      <c r="BG228" s="412">
        <f t="shared" si="861"/>
        <v>1.859352621025492</v>
      </c>
      <c r="BH228" s="412">
        <f t="shared" si="861"/>
        <v>0.81060606060606044</v>
      </c>
      <c r="BI228" s="411">
        <f t="shared" si="861"/>
        <v>8.2806777269379198E-2</v>
      </c>
      <c r="BJ228" s="412">
        <f t="shared" si="861"/>
        <v>2.375</v>
      </c>
      <c r="BK228" s="412" t="s">
        <v>450</v>
      </c>
      <c r="BL228" s="412">
        <f t="shared" si="861"/>
        <v>-1.2592592592592593</v>
      </c>
      <c r="BM228" s="412">
        <f t="shared" si="861"/>
        <v>15.833333333333334</v>
      </c>
      <c r="BN228" s="411">
        <f t="shared" si="861"/>
        <v>19</v>
      </c>
      <c r="BO228" s="412">
        <f t="shared" si="861"/>
        <v>-0.76190476190476186</v>
      </c>
      <c r="BP228" s="412">
        <f t="shared" si="861"/>
        <v>40</v>
      </c>
      <c r="BQ228" s="412">
        <f t="shared" si="861"/>
        <v>0.73333333333333328</v>
      </c>
      <c r="BR228" s="412">
        <f t="shared" si="861"/>
        <v>0.25490196078431371</v>
      </c>
      <c r="BS228" s="411">
        <f t="shared" ref="BS228:DY228" si="862">(BS234-BN234)/(BS221-BN221)</f>
        <v>1.51</v>
      </c>
      <c r="BT228" s="412">
        <f t="shared" si="862"/>
        <v>-9.5238095238095233E-2</v>
      </c>
      <c r="BU228" s="412">
        <f t="shared" si="862"/>
        <v>-0.6</v>
      </c>
      <c r="BV228" s="412"/>
      <c r="BW228" s="412">
        <f t="shared" si="862"/>
        <v>0.45263157894736844</v>
      </c>
      <c r="BX228" s="411">
        <f t="shared" si="862"/>
        <v>6.5656565656565663E-2</v>
      </c>
      <c r="BY228" s="412">
        <f t="shared" si="862"/>
        <v>0.87121212121212122</v>
      </c>
      <c r="BZ228" s="412">
        <f t="shared" si="862"/>
        <v>0.7055555555555556</v>
      </c>
      <c r="CA228" s="412">
        <f t="shared" si="862"/>
        <v>0.61003861003861004</v>
      </c>
      <c r="CB228" s="412">
        <f t="shared" si="862"/>
        <v>0.47985347985347987</v>
      </c>
      <c r="CC228" s="411">
        <f t="shared" si="862"/>
        <v>0.62914691943127965</v>
      </c>
      <c r="CD228" s="412">
        <f t="shared" si="862"/>
        <v>0.21268656716417911</v>
      </c>
      <c r="CE228" s="412">
        <f t="shared" si="862"/>
        <v>0.46503496503496505</v>
      </c>
      <c r="CF228" s="412">
        <f t="shared" si="862"/>
        <v>0.19798657718120805</v>
      </c>
      <c r="CG228" s="412">
        <f t="shared" si="862"/>
        <v>0.42857142857142855</v>
      </c>
      <c r="CH228" s="411">
        <f t="shared" si="862"/>
        <v>0.32844827586206898</v>
      </c>
      <c r="CI228" s="412">
        <f t="shared" si="862"/>
        <v>0.43274853801169588</v>
      </c>
      <c r="CJ228" s="412">
        <f t="shared" si="862"/>
        <v>0.4061433447098976</v>
      </c>
      <c r="CK228" s="412">
        <f t="shared" si="862"/>
        <v>0.7857142857142857</v>
      </c>
      <c r="CL228" s="412">
        <f t="shared" si="862"/>
        <v>0.32258064516129031</v>
      </c>
      <c r="CM228" s="411">
        <f t="shared" si="862"/>
        <v>0.50695187165775402</v>
      </c>
      <c r="CN228" s="412">
        <f t="shared" si="862"/>
        <v>0.4107142857142857</v>
      </c>
      <c r="CO228" s="412">
        <f t="shared" si="862"/>
        <v>-0.9285714285714286</v>
      </c>
      <c r="CP228" s="412">
        <f t="shared" si="862"/>
        <v>0.85</v>
      </c>
      <c r="CQ228" s="412">
        <f t="shared" si="862"/>
        <v>0.53333333333333333</v>
      </c>
      <c r="CR228" s="411">
        <f t="shared" si="862"/>
        <v>1.1200000000000001</v>
      </c>
      <c r="CS228" s="412">
        <f t="shared" si="862"/>
        <v>0.24901185770750989</v>
      </c>
      <c r="CT228" s="412">
        <f t="shared" si="862"/>
        <v>0.28165374677002586</v>
      </c>
      <c r="CU228" s="412">
        <f t="shared" si="862"/>
        <v>0.39371534195933455</v>
      </c>
      <c r="CV228" s="412">
        <f t="shared" si="862"/>
        <v>2.6458333333333335</v>
      </c>
      <c r="CW228" s="411">
        <f t="shared" si="862"/>
        <v>0.41659886086248982</v>
      </c>
      <c r="CX228" s="412">
        <f t="shared" si="862"/>
        <v>0.3734290843806104</v>
      </c>
      <c r="CY228" s="412">
        <f t="shared" si="862"/>
        <v>0.36453744493392071</v>
      </c>
      <c r="CZ228" s="412">
        <f t="shared" si="862"/>
        <v>0.39951865222623345</v>
      </c>
      <c r="DA228" s="412">
        <f t="shared" si="862"/>
        <v>0.66666666666666663</v>
      </c>
      <c r="DB228" s="411">
        <f t="shared" si="862"/>
        <v>0.42161961367013373</v>
      </c>
      <c r="DC228" s="412">
        <f t="shared" si="862"/>
        <v>0.58305084745762714</v>
      </c>
      <c r="DD228" s="412">
        <f t="shared" si="862"/>
        <v>0.46247818499127402</v>
      </c>
      <c r="DE228" s="412">
        <f t="shared" si="862"/>
        <v>0.4681933842239186</v>
      </c>
      <c r="DF228" s="412">
        <f t="shared" si="862"/>
        <v>0.3248754472184866</v>
      </c>
      <c r="DG228" s="411">
        <f t="shared" si="862"/>
        <v>0.46149431446398687</v>
      </c>
      <c r="DH228" s="412">
        <f t="shared" si="862"/>
        <v>0.26963350785340312</v>
      </c>
      <c r="DI228" s="412">
        <f t="shared" si="862"/>
        <v>0.3256880733944954</v>
      </c>
      <c r="DJ228" s="412">
        <f t="shared" si="862"/>
        <v>0.44341801385681295</v>
      </c>
      <c r="DK228" s="412">
        <f t="shared" si="862"/>
        <v>0.39031437742965286</v>
      </c>
      <c r="DL228" s="411">
        <f t="shared" si="862"/>
        <v>0.3593485809599829</v>
      </c>
      <c r="DM228" s="412">
        <f t="shared" si="862"/>
        <v>0.51479289940828399</v>
      </c>
      <c r="DN228" s="412">
        <f>(DN234-DI234)/(DN221-DI221)</f>
        <v>7.375</v>
      </c>
      <c r="DO228" s="412">
        <f t="shared" si="862"/>
        <v>1.0561224489795917</v>
      </c>
      <c r="DP228" s="412">
        <f t="shared" si="862"/>
        <v>0.76106194690265483</v>
      </c>
      <c r="DQ228" s="411">
        <f t="shared" si="862"/>
        <v>1.1136363636363635</v>
      </c>
      <c r="DR228" s="412">
        <f t="shared" si="862"/>
        <v>1.0588235294117647</v>
      </c>
      <c r="DS228" s="412">
        <f t="shared" si="862"/>
        <v>1.3611111111111112</v>
      </c>
      <c r="DT228" s="412">
        <f t="shared" si="862"/>
        <v>0.9007633587786259</v>
      </c>
      <c r="DU228" s="412">
        <f t="shared" si="862"/>
        <v>0.84771573604060912</v>
      </c>
      <c r="DV228" s="411">
        <f t="shared" si="862"/>
        <v>0.64878048780487807</v>
      </c>
      <c r="DW228" s="412">
        <f t="shared" si="862"/>
        <v>0.48979591836734693</v>
      </c>
      <c r="DX228" s="412">
        <f t="shared" si="862"/>
        <v>0.76249999999999996</v>
      </c>
      <c r="DY228" s="412">
        <f t="shared" si="862"/>
        <v>0.74924623115577849</v>
      </c>
      <c r="DZ228" s="412">
        <f>(DZ234-DU234)/(DZ221-DU221)</f>
        <v>-0.90909090909090906</v>
      </c>
      <c r="EA228" s="411">
        <f>(EA234-DV234)/(EA221-DV221)</f>
        <v>0.83931398416886638</v>
      </c>
      <c r="EB228" s="412">
        <f>(EB234-DW234)/(EB221-DW221)</f>
        <v>0.5</v>
      </c>
      <c r="EC228" s="412">
        <f t="shared" ref="EC228:EI228" si="863">(EC234-DX234)/(EC221-DX221)</f>
        <v>0.62310030395136773</v>
      </c>
      <c r="ED228" s="412">
        <f t="shared" si="863"/>
        <v>0.56806451612903197</v>
      </c>
      <c r="EE228" s="412">
        <f t="shared" si="863"/>
        <v>0.70738636363636365</v>
      </c>
      <c r="EF228" s="411">
        <f t="shared" si="863"/>
        <v>0.62093441150044959</v>
      </c>
      <c r="EG228" s="412">
        <f>(EG234-EB234)/(EG221-EB221)</f>
        <v>-0.79591836734693877</v>
      </c>
      <c r="EH228" s="412">
        <f t="shared" si="863"/>
        <v>0.16988416988416988</v>
      </c>
      <c r="EI228" s="412">
        <f t="shared" si="863"/>
        <v>1.0582010582010581E-2</v>
      </c>
      <c r="EJ228" s="412">
        <f t="shared" ref="EJ228:EK228" si="864">(EJ234-EE234)/(EJ221-EE221)</f>
        <v>-4.25</v>
      </c>
      <c r="EK228" s="411">
        <f t="shared" si="864"/>
        <v>-0.30497592295345105</v>
      </c>
      <c r="EL228" s="412">
        <f>(EL234-EG234)/(EL221-EG221)</f>
        <v>0.21935483870967742</v>
      </c>
      <c r="EM228" s="412">
        <f t="shared" ref="EM228:EN228" si="865">(EM234-EH234)/(EM221-EH221)</f>
        <v>0.55737704918032782</v>
      </c>
      <c r="EN228" s="412">
        <f t="shared" si="865"/>
        <v>0.51369863013698636</v>
      </c>
      <c r="EO228" s="412">
        <f t="shared" ref="EO228" si="866">(EO234-EJ234)/(EO221-EJ221)</f>
        <v>0.48044692737430167</v>
      </c>
      <c r="EP228" s="411">
        <f t="shared" ref="EP228" si="867">(EP234-EK234)/(EP221-EK221)</f>
        <v>0.44796380090497739</v>
      </c>
      <c r="EQ228" s="412">
        <f>(EQ234-EL234)/(EQ221-EL221)</f>
        <v>0.54929577464788737</v>
      </c>
      <c r="ER228" s="2089">
        <f t="shared" ref="ER228" si="868">(ER234-EM234)/(ER221-EM221)</f>
        <v>0.41902166896393112</v>
      </c>
      <c r="ES228" s="2089">
        <f t="shared" ref="ES228:EU228" si="869">(ES234-EN234)/(ES221-EN221)</f>
        <v>-2.4850334341430101E-2</v>
      </c>
      <c r="ET228" s="2089">
        <f t="shared" si="869"/>
        <v>5.9403281885030426E-2</v>
      </c>
      <c r="EU228" s="1986">
        <f t="shared" si="869"/>
        <v>0.24777877607768975</v>
      </c>
      <c r="EV228" s="410"/>
      <c r="EW228" s="410"/>
      <c r="EX228" s="410"/>
      <c r="EY228" s="410"/>
      <c r="EZ228" s="869">
        <f>(EZ234-EU234)/(EZ221-EU221)</f>
        <v>0.373255142426905</v>
      </c>
      <c r="FA228" s="410"/>
      <c r="FB228" s="410"/>
      <c r="FC228" s="410"/>
      <c r="FD228" s="410"/>
      <c r="FE228" s="869">
        <f>(FE234-EZ234)/(FE221-EZ221)</f>
        <v>0.42833404127561414</v>
      </c>
      <c r="FF228" s="795"/>
      <c r="FG228" s="655"/>
      <c r="FH228" s="1074"/>
      <c r="FI228" s="1074"/>
      <c r="FJ228" s="1074"/>
      <c r="FK228" s="1074"/>
      <c r="FL228" s="1832"/>
      <c r="FM228" s="412">
        <f t="shared" si="819"/>
        <v>0.54929577464788737</v>
      </c>
      <c r="FN228" s="412">
        <f t="shared" si="820"/>
        <v>0.21935483870967742</v>
      </c>
      <c r="FO228" s="412">
        <v>0.13684513482456923</v>
      </c>
      <c r="FP228" s="1893">
        <f>IFERROR(($FM228-FN228)*10000,"")</f>
        <v>3299.4093593820994</v>
      </c>
      <c r="FQ228" s="1893">
        <f>IFERROR(($FM228-FO228)*10000,"")</f>
        <v>4124.5063982331812</v>
      </c>
      <c r="FR228" s="1427"/>
      <c r="FS228" s="1427" t="s">
        <v>835</v>
      </c>
      <c r="FT228" s="588"/>
      <c r="FU228" s="588"/>
      <c r="FV228" s="588"/>
      <c r="FW228" s="588"/>
      <c r="FX228" s="588"/>
      <c r="FY228" s="588"/>
      <c r="FZ228" s="588"/>
      <c r="GA228" s="655"/>
      <c r="GB228"/>
      <c r="GC228"/>
      <c r="GD228"/>
      <c r="GE228"/>
      <c r="GF228"/>
      <c r="GG228"/>
      <c r="GH228" s="980"/>
      <c r="GI228" s="980"/>
      <c r="GJ228" s="980"/>
      <c r="GK228" s="980"/>
      <c r="GL228" s="980"/>
      <c r="GM228" s="980"/>
      <c r="GN228" s="980"/>
      <c r="GO228" s="980"/>
      <c r="GP228" s="980"/>
      <c r="GQ228" s="980"/>
      <c r="GR228" s="980"/>
      <c r="GS228" s="980"/>
      <c r="GT228" s="980"/>
      <c r="GU228" s="980"/>
      <c r="GV228" s="980"/>
      <c r="GW228" s="980"/>
      <c r="GX228" s="980"/>
      <c r="GY228" s="980"/>
      <c r="GZ228" s="980"/>
      <c r="HA228" s="980"/>
      <c r="HB228" s="980"/>
      <c r="HC228" s="980"/>
      <c r="HD228" s="980"/>
      <c r="HE228" s="980"/>
      <c r="HF228" s="980"/>
      <c r="HG228" s="980"/>
      <c r="HH228" s="980"/>
      <c r="HI228" s="980"/>
      <c r="HJ228" s="980"/>
      <c r="HK228" s="980"/>
      <c r="HL228" s="980"/>
      <c r="HM228" s="980"/>
      <c r="HN228" s="980"/>
      <c r="HO228" s="980"/>
      <c r="HP228" s="980"/>
      <c r="HQ228" s="980"/>
      <c r="HR228" s="980"/>
      <c r="HS228" s="980"/>
      <c r="HT228" s="980"/>
      <c r="HU228" s="980"/>
      <c r="HV228" s="980"/>
      <c r="HW228" s="980"/>
      <c r="HX228" s="980"/>
      <c r="HY228" s="980"/>
      <c r="HZ228" s="980"/>
      <c r="IA228" s="980"/>
      <c r="IB228" s="980"/>
      <c r="IC228" s="980"/>
      <c r="ID228" s="980"/>
      <c r="IE228" s="980"/>
      <c r="IF228" s="980"/>
      <c r="IG228" s="980"/>
      <c r="IH228" s="980"/>
      <c r="II228" s="980"/>
      <c r="IJ228" s="980"/>
      <c r="IK228" s="980"/>
      <c r="IL228" s="980"/>
      <c r="IM228" s="980"/>
      <c r="IN228" s="980"/>
      <c r="IO228" s="980"/>
      <c r="IP228" s="980"/>
      <c r="IQ228" s="980"/>
      <c r="IR228" s="980"/>
      <c r="IS228" s="980"/>
      <c r="IT228" s="980"/>
      <c r="IU228" s="980"/>
      <c r="IV228" s="980"/>
    </row>
    <row r="229" spans="1:256" s="244" customFormat="1" ht="12.75" x14ac:dyDescent="0.2">
      <c r="A229" s="914" t="s">
        <v>252</v>
      </c>
      <c r="B229" s="915"/>
      <c r="C229" s="915"/>
      <c r="D229" s="915"/>
      <c r="E229" s="916"/>
      <c r="F229" s="917"/>
      <c r="G229" s="915"/>
      <c r="H229" s="915"/>
      <c r="I229" s="915"/>
      <c r="J229" s="916"/>
      <c r="K229" s="917"/>
      <c r="L229" s="915"/>
      <c r="M229" s="915"/>
      <c r="N229" s="915"/>
      <c r="O229" s="916"/>
      <c r="P229" s="917"/>
      <c r="Q229" s="915"/>
      <c r="R229" s="915"/>
      <c r="S229" s="915"/>
      <c r="T229" s="916"/>
      <c r="U229" s="917"/>
      <c r="V229" s="915"/>
      <c r="W229" s="915"/>
      <c r="X229" s="915"/>
      <c r="Y229" s="916"/>
      <c r="Z229" s="917"/>
      <c r="AA229" s="915"/>
      <c r="AB229" s="915"/>
      <c r="AC229" s="915"/>
      <c r="AD229" s="916"/>
      <c r="AE229" s="917"/>
      <c r="AF229" s="915"/>
      <c r="AG229" s="915"/>
      <c r="AH229" s="915"/>
      <c r="AI229" s="916"/>
      <c r="AJ229" s="917"/>
      <c r="AK229" s="915"/>
      <c r="AL229" s="915"/>
      <c r="AM229" s="915"/>
      <c r="AN229" s="916"/>
      <c r="AO229" s="917"/>
      <c r="AP229" s="915"/>
      <c r="AQ229" s="915"/>
      <c r="AR229" s="915"/>
      <c r="AS229" s="916"/>
      <c r="AT229" s="917"/>
      <c r="AU229" s="915"/>
      <c r="AV229" s="915"/>
      <c r="AW229" s="915"/>
      <c r="AX229" s="916"/>
      <c r="AY229" s="917"/>
      <c r="AZ229" s="915"/>
      <c r="BA229" s="915"/>
      <c r="BB229" s="915"/>
      <c r="BC229" s="916"/>
      <c r="BD229" s="917"/>
      <c r="BE229" s="915"/>
      <c r="BF229" s="915"/>
      <c r="BG229" s="915"/>
      <c r="BH229" s="916"/>
      <c r="BI229" s="917"/>
      <c r="BJ229" s="915"/>
      <c r="BK229" s="915"/>
      <c r="BL229" s="915"/>
      <c r="BM229" s="916"/>
      <c r="BN229" s="917"/>
      <c r="BO229" s="915"/>
      <c r="BP229" s="915"/>
      <c r="BQ229" s="915"/>
      <c r="BR229" s="916"/>
      <c r="BS229" s="917"/>
      <c r="BT229" s="915"/>
      <c r="BU229" s="915"/>
      <c r="BV229" s="915"/>
      <c r="BW229" s="916"/>
      <c r="BX229" s="917"/>
      <c r="BY229" s="915"/>
      <c r="BZ229" s="915"/>
      <c r="CA229" s="915"/>
      <c r="CB229" s="916"/>
      <c r="CC229" s="917"/>
      <c r="CD229" s="915"/>
      <c r="CE229" s="915"/>
      <c r="CF229" s="915"/>
      <c r="CG229" s="916"/>
      <c r="CH229" s="917"/>
      <c r="CI229" s="915">
        <f t="shared" ref="CI229:DN229" si="870">1-((CI234-CI116)/CI135)</f>
        <v>0.76074685193226221</v>
      </c>
      <c r="CJ229" s="915">
        <f t="shared" si="870"/>
        <v>0.71697324414715724</v>
      </c>
      <c r="CK229" s="915">
        <f t="shared" si="870"/>
        <v>0.70121186794818224</v>
      </c>
      <c r="CL229" s="916">
        <f t="shared" si="870"/>
        <v>0.73523070288917636</v>
      </c>
      <c r="CM229" s="917">
        <f t="shared" si="870"/>
        <v>0.72818114170298709</v>
      </c>
      <c r="CN229" s="915">
        <f t="shared" si="870"/>
        <v>0.7749872857261233</v>
      </c>
      <c r="CO229" s="915">
        <f t="shared" si="870"/>
        <v>0.72065440019986515</v>
      </c>
      <c r="CP229" s="915">
        <f t="shared" si="870"/>
        <v>0.7026762941152126</v>
      </c>
      <c r="CQ229" s="916">
        <f t="shared" si="870"/>
        <v>0.6991025974804016</v>
      </c>
      <c r="CR229" s="917">
        <f t="shared" si="870"/>
        <v>0.72350590425910499</v>
      </c>
      <c r="CS229" s="915">
        <f t="shared" si="870"/>
        <v>0.76825850241089466</v>
      </c>
      <c r="CT229" s="915">
        <f t="shared" si="870"/>
        <v>0.71773362116295203</v>
      </c>
      <c r="CU229" s="915">
        <f t="shared" si="870"/>
        <v>0.7392781717651109</v>
      </c>
      <c r="CV229" s="916">
        <f t="shared" si="870"/>
        <v>0.75576898481215027</v>
      </c>
      <c r="CW229" s="917">
        <f t="shared" si="870"/>
        <v>0.74435650948607357</v>
      </c>
      <c r="CX229" s="915">
        <f t="shared" si="870"/>
        <v>0.81289963973237256</v>
      </c>
      <c r="CY229" s="915">
        <f t="shared" si="870"/>
        <v>0.74254496499730749</v>
      </c>
      <c r="CZ229" s="915">
        <f t="shared" si="870"/>
        <v>0.65226078526417841</v>
      </c>
      <c r="DA229" s="915">
        <f t="shared" si="870"/>
        <v>0.64577397910731238</v>
      </c>
      <c r="DB229" s="917">
        <f t="shared" si="870"/>
        <v>0.71075216463797219</v>
      </c>
      <c r="DC229" s="915">
        <f t="shared" si="870"/>
        <v>0.73860589812332433</v>
      </c>
      <c r="DD229" s="915">
        <f t="shared" si="870"/>
        <v>0.71152263374485591</v>
      </c>
      <c r="DE229" s="915">
        <f t="shared" si="870"/>
        <v>0.70155659609120524</v>
      </c>
      <c r="DF229" s="915">
        <f t="shared" si="870"/>
        <v>0.72509739124503492</v>
      </c>
      <c r="DG229" s="917">
        <f t="shared" si="870"/>
        <v>0.71873215138629754</v>
      </c>
      <c r="DH229" s="915">
        <f t="shared" si="870"/>
        <v>0.73174580152671753</v>
      </c>
      <c r="DI229" s="915">
        <f t="shared" si="870"/>
        <v>0.69748778785764132</v>
      </c>
      <c r="DJ229" s="915">
        <f t="shared" si="870"/>
        <v>0.6936656282450675</v>
      </c>
      <c r="DK229" s="915">
        <f t="shared" si="870"/>
        <v>0.71576689309974972</v>
      </c>
      <c r="DL229" s="917">
        <f t="shared" si="870"/>
        <v>0.70910973863229509</v>
      </c>
      <c r="DM229" s="915">
        <f t="shared" si="870"/>
        <v>0.75152384367156688</v>
      </c>
      <c r="DN229" s="915">
        <f t="shared" si="870"/>
        <v>0.68390327070285317</v>
      </c>
      <c r="DO229" s="915">
        <f t="shared" ref="DO229:EU229" si="871">1-((DO234-DO116)/DO135)</f>
        <v>0.7040475306349796</v>
      </c>
      <c r="DP229" s="915">
        <f t="shared" si="871"/>
        <v>0.74254843517138602</v>
      </c>
      <c r="DQ229" s="917">
        <f t="shared" si="871"/>
        <v>0.72015742753623191</v>
      </c>
      <c r="DR229" s="915">
        <f t="shared" si="871"/>
        <v>0.72315558802045288</v>
      </c>
      <c r="DS229" s="915">
        <f t="shared" si="871"/>
        <v>0.68022840827980013</v>
      </c>
      <c r="DT229" s="915">
        <f t="shared" si="871"/>
        <v>0.70786118980169976</v>
      </c>
      <c r="DU229" s="915">
        <f t="shared" si="871"/>
        <v>0.70912877473099623</v>
      </c>
      <c r="DV229" s="917">
        <f t="shared" si="871"/>
        <v>0.70502445531347258</v>
      </c>
      <c r="DW229" s="915">
        <f t="shared" si="871"/>
        <v>0.75864633692822614</v>
      </c>
      <c r="DX229" s="915">
        <f t="shared" si="871"/>
        <v>0.6765285996055227</v>
      </c>
      <c r="DY229" s="915">
        <f t="shared" si="871"/>
        <v>0.68653655309295403</v>
      </c>
      <c r="DZ229" s="915">
        <f t="shared" si="871"/>
        <v>0.69337979094076663</v>
      </c>
      <c r="EA229" s="917">
        <f t="shared" si="871"/>
        <v>0.70228836889194768</v>
      </c>
      <c r="EB229" s="915">
        <f t="shared" si="871"/>
        <v>0.77795091546552397</v>
      </c>
      <c r="EC229" s="915">
        <f t="shared" si="871"/>
        <v>0.66826391448580913</v>
      </c>
      <c r="ED229" s="915">
        <f t="shared" si="871"/>
        <v>0.66402506450423893</v>
      </c>
      <c r="EE229" s="915">
        <f t="shared" si="871"/>
        <v>0.71604447974583008</v>
      </c>
      <c r="EF229" s="917">
        <f t="shared" si="871"/>
        <v>0.70540386262011223</v>
      </c>
      <c r="EG229" s="915">
        <f t="shared" si="871"/>
        <v>0.70165289256198349</v>
      </c>
      <c r="EH229" s="915">
        <f t="shared" si="871"/>
        <v>0.69111654441727799</v>
      </c>
      <c r="EI229" s="915">
        <f t="shared" si="871"/>
        <v>0.67274167987321709</v>
      </c>
      <c r="EJ229" s="915">
        <f t="shared" si="871"/>
        <v>0.68955823293172691</v>
      </c>
      <c r="EK229" s="917">
        <f t="shared" si="871"/>
        <v>0.68861245954692563</v>
      </c>
      <c r="EL229" s="915">
        <f t="shared" si="871"/>
        <v>0.69320388349514561</v>
      </c>
      <c r="EM229" s="915">
        <f t="shared" si="871"/>
        <v>0.67652635570724307</v>
      </c>
      <c r="EN229" s="915">
        <f t="shared" si="871"/>
        <v>0.66479400749063666</v>
      </c>
      <c r="EO229" s="915">
        <f t="shared" ref="EO229:EQ229" si="872">1-((EO234-EO116)/EO135)</f>
        <v>0.68077931809666548</v>
      </c>
      <c r="EP229" s="917">
        <f t="shared" si="872"/>
        <v>0.67870344043218656</v>
      </c>
      <c r="EQ229" s="915">
        <f t="shared" si="872"/>
        <v>0.69193963930806035</v>
      </c>
      <c r="ER229" s="915">
        <f t="shared" si="871"/>
        <v>0.66401952621621618</v>
      </c>
      <c r="ES229" s="915">
        <f t="shared" si="871"/>
        <v>0.69544753018723271</v>
      </c>
      <c r="ET229" s="915">
        <f t="shared" si="871"/>
        <v>0.70505183344551781</v>
      </c>
      <c r="EU229" s="1983">
        <f t="shared" si="871"/>
        <v>0.68907113351007809</v>
      </c>
      <c r="EV229" s="243"/>
      <c r="EW229" s="243"/>
      <c r="EX229" s="243"/>
      <c r="EY229" s="243"/>
      <c r="EZ229" s="918">
        <f>1-((EZ234-EZ116)/EZ135)</f>
        <v>0.68143583061737067</v>
      </c>
      <c r="FA229" s="243"/>
      <c r="FB229" s="243"/>
      <c r="FC229" s="243"/>
      <c r="FD229" s="243"/>
      <c r="FE229" s="918">
        <f>1-((FE234-FE116)/FE135)</f>
        <v>0.6783360142834528</v>
      </c>
      <c r="FF229" s="791"/>
      <c r="FG229" s="618"/>
      <c r="FH229" s="1041"/>
      <c r="FI229" s="1041"/>
      <c r="FJ229" s="1041"/>
      <c r="FK229" s="1041"/>
      <c r="FL229" s="1806"/>
      <c r="FM229" s="915">
        <f t="shared" si="819"/>
        <v>0.69193963930806035</v>
      </c>
      <c r="FN229" s="915">
        <f t="shared" si="820"/>
        <v>0.69320388349514561</v>
      </c>
      <c r="FO229" s="915">
        <v>0.71481332376307105</v>
      </c>
      <c r="FP229" s="1899">
        <f>IFERROR(($FM229-FN229)*10000,"")</f>
        <v>-12.642441870852617</v>
      </c>
      <c r="FQ229" s="1899">
        <f>IFERROR(($FM229-FO229)*10000,"")</f>
        <v>-228.73684455010701</v>
      </c>
      <c r="FR229" s="587"/>
      <c r="FS229" s="587"/>
      <c r="FT229" s="587"/>
      <c r="FU229" s="120"/>
      <c r="FV229" s="120"/>
      <c r="FW229" s="120"/>
      <c r="FX229" s="120"/>
      <c r="FY229" s="120"/>
      <c r="FZ229" s="120"/>
      <c r="GA229" s="618"/>
      <c r="GB229"/>
      <c r="GC229"/>
      <c r="GD229"/>
      <c r="GE229"/>
      <c r="GF229"/>
      <c r="GG229"/>
      <c r="GH229" s="973"/>
      <c r="GI229" s="973"/>
      <c r="GJ229" s="973"/>
      <c r="GK229" s="973"/>
      <c r="GL229" s="973"/>
      <c r="GM229" s="973"/>
      <c r="GN229" s="973"/>
      <c r="GO229" s="973"/>
      <c r="GP229" s="973"/>
      <c r="GQ229" s="973"/>
      <c r="GR229" s="973"/>
      <c r="GS229" s="973"/>
      <c r="GT229" s="973"/>
      <c r="GU229" s="973"/>
      <c r="GV229" s="973"/>
      <c r="GW229" s="973"/>
      <c r="GX229" s="973"/>
      <c r="GY229" s="973"/>
      <c r="GZ229" s="973"/>
      <c r="HA229" s="973"/>
      <c r="HB229" s="973"/>
      <c r="HC229" s="973"/>
      <c r="HD229" s="973"/>
      <c r="HE229" s="973"/>
      <c r="HF229" s="973"/>
      <c r="HG229" s="973"/>
      <c r="HH229" s="973"/>
      <c r="HI229" s="973"/>
      <c r="HJ229" s="973"/>
      <c r="HK229" s="973"/>
      <c r="HL229" s="973"/>
      <c r="HM229" s="973"/>
      <c r="HN229" s="973"/>
      <c r="HO229" s="973"/>
      <c r="HP229" s="973"/>
      <c r="HQ229" s="973"/>
      <c r="HR229" s="973"/>
      <c r="HS229" s="973"/>
      <c r="HT229" s="973"/>
      <c r="HU229" s="973"/>
      <c r="HV229" s="973"/>
      <c r="HW229" s="973"/>
      <c r="HX229" s="973"/>
      <c r="HY229" s="973"/>
      <c r="HZ229" s="973"/>
      <c r="IA229" s="973"/>
      <c r="IB229" s="973"/>
      <c r="IC229" s="973"/>
      <c r="ID229" s="973"/>
      <c r="IE229" s="973"/>
      <c r="IF229" s="973"/>
      <c r="IG229" s="973"/>
      <c r="IH229" s="973"/>
      <c r="II229" s="973"/>
      <c r="IJ229" s="973"/>
      <c r="IK229" s="973"/>
      <c r="IL229" s="973"/>
      <c r="IM229" s="973"/>
      <c r="IN229" s="973"/>
      <c r="IO229" s="973"/>
      <c r="IP229" s="973"/>
      <c r="IQ229" s="973"/>
      <c r="IR229" s="973"/>
      <c r="IS229" s="973"/>
      <c r="IT229" s="973"/>
      <c r="IU229" s="973"/>
      <c r="IV229" s="973"/>
    </row>
    <row r="230" spans="1:256" s="56" customFormat="1" ht="12.75" x14ac:dyDescent="0.2">
      <c r="A230" s="342" t="s">
        <v>97</v>
      </c>
      <c r="B230" s="46"/>
      <c r="C230" s="46"/>
      <c r="D230" s="46"/>
      <c r="E230" s="212"/>
      <c r="F230" s="100"/>
      <c r="G230" s="46"/>
      <c r="H230" s="46"/>
      <c r="I230" s="46"/>
      <c r="J230" s="212"/>
      <c r="K230" s="100"/>
      <c r="L230" s="46"/>
      <c r="M230" s="46"/>
      <c r="N230" s="46"/>
      <c r="O230" s="212"/>
      <c r="P230" s="100"/>
      <c r="Q230" s="46"/>
      <c r="R230" s="46"/>
      <c r="S230" s="46"/>
      <c r="T230" s="212"/>
      <c r="U230" s="100"/>
      <c r="V230" s="46"/>
      <c r="W230" s="46"/>
      <c r="X230" s="46"/>
      <c r="Y230" s="212"/>
      <c r="Z230" s="100"/>
      <c r="AA230" s="46"/>
      <c r="AB230" s="46"/>
      <c r="AC230" s="46"/>
      <c r="AD230" s="212"/>
      <c r="AE230" s="100"/>
      <c r="AF230" s="46"/>
      <c r="AG230" s="46"/>
      <c r="AH230" s="46"/>
      <c r="AI230" s="212"/>
      <c r="AJ230" s="100"/>
      <c r="AK230" s="46"/>
      <c r="AL230" s="46"/>
      <c r="AM230" s="46"/>
      <c r="AN230" s="212"/>
      <c r="AO230" s="100"/>
      <c r="AP230" s="46"/>
      <c r="AQ230" s="46"/>
      <c r="AR230" s="46"/>
      <c r="AS230" s="212"/>
      <c r="AT230" s="100"/>
      <c r="AU230" s="46"/>
      <c r="AV230" s="46"/>
      <c r="AW230" s="46"/>
      <c r="AX230" s="212"/>
      <c r="AY230" s="100"/>
      <c r="AZ230" s="46"/>
      <c r="BA230" s="46"/>
      <c r="BB230" s="46"/>
      <c r="BC230" s="212"/>
      <c r="BD230" s="100"/>
      <c r="BE230" s="46"/>
      <c r="BF230" s="46"/>
      <c r="BG230" s="46"/>
      <c r="BH230" s="212"/>
      <c r="BI230" s="100"/>
      <c r="BJ230" s="46"/>
      <c r="BK230" s="46"/>
      <c r="BL230" s="46"/>
      <c r="BM230" s="212"/>
      <c r="BN230" s="100"/>
      <c r="BO230" s="46"/>
      <c r="BP230" s="46"/>
      <c r="BQ230" s="46"/>
      <c r="BR230" s="212"/>
      <c r="BS230" s="100"/>
      <c r="BT230" s="46"/>
      <c r="BU230" s="46"/>
      <c r="BV230" s="46"/>
      <c r="BW230" s="212"/>
      <c r="BX230" s="100"/>
      <c r="BY230" s="46"/>
      <c r="BZ230" s="46"/>
      <c r="CA230" s="46"/>
      <c r="CB230" s="212"/>
      <c r="CC230" s="100"/>
      <c r="CD230" s="46"/>
      <c r="CE230" s="46"/>
      <c r="CF230" s="46"/>
      <c r="CG230" s="212"/>
      <c r="CH230" s="100"/>
      <c r="CI230" s="46"/>
      <c r="CJ230" s="46"/>
      <c r="CK230" s="46"/>
      <c r="CL230" s="212"/>
      <c r="CM230" s="100"/>
      <c r="CN230" s="46">
        <f t="shared" ref="CN230:DY230" si="873">(CN229-CI229)*100</f>
        <v>1.4240433793861085</v>
      </c>
      <c r="CO230" s="46">
        <f t="shared" si="873"/>
        <v>0.36811560527079124</v>
      </c>
      <c r="CP230" s="46">
        <f t="shared" si="873"/>
        <v>0.14644261670303527</v>
      </c>
      <c r="CQ230" s="212">
        <f t="shared" si="873"/>
        <v>-3.6128105408774758</v>
      </c>
      <c r="CR230" s="100">
        <f t="shared" si="873"/>
        <v>-0.46752374438820965</v>
      </c>
      <c r="CS230" s="46">
        <f t="shared" si="873"/>
        <v>-0.67287833152286369</v>
      </c>
      <c r="CT230" s="46">
        <f t="shared" si="873"/>
        <v>-0.29207790369131237</v>
      </c>
      <c r="CU230" s="46">
        <f t="shared" si="873"/>
        <v>3.6601877649898307</v>
      </c>
      <c r="CV230" s="212">
        <f t="shared" si="873"/>
        <v>5.6666387331748673</v>
      </c>
      <c r="CW230" s="100">
        <f t="shared" si="873"/>
        <v>2.0850605226968577</v>
      </c>
      <c r="CX230" s="46">
        <f t="shared" si="873"/>
        <v>4.4641137321477897</v>
      </c>
      <c r="CY230" s="46">
        <f t="shared" si="873"/>
        <v>2.4811343834355459</v>
      </c>
      <c r="CZ230" s="46">
        <f t="shared" si="873"/>
        <v>-8.7017386500932492</v>
      </c>
      <c r="DA230" s="46">
        <f t="shared" si="873"/>
        <v>-10.999500570483789</v>
      </c>
      <c r="DB230" s="100">
        <f t="shared" si="873"/>
        <v>-3.3604344848101375</v>
      </c>
      <c r="DC230" s="46">
        <f t="shared" si="873"/>
        <v>-7.4293741609048229</v>
      </c>
      <c r="DD230" s="46">
        <f t="shared" si="873"/>
        <v>-3.1022331252451574</v>
      </c>
      <c r="DE230" s="46">
        <f t="shared" si="873"/>
        <v>4.9295810827026827</v>
      </c>
      <c r="DF230" s="46">
        <f t="shared" si="873"/>
        <v>7.9323412137722542</v>
      </c>
      <c r="DG230" s="100">
        <f t="shared" si="873"/>
        <v>0.79799867483253406</v>
      </c>
      <c r="DH230" s="46">
        <f t="shared" si="873"/>
        <v>-0.68600965966068017</v>
      </c>
      <c r="DI230" s="46">
        <f t="shared" si="873"/>
        <v>-1.4034845887214598</v>
      </c>
      <c r="DJ230" s="46">
        <f t="shared" si="873"/>
        <v>-0.78909678461377419</v>
      </c>
      <c r="DK230" s="46">
        <f t="shared" si="873"/>
        <v>-0.93304981452851932</v>
      </c>
      <c r="DL230" s="100">
        <f t="shared" si="873"/>
        <v>-0.96224127540024407</v>
      </c>
      <c r="DM230" s="46">
        <f t="shared" si="873"/>
        <v>1.977804214484935</v>
      </c>
      <c r="DN230" s="46">
        <f t="shared" si="873"/>
        <v>-1.3584517154788145</v>
      </c>
      <c r="DO230" s="46">
        <f t="shared" si="873"/>
        <v>1.0381902389912101</v>
      </c>
      <c r="DP230" s="46">
        <f t="shared" si="873"/>
        <v>2.67815420716363</v>
      </c>
      <c r="DQ230" s="100">
        <f t="shared" si="873"/>
        <v>1.1047688903936814</v>
      </c>
      <c r="DR230" s="46">
        <f t="shared" si="873"/>
        <v>-2.8368255651114005</v>
      </c>
      <c r="DS230" s="46">
        <f t="shared" si="873"/>
        <v>-0.3674862423053038</v>
      </c>
      <c r="DT230" s="46">
        <f t="shared" si="873"/>
        <v>0.38136591667201625</v>
      </c>
      <c r="DU230" s="46">
        <f t="shared" si="873"/>
        <v>-3.3419660440389798</v>
      </c>
      <c r="DV230" s="100">
        <f t="shared" si="873"/>
        <v>-1.5132972222759333</v>
      </c>
      <c r="DW230" s="46">
        <f t="shared" si="873"/>
        <v>3.5490748907773262</v>
      </c>
      <c r="DX230" s="46">
        <f t="shared" si="873"/>
        <v>-0.36998086742774383</v>
      </c>
      <c r="DY230" s="46">
        <f t="shared" si="873"/>
        <v>-2.1324636708745737</v>
      </c>
      <c r="DZ230" s="46">
        <f>(DZ229-DU229)*100</f>
        <v>-1.5748983790229598</v>
      </c>
      <c r="EA230" s="100">
        <f>(EA229-DV229)*100</f>
        <v>-0.2736086421524897</v>
      </c>
      <c r="EB230" s="46">
        <f>(EB229-DW229)*100</f>
        <v>1.9304578537297834</v>
      </c>
      <c r="EC230" s="46">
        <f t="shared" ref="EC230:EI230" si="874">(EC229-DX229)*100</f>
        <v>-0.82646851197135662</v>
      </c>
      <c r="ED230" s="46">
        <f t="shared" si="874"/>
        <v>-2.2511488588715101</v>
      </c>
      <c r="EE230" s="46">
        <f t="shared" si="874"/>
        <v>2.2664688805063449</v>
      </c>
      <c r="EF230" s="100">
        <f t="shared" si="874"/>
        <v>0.31154937281645534</v>
      </c>
      <c r="EG230" s="46">
        <f>(EG229-EB229)*100</f>
        <v>-7.6298022903540481</v>
      </c>
      <c r="EH230" s="46">
        <f t="shared" si="874"/>
        <v>2.285262993146886</v>
      </c>
      <c r="EI230" s="46">
        <f t="shared" si="874"/>
        <v>0.87166153689781645</v>
      </c>
      <c r="EJ230" s="46">
        <f t="shared" ref="EJ230:EK230" si="875">(EJ229-EE229)*100</f>
        <v>-2.6486246814103165</v>
      </c>
      <c r="EK230" s="100">
        <f t="shared" si="875"/>
        <v>-1.6791403073186606</v>
      </c>
      <c r="EL230" s="46">
        <f>(EL229-EG229)*100</f>
        <v>-0.84490090668378759</v>
      </c>
      <c r="EM230" s="46">
        <f t="shared" ref="EM230:EN230" si="876">(EM229-EH229)*100</f>
        <v>-1.4590188710034924</v>
      </c>
      <c r="EN230" s="46">
        <f t="shared" si="876"/>
        <v>-0.79476723825804285</v>
      </c>
      <c r="EO230" s="46">
        <f t="shared" ref="EO230" si="877">(EO229-EJ229)*100</f>
        <v>-0.87789148350614354</v>
      </c>
      <c r="EP230" s="100">
        <f t="shared" ref="EP230" si="878">(EP229-EK229)*100</f>
        <v>-0.99090191147390705</v>
      </c>
      <c r="EQ230" s="46">
        <f>(EQ229-EL229)*100</f>
        <v>-0.12642441870852617</v>
      </c>
      <c r="ER230" s="46">
        <f t="shared" ref="ER230" si="879">(ER229-EM229)*100</f>
        <v>-1.2506829491026883</v>
      </c>
      <c r="ES230" s="46">
        <f t="shared" ref="ES230:EU230" si="880">(ES229-EN229)*100</f>
        <v>3.0653522696596047</v>
      </c>
      <c r="ET230" s="46">
        <f t="shared" si="880"/>
        <v>2.427251534885233</v>
      </c>
      <c r="EU230" s="1984">
        <f t="shared" si="880"/>
        <v>1.0367693077891538</v>
      </c>
      <c r="EV230" s="46"/>
      <c r="EW230" s="46"/>
      <c r="EX230" s="46"/>
      <c r="EY230" s="46"/>
      <c r="EZ230" s="868">
        <f>(EZ229-EU229)*100</f>
        <v>-0.76353028927074185</v>
      </c>
      <c r="FA230" s="46"/>
      <c r="FB230" s="46"/>
      <c r="FC230" s="46"/>
      <c r="FD230" s="46"/>
      <c r="FE230" s="868">
        <f>(FE229-EZ229)*100</f>
        <v>-0.30998163339178708</v>
      </c>
      <c r="FF230" s="768"/>
      <c r="FG230" s="655"/>
      <c r="FH230" s="1039"/>
      <c r="FI230" s="1039"/>
      <c r="FJ230" s="1039"/>
      <c r="FK230" s="1039"/>
      <c r="FL230" s="1813"/>
      <c r="FM230" s="46">
        <f t="shared" si="819"/>
        <v>-0.12642441870852617</v>
      </c>
      <c r="FN230" s="46">
        <f t="shared" si="820"/>
        <v>-0.84490090668378759</v>
      </c>
      <c r="FO230" s="2063">
        <v>2.7823032500935097</v>
      </c>
      <c r="FP230" s="46"/>
      <c r="FQ230" s="46"/>
      <c r="FR230" s="575"/>
      <c r="FS230" s="575"/>
      <c r="FT230" s="575"/>
      <c r="FU230" s="575"/>
      <c r="FV230" s="575"/>
      <c r="FW230" s="575"/>
      <c r="FX230" s="575"/>
      <c r="FY230" s="575"/>
      <c r="FZ230" s="575"/>
      <c r="GA230" s="655"/>
      <c r="GB230"/>
      <c r="GC230"/>
      <c r="GD230"/>
      <c r="GE230"/>
      <c r="GF230"/>
      <c r="GG230"/>
      <c r="GH230" s="964"/>
      <c r="GI230" s="964"/>
      <c r="GJ230" s="964"/>
      <c r="GK230" s="964"/>
      <c r="GL230" s="964"/>
      <c r="GM230" s="964"/>
      <c r="GN230" s="964"/>
      <c r="GO230" s="964"/>
      <c r="GP230" s="964"/>
      <c r="GQ230" s="964"/>
      <c r="GR230" s="964"/>
      <c r="GS230" s="964"/>
      <c r="GT230" s="964"/>
      <c r="GU230" s="964"/>
      <c r="GV230" s="964"/>
      <c r="GW230" s="964"/>
      <c r="GX230" s="964"/>
      <c r="GY230" s="964"/>
      <c r="GZ230" s="964"/>
      <c r="HA230" s="964"/>
      <c r="HB230" s="964"/>
      <c r="HC230" s="964"/>
      <c r="HD230" s="964"/>
      <c r="HE230" s="964"/>
      <c r="HF230" s="964"/>
      <c r="HG230" s="964"/>
      <c r="HH230" s="964"/>
      <c r="HI230" s="964"/>
      <c r="HJ230" s="964"/>
      <c r="HK230" s="964"/>
      <c r="HL230" s="964"/>
      <c r="HM230" s="964"/>
      <c r="HN230" s="964"/>
      <c r="HO230" s="964"/>
      <c r="HP230" s="964"/>
      <c r="HQ230" s="964"/>
      <c r="HR230" s="964"/>
      <c r="HS230" s="964"/>
      <c r="HT230" s="964"/>
      <c r="HU230" s="964"/>
      <c r="HV230" s="964"/>
      <c r="HW230" s="964"/>
      <c r="HX230" s="964"/>
      <c r="HY230" s="964"/>
      <c r="HZ230" s="964"/>
      <c r="IA230" s="964"/>
      <c r="IB230" s="964"/>
      <c r="IC230" s="964"/>
      <c r="ID230" s="964"/>
      <c r="IE230" s="964"/>
      <c r="IF230" s="964"/>
      <c r="IG230" s="964"/>
      <c r="IH230" s="964"/>
      <c r="II230" s="964"/>
      <c r="IJ230" s="964"/>
      <c r="IK230" s="964"/>
      <c r="IL230" s="964"/>
      <c r="IM230" s="964"/>
      <c r="IN230" s="964"/>
      <c r="IO230" s="964"/>
      <c r="IP230" s="964"/>
      <c r="IQ230" s="964"/>
      <c r="IR230" s="964"/>
      <c r="IS230" s="964"/>
      <c r="IT230" s="964"/>
      <c r="IU230" s="964"/>
      <c r="IV230" s="964"/>
    </row>
    <row r="231" spans="1:256" s="407" customFormat="1" ht="12.75" x14ac:dyDescent="0.2">
      <c r="A231" s="451" t="s">
        <v>98</v>
      </c>
      <c r="F231" s="406"/>
      <c r="K231" s="406"/>
      <c r="P231" s="406"/>
      <c r="U231" s="406"/>
      <c r="Z231" s="406"/>
      <c r="AE231" s="406"/>
      <c r="AJ231" s="406"/>
      <c r="AO231" s="406"/>
      <c r="AT231" s="406"/>
      <c r="AY231" s="406"/>
      <c r="BD231" s="406"/>
      <c r="BI231" s="406"/>
      <c r="BN231" s="406"/>
      <c r="BS231" s="406"/>
      <c r="BX231" s="406"/>
      <c r="CC231" s="406"/>
      <c r="CH231" s="406"/>
      <c r="CJ231" s="407">
        <f>(CJ229-CI229)*100</f>
        <v>-4.3773607785104973</v>
      </c>
      <c r="CK231" s="407">
        <f>(CK229-CJ229)*100</f>
        <v>-1.5761376198974997</v>
      </c>
      <c r="CL231" s="407">
        <f>(CL229-CK229)*100</f>
        <v>3.4018834940994114</v>
      </c>
      <c r="CM231" s="406"/>
      <c r="CN231" s="407">
        <f>(CN229-CL229)*100</f>
        <v>3.9756582836946941</v>
      </c>
      <c r="CO231" s="407">
        <f>(CO229-CN229)*100</f>
        <v>-5.4332885526258146</v>
      </c>
      <c r="CP231" s="407">
        <f>(CP229-CO229)*100</f>
        <v>-1.7978106084652556</v>
      </c>
      <c r="CQ231" s="407">
        <f>(CQ229-CP229)*100</f>
        <v>-0.35736966348109966</v>
      </c>
      <c r="CR231" s="406"/>
      <c r="CS231" s="407">
        <f>(CS229-CQ229)*100</f>
        <v>6.9155904930493062</v>
      </c>
      <c r="CT231" s="407">
        <f>(CT229-CS229)*100</f>
        <v>-5.0524881247942632</v>
      </c>
      <c r="CU231" s="407">
        <f>(CU229-CT229)*100</f>
        <v>2.1544550602158874</v>
      </c>
      <c r="CV231" s="407">
        <f>(CV229-CU229)*100</f>
        <v>1.6490813047039365</v>
      </c>
      <c r="CW231" s="406"/>
      <c r="CX231" s="407">
        <f>(CX229-CV229)*100</f>
        <v>5.7130654920222295</v>
      </c>
      <c r="CY231" s="407">
        <f>(CY229-CX229)*100</f>
        <v>-7.0354674735065075</v>
      </c>
      <c r="CZ231" s="407">
        <f>(CZ229-CY229)*100</f>
        <v>-9.0284179733129086</v>
      </c>
      <c r="DA231" s="407">
        <f>(DA229-CZ229)*100</f>
        <v>-0.64868061568660318</v>
      </c>
      <c r="DB231" s="406"/>
      <c r="DC231" s="407">
        <f>(DC229-DA229)*100</f>
        <v>9.2831919016011959</v>
      </c>
      <c r="DD231" s="407">
        <f>(DD229-DC229)*100</f>
        <v>-2.7083264378468419</v>
      </c>
      <c r="DE231" s="407">
        <f>(DE229-DD229)*100</f>
        <v>-0.99660376536506723</v>
      </c>
      <c r="DF231" s="407">
        <f>(DF229-DE229)*100</f>
        <v>2.3540795153829674</v>
      </c>
      <c r="DG231" s="406"/>
      <c r="DH231" s="407">
        <f>(DH229-DF229)*100</f>
        <v>0.66484102816826152</v>
      </c>
      <c r="DI231" s="407">
        <f>(DI229-DH229)*100</f>
        <v>-3.4258013669076215</v>
      </c>
      <c r="DJ231" s="407">
        <f>(DJ229-DI229)*100</f>
        <v>-0.38221596125738166</v>
      </c>
      <c r="DK231" s="407">
        <f>(DK229-DJ229)*100</f>
        <v>2.2101264854682223</v>
      </c>
      <c r="DL231" s="406"/>
      <c r="DM231" s="407">
        <f>(DM229-DK229)*100</f>
        <v>3.5756950571817159</v>
      </c>
      <c r="DN231" s="407">
        <f>(DN229-DM229)*100</f>
        <v>-6.7620572968713706</v>
      </c>
      <c r="DO231" s="407">
        <f>(DO229-DN229)*100</f>
        <v>2.0144259932126429</v>
      </c>
      <c r="DP231" s="407">
        <f>(DP229-DO229)*100</f>
        <v>3.8500904536406422</v>
      </c>
      <c r="DQ231" s="406"/>
      <c r="DR231" s="407">
        <f>(DR229-DP229)*100</f>
        <v>-1.9392847150933146</v>
      </c>
      <c r="DS231" s="407">
        <f>(DS229-DR229)*100</f>
        <v>-4.2927179740652743</v>
      </c>
      <c r="DT231" s="407">
        <f>(DT229-DS229)*100</f>
        <v>2.763278152189963</v>
      </c>
      <c r="DU231" s="407">
        <f>(DU229-DT229)*100</f>
        <v>0.12675849292964614</v>
      </c>
      <c r="DV231" s="406"/>
      <c r="DW231" s="407">
        <f>(DW229-DU229)*100</f>
        <v>4.9517562197229914</v>
      </c>
      <c r="DX231" s="407">
        <f>(DX229-DW229)*100</f>
        <v>-8.2117737322703448</v>
      </c>
      <c r="DY231" s="407">
        <f>(DY229-DX229)*100</f>
        <v>1.0007953487431331</v>
      </c>
      <c r="DZ231" s="407">
        <f>(DZ229-DY229)*100</f>
        <v>0.68432378478125999</v>
      </c>
      <c r="EA231" s="406"/>
      <c r="EB231" s="407">
        <f>(EB229-DZ229)*100</f>
        <v>8.4571124524757337</v>
      </c>
      <c r="EC231" s="407">
        <f>(EC229-EB229)*100</f>
        <v>-10.968700097971485</v>
      </c>
      <c r="ED231" s="407">
        <f>(ED229-EC229)*100</f>
        <v>-0.4238849981570203</v>
      </c>
      <c r="EE231" s="407">
        <f>(EE229-ED229)*100</f>
        <v>5.2019415241591149</v>
      </c>
      <c r="EF231" s="406"/>
      <c r="EG231" s="407">
        <f>(EG229-EE229)*100</f>
        <v>-1.4391587183846588</v>
      </c>
      <c r="EH231" s="407">
        <f>(EH229-EG229)*100</f>
        <v>-1.0536348144705499</v>
      </c>
      <c r="EI231" s="407">
        <f>(EI229-EH229)*100</f>
        <v>-1.8374864544060898</v>
      </c>
      <c r="EJ231" s="407">
        <f>(EJ229-EI229)*100</f>
        <v>1.681655305850982</v>
      </c>
      <c r="EK231" s="406"/>
      <c r="EL231" s="407">
        <f>(EL229-EJ229)*100</f>
        <v>0.36456505634187009</v>
      </c>
      <c r="EM231" s="407">
        <f>(EM229-EL229)*100</f>
        <v>-1.6677527787902546</v>
      </c>
      <c r="EN231" s="407">
        <f>(EN229-EM229)*100</f>
        <v>-1.1732348216606403</v>
      </c>
      <c r="EO231" s="407">
        <f>(EO229-EN229)*100</f>
        <v>1.5985310606028813</v>
      </c>
      <c r="EP231" s="406"/>
      <c r="EQ231" s="407">
        <f>(EQ229-EO229)*100</f>
        <v>1.1160321211394875</v>
      </c>
      <c r="ER231" s="407">
        <f>(ER229-EQ229)*100</f>
        <v>-2.7920113091844168</v>
      </c>
      <c r="ES231" s="407">
        <f>(ES229-ER229)*100</f>
        <v>3.1428003971016527</v>
      </c>
      <c r="ET231" s="407">
        <f>(ET229-ES229)*100</f>
        <v>0.96043032582850962</v>
      </c>
      <c r="EU231" s="1985"/>
      <c r="EZ231" s="794"/>
      <c r="FE231" s="794"/>
      <c r="FF231" s="794"/>
      <c r="FG231" s="655"/>
      <c r="FH231" s="1089">
        <f>AVERAGE(CI231,CN231,CS231,CX231,DC231,DH231,DM231,DR231,DW231,EB231,EG231,EL231,EQ231)</f>
        <v>3.4699220559932922</v>
      </c>
      <c r="FI231" s="1089">
        <f>AVERAGE(CJ231,CO231,CT231,CY231,DD231,DI231,DN231,DS231,DX231,EC231,EH231,EM231)</f>
        <v>-5.0824474523859022</v>
      </c>
      <c r="FJ231" s="1089">
        <f>AVERAGE(CK231,CP231,CU231,CZ231,DE231,DJ231,DO231,DT231,DY231,ED231,EI231,EN231)</f>
        <v>-0.77356980401335307</v>
      </c>
      <c r="FK231" s="1089">
        <f>AVERAGE(CL231,CQ231,CV231,DA231,DF231,DK231,DP231,DU231,DZ231,EE231,EJ231,EO231)</f>
        <v>1.8127017618709464</v>
      </c>
      <c r="FL231" s="1813"/>
      <c r="FM231" s="407">
        <f t="shared" si="819"/>
        <v>1.1160321211394875</v>
      </c>
      <c r="FN231" s="407">
        <f t="shared" si="820"/>
        <v>0.36456505634187009</v>
      </c>
      <c r="FO231" s="2064">
        <v>4.0028760256139666</v>
      </c>
      <c r="FR231" s="573"/>
      <c r="FS231" s="573"/>
      <c r="FT231" s="573"/>
      <c r="FU231" s="573"/>
      <c r="FV231" s="573"/>
      <c r="FW231" s="573"/>
      <c r="FX231" s="573"/>
      <c r="FY231" s="573"/>
      <c r="FZ231" s="573"/>
      <c r="GA231" s="655"/>
      <c r="GB231"/>
      <c r="GC231"/>
      <c r="GD231"/>
      <c r="GE231"/>
      <c r="GF231"/>
      <c r="GG231"/>
      <c r="GH231" s="979"/>
      <c r="GI231" s="979"/>
      <c r="GJ231" s="979"/>
      <c r="GK231" s="979"/>
      <c r="GL231" s="979"/>
      <c r="GM231" s="979"/>
      <c r="GN231" s="979"/>
      <c r="GO231" s="979"/>
      <c r="GP231" s="979"/>
      <c r="GQ231" s="979"/>
      <c r="GR231" s="979"/>
      <c r="GS231" s="979"/>
      <c r="GT231" s="979"/>
      <c r="GU231" s="979"/>
      <c r="GV231" s="979"/>
      <c r="GW231" s="979"/>
      <c r="GX231" s="979"/>
      <c r="GY231" s="979"/>
      <c r="GZ231" s="979"/>
      <c r="HA231" s="979"/>
      <c r="HB231" s="979"/>
      <c r="HC231" s="979"/>
      <c r="HD231" s="979"/>
      <c r="HE231" s="979"/>
      <c r="HF231" s="979"/>
      <c r="HG231" s="979"/>
      <c r="HH231" s="979"/>
      <c r="HI231" s="979"/>
      <c r="HJ231" s="979"/>
      <c r="HK231" s="979"/>
      <c r="HL231" s="979"/>
      <c r="HM231" s="979"/>
      <c r="HN231" s="979"/>
      <c r="HO231" s="979"/>
      <c r="HP231" s="979"/>
      <c r="HQ231" s="979"/>
      <c r="HR231" s="979"/>
      <c r="HS231" s="979"/>
      <c r="HT231" s="979"/>
      <c r="HU231" s="979"/>
      <c r="HV231" s="979"/>
      <c r="HW231" s="979"/>
      <c r="HX231" s="979"/>
      <c r="HY231" s="979"/>
      <c r="HZ231" s="979"/>
      <c r="IA231" s="979"/>
      <c r="IB231" s="979"/>
      <c r="IC231" s="979"/>
      <c r="ID231" s="979"/>
      <c r="IE231" s="979"/>
      <c r="IF231" s="979"/>
      <c r="IG231" s="979"/>
      <c r="IH231" s="979"/>
      <c r="II231" s="979"/>
      <c r="IJ231" s="979"/>
      <c r="IK231" s="979"/>
      <c r="IL231" s="979"/>
      <c r="IM231" s="979"/>
      <c r="IN231" s="979"/>
      <c r="IO231" s="979"/>
      <c r="IP231" s="979"/>
      <c r="IQ231" s="979"/>
      <c r="IR231" s="979"/>
      <c r="IS231" s="979"/>
      <c r="IT231" s="979"/>
      <c r="IU231" s="979"/>
      <c r="IV231" s="979"/>
    </row>
    <row r="232" spans="1:256" s="413" customFormat="1" ht="12.75" x14ac:dyDescent="0.2">
      <c r="A232" s="409" t="s">
        <v>76</v>
      </c>
      <c r="B232" s="410"/>
      <c r="C232" s="410"/>
      <c r="D232" s="410"/>
      <c r="E232" s="410"/>
      <c r="F232" s="411"/>
      <c r="G232" s="412"/>
      <c r="H232" s="412"/>
      <c r="I232" s="412"/>
      <c r="J232" s="412"/>
      <c r="K232" s="411"/>
      <c r="L232" s="412"/>
      <c r="M232" s="412"/>
      <c r="N232" s="412"/>
      <c r="O232" s="412"/>
      <c r="P232" s="411"/>
      <c r="Q232" s="412"/>
      <c r="R232" s="412"/>
      <c r="S232" s="412"/>
      <c r="T232" s="412"/>
      <c r="U232" s="411"/>
      <c r="V232" s="412"/>
      <c r="W232" s="412"/>
      <c r="X232" s="412"/>
      <c r="Y232" s="412"/>
      <c r="Z232" s="411"/>
      <c r="AA232" s="412"/>
      <c r="AB232" s="412"/>
      <c r="AC232" s="412"/>
      <c r="AD232" s="412"/>
      <c r="AE232" s="411"/>
      <c r="AF232" s="412"/>
      <c r="AG232" s="412"/>
      <c r="AH232" s="412"/>
      <c r="AI232" s="412"/>
      <c r="AJ232" s="411"/>
      <c r="AK232" s="412"/>
      <c r="AL232" s="412"/>
      <c r="AM232" s="412"/>
      <c r="AN232" s="412"/>
      <c r="AO232" s="411"/>
      <c r="AP232" s="412"/>
      <c r="AQ232" s="412"/>
      <c r="AR232" s="412"/>
      <c r="AS232" s="412"/>
      <c r="AT232" s="411"/>
      <c r="AU232" s="412"/>
      <c r="AV232" s="412"/>
      <c r="AW232" s="412"/>
      <c r="AX232" s="412"/>
      <c r="AY232" s="411"/>
      <c r="AZ232" s="412"/>
      <c r="BA232" s="412"/>
      <c r="BB232" s="412"/>
      <c r="BC232" s="412"/>
      <c r="BD232" s="411"/>
      <c r="BE232" s="412"/>
      <c r="BF232" s="412"/>
      <c r="BG232" s="412"/>
      <c r="BH232" s="412"/>
      <c r="BI232" s="411"/>
      <c r="BJ232" s="412"/>
      <c r="BK232" s="412"/>
      <c r="BL232" s="412"/>
      <c r="BM232" s="412"/>
      <c r="BN232" s="411"/>
      <c r="BO232" s="412"/>
      <c r="BP232" s="412"/>
      <c r="BQ232" s="412"/>
      <c r="BR232" s="412"/>
      <c r="BS232" s="411"/>
      <c r="BT232" s="412"/>
      <c r="BU232" s="412"/>
      <c r="BV232" s="412"/>
      <c r="BW232" s="412"/>
      <c r="BX232" s="411"/>
      <c r="BY232" s="412"/>
      <c r="BZ232" s="412"/>
      <c r="CA232" s="412"/>
      <c r="CB232" s="412"/>
      <c r="CC232" s="411"/>
      <c r="CD232" s="412"/>
      <c r="CE232" s="412"/>
      <c r="CF232" s="412"/>
      <c r="CG232" s="412"/>
      <c r="CH232" s="411"/>
      <c r="CI232" s="412">
        <f t="shared" ref="CI232:DN232" si="881">(CI234-CD234-CI116)/(CI221-CD221)</f>
        <v>0.43274853801169588</v>
      </c>
      <c r="CJ232" s="412">
        <f t="shared" si="881"/>
        <v>0.4061433447098976</v>
      </c>
      <c r="CK232" s="412">
        <f t="shared" si="881"/>
        <v>0.7857142857142857</v>
      </c>
      <c r="CL232" s="412">
        <f t="shared" si="881"/>
        <v>0.32258064516129031</v>
      </c>
      <c r="CM232" s="411">
        <f t="shared" si="881"/>
        <v>0.50695187165775402</v>
      </c>
      <c r="CN232" s="412">
        <f t="shared" si="881"/>
        <v>0.81065055404641073</v>
      </c>
      <c r="CO232" s="412">
        <f t="shared" si="881"/>
        <v>0.90829740537708603</v>
      </c>
      <c r="CP232" s="412">
        <f t="shared" si="881"/>
        <v>0.38493300132737929</v>
      </c>
      <c r="CQ232" s="412">
        <f t="shared" si="881"/>
        <v>0.92149796876366219</v>
      </c>
      <c r="CR232" s="411">
        <f t="shared" si="881"/>
        <v>2.0356924411248407</v>
      </c>
      <c r="CS232" s="412">
        <f t="shared" si="881"/>
        <v>0.2029792251887878</v>
      </c>
      <c r="CT232" s="412">
        <f t="shared" si="881"/>
        <v>0.23376366275048482</v>
      </c>
      <c r="CU232" s="412">
        <f t="shared" si="881"/>
        <v>0.13591307007720696</v>
      </c>
      <c r="CV232" s="412">
        <f t="shared" si="881"/>
        <v>-1.5611249999999999</v>
      </c>
      <c r="CW232" s="411">
        <f t="shared" si="881"/>
        <v>0.11425162926685921</v>
      </c>
      <c r="CX232" s="412">
        <f t="shared" si="881"/>
        <v>0.40837342908438057</v>
      </c>
      <c r="CY232" s="412">
        <f t="shared" si="881"/>
        <v>0.353420704845815</v>
      </c>
      <c r="CZ232" s="412">
        <f t="shared" si="881"/>
        <v>0.21253188929001193</v>
      </c>
      <c r="DA232" s="412">
        <f t="shared" si="881"/>
        <v>0.16919191919191889</v>
      </c>
      <c r="DB232" s="411">
        <f t="shared" si="881"/>
        <v>0.29419910846953934</v>
      </c>
      <c r="DC232" s="412">
        <f t="shared" si="881"/>
        <v>0.68474576271186438</v>
      </c>
      <c r="DD232" s="412">
        <f t="shared" si="881"/>
        <v>0.40663176265270506</v>
      </c>
      <c r="DE232" s="412">
        <f t="shared" si="881"/>
        <v>0.43505597964376591</v>
      </c>
      <c r="DF232" s="412">
        <f t="shared" si="881"/>
        <v>0.379651485415407</v>
      </c>
      <c r="DG232" s="411">
        <f t="shared" si="881"/>
        <v>0.46190546646398783</v>
      </c>
      <c r="DH232" s="412">
        <f t="shared" si="881"/>
        <v>0.38697905759162304</v>
      </c>
      <c r="DI232" s="412">
        <f t="shared" si="881"/>
        <v>0.30733944954128439</v>
      </c>
      <c r="DJ232" s="412">
        <f t="shared" si="881"/>
        <v>0.32101616628175522</v>
      </c>
      <c r="DK232" s="412">
        <f t="shared" si="881"/>
        <v>0.37797256320758105</v>
      </c>
      <c r="DL232" s="411">
        <f t="shared" si="881"/>
        <v>0.34656332822977243</v>
      </c>
      <c r="DM232" s="412">
        <f t="shared" si="881"/>
        <v>0.20710059171597633</v>
      </c>
      <c r="DN232" s="412">
        <f t="shared" si="881"/>
        <v>4.1827499999999986</v>
      </c>
      <c r="DO232" s="412">
        <f t="shared" ref="DO232:ET232" si="882">(DO234-DJ234-DO116)/(DO221-DJ221)</f>
        <v>0.71938775510204078</v>
      </c>
      <c r="DP232" s="412">
        <f t="shared" si="882"/>
        <v>0.96460176991150437</v>
      </c>
      <c r="DQ232" s="411">
        <f t="shared" si="882"/>
        <v>1.3752878787878788</v>
      </c>
      <c r="DR232" s="412">
        <f t="shared" si="882"/>
        <v>-0.25490196078431371</v>
      </c>
      <c r="DS232" s="412">
        <f t="shared" si="882"/>
        <v>0.52777777777777779</v>
      </c>
      <c r="DT232" s="412">
        <f t="shared" si="882"/>
        <v>0.71755725190839692</v>
      </c>
      <c r="DU232" s="412">
        <f t="shared" si="882"/>
        <v>0.62944162436548223</v>
      </c>
      <c r="DV232" s="411">
        <f t="shared" si="882"/>
        <v>0.94146341463414629</v>
      </c>
      <c r="DW232" s="412">
        <f t="shared" si="882"/>
        <v>0.8571428571428571</v>
      </c>
      <c r="DX232" s="412">
        <f t="shared" si="882"/>
        <v>0.6166666666666667</v>
      </c>
      <c r="DY232" s="412">
        <f t="shared" si="882"/>
        <v>0.49547738693467291</v>
      </c>
      <c r="DZ232" s="412">
        <f t="shared" si="882"/>
        <v>9.0909090909090912E-2</v>
      </c>
      <c r="EA232" s="411">
        <f t="shared" si="882"/>
        <v>0.53720316622691389</v>
      </c>
      <c r="EB232" s="412">
        <f t="shared" si="882"/>
        <v>0.79508196721311475</v>
      </c>
      <c r="EC232" s="412">
        <f t="shared" si="882"/>
        <v>0.36170212765957449</v>
      </c>
      <c r="ED232" s="412">
        <f t="shared" si="882"/>
        <v>0.27935483870967714</v>
      </c>
      <c r="EE232" s="412">
        <f t="shared" si="882"/>
        <v>0.5</v>
      </c>
      <c r="EF232" s="411">
        <f t="shared" si="882"/>
        <v>0.43000898472596616</v>
      </c>
      <c r="EG232" s="412">
        <f t="shared" si="882"/>
        <v>-0.78911564625850339</v>
      </c>
      <c r="EH232" s="412">
        <f t="shared" si="882"/>
        <v>0.21621621621621623</v>
      </c>
      <c r="EI232" s="412">
        <f t="shared" si="882"/>
        <v>-2.1164021164021163E-2</v>
      </c>
      <c r="EJ232" s="412">
        <f t="shared" si="882"/>
        <v>-4.6785714285714288</v>
      </c>
      <c r="EK232" s="411">
        <f t="shared" si="882"/>
        <v>-0.3130016051364366</v>
      </c>
      <c r="EL232" s="412">
        <f t="shared" si="882"/>
        <v>0.43225806451612903</v>
      </c>
      <c r="EM232" s="412">
        <f t="shared" si="882"/>
        <v>0.45355191256830601</v>
      </c>
      <c r="EN232" s="412">
        <f t="shared" si="882"/>
        <v>0.51369863013698636</v>
      </c>
      <c r="EO232" s="412">
        <f t="shared" ref="EO232" si="883">(EO234-EJ234-EO116)/(EO221-EJ221)</f>
        <v>0.50837988826815639</v>
      </c>
      <c r="EP232" s="411">
        <f t="shared" ref="EP232" si="884">(EP234-EK234-EP116)/(EP221-EK221)</f>
        <v>0.47662141779788841</v>
      </c>
      <c r="EQ232" s="412">
        <f t="shared" si="882"/>
        <v>0.56338028169014087</v>
      </c>
      <c r="ER232" s="412">
        <f t="shared" si="882"/>
        <v>0.4104220525578946</v>
      </c>
      <c r="ES232" s="412">
        <f t="shared" si="882"/>
        <v>-0.14265800888947616</v>
      </c>
      <c r="ET232" s="412">
        <f t="shared" si="882"/>
        <v>-0.15406045102149316</v>
      </c>
      <c r="EU232" s="1986">
        <f t="shared" ref="EU232" si="885">(EU234-EP234-EU116)/(EU221-EP221)</f>
        <v>0.17099884232074397</v>
      </c>
      <c r="EV232" s="410"/>
      <c r="EW232" s="410"/>
      <c r="EX232" s="410"/>
      <c r="EY232" s="410"/>
      <c r="EZ232" s="869">
        <f>(EZ234-EU234-EZ116)/(EZ221-EU221)</f>
        <v>0.40579827721576861</v>
      </c>
      <c r="FA232" s="410"/>
      <c r="FB232" s="410"/>
      <c r="FC232" s="410"/>
      <c r="FD232" s="410"/>
      <c r="FE232" s="869">
        <f>(FE234-EZ234-FE116)/(FE221-EZ221)</f>
        <v>0.43404824544338083</v>
      </c>
      <c r="FF232" s="795"/>
      <c r="FG232" s="655"/>
      <c r="FH232" s="1074"/>
      <c r="FI232" s="1074"/>
      <c r="FJ232" s="1074"/>
      <c r="FK232" s="1074"/>
      <c r="FL232" s="1832"/>
      <c r="FM232" s="412">
        <f t="shared" si="819"/>
        <v>0.56338028169014087</v>
      </c>
      <c r="FN232" s="412">
        <f t="shared" si="820"/>
        <v>0.43225806451612903</v>
      </c>
      <c r="FO232" s="412">
        <v>-0.11815685423446316</v>
      </c>
      <c r="FP232" s="1893">
        <f>IFERROR(($FM232-FN232)*10000,"")</f>
        <v>1311.2221717401185</v>
      </c>
      <c r="FQ232" s="1893">
        <f>IFERROR(($FM232-FO232)*10000,"")</f>
        <v>6815.3713592460408</v>
      </c>
      <c r="FR232" s="1427" t="s">
        <v>832</v>
      </c>
      <c r="FS232" s="588"/>
      <c r="FT232" s="588"/>
      <c r="FU232" s="588"/>
      <c r="FV232" s="588"/>
      <c r="FW232" s="588"/>
      <c r="FX232" s="588"/>
      <c r="FY232" s="588"/>
      <c r="FZ232" s="588"/>
      <c r="GA232" s="655"/>
      <c r="GB232"/>
      <c r="GC232"/>
      <c r="GD232"/>
      <c r="GE232"/>
      <c r="GF232"/>
      <c r="GG232"/>
      <c r="GH232" s="980"/>
      <c r="GI232" s="980"/>
      <c r="GJ232" s="980"/>
      <c r="GK232" s="980"/>
      <c r="GL232" s="980"/>
      <c r="GM232" s="980"/>
      <c r="GN232" s="980"/>
      <c r="GO232" s="980"/>
      <c r="GP232" s="980"/>
      <c r="GQ232" s="980"/>
      <c r="GR232" s="980"/>
      <c r="GS232" s="980"/>
      <c r="GT232" s="980"/>
      <c r="GU232" s="980"/>
      <c r="GV232" s="980"/>
      <c r="GW232" s="980"/>
      <c r="GX232" s="980"/>
      <c r="GY232" s="980"/>
      <c r="GZ232" s="980"/>
      <c r="HA232" s="980"/>
      <c r="HB232" s="980"/>
      <c r="HC232" s="980"/>
      <c r="HD232" s="980"/>
      <c r="HE232" s="980"/>
      <c r="HF232" s="980"/>
      <c r="HG232" s="980"/>
      <c r="HH232" s="980"/>
      <c r="HI232" s="980"/>
      <c r="HJ232" s="980"/>
      <c r="HK232" s="980"/>
      <c r="HL232" s="980"/>
      <c r="HM232" s="980"/>
      <c r="HN232" s="980"/>
      <c r="HO232" s="980"/>
      <c r="HP232" s="980"/>
      <c r="HQ232" s="980"/>
      <c r="HR232" s="980"/>
      <c r="HS232" s="980"/>
      <c r="HT232" s="980"/>
      <c r="HU232" s="980"/>
      <c r="HV232" s="980"/>
      <c r="HW232" s="980"/>
      <c r="HX232" s="980"/>
      <c r="HY232" s="980"/>
      <c r="HZ232" s="980"/>
      <c r="IA232" s="980"/>
      <c r="IB232" s="980"/>
      <c r="IC232" s="980"/>
      <c r="ID232" s="980"/>
      <c r="IE232" s="980"/>
      <c r="IF232" s="980"/>
      <c r="IG232" s="980"/>
      <c r="IH232" s="980"/>
      <c r="II232" s="980"/>
      <c r="IJ232" s="980"/>
      <c r="IK232" s="980"/>
      <c r="IL232" s="980"/>
      <c r="IM232" s="980"/>
      <c r="IN232" s="980"/>
      <c r="IO232" s="980"/>
      <c r="IP232" s="980"/>
      <c r="IQ232" s="980"/>
      <c r="IR232" s="980"/>
      <c r="IS232" s="980"/>
      <c r="IT232" s="980"/>
      <c r="IU232" s="980"/>
      <c r="IV232" s="980"/>
    </row>
    <row r="233" spans="1:256" s="408" customFormat="1" ht="12.75" x14ac:dyDescent="0.2">
      <c r="A233" s="451" t="s">
        <v>378</v>
      </c>
      <c r="B233" s="407"/>
      <c r="C233" s="407"/>
      <c r="D233" s="407"/>
      <c r="E233" s="407"/>
      <c r="F233" s="453"/>
      <c r="G233" s="452"/>
      <c r="H233" s="452"/>
      <c r="I233" s="452"/>
      <c r="J233" s="452"/>
      <c r="K233" s="453"/>
      <c r="L233" s="452"/>
      <c r="M233" s="452"/>
      <c r="N233" s="452"/>
      <c r="O233" s="452"/>
      <c r="P233" s="453"/>
      <c r="Q233" s="452"/>
      <c r="R233" s="452"/>
      <c r="S233" s="452"/>
      <c r="T233" s="452"/>
      <c r="U233" s="453"/>
      <c r="V233" s="452"/>
      <c r="W233" s="452"/>
      <c r="X233" s="452"/>
      <c r="Y233" s="452"/>
      <c r="Z233" s="453"/>
      <c r="AA233" s="452"/>
      <c r="AB233" s="452"/>
      <c r="AC233" s="452"/>
      <c r="AD233" s="452"/>
      <c r="AE233" s="453"/>
      <c r="AF233" s="452"/>
      <c r="AG233" s="452"/>
      <c r="AH233" s="452"/>
      <c r="AI233" s="452"/>
      <c r="AJ233" s="453"/>
      <c r="AK233" s="452"/>
      <c r="AL233" s="452"/>
      <c r="AM233" s="452"/>
      <c r="AN233" s="452"/>
      <c r="AO233" s="453"/>
      <c r="AP233" s="452"/>
      <c r="AQ233" s="452"/>
      <c r="AR233" s="452"/>
      <c r="AS233" s="452"/>
      <c r="AT233" s="453"/>
      <c r="AU233" s="452"/>
      <c r="AV233" s="452"/>
      <c r="AW233" s="452"/>
      <c r="AX233" s="452"/>
      <c r="AY233" s="453"/>
      <c r="AZ233" s="452"/>
      <c r="BA233" s="452"/>
      <c r="BB233" s="452"/>
      <c r="BC233" s="452"/>
      <c r="BD233" s="453"/>
      <c r="BE233" s="452"/>
      <c r="BF233" s="452"/>
      <c r="BG233" s="452"/>
      <c r="BH233" s="452"/>
      <c r="BI233" s="453"/>
      <c r="BJ233" s="452"/>
      <c r="BK233" s="452"/>
      <c r="BL233" s="452"/>
      <c r="BM233" s="452"/>
      <c r="BN233" s="453"/>
      <c r="BO233" s="452"/>
      <c r="BP233" s="452"/>
      <c r="BQ233" s="452"/>
      <c r="BR233" s="452"/>
      <c r="BS233" s="453"/>
      <c r="BT233" s="452"/>
      <c r="BU233" s="452"/>
      <c r="BV233" s="452"/>
      <c r="BW233" s="452"/>
      <c r="BX233" s="453"/>
      <c r="BY233" s="452"/>
      <c r="BZ233" s="452"/>
      <c r="CA233" s="452"/>
      <c r="CB233" s="452"/>
      <c r="CC233" s="453"/>
      <c r="CD233" s="452"/>
      <c r="CE233" s="452"/>
      <c r="CF233" s="452"/>
      <c r="CG233" s="452"/>
      <c r="CH233" s="453"/>
      <c r="CI233" s="452">
        <f t="shared" ref="CI233:DV233" si="886">(CI229-CI225)*100</f>
        <v>0</v>
      </c>
      <c r="CJ233" s="452">
        <f t="shared" si="886"/>
        <v>0</v>
      </c>
      <c r="CK233" s="452">
        <f t="shared" si="886"/>
        <v>0</v>
      </c>
      <c r="CL233" s="452">
        <f t="shared" si="886"/>
        <v>0</v>
      </c>
      <c r="CM233" s="453">
        <f t="shared" si="886"/>
        <v>0</v>
      </c>
      <c r="CN233" s="452">
        <f t="shared" si="886"/>
        <v>0.99672590238536474</v>
      </c>
      <c r="CO233" s="452">
        <f t="shared" si="886"/>
        <v>1.0814198349570758</v>
      </c>
      <c r="CP233" s="452">
        <f t="shared" si="886"/>
        <v>-0.79059413289013225</v>
      </c>
      <c r="CQ233" s="452">
        <f t="shared" si="886"/>
        <v>-2.1353800237609799</v>
      </c>
      <c r="CR233" s="453">
        <f t="shared" si="886"/>
        <v>-0.24270898036600208</v>
      </c>
      <c r="CS233" s="452">
        <f t="shared" si="886"/>
        <v>0.4658502410894716</v>
      </c>
      <c r="CT233" s="452">
        <f t="shared" si="886"/>
        <v>0.67028797524637529</v>
      </c>
      <c r="CU233" s="452">
        <f t="shared" si="886"/>
        <v>4.8193168309685896</v>
      </c>
      <c r="CV233" s="452">
        <f t="shared" si="886"/>
        <v>8.0709032773780933</v>
      </c>
      <c r="CW233" s="453">
        <f t="shared" si="886"/>
        <v>3.4854586589534775</v>
      </c>
      <c r="CX233" s="452">
        <f t="shared" si="886"/>
        <v>1.0017498713329798</v>
      </c>
      <c r="CY233" s="452">
        <f t="shared" si="886"/>
        <v>-0.54356488960689564</v>
      </c>
      <c r="CZ233" s="452">
        <f t="shared" si="886"/>
        <v>-7.5320407174018449</v>
      </c>
      <c r="DA233" s="452">
        <f t="shared" si="886"/>
        <v>-9.3542260208926979</v>
      </c>
      <c r="DB233" s="453">
        <f t="shared" si="886"/>
        <v>-4.3043794704479836</v>
      </c>
      <c r="DC233" s="452">
        <f t="shared" si="886"/>
        <v>-1.3404825737265424</v>
      </c>
      <c r="DD233" s="452">
        <f t="shared" si="886"/>
        <v>1.3168724279835287</v>
      </c>
      <c r="DE233" s="452">
        <f t="shared" si="886"/>
        <v>0.53025244299674812</v>
      </c>
      <c r="DF233" s="452">
        <f t="shared" si="886"/>
        <v>-0.65467517918943452</v>
      </c>
      <c r="DG233" s="453">
        <f t="shared" si="886"/>
        <v>-6.6835695289979569E-3</v>
      </c>
      <c r="DH233" s="452">
        <f t="shared" si="886"/>
        <v>-1.7109160305343485</v>
      </c>
      <c r="DI233" s="452">
        <f>(DI229-DI225)*100</f>
        <v>0.27913468248429441</v>
      </c>
      <c r="DJ233" s="452">
        <f>(DJ229-DJ225)*100</f>
        <v>1.8345448251990359</v>
      </c>
      <c r="DK233" s="452">
        <f>(DK229-DK225)*100</f>
        <v>0.1787629603146268</v>
      </c>
      <c r="DL233" s="453">
        <f t="shared" si="886"/>
        <v>0.18952738990333229</v>
      </c>
      <c r="DM233" s="452">
        <f t="shared" si="886"/>
        <v>1.8644675510935849</v>
      </c>
      <c r="DN233" s="452">
        <f t="shared" si="886"/>
        <v>0.88858733472512164</v>
      </c>
      <c r="DO233" s="452">
        <f t="shared" si="886"/>
        <v>-2.4507983661344213</v>
      </c>
      <c r="DP233" s="452">
        <f>(DP229-DP225)*100</f>
        <v>0.85692995529061955</v>
      </c>
      <c r="DQ233" s="453">
        <f t="shared" si="886"/>
        <v>0.31284420289855452</v>
      </c>
      <c r="DR233" s="452">
        <f>(DR229-DR225)*100</f>
        <v>-2.4470416362308289</v>
      </c>
      <c r="DS233" s="452">
        <f>(DS229-DS225)*100</f>
        <v>-2.1413276231263434</v>
      </c>
      <c r="DT233" s="452">
        <f t="shared" si="886"/>
        <v>0.84985835694051381</v>
      </c>
      <c r="DU233" s="452">
        <f>(DU229-DU225)*100</f>
        <v>1.4925373134328401</v>
      </c>
      <c r="DV233" s="453">
        <f t="shared" si="886"/>
        <v>-0.5335704757670201</v>
      </c>
      <c r="DW233" s="452">
        <f t="shared" ref="DW233:EF233" si="887">(DW229-DW225)*100</f>
        <v>0.66939382670138103</v>
      </c>
      <c r="DX233" s="452">
        <f t="shared" si="887"/>
        <v>1.1505588428665336</v>
      </c>
      <c r="DY233" s="452">
        <f t="shared" si="887"/>
        <v>1.6705259675818707</v>
      </c>
      <c r="DZ233" s="452">
        <f t="shared" si="887"/>
        <v>0.38327526132404532</v>
      </c>
      <c r="EA233" s="453">
        <f t="shared" si="887"/>
        <v>0.98503097040605336</v>
      </c>
      <c r="EB233" s="452">
        <f t="shared" si="887"/>
        <v>3.0385664199454654</v>
      </c>
      <c r="EC233" s="452">
        <f t="shared" si="887"/>
        <v>-3.1699225949133769</v>
      </c>
      <c r="ED233" s="452">
        <f t="shared" si="887"/>
        <v>-3.2989310726133314</v>
      </c>
      <c r="EE233" s="452">
        <f t="shared" si="887"/>
        <v>-2.8991262907069104</v>
      </c>
      <c r="EF233" s="453">
        <f t="shared" si="887"/>
        <v>-2.0216915612215836</v>
      </c>
      <c r="EG233" s="452">
        <f t="shared" ref="EG233:ER233" si="888">(EG229-EG225)*100</f>
        <v>4.1322314049585529E-2</v>
      </c>
      <c r="EH233" s="452">
        <f t="shared" si="888"/>
        <v>0.48899755501222719</v>
      </c>
      <c r="EI233" s="452">
        <f t="shared" si="888"/>
        <v>-0.23771790808241322</v>
      </c>
      <c r="EJ233" s="452">
        <f t="shared" si="888"/>
        <v>-0.48192771084337727</v>
      </c>
      <c r="EK233" s="453">
        <f t="shared" si="888"/>
        <v>-5.0566343042068862E-2</v>
      </c>
      <c r="EL233" s="452">
        <f>(EL229-EL225)*100</f>
        <v>-1.281553398058255</v>
      </c>
      <c r="EM233" s="452">
        <f t="shared" ref="EM233:EP233" si="889">(EM229-EM225)*100</f>
        <v>0.72051573758058485</v>
      </c>
      <c r="EN233" s="452">
        <f t="shared" si="889"/>
        <v>0</v>
      </c>
      <c r="EO233" s="452">
        <f t="shared" si="889"/>
        <v>-0.18733608092917908</v>
      </c>
      <c r="EP233" s="453">
        <f t="shared" si="889"/>
        <v>-0.18007771775186976</v>
      </c>
      <c r="EQ233" s="452">
        <f>(EQ229-EQ225)*100</f>
        <v>-7.3610599926388076E-2</v>
      </c>
      <c r="ER233" s="452">
        <f t="shared" si="888"/>
        <v>5.7173925056996922E-2</v>
      </c>
      <c r="ES233" s="452">
        <f t="shared" ref="ES233:EU233" si="890">(ES229-ES225)*100</f>
        <v>0.75570041162771329</v>
      </c>
      <c r="ET233" s="452">
        <f t="shared" si="890"/>
        <v>1.0142826284995632</v>
      </c>
      <c r="EU233" s="1987">
        <f t="shared" si="890"/>
        <v>0.44295002646106418</v>
      </c>
      <c r="EV233" s="407"/>
      <c r="EW233" s="407"/>
      <c r="EX233" s="407"/>
      <c r="EY233" s="407"/>
      <c r="EZ233" s="870">
        <f>(EZ229-EZ225)*100</f>
        <v>-0.11535489862891657</v>
      </c>
      <c r="FA233" s="407"/>
      <c r="FB233" s="407"/>
      <c r="FC233" s="407"/>
      <c r="FD233" s="407"/>
      <c r="FE233" s="870">
        <f>(FE229-FE225)*100</f>
        <v>-2.0837699524456355E-2</v>
      </c>
      <c r="FF233" s="762"/>
      <c r="FG233" s="655"/>
      <c r="FH233" s="1075"/>
      <c r="FI233" s="1075"/>
      <c r="FJ233" s="1075"/>
      <c r="FK233" s="1075"/>
      <c r="FL233" s="1810"/>
      <c r="FM233" s="452">
        <f t="shared" si="819"/>
        <v>-7.3610599926388076E-2</v>
      </c>
      <c r="FN233" s="452">
        <f t="shared" si="820"/>
        <v>-1.281553398058255</v>
      </c>
      <c r="FO233" s="1584">
        <v>0.91476815121349642</v>
      </c>
      <c r="FP233" s="452"/>
      <c r="FQ233" s="452"/>
      <c r="FR233" s="573"/>
      <c r="FS233" s="573"/>
      <c r="FT233" s="573"/>
      <c r="FU233" s="573"/>
      <c r="FV233" s="573"/>
      <c r="FW233" s="573"/>
      <c r="FX233" s="573"/>
      <c r="FY233" s="573"/>
      <c r="FZ233" s="573"/>
      <c r="GA233" s="655"/>
      <c r="GB233"/>
      <c r="GC233"/>
      <c r="GD233"/>
      <c r="GE233"/>
      <c r="GF233"/>
      <c r="GG233"/>
      <c r="GH233" s="960"/>
      <c r="GI233" s="960"/>
      <c r="GJ233" s="960"/>
      <c r="GK233" s="960"/>
      <c r="GL233" s="960"/>
      <c r="GM233" s="960"/>
      <c r="GN233" s="960"/>
      <c r="GO233" s="960"/>
      <c r="GP233" s="960"/>
      <c r="GQ233" s="960"/>
      <c r="GR233" s="960"/>
      <c r="GS233" s="960"/>
      <c r="GT233" s="960"/>
      <c r="GU233" s="960"/>
      <c r="GV233" s="960"/>
      <c r="GW233" s="960"/>
      <c r="GX233" s="960"/>
      <c r="GY233" s="960"/>
      <c r="GZ233" s="960"/>
      <c r="HA233" s="960"/>
      <c r="HB233" s="960"/>
      <c r="HC233" s="960"/>
      <c r="HD233" s="960"/>
      <c r="HE233" s="960"/>
      <c r="HF233" s="960"/>
      <c r="HG233" s="960"/>
      <c r="HH233" s="960"/>
      <c r="HI233" s="960"/>
      <c r="HJ233" s="960"/>
      <c r="HK233" s="960"/>
      <c r="HL233" s="960"/>
      <c r="HM233" s="960"/>
      <c r="HN233" s="960"/>
      <c r="HO233" s="960"/>
      <c r="HP233" s="960"/>
      <c r="HQ233" s="960"/>
      <c r="HR233" s="960"/>
      <c r="HS233" s="960"/>
      <c r="HT233" s="960"/>
      <c r="HU233" s="960"/>
      <c r="HV233" s="960"/>
      <c r="HW233" s="960"/>
      <c r="HX233" s="960"/>
      <c r="HY233" s="960"/>
      <c r="HZ233" s="960"/>
      <c r="IA233" s="960"/>
      <c r="IB233" s="960"/>
      <c r="IC233" s="960"/>
      <c r="ID233" s="960"/>
      <c r="IE233" s="960"/>
      <c r="IF233" s="960"/>
      <c r="IG233" s="960"/>
      <c r="IH233" s="960"/>
      <c r="II233" s="960"/>
      <c r="IJ233" s="960"/>
      <c r="IK233" s="960"/>
      <c r="IL233" s="960"/>
      <c r="IM233" s="960"/>
      <c r="IN233" s="960"/>
      <c r="IO233" s="960"/>
      <c r="IP233" s="960"/>
      <c r="IQ233" s="960"/>
      <c r="IR233" s="960"/>
      <c r="IS233" s="960"/>
      <c r="IT233" s="960"/>
      <c r="IU233" s="960"/>
      <c r="IV233" s="960"/>
    </row>
    <row r="234" spans="1:256" s="338" customFormat="1" ht="12.75" x14ac:dyDescent="0.2">
      <c r="A234" s="339" t="s">
        <v>641</v>
      </c>
      <c r="B234" s="118">
        <f t="shared" ref="B234:BM234" si="891">B221-B223</f>
        <v>196.40000000000009</v>
      </c>
      <c r="C234" s="118">
        <f t="shared" si="891"/>
        <v>230.39999999999986</v>
      </c>
      <c r="D234" s="118">
        <f t="shared" si="891"/>
        <v>190.89999999999986</v>
      </c>
      <c r="E234" s="340">
        <f t="shared" si="891"/>
        <v>212.00000000000011</v>
      </c>
      <c r="F234" s="341">
        <f t="shared" si="891"/>
        <v>829.70000000000027</v>
      </c>
      <c r="G234" s="118">
        <f t="shared" si="891"/>
        <v>209.79999999999984</v>
      </c>
      <c r="H234" s="118">
        <f t="shared" si="891"/>
        <v>226.5</v>
      </c>
      <c r="I234" s="118">
        <f t="shared" si="891"/>
        <v>209.69999999999993</v>
      </c>
      <c r="J234" s="340">
        <f t="shared" si="891"/>
        <v>200.10000000000014</v>
      </c>
      <c r="K234" s="341">
        <f t="shared" si="891"/>
        <v>846.10000000000036</v>
      </c>
      <c r="L234" s="118">
        <f t="shared" si="891"/>
        <v>160.5</v>
      </c>
      <c r="M234" s="118">
        <f t="shared" si="891"/>
        <v>202.8000000000003</v>
      </c>
      <c r="N234" s="118">
        <f t="shared" si="891"/>
        <v>231.99999999999989</v>
      </c>
      <c r="O234" s="340">
        <f t="shared" si="891"/>
        <v>196.60000000000002</v>
      </c>
      <c r="P234" s="341">
        <f t="shared" si="891"/>
        <v>791.90000000000009</v>
      </c>
      <c r="Q234" s="118">
        <f t="shared" si="891"/>
        <v>231.30000000000007</v>
      </c>
      <c r="R234" s="118">
        <f t="shared" si="891"/>
        <v>225.19999999999993</v>
      </c>
      <c r="S234" s="118">
        <f t="shared" si="891"/>
        <v>228.79999999999995</v>
      </c>
      <c r="T234" s="340">
        <f t="shared" si="891"/>
        <v>240.80000000000007</v>
      </c>
      <c r="U234" s="341">
        <f t="shared" si="891"/>
        <v>926.10000000000036</v>
      </c>
      <c r="V234" s="118">
        <f t="shared" si="891"/>
        <v>205.9000000000002</v>
      </c>
      <c r="W234" s="118">
        <f t="shared" si="891"/>
        <v>251.30000000000007</v>
      </c>
      <c r="X234" s="118">
        <f t="shared" si="891"/>
        <v>208.5999999999998</v>
      </c>
      <c r="Y234" s="340">
        <f t="shared" si="891"/>
        <v>245.89999999999998</v>
      </c>
      <c r="Z234" s="341">
        <f t="shared" si="891"/>
        <v>911.69999999999982</v>
      </c>
      <c r="AA234" s="118">
        <f t="shared" si="891"/>
        <v>224.30000000000007</v>
      </c>
      <c r="AB234" s="118">
        <f t="shared" si="891"/>
        <v>272.59999999999991</v>
      </c>
      <c r="AC234" s="118">
        <f t="shared" si="891"/>
        <v>263.89999999999998</v>
      </c>
      <c r="AD234" s="340">
        <f t="shared" si="891"/>
        <v>282.49999999999989</v>
      </c>
      <c r="AE234" s="341">
        <f t="shared" si="891"/>
        <v>1043.3000000000006</v>
      </c>
      <c r="AF234" s="118">
        <f t="shared" si="891"/>
        <v>250</v>
      </c>
      <c r="AG234" s="118">
        <f t="shared" si="891"/>
        <v>290.20000000000005</v>
      </c>
      <c r="AH234" s="118">
        <f t="shared" si="891"/>
        <v>277.69999999999993</v>
      </c>
      <c r="AI234" s="340">
        <f t="shared" si="891"/>
        <v>283.99999999999977</v>
      </c>
      <c r="AJ234" s="341">
        <f t="shared" si="891"/>
        <v>1101.9000000000005</v>
      </c>
      <c r="AK234" s="118">
        <f t="shared" si="891"/>
        <v>261.89999999999986</v>
      </c>
      <c r="AL234" s="118">
        <f t="shared" si="891"/>
        <v>300</v>
      </c>
      <c r="AM234" s="118">
        <f t="shared" si="891"/>
        <v>300.39999999999986</v>
      </c>
      <c r="AN234" s="340">
        <f t="shared" si="891"/>
        <v>302.79999999999995</v>
      </c>
      <c r="AO234" s="341">
        <f t="shared" si="891"/>
        <v>1165.099999999999</v>
      </c>
      <c r="AP234" s="118">
        <f t="shared" si="891"/>
        <v>281.5</v>
      </c>
      <c r="AQ234" s="118">
        <f t="shared" si="891"/>
        <v>320.39999999999998</v>
      </c>
      <c r="AR234" s="118">
        <f t="shared" si="891"/>
        <v>297.19999999999982</v>
      </c>
      <c r="AS234" s="340">
        <f t="shared" si="891"/>
        <v>314</v>
      </c>
      <c r="AT234" s="341">
        <f t="shared" si="891"/>
        <v>1213.1000000000004</v>
      </c>
      <c r="AU234" s="118">
        <f t="shared" si="891"/>
        <v>250.89999999999986</v>
      </c>
      <c r="AV234" s="118">
        <f t="shared" si="891"/>
        <v>294.29999999999995</v>
      </c>
      <c r="AW234" s="118">
        <f t="shared" si="891"/>
        <v>258.04999999999995</v>
      </c>
      <c r="AX234" s="340">
        <f t="shared" si="891"/>
        <v>250.24</v>
      </c>
      <c r="AY234" s="341">
        <f t="shared" si="891"/>
        <v>1053.4900000000007</v>
      </c>
      <c r="AZ234" s="118">
        <f t="shared" si="891"/>
        <v>237.20000000000005</v>
      </c>
      <c r="BA234" s="118">
        <f t="shared" si="891"/>
        <v>197.70000000000005</v>
      </c>
      <c r="BB234" s="118">
        <f t="shared" si="891"/>
        <v>146.08999999999992</v>
      </c>
      <c r="BC234" s="340">
        <f t="shared" si="891"/>
        <v>137.20000000000005</v>
      </c>
      <c r="BD234" s="341">
        <f t="shared" si="891"/>
        <v>718.1899999999996</v>
      </c>
      <c r="BE234" s="118">
        <f t="shared" si="891"/>
        <v>129</v>
      </c>
      <c r="BF234" s="118">
        <f t="shared" si="891"/>
        <v>278</v>
      </c>
      <c r="BG234" s="118">
        <f t="shared" si="891"/>
        <v>211</v>
      </c>
      <c r="BH234" s="340">
        <f t="shared" si="891"/>
        <v>180</v>
      </c>
      <c r="BI234" s="341">
        <f t="shared" si="891"/>
        <v>798</v>
      </c>
      <c r="BJ234" s="118">
        <f t="shared" si="891"/>
        <v>205</v>
      </c>
      <c r="BK234" s="118">
        <f t="shared" si="891"/>
        <v>282</v>
      </c>
      <c r="BL234" s="118">
        <f t="shared" si="891"/>
        <v>245</v>
      </c>
      <c r="BM234" s="340">
        <f t="shared" si="891"/>
        <v>275</v>
      </c>
      <c r="BN234" s="341">
        <f t="shared" ref="BN234:CV234" si="892">BN221-BN223</f>
        <v>1007</v>
      </c>
      <c r="BO234" s="118">
        <f t="shared" si="892"/>
        <v>237</v>
      </c>
      <c r="BP234" s="118">
        <f t="shared" si="892"/>
        <v>322</v>
      </c>
      <c r="BQ234" s="118">
        <f t="shared" si="892"/>
        <v>311</v>
      </c>
      <c r="BR234" s="340">
        <f t="shared" si="892"/>
        <v>288</v>
      </c>
      <c r="BS234" s="341">
        <f t="shared" si="892"/>
        <v>1158</v>
      </c>
      <c r="BT234" s="118">
        <f t="shared" si="892"/>
        <v>231</v>
      </c>
      <c r="BU234" s="118">
        <f t="shared" si="892"/>
        <v>298</v>
      </c>
      <c r="BV234" s="118">
        <f t="shared" si="892"/>
        <v>311</v>
      </c>
      <c r="BW234" s="340">
        <f t="shared" si="892"/>
        <v>331</v>
      </c>
      <c r="BX234" s="341">
        <f>SUM(BT234:BW234)</f>
        <v>1171</v>
      </c>
      <c r="BY234" s="118">
        <f t="shared" si="892"/>
        <v>346</v>
      </c>
      <c r="BZ234" s="118">
        <f t="shared" si="892"/>
        <v>425</v>
      </c>
      <c r="CA234" s="118">
        <f t="shared" si="892"/>
        <v>469</v>
      </c>
      <c r="CB234" s="340">
        <f t="shared" si="892"/>
        <v>462</v>
      </c>
      <c r="CC234" s="341">
        <f>SUM(BY234:CB234)</f>
        <v>1702</v>
      </c>
      <c r="CD234" s="118">
        <f t="shared" si="892"/>
        <v>403</v>
      </c>
      <c r="CE234" s="118">
        <f t="shared" si="892"/>
        <v>558</v>
      </c>
      <c r="CF234" s="118">
        <f t="shared" si="892"/>
        <v>528</v>
      </c>
      <c r="CG234" s="340">
        <f t="shared" si="892"/>
        <v>594</v>
      </c>
      <c r="CH234" s="341">
        <f>SUM(CD234:CG234)</f>
        <v>2083</v>
      </c>
      <c r="CI234" s="118">
        <f t="shared" si="892"/>
        <v>551</v>
      </c>
      <c r="CJ234" s="118">
        <f t="shared" si="892"/>
        <v>677</v>
      </c>
      <c r="CK234" s="118">
        <f t="shared" si="892"/>
        <v>715</v>
      </c>
      <c r="CL234" s="340">
        <f t="shared" si="892"/>
        <v>614</v>
      </c>
      <c r="CM234" s="341">
        <f>SUM(CI234:CL234)</f>
        <v>2557</v>
      </c>
      <c r="CN234" s="118">
        <f t="shared" si="892"/>
        <v>528</v>
      </c>
      <c r="CO234" s="118">
        <f t="shared" si="892"/>
        <v>690</v>
      </c>
      <c r="CP234" s="118">
        <f t="shared" si="892"/>
        <v>681</v>
      </c>
      <c r="CQ234" s="340">
        <f t="shared" si="892"/>
        <v>686</v>
      </c>
      <c r="CR234" s="341">
        <f>SUM(CN234:CQ234)</f>
        <v>2585</v>
      </c>
      <c r="CS234" s="118">
        <f t="shared" si="892"/>
        <v>591</v>
      </c>
      <c r="CT234" s="118">
        <f t="shared" si="892"/>
        <v>799</v>
      </c>
      <c r="CU234" s="118">
        <f t="shared" si="892"/>
        <v>894</v>
      </c>
      <c r="CV234" s="340">
        <f t="shared" si="892"/>
        <v>813</v>
      </c>
      <c r="CW234" s="341">
        <f>SUM(CS234:CV234)</f>
        <v>3097</v>
      </c>
      <c r="CX234" s="118">
        <f>CX221-CX223</f>
        <v>383</v>
      </c>
      <c r="CY234" s="118">
        <f>CY221-CY223</f>
        <v>468</v>
      </c>
      <c r="CZ234" s="118">
        <f>CZ221-CZ223</f>
        <v>562</v>
      </c>
      <c r="DA234" s="118">
        <f>DA221-DA223</f>
        <v>549</v>
      </c>
      <c r="DB234" s="341">
        <f>SUM(CX234:DA234)</f>
        <v>1962</v>
      </c>
      <c r="DC234" s="118">
        <f t="shared" ref="DC234:DY234" si="893">DC221-DC223</f>
        <v>555</v>
      </c>
      <c r="DD234" s="118">
        <f t="shared" si="893"/>
        <v>733</v>
      </c>
      <c r="DE234" s="118">
        <f t="shared" si="893"/>
        <v>746</v>
      </c>
      <c r="DF234" s="118">
        <f t="shared" si="893"/>
        <v>641.87317585301844</v>
      </c>
      <c r="DG234" s="341">
        <f t="shared" si="893"/>
        <v>2675.8731758530193</v>
      </c>
      <c r="DH234" s="118">
        <f t="shared" si="893"/>
        <v>658</v>
      </c>
      <c r="DI234" s="118">
        <f t="shared" si="893"/>
        <v>875</v>
      </c>
      <c r="DJ234" s="118">
        <f t="shared" si="893"/>
        <v>938</v>
      </c>
      <c r="DK234" s="118">
        <f t="shared" si="893"/>
        <v>800</v>
      </c>
      <c r="DL234" s="341">
        <f t="shared" si="893"/>
        <v>3271</v>
      </c>
      <c r="DM234" s="118">
        <f t="shared" si="893"/>
        <v>745</v>
      </c>
      <c r="DN234" s="118">
        <f t="shared" si="893"/>
        <v>934</v>
      </c>
      <c r="DO234" s="118">
        <f t="shared" si="893"/>
        <v>731</v>
      </c>
      <c r="DP234" s="118">
        <f t="shared" si="893"/>
        <v>714</v>
      </c>
      <c r="DQ234" s="341">
        <f t="shared" si="893"/>
        <v>3124</v>
      </c>
      <c r="DR234" s="118">
        <f t="shared" si="893"/>
        <v>691</v>
      </c>
      <c r="DS234" s="118">
        <f t="shared" si="893"/>
        <v>836</v>
      </c>
      <c r="DT234" s="118">
        <f t="shared" si="893"/>
        <v>849</v>
      </c>
      <c r="DU234" s="118">
        <f t="shared" si="893"/>
        <v>881</v>
      </c>
      <c r="DV234" s="341">
        <f t="shared" si="893"/>
        <v>3257</v>
      </c>
      <c r="DW234" s="118">
        <f t="shared" si="893"/>
        <v>667</v>
      </c>
      <c r="DX234" s="118">
        <f t="shared" si="893"/>
        <v>1019</v>
      </c>
      <c r="DY234" s="118">
        <f t="shared" si="893"/>
        <v>998.09999999999991</v>
      </c>
      <c r="DZ234" s="118">
        <f t="shared" ref="DZ234:EF234" si="894">DZ221-DZ223</f>
        <v>891</v>
      </c>
      <c r="EA234" s="341">
        <f t="shared" si="894"/>
        <v>3575.1000000000004</v>
      </c>
      <c r="EB234" s="118">
        <f t="shared" si="894"/>
        <v>606</v>
      </c>
      <c r="EC234" s="118">
        <f t="shared" si="894"/>
        <v>814</v>
      </c>
      <c r="ED234" s="118">
        <f t="shared" si="894"/>
        <v>822</v>
      </c>
      <c r="EE234" s="118">
        <f t="shared" si="894"/>
        <v>642</v>
      </c>
      <c r="EF234" s="341">
        <f t="shared" si="894"/>
        <v>2884</v>
      </c>
      <c r="EG234" s="118">
        <f t="shared" ref="EG234:ER234" si="895">EG221-EG223</f>
        <v>723</v>
      </c>
      <c r="EH234" s="118">
        <f t="shared" si="895"/>
        <v>770</v>
      </c>
      <c r="EI234" s="118">
        <f t="shared" si="895"/>
        <v>820</v>
      </c>
      <c r="EJ234" s="118">
        <f t="shared" si="895"/>
        <v>761</v>
      </c>
      <c r="EK234" s="341">
        <f t="shared" si="895"/>
        <v>3074</v>
      </c>
      <c r="EL234" s="118">
        <f>EL221-EL223</f>
        <v>757</v>
      </c>
      <c r="EM234" s="118">
        <f t="shared" ref="EM234:EP234" si="896">EM221-EM223</f>
        <v>872</v>
      </c>
      <c r="EN234" s="118">
        <f t="shared" si="896"/>
        <v>895</v>
      </c>
      <c r="EO234" s="118">
        <f t="shared" si="896"/>
        <v>847</v>
      </c>
      <c r="EP234" s="341">
        <f t="shared" si="896"/>
        <v>3371</v>
      </c>
      <c r="EQ234" s="118">
        <f>EQ221-EQ223</f>
        <v>835</v>
      </c>
      <c r="ER234" s="118">
        <f t="shared" si="895"/>
        <v>950.6944133204579</v>
      </c>
      <c r="ES234" s="118">
        <f t="shared" ref="ES234:EU234" si="897">ES221-ES223</f>
        <v>890.45208941838155</v>
      </c>
      <c r="ET234" s="118">
        <f t="shared" si="897"/>
        <v>854.9092620162121</v>
      </c>
      <c r="EU234" s="1982">
        <f t="shared" si="897"/>
        <v>3531.0557647550513</v>
      </c>
      <c r="EV234" s="118"/>
      <c r="EW234" s="118"/>
      <c r="EX234" s="118"/>
      <c r="EY234" s="118"/>
      <c r="EZ234" s="867">
        <f>EZ221-EZ223</f>
        <v>3684.6434783280629</v>
      </c>
      <c r="FA234" s="118"/>
      <c r="FB234" s="118"/>
      <c r="FC234" s="118"/>
      <c r="FD234" s="118"/>
      <c r="FE234" s="867">
        <f>FE221-FE223</f>
        <v>3872.8279593691805</v>
      </c>
      <c r="FF234" s="793"/>
      <c r="FG234" s="655"/>
      <c r="FH234" s="1031"/>
      <c r="FI234" s="1031"/>
      <c r="FJ234" s="1031"/>
      <c r="FK234" s="1031"/>
      <c r="FL234" s="1809"/>
      <c r="FM234" s="118">
        <f t="shared" si="819"/>
        <v>835</v>
      </c>
      <c r="FN234" s="118">
        <f t="shared" si="820"/>
        <v>757</v>
      </c>
      <c r="FO234" s="118">
        <v>786.11112050487645</v>
      </c>
      <c r="FP234" s="34">
        <f>IFERROR(($FM234/FN234)-1,"")</f>
        <v>0.1030383091149274</v>
      </c>
      <c r="FQ234" s="34">
        <f>IFERROR(($FM234/FO234)-1,"")</f>
        <v>6.2190800028022686E-2</v>
      </c>
      <c r="FR234" s="122"/>
      <c r="FS234" s="122"/>
      <c r="FT234" s="122"/>
      <c r="FU234" s="122"/>
      <c r="FV234" s="122"/>
      <c r="FW234" s="122"/>
      <c r="FX234" s="122"/>
      <c r="FY234" s="122"/>
      <c r="FZ234" s="122"/>
      <c r="GA234" s="655"/>
      <c r="GB234"/>
      <c r="GC234"/>
      <c r="GD234"/>
      <c r="GE234"/>
      <c r="GF234"/>
      <c r="GG234"/>
      <c r="GH234" s="956"/>
      <c r="GI234" s="956"/>
      <c r="GJ234" s="956"/>
      <c r="GK234" s="956"/>
      <c r="GL234" s="956"/>
      <c r="GM234" s="956"/>
      <c r="GN234" s="956"/>
      <c r="GO234" s="956"/>
      <c r="GP234" s="956"/>
      <c r="GQ234" s="956"/>
      <c r="GR234" s="956"/>
      <c r="GS234" s="956"/>
      <c r="GT234" s="956"/>
      <c r="GU234" s="956"/>
      <c r="GV234" s="956"/>
      <c r="GW234" s="956"/>
      <c r="GX234" s="956"/>
      <c r="GY234" s="956"/>
      <c r="GZ234" s="956"/>
      <c r="HA234" s="956"/>
      <c r="HB234" s="956"/>
      <c r="HC234" s="956"/>
      <c r="HD234" s="956"/>
      <c r="HE234" s="956"/>
      <c r="HF234" s="956"/>
      <c r="HG234" s="956"/>
      <c r="HH234" s="956"/>
      <c r="HI234" s="956"/>
      <c r="HJ234" s="956"/>
      <c r="HK234" s="956"/>
      <c r="HL234" s="956"/>
      <c r="HM234" s="956"/>
      <c r="HN234" s="956"/>
      <c r="HO234" s="956"/>
      <c r="HP234" s="956"/>
      <c r="HQ234" s="956"/>
      <c r="HR234" s="956"/>
      <c r="HS234" s="956"/>
      <c r="HT234" s="956"/>
      <c r="HU234" s="956"/>
      <c r="HV234" s="956"/>
      <c r="HW234" s="956"/>
      <c r="HX234" s="956"/>
      <c r="HY234" s="956"/>
      <c r="HZ234" s="956"/>
      <c r="IA234" s="956"/>
      <c r="IB234" s="956"/>
      <c r="IC234" s="956"/>
      <c r="ID234" s="956"/>
      <c r="IE234" s="956"/>
      <c r="IF234" s="956"/>
      <c r="IG234" s="956"/>
      <c r="IH234" s="956"/>
      <c r="II234" s="956"/>
      <c r="IJ234" s="956"/>
      <c r="IK234" s="956"/>
      <c r="IL234" s="956"/>
      <c r="IM234" s="956"/>
      <c r="IN234" s="956"/>
      <c r="IO234" s="956"/>
      <c r="IP234" s="956"/>
      <c r="IQ234" s="956"/>
      <c r="IR234" s="956"/>
      <c r="IS234" s="956"/>
      <c r="IT234" s="956"/>
      <c r="IU234" s="956"/>
      <c r="IV234" s="956"/>
    </row>
    <row r="235" spans="1:256" s="191" customFormat="1" ht="12.75" x14ac:dyDescent="0.2">
      <c r="A235" s="242" t="s">
        <v>74</v>
      </c>
      <c r="B235" s="22"/>
      <c r="C235" s="22"/>
      <c r="D235" s="22"/>
      <c r="E235" s="197"/>
      <c r="F235" s="21"/>
      <c r="G235" s="22">
        <f t="shared" ref="G235:BR235" si="898">G234/B234-1</f>
        <v>6.8228105906312342E-2</v>
      </c>
      <c r="H235" s="22">
        <f t="shared" si="898"/>
        <v>-1.6927083333332704E-2</v>
      </c>
      <c r="I235" s="22">
        <f t="shared" si="898"/>
        <v>9.8480880041907248E-2</v>
      </c>
      <c r="J235" s="197">
        <f t="shared" si="898"/>
        <v>-5.6132075471697962E-2</v>
      </c>
      <c r="K235" s="21">
        <f t="shared" si="898"/>
        <v>1.9766180547185819E-2</v>
      </c>
      <c r="L235" s="22">
        <f t="shared" si="898"/>
        <v>-0.23498570066730162</v>
      </c>
      <c r="M235" s="22">
        <f t="shared" si="898"/>
        <v>-0.10463576158940269</v>
      </c>
      <c r="N235" s="22">
        <f t="shared" si="898"/>
        <v>0.10634239389604172</v>
      </c>
      <c r="O235" s="197">
        <f t="shared" si="898"/>
        <v>-1.749125437281418E-2</v>
      </c>
      <c r="P235" s="21">
        <f t="shared" si="898"/>
        <v>-6.4058621912303826E-2</v>
      </c>
      <c r="Q235" s="22">
        <f t="shared" si="898"/>
        <v>0.44112149532710321</v>
      </c>
      <c r="R235" s="22">
        <f t="shared" si="898"/>
        <v>0.1104536489151855</v>
      </c>
      <c r="S235" s="22">
        <f t="shared" si="898"/>
        <v>-1.3793103448275557E-2</v>
      </c>
      <c r="T235" s="197">
        <f t="shared" si="898"/>
        <v>0.22482197355035627</v>
      </c>
      <c r="U235" s="21">
        <f t="shared" si="898"/>
        <v>0.16946584164667278</v>
      </c>
      <c r="V235" s="22">
        <f t="shared" si="898"/>
        <v>-0.1098140942498913</v>
      </c>
      <c r="W235" s="22">
        <f t="shared" si="898"/>
        <v>0.1158969804618124</v>
      </c>
      <c r="X235" s="22">
        <f t="shared" si="898"/>
        <v>-8.8286713286714003E-2</v>
      </c>
      <c r="Y235" s="197">
        <f t="shared" si="898"/>
        <v>2.1179401993355107E-2</v>
      </c>
      <c r="Z235" s="21">
        <f t="shared" si="898"/>
        <v>-1.5549076773567205E-2</v>
      </c>
      <c r="AA235" s="22">
        <f t="shared" si="898"/>
        <v>8.9363768819814782E-2</v>
      </c>
      <c r="AB235" s="22">
        <f t="shared" si="898"/>
        <v>8.4759251890170528E-2</v>
      </c>
      <c r="AC235" s="22">
        <f t="shared" si="898"/>
        <v>0.26510067114094071</v>
      </c>
      <c r="AD235" s="197">
        <f t="shared" si="898"/>
        <v>0.1488409922732814</v>
      </c>
      <c r="AE235" s="21">
        <f t="shared" si="898"/>
        <v>0.14434572776132581</v>
      </c>
      <c r="AF235" s="22">
        <f t="shared" si="898"/>
        <v>0.114578689255461</v>
      </c>
      <c r="AG235" s="22">
        <f t="shared" si="898"/>
        <v>6.4563462949376982E-2</v>
      </c>
      <c r="AH235" s="22">
        <f t="shared" si="898"/>
        <v>5.2292535051155609E-2</v>
      </c>
      <c r="AI235" s="197">
        <f t="shared" si="898"/>
        <v>5.3097345132739893E-3</v>
      </c>
      <c r="AJ235" s="21">
        <f t="shared" si="898"/>
        <v>5.6167928687817392E-2</v>
      </c>
      <c r="AK235" s="22">
        <f t="shared" si="898"/>
        <v>4.7599999999999421E-2</v>
      </c>
      <c r="AL235" s="22">
        <f t="shared" si="898"/>
        <v>3.37698139214333E-2</v>
      </c>
      <c r="AM235" s="22">
        <f t="shared" si="898"/>
        <v>8.1742888008642156E-2</v>
      </c>
      <c r="AN235" s="197">
        <f t="shared" si="898"/>
        <v>6.6197183098592349E-2</v>
      </c>
      <c r="AO235" s="21">
        <f t="shared" si="898"/>
        <v>5.7355476903528935E-2</v>
      </c>
      <c r="AP235" s="22">
        <f t="shared" si="898"/>
        <v>7.4837724322260879E-2</v>
      </c>
      <c r="AQ235" s="22">
        <f t="shared" si="898"/>
        <v>6.7999999999999838E-2</v>
      </c>
      <c r="AR235" s="22">
        <f t="shared" si="898"/>
        <v>-1.0652463382157307E-2</v>
      </c>
      <c r="AS235" s="197">
        <f t="shared" si="898"/>
        <v>3.6988110964333076E-2</v>
      </c>
      <c r="AT235" s="21">
        <f t="shared" si="898"/>
        <v>4.1198180413699603E-2</v>
      </c>
      <c r="AU235" s="22">
        <f t="shared" si="898"/>
        <v>-0.10870337477797565</v>
      </c>
      <c r="AV235" s="22">
        <f t="shared" si="898"/>
        <v>-8.1460674157303403E-2</v>
      </c>
      <c r="AW235" s="22">
        <f t="shared" si="898"/>
        <v>-0.1317294751009418</v>
      </c>
      <c r="AX235" s="197">
        <f t="shared" si="898"/>
        <v>-0.20305732484076433</v>
      </c>
      <c r="AY235" s="21">
        <f t="shared" si="898"/>
        <v>-0.13157200560547322</v>
      </c>
      <c r="AZ235" s="22">
        <f t="shared" si="898"/>
        <v>-5.4603427660421811E-2</v>
      </c>
      <c r="BA235" s="22">
        <f t="shared" si="898"/>
        <v>-0.32823649337410776</v>
      </c>
      <c r="BB235" s="22">
        <f t="shared" si="898"/>
        <v>-0.43386940515404016</v>
      </c>
      <c r="BC235" s="197">
        <f t="shared" si="898"/>
        <v>-0.45172634271099732</v>
      </c>
      <c r="BD235" s="21">
        <f t="shared" si="898"/>
        <v>-0.31827544637348326</v>
      </c>
      <c r="BE235" s="22">
        <f t="shared" si="898"/>
        <v>-0.45615514333895457</v>
      </c>
      <c r="BF235" s="22">
        <f t="shared" si="898"/>
        <v>0.40617096611026771</v>
      </c>
      <c r="BG235" s="22">
        <f t="shared" si="898"/>
        <v>0.44431514819631812</v>
      </c>
      <c r="BH235" s="197">
        <f t="shared" si="898"/>
        <v>0.31195335276967895</v>
      </c>
      <c r="BI235" s="21">
        <f t="shared" si="898"/>
        <v>0.11112658210222981</v>
      </c>
      <c r="BJ235" s="22">
        <f t="shared" si="898"/>
        <v>0.58914728682170536</v>
      </c>
      <c r="BK235" s="22">
        <f t="shared" si="898"/>
        <v>1.4388489208633004E-2</v>
      </c>
      <c r="BL235" s="22">
        <f t="shared" si="898"/>
        <v>0.16113744075829395</v>
      </c>
      <c r="BM235" s="197">
        <f t="shared" si="898"/>
        <v>0.52777777777777768</v>
      </c>
      <c r="BN235" s="21">
        <f t="shared" si="898"/>
        <v>0.26190476190476186</v>
      </c>
      <c r="BO235" s="22">
        <f t="shared" si="898"/>
        <v>0.15609756097560967</v>
      </c>
      <c r="BP235" s="22">
        <f t="shared" si="898"/>
        <v>0.14184397163120566</v>
      </c>
      <c r="BQ235" s="22">
        <f t="shared" si="898"/>
        <v>0.26938775510204072</v>
      </c>
      <c r="BR235" s="197">
        <f t="shared" si="898"/>
        <v>4.7272727272727355E-2</v>
      </c>
      <c r="BS235" s="21">
        <f t="shared" ref="BS235:DY235" si="899">BS234/BN234-1</f>
        <v>0.14995034756703074</v>
      </c>
      <c r="BT235" s="22">
        <f t="shared" si="899"/>
        <v>-2.5316455696202556E-2</v>
      </c>
      <c r="BU235" s="22">
        <f t="shared" si="899"/>
        <v>-7.4534161490683259E-2</v>
      </c>
      <c r="BV235" s="22">
        <f t="shared" si="899"/>
        <v>0</v>
      </c>
      <c r="BW235" s="197">
        <f t="shared" si="899"/>
        <v>0.14930555555555558</v>
      </c>
      <c r="BX235" s="21">
        <f t="shared" si="899"/>
        <v>1.1226252158894612E-2</v>
      </c>
      <c r="BY235" s="22">
        <f t="shared" si="899"/>
        <v>0.49783549783549774</v>
      </c>
      <c r="BZ235" s="22">
        <f t="shared" si="899"/>
        <v>0.4261744966442953</v>
      </c>
      <c r="CA235" s="22">
        <f t="shared" si="899"/>
        <v>0.50803858520900325</v>
      </c>
      <c r="CB235" s="197">
        <f t="shared" si="899"/>
        <v>0.39577039274924464</v>
      </c>
      <c r="CC235" s="21">
        <f t="shared" si="899"/>
        <v>0.45345858240819803</v>
      </c>
      <c r="CD235" s="22">
        <f t="shared" si="899"/>
        <v>0.16473988439306364</v>
      </c>
      <c r="CE235" s="22">
        <f t="shared" si="899"/>
        <v>0.31294117647058828</v>
      </c>
      <c r="CF235" s="22">
        <f t="shared" si="899"/>
        <v>0.12579957356076754</v>
      </c>
      <c r="CG235" s="197">
        <f t="shared" si="899"/>
        <v>0.28571428571428581</v>
      </c>
      <c r="CH235" s="21">
        <f t="shared" si="899"/>
        <v>0.22385428907168037</v>
      </c>
      <c r="CI235" s="22">
        <f t="shared" si="899"/>
        <v>0.36724565756823813</v>
      </c>
      <c r="CJ235" s="22">
        <f t="shared" si="899"/>
        <v>0.21326164874551967</v>
      </c>
      <c r="CK235" s="22">
        <f t="shared" si="899"/>
        <v>0.35416666666666674</v>
      </c>
      <c r="CL235" s="197">
        <f t="shared" si="899"/>
        <v>3.3670033670033739E-2</v>
      </c>
      <c r="CM235" s="21">
        <f t="shared" si="899"/>
        <v>0.22755640902544405</v>
      </c>
      <c r="CN235" s="22">
        <f t="shared" si="899"/>
        <v>-4.1742286751361157E-2</v>
      </c>
      <c r="CO235" s="22">
        <f t="shared" si="899"/>
        <v>1.9202363367799125E-2</v>
      </c>
      <c r="CP235" s="22">
        <f t="shared" si="899"/>
        <v>-4.7552447552447585E-2</v>
      </c>
      <c r="CQ235" s="197">
        <f t="shared" si="899"/>
        <v>0.11726384364820852</v>
      </c>
      <c r="CR235" s="21">
        <f t="shared" si="899"/>
        <v>1.0950332420805564E-2</v>
      </c>
      <c r="CS235" s="22">
        <f t="shared" si="899"/>
        <v>0.11931818181818188</v>
      </c>
      <c r="CT235" s="22">
        <f t="shared" si="899"/>
        <v>0.15797101449275353</v>
      </c>
      <c r="CU235" s="22">
        <f t="shared" si="899"/>
        <v>0.31277533039647576</v>
      </c>
      <c r="CV235" s="197">
        <f t="shared" si="899"/>
        <v>0.185131195335277</v>
      </c>
      <c r="CW235" s="21">
        <f t="shared" si="899"/>
        <v>0.19806576402321086</v>
      </c>
      <c r="CX235" s="22">
        <f t="shared" si="899"/>
        <v>-0.35194585448392557</v>
      </c>
      <c r="CY235" s="22">
        <f t="shared" si="899"/>
        <v>-0.41426783479349183</v>
      </c>
      <c r="CZ235" s="22">
        <f t="shared" si="899"/>
        <v>-0.37136465324384782</v>
      </c>
      <c r="DA235" s="22">
        <f>DA234/CV234-1</f>
        <v>-0.32472324723247237</v>
      </c>
      <c r="DB235" s="21">
        <f>DB234/CW234-1</f>
        <v>-0.36648369389731994</v>
      </c>
      <c r="DC235" s="22">
        <f t="shared" si="899"/>
        <v>0.44908616187989558</v>
      </c>
      <c r="DD235" s="22">
        <f t="shared" si="899"/>
        <v>0.56623931623931623</v>
      </c>
      <c r="DE235" s="22">
        <f t="shared" si="899"/>
        <v>0.32740213523131678</v>
      </c>
      <c r="DF235" s="22">
        <f>DF234/DA234-1</f>
        <v>0.16916789772863106</v>
      </c>
      <c r="DG235" s="21">
        <f t="shared" si="899"/>
        <v>0.36384973285067246</v>
      </c>
      <c r="DH235" s="22">
        <f>DH234/DC234-1</f>
        <v>0.18558558558558569</v>
      </c>
      <c r="DI235" s="22">
        <f t="shared" si="899"/>
        <v>0.19372442019099601</v>
      </c>
      <c r="DJ235" s="22">
        <f t="shared" si="899"/>
        <v>0.25737265415549593</v>
      </c>
      <c r="DK235" s="22">
        <f t="shared" si="899"/>
        <v>0.24635213013355584</v>
      </c>
      <c r="DL235" s="21">
        <f t="shared" si="899"/>
        <v>0.22240471989382127</v>
      </c>
      <c r="DM235" s="22">
        <f t="shared" si="899"/>
        <v>0.13221884498480252</v>
      </c>
      <c r="DN235" s="22">
        <f t="shared" si="899"/>
        <v>6.7428571428571393E-2</v>
      </c>
      <c r="DO235" s="22">
        <f t="shared" si="899"/>
        <v>-0.22068230277185497</v>
      </c>
      <c r="DP235" s="22">
        <f t="shared" si="899"/>
        <v>-0.10750000000000004</v>
      </c>
      <c r="DQ235" s="21">
        <f t="shared" si="899"/>
        <v>-4.4940385203301791E-2</v>
      </c>
      <c r="DR235" s="22">
        <f t="shared" si="899"/>
        <v>-7.2483221476510096E-2</v>
      </c>
      <c r="DS235" s="22">
        <f t="shared" si="899"/>
        <v>-0.10492505353319059</v>
      </c>
      <c r="DT235" s="22">
        <f t="shared" si="899"/>
        <v>0.16142270861833108</v>
      </c>
      <c r="DU235" s="22">
        <f t="shared" si="899"/>
        <v>0.23389355742296924</v>
      </c>
      <c r="DV235" s="21">
        <f t="shared" si="899"/>
        <v>4.2573623559539087E-2</v>
      </c>
      <c r="DW235" s="22">
        <f t="shared" si="899"/>
        <v>-3.4732272069464498E-2</v>
      </c>
      <c r="DX235" s="22">
        <f t="shared" si="899"/>
        <v>0.21889952153110048</v>
      </c>
      <c r="DY235" s="22">
        <f t="shared" si="899"/>
        <v>0.17561837455830376</v>
      </c>
      <c r="DZ235" s="22">
        <f>DZ234/DU234-1</f>
        <v>1.1350737797956922E-2</v>
      </c>
      <c r="EA235" s="21">
        <f>EA234/DV234-1</f>
        <v>9.7666564322996807E-2</v>
      </c>
      <c r="EB235" s="22">
        <f>EB234/DW234-1</f>
        <v>-9.145427286356822E-2</v>
      </c>
      <c r="EC235" s="22">
        <f t="shared" ref="EC235:EI235" si="900">EC234/DX234-1</f>
        <v>-0.20117762512266923</v>
      </c>
      <c r="ED235" s="22">
        <f t="shared" si="900"/>
        <v>-0.1764352269311692</v>
      </c>
      <c r="EE235" s="22">
        <f t="shared" si="900"/>
        <v>-0.27946127946127941</v>
      </c>
      <c r="EF235" s="21">
        <f t="shared" si="900"/>
        <v>-0.19330927806215215</v>
      </c>
      <c r="EG235" s="22">
        <f>EG234/EB234-1</f>
        <v>0.19306930693069302</v>
      </c>
      <c r="EH235" s="22">
        <f t="shared" si="900"/>
        <v>-5.4054054054054057E-2</v>
      </c>
      <c r="EI235" s="22">
        <f t="shared" si="900"/>
        <v>-2.4330900243308973E-3</v>
      </c>
      <c r="EJ235" s="22">
        <f t="shared" ref="EJ235:EK235" si="901">EJ234/EE234-1</f>
        <v>0.18535825545171347</v>
      </c>
      <c r="EK235" s="21">
        <f t="shared" si="901"/>
        <v>6.5880721220527017E-2</v>
      </c>
      <c r="EL235" s="22">
        <f>EL234/EG234-1</f>
        <v>4.7026279391424675E-2</v>
      </c>
      <c r="EM235" s="22">
        <f t="shared" ref="EM235:EN235" si="902">EM234/EH234-1</f>
        <v>0.1324675324675324</v>
      </c>
      <c r="EN235" s="22">
        <f t="shared" si="902"/>
        <v>9.1463414634146423E-2</v>
      </c>
      <c r="EO235" s="22">
        <f t="shared" ref="EO235" si="903">EO234/EJ234-1</f>
        <v>0.1130091984231274</v>
      </c>
      <c r="EP235" s="21">
        <f t="shared" ref="EP235" si="904">EP234/EK234-1</f>
        <v>9.6616785946649353E-2</v>
      </c>
      <c r="EQ235" s="22">
        <f>EQ234/EL234-1</f>
        <v>0.1030383091149274</v>
      </c>
      <c r="ER235" s="22">
        <f t="shared" ref="ER235" si="905">ER234/EM234-1</f>
        <v>9.0245886835387479E-2</v>
      </c>
      <c r="ES235" s="22">
        <f t="shared" ref="ES235:EU235" si="906">ES234/EN234-1</f>
        <v>-5.0814643370038493E-3</v>
      </c>
      <c r="ET235" s="22">
        <f t="shared" si="906"/>
        <v>9.337971683839541E-3</v>
      </c>
      <c r="EU235" s="1935">
        <f t="shared" si="906"/>
        <v>4.7480203131133658E-2</v>
      </c>
      <c r="EV235" s="68"/>
      <c r="EW235" s="68"/>
      <c r="EX235" s="68"/>
      <c r="EY235" s="68"/>
      <c r="EZ235" s="844">
        <f>EZ234/EU234-1</f>
        <v>4.3496258287970102E-2</v>
      </c>
      <c r="FA235" s="68"/>
      <c r="FB235" s="68"/>
      <c r="FC235" s="68"/>
      <c r="FD235" s="68"/>
      <c r="FE235" s="844">
        <f>FE234/EZ234-1</f>
        <v>5.1072643024477227E-2</v>
      </c>
      <c r="FF235" s="790"/>
      <c r="FG235" s="1102"/>
      <c r="FH235" s="1041"/>
      <c r="FI235" s="1041"/>
      <c r="FJ235" s="1041"/>
      <c r="FK235" s="1041"/>
      <c r="FL235" s="1806"/>
      <c r="FM235" s="22">
        <f t="shared" si="819"/>
        <v>0.1030383091149274</v>
      </c>
      <c r="FN235" s="22">
        <f t="shared" si="820"/>
        <v>4.7026279391424675E-2</v>
      </c>
      <c r="FO235" s="2041">
        <v>1.6961346060642146E-2</v>
      </c>
      <c r="FP235" s="1892">
        <f>IFERROR(($FM235-FN235)*10000,"")</f>
        <v>560.12029723502724</v>
      </c>
      <c r="FQ235" s="1892">
        <f>IFERROR(($FM235-FO235)*10000,"")</f>
        <v>860.7696305428525</v>
      </c>
      <c r="FR235" s="587"/>
      <c r="FS235" s="587"/>
      <c r="FT235" s="587"/>
      <c r="FU235" s="587"/>
      <c r="FV235" s="587"/>
      <c r="FW235" s="587"/>
      <c r="FX235" s="587"/>
      <c r="FY235" s="587"/>
      <c r="FZ235" s="587"/>
      <c r="GA235" s="1102"/>
      <c r="GB235"/>
      <c r="GC235"/>
      <c r="GD235"/>
      <c r="GE235"/>
      <c r="GF235"/>
      <c r="GG235"/>
      <c r="GH235" s="978"/>
      <c r="GI235" s="978"/>
      <c r="GJ235" s="978"/>
      <c r="GK235" s="978"/>
      <c r="GL235" s="978"/>
      <c r="GM235" s="978"/>
      <c r="GN235" s="978"/>
      <c r="GO235" s="978"/>
      <c r="GP235" s="978"/>
      <c r="GQ235" s="978"/>
      <c r="GR235" s="978"/>
      <c r="GS235" s="978"/>
      <c r="GT235" s="978"/>
      <c r="GU235" s="978"/>
      <c r="GV235" s="978"/>
      <c r="GW235" s="978"/>
      <c r="GX235" s="978"/>
      <c r="GY235" s="978"/>
      <c r="GZ235" s="978"/>
      <c r="HA235" s="978"/>
      <c r="HB235" s="978"/>
      <c r="HC235" s="978"/>
      <c r="HD235" s="978"/>
      <c r="HE235" s="978"/>
      <c r="HF235" s="978"/>
      <c r="HG235" s="978"/>
      <c r="HH235" s="978"/>
      <c r="HI235" s="978"/>
      <c r="HJ235" s="978"/>
      <c r="HK235" s="978"/>
      <c r="HL235" s="978"/>
      <c r="HM235" s="978"/>
      <c r="HN235" s="978"/>
      <c r="HO235" s="978"/>
      <c r="HP235" s="978"/>
      <c r="HQ235" s="978"/>
      <c r="HR235" s="978"/>
      <c r="HS235" s="978"/>
      <c r="HT235" s="978"/>
      <c r="HU235" s="978"/>
      <c r="HV235" s="978"/>
      <c r="HW235" s="978"/>
      <c r="HX235" s="978"/>
      <c r="HY235" s="978"/>
      <c r="HZ235" s="978"/>
      <c r="IA235" s="978"/>
      <c r="IB235" s="978"/>
      <c r="IC235" s="978"/>
      <c r="ID235" s="978"/>
      <c r="IE235" s="978"/>
      <c r="IF235" s="978"/>
      <c r="IG235" s="978"/>
      <c r="IH235" s="978"/>
      <c r="II235" s="978"/>
      <c r="IJ235" s="978"/>
      <c r="IK235" s="978"/>
      <c r="IL235" s="978"/>
      <c r="IM235" s="978"/>
      <c r="IN235" s="978"/>
      <c r="IO235" s="978"/>
      <c r="IP235" s="978"/>
      <c r="IQ235" s="978"/>
      <c r="IR235" s="978"/>
      <c r="IS235" s="978"/>
      <c r="IT235" s="978"/>
      <c r="IU235" s="978"/>
      <c r="IV235" s="978"/>
    </row>
    <row r="236" spans="1:256" s="338" customFormat="1" ht="12.75" x14ac:dyDescent="0.2">
      <c r="A236" s="343" t="s">
        <v>521</v>
      </c>
      <c r="B236" s="118">
        <f>B234+B207</f>
        <v>272.2000000000001</v>
      </c>
      <c r="C236" s="118">
        <f>C234+C207</f>
        <v>303.09999999999985</v>
      </c>
      <c r="D236" s="118">
        <f>D234+D207</f>
        <v>265.19999999999987</v>
      </c>
      <c r="E236" s="340">
        <f>E234+E207</f>
        <v>288.80000000000013</v>
      </c>
      <c r="F236" s="344">
        <f>SUM(B236:E236)</f>
        <v>1129.3</v>
      </c>
      <c r="G236" s="118">
        <f>G234+G207</f>
        <v>288.49999999999983</v>
      </c>
      <c r="H236" s="118">
        <f>H234+H207</f>
        <v>305.89999999999998</v>
      </c>
      <c r="I236" s="118">
        <f>I234+I207</f>
        <v>289.39999999999998</v>
      </c>
      <c r="J236" s="340">
        <f>J234+J207</f>
        <v>280.90000000000015</v>
      </c>
      <c r="K236" s="344">
        <f>SUM(G236:J236)</f>
        <v>1164.7</v>
      </c>
      <c r="L236" s="118">
        <f>L234+L207</f>
        <v>240.9</v>
      </c>
      <c r="M236" s="118">
        <f>M234+M207</f>
        <v>284.20000000000027</v>
      </c>
      <c r="N236" s="118">
        <f>N234+N207</f>
        <v>312.79999999999984</v>
      </c>
      <c r="O236" s="340">
        <f>O234+O207</f>
        <v>278.80000000000007</v>
      </c>
      <c r="P236" s="344">
        <f>SUM(L236:O236)</f>
        <v>1116.7000000000003</v>
      </c>
      <c r="Q236" s="118">
        <f>Q234+Q207</f>
        <v>315.20000000000005</v>
      </c>
      <c r="R236" s="118">
        <f>R234+R207</f>
        <v>309.09999999999991</v>
      </c>
      <c r="S236" s="118">
        <f>S234+S207</f>
        <v>313.79999999999995</v>
      </c>
      <c r="T236" s="340">
        <f>T234+T207</f>
        <v>327.80000000000007</v>
      </c>
      <c r="U236" s="344">
        <f>SUM(Q236:T236)</f>
        <v>1265.9000000000001</v>
      </c>
      <c r="V236" s="118">
        <f>V234+V207</f>
        <v>294.60000000000019</v>
      </c>
      <c r="W236" s="118">
        <f>W234+W207</f>
        <v>341.30000000000007</v>
      </c>
      <c r="X236" s="118">
        <f>X234+X207</f>
        <v>299.0999999999998</v>
      </c>
      <c r="Y236" s="340">
        <f>Y234+Y207</f>
        <v>338.59999999999997</v>
      </c>
      <c r="Z236" s="344">
        <f>SUM(V236:Y236)</f>
        <v>1273.6000000000001</v>
      </c>
      <c r="AA236" s="118">
        <f>AA234+AA207</f>
        <v>317.60000000000008</v>
      </c>
      <c r="AB236" s="118">
        <f>AB234+AB207</f>
        <v>367.59999999999991</v>
      </c>
      <c r="AC236" s="118">
        <f>AC234+AC207</f>
        <v>359</v>
      </c>
      <c r="AD236" s="340">
        <f>AD234+AD207</f>
        <v>373.39999999999986</v>
      </c>
      <c r="AE236" s="344">
        <f>SUM(AA236:AD236)</f>
        <v>1417.6</v>
      </c>
      <c r="AF236" s="118">
        <f>AF234+AF207</f>
        <v>344.4</v>
      </c>
      <c r="AG236" s="118">
        <f>AG234+AG207</f>
        <v>386.90000000000003</v>
      </c>
      <c r="AH236" s="118">
        <f>AH234+AH207</f>
        <v>375.99999999999994</v>
      </c>
      <c r="AI236" s="340">
        <f>AI234+AI207</f>
        <v>383.5999999999998</v>
      </c>
      <c r="AJ236" s="344">
        <f>SUM(AF236:AI236)</f>
        <v>1490.8999999999996</v>
      </c>
      <c r="AK236" s="118">
        <f>AK234+AK207</f>
        <v>362.19999999999987</v>
      </c>
      <c r="AL236" s="118">
        <f>AL234+AL207</f>
        <v>401.6</v>
      </c>
      <c r="AM236" s="118">
        <f>AM234+AM207</f>
        <v>402.59999999999985</v>
      </c>
      <c r="AN236" s="340">
        <f>AN234+AN207</f>
        <v>406.59999999999997</v>
      </c>
      <c r="AO236" s="344">
        <f>SUM(AK236:AN236)</f>
        <v>1572.9999999999998</v>
      </c>
      <c r="AP236" s="118">
        <f>AP234+AP207</f>
        <v>384.4</v>
      </c>
      <c r="AQ236" s="118">
        <f>AQ234+AQ207</f>
        <v>424.79999999999995</v>
      </c>
      <c r="AR236" s="118">
        <f>AR234+AR207</f>
        <v>403.49999999999983</v>
      </c>
      <c r="AS236" s="340">
        <f>AS234+AS207</f>
        <v>421</v>
      </c>
      <c r="AT236" s="344">
        <f>SUM(AP236:AS236)</f>
        <v>1633.6999999999998</v>
      </c>
      <c r="AU236" s="118">
        <f>AU234+AU207</f>
        <v>357.89999999999986</v>
      </c>
      <c r="AV236" s="118">
        <f>AV234+AV207</f>
        <v>403.29999999999995</v>
      </c>
      <c r="AW236" s="118">
        <f>AW234+AW207</f>
        <v>370.04999999999995</v>
      </c>
      <c r="AX236" s="340">
        <f>AX234+AX207</f>
        <v>359.24</v>
      </c>
      <c r="AY236" s="344">
        <f>SUM(AU236:AX236)</f>
        <v>1490.4899999999998</v>
      </c>
      <c r="AZ236" s="118">
        <f>AZ234+AZ207</f>
        <v>351.20000000000005</v>
      </c>
      <c r="BA236" s="118">
        <f>BA234+BA207</f>
        <v>314.70000000000005</v>
      </c>
      <c r="BB236" s="118">
        <f>BB234+BB207</f>
        <v>267.08999999999992</v>
      </c>
      <c r="BC236" s="340">
        <f>BC234+BC207</f>
        <v>260.20000000000005</v>
      </c>
      <c r="BD236" s="344">
        <f>SUM(AZ236:BC236)</f>
        <v>1193.19</v>
      </c>
      <c r="BE236" s="118">
        <f>BE234+BE207</f>
        <v>254</v>
      </c>
      <c r="BF236" s="118">
        <f>BF234+BF207</f>
        <v>404</v>
      </c>
      <c r="BG236" s="118">
        <f>BG234+BG207</f>
        <v>337</v>
      </c>
      <c r="BH236" s="340">
        <f>BH234+BH207</f>
        <v>306</v>
      </c>
      <c r="BI236" s="344">
        <f>SUM(BE236:BH236)</f>
        <v>1301</v>
      </c>
      <c r="BJ236" s="118">
        <f>BJ234+BJ207</f>
        <v>332</v>
      </c>
      <c r="BK236" s="118">
        <f>BK234+BK207</f>
        <v>410</v>
      </c>
      <c r="BL236" s="118">
        <f>BL234+BL207</f>
        <v>374</v>
      </c>
      <c r="BM236" s="340">
        <f>BM234+BM207</f>
        <v>405</v>
      </c>
      <c r="BN236" s="344">
        <f>SUM(BJ236:BM236)</f>
        <v>1521</v>
      </c>
      <c r="BO236" s="118">
        <f>BO234+BO207</f>
        <v>364</v>
      </c>
      <c r="BP236" s="118">
        <f>BP234+BP207</f>
        <v>451</v>
      </c>
      <c r="BQ236" s="118">
        <f>BQ234+BQ207</f>
        <v>440</v>
      </c>
      <c r="BR236" s="340">
        <f>BR234+BR207</f>
        <v>418</v>
      </c>
      <c r="BS236" s="344">
        <f>SUM(BO236:BR236)</f>
        <v>1673</v>
      </c>
      <c r="BT236" s="118">
        <f>BT234+BT207</f>
        <v>358</v>
      </c>
      <c r="BU236" s="118">
        <f>BU234+BU207</f>
        <v>427</v>
      </c>
      <c r="BV236" s="118">
        <f>BV234+BV207</f>
        <v>439</v>
      </c>
      <c r="BW236" s="340">
        <f>BW234+BW207</f>
        <v>460</v>
      </c>
      <c r="BX236" s="344">
        <f>SUM(BT236:BW236)</f>
        <v>1684</v>
      </c>
      <c r="BY236" s="118">
        <f>BY234+BY207</f>
        <v>475</v>
      </c>
      <c r="BZ236" s="118">
        <f>BZ234+BZ207</f>
        <v>555</v>
      </c>
      <c r="CA236" s="118">
        <f>CA234+CA207</f>
        <v>619</v>
      </c>
      <c r="CB236" s="340">
        <f>CB234+CB207</f>
        <v>651</v>
      </c>
      <c r="CC236" s="344">
        <f>SUM(BY236:CB236)</f>
        <v>2300</v>
      </c>
      <c r="CD236" s="118">
        <f>CD234+CD207</f>
        <v>596</v>
      </c>
      <c r="CE236" s="118">
        <f>CE234+CE207</f>
        <v>752</v>
      </c>
      <c r="CF236" s="118">
        <f>CF234+CF207</f>
        <v>723</v>
      </c>
      <c r="CG236" s="340">
        <f>CG234+CG207</f>
        <v>786</v>
      </c>
      <c r="CH236" s="344">
        <f>SUM(CD236:CG236)</f>
        <v>2857</v>
      </c>
      <c r="CI236" s="118">
        <f>CI234+CI207</f>
        <v>734</v>
      </c>
      <c r="CJ236" s="118">
        <f>CJ234+CJ207</f>
        <v>859</v>
      </c>
      <c r="CK236" s="118">
        <f>CK234+CK207</f>
        <v>901</v>
      </c>
      <c r="CL236" s="340">
        <f>CL234+CL207</f>
        <v>801</v>
      </c>
      <c r="CM236" s="344">
        <f>SUM(CI236:CL236)</f>
        <v>3295</v>
      </c>
      <c r="CN236" s="118">
        <f>CN234+CN207</f>
        <v>720</v>
      </c>
      <c r="CO236" s="118">
        <f>CO234+CO207</f>
        <v>882</v>
      </c>
      <c r="CP236" s="118">
        <f>CP234+CP207</f>
        <v>875</v>
      </c>
      <c r="CQ236" s="340">
        <f>CQ234+CQ207</f>
        <v>883</v>
      </c>
      <c r="CR236" s="344">
        <f>SUM(CN236:CQ236)</f>
        <v>3360</v>
      </c>
      <c r="CS236" s="118">
        <f>CS234+CS207</f>
        <v>789</v>
      </c>
      <c r="CT236" s="118">
        <f>CT234+CT207</f>
        <v>998</v>
      </c>
      <c r="CU236" s="118">
        <f>CU234+CU207</f>
        <v>1095</v>
      </c>
      <c r="CV236" s="340">
        <f>CV234+CV207</f>
        <v>1019</v>
      </c>
      <c r="CW236" s="344">
        <f>SUM(CS236:CV236)</f>
        <v>3901</v>
      </c>
      <c r="CX236" s="118">
        <f>CX234+CX207</f>
        <v>590</v>
      </c>
      <c r="CY236" s="118">
        <f>CY234+CY207</f>
        <v>675</v>
      </c>
      <c r="CZ236" s="118">
        <f>CZ234+CZ207</f>
        <v>772</v>
      </c>
      <c r="DA236" s="118">
        <f>DA234+DA207</f>
        <v>762</v>
      </c>
      <c r="DB236" s="344">
        <f>SUM(CX236:DA236)</f>
        <v>2799</v>
      </c>
      <c r="DC236" s="118">
        <f>DC234+DC207</f>
        <v>759</v>
      </c>
      <c r="DD236" s="118">
        <f>DD234+DD207</f>
        <v>937</v>
      </c>
      <c r="DE236" s="118">
        <f>DE234+DE207</f>
        <v>950</v>
      </c>
      <c r="DF236" s="118">
        <f>DF234+DF207</f>
        <v>848.87317585301844</v>
      </c>
      <c r="DG236" s="344">
        <f>SUM(DC236:DF236)</f>
        <v>3494.8731758530184</v>
      </c>
      <c r="DH236" s="118">
        <f>DH234+DH207</f>
        <v>869</v>
      </c>
      <c r="DI236" s="118">
        <f>DI234+DI207</f>
        <v>1088</v>
      </c>
      <c r="DJ236" s="118">
        <f>DJ234+DJ207</f>
        <v>1155</v>
      </c>
      <c r="DK236" s="118">
        <f>DK234+DK207</f>
        <v>1021</v>
      </c>
      <c r="DL236" s="344">
        <f>SUM(DH236:DK236)</f>
        <v>4133</v>
      </c>
      <c r="DM236" s="118">
        <f>DM234+DM207</f>
        <v>969</v>
      </c>
      <c r="DN236" s="118">
        <f>DN234+DN207</f>
        <v>1163</v>
      </c>
      <c r="DO236" s="118">
        <f>DO234+DO207</f>
        <v>961</v>
      </c>
      <c r="DP236" s="118">
        <f>DP234+DP207</f>
        <v>947</v>
      </c>
      <c r="DQ236" s="344">
        <f>SUM(DM236:DP236)</f>
        <v>4040</v>
      </c>
      <c r="DR236" s="118">
        <f>DR234+DR207</f>
        <v>918</v>
      </c>
      <c r="DS236" s="118">
        <f>DS234+DS207</f>
        <v>1062</v>
      </c>
      <c r="DT236" s="118">
        <f>DT234+DT207</f>
        <v>1079</v>
      </c>
      <c r="DU236" s="118">
        <f>DU234+DU207</f>
        <v>1114</v>
      </c>
      <c r="DV236" s="344">
        <f>SUM(DR236:DU236)</f>
        <v>4173</v>
      </c>
      <c r="DW236" s="118">
        <f>DW234+DW207</f>
        <v>904</v>
      </c>
      <c r="DX236" s="118">
        <f>DX234+DX207</f>
        <v>1257</v>
      </c>
      <c r="DY236" s="118">
        <f>DY234+DY207</f>
        <v>1234.0999999999999</v>
      </c>
      <c r="DZ236" s="118">
        <f>DZ234+DZ207</f>
        <v>1131</v>
      </c>
      <c r="EA236" s="344">
        <f>SUM(DW236:DZ236)</f>
        <v>4526.1000000000004</v>
      </c>
      <c r="EB236" s="118">
        <f>EB234+EB207</f>
        <v>851</v>
      </c>
      <c r="EC236" s="118">
        <f>EC234+EC207</f>
        <v>1061</v>
      </c>
      <c r="ED236" s="118">
        <f>ED234+ED207</f>
        <v>1097</v>
      </c>
      <c r="EE236" s="118">
        <f>EE234+EE207</f>
        <v>929</v>
      </c>
      <c r="EF236" s="344">
        <f>SUM(EB236:EE236)</f>
        <v>3938</v>
      </c>
      <c r="EG236" s="118">
        <f t="shared" ref="EG236:ER236" si="907">EG234+EG207</f>
        <v>975</v>
      </c>
      <c r="EH236" s="118">
        <f t="shared" si="907"/>
        <v>1027</v>
      </c>
      <c r="EI236" s="118">
        <f t="shared" si="907"/>
        <v>1078</v>
      </c>
      <c r="EJ236" s="118">
        <f>EJ234+EJ207</f>
        <v>1020</v>
      </c>
      <c r="EK236" s="344">
        <f>SUM(EG236:EJ236)</f>
        <v>4100</v>
      </c>
      <c r="EL236" s="118">
        <f>EL234+EL207</f>
        <v>1016</v>
      </c>
      <c r="EM236" s="118">
        <f t="shared" ref="EM236:EN236" si="908">EM234+EM207</f>
        <v>1136</v>
      </c>
      <c r="EN236" s="118">
        <f t="shared" si="908"/>
        <v>1160</v>
      </c>
      <c r="EO236" s="118">
        <f>EO234+EO207</f>
        <v>1114</v>
      </c>
      <c r="EP236" s="344">
        <f>SUM(EL236:EO236)</f>
        <v>4426</v>
      </c>
      <c r="EQ236" s="118">
        <f>EQ234+EQ207</f>
        <v>1107</v>
      </c>
      <c r="ER236" s="118">
        <f t="shared" si="907"/>
        <v>1224.6944133204579</v>
      </c>
      <c r="ES236" s="118">
        <f t="shared" ref="ES236:EU236" si="909">ES234+ES207</f>
        <v>1166.4520894183815</v>
      </c>
      <c r="ET236" s="118">
        <f t="shared" si="909"/>
        <v>1132.9092620162121</v>
      </c>
      <c r="EU236" s="1988">
        <f t="shared" si="909"/>
        <v>4631.0557647550513</v>
      </c>
      <c r="EV236" s="118"/>
      <c r="EW236" s="118"/>
      <c r="EX236" s="118"/>
      <c r="EY236" s="118"/>
      <c r="EZ236" s="871">
        <f>EZ234+EZ207</f>
        <v>4823.1434783280629</v>
      </c>
      <c r="FA236" s="118"/>
      <c r="FB236" s="118"/>
      <c r="FC236" s="118"/>
      <c r="FD236" s="118"/>
      <c r="FE236" s="871">
        <f>FE234+FE207</f>
        <v>5051.1754593691803</v>
      </c>
      <c r="FF236" s="793"/>
      <c r="FG236" s="660"/>
      <c r="FH236" s="1031"/>
      <c r="FI236" s="1031"/>
      <c r="FJ236" s="1031"/>
      <c r="FK236" s="1031"/>
      <c r="FL236" s="1809"/>
      <c r="FM236" s="118">
        <f t="shared" si="819"/>
        <v>1107</v>
      </c>
      <c r="FN236" s="118">
        <f t="shared" si="820"/>
        <v>1016</v>
      </c>
      <c r="FO236" s="118">
        <v>1055.1111205048765</v>
      </c>
      <c r="FP236" s="34">
        <f>IFERROR(($FM236/FN236)-1,"")</f>
        <v>8.9566929133858331E-2</v>
      </c>
      <c r="FQ236" s="34">
        <f>IFERROR(($FM236/FO236)-1,"")</f>
        <v>4.9178592175480373E-2</v>
      </c>
      <c r="FR236" s="122"/>
      <c r="FS236" s="122"/>
      <c r="FT236" s="122"/>
      <c r="FU236" s="122"/>
      <c r="FV236" s="122"/>
      <c r="FW236" s="122"/>
      <c r="FX236" s="122"/>
      <c r="FY236" s="122"/>
      <c r="FZ236" s="122"/>
      <c r="GA236" s="660"/>
      <c r="GB236"/>
      <c r="GC236"/>
      <c r="GD236"/>
      <c r="GE236"/>
      <c r="GF236"/>
      <c r="GG236"/>
      <c r="GH236" s="956"/>
      <c r="GI236" s="956"/>
      <c r="GJ236" s="956"/>
      <c r="GK236" s="956"/>
      <c r="GL236" s="956"/>
      <c r="GM236" s="956"/>
      <c r="GN236" s="956"/>
      <c r="GO236" s="956"/>
      <c r="GP236" s="956"/>
      <c r="GQ236" s="956"/>
      <c r="GR236" s="956"/>
      <c r="GS236" s="956"/>
      <c r="GT236" s="956"/>
      <c r="GU236" s="956"/>
      <c r="GV236" s="956"/>
      <c r="GW236" s="956"/>
      <c r="GX236" s="956"/>
      <c r="GY236" s="956"/>
      <c r="GZ236" s="956"/>
      <c r="HA236" s="956"/>
      <c r="HB236" s="956"/>
      <c r="HC236" s="956"/>
      <c r="HD236" s="956"/>
      <c r="HE236" s="956"/>
      <c r="HF236" s="956"/>
      <c r="HG236" s="956"/>
      <c r="HH236" s="956"/>
      <c r="HI236" s="956"/>
      <c r="HJ236" s="956"/>
      <c r="HK236" s="956"/>
      <c r="HL236" s="956"/>
      <c r="HM236" s="956"/>
      <c r="HN236" s="956"/>
      <c r="HO236" s="956"/>
      <c r="HP236" s="956"/>
      <c r="HQ236" s="956"/>
      <c r="HR236" s="956"/>
      <c r="HS236" s="956"/>
      <c r="HT236" s="956"/>
      <c r="HU236" s="956"/>
      <c r="HV236" s="956"/>
      <c r="HW236" s="956"/>
      <c r="HX236" s="956"/>
      <c r="HY236" s="956"/>
      <c r="HZ236" s="956"/>
      <c r="IA236" s="956"/>
      <c r="IB236" s="956"/>
      <c r="IC236" s="956"/>
      <c r="ID236" s="956"/>
      <c r="IE236" s="956"/>
      <c r="IF236" s="956"/>
      <c r="IG236" s="956"/>
      <c r="IH236" s="956"/>
      <c r="II236" s="956"/>
      <c r="IJ236" s="956"/>
      <c r="IK236" s="956"/>
      <c r="IL236" s="956"/>
      <c r="IM236" s="956"/>
      <c r="IN236" s="956"/>
      <c r="IO236" s="956"/>
      <c r="IP236" s="956"/>
      <c r="IQ236" s="956"/>
      <c r="IR236" s="956"/>
      <c r="IS236" s="956"/>
      <c r="IT236" s="956"/>
      <c r="IU236" s="956"/>
      <c r="IV236" s="956"/>
    </row>
    <row r="237" spans="1:256" s="191" customFormat="1" ht="12.75" x14ac:dyDescent="0.2">
      <c r="A237" s="242" t="s">
        <v>74</v>
      </c>
      <c r="B237" s="22"/>
      <c r="C237" s="22"/>
      <c r="D237" s="22"/>
      <c r="E237" s="197"/>
      <c r="F237" s="21"/>
      <c r="G237" s="22">
        <f t="shared" ref="G237:BR237" si="910">G236/B236-1</f>
        <v>5.9882439382805686E-2</v>
      </c>
      <c r="H237" s="22">
        <f t="shared" si="910"/>
        <v>9.2378752886839166E-3</v>
      </c>
      <c r="I237" s="22">
        <f t="shared" si="910"/>
        <v>9.125188536953277E-2</v>
      </c>
      <c r="J237" s="197">
        <f t="shared" si="910"/>
        <v>-2.7354570637118991E-2</v>
      </c>
      <c r="K237" s="21">
        <f t="shared" si="910"/>
        <v>3.134685203223242E-2</v>
      </c>
      <c r="L237" s="22">
        <f t="shared" si="910"/>
        <v>-0.16499133448873438</v>
      </c>
      <c r="M237" s="22">
        <f t="shared" si="910"/>
        <v>-7.0938215102973823E-2</v>
      </c>
      <c r="N237" s="22">
        <f t="shared" si="910"/>
        <v>8.0856945404284231E-2</v>
      </c>
      <c r="O237" s="197">
        <f t="shared" si="910"/>
        <v>-7.4759700961198883E-3</v>
      </c>
      <c r="P237" s="21">
        <f t="shared" si="910"/>
        <v>-4.1212329355198585E-2</v>
      </c>
      <c r="Q237" s="22">
        <f t="shared" si="910"/>
        <v>0.30842673308426738</v>
      </c>
      <c r="R237" s="22">
        <f t="shared" si="910"/>
        <v>8.7614356087261092E-2</v>
      </c>
      <c r="S237" s="22">
        <f t="shared" si="910"/>
        <v>3.1969309462920315E-3</v>
      </c>
      <c r="T237" s="197">
        <f t="shared" si="910"/>
        <v>0.17575322812051652</v>
      </c>
      <c r="U237" s="21">
        <f t="shared" si="910"/>
        <v>0.13360795200143261</v>
      </c>
      <c r="V237" s="22">
        <f t="shared" si="910"/>
        <v>-6.5355329949238095E-2</v>
      </c>
      <c r="W237" s="22">
        <f t="shared" si="910"/>
        <v>0.10417340666451036</v>
      </c>
      <c r="X237" s="22">
        <f t="shared" si="910"/>
        <v>-4.6845124282983264E-2</v>
      </c>
      <c r="Y237" s="197">
        <f t="shared" si="910"/>
        <v>3.2946918852958751E-2</v>
      </c>
      <c r="Z237" s="21">
        <f t="shared" si="910"/>
        <v>6.0826289596334071E-3</v>
      </c>
      <c r="AA237" s="22">
        <f t="shared" si="910"/>
        <v>7.8071961982348448E-2</v>
      </c>
      <c r="AB237" s="22">
        <f t="shared" si="910"/>
        <v>7.7058306475241256E-2</v>
      </c>
      <c r="AC237" s="22">
        <f t="shared" si="910"/>
        <v>0.20026746907388926</v>
      </c>
      <c r="AD237" s="197">
        <f t="shared" si="910"/>
        <v>0.102776137034849</v>
      </c>
      <c r="AE237" s="21">
        <f t="shared" si="910"/>
        <v>0.1130653266331656</v>
      </c>
      <c r="AF237" s="22">
        <f t="shared" si="910"/>
        <v>8.4382871536523574E-2</v>
      </c>
      <c r="AG237" s="22">
        <f t="shared" si="910"/>
        <v>5.2502720348204912E-2</v>
      </c>
      <c r="AH237" s="22">
        <f t="shared" si="910"/>
        <v>4.7353760445682402E-2</v>
      </c>
      <c r="AI237" s="197">
        <f t="shared" si="910"/>
        <v>2.7316550615961166E-2</v>
      </c>
      <c r="AJ237" s="21">
        <f t="shared" si="910"/>
        <v>5.1707110609480633E-2</v>
      </c>
      <c r="AK237" s="22">
        <f t="shared" si="910"/>
        <v>5.168408826945381E-2</v>
      </c>
      <c r="AL237" s="22">
        <f t="shared" si="910"/>
        <v>3.7994313776169575E-2</v>
      </c>
      <c r="AM237" s="22">
        <f t="shared" si="910"/>
        <v>7.0744680851063668E-2</v>
      </c>
      <c r="AN237" s="197">
        <f t="shared" si="910"/>
        <v>5.9958289885297722E-2</v>
      </c>
      <c r="AO237" s="21">
        <f t="shared" si="910"/>
        <v>5.5067408947615748E-2</v>
      </c>
      <c r="AP237" s="22">
        <f t="shared" si="910"/>
        <v>6.1292103810050014E-2</v>
      </c>
      <c r="AQ237" s="22">
        <f t="shared" si="910"/>
        <v>5.7768924302788571E-2</v>
      </c>
      <c r="AR237" s="22">
        <f t="shared" si="910"/>
        <v>2.2354694485842153E-3</v>
      </c>
      <c r="AS237" s="197">
        <f t="shared" si="910"/>
        <v>3.5415641908509654E-2</v>
      </c>
      <c r="AT237" s="21">
        <f t="shared" si="910"/>
        <v>3.858868404322946E-2</v>
      </c>
      <c r="AU237" s="22">
        <f t="shared" si="910"/>
        <v>-6.8938605619146998E-2</v>
      </c>
      <c r="AV237" s="22">
        <f t="shared" si="910"/>
        <v>-5.0612052730696799E-2</v>
      </c>
      <c r="AW237" s="22">
        <f t="shared" si="910"/>
        <v>-8.2899628252787849E-2</v>
      </c>
      <c r="AX237" s="197">
        <f t="shared" si="910"/>
        <v>-0.14669833729216153</v>
      </c>
      <c r="AY237" s="21">
        <f t="shared" si="910"/>
        <v>-8.7659913080737062E-2</v>
      </c>
      <c r="AZ237" s="22">
        <f t="shared" si="910"/>
        <v>-1.8720312936573946E-2</v>
      </c>
      <c r="BA237" s="22">
        <f t="shared" si="910"/>
        <v>-0.21968757748574241</v>
      </c>
      <c r="BB237" s="22">
        <f t="shared" si="910"/>
        <v>-0.27823267126064055</v>
      </c>
      <c r="BC237" s="197">
        <f t="shared" si="910"/>
        <v>-0.27569312994098638</v>
      </c>
      <c r="BD237" s="21">
        <f t="shared" si="910"/>
        <v>-0.19946460559950063</v>
      </c>
      <c r="BE237" s="22">
        <f t="shared" si="910"/>
        <v>-0.27676537585421424</v>
      </c>
      <c r="BF237" s="22">
        <f t="shared" si="910"/>
        <v>0.28376231331426727</v>
      </c>
      <c r="BG237" s="22">
        <f t="shared" si="910"/>
        <v>0.26174697667452951</v>
      </c>
      <c r="BH237" s="197">
        <f t="shared" si="910"/>
        <v>0.17601844734819339</v>
      </c>
      <c r="BI237" s="21">
        <f t="shared" si="910"/>
        <v>9.0354428045826607E-2</v>
      </c>
      <c r="BJ237" s="22">
        <f t="shared" si="910"/>
        <v>0.30708661417322825</v>
      </c>
      <c r="BK237" s="22">
        <f t="shared" si="910"/>
        <v>1.4851485148514865E-2</v>
      </c>
      <c r="BL237" s="22">
        <f t="shared" si="910"/>
        <v>0.10979228486646875</v>
      </c>
      <c r="BM237" s="197">
        <f t="shared" si="910"/>
        <v>0.32352941176470584</v>
      </c>
      <c r="BN237" s="21">
        <f t="shared" si="910"/>
        <v>0.16910069177555731</v>
      </c>
      <c r="BO237" s="22">
        <f t="shared" si="910"/>
        <v>9.6385542168674787E-2</v>
      </c>
      <c r="BP237" s="22">
        <f t="shared" si="910"/>
        <v>0.10000000000000009</v>
      </c>
      <c r="BQ237" s="22">
        <f t="shared" si="910"/>
        <v>0.17647058823529416</v>
      </c>
      <c r="BR237" s="197">
        <f t="shared" si="910"/>
        <v>3.2098765432098775E-2</v>
      </c>
      <c r="BS237" s="21">
        <f t="shared" ref="BS237:DY237" si="911">BS236/BN236-1</f>
        <v>9.9934253780407545E-2</v>
      </c>
      <c r="BT237" s="22">
        <f t="shared" si="911"/>
        <v>-1.6483516483516536E-2</v>
      </c>
      <c r="BU237" s="22">
        <f t="shared" si="911"/>
        <v>-5.3215077605321515E-2</v>
      </c>
      <c r="BV237" s="22">
        <f t="shared" si="911"/>
        <v>-2.2727272727273151E-3</v>
      </c>
      <c r="BW237" s="197">
        <f t="shared" si="911"/>
        <v>0.1004784688995215</v>
      </c>
      <c r="BX237" s="21">
        <f t="shared" si="911"/>
        <v>6.5750149432157734E-3</v>
      </c>
      <c r="BY237" s="22">
        <f t="shared" si="911"/>
        <v>0.32681564245810057</v>
      </c>
      <c r="BZ237" s="22">
        <f t="shared" si="911"/>
        <v>0.29976580796252938</v>
      </c>
      <c r="CA237" s="22">
        <f t="shared" si="911"/>
        <v>0.41002277904328022</v>
      </c>
      <c r="CB237" s="197">
        <f t="shared" si="911"/>
        <v>0.41521739130434776</v>
      </c>
      <c r="CC237" s="21">
        <f t="shared" si="911"/>
        <v>0.3657957244655583</v>
      </c>
      <c r="CD237" s="22">
        <f t="shared" si="911"/>
        <v>0.25473684210526315</v>
      </c>
      <c r="CE237" s="22">
        <f t="shared" si="911"/>
        <v>0.35495495495495488</v>
      </c>
      <c r="CF237" s="22">
        <f t="shared" si="911"/>
        <v>0.16801292407108237</v>
      </c>
      <c r="CG237" s="197">
        <f t="shared" si="911"/>
        <v>0.20737327188940102</v>
      </c>
      <c r="CH237" s="21">
        <f t="shared" si="911"/>
        <v>0.24217391304347835</v>
      </c>
      <c r="CI237" s="22">
        <f t="shared" si="911"/>
        <v>0.23154362416107377</v>
      </c>
      <c r="CJ237" s="22">
        <f t="shared" si="911"/>
        <v>0.14228723404255317</v>
      </c>
      <c r="CK237" s="22">
        <f t="shared" si="911"/>
        <v>0.24619640387275243</v>
      </c>
      <c r="CL237" s="197">
        <f t="shared" si="911"/>
        <v>1.9083969465648831E-2</v>
      </c>
      <c r="CM237" s="21">
        <f t="shared" si="911"/>
        <v>0.15330766538326923</v>
      </c>
      <c r="CN237" s="22">
        <f t="shared" si="911"/>
        <v>-1.9073569482288777E-2</v>
      </c>
      <c r="CO237" s="22">
        <f t="shared" si="911"/>
        <v>2.6775320139697412E-2</v>
      </c>
      <c r="CP237" s="22">
        <f t="shared" si="911"/>
        <v>-2.8856825749167592E-2</v>
      </c>
      <c r="CQ237" s="197">
        <f t="shared" si="911"/>
        <v>0.10237203495630465</v>
      </c>
      <c r="CR237" s="21">
        <f t="shared" si="911"/>
        <v>1.9726858877086473E-2</v>
      </c>
      <c r="CS237" s="22">
        <f t="shared" si="911"/>
        <v>9.5833333333333437E-2</v>
      </c>
      <c r="CT237" s="22">
        <f t="shared" si="911"/>
        <v>0.13151927437641731</v>
      </c>
      <c r="CU237" s="22">
        <f t="shared" si="911"/>
        <v>0.25142857142857133</v>
      </c>
      <c r="CV237" s="197">
        <f t="shared" si="911"/>
        <v>0.15402038505096272</v>
      </c>
      <c r="CW237" s="21">
        <f t="shared" si="911"/>
        <v>0.16101190476190474</v>
      </c>
      <c r="CX237" s="22">
        <f t="shared" si="911"/>
        <v>-0.25221799746514573</v>
      </c>
      <c r="CY237" s="22">
        <f t="shared" si="911"/>
        <v>-0.3236472945891784</v>
      </c>
      <c r="CZ237" s="22">
        <f t="shared" si="911"/>
        <v>-0.29497716894977166</v>
      </c>
      <c r="DA237" s="22">
        <f t="shared" si="911"/>
        <v>-0.25220804710500488</v>
      </c>
      <c r="DB237" s="21">
        <f t="shared" si="911"/>
        <v>-0.28249166880287102</v>
      </c>
      <c r="DC237" s="22">
        <f t="shared" si="911"/>
        <v>0.28644067796610173</v>
      </c>
      <c r="DD237" s="22">
        <f t="shared" si="911"/>
        <v>0.38814814814814813</v>
      </c>
      <c r="DE237" s="22">
        <f t="shared" si="911"/>
        <v>0.23056994818652843</v>
      </c>
      <c r="DF237" s="22">
        <f t="shared" si="911"/>
        <v>0.11400679245802947</v>
      </c>
      <c r="DG237" s="21">
        <f t="shared" si="911"/>
        <v>0.24861492527796303</v>
      </c>
      <c r="DH237" s="22">
        <f t="shared" si="911"/>
        <v>0.14492753623188404</v>
      </c>
      <c r="DI237" s="22">
        <f t="shared" si="911"/>
        <v>0.1611526147278548</v>
      </c>
      <c r="DJ237" s="22">
        <f t="shared" si="911"/>
        <v>0.21578947368421053</v>
      </c>
      <c r="DK237" s="22">
        <f t="shared" si="911"/>
        <v>0.20277095453512728</v>
      </c>
      <c r="DL237" s="21">
        <f>DL236/DG236-1</f>
        <v>0.18258940798080014</v>
      </c>
      <c r="DM237" s="22">
        <f t="shared" si="911"/>
        <v>0.11507479861910253</v>
      </c>
      <c r="DN237" s="22">
        <f t="shared" si="911"/>
        <v>6.8933823529411686E-2</v>
      </c>
      <c r="DO237" s="22">
        <f t="shared" si="911"/>
        <v>-0.16796536796536798</v>
      </c>
      <c r="DP237" s="22">
        <f t="shared" si="911"/>
        <v>-7.2477962781586691E-2</v>
      </c>
      <c r="DQ237" s="21">
        <f t="shared" si="911"/>
        <v>-2.2501814662472808E-2</v>
      </c>
      <c r="DR237" s="22">
        <f t="shared" si="911"/>
        <v>-5.2631578947368474E-2</v>
      </c>
      <c r="DS237" s="22">
        <f t="shared" si="911"/>
        <v>-8.68443680137575E-2</v>
      </c>
      <c r="DT237" s="22">
        <f t="shared" si="911"/>
        <v>0.12278876170655573</v>
      </c>
      <c r="DU237" s="22">
        <f t="shared" si="911"/>
        <v>0.17634635691657863</v>
      </c>
      <c r="DV237" s="21">
        <f t="shared" si="911"/>
        <v>3.2920792079207839E-2</v>
      </c>
      <c r="DW237" s="22">
        <f t="shared" si="911"/>
        <v>-1.5250544662309351E-2</v>
      </c>
      <c r="DX237" s="22">
        <f t="shared" si="911"/>
        <v>0.18361581920903958</v>
      </c>
      <c r="DY237" s="22">
        <f t="shared" si="911"/>
        <v>0.14374420759962914</v>
      </c>
      <c r="DZ237" s="22">
        <f>DZ236/DU236-1</f>
        <v>1.5260323159784539E-2</v>
      </c>
      <c r="EA237" s="21">
        <f>EA236/DV236-1</f>
        <v>8.4615384615384759E-2</v>
      </c>
      <c r="EB237" s="22">
        <f>EB236/DW236-1</f>
        <v>-5.8628318584070804E-2</v>
      </c>
      <c r="EC237" s="22">
        <f t="shared" ref="EC237:EI237" si="912">EC236/DX236-1</f>
        <v>-0.15592680986475738</v>
      </c>
      <c r="ED237" s="22">
        <f t="shared" si="912"/>
        <v>-0.11109310428652452</v>
      </c>
      <c r="EE237" s="22">
        <f t="shared" si="912"/>
        <v>-0.1786030061892131</v>
      </c>
      <c r="EF237" s="21">
        <f t="shared" si="912"/>
        <v>-0.1299352643556263</v>
      </c>
      <c r="EG237" s="22">
        <f>EG236/EB236-1</f>
        <v>0.14571092831962407</v>
      </c>
      <c r="EH237" s="22">
        <f t="shared" si="912"/>
        <v>-3.2045240339302561E-2</v>
      </c>
      <c r="EI237" s="22">
        <f t="shared" si="912"/>
        <v>-1.7319963536918892E-2</v>
      </c>
      <c r="EJ237" s="22">
        <f t="shared" ref="EJ237:EK237" si="913">EJ236/EE236-1</f>
        <v>9.7954790096878464E-2</v>
      </c>
      <c r="EK237" s="21">
        <f t="shared" si="913"/>
        <v>4.1137633316404187E-2</v>
      </c>
      <c r="EL237" s="22">
        <f>EL236/EG236-1</f>
        <v>4.2051282051281946E-2</v>
      </c>
      <c r="EM237" s="22">
        <f t="shared" ref="EM237:EN237" si="914">EM236/EH236-1</f>
        <v>0.1061343719571568</v>
      </c>
      <c r="EN237" s="22">
        <f t="shared" si="914"/>
        <v>7.6066790352504743E-2</v>
      </c>
      <c r="EO237" s="22">
        <f t="shared" ref="EO237" si="915">EO236/EJ236-1</f>
        <v>9.2156862745097934E-2</v>
      </c>
      <c r="EP237" s="21">
        <f t="shared" ref="EP237" si="916">EP236/EK236-1</f>
        <v>7.951219512195129E-2</v>
      </c>
      <c r="EQ237" s="22">
        <f>EQ236/EL236-1</f>
        <v>8.9566929133858331E-2</v>
      </c>
      <c r="ER237" s="22">
        <f t="shared" ref="ER237" si="917">ER236/EM236-1</f>
        <v>7.807606806378331E-2</v>
      </c>
      <c r="ES237" s="22">
        <f t="shared" ref="ES237:EU237" si="918">ES236/EN236-1</f>
        <v>5.5621460503290088E-3</v>
      </c>
      <c r="ET237" s="22">
        <f t="shared" si="918"/>
        <v>1.6974202887084511E-2</v>
      </c>
      <c r="EU237" s="1935">
        <f t="shared" si="918"/>
        <v>4.6329815805479235E-2</v>
      </c>
      <c r="EV237" s="68"/>
      <c r="EW237" s="68"/>
      <c r="EX237" s="68"/>
      <c r="EY237" s="68"/>
      <c r="EZ237" s="844">
        <f>EZ236/EU236-1</f>
        <v>4.1478168981446517E-2</v>
      </c>
      <c r="FA237" s="68"/>
      <c r="FB237" s="68"/>
      <c r="FC237" s="68"/>
      <c r="FD237" s="68"/>
      <c r="FE237" s="844">
        <f>FE236/EZ236-1</f>
        <v>4.7278705695930068E-2</v>
      </c>
      <c r="FF237" s="790"/>
      <c r="FG237" s="1102"/>
      <c r="FH237" s="1041"/>
      <c r="FI237" s="1041"/>
      <c r="FJ237" s="1041"/>
      <c r="FK237" s="1041"/>
      <c r="FL237" s="1806"/>
      <c r="FM237" s="22">
        <f t="shared" si="819"/>
        <v>8.9566929133858331E-2</v>
      </c>
      <c r="FN237" s="22">
        <f t="shared" si="820"/>
        <v>4.2051282051281946E-2</v>
      </c>
      <c r="FO237" s="2041">
        <v>2.2394496613252324E-2</v>
      </c>
      <c r="FP237" s="1892">
        <f>IFERROR(($FM237-FN237)*10000,"")</f>
        <v>475.15647082576385</v>
      </c>
      <c r="FQ237" s="1892">
        <f>IFERROR(($FM237-FO237)*10000,"")</f>
        <v>671.72432520606003</v>
      </c>
      <c r="FR237" s="587"/>
      <c r="FS237" s="587"/>
      <c r="FT237" s="587"/>
      <c r="FU237" s="587"/>
      <c r="FV237" s="587"/>
      <c r="FW237" s="587"/>
      <c r="FX237" s="587"/>
      <c r="FY237" s="587"/>
      <c r="FZ237" s="587"/>
      <c r="GA237" s="1102"/>
      <c r="GB237"/>
      <c r="GC237"/>
      <c r="GD237"/>
      <c r="GE237"/>
      <c r="GF237"/>
      <c r="GG237"/>
      <c r="GH237" s="978"/>
      <c r="GI237" s="978"/>
      <c r="GJ237" s="978"/>
      <c r="GK237" s="978"/>
      <c r="GL237" s="978"/>
      <c r="GM237" s="978"/>
      <c r="GN237" s="978"/>
      <c r="GO237" s="978"/>
      <c r="GP237" s="978"/>
      <c r="GQ237" s="978"/>
      <c r="GR237" s="978"/>
      <c r="GS237" s="978"/>
      <c r="GT237" s="978"/>
      <c r="GU237" s="978"/>
      <c r="GV237" s="978"/>
      <c r="GW237" s="978"/>
      <c r="GX237" s="978"/>
      <c r="GY237" s="978"/>
      <c r="GZ237" s="978"/>
      <c r="HA237" s="978"/>
      <c r="HB237" s="978"/>
      <c r="HC237" s="978"/>
      <c r="HD237" s="978"/>
      <c r="HE237" s="978"/>
      <c r="HF237" s="978"/>
      <c r="HG237" s="978"/>
      <c r="HH237" s="978"/>
      <c r="HI237" s="978"/>
      <c r="HJ237" s="978"/>
      <c r="HK237" s="978"/>
      <c r="HL237" s="978"/>
      <c r="HM237" s="978"/>
      <c r="HN237" s="978"/>
      <c r="HO237" s="978"/>
      <c r="HP237" s="978"/>
      <c r="HQ237" s="978"/>
      <c r="HR237" s="978"/>
      <c r="HS237" s="978"/>
      <c r="HT237" s="978"/>
      <c r="HU237" s="978"/>
      <c r="HV237" s="978"/>
      <c r="HW237" s="978"/>
      <c r="HX237" s="978"/>
      <c r="HY237" s="978"/>
      <c r="HZ237" s="978"/>
      <c r="IA237" s="978"/>
      <c r="IB237" s="978"/>
      <c r="IC237" s="978"/>
      <c r="ID237" s="978"/>
      <c r="IE237" s="978"/>
      <c r="IF237" s="978"/>
      <c r="IG237" s="978"/>
      <c r="IH237" s="978"/>
      <c r="II237" s="978"/>
      <c r="IJ237" s="978"/>
      <c r="IK237" s="978"/>
      <c r="IL237" s="978"/>
      <c r="IM237" s="978"/>
      <c r="IN237" s="978"/>
      <c r="IO237" s="978"/>
      <c r="IP237" s="978"/>
      <c r="IQ237" s="978"/>
      <c r="IR237" s="978"/>
      <c r="IS237" s="978"/>
      <c r="IT237" s="978"/>
      <c r="IU237" s="978"/>
      <c r="IV237" s="978"/>
    </row>
    <row r="238" spans="1:256" s="527" customFormat="1" ht="12.75" x14ac:dyDescent="0.2">
      <c r="A238" s="522" t="s">
        <v>431</v>
      </c>
      <c r="B238" s="523"/>
      <c r="C238" s="523"/>
      <c r="D238" s="523"/>
      <c r="E238" s="524"/>
      <c r="F238" s="525"/>
      <c r="G238" s="523"/>
      <c r="H238" s="523"/>
      <c r="I238" s="523"/>
      <c r="J238" s="524"/>
      <c r="K238" s="525"/>
      <c r="L238" s="523"/>
      <c r="M238" s="523"/>
      <c r="N238" s="523"/>
      <c r="O238" s="524"/>
      <c r="P238" s="525"/>
      <c r="Q238" s="523"/>
      <c r="R238" s="523"/>
      <c r="S238" s="523"/>
      <c r="T238" s="524"/>
      <c r="U238" s="525"/>
      <c r="V238" s="523"/>
      <c r="W238" s="523"/>
      <c r="X238" s="523"/>
      <c r="Y238" s="524"/>
      <c r="Z238" s="525"/>
      <c r="AA238" s="523"/>
      <c r="AB238" s="523"/>
      <c r="AC238" s="523"/>
      <c r="AD238" s="524"/>
      <c r="AE238" s="525"/>
      <c r="AF238" s="523"/>
      <c r="AG238" s="523"/>
      <c r="AH238" s="523"/>
      <c r="AI238" s="524"/>
      <c r="AJ238" s="525"/>
      <c r="AK238" s="523"/>
      <c r="AL238" s="523"/>
      <c r="AM238" s="523"/>
      <c r="AN238" s="524"/>
      <c r="AO238" s="525"/>
      <c r="AP238" s="523"/>
      <c r="AQ238" s="523"/>
      <c r="AR238" s="523"/>
      <c r="AS238" s="524"/>
      <c r="AT238" s="525"/>
      <c r="AU238" s="523"/>
      <c r="AV238" s="523"/>
      <c r="AW238" s="523"/>
      <c r="AX238" s="524"/>
      <c r="AY238" s="525"/>
      <c r="AZ238" s="523"/>
      <c r="BA238" s="523"/>
      <c r="BB238" s="523"/>
      <c r="BC238" s="524"/>
      <c r="BD238" s="525"/>
      <c r="BE238" s="523"/>
      <c r="BF238" s="523"/>
      <c r="BG238" s="523"/>
      <c r="BH238" s="524"/>
      <c r="BI238" s="525"/>
      <c r="BJ238" s="523"/>
      <c r="BK238" s="523"/>
      <c r="BL238" s="523"/>
      <c r="BM238" s="524"/>
      <c r="BN238" s="525"/>
      <c r="BO238" s="523"/>
      <c r="BP238" s="523"/>
      <c r="BQ238" s="523"/>
      <c r="BR238" s="524"/>
      <c r="BS238" s="525"/>
      <c r="BT238" s="523"/>
      <c r="BU238" s="523"/>
      <c r="BV238" s="523"/>
      <c r="BW238" s="524"/>
      <c r="BX238" s="525"/>
      <c r="BY238" s="523"/>
      <c r="BZ238" s="523"/>
      <c r="CA238" s="523"/>
      <c r="CB238" s="524"/>
      <c r="CC238" s="525"/>
      <c r="CD238" s="523"/>
      <c r="CE238" s="523"/>
      <c r="CF238" s="523"/>
      <c r="CG238" s="524"/>
      <c r="CH238" s="525"/>
      <c r="CI238" s="523"/>
      <c r="CJ238" s="523"/>
      <c r="CK238" s="523"/>
      <c r="CL238" s="524"/>
      <c r="CM238" s="525"/>
      <c r="CN238" s="523"/>
      <c r="CO238" s="523"/>
      <c r="CP238" s="523"/>
      <c r="CQ238" s="524"/>
      <c r="CR238" s="525"/>
      <c r="CS238" s="523"/>
      <c r="CT238" s="523"/>
      <c r="CU238" s="523"/>
      <c r="CV238" s="524"/>
      <c r="CW238" s="525"/>
      <c r="CX238" s="523"/>
      <c r="CY238" s="523"/>
      <c r="CZ238" s="523"/>
      <c r="DA238" s="523"/>
      <c r="DB238" s="525"/>
      <c r="DC238" s="523"/>
      <c r="DD238" s="523"/>
      <c r="DE238" s="523"/>
      <c r="DF238" s="523"/>
      <c r="DG238" s="526"/>
      <c r="DH238" s="523"/>
      <c r="DI238" s="523"/>
      <c r="DJ238" s="523"/>
      <c r="DK238" s="523"/>
      <c r="DL238" s="526"/>
      <c r="DM238" s="523"/>
      <c r="DN238" s="523"/>
      <c r="DO238" s="523"/>
      <c r="DP238" s="523"/>
      <c r="DQ238" s="526"/>
      <c r="DR238" s="523"/>
      <c r="DS238" s="523"/>
      <c r="DU238" s="523"/>
      <c r="DV238" s="526"/>
      <c r="DW238" s="523"/>
      <c r="DX238" s="523"/>
      <c r="DZ238" s="523"/>
      <c r="EA238" s="526"/>
      <c r="EB238" s="523"/>
      <c r="EC238" s="523"/>
      <c r="EE238" s="523"/>
      <c r="EF238" s="526"/>
      <c r="EG238" s="523"/>
      <c r="EH238" s="523"/>
      <c r="EJ238" s="523"/>
      <c r="EK238" s="526"/>
      <c r="EL238" s="523"/>
      <c r="EM238" s="523"/>
      <c r="EO238" s="523"/>
      <c r="EP238" s="526"/>
      <c r="EQ238" s="523"/>
      <c r="EU238" s="1941"/>
      <c r="EZ238" s="735"/>
      <c r="FE238" s="735"/>
      <c r="FF238" s="735"/>
      <c r="FG238" s="660"/>
      <c r="FH238" s="1033"/>
      <c r="FI238" s="1033"/>
      <c r="FJ238" s="1033"/>
      <c r="FK238" s="1033"/>
      <c r="FL238" s="1821"/>
      <c r="FM238" s="523"/>
      <c r="FN238" s="523"/>
      <c r="FP238" s="523"/>
      <c r="FQ238" s="523"/>
      <c r="FR238" s="563"/>
      <c r="FS238" s="563"/>
      <c r="FT238" s="563"/>
      <c r="FU238" s="563"/>
      <c r="FV238" s="563"/>
      <c r="FW238" s="563"/>
      <c r="FX238" s="563"/>
      <c r="FY238" s="563"/>
      <c r="FZ238" s="563"/>
      <c r="GA238" s="660"/>
      <c r="GB238"/>
      <c r="GC238"/>
      <c r="GD238"/>
      <c r="GE238"/>
      <c r="GF238"/>
      <c r="GG238"/>
      <c r="GH238" s="943"/>
      <c r="GI238" s="943"/>
      <c r="GJ238" s="943"/>
      <c r="GK238" s="943"/>
      <c r="GL238" s="943"/>
      <c r="GM238" s="943"/>
      <c r="GN238" s="943"/>
      <c r="GO238" s="943"/>
      <c r="GP238" s="943"/>
      <c r="GQ238" s="943"/>
      <c r="GR238" s="943"/>
      <c r="GS238" s="943"/>
      <c r="GT238" s="943"/>
      <c r="GU238" s="943"/>
      <c r="GV238" s="943"/>
      <c r="GW238" s="943"/>
      <c r="GX238" s="943"/>
      <c r="GY238" s="943"/>
      <c r="GZ238" s="943"/>
      <c r="HA238" s="943"/>
      <c r="HB238" s="943"/>
      <c r="HC238" s="943"/>
      <c r="HD238" s="943"/>
      <c r="HE238" s="943"/>
      <c r="HF238" s="943"/>
      <c r="HG238" s="943"/>
      <c r="HH238" s="943"/>
      <c r="HI238" s="943"/>
      <c r="HJ238" s="943"/>
      <c r="HK238" s="943"/>
      <c r="HL238" s="943"/>
      <c r="HM238" s="943"/>
      <c r="HN238" s="943"/>
      <c r="HO238" s="943"/>
      <c r="HP238" s="943"/>
      <c r="HQ238" s="943"/>
      <c r="HR238" s="943"/>
      <c r="HS238" s="943"/>
      <c r="HT238" s="943"/>
      <c r="HU238" s="943"/>
      <c r="HV238" s="943"/>
      <c r="HW238" s="943"/>
      <c r="HX238" s="943"/>
      <c r="HY238" s="943"/>
      <c r="HZ238" s="943"/>
      <c r="IA238" s="943"/>
      <c r="IB238" s="943"/>
      <c r="IC238" s="943"/>
      <c r="ID238" s="943"/>
      <c r="IE238" s="943"/>
      <c r="IF238" s="943"/>
      <c r="IG238" s="943"/>
      <c r="IH238" s="943"/>
      <c r="II238" s="943"/>
      <c r="IJ238" s="943"/>
      <c r="IK238" s="943"/>
      <c r="IL238" s="943"/>
      <c r="IM238" s="943"/>
      <c r="IN238" s="943"/>
      <c r="IO238" s="943"/>
      <c r="IP238" s="943"/>
      <c r="IQ238" s="943"/>
      <c r="IR238" s="943"/>
      <c r="IS238" s="943"/>
      <c r="IT238" s="943"/>
      <c r="IU238" s="943"/>
      <c r="IV238" s="943"/>
    </row>
    <row r="239" spans="1:256" s="125" customFormat="1" ht="12.75" x14ac:dyDescent="0.2">
      <c r="A239" s="121" t="s">
        <v>574</v>
      </c>
      <c r="B239" s="124">
        <f t="shared" ref="B239:BM239" si="919">-B245-B240</f>
        <v>-2.3000000000000007</v>
      </c>
      <c r="C239" s="124">
        <f t="shared" si="919"/>
        <v>1.5000000000000124</v>
      </c>
      <c r="D239" s="124">
        <f t="shared" si="919"/>
        <v>20.299999999999997</v>
      </c>
      <c r="E239" s="217">
        <f t="shared" si="919"/>
        <v>-14.599999999999953</v>
      </c>
      <c r="F239" s="123">
        <f t="shared" si="919"/>
        <v>78.000000000000057</v>
      </c>
      <c r="G239" s="124">
        <f t="shared" si="919"/>
        <v>10.5</v>
      </c>
      <c r="H239" s="124">
        <f t="shared" si="919"/>
        <v>20.5</v>
      </c>
      <c r="I239" s="124">
        <f t="shared" si="919"/>
        <v>17.100000000000055</v>
      </c>
      <c r="J239" s="217">
        <f t="shared" si="919"/>
        <v>10.699999999999932</v>
      </c>
      <c r="K239" s="123">
        <f t="shared" si="919"/>
        <v>58.79999999999999</v>
      </c>
      <c r="L239" s="124">
        <f t="shared" si="919"/>
        <v>-1.1999999999999886</v>
      </c>
      <c r="M239" s="124">
        <f t="shared" si="919"/>
        <v>10.9</v>
      </c>
      <c r="N239" s="124">
        <f t="shared" si="919"/>
        <v>5.9000000000000021</v>
      </c>
      <c r="O239" s="217">
        <f t="shared" si="919"/>
        <v>16.2</v>
      </c>
      <c r="P239" s="123">
        <f t="shared" si="919"/>
        <v>31.800000000000011</v>
      </c>
      <c r="Q239" s="124">
        <f t="shared" si="919"/>
        <v>-20.199999999999992</v>
      </c>
      <c r="R239" s="124">
        <f t="shared" si="919"/>
        <v>3.4000000000000021</v>
      </c>
      <c r="S239" s="124">
        <f t="shared" si="919"/>
        <v>2.6000000000000014</v>
      </c>
      <c r="T239" s="217">
        <f t="shared" si="919"/>
        <v>-9.6999999999998643</v>
      </c>
      <c r="U239" s="123">
        <f t="shared" si="919"/>
        <v>-23.899999999999849</v>
      </c>
      <c r="V239" s="124">
        <f t="shared" si="919"/>
        <v>15.099999999999998</v>
      </c>
      <c r="W239" s="124">
        <f t="shared" si="919"/>
        <v>-2.7000000000000011</v>
      </c>
      <c r="X239" s="124">
        <f t="shared" si="919"/>
        <v>20.8</v>
      </c>
      <c r="Y239" s="217">
        <f t="shared" si="919"/>
        <v>0.40000000000000213</v>
      </c>
      <c r="Z239" s="123">
        <f t="shared" si="919"/>
        <v>33.599999999999994</v>
      </c>
      <c r="AA239" s="124">
        <f t="shared" si="919"/>
        <v>1</v>
      </c>
      <c r="AB239" s="124">
        <f t="shared" si="919"/>
        <v>5.9000000000000021</v>
      </c>
      <c r="AC239" s="124">
        <f t="shared" si="919"/>
        <v>2.1999999999999993</v>
      </c>
      <c r="AD239" s="217">
        <f t="shared" si="919"/>
        <v>-3.4000000000000021</v>
      </c>
      <c r="AE239" s="123">
        <f t="shared" si="919"/>
        <v>5.7000000000000028</v>
      </c>
      <c r="AF239" s="124">
        <f t="shared" si="919"/>
        <v>26.5</v>
      </c>
      <c r="AG239" s="124">
        <f t="shared" si="919"/>
        <v>7.3999999999999986</v>
      </c>
      <c r="AH239" s="124">
        <f t="shared" si="919"/>
        <v>9.4000000000000021</v>
      </c>
      <c r="AI239" s="217">
        <f t="shared" si="919"/>
        <v>9.6000000000000014</v>
      </c>
      <c r="AJ239" s="123">
        <f t="shared" si="919"/>
        <v>52.900000000000006</v>
      </c>
      <c r="AK239" s="124">
        <f t="shared" si="919"/>
        <v>4.8999999999999986</v>
      </c>
      <c r="AL239" s="124">
        <f t="shared" si="919"/>
        <v>6.4000000000000021</v>
      </c>
      <c r="AM239" s="124">
        <f t="shared" si="919"/>
        <v>13</v>
      </c>
      <c r="AN239" s="217">
        <f t="shared" si="919"/>
        <v>7.6999999999999957</v>
      </c>
      <c r="AO239" s="123">
        <f t="shared" si="919"/>
        <v>32.000000000000014</v>
      </c>
      <c r="AP239" s="124">
        <f t="shared" si="919"/>
        <v>-3.4987499999999976</v>
      </c>
      <c r="AQ239" s="124">
        <f t="shared" si="919"/>
        <v>-4.8999999999999986</v>
      </c>
      <c r="AR239" s="124">
        <f t="shared" si="919"/>
        <v>11.600000000000001</v>
      </c>
      <c r="AS239" s="217">
        <f t="shared" si="919"/>
        <v>28</v>
      </c>
      <c r="AT239" s="123">
        <f t="shared" si="919"/>
        <v>31.201250000000016</v>
      </c>
      <c r="AU239" s="124">
        <f t="shared" si="919"/>
        <v>11.416275430359899</v>
      </c>
      <c r="AV239" s="124">
        <f t="shared" si="919"/>
        <v>17.25</v>
      </c>
      <c r="AW239" s="124">
        <f t="shared" si="919"/>
        <v>0.25</v>
      </c>
      <c r="AX239" s="217">
        <f t="shared" si="919"/>
        <v>-1.75</v>
      </c>
      <c r="AY239" s="123">
        <f t="shared" si="919"/>
        <v>27.166275430359903</v>
      </c>
      <c r="AZ239" s="124">
        <f t="shared" si="919"/>
        <v>-1.384615384615401</v>
      </c>
      <c r="BA239" s="124">
        <f t="shared" si="919"/>
        <v>-30.21875</v>
      </c>
      <c r="BB239" s="124">
        <f t="shared" si="919"/>
        <v>-110</v>
      </c>
      <c r="BC239" s="217">
        <f t="shared" si="919"/>
        <v>-95</v>
      </c>
      <c r="BD239" s="123">
        <f t="shared" si="919"/>
        <v>-236.60336538461542</v>
      </c>
      <c r="BE239" s="124">
        <f t="shared" si="919"/>
        <v>-112</v>
      </c>
      <c r="BF239" s="124">
        <f t="shared" si="919"/>
        <v>-118</v>
      </c>
      <c r="BG239" s="124">
        <f t="shared" si="919"/>
        <v>-128</v>
      </c>
      <c r="BH239" s="217">
        <f t="shared" si="919"/>
        <v>-122</v>
      </c>
      <c r="BI239" s="123">
        <f t="shared" si="919"/>
        <v>-480</v>
      </c>
      <c r="BJ239" s="124">
        <f t="shared" si="919"/>
        <v>-114</v>
      </c>
      <c r="BK239" s="124">
        <f t="shared" si="919"/>
        <v>-115</v>
      </c>
      <c r="BL239" s="124">
        <f t="shared" si="919"/>
        <v>-121</v>
      </c>
      <c r="BM239" s="217">
        <f t="shared" si="919"/>
        <v>-122.9</v>
      </c>
      <c r="BN239" s="123">
        <f t="shared" ref="BN239:DV239" si="920">-BN245-BN240</f>
        <v>-472.9</v>
      </c>
      <c r="BO239" s="124">
        <f t="shared" si="920"/>
        <v>-100</v>
      </c>
      <c r="BP239" s="124">
        <f t="shared" si="920"/>
        <v>-128</v>
      </c>
      <c r="BQ239" s="124">
        <f t="shared" si="920"/>
        <v>-122</v>
      </c>
      <c r="BR239" s="217">
        <f t="shared" si="920"/>
        <v>-102</v>
      </c>
      <c r="BS239" s="123">
        <f t="shared" si="920"/>
        <v>-452</v>
      </c>
      <c r="BT239" s="124">
        <f t="shared" si="920"/>
        <v>-106</v>
      </c>
      <c r="BU239" s="124">
        <f t="shared" si="920"/>
        <v>-99</v>
      </c>
      <c r="BV239" s="124">
        <f t="shared" si="920"/>
        <v>-111</v>
      </c>
      <c r="BW239" s="217">
        <f t="shared" si="920"/>
        <v>-78</v>
      </c>
      <c r="BX239" s="123">
        <f t="shared" si="920"/>
        <v>-394</v>
      </c>
      <c r="BY239" s="124">
        <f t="shared" si="920"/>
        <v>-111</v>
      </c>
      <c r="BZ239" s="124">
        <f t="shared" si="920"/>
        <v>-121</v>
      </c>
      <c r="CA239" s="124">
        <f t="shared" si="920"/>
        <v>-134</v>
      </c>
      <c r="CB239" s="217">
        <f t="shared" si="920"/>
        <v>-87</v>
      </c>
      <c r="CC239" s="123">
        <f t="shared" si="920"/>
        <v>-453</v>
      </c>
      <c r="CD239" s="124">
        <f t="shared" si="920"/>
        <v>-126</v>
      </c>
      <c r="CE239" s="124">
        <f t="shared" si="920"/>
        <v>-117</v>
      </c>
      <c r="CF239" s="124">
        <f t="shared" si="920"/>
        <v>-87</v>
      </c>
      <c r="CG239" s="217">
        <f t="shared" si="920"/>
        <v>-90</v>
      </c>
      <c r="CH239" s="123">
        <f t="shared" si="920"/>
        <v>-420</v>
      </c>
      <c r="CI239" s="124">
        <f t="shared" si="920"/>
        <v>-85</v>
      </c>
      <c r="CJ239" s="124">
        <f t="shared" si="920"/>
        <v>-88</v>
      </c>
      <c r="CK239" s="124">
        <f t="shared" si="920"/>
        <v>-78.900000000000006</v>
      </c>
      <c r="CL239" s="217">
        <f t="shared" si="920"/>
        <v>-75</v>
      </c>
      <c r="CM239" s="123">
        <f t="shared" si="920"/>
        <v>-326.89999999999998</v>
      </c>
      <c r="CN239" s="124">
        <f t="shared" si="920"/>
        <v>-108</v>
      </c>
      <c r="CO239" s="124">
        <f t="shared" si="920"/>
        <v>-90</v>
      </c>
      <c r="CP239" s="124">
        <f t="shared" si="920"/>
        <v>-76</v>
      </c>
      <c r="CQ239" s="217">
        <f t="shared" si="920"/>
        <v>-74</v>
      </c>
      <c r="CR239" s="123">
        <f t="shared" si="920"/>
        <v>-348</v>
      </c>
      <c r="CS239" s="124">
        <f t="shared" si="920"/>
        <v>-102</v>
      </c>
      <c r="CT239" s="124">
        <f t="shared" si="920"/>
        <v>-66</v>
      </c>
      <c r="CU239" s="124">
        <f t="shared" si="920"/>
        <v>-72</v>
      </c>
      <c r="CV239" s="217">
        <f t="shared" si="920"/>
        <v>-94</v>
      </c>
      <c r="CW239" s="123">
        <f t="shared" si="920"/>
        <v>-334</v>
      </c>
      <c r="CX239" s="124">
        <f t="shared" si="920"/>
        <v>-100</v>
      </c>
      <c r="CY239" s="124">
        <f t="shared" si="920"/>
        <v>-77</v>
      </c>
      <c r="CZ239" s="124">
        <f t="shared" si="920"/>
        <v>-81</v>
      </c>
      <c r="DA239" s="124">
        <f t="shared" si="920"/>
        <v>-82</v>
      </c>
      <c r="DB239" s="123">
        <f t="shared" si="920"/>
        <v>-340</v>
      </c>
      <c r="DC239" s="124">
        <f t="shared" si="920"/>
        <v>-99</v>
      </c>
      <c r="DD239" s="124">
        <f t="shared" si="920"/>
        <v>-98</v>
      </c>
      <c r="DE239" s="124">
        <f t="shared" si="920"/>
        <v>-32</v>
      </c>
      <c r="DF239" s="124">
        <f t="shared" si="920"/>
        <v>-80</v>
      </c>
      <c r="DG239" s="123">
        <f t="shared" si="920"/>
        <v>-309</v>
      </c>
      <c r="DH239" s="124">
        <f t="shared" si="920"/>
        <v>-85</v>
      </c>
      <c r="DI239" s="124">
        <f t="shared" si="920"/>
        <v>-79</v>
      </c>
      <c r="DJ239" s="124">
        <f t="shared" si="920"/>
        <v>-54</v>
      </c>
      <c r="DK239" s="124">
        <f t="shared" si="920"/>
        <v>-77</v>
      </c>
      <c r="DL239" s="123">
        <f t="shared" si="920"/>
        <v>-295</v>
      </c>
      <c r="DM239" s="124">
        <f>-DM245-DM240</f>
        <v>-91</v>
      </c>
      <c r="DN239" s="124">
        <f>-DN245-DN240</f>
        <v>-91</v>
      </c>
      <c r="DO239" s="124">
        <f>-DO245-DO240</f>
        <v>-91</v>
      </c>
      <c r="DP239" s="124">
        <f>-DP245-DP240</f>
        <v>-93</v>
      </c>
      <c r="DQ239" s="123">
        <f t="shared" si="920"/>
        <v>-366</v>
      </c>
      <c r="DR239" s="124">
        <f>-DR245-DR240</f>
        <v>-91</v>
      </c>
      <c r="DS239" s="124">
        <f>-DS245-DS240</f>
        <v>-99</v>
      </c>
      <c r="DT239" s="124">
        <f t="shared" si="920"/>
        <v>-101.4</v>
      </c>
      <c r="DU239" s="124">
        <f>-DU245-DU240</f>
        <v>-98</v>
      </c>
      <c r="DV239" s="123">
        <f t="shared" si="920"/>
        <v>-389.4</v>
      </c>
      <c r="DW239" s="124">
        <f t="shared" ref="DW239:EF239" si="921">-DW245-DW240</f>
        <v>-113</v>
      </c>
      <c r="DX239" s="124">
        <f t="shared" si="921"/>
        <v>-121</v>
      </c>
      <c r="DY239" s="124">
        <f t="shared" si="921"/>
        <v>-106</v>
      </c>
      <c r="DZ239" s="124">
        <f t="shared" si="921"/>
        <v>-101</v>
      </c>
      <c r="EA239" s="123">
        <f t="shared" si="921"/>
        <v>-441</v>
      </c>
      <c r="EB239" s="124">
        <f t="shared" si="921"/>
        <v>-111</v>
      </c>
      <c r="EC239" s="124">
        <f t="shared" si="921"/>
        <v>-115.4</v>
      </c>
      <c r="ED239" s="124">
        <f t="shared" si="921"/>
        <v>-98</v>
      </c>
      <c r="EE239" s="124">
        <f t="shared" si="921"/>
        <v>-118</v>
      </c>
      <c r="EF239" s="123">
        <f t="shared" si="921"/>
        <v>-442.4</v>
      </c>
      <c r="EG239" s="124">
        <f t="shared" ref="EG239:ER239" si="922">-EG245-EG240</f>
        <v>-123</v>
      </c>
      <c r="EH239" s="124">
        <f t="shared" si="922"/>
        <v>-134</v>
      </c>
      <c r="EI239" s="124">
        <f t="shared" si="922"/>
        <v>-115</v>
      </c>
      <c r="EJ239" s="124">
        <f t="shared" si="922"/>
        <v>-120</v>
      </c>
      <c r="EK239" s="123">
        <f t="shared" si="922"/>
        <v>-492</v>
      </c>
      <c r="EL239" s="124">
        <f>-EL245-EL240</f>
        <v>-102</v>
      </c>
      <c r="EM239" s="124">
        <f t="shared" ref="EM239:EP239" si="923">-EM245-EM240</f>
        <v>-92</v>
      </c>
      <c r="EN239" s="124">
        <f t="shared" si="923"/>
        <v>-95</v>
      </c>
      <c r="EO239" s="124">
        <f t="shared" si="923"/>
        <v>-105</v>
      </c>
      <c r="EP239" s="123">
        <f t="shared" si="923"/>
        <v>-394</v>
      </c>
      <c r="EQ239" s="124">
        <f>-EQ245-EQ240</f>
        <v>-128</v>
      </c>
      <c r="ER239" s="124">
        <f t="shared" si="922"/>
        <v>-109</v>
      </c>
      <c r="ES239" s="124">
        <f t="shared" ref="ES239:EU239" si="924">-ES245-ES240</f>
        <v>-114</v>
      </c>
      <c r="ET239" s="124">
        <f t="shared" si="924"/>
        <v>-115</v>
      </c>
      <c r="EU239" s="1989">
        <f t="shared" si="924"/>
        <v>-466</v>
      </c>
      <c r="EV239" s="122"/>
      <c r="EW239" s="122"/>
      <c r="EX239" s="122"/>
      <c r="EY239" s="122"/>
      <c r="EZ239" s="872">
        <f>-EZ245-EZ240</f>
        <v>-489.79349999999999</v>
      </c>
      <c r="FA239" s="122"/>
      <c r="FB239" s="122"/>
      <c r="FC239" s="122"/>
      <c r="FD239" s="122"/>
      <c r="FE239" s="872">
        <f>-FE245-FE240</f>
        <v>-511.73099999999999</v>
      </c>
      <c r="FF239" s="756"/>
      <c r="FG239" s="660"/>
      <c r="FH239" s="1031"/>
      <c r="FI239" s="1031"/>
      <c r="FJ239" s="1031"/>
      <c r="FK239" s="1031"/>
      <c r="FL239" s="1809"/>
      <c r="FM239" s="124">
        <f>EQ239</f>
        <v>-128</v>
      </c>
      <c r="FN239" s="124">
        <f>EL239</f>
        <v>-102</v>
      </c>
      <c r="FO239" s="124">
        <v>-114</v>
      </c>
      <c r="FP239" s="1876">
        <f>IFERROR(($FM239/FN239)-1,"")</f>
        <v>0.25490196078431371</v>
      </c>
      <c r="FQ239" s="1876">
        <f>IFERROR(($FM239/FO239)-1,"")</f>
        <v>0.12280701754385959</v>
      </c>
      <c r="FR239" s="122"/>
      <c r="FS239" s="122"/>
      <c r="FT239" s="122"/>
      <c r="FU239" s="122"/>
      <c r="FV239" s="122"/>
      <c r="FW239" s="122"/>
      <c r="FX239" s="122"/>
      <c r="FY239" s="122"/>
      <c r="FZ239" s="122"/>
      <c r="GA239" s="660"/>
      <c r="GB239"/>
      <c r="GC239"/>
      <c r="GD239"/>
      <c r="GE239"/>
      <c r="GF239"/>
      <c r="GG239"/>
      <c r="GH239" s="956"/>
      <c r="GI239" s="956"/>
      <c r="GJ239" s="956"/>
      <c r="GK239" s="956"/>
      <c r="GL239" s="956"/>
      <c r="GM239" s="956"/>
      <c r="GN239" s="956"/>
      <c r="GO239" s="956"/>
      <c r="GP239" s="956"/>
      <c r="GQ239" s="956"/>
      <c r="GR239" s="956"/>
      <c r="GS239" s="956"/>
      <c r="GT239" s="956"/>
      <c r="GU239" s="956"/>
      <c r="GV239" s="956"/>
      <c r="GW239" s="956"/>
      <c r="GX239" s="956"/>
      <c r="GY239" s="956"/>
      <c r="GZ239" s="956"/>
      <c r="HA239" s="956"/>
      <c r="HB239" s="956"/>
      <c r="HC239" s="956"/>
      <c r="HD239" s="956"/>
      <c r="HE239" s="956"/>
      <c r="HF239" s="956"/>
      <c r="HG239" s="956"/>
      <c r="HH239" s="956"/>
      <c r="HI239" s="956"/>
      <c r="HJ239" s="956"/>
      <c r="HK239" s="956"/>
      <c r="HL239" s="956"/>
      <c r="HM239" s="956"/>
      <c r="HN239" s="956"/>
      <c r="HO239" s="956"/>
      <c r="HP239" s="956"/>
      <c r="HQ239" s="956"/>
      <c r="HR239" s="956"/>
      <c r="HS239" s="956"/>
      <c r="HT239" s="956"/>
      <c r="HU239" s="956"/>
      <c r="HV239" s="956"/>
      <c r="HW239" s="956"/>
      <c r="HX239" s="956"/>
      <c r="HY239" s="956"/>
      <c r="HZ239" s="956"/>
      <c r="IA239" s="956"/>
      <c r="IB239" s="956"/>
      <c r="IC239" s="956"/>
      <c r="ID239" s="956"/>
      <c r="IE239" s="956"/>
      <c r="IF239" s="956"/>
      <c r="IG239" s="956"/>
      <c r="IH239" s="956"/>
      <c r="II239" s="956"/>
      <c r="IJ239" s="956"/>
      <c r="IK239" s="956"/>
      <c r="IL239" s="956"/>
      <c r="IM239" s="956"/>
      <c r="IN239" s="956"/>
      <c r="IO239" s="956"/>
      <c r="IP239" s="956"/>
      <c r="IQ239" s="956"/>
      <c r="IR239" s="956"/>
      <c r="IS239" s="956"/>
      <c r="IT239" s="956"/>
      <c r="IU239" s="956"/>
      <c r="IV239" s="956"/>
    </row>
    <row r="240" spans="1:256" s="472" customFormat="1" ht="12.75" x14ac:dyDescent="0.2">
      <c r="A240" s="471" t="s">
        <v>226</v>
      </c>
      <c r="B240" s="464">
        <v>13.8</v>
      </c>
      <c r="C240" s="464">
        <v>12.1</v>
      </c>
      <c r="D240" s="464">
        <v>12.1</v>
      </c>
      <c r="E240" s="465">
        <v>12.7</v>
      </c>
      <c r="F240" s="466">
        <v>-22.4</v>
      </c>
      <c r="G240" s="464">
        <v>1.8</v>
      </c>
      <c r="H240" s="464">
        <v>2.5</v>
      </c>
      <c r="I240" s="464">
        <v>2.6</v>
      </c>
      <c r="J240" s="465">
        <v>3</v>
      </c>
      <c r="K240" s="466">
        <f>SUM(G240:J240)</f>
        <v>9.9</v>
      </c>
      <c r="L240" s="464">
        <v>9.1999999999999993</v>
      </c>
      <c r="M240" s="464">
        <v>9.9</v>
      </c>
      <c r="N240" s="464">
        <v>13.7</v>
      </c>
      <c r="O240" s="465">
        <v>14.2</v>
      </c>
      <c r="P240" s="466">
        <f>SUM(L240:O240)</f>
        <v>47</v>
      </c>
      <c r="Q240" s="464">
        <v>18.7</v>
      </c>
      <c r="R240" s="464">
        <v>16.399999999999999</v>
      </c>
      <c r="S240" s="464">
        <v>19.2</v>
      </c>
      <c r="T240" s="465">
        <v>19.3</v>
      </c>
      <c r="U240" s="466">
        <f>SUM(Q240:T240)</f>
        <v>73.599999999999994</v>
      </c>
      <c r="V240" s="464">
        <v>19.2</v>
      </c>
      <c r="W240" s="464">
        <v>18.3</v>
      </c>
      <c r="X240" s="464">
        <v>18.3</v>
      </c>
      <c r="Y240" s="465">
        <v>17.7</v>
      </c>
      <c r="Z240" s="466">
        <f>SUM(V240:Y240)</f>
        <v>73.5</v>
      </c>
      <c r="AA240" s="464">
        <v>18</v>
      </c>
      <c r="AB240" s="464">
        <v>18.399999999999999</v>
      </c>
      <c r="AC240" s="464">
        <v>20.100000000000001</v>
      </c>
      <c r="AD240" s="465">
        <v>19.600000000000001</v>
      </c>
      <c r="AE240" s="466">
        <f>SUM(AA240:AD240)</f>
        <v>76.099999999999994</v>
      </c>
      <c r="AF240" s="464">
        <v>22.1</v>
      </c>
      <c r="AG240" s="464">
        <v>20</v>
      </c>
      <c r="AH240" s="464">
        <v>21.9</v>
      </c>
      <c r="AI240" s="465">
        <v>21.5</v>
      </c>
      <c r="AJ240" s="466">
        <f>SUM(AF240:AI240)</f>
        <v>85.5</v>
      </c>
      <c r="AK240" s="464">
        <v>21.8</v>
      </c>
      <c r="AL240" s="464">
        <v>22.9</v>
      </c>
      <c r="AM240" s="464">
        <v>23.9</v>
      </c>
      <c r="AN240" s="465">
        <v>24.6</v>
      </c>
      <c r="AO240" s="466">
        <f>SUM(AK240:AN240)</f>
        <v>93.199999999999989</v>
      </c>
      <c r="AP240" s="464">
        <v>23.848749999999999</v>
      </c>
      <c r="AQ240" s="464">
        <v>23.7</v>
      </c>
      <c r="AR240" s="464">
        <v>23.4</v>
      </c>
      <c r="AS240" s="465">
        <v>25</v>
      </c>
      <c r="AT240" s="466">
        <f>SUM(AP240:AS240)</f>
        <v>95.94874999999999</v>
      </c>
      <c r="AU240" s="464">
        <v>19.483724569640099</v>
      </c>
      <c r="AV240" s="464">
        <v>16.75</v>
      </c>
      <c r="AW240" s="464">
        <v>18.75</v>
      </c>
      <c r="AX240" s="465">
        <v>22.75</v>
      </c>
      <c r="AY240" s="466">
        <f>SUM(AU240:AX240)</f>
        <v>77.733724569640103</v>
      </c>
      <c r="AZ240" s="464">
        <v>23.384615384615401</v>
      </c>
      <c r="BA240" s="464">
        <v>56.21875</v>
      </c>
      <c r="BB240" s="464">
        <v>134</v>
      </c>
      <c r="BC240" s="465">
        <v>138</v>
      </c>
      <c r="BD240" s="466">
        <f>SUM(AZ240:BC240)</f>
        <v>351.60336538461542</v>
      </c>
      <c r="BE240" s="464">
        <v>140</v>
      </c>
      <c r="BF240" s="464">
        <v>139</v>
      </c>
      <c r="BG240" s="464">
        <v>136</v>
      </c>
      <c r="BH240" s="465">
        <v>136</v>
      </c>
      <c r="BI240" s="466">
        <f>SUM(BE240:BH240)</f>
        <v>551</v>
      </c>
      <c r="BJ240" s="464">
        <v>141</v>
      </c>
      <c r="BK240" s="464">
        <v>139</v>
      </c>
      <c r="BL240" s="464">
        <v>137</v>
      </c>
      <c r="BM240" s="465">
        <v>136</v>
      </c>
      <c r="BN240" s="466">
        <f>SUM(BJ240:BM240)</f>
        <v>553</v>
      </c>
      <c r="BO240" s="464">
        <v>134</v>
      </c>
      <c r="BP240" s="464">
        <v>130</v>
      </c>
      <c r="BQ240" s="464">
        <v>126</v>
      </c>
      <c r="BR240" s="465">
        <v>128</v>
      </c>
      <c r="BS240" s="466">
        <f>SUM(BO240:BR240)</f>
        <v>518</v>
      </c>
      <c r="BT240" s="464">
        <v>127</v>
      </c>
      <c r="BU240" s="464">
        <v>123</v>
      </c>
      <c r="BV240" s="464">
        <v>123</v>
      </c>
      <c r="BW240" s="465">
        <v>124</v>
      </c>
      <c r="BX240" s="466">
        <f>SUM(BT240:BW240)</f>
        <v>497</v>
      </c>
      <c r="BY240" s="464">
        <v>118</v>
      </c>
      <c r="BZ240" s="464">
        <v>119</v>
      </c>
      <c r="CA240" s="464">
        <v>118</v>
      </c>
      <c r="CB240" s="465">
        <v>121</v>
      </c>
      <c r="CC240" s="466">
        <f>SUM(BY240:CB240)</f>
        <v>476</v>
      </c>
      <c r="CD240" s="464">
        <v>121</v>
      </c>
      <c r="CE240" s="464">
        <v>117</v>
      </c>
      <c r="CF240" s="464">
        <v>109</v>
      </c>
      <c r="CG240" s="465">
        <v>106</v>
      </c>
      <c r="CH240" s="466">
        <f>SUM(CD240:CG240)</f>
        <v>453</v>
      </c>
      <c r="CI240" s="464">
        <v>103</v>
      </c>
      <c r="CJ240" s="464">
        <v>99</v>
      </c>
      <c r="CK240" s="464">
        <v>99</v>
      </c>
      <c r="CL240" s="465">
        <v>99</v>
      </c>
      <c r="CM240" s="466">
        <f>SUM(CI240:CL240)</f>
        <v>400</v>
      </c>
      <c r="CN240" s="464">
        <v>100</v>
      </c>
      <c r="CO240" s="464">
        <v>99</v>
      </c>
      <c r="CP240" s="464">
        <v>97</v>
      </c>
      <c r="CQ240" s="465">
        <v>99</v>
      </c>
      <c r="CR240" s="466">
        <f>SUM(CN240:CQ240)</f>
        <v>395</v>
      </c>
      <c r="CS240" s="464">
        <v>104</v>
      </c>
      <c r="CT240" s="464">
        <v>107</v>
      </c>
      <c r="CU240" s="464">
        <v>106</v>
      </c>
      <c r="CV240" s="465">
        <v>107</v>
      </c>
      <c r="CW240" s="466">
        <f>SUM(CS240:CV240)</f>
        <v>424</v>
      </c>
      <c r="CX240" s="464">
        <v>112</v>
      </c>
      <c r="CY240" s="464">
        <v>110</v>
      </c>
      <c r="CZ240" s="464">
        <v>115</v>
      </c>
      <c r="DA240" s="467">
        <v>116</v>
      </c>
      <c r="DB240" s="466">
        <f>SUM(CX240:DA240)</f>
        <v>453</v>
      </c>
      <c r="DC240" s="464">
        <v>119</v>
      </c>
      <c r="DD240" s="464">
        <v>115</v>
      </c>
      <c r="DE240" s="464">
        <v>113</v>
      </c>
      <c r="DF240" s="467">
        <v>115</v>
      </c>
      <c r="DG240" s="466">
        <f>SUM(DC240:DF240)</f>
        <v>462</v>
      </c>
      <c r="DH240" s="467">
        <v>112</v>
      </c>
      <c r="DI240" s="464">
        <v>113</v>
      </c>
      <c r="DJ240" s="464">
        <v>114</v>
      </c>
      <c r="DK240" s="467">
        <v>116</v>
      </c>
      <c r="DL240" s="466">
        <f>SUM(DH240:DK240)</f>
        <v>455</v>
      </c>
      <c r="DM240" s="467">
        <v>120</v>
      </c>
      <c r="DN240" s="464">
        <v>122</v>
      </c>
      <c r="DO240" s="464">
        <v>124</v>
      </c>
      <c r="DP240" s="467">
        <v>129</v>
      </c>
      <c r="DQ240" s="1147">
        <f>SUM(DM240:DP240)</f>
        <v>495</v>
      </c>
      <c r="DR240" s="467">
        <v>129</v>
      </c>
      <c r="DS240" s="464">
        <v>128</v>
      </c>
      <c r="DT240" s="467">
        <v>131.4</v>
      </c>
      <c r="DU240" s="467">
        <v>137</v>
      </c>
      <c r="DV240" s="1147">
        <f>SUM(DR240:DU240)</f>
        <v>525.4</v>
      </c>
      <c r="DW240" s="467">
        <v>139</v>
      </c>
      <c r="DX240" s="464">
        <v>139</v>
      </c>
      <c r="DY240" s="467">
        <v>138</v>
      </c>
      <c r="DZ240" s="467">
        <v>129</v>
      </c>
      <c r="EA240" s="1147">
        <f>SUM(DW240:DZ240)</f>
        <v>545</v>
      </c>
      <c r="EB240" s="467">
        <v>132</v>
      </c>
      <c r="EC240" s="464">
        <v>134.4</v>
      </c>
      <c r="ED240" s="467">
        <v>137</v>
      </c>
      <c r="EE240" s="467">
        <v>142</v>
      </c>
      <c r="EF240" s="1147">
        <f>SUM(EB240:EE240)</f>
        <v>545.4</v>
      </c>
      <c r="EG240" s="467">
        <v>139</v>
      </c>
      <c r="EH240" s="464">
        <v>138</v>
      </c>
      <c r="EI240" s="467">
        <v>144</v>
      </c>
      <c r="EJ240" s="467">
        <v>142</v>
      </c>
      <c r="EK240" s="1147">
        <f>SUM(EG240:EJ240)</f>
        <v>563</v>
      </c>
      <c r="EL240" s="467">
        <v>142</v>
      </c>
      <c r="EM240" s="464">
        <v>140</v>
      </c>
      <c r="EN240" s="467">
        <v>134</v>
      </c>
      <c r="EO240" s="467">
        <v>134</v>
      </c>
      <c r="EP240" s="1147">
        <f>SUM(EL240:EO240)</f>
        <v>550</v>
      </c>
      <c r="EQ240" s="467">
        <v>136</v>
      </c>
      <c r="ER240" s="1913">
        <v>139</v>
      </c>
      <c r="ES240" s="1913">
        <v>140</v>
      </c>
      <c r="ET240" s="1913">
        <v>141</v>
      </c>
      <c r="EU240" s="1990">
        <f>SUM(EQ240:ET240)</f>
        <v>556</v>
      </c>
      <c r="EV240" s="469"/>
      <c r="EW240" s="469"/>
      <c r="EX240" s="469"/>
      <c r="EY240" s="469"/>
      <c r="EZ240" s="873">
        <v>579.79349999999999</v>
      </c>
      <c r="FA240" s="469"/>
      <c r="FB240" s="469"/>
      <c r="FC240" s="469"/>
      <c r="FD240" s="469"/>
      <c r="FE240" s="873">
        <v>601.73099999999999</v>
      </c>
      <c r="FF240" s="796"/>
      <c r="FG240" s="660"/>
      <c r="FH240" s="1042"/>
      <c r="FI240" s="1042"/>
      <c r="FJ240" s="1042"/>
      <c r="FK240" s="1042"/>
      <c r="FL240" s="1833"/>
      <c r="FM240" s="464">
        <f>EQ240</f>
        <v>136</v>
      </c>
      <c r="FN240" s="464">
        <f>EL240</f>
        <v>142</v>
      </c>
      <c r="FO240" s="1913">
        <v>136</v>
      </c>
      <c r="FP240" s="1877">
        <f>IFERROR(($FM240/FN240)-1,"")</f>
        <v>-4.2253521126760618E-2</v>
      </c>
      <c r="FQ240" s="1877">
        <f>IFERROR(($FM240/FO240)-1,"")</f>
        <v>0</v>
      </c>
      <c r="FR240" s="566"/>
      <c r="FS240" s="589"/>
      <c r="FT240" s="589"/>
      <c r="FU240" s="1644" t="s">
        <v>736</v>
      </c>
      <c r="FV240" s="1645">
        <f>0.75*EZ253+0.25*FE253</f>
        <v>9.0295342502849341</v>
      </c>
      <c r="FW240" s="589"/>
      <c r="FX240" s="589"/>
      <c r="FY240" s="589"/>
      <c r="FZ240" s="589"/>
      <c r="GA240" s="660"/>
      <c r="GB240"/>
      <c r="GC240"/>
      <c r="GD240"/>
      <c r="GE240"/>
      <c r="GF240"/>
      <c r="GG240"/>
      <c r="GH240" s="981"/>
      <c r="GI240" s="981"/>
      <c r="GJ240" s="981"/>
      <c r="GK240" s="981"/>
      <c r="GL240" s="981"/>
      <c r="GM240" s="981"/>
      <c r="GN240" s="981"/>
      <c r="GO240" s="981"/>
      <c r="GP240" s="981"/>
      <c r="GQ240" s="981"/>
      <c r="GR240" s="981"/>
      <c r="GS240" s="981"/>
      <c r="GT240" s="981"/>
      <c r="GU240" s="981"/>
      <c r="GV240" s="981"/>
      <c r="GW240" s="981"/>
      <c r="GX240" s="981"/>
      <c r="GY240" s="981"/>
      <c r="GZ240" s="981"/>
      <c r="HA240" s="981"/>
      <c r="HB240" s="981"/>
      <c r="HC240" s="981"/>
      <c r="HD240" s="981"/>
      <c r="HE240" s="981"/>
      <c r="HF240" s="981"/>
      <c r="HG240" s="981"/>
      <c r="HH240" s="981"/>
      <c r="HI240" s="981"/>
      <c r="HJ240" s="981"/>
      <c r="HK240" s="981"/>
      <c r="HL240" s="981"/>
      <c r="HM240" s="981"/>
      <c r="HN240" s="981"/>
      <c r="HO240" s="981"/>
      <c r="HP240" s="981"/>
      <c r="HQ240" s="981"/>
      <c r="HR240" s="981"/>
      <c r="HS240" s="981"/>
      <c r="HT240" s="981"/>
      <c r="HU240" s="981"/>
      <c r="HV240" s="981"/>
      <c r="HW240" s="981"/>
      <c r="HX240" s="981"/>
      <c r="HY240" s="981"/>
      <c r="HZ240" s="981"/>
      <c r="IA240" s="981"/>
      <c r="IB240" s="981"/>
      <c r="IC240" s="981"/>
      <c r="ID240" s="981"/>
      <c r="IE240" s="981"/>
      <c r="IF240" s="981"/>
      <c r="IG240" s="981"/>
      <c r="IH240" s="981"/>
      <c r="II240" s="981"/>
      <c r="IJ240" s="981"/>
      <c r="IK240" s="981"/>
      <c r="IL240" s="981"/>
      <c r="IM240" s="981"/>
      <c r="IN240" s="981"/>
      <c r="IO240" s="981"/>
      <c r="IP240" s="981"/>
      <c r="IQ240" s="981"/>
      <c r="IR240" s="981"/>
      <c r="IS240" s="981"/>
      <c r="IT240" s="981"/>
      <c r="IU240" s="981"/>
      <c r="IV240" s="981"/>
    </row>
    <row r="241" spans="1:256" s="349" customFormat="1" ht="12.75" x14ac:dyDescent="0.2">
      <c r="A241" s="127" t="s">
        <v>564</v>
      </c>
      <c r="B241" s="345"/>
      <c r="C241" s="345"/>
      <c r="D241" s="345"/>
      <c r="E241" s="346"/>
      <c r="F241" s="347"/>
      <c r="G241" s="345"/>
      <c r="H241" s="345"/>
      <c r="I241" s="345"/>
      <c r="J241" s="346"/>
      <c r="K241" s="347"/>
      <c r="L241" s="345"/>
      <c r="M241" s="345"/>
      <c r="N241" s="345"/>
      <c r="O241" s="346"/>
      <c r="P241" s="347"/>
      <c r="Q241" s="345"/>
      <c r="R241" s="345"/>
      <c r="S241" s="345"/>
      <c r="T241" s="346"/>
      <c r="U241" s="347"/>
      <c r="V241" s="345"/>
      <c r="W241" s="345"/>
      <c r="X241" s="345"/>
      <c r="Y241" s="346"/>
      <c r="Z241" s="347"/>
      <c r="AA241" s="345"/>
      <c r="AB241" s="345"/>
      <c r="AC241" s="345"/>
      <c r="AD241" s="346"/>
      <c r="AE241" s="347"/>
      <c r="AF241" s="345"/>
      <c r="AG241" s="345"/>
      <c r="AH241" s="345"/>
      <c r="AI241" s="346"/>
      <c r="AJ241" s="347"/>
      <c r="AK241" s="345"/>
      <c r="AL241" s="345"/>
      <c r="AM241" s="345"/>
      <c r="AN241" s="346"/>
      <c r="AO241" s="347"/>
      <c r="AP241" s="345"/>
      <c r="AQ241" s="345"/>
      <c r="AR241" s="345"/>
      <c r="AS241" s="346"/>
      <c r="AT241" s="347"/>
      <c r="AU241" s="345"/>
      <c r="AV241" s="345"/>
      <c r="AW241" s="345"/>
      <c r="AX241" s="346"/>
      <c r="AY241" s="347"/>
      <c r="AZ241" s="345"/>
      <c r="BA241" s="345"/>
      <c r="BB241" s="345"/>
      <c r="BC241" s="346"/>
      <c r="BD241" s="347"/>
      <c r="BE241" s="345"/>
      <c r="BF241" s="345"/>
      <c r="BG241" s="345"/>
      <c r="BH241" s="346"/>
      <c r="BI241" s="347"/>
      <c r="BJ241" s="345"/>
      <c r="BK241" s="345"/>
      <c r="BL241" s="345"/>
      <c r="BM241" s="346"/>
      <c r="BN241" s="347"/>
      <c r="BO241" s="345"/>
      <c r="BP241" s="345"/>
      <c r="BQ241" s="345"/>
      <c r="BR241" s="346"/>
      <c r="BS241" s="347"/>
      <c r="BT241" s="345"/>
      <c r="BU241" s="345"/>
      <c r="BV241" s="345"/>
      <c r="BW241" s="346"/>
      <c r="BX241" s="347"/>
      <c r="BY241" s="345"/>
      <c r="BZ241" s="345"/>
      <c r="CA241" s="345"/>
      <c r="CB241" s="346"/>
      <c r="CC241" s="347"/>
      <c r="CD241" s="345"/>
      <c r="CE241" s="345"/>
      <c r="CF241" s="345"/>
      <c r="CG241" s="346"/>
      <c r="CH241" s="347"/>
      <c r="CI241" s="345"/>
      <c r="CJ241" s="345"/>
      <c r="CK241" s="345"/>
      <c r="CL241" s="346"/>
      <c r="CM241" s="347"/>
      <c r="CN241" s="345"/>
      <c r="CO241" s="345"/>
      <c r="CP241" s="345"/>
      <c r="CQ241" s="346"/>
      <c r="CR241" s="347"/>
      <c r="CS241" s="345"/>
      <c r="CT241" s="345"/>
      <c r="CU241" s="345"/>
      <c r="CV241" s="346"/>
      <c r="CW241" s="347"/>
      <c r="CX241" s="345"/>
      <c r="CY241" s="345"/>
      <c r="CZ241" s="345"/>
      <c r="DA241" s="345"/>
      <c r="DB241" s="347"/>
      <c r="DC241" s="345"/>
      <c r="DD241" s="345"/>
      <c r="DE241" s="345"/>
      <c r="DF241" s="345"/>
      <c r="DG241" s="347"/>
      <c r="DH241" s="345"/>
      <c r="DI241" s="345"/>
      <c r="DJ241" s="345"/>
      <c r="DK241" s="345"/>
      <c r="DL241" s="347"/>
      <c r="DM241" s="345"/>
      <c r="DN241" s="345"/>
      <c r="DO241" s="345"/>
      <c r="DP241" s="345"/>
      <c r="DQ241" s="347"/>
      <c r="DR241" s="345"/>
      <c r="DS241" s="345"/>
      <c r="DT241" s="345"/>
      <c r="DU241" s="345"/>
      <c r="DV241" s="347"/>
      <c r="DW241" s="345"/>
      <c r="DX241" s="345"/>
      <c r="DY241" s="345"/>
      <c r="DZ241" s="345"/>
      <c r="EA241" s="347"/>
      <c r="EB241" s="345"/>
      <c r="EC241" s="345"/>
      <c r="ED241" s="345"/>
      <c r="EE241" s="345"/>
      <c r="EF241" s="347"/>
      <c r="EG241" s="345"/>
      <c r="EH241" s="345"/>
      <c r="EI241" s="345"/>
      <c r="EJ241" s="345"/>
      <c r="EK241" s="347"/>
      <c r="EL241" s="345"/>
      <c r="EM241" s="345"/>
      <c r="EN241" s="345"/>
      <c r="EO241" s="345"/>
      <c r="EP241" s="347"/>
      <c r="EQ241" s="345"/>
      <c r="ER241" s="345"/>
      <c r="ES241" s="345"/>
      <c r="ET241" s="345"/>
      <c r="EU241" s="1991">
        <f>EU242*EU243</f>
        <v>556</v>
      </c>
      <c r="EV241" s="348"/>
      <c r="EW241" s="348"/>
      <c r="EX241" s="348"/>
      <c r="EY241" s="348"/>
      <c r="EZ241" s="874">
        <f>EZ242*EZ243</f>
        <v>579.79349999999999</v>
      </c>
      <c r="FA241" s="348"/>
      <c r="FB241" s="348"/>
      <c r="FC241" s="348"/>
      <c r="FD241" s="348"/>
      <c r="FE241" s="874">
        <f>FE242*FE243</f>
        <v>601.73099999999999</v>
      </c>
      <c r="FF241" s="797"/>
      <c r="FG241" s="660"/>
      <c r="FH241" s="1043"/>
      <c r="FI241" s="1043"/>
      <c r="FJ241" s="1043"/>
      <c r="FK241" s="1043"/>
      <c r="FL241" s="1834"/>
      <c r="FM241" s="345"/>
      <c r="FN241" s="345"/>
      <c r="FO241" s="345"/>
      <c r="FP241" s="345"/>
      <c r="FQ241" s="345"/>
      <c r="FR241" s="590"/>
      <c r="FS241" s="590"/>
      <c r="FT241" s="590"/>
      <c r="FU241" s="1646" t="s">
        <v>737</v>
      </c>
      <c r="FV241" s="1647">
        <f ca="1">+FV242/FV240</f>
        <v>11.407011385637055</v>
      </c>
      <c r="FW241" s="590"/>
      <c r="FX241" s="590"/>
      <c r="FY241" s="590"/>
      <c r="FZ241" s="590"/>
      <c r="GA241" s="660"/>
      <c r="GB241"/>
      <c r="GC241"/>
      <c r="GD241"/>
      <c r="GE241"/>
      <c r="GF241"/>
      <c r="GG241"/>
      <c r="GH241" s="982"/>
      <c r="GI241" s="982"/>
      <c r="GJ241" s="982"/>
      <c r="GK241" s="982"/>
      <c r="GL241" s="982"/>
      <c r="GM241" s="982"/>
      <c r="GN241" s="982"/>
      <c r="GO241" s="982"/>
      <c r="GP241" s="982"/>
      <c r="GQ241" s="982"/>
      <c r="GR241" s="982"/>
      <c r="GS241" s="982"/>
      <c r="GT241" s="982"/>
      <c r="GU241" s="982"/>
      <c r="GV241" s="982"/>
      <c r="GW241" s="982"/>
      <c r="GX241" s="982"/>
      <c r="GY241" s="982"/>
      <c r="GZ241" s="982"/>
      <c r="HA241" s="982"/>
      <c r="HB241" s="982"/>
      <c r="HC241" s="982"/>
      <c r="HD241" s="982"/>
      <c r="HE241" s="982"/>
      <c r="HF241" s="982"/>
      <c r="HG241" s="982"/>
      <c r="HH241" s="982"/>
      <c r="HI241" s="982"/>
      <c r="HJ241" s="982"/>
      <c r="HK241" s="982"/>
      <c r="HL241" s="982"/>
      <c r="HM241" s="982"/>
      <c r="HN241" s="982"/>
      <c r="HO241" s="982"/>
      <c r="HP241" s="982"/>
      <c r="HQ241" s="982"/>
      <c r="HR241" s="982"/>
      <c r="HS241" s="982"/>
      <c r="HT241" s="982"/>
      <c r="HU241" s="982"/>
      <c r="HV241" s="982"/>
      <c r="HW241" s="982"/>
      <c r="HX241" s="982"/>
      <c r="HY241" s="982"/>
      <c r="HZ241" s="982"/>
      <c r="IA241" s="982"/>
      <c r="IB241" s="982"/>
      <c r="IC241" s="982"/>
      <c r="ID241" s="982"/>
      <c r="IE241" s="982"/>
      <c r="IF241" s="982"/>
      <c r="IG241" s="982"/>
      <c r="IH241" s="982"/>
      <c r="II241" s="982"/>
      <c r="IJ241" s="982"/>
      <c r="IK241" s="982"/>
      <c r="IL241" s="982"/>
      <c r="IM241" s="982"/>
      <c r="IN241" s="982"/>
      <c r="IO241" s="982"/>
      <c r="IP241" s="982"/>
      <c r="IQ241" s="982"/>
      <c r="IR241" s="982"/>
      <c r="IS241" s="982"/>
      <c r="IT241" s="982"/>
      <c r="IU241" s="982"/>
      <c r="IV241" s="982"/>
    </row>
    <row r="242" spans="1:256" s="191" customFormat="1" ht="12.75" x14ac:dyDescent="0.2">
      <c r="A242" s="128" t="s">
        <v>563</v>
      </c>
      <c r="B242" s="27"/>
      <c r="C242" s="27"/>
      <c r="D242" s="27"/>
      <c r="E242" s="213"/>
      <c r="F242" s="350"/>
      <c r="G242" s="27"/>
      <c r="H242" s="27"/>
      <c r="I242" s="27"/>
      <c r="J242" s="213"/>
      <c r="K242" s="350"/>
      <c r="L242" s="27"/>
      <c r="M242" s="27"/>
      <c r="N242" s="27"/>
      <c r="O242" s="213"/>
      <c r="P242" s="350"/>
      <c r="Q242" s="27"/>
      <c r="R242" s="27"/>
      <c r="S242" s="27"/>
      <c r="T242" s="213"/>
      <c r="U242" s="350"/>
      <c r="V242" s="27"/>
      <c r="W242" s="27"/>
      <c r="X242" s="27"/>
      <c r="Y242" s="213"/>
      <c r="Z242" s="350"/>
      <c r="AA242" s="27"/>
      <c r="AB242" s="27"/>
      <c r="AC242" s="27"/>
      <c r="AD242" s="213"/>
      <c r="AE242" s="350"/>
      <c r="AF242" s="27"/>
      <c r="AG242" s="27"/>
      <c r="AH242" s="27"/>
      <c r="AI242" s="213"/>
      <c r="AJ242" s="350"/>
      <c r="AK242" s="27"/>
      <c r="AL242" s="27"/>
      <c r="AM242" s="27"/>
      <c r="AN242" s="213"/>
      <c r="AO242" s="350"/>
      <c r="AP242" s="27"/>
      <c r="AQ242" s="27"/>
      <c r="AR242" s="27"/>
      <c r="AS242" s="213"/>
      <c r="AT242" s="350"/>
      <c r="AU242" s="27"/>
      <c r="AV242" s="27"/>
      <c r="AW242" s="27"/>
      <c r="AX242" s="213"/>
      <c r="AY242" s="350"/>
      <c r="AZ242" s="27"/>
      <c r="BA242" s="27"/>
      <c r="BB242" s="27"/>
      <c r="BC242" s="213"/>
      <c r="BD242" s="350"/>
      <c r="BE242" s="27"/>
      <c r="BF242" s="27"/>
      <c r="BG242" s="27"/>
      <c r="BH242" s="213"/>
      <c r="BI242" s="350"/>
      <c r="BJ242" s="27"/>
      <c r="BK242" s="27"/>
      <c r="BL242" s="27"/>
      <c r="BM242" s="213"/>
      <c r="BN242" s="350"/>
      <c r="BO242" s="27"/>
      <c r="BP242" s="27"/>
      <c r="BQ242" s="27"/>
      <c r="BR242" s="213"/>
      <c r="BS242" s="350"/>
      <c r="BT242" s="22">
        <f>(BT240/BT243)*4</f>
        <v>6.8403689490338648E-2</v>
      </c>
      <c r="BU242" s="22">
        <f>(BU240/BU243)*4</f>
        <v>6.5819397993311032E-2</v>
      </c>
      <c r="BV242" s="22">
        <f>(BV240/BV243)*4</f>
        <v>6.718099269474978E-2</v>
      </c>
      <c r="BW242" s="27">
        <f>(BW240/BW243)*4</f>
        <v>6.9148194618709052E-2</v>
      </c>
      <c r="BX242" s="350">
        <f>BX240/BX243</f>
        <v>6.9287606301408053E-2</v>
      </c>
      <c r="BY242" s="22">
        <f>(BY240/BY243)*4</f>
        <v>6.7231678655366431E-2</v>
      </c>
      <c r="BZ242" s="22">
        <f>(BZ240/BZ243)*4</f>
        <v>6.9347319347319344E-2</v>
      </c>
      <c r="CA242" s="22">
        <f>(CA240/CA243)*4</f>
        <v>6.5578325807572072E-2</v>
      </c>
      <c r="CB242" s="27">
        <f>(CB240/CB243)*4</f>
        <v>6.4220792144894845E-2</v>
      </c>
      <c r="CC242" s="350">
        <f>CC240/CC243</f>
        <v>6.3159291448285013E-2</v>
      </c>
      <c r="CD242" s="22">
        <f>(CD240/CD243)*4</f>
        <v>6.3654895771684095E-2</v>
      </c>
      <c r="CE242" s="22">
        <f>(CE240/CE243)*4</f>
        <v>6.3786288673844893E-2</v>
      </c>
      <c r="CF242" s="22">
        <f>(CF240/CF243)*4</f>
        <v>6.2508960573476699E-2</v>
      </c>
      <c r="CG242" s="27">
        <f>(CG240/CG243)*4</f>
        <v>6.1059907834101382E-2</v>
      </c>
      <c r="CH242" s="350">
        <f>CH240/CH243</f>
        <v>6.5236175115207379E-2</v>
      </c>
      <c r="CI242" s="22">
        <f>(CI240/CI243)*4</f>
        <v>5.9589239224761351E-2</v>
      </c>
      <c r="CJ242" s="22">
        <f>(CJ240/CJ243)*4</f>
        <v>5.754559325728402E-2</v>
      </c>
      <c r="CK242" s="22">
        <f>(CK240/CK243)*4</f>
        <v>5.8710155670867306E-2</v>
      </c>
      <c r="CL242" s="27">
        <f>(CL240/CL243)*4</f>
        <v>5.9886578449905484E-2</v>
      </c>
      <c r="CM242" s="350">
        <f>CM240/CM243</f>
        <v>6.0491493383742913E-2</v>
      </c>
      <c r="CN242" s="22">
        <f>(CN240/CN243)*4</f>
        <v>6.0915251656133401E-2</v>
      </c>
      <c r="CO242" s="22">
        <f>(CO240/CO243)*4</f>
        <v>6.2376939434512092E-2</v>
      </c>
      <c r="CP242" s="22">
        <f>(CP240/CP243)*4</f>
        <v>6.3033059865161237E-2</v>
      </c>
      <c r="CQ242" s="27">
        <f>(CQ240/CQ243)*4</f>
        <v>6.3284059129045139E-2</v>
      </c>
      <c r="CR242" s="350">
        <f>CR240/CR243</f>
        <v>6.3124250898921291E-2</v>
      </c>
      <c r="CS242" s="22">
        <f>(CS240/CS243)*4</f>
        <v>6.4691703600031097E-2</v>
      </c>
      <c r="CT242" s="22">
        <f>(CT240/CT243)*4</f>
        <v>6.5937451856416571E-2</v>
      </c>
      <c r="CU242" s="22">
        <f>(CU240/CU243)*4</f>
        <v>6.5432098765432101E-2</v>
      </c>
      <c r="CV242" s="27">
        <f>(CV240/CV243)*4</f>
        <v>6.5154513624600396E-2</v>
      </c>
      <c r="CW242" s="350">
        <f>CW240/CW243</f>
        <v>6.4545592936520013E-2</v>
      </c>
      <c r="CX242" s="22">
        <f>(CX240/CX243)*4</f>
        <v>6.5872665784443465E-2</v>
      </c>
      <c r="CY242" s="22">
        <f>(CY240/CY243)*4</f>
        <v>6.2780908896340165E-2</v>
      </c>
      <c r="CZ242" s="22">
        <f>(CZ240/CZ243)*4</f>
        <v>6.5031455432247115E-2</v>
      </c>
      <c r="DA242" s="27">
        <f>(DA240/DA243)*4</f>
        <v>6.5269376846251226E-2</v>
      </c>
      <c r="DB242" s="350">
        <f>DB240/DB243</f>
        <v>6.3722042481361652E-2</v>
      </c>
      <c r="DC242" s="22">
        <f>(DC240/DC243)*4</f>
        <v>6.7136812411847671E-2</v>
      </c>
      <c r="DD242" s="22">
        <f>(DD240/DD243)*4</f>
        <v>6.7074948964712749E-2</v>
      </c>
      <c r="DE242" s="22">
        <f>(DE240/DE243)*4</f>
        <v>6.5884410757233433E-2</v>
      </c>
      <c r="DF242" s="27">
        <f>(DF240/DF243)*4</f>
        <v>6.5447819591662515E-2</v>
      </c>
      <c r="DG242" s="350">
        <f>DG240/DG243</f>
        <v>6.5732375329017573E-2</v>
      </c>
      <c r="DH242" s="27">
        <f>(DH240/DH243)*4</f>
        <v>6.5492288575396532E-2</v>
      </c>
      <c r="DI242" s="22">
        <f>(DI240/DI243)*4</f>
        <v>6.6265943410057176E-2</v>
      </c>
      <c r="DJ242" s="22">
        <f>(DJ240/DJ243)*4</f>
        <v>6.5976994863633079E-2</v>
      </c>
      <c r="DK242" s="27">
        <f>(DK240/DK243)*4</f>
        <v>6.4772806588957912E-2</v>
      </c>
      <c r="DL242" s="350">
        <f>DL240/DL243</f>
        <v>6.3516437495637609E-2</v>
      </c>
      <c r="DM242" s="27">
        <f>(DM240/DM243)*4</f>
        <v>6.2035541195476572E-2</v>
      </c>
      <c r="DN242" s="22">
        <f>(DN240/DN243)*4</f>
        <v>6.1164379269286209E-2</v>
      </c>
      <c r="DO242" s="22">
        <f>(DO240/DO243)*4</f>
        <v>6.216707401140565E-2</v>
      </c>
      <c r="DP242" s="27">
        <f>(DP240/DP243)*4</f>
        <v>6.2105073117891318E-2</v>
      </c>
      <c r="DQ242" s="350">
        <f>DQ240/DQ243</f>
        <v>6.1216918130101411E-2</v>
      </c>
      <c r="DR242" s="27">
        <f>(DR240/DR243)*4</f>
        <v>6.0456942003514938E-2</v>
      </c>
      <c r="DS242" s="22">
        <f>(DS240/DS243)*4</f>
        <v>6.0706663504861279E-2</v>
      </c>
      <c r="DT242" s="22">
        <f>(DT240/DT243)*4</f>
        <v>6.2094630515683147E-2</v>
      </c>
      <c r="DU242" s="27">
        <f>(DU240/DU243)*4</f>
        <v>6.2621414695463382E-2</v>
      </c>
      <c r="DV242" s="350">
        <f>DV240/DV243</f>
        <v>5.9417585524455752E-2</v>
      </c>
      <c r="DW242" s="27">
        <f>(DW240/DW243)*4</f>
        <v>6.2081286288521664E-2</v>
      </c>
      <c r="DX242" s="27">
        <f>(DX240/DX243)*4</f>
        <v>6.2743327879027255E-2</v>
      </c>
      <c r="DY242" s="27">
        <f>(DY240/DY243)*4</f>
        <v>6.2256809338521402E-2</v>
      </c>
      <c r="DZ242" s="27">
        <f>(DZ240/DZ243)*4</f>
        <v>5.7647190258071725E-2</v>
      </c>
      <c r="EA242" s="350">
        <f>EA240/EA243</f>
        <v>6.0602690981874791E-2</v>
      </c>
      <c r="EB242" s="1594">
        <f>(EB240/EB243)*4</f>
        <v>6.0647829083390767E-2</v>
      </c>
      <c r="EC242" s="27">
        <f>(EC240/EC243)*4</f>
        <v>6.2082106357179978E-2</v>
      </c>
      <c r="ED242" s="27">
        <f>(ED240/ED243)*4</f>
        <v>6.1276976406127698E-2</v>
      </c>
      <c r="EE242" s="27">
        <f>(EE240/EE243)*4</f>
        <v>6.1111409973640327E-2</v>
      </c>
      <c r="EF242" s="350">
        <f>EF240/EF243</f>
        <v>5.8720930232558137E-2</v>
      </c>
      <c r="EG242" s="1594">
        <f>(EG240/EG243)*4</f>
        <v>5.8554051919330212E-2</v>
      </c>
      <c r="EH242" s="27">
        <f>(EH240/EH243)*4</f>
        <v>5.8267799651659895E-2</v>
      </c>
      <c r="EI242" s="27">
        <f>(EI240/EI243)*4</f>
        <v>6.030150753768844E-2</v>
      </c>
      <c r="EJ242" s="27">
        <f>(EJ240/EJ243)*4</f>
        <v>5.9114325857313833E-2</v>
      </c>
      <c r="EK242" s="350">
        <f>EK240/EK243</f>
        <v>5.8478317320176575E-2</v>
      </c>
      <c r="EL242" s="1594">
        <f>(EL240/EL243)*4</f>
        <v>5.9071291144506266E-2</v>
      </c>
      <c r="EM242" s="27">
        <f>(EM240/EM243)*4</f>
        <v>5.9441672858507592E-2</v>
      </c>
      <c r="EN242" s="27">
        <f>(EN240/EN243)*4</f>
        <v>5.7780412871233762E-2</v>
      </c>
      <c r="EO242" s="27">
        <f>(EO240/EO243)*4</f>
        <v>5.789587383884208E-2</v>
      </c>
      <c r="EP242" s="350">
        <f>EP240/EP243</f>
        <v>5.8207217694994179E-2</v>
      </c>
      <c r="EQ242" s="1594">
        <f>(EQ240/EQ243)*4</f>
        <v>5.7496168683612535E-2</v>
      </c>
      <c r="ER242" s="351"/>
      <c r="ES242" s="351"/>
      <c r="ET242" s="351"/>
      <c r="EU242" s="1992">
        <f>EU240/EU243</f>
        <v>5.8612692388783472E-2</v>
      </c>
      <c r="EV242" s="291">
        <f>EV240/EV243</f>
        <v>0</v>
      </c>
      <c r="EW242" s="291" t="e">
        <f>EW240/EW243</f>
        <v>#DIV/0!</v>
      </c>
      <c r="EX242" s="291" t="e">
        <f>EX240/EX243</f>
        <v>#DIV/0!</v>
      </c>
      <c r="EY242" s="291" t="e">
        <f>EY240/EY243</f>
        <v>#DIV/0!</v>
      </c>
      <c r="EZ242" s="291">
        <v>5.8500000000000003E-2</v>
      </c>
      <c r="FA242" s="291" t="e">
        <f>FA240/FA243</f>
        <v>#DIV/0!</v>
      </c>
      <c r="FB242" s="291" t="e">
        <f>FB240/FB243</f>
        <v>#DIV/0!</v>
      </c>
      <c r="FC242" s="291" t="e">
        <f>FC240/FC243</f>
        <v>#DIV/0!</v>
      </c>
      <c r="FD242" s="291" t="e">
        <f>FD240/FD243</f>
        <v>#DIV/0!</v>
      </c>
      <c r="FE242" s="291">
        <f>+EZ242</f>
        <v>5.8500000000000003E-2</v>
      </c>
      <c r="FF242" s="790"/>
      <c r="FG242" s="660"/>
      <c r="FH242" s="1041"/>
      <c r="FI242" s="1041"/>
      <c r="FJ242" s="1041"/>
      <c r="FK242" s="1041"/>
      <c r="FL242" s="1806"/>
      <c r="FM242" s="27">
        <f>EQ242</f>
        <v>5.7496168683612535E-2</v>
      </c>
      <c r="FN242" s="27">
        <f>EL242</f>
        <v>5.9071291144506266E-2</v>
      </c>
      <c r="FO242" s="351"/>
      <c r="FP242" s="27"/>
      <c r="FQ242" s="27"/>
      <c r="FR242" s="587"/>
      <c r="FS242" s="587"/>
      <c r="FT242" s="587"/>
      <c r="FU242" s="1646" t="s">
        <v>824</v>
      </c>
      <c r="FV242" s="1780">
        <f ca="1">+fair_value</f>
        <v>103</v>
      </c>
      <c r="FW242" s="587"/>
      <c r="FX242" s="587"/>
      <c r="FY242" s="587"/>
      <c r="FZ242" s="587"/>
      <c r="GA242" s="660"/>
      <c r="GB242"/>
      <c r="GC242"/>
      <c r="GD242"/>
      <c r="GE242"/>
      <c r="GF242"/>
      <c r="GG242"/>
      <c r="GH242" s="978"/>
      <c r="GI242" s="978"/>
      <c r="GJ242" s="978"/>
      <c r="GK242" s="978"/>
      <c r="GL242" s="978"/>
      <c r="GM242" s="978"/>
      <c r="GN242" s="978"/>
      <c r="GO242" s="978"/>
      <c r="GP242" s="978"/>
      <c r="GQ242" s="978"/>
      <c r="GR242" s="978"/>
      <c r="GS242" s="978"/>
      <c r="GT242" s="978"/>
      <c r="GU242" s="978"/>
      <c r="GV242" s="978"/>
      <c r="GW242" s="978"/>
      <c r="GX242" s="978"/>
      <c r="GY242" s="978"/>
      <c r="GZ242" s="978"/>
      <c r="HA242" s="978"/>
      <c r="HB242" s="978"/>
      <c r="HC242" s="978"/>
      <c r="HD242" s="978"/>
      <c r="HE242" s="978"/>
      <c r="HF242" s="978"/>
      <c r="HG242" s="978"/>
      <c r="HH242" s="978"/>
      <c r="HI242" s="978"/>
      <c r="HJ242" s="978"/>
      <c r="HK242" s="978"/>
      <c r="HL242" s="978"/>
      <c r="HM242" s="978"/>
      <c r="HN242" s="978"/>
      <c r="HO242" s="978"/>
      <c r="HP242" s="978"/>
      <c r="HQ242" s="978"/>
      <c r="HR242" s="978"/>
      <c r="HS242" s="978"/>
      <c r="HT242" s="978"/>
      <c r="HU242" s="978"/>
      <c r="HV242" s="978"/>
      <c r="HW242" s="978"/>
      <c r="HX242" s="978"/>
      <c r="HY242" s="978"/>
      <c r="HZ242" s="978"/>
      <c r="IA242" s="978"/>
      <c r="IB242" s="978"/>
      <c r="IC242" s="978"/>
      <c r="ID242" s="978"/>
      <c r="IE242" s="978"/>
      <c r="IF242" s="978"/>
      <c r="IG242" s="978"/>
      <c r="IH242" s="978"/>
      <c r="II242" s="978"/>
      <c r="IJ242" s="978"/>
      <c r="IK242" s="978"/>
      <c r="IL242" s="978"/>
      <c r="IM242" s="978"/>
      <c r="IN242" s="978"/>
      <c r="IO242" s="978"/>
      <c r="IP242" s="978"/>
      <c r="IQ242" s="978"/>
      <c r="IR242" s="978"/>
      <c r="IS242" s="978"/>
      <c r="IT242" s="978"/>
      <c r="IU242" s="978"/>
      <c r="IV242" s="978"/>
    </row>
    <row r="243" spans="1:256" s="49" customFormat="1" ht="12.75" x14ac:dyDescent="0.2">
      <c r="A243" s="129" t="s">
        <v>565</v>
      </c>
      <c r="B243" s="76"/>
      <c r="C243" s="76"/>
      <c r="D243" s="76"/>
      <c r="E243" s="208"/>
      <c r="F243" s="77"/>
      <c r="G243" s="76"/>
      <c r="H243" s="76"/>
      <c r="I243" s="76"/>
      <c r="J243" s="208"/>
      <c r="K243" s="77"/>
      <c r="L243" s="76"/>
      <c r="M243" s="76"/>
      <c r="N243" s="76"/>
      <c r="O243" s="208"/>
      <c r="P243" s="77"/>
      <c r="Q243" s="76"/>
      <c r="R243" s="76"/>
      <c r="S243" s="76"/>
      <c r="T243" s="208"/>
      <c r="U243" s="77"/>
      <c r="V243" s="76"/>
      <c r="W243" s="76"/>
      <c r="X243" s="76"/>
      <c r="Y243" s="208"/>
      <c r="Z243" s="77"/>
      <c r="AA243" s="76"/>
      <c r="AB243" s="76"/>
      <c r="AC243" s="76"/>
      <c r="AD243" s="208"/>
      <c r="AE243" s="77"/>
      <c r="AF243" s="76"/>
      <c r="AG243" s="76"/>
      <c r="AH243" s="76"/>
      <c r="AI243" s="208"/>
      <c r="AJ243" s="77"/>
      <c r="AK243" s="76"/>
      <c r="AL243" s="76"/>
      <c r="AM243" s="76"/>
      <c r="AN243" s="208"/>
      <c r="AO243" s="77"/>
      <c r="AP243" s="76"/>
      <c r="AQ243" s="76"/>
      <c r="AR243" s="76"/>
      <c r="AS243" s="208"/>
      <c r="AT243" s="77"/>
      <c r="AU243" s="76"/>
      <c r="AV243" s="76"/>
      <c r="AW243" s="76"/>
      <c r="AX243" s="208"/>
      <c r="AY243" s="77"/>
      <c r="AZ243" s="76"/>
      <c r="BA243" s="76"/>
      <c r="BB243" s="76"/>
      <c r="BC243" s="208"/>
      <c r="BD243" s="77"/>
      <c r="BE243" s="76"/>
      <c r="BF243" s="76"/>
      <c r="BG243" s="76"/>
      <c r="BH243" s="208"/>
      <c r="BI243" s="77"/>
      <c r="BJ243" s="76"/>
      <c r="BK243" s="76"/>
      <c r="BL243" s="76"/>
      <c r="BM243" s="208"/>
      <c r="BN243" s="77"/>
      <c r="BO243" s="76"/>
      <c r="BP243" s="76"/>
      <c r="BQ243" s="76"/>
      <c r="BR243" s="208"/>
      <c r="BS243" s="77"/>
      <c r="BT243" s="76">
        <f>AVERAGE(BR244,BT244)</f>
        <v>7426.5</v>
      </c>
      <c r="BU243" s="76">
        <f>AVERAGE(BT244:BU244)</f>
        <v>7475</v>
      </c>
      <c r="BV243" s="76">
        <f>AVERAGE(BU244:BV244)</f>
        <v>7323.5</v>
      </c>
      <c r="BW243" s="208">
        <f>AVERAGE(BV244:BW244)</f>
        <v>7173</v>
      </c>
      <c r="BX243" s="77">
        <f>BW243</f>
        <v>7173</v>
      </c>
      <c r="BY243" s="76">
        <f>AVERAGE(BW244,BY244)</f>
        <v>7020.5</v>
      </c>
      <c r="BZ243" s="76">
        <f>AVERAGE(BY244:BZ244)</f>
        <v>6864</v>
      </c>
      <c r="CA243" s="76">
        <f>AVERAGE(BZ244:CA244)</f>
        <v>7197.5</v>
      </c>
      <c r="CB243" s="208">
        <f>AVERAGE(CA244:CB244)</f>
        <v>7536.5</v>
      </c>
      <c r="CC243" s="77">
        <f>CB243</f>
        <v>7536.5</v>
      </c>
      <c r="CD243" s="76">
        <f>AVERAGE(CB244,CD244)</f>
        <v>7603.5</v>
      </c>
      <c r="CE243" s="76">
        <f>AVERAGE(CD244:CE244)</f>
        <v>7337</v>
      </c>
      <c r="CF243" s="76">
        <f>AVERAGE(CE244:CF244)</f>
        <v>6975</v>
      </c>
      <c r="CG243" s="208">
        <f>AVERAGE(CF244:CG244)</f>
        <v>6944</v>
      </c>
      <c r="CH243" s="77">
        <f>CG243</f>
        <v>6944</v>
      </c>
      <c r="CI243" s="76">
        <f>AVERAGE(CG244,CI244)</f>
        <v>6914</v>
      </c>
      <c r="CJ243" s="76">
        <f>AVERAGE(CI244:CJ244)</f>
        <v>6881.5</v>
      </c>
      <c r="CK243" s="76">
        <f>AVERAGE(CJ244:CK244)</f>
        <v>6745</v>
      </c>
      <c r="CL243" s="208">
        <f>AVERAGE(CK244:CL244)</f>
        <v>6612.5</v>
      </c>
      <c r="CM243" s="77">
        <f>CL243</f>
        <v>6612.5</v>
      </c>
      <c r="CN243" s="76">
        <f>AVERAGE(CL244,CN244)</f>
        <v>6566.5</v>
      </c>
      <c r="CO243" s="76">
        <f>AVERAGE(CN244:CO244)</f>
        <v>6348.5</v>
      </c>
      <c r="CP243" s="76">
        <f>AVERAGE(CO244:CP244)</f>
        <v>6155.5</v>
      </c>
      <c r="CQ243" s="208">
        <f>AVERAGE(CP244:CQ244)</f>
        <v>6257.5</v>
      </c>
      <c r="CR243" s="77">
        <f>CQ243</f>
        <v>6257.5</v>
      </c>
      <c r="CS243" s="76">
        <f>AVERAGE(CQ244,CS244)</f>
        <v>6430.5</v>
      </c>
      <c r="CT243" s="76">
        <f>AVERAGE(CS244:CT244)</f>
        <v>6491</v>
      </c>
      <c r="CU243" s="76">
        <f>AVERAGE(CT244:CU244)</f>
        <v>6480</v>
      </c>
      <c r="CV243" s="208">
        <f>AVERAGE(CU244:CV244)</f>
        <v>6569</v>
      </c>
      <c r="CW243" s="77">
        <f>CV243</f>
        <v>6569</v>
      </c>
      <c r="CX243" s="76">
        <f>AVERAGE(CV244,CX244)</f>
        <v>6801</v>
      </c>
      <c r="CY243" s="76">
        <f>AVERAGE(CX244:CY244)</f>
        <v>7008.5</v>
      </c>
      <c r="CZ243" s="76">
        <f>AVERAGE(CY244:CZ244)</f>
        <v>7073.5</v>
      </c>
      <c r="DA243" s="76">
        <f>AVERAGE(CZ244:DA244)</f>
        <v>7109</v>
      </c>
      <c r="DB243" s="77">
        <f>DA243</f>
        <v>7109</v>
      </c>
      <c r="DC243" s="76">
        <f>AVERAGE(DA244,DC244)</f>
        <v>7090</v>
      </c>
      <c r="DD243" s="76">
        <f>AVERAGE(DC244:DD244)</f>
        <v>6858</v>
      </c>
      <c r="DE243" s="76">
        <f>AVERAGE(DD244:DE244)</f>
        <v>6860.5</v>
      </c>
      <c r="DF243" s="76">
        <f>AVERAGE(DE244:DF244)</f>
        <v>7028.5</v>
      </c>
      <c r="DG243" s="77">
        <f>DF243</f>
        <v>7028.5</v>
      </c>
      <c r="DH243" s="76">
        <f>AVERAGE(DF244,DH244)</f>
        <v>6840.5</v>
      </c>
      <c r="DI243" s="76">
        <f>AVERAGE(DH244:DI244)</f>
        <v>6821</v>
      </c>
      <c r="DJ243" s="76">
        <f>AVERAGE(DI244:DJ244)</f>
        <v>6911.5</v>
      </c>
      <c r="DK243" s="76">
        <f>AVERAGE(DJ244:DK244)</f>
        <v>7163.5</v>
      </c>
      <c r="DL243" s="77">
        <f>DK243</f>
        <v>7163.5</v>
      </c>
      <c r="DM243" s="76">
        <f>AVERAGE(DK244,DM244)</f>
        <v>7737.5</v>
      </c>
      <c r="DN243" s="76">
        <f>AVERAGE(DM244:DN244)</f>
        <v>7978.5</v>
      </c>
      <c r="DO243" s="76">
        <f>AVERAGE(DN244:DO244)</f>
        <v>7978.5</v>
      </c>
      <c r="DP243" s="76">
        <f>AVERAGE(DO244:DP244)</f>
        <v>8308.5</v>
      </c>
      <c r="DQ243" s="77">
        <f>AVERAGE(DL244,DQ244)</f>
        <v>8086</v>
      </c>
      <c r="DR243" s="76">
        <f>AVERAGE(DP244,DR244)</f>
        <v>8535</v>
      </c>
      <c r="DS243" s="76">
        <f>AVERAGE(DR244:DS244)</f>
        <v>8434</v>
      </c>
      <c r="DT243" s="76">
        <f>AVERAGE(DS244:DT244)</f>
        <v>8464.5</v>
      </c>
      <c r="DU243" s="76">
        <f>AVERAGE(DT244:DU244)</f>
        <v>8751</v>
      </c>
      <c r="DV243" s="77">
        <f>AVERAGE(DQ244,DV244)</f>
        <v>8842.5</v>
      </c>
      <c r="DW243" s="76">
        <f>AVERAGE(DU244,DW244)</f>
        <v>8956</v>
      </c>
      <c r="DX243" s="76">
        <f>AVERAGE(DW244:DX244)</f>
        <v>8861.5</v>
      </c>
      <c r="DY243" s="76">
        <f>AVERAGE(DX244:DY244)</f>
        <v>8866.5</v>
      </c>
      <c r="DZ243" s="76">
        <f>AVERAGE(DY244:DZ244)</f>
        <v>8951</v>
      </c>
      <c r="EA243" s="77">
        <f>AVERAGE(DV244,EA244)</f>
        <v>8993</v>
      </c>
      <c r="EB243" s="126">
        <f>AVERAGE(DZ244,EB244)</f>
        <v>8706</v>
      </c>
      <c r="EC243" s="76">
        <f>AVERAGE(EB244:EC244)</f>
        <v>8659.5</v>
      </c>
      <c r="ED243" s="126">
        <f>AVERAGE(EC244:ED244)</f>
        <v>8943</v>
      </c>
      <c r="EE243" s="76">
        <f>AVERAGE(ED244:EE244)</f>
        <v>9294.5</v>
      </c>
      <c r="EF243" s="77">
        <f>AVERAGE(EA244,EF244)</f>
        <v>9288</v>
      </c>
      <c r="EG243" s="126">
        <f>AVERAGE(EE244,EG244)</f>
        <v>9495.5</v>
      </c>
      <c r="EH243" s="126">
        <f>AVERAGE(EG244:EH244)</f>
        <v>9473.5</v>
      </c>
      <c r="EI243" s="126">
        <f>AVERAGE(EH244:EI244)</f>
        <v>9552</v>
      </c>
      <c r="EJ243" s="76">
        <f>AVERAGE(EI244:EJ244)</f>
        <v>9608.5</v>
      </c>
      <c r="EK243" s="77">
        <f>AVERAGE(EF244,EK244)</f>
        <v>9627.5</v>
      </c>
      <c r="EL243" s="126">
        <f>AVERAGE(EJ244,EL244)</f>
        <v>9615.5</v>
      </c>
      <c r="EM243" s="126">
        <f>AVERAGE(EL244:EM244)</f>
        <v>9421</v>
      </c>
      <c r="EN243" s="126">
        <f>AVERAGE(EM244:EN244)</f>
        <v>9276.5</v>
      </c>
      <c r="EO243" s="76">
        <f>AVERAGE(EN244:EO244)</f>
        <v>9258</v>
      </c>
      <c r="EP243" s="77">
        <f>AVERAGE(EK244,EP244)</f>
        <v>9449</v>
      </c>
      <c r="EQ243" s="126">
        <f>AVERAGE(EO244,EQ244)</f>
        <v>9461.5</v>
      </c>
      <c r="ER243" s="76"/>
      <c r="ES243" s="76"/>
      <c r="ET243" s="76"/>
      <c r="EU243" s="1960">
        <f t="shared" ref="EU243" si="925">AVERAGE(EP244,EU244)</f>
        <v>9486</v>
      </c>
      <c r="EV243" s="77">
        <f t="shared" ref="EV243:FE243" si="926">AVERAGE(EQ244,EV244)</f>
        <v>4843.5</v>
      </c>
      <c r="EW243" s="77">
        <f t="shared" si="926"/>
        <v>0</v>
      </c>
      <c r="EX243" s="77">
        <f t="shared" si="926"/>
        <v>0</v>
      </c>
      <c r="EY243" s="77">
        <f t="shared" si="926"/>
        <v>0</v>
      </c>
      <c r="EZ243" s="77">
        <f t="shared" si="926"/>
        <v>9911</v>
      </c>
      <c r="FA243" s="77">
        <f t="shared" si="926"/>
        <v>0</v>
      </c>
      <c r="FB243" s="77">
        <f t="shared" si="926"/>
        <v>0</v>
      </c>
      <c r="FC243" s="77">
        <f t="shared" si="926"/>
        <v>0</v>
      </c>
      <c r="FD243" s="77">
        <f t="shared" si="926"/>
        <v>0</v>
      </c>
      <c r="FE243" s="77">
        <f t="shared" si="926"/>
        <v>10286</v>
      </c>
      <c r="FF243" s="767"/>
      <c r="FG243" s="660"/>
      <c r="FH243" s="1031"/>
      <c r="FI243" s="1031"/>
      <c r="FJ243" s="1031"/>
      <c r="FK243" s="1031"/>
      <c r="FL243" s="1809"/>
      <c r="FM243" s="76">
        <f>EQ243</f>
        <v>9461.5</v>
      </c>
      <c r="FN243" s="76">
        <f>EL243</f>
        <v>9615.5</v>
      </c>
      <c r="FO243" s="2053"/>
      <c r="FP243" s="76"/>
      <c r="FQ243" s="76"/>
      <c r="FR243" s="537"/>
      <c r="FS243" s="537"/>
      <c r="FT243" s="537"/>
      <c r="FU243" s="1648" t="s">
        <v>718</v>
      </c>
      <c r="FV243" s="2126">
        <v>146</v>
      </c>
      <c r="FW243" s="537"/>
      <c r="FX243" s="537"/>
      <c r="FY243" s="537"/>
      <c r="FZ243" s="537"/>
      <c r="GA243" s="660"/>
      <c r="GB243"/>
      <c r="GC243"/>
      <c r="GD243"/>
      <c r="GE243"/>
      <c r="GF243"/>
      <c r="GG243"/>
      <c r="GH243" s="963"/>
      <c r="GI243" s="963"/>
      <c r="GJ243" s="963"/>
      <c r="GK243" s="963"/>
      <c r="GL243" s="963"/>
      <c r="GM243" s="963"/>
      <c r="GN243" s="963"/>
      <c r="GO243" s="963"/>
      <c r="GP243" s="963"/>
      <c r="GQ243" s="963"/>
      <c r="GR243" s="963"/>
      <c r="GS243" s="963"/>
      <c r="GT243" s="963"/>
      <c r="GU243" s="963"/>
      <c r="GV243" s="963"/>
      <c r="GW243" s="963"/>
      <c r="GX243" s="963"/>
      <c r="GY243" s="963"/>
      <c r="GZ243" s="963"/>
      <c r="HA243" s="963"/>
      <c r="HB243" s="963"/>
      <c r="HC243" s="963"/>
      <c r="HD243" s="963"/>
      <c r="HE243" s="963"/>
      <c r="HF243" s="963"/>
      <c r="HG243" s="963"/>
      <c r="HH243" s="963"/>
      <c r="HI243" s="963"/>
      <c r="HJ243" s="963"/>
      <c r="HK243" s="963"/>
      <c r="HL243" s="963"/>
      <c r="HM243" s="963"/>
      <c r="HN243" s="963"/>
      <c r="HO243" s="963"/>
      <c r="HP243" s="963"/>
      <c r="HQ243" s="963"/>
      <c r="HR243" s="963"/>
      <c r="HS243" s="963"/>
      <c r="HT243" s="963"/>
      <c r="HU243" s="963"/>
      <c r="HV243" s="963"/>
      <c r="HW243" s="963"/>
      <c r="HX243" s="963"/>
      <c r="HY243" s="963"/>
      <c r="HZ243" s="963"/>
      <c r="IA243" s="963"/>
      <c r="IB243" s="963"/>
      <c r="IC243" s="963"/>
      <c r="ID243" s="963"/>
      <c r="IE243" s="963"/>
      <c r="IF243" s="963"/>
      <c r="IG243" s="963"/>
      <c r="IH243" s="963"/>
      <c r="II243" s="963"/>
      <c r="IJ243" s="963"/>
      <c r="IK243" s="963"/>
      <c r="IL243" s="963"/>
      <c r="IM243" s="963"/>
      <c r="IN243" s="963"/>
      <c r="IO243" s="963"/>
      <c r="IP243" s="963"/>
      <c r="IQ243" s="963"/>
      <c r="IR243" s="963"/>
      <c r="IS243" s="963"/>
      <c r="IT243" s="963"/>
      <c r="IU243" s="963"/>
      <c r="IV243" s="963"/>
    </row>
    <row r="244" spans="1:256" s="49" customFormat="1" ht="12.75" x14ac:dyDescent="0.2">
      <c r="A244" s="129" t="s">
        <v>566</v>
      </c>
      <c r="B244" s="76"/>
      <c r="C244" s="76"/>
      <c r="D244" s="76"/>
      <c r="E244" s="208"/>
      <c r="F244" s="77"/>
      <c r="G244" s="76"/>
      <c r="H244" s="76"/>
      <c r="I244" s="76"/>
      <c r="J244" s="208"/>
      <c r="K244" s="77"/>
      <c r="L244" s="76"/>
      <c r="M244" s="76"/>
      <c r="N244" s="76"/>
      <c r="O244" s="208"/>
      <c r="P244" s="77"/>
      <c r="Q244" s="76"/>
      <c r="R244" s="76"/>
      <c r="S244" s="76"/>
      <c r="T244" s="208"/>
      <c r="U244" s="77"/>
      <c r="V244" s="76"/>
      <c r="W244" s="76"/>
      <c r="X244" s="76"/>
      <c r="Y244" s="208"/>
      <c r="Z244" s="77"/>
      <c r="AA244" s="76"/>
      <c r="AB244" s="76"/>
      <c r="AC244" s="76"/>
      <c r="AD244" s="208"/>
      <c r="AE244" s="77"/>
      <c r="AF244" s="76"/>
      <c r="AG244" s="76"/>
      <c r="AH244" s="76"/>
      <c r="AI244" s="208"/>
      <c r="AJ244" s="77"/>
      <c r="AK244" s="76"/>
      <c r="AL244" s="76"/>
      <c r="AM244" s="76"/>
      <c r="AN244" s="208"/>
      <c r="AO244" s="77"/>
      <c r="AP244" s="76"/>
      <c r="AQ244" s="76"/>
      <c r="AR244" s="76"/>
      <c r="AS244" s="208"/>
      <c r="AT244" s="77">
        <v>7459</v>
      </c>
      <c r="AU244" s="76">
        <v>7490</v>
      </c>
      <c r="AV244" s="76">
        <v>7603</v>
      </c>
      <c r="AW244" s="76">
        <v>7575</v>
      </c>
      <c r="AX244" s="208">
        <v>7624</v>
      </c>
      <c r="AY244" s="77">
        <v>7624</v>
      </c>
      <c r="AZ244" s="76">
        <v>7807</v>
      </c>
      <c r="BA244" s="76">
        <v>7964</v>
      </c>
      <c r="BB244" s="76">
        <v>7624</v>
      </c>
      <c r="BC244" s="208">
        <v>8059</v>
      </c>
      <c r="BD244" s="77">
        <v>8059</v>
      </c>
      <c r="BE244" s="76">
        <v>8059</v>
      </c>
      <c r="BF244" s="76">
        <v>7699</v>
      </c>
      <c r="BG244" s="76">
        <v>7648</v>
      </c>
      <c r="BH244" s="208">
        <v>7636</v>
      </c>
      <c r="BI244" s="77">
        <v>7636</v>
      </c>
      <c r="BJ244" s="76">
        <v>7841</v>
      </c>
      <c r="BK244" s="76">
        <v>7677</v>
      </c>
      <c r="BL244" s="76">
        <v>7668</v>
      </c>
      <c r="BM244" s="208">
        <v>7632</v>
      </c>
      <c r="BN244" s="77">
        <v>7632</v>
      </c>
      <c r="BO244" s="76">
        <v>7656</v>
      </c>
      <c r="BP244" s="76">
        <v>7444</v>
      </c>
      <c r="BQ244" s="76">
        <v>7632</v>
      </c>
      <c r="BR244" s="208">
        <v>7364</v>
      </c>
      <c r="BS244" s="77">
        <v>7364</v>
      </c>
      <c r="BT244" s="76">
        <v>7489</v>
      </c>
      <c r="BU244" s="76">
        <v>7461</v>
      </c>
      <c r="BV244" s="76">
        <v>7186</v>
      </c>
      <c r="BW244" s="208">
        <v>7160</v>
      </c>
      <c r="BX244" s="77">
        <f>BW244</f>
        <v>7160</v>
      </c>
      <c r="BY244" s="76">
        <v>6881</v>
      </c>
      <c r="BZ244" s="76">
        <v>6847</v>
      </c>
      <c r="CA244" s="76">
        <v>7548</v>
      </c>
      <c r="CB244" s="208">
        <v>7525</v>
      </c>
      <c r="CC244" s="77">
        <f>CB244</f>
        <v>7525</v>
      </c>
      <c r="CD244" s="76">
        <v>7682</v>
      </c>
      <c r="CE244" s="76">
        <v>6992</v>
      </c>
      <c r="CF244" s="76">
        <v>6958</v>
      </c>
      <c r="CG244" s="208">
        <v>6930</v>
      </c>
      <c r="CH244" s="77">
        <f>CG244</f>
        <v>6930</v>
      </c>
      <c r="CI244" s="76">
        <v>6898</v>
      </c>
      <c r="CJ244" s="76">
        <v>6865</v>
      </c>
      <c r="CK244" s="76">
        <v>6625</v>
      </c>
      <c r="CL244" s="208">
        <v>6600</v>
      </c>
      <c r="CM244" s="77">
        <f>CL244</f>
        <v>6600</v>
      </c>
      <c r="CN244" s="76">
        <v>6533</v>
      </c>
      <c r="CO244" s="76">
        <v>6164</v>
      </c>
      <c r="CP244" s="76">
        <v>6147</v>
      </c>
      <c r="CQ244" s="208">
        <v>6368</v>
      </c>
      <c r="CR244" s="77">
        <f>CQ244</f>
        <v>6368</v>
      </c>
      <c r="CS244" s="76">
        <v>6493</v>
      </c>
      <c r="CT244" s="76">
        <v>6489</v>
      </c>
      <c r="CU244" s="76">
        <v>6471</v>
      </c>
      <c r="CV244" s="208">
        <v>6667</v>
      </c>
      <c r="CW244" s="77">
        <f>CV244</f>
        <v>6667</v>
      </c>
      <c r="CX244" s="76">
        <v>6935</v>
      </c>
      <c r="CY244" s="76">
        <v>7082</v>
      </c>
      <c r="CZ244" s="76">
        <v>7065</v>
      </c>
      <c r="DA244" s="76">
        <f>100+374+6679</f>
        <v>7153</v>
      </c>
      <c r="DB244" s="77">
        <f>DA244</f>
        <v>7153</v>
      </c>
      <c r="DC244" s="76">
        <f>0+648+6379</f>
        <v>7027</v>
      </c>
      <c r="DD244" s="76">
        <f>0+363+6326</f>
        <v>6689</v>
      </c>
      <c r="DE244" s="76">
        <f>DE338+DE332</f>
        <v>7032</v>
      </c>
      <c r="DF244" s="76">
        <f>DF338+DF332</f>
        <v>7025</v>
      </c>
      <c r="DG244" s="77">
        <f>DF244</f>
        <v>7025</v>
      </c>
      <c r="DH244" s="126">
        <f>DH338+DH332</f>
        <v>6656</v>
      </c>
      <c r="DI244" s="126">
        <f>DI338+DI332</f>
        <v>6986</v>
      </c>
      <c r="DJ244" s="76">
        <f>DJ338+DJ332</f>
        <v>6837</v>
      </c>
      <c r="DK244" s="76">
        <f>DK338+DK332</f>
        <v>7490</v>
      </c>
      <c r="DL244" s="77">
        <f>DK244</f>
        <v>7490</v>
      </c>
      <c r="DM244" s="126">
        <f>DM338+DM332</f>
        <v>7985</v>
      </c>
      <c r="DN244" s="126">
        <f>DN338+DN332</f>
        <v>7972</v>
      </c>
      <c r="DO244" s="76">
        <f>DO338+DO332</f>
        <v>7985</v>
      </c>
      <c r="DP244" s="76">
        <f>DP338+DP332</f>
        <v>8632</v>
      </c>
      <c r="DQ244" s="77">
        <f>DQ332+DQ338</f>
        <v>8682</v>
      </c>
      <c r="DR244" s="126">
        <f>DR338+DR332</f>
        <v>8438</v>
      </c>
      <c r="DS244" s="126">
        <f>DS338+DS332</f>
        <v>8430</v>
      </c>
      <c r="DT244" s="126">
        <f>DT338+DT332</f>
        <v>8499</v>
      </c>
      <c r="DU244" s="76">
        <f>DU338+DU332</f>
        <v>9003</v>
      </c>
      <c r="DV244" s="77">
        <f>DV332+DV338</f>
        <v>9003</v>
      </c>
      <c r="DW244" s="126">
        <f>DW338+DW332</f>
        <v>8909</v>
      </c>
      <c r="DX244" s="126">
        <f>DX338+DX332</f>
        <v>8814</v>
      </c>
      <c r="DY244" s="126">
        <f>DY338+DY332</f>
        <v>8919</v>
      </c>
      <c r="DZ244" s="126">
        <f>DZ338+DZ332</f>
        <v>8983</v>
      </c>
      <c r="EA244" s="77">
        <f>EA332+EA338</f>
        <v>8983</v>
      </c>
      <c r="EB244" s="126">
        <f>EB338+EB332</f>
        <v>8429</v>
      </c>
      <c r="EC244" s="126">
        <f>EC338+EC332</f>
        <v>8890</v>
      </c>
      <c r="ED244" s="126">
        <f>ED338+ED332</f>
        <v>8996</v>
      </c>
      <c r="EE244" s="126">
        <f>EE338+EE332</f>
        <v>9593</v>
      </c>
      <c r="EF244" s="77">
        <f>EF332+EF338</f>
        <v>9593</v>
      </c>
      <c r="EG244" s="126">
        <f>EG338+EG332</f>
        <v>9398</v>
      </c>
      <c r="EH244" s="126">
        <f>EH338+EH332</f>
        <v>9549</v>
      </c>
      <c r="EI244" s="126">
        <f>EI338+EI332</f>
        <v>9555</v>
      </c>
      <c r="EJ244" s="126">
        <f>EJ338+EJ332</f>
        <v>9662</v>
      </c>
      <c r="EK244" s="77">
        <f>EK332+EK338</f>
        <v>9662</v>
      </c>
      <c r="EL244" s="126">
        <f>EL338+EL332</f>
        <v>9569</v>
      </c>
      <c r="EM244" s="126">
        <f>EM338+EM332</f>
        <v>9273</v>
      </c>
      <c r="EN244" s="126">
        <f>EN338+EN332</f>
        <v>9280</v>
      </c>
      <c r="EO244" s="126">
        <f>EO338+EO332</f>
        <v>9236</v>
      </c>
      <c r="EP244" s="77">
        <f>EP332+EP338</f>
        <v>9236</v>
      </c>
      <c r="EQ244" s="126">
        <f>EQ338+EQ332</f>
        <v>9687</v>
      </c>
      <c r="ER244" s="76"/>
      <c r="ES244" s="76"/>
      <c r="ET244" s="76"/>
      <c r="EU244" s="1960">
        <f t="shared" ref="EU244" si="927">EU332+EU338</f>
        <v>9736</v>
      </c>
      <c r="EV244" s="77">
        <f t="shared" ref="EV244:EY244" si="928">EV332+EV338</f>
        <v>0</v>
      </c>
      <c r="EW244" s="77">
        <f t="shared" si="928"/>
        <v>0</v>
      </c>
      <c r="EX244" s="77">
        <f t="shared" si="928"/>
        <v>0</v>
      </c>
      <c r="EY244" s="77">
        <f t="shared" si="928"/>
        <v>0</v>
      </c>
      <c r="EZ244" s="77">
        <f>EZ332+EZ338</f>
        <v>10086</v>
      </c>
      <c r="FA244" s="77">
        <f t="shared" ref="FA244:FE244" si="929">FA332+FA338</f>
        <v>0</v>
      </c>
      <c r="FB244" s="77">
        <f t="shared" si="929"/>
        <v>0</v>
      </c>
      <c r="FC244" s="77">
        <f t="shared" si="929"/>
        <v>0</v>
      </c>
      <c r="FD244" s="77">
        <f t="shared" si="929"/>
        <v>0</v>
      </c>
      <c r="FE244" s="77">
        <f t="shared" si="929"/>
        <v>10486</v>
      </c>
      <c r="FF244" s="767"/>
      <c r="FG244" s="660"/>
      <c r="FH244" s="1917"/>
      <c r="FI244" s="1031"/>
      <c r="FJ244" s="1031"/>
      <c r="FK244" s="1031"/>
      <c r="FL244" s="1809"/>
      <c r="FM244" s="126">
        <f>EQ244</f>
        <v>9687</v>
      </c>
      <c r="FN244" s="126">
        <f>EL244</f>
        <v>9569</v>
      </c>
      <c r="FO244" s="2053"/>
      <c r="FP244" s="126"/>
      <c r="FQ244" s="126"/>
      <c r="FR244" s="537"/>
      <c r="FS244" s="537"/>
      <c r="FT244" s="537"/>
      <c r="FU244" s="1649" t="s">
        <v>738</v>
      </c>
      <c r="FV244" s="1599">
        <f ca="1">+FV242/FV243-1</f>
        <v>-0.29452054794520544</v>
      </c>
      <c r="FW244" s="1641"/>
      <c r="FX244" s="537"/>
      <c r="FY244" s="537"/>
      <c r="FZ244" s="537"/>
      <c r="GA244" s="660"/>
      <c r="GB244"/>
      <c r="GC244"/>
      <c r="GD244"/>
      <c r="GE244"/>
      <c r="GF244"/>
      <c r="GG244"/>
      <c r="GH244" s="963"/>
      <c r="GI244" s="963"/>
      <c r="GJ244" s="963"/>
      <c r="GK244" s="963"/>
      <c r="GL244" s="963"/>
      <c r="GM244" s="963"/>
      <c r="GN244" s="963"/>
      <c r="GO244" s="963"/>
      <c r="GP244" s="963"/>
      <c r="GQ244" s="963"/>
      <c r="GR244" s="963"/>
      <c r="GS244" s="963"/>
      <c r="GT244" s="963"/>
      <c r="GU244" s="963"/>
      <c r="GV244" s="963"/>
      <c r="GW244" s="963"/>
      <c r="GX244" s="963"/>
      <c r="GY244" s="963"/>
      <c r="GZ244" s="963"/>
      <c r="HA244" s="963"/>
      <c r="HB244" s="963"/>
      <c r="HC244" s="963"/>
      <c r="HD244" s="963"/>
      <c r="HE244" s="963"/>
      <c r="HF244" s="963"/>
      <c r="HG244" s="963"/>
      <c r="HH244" s="963"/>
      <c r="HI244" s="963"/>
      <c r="HJ244" s="963"/>
      <c r="HK244" s="963"/>
      <c r="HL244" s="963"/>
      <c r="HM244" s="963"/>
      <c r="HN244" s="963"/>
      <c r="HO244" s="963"/>
      <c r="HP244" s="963"/>
      <c r="HQ244" s="963"/>
      <c r="HR244" s="963"/>
      <c r="HS244" s="963"/>
      <c r="HT244" s="963"/>
      <c r="HU244" s="963"/>
      <c r="HV244" s="963"/>
      <c r="HW244" s="963"/>
      <c r="HX244" s="963"/>
      <c r="HY244" s="963"/>
      <c r="HZ244" s="963"/>
      <c r="IA244" s="963"/>
      <c r="IB244" s="963"/>
      <c r="IC244" s="963"/>
      <c r="ID244" s="963"/>
      <c r="IE244" s="963"/>
      <c r="IF244" s="963"/>
      <c r="IG244" s="963"/>
      <c r="IH244" s="963"/>
      <c r="II244" s="963"/>
      <c r="IJ244" s="963"/>
      <c r="IK244" s="963"/>
      <c r="IL244" s="963"/>
      <c r="IM244" s="963"/>
      <c r="IN244" s="963"/>
      <c r="IO244" s="963"/>
      <c r="IP244" s="963"/>
      <c r="IQ244" s="963"/>
      <c r="IR244" s="963"/>
      <c r="IS244" s="963"/>
      <c r="IT244" s="963"/>
      <c r="IU244" s="963"/>
      <c r="IV244" s="963"/>
    </row>
    <row r="245" spans="1:256" s="470" customFormat="1" ht="12.75" x14ac:dyDescent="0.2">
      <c r="A245" s="463" t="s">
        <v>546</v>
      </c>
      <c r="B245" s="464">
        <v>-11.5</v>
      </c>
      <c r="C245" s="464">
        <f>((36.2-25)+2.40000000000001)*-1</f>
        <v>-13.600000000000012</v>
      </c>
      <c r="D245" s="464">
        <v>-32.4</v>
      </c>
      <c r="E245" s="465">
        <v>1.8999999999999542</v>
      </c>
      <c r="F245" s="466">
        <f>SUM(B245:E245)</f>
        <v>-55.600000000000058</v>
      </c>
      <c r="G245" s="464">
        <v>-12.3</v>
      </c>
      <c r="H245" s="464">
        <v>-23</v>
      </c>
      <c r="I245" s="464">
        <v>-19.700000000000056</v>
      </c>
      <c r="J245" s="465">
        <v>-13.699999999999932</v>
      </c>
      <c r="K245" s="466">
        <f>SUM(G245:J245)</f>
        <v>-68.699999999999989</v>
      </c>
      <c r="L245" s="464">
        <v>-8.0000000000000107</v>
      </c>
      <c r="M245" s="464">
        <v>-20.8</v>
      </c>
      <c r="N245" s="464">
        <v>-19.600000000000001</v>
      </c>
      <c r="O245" s="465">
        <v>-30.4</v>
      </c>
      <c r="P245" s="466">
        <f>SUM(L245:O245)</f>
        <v>-78.800000000000011</v>
      </c>
      <c r="Q245" s="464">
        <v>1.4999999999999929</v>
      </c>
      <c r="R245" s="464">
        <v>-19.8</v>
      </c>
      <c r="S245" s="464">
        <v>-21.8</v>
      </c>
      <c r="T245" s="465">
        <v>-9.6000000000001364</v>
      </c>
      <c r="U245" s="466">
        <f>SUM(Q245:T245)</f>
        <v>-49.700000000000145</v>
      </c>
      <c r="V245" s="464">
        <v>-34.299999999999997</v>
      </c>
      <c r="W245" s="464">
        <v>-15.6</v>
      </c>
      <c r="X245" s="464">
        <v>-39.1</v>
      </c>
      <c r="Y245" s="465">
        <v>-18.100000000000001</v>
      </c>
      <c r="Z245" s="466">
        <f>SUM(V245:Y245)</f>
        <v>-107.1</v>
      </c>
      <c r="AA245" s="464">
        <v>-19</v>
      </c>
      <c r="AB245" s="464">
        <v>-24.3</v>
      </c>
      <c r="AC245" s="464">
        <v>-22.3</v>
      </c>
      <c r="AD245" s="465">
        <v>-16.2</v>
      </c>
      <c r="AE245" s="466">
        <f>SUM(AA245:AD245)</f>
        <v>-81.8</v>
      </c>
      <c r="AF245" s="464">
        <v>-48.6</v>
      </c>
      <c r="AG245" s="464">
        <v>-27.4</v>
      </c>
      <c r="AH245" s="464">
        <v>-31.3</v>
      </c>
      <c r="AI245" s="465">
        <v>-31.1</v>
      </c>
      <c r="AJ245" s="466">
        <f>SUM(AF245:AI245)</f>
        <v>-138.4</v>
      </c>
      <c r="AK245" s="464">
        <v>-26.7</v>
      </c>
      <c r="AL245" s="464">
        <v>-29.3</v>
      </c>
      <c r="AM245" s="464">
        <v>-36.9</v>
      </c>
      <c r="AN245" s="465">
        <v>-32.299999999999997</v>
      </c>
      <c r="AO245" s="466">
        <f>SUM(AK245:AN245)</f>
        <v>-125.2</v>
      </c>
      <c r="AP245" s="464">
        <v>-20.350000000000001</v>
      </c>
      <c r="AQ245" s="464">
        <v>-18.8</v>
      </c>
      <c r="AR245" s="464">
        <v>-35</v>
      </c>
      <c r="AS245" s="465">
        <v>-53</v>
      </c>
      <c r="AT245" s="466">
        <f>SUM(AP245:AS245)</f>
        <v>-127.15</v>
      </c>
      <c r="AU245" s="464">
        <v>-30.9</v>
      </c>
      <c r="AV245" s="464">
        <v>-34</v>
      </c>
      <c r="AW245" s="464">
        <v>-19</v>
      </c>
      <c r="AX245" s="465">
        <v>-21</v>
      </c>
      <c r="AY245" s="466">
        <f>SUM(AU245:AX245)</f>
        <v>-104.9</v>
      </c>
      <c r="AZ245" s="464">
        <v>-22</v>
      </c>
      <c r="BA245" s="464">
        <v>-26</v>
      </c>
      <c r="BB245" s="464">
        <v>-24</v>
      </c>
      <c r="BC245" s="465">
        <v>-43</v>
      </c>
      <c r="BD245" s="466">
        <f>SUM(AZ245:BC245)</f>
        <v>-115</v>
      </c>
      <c r="BE245" s="464">
        <v>-28</v>
      </c>
      <c r="BF245" s="464">
        <v>-21</v>
      </c>
      <c r="BG245" s="464">
        <v>-8</v>
      </c>
      <c r="BH245" s="465">
        <v>-14</v>
      </c>
      <c r="BI245" s="466">
        <f>SUM(BE245:BH245)</f>
        <v>-71</v>
      </c>
      <c r="BJ245" s="464">
        <v>-27</v>
      </c>
      <c r="BK245" s="464">
        <v>-24</v>
      </c>
      <c r="BL245" s="464">
        <v>-16</v>
      </c>
      <c r="BM245" s="465">
        <v>-13.1</v>
      </c>
      <c r="BN245" s="466">
        <f>SUM(BJ245:BM245)</f>
        <v>-80.099999999999994</v>
      </c>
      <c r="BO245" s="464">
        <v>-34</v>
      </c>
      <c r="BP245" s="464">
        <v>-2</v>
      </c>
      <c r="BQ245" s="464">
        <v>-4</v>
      </c>
      <c r="BR245" s="465">
        <v>-26</v>
      </c>
      <c r="BS245" s="466">
        <f>SUM(BO245:BR245)</f>
        <v>-66</v>
      </c>
      <c r="BT245" s="464">
        <v>-21</v>
      </c>
      <c r="BU245" s="464">
        <v>-24</v>
      </c>
      <c r="BV245" s="464">
        <v>-12</v>
      </c>
      <c r="BW245" s="465">
        <v>-46</v>
      </c>
      <c r="BX245" s="466">
        <f>SUM(BT245:BW245)</f>
        <v>-103</v>
      </c>
      <c r="BY245" s="464">
        <v>-7</v>
      </c>
      <c r="BZ245" s="464">
        <v>2</v>
      </c>
      <c r="CA245" s="464">
        <v>16</v>
      </c>
      <c r="CB245" s="465">
        <v>-34</v>
      </c>
      <c r="CC245" s="466">
        <f>SUM(BY245:CB245)</f>
        <v>-23</v>
      </c>
      <c r="CD245" s="464">
        <v>5</v>
      </c>
      <c r="CE245" s="464">
        <v>0</v>
      </c>
      <c r="CF245" s="464">
        <v>-22</v>
      </c>
      <c r="CG245" s="465">
        <v>-16</v>
      </c>
      <c r="CH245" s="466">
        <f>SUM(CD245:CG245)</f>
        <v>-33</v>
      </c>
      <c r="CI245" s="464">
        <v>-18</v>
      </c>
      <c r="CJ245" s="464">
        <v>-11</v>
      </c>
      <c r="CK245" s="464">
        <v>-20.100000000000001</v>
      </c>
      <c r="CL245" s="465">
        <v>-24</v>
      </c>
      <c r="CM245" s="466">
        <f>SUM(CI245:CL245)</f>
        <v>-73.099999999999994</v>
      </c>
      <c r="CN245" s="464">
        <v>8</v>
      </c>
      <c r="CO245" s="464">
        <v>-9</v>
      </c>
      <c r="CP245" s="464">
        <v>-21</v>
      </c>
      <c r="CQ245" s="465">
        <v>-25</v>
      </c>
      <c r="CR245" s="466">
        <f>SUM(CN245:CQ245)</f>
        <v>-47</v>
      </c>
      <c r="CS245" s="464">
        <v>-2</v>
      </c>
      <c r="CT245" s="464">
        <v>-41</v>
      </c>
      <c r="CU245" s="464">
        <v>-34</v>
      </c>
      <c r="CV245" s="465">
        <v>-13</v>
      </c>
      <c r="CW245" s="466">
        <f>SUM(CS245:CV245)</f>
        <v>-90</v>
      </c>
      <c r="CX245" s="464">
        <v>-12</v>
      </c>
      <c r="CY245" s="464">
        <v>-33</v>
      </c>
      <c r="CZ245" s="464">
        <v>-34</v>
      </c>
      <c r="DA245" s="467">
        <v>-34</v>
      </c>
      <c r="DB245" s="466">
        <f>SUM(CX245:DA245)</f>
        <v>-113</v>
      </c>
      <c r="DC245" s="464">
        <v>-20</v>
      </c>
      <c r="DD245" s="464">
        <v>-17</v>
      </c>
      <c r="DE245" s="464">
        <v>-81</v>
      </c>
      <c r="DF245" s="467">
        <v>-35</v>
      </c>
      <c r="DG245" s="466">
        <f>SUM(DC245:DF245)</f>
        <v>-153</v>
      </c>
      <c r="DH245" s="467">
        <v>-27</v>
      </c>
      <c r="DI245" s="464">
        <v>-34</v>
      </c>
      <c r="DJ245" s="464">
        <v>-60</v>
      </c>
      <c r="DK245" s="467">
        <v>-39</v>
      </c>
      <c r="DL245" s="466">
        <f>SUM(DH245:DK245)</f>
        <v>-160</v>
      </c>
      <c r="DM245" s="467">
        <v>-29</v>
      </c>
      <c r="DN245" s="464">
        <v>-31</v>
      </c>
      <c r="DO245" s="464">
        <v>-33</v>
      </c>
      <c r="DP245" s="467">
        <v>-36</v>
      </c>
      <c r="DQ245" s="468">
        <f>DM245+DN245+DO245+DP245</f>
        <v>-129</v>
      </c>
      <c r="DR245" s="467">
        <v>-38</v>
      </c>
      <c r="DS245" s="464">
        <v>-29</v>
      </c>
      <c r="DT245" s="467">
        <v>-30</v>
      </c>
      <c r="DU245" s="467">
        <v>-39</v>
      </c>
      <c r="DV245" s="468">
        <f>DR245+DS245+DT245+DU245</f>
        <v>-136</v>
      </c>
      <c r="DW245" s="467">
        <v>-26</v>
      </c>
      <c r="DX245" s="464">
        <v>-18</v>
      </c>
      <c r="DY245" s="467">
        <v>-32</v>
      </c>
      <c r="DZ245" s="467">
        <v>-28</v>
      </c>
      <c r="EA245" s="468">
        <f>DW245+DX245+DY245+DZ245</f>
        <v>-104</v>
      </c>
      <c r="EB245" s="467">
        <v>-21</v>
      </c>
      <c r="EC245" s="464">
        <v>-19</v>
      </c>
      <c r="ED245" s="467">
        <v>-39</v>
      </c>
      <c r="EE245" s="467">
        <v>-24</v>
      </c>
      <c r="EF245" s="468">
        <f>EB245+EC245+ED245+EE245</f>
        <v>-103</v>
      </c>
      <c r="EG245" s="467">
        <v>-16</v>
      </c>
      <c r="EH245" s="1912">
        <v>-4</v>
      </c>
      <c r="EI245" s="467">
        <v>-29</v>
      </c>
      <c r="EJ245" s="467">
        <v>-22</v>
      </c>
      <c r="EK245" s="468">
        <f>EG245+EH245+EI245+EJ245</f>
        <v>-71</v>
      </c>
      <c r="EL245" s="2131">
        <f>-24-16</f>
        <v>-40</v>
      </c>
      <c r="EM245" s="2132">
        <f>-32-16</f>
        <v>-48</v>
      </c>
      <c r="EN245" s="2131">
        <f>-23-16</f>
        <v>-39</v>
      </c>
      <c r="EO245" s="2131">
        <f>-13-16</f>
        <v>-29</v>
      </c>
      <c r="EP245" s="468">
        <f>EL245+EM245+EN245+EO245</f>
        <v>-156</v>
      </c>
      <c r="EQ245" s="467">
        <v>-8</v>
      </c>
      <c r="ER245" s="1913">
        <v>-30</v>
      </c>
      <c r="ES245" s="1913">
        <v>-26</v>
      </c>
      <c r="ET245" s="1913">
        <f t="shared" ref="ET245" si="930">+ES245</f>
        <v>-26</v>
      </c>
      <c r="EU245" s="1993">
        <f>EQ245+ER245+ES245+ET245</f>
        <v>-90</v>
      </c>
      <c r="EV245" s="467"/>
      <c r="EW245" s="469"/>
      <c r="EX245" s="469"/>
      <c r="EY245" s="469"/>
      <c r="EZ245" s="873">
        <f>+EU245</f>
        <v>-90</v>
      </c>
      <c r="FA245" s="467"/>
      <c r="FB245" s="469"/>
      <c r="FC245" s="469"/>
      <c r="FD245" s="469"/>
      <c r="FE245" s="873">
        <f>+EZ245</f>
        <v>-90</v>
      </c>
      <c r="FF245" s="798"/>
      <c r="FG245" s="660"/>
      <c r="FH245" s="1917">
        <f>+EO245+18</f>
        <v>-11</v>
      </c>
      <c r="FI245" s="1917">
        <f>+EM245+18</f>
        <v>-30</v>
      </c>
      <c r="FJ245" s="1917">
        <f>+EN245+18</f>
        <v>-21</v>
      </c>
      <c r="FK245" s="1917">
        <f>+EO245+18</f>
        <v>-11</v>
      </c>
      <c r="FL245" s="1835"/>
      <c r="FM245" s="464">
        <f>EQ245</f>
        <v>-8</v>
      </c>
      <c r="FN245" s="464">
        <f>EL245</f>
        <v>-40</v>
      </c>
      <c r="FO245" s="1913">
        <v>-22</v>
      </c>
      <c r="FP245" s="1877">
        <f>IFERROR(($FM245/FN245)-1,"")</f>
        <v>-0.8</v>
      </c>
      <c r="FQ245" s="1877">
        <f>IFERROR(($FM245/FO245)-1,"")</f>
        <v>-0.63636363636363635</v>
      </c>
      <c r="FR245" s="1624" t="s">
        <v>870</v>
      </c>
      <c r="FS245" s="591"/>
      <c r="FT245" s="591"/>
      <c r="FU245" s="591"/>
      <c r="FV245" s="591"/>
      <c r="FW245" s="591"/>
      <c r="FX245" s="591"/>
      <c r="FY245" s="591"/>
      <c r="FZ245" s="591"/>
      <c r="GA245" s="660"/>
      <c r="GB245"/>
      <c r="GC245"/>
      <c r="GD245"/>
      <c r="GE245"/>
      <c r="GF245"/>
      <c r="GG245"/>
      <c r="GH245" s="983"/>
      <c r="GI245" s="983"/>
      <c r="GJ245" s="983"/>
      <c r="GK245" s="983"/>
      <c r="GL245" s="983"/>
      <c r="GM245" s="983"/>
      <c r="GN245" s="983"/>
      <c r="GO245" s="983"/>
      <c r="GP245" s="983"/>
      <c r="GQ245" s="983"/>
      <c r="GR245" s="983"/>
      <c r="GS245" s="983"/>
      <c r="GT245" s="983"/>
      <c r="GU245" s="983"/>
      <c r="GV245" s="983"/>
      <c r="GW245" s="983"/>
      <c r="GX245" s="983"/>
      <c r="GY245" s="983"/>
      <c r="GZ245" s="983"/>
      <c r="HA245" s="983"/>
      <c r="HB245" s="983"/>
      <c r="HC245" s="983"/>
      <c r="HD245" s="983"/>
      <c r="HE245" s="983"/>
      <c r="HF245" s="983"/>
      <c r="HG245" s="983"/>
      <c r="HH245" s="983"/>
      <c r="HI245" s="983"/>
      <c r="HJ245" s="983"/>
      <c r="HK245" s="983"/>
      <c r="HL245" s="983"/>
      <c r="HM245" s="983"/>
      <c r="HN245" s="983"/>
      <c r="HO245" s="983"/>
      <c r="HP245" s="983"/>
      <c r="HQ245" s="983"/>
      <c r="HR245" s="983"/>
      <c r="HS245" s="983"/>
      <c r="HT245" s="983"/>
      <c r="HU245" s="983"/>
      <c r="HV245" s="983"/>
      <c r="HW245" s="983"/>
      <c r="HX245" s="983"/>
      <c r="HY245" s="983"/>
      <c r="HZ245" s="983"/>
      <c r="IA245" s="983"/>
      <c r="IB245" s="983"/>
      <c r="IC245" s="983"/>
      <c r="ID245" s="983"/>
      <c r="IE245" s="983"/>
      <c r="IF245" s="983"/>
      <c r="IG245" s="983"/>
      <c r="IH245" s="983"/>
      <c r="II245" s="983"/>
      <c r="IJ245" s="983"/>
      <c r="IK245" s="983"/>
      <c r="IL245" s="983"/>
      <c r="IM245" s="983"/>
      <c r="IN245" s="983"/>
      <c r="IO245" s="983"/>
      <c r="IP245" s="983"/>
      <c r="IQ245" s="983"/>
      <c r="IR245" s="983"/>
      <c r="IS245" s="983"/>
      <c r="IT245" s="983"/>
      <c r="IU245" s="983"/>
      <c r="IV245" s="983"/>
    </row>
    <row r="246" spans="1:256" s="87" customFormat="1" ht="12.75" x14ac:dyDescent="0.2">
      <c r="A246" s="85" t="s">
        <v>567</v>
      </c>
      <c r="B246" s="544"/>
      <c r="C246" s="544"/>
      <c r="D246" s="544"/>
      <c r="E246" s="545"/>
      <c r="F246" s="546"/>
      <c r="G246" s="544"/>
      <c r="H246" s="544"/>
      <c r="I246" s="544"/>
      <c r="J246" s="545"/>
      <c r="K246" s="546"/>
      <c r="L246" s="544"/>
      <c r="M246" s="544"/>
      <c r="N246" s="544"/>
      <c r="O246" s="545"/>
      <c r="P246" s="546"/>
      <c r="Q246" s="544"/>
      <c r="R246" s="544"/>
      <c r="S246" s="544"/>
      <c r="T246" s="545"/>
      <c r="U246" s="546"/>
      <c r="V246" s="544"/>
      <c r="W246" s="544"/>
      <c r="X246" s="544"/>
      <c r="Y246" s="545"/>
      <c r="Z246" s="546"/>
      <c r="AA246" s="544"/>
      <c r="AB246" s="544"/>
      <c r="AC246" s="544"/>
      <c r="AD246" s="545"/>
      <c r="AE246" s="546"/>
      <c r="AF246" s="544"/>
      <c r="AG246" s="544"/>
      <c r="AH246" s="544"/>
      <c r="AI246" s="545"/>
      <c r="AJ246" s="546"/>
      <c r="AK246" s="544"/>
      <c r="AL246" s="544"/>
      <c r="AM246" s="544"/>
      <c r="AN246" s="545"/>
      <c r="AO246" s="546"/>
      <c r="AP246" s="544"/>
      <c r="AQ246" s="544"/>
      <c r="AR246" s="544"/>
      <c r="AS246" s="545"/>
      <c r="AT246" s="546"/>
      <c r="AU246" s="544"/>
      <c r="AV246" s="544"/>
      <c r="AW246" s="544"/>
      <c r="AX246" s="545"/>
      <c r="AY246" s="546"/>
      <c r="AZ246" s="544"/>
      <c r="BA246" s="544"/>
      <c r="BB246" s="544"/>
      <c r="BC246" s="545"/>
      <c r="BD246" s="546"/>
      <c r="BE246" s="544"/>
      <c r="BF246" s="544"/>
      <c r="BG246" s="544"/>
      <c r="BH246" s="545"/>
      <c r="BI246" s="546"/>
      <c r="BJ246" s="544"/>
      <c r="BK246" s="544"/>
      <c r="BL246" s="544"/>
      <c r="BM246" s="545"/>
      <c r="BN246" s="546"/>
      <c r="BO246" s="544"/>
      <c r="BP246" s="544"/>
      <c r="BQ246" s="544"/>
      <c r="BR246" s="545"/>
      <c r="BS246" s="546"/>
      <c r="BT246" s="544"/>
      <c r="BU246" s="544"/>
      <c r="BV246" s="544"/>
      <c r="BW246" s="545"/>
      <c r="BX246" s="546"/>
      <c r="BY246" s="544"/>
      <c r="BZ246" s="544"/>
      <c r="CA246" s="544"/>
      <c r="CB246" s="545"/>
      <c r="CC246" s="546"/>
      <c r="CD246" s="544"/>
      <c r="CE246" s="544"/>
      <c r="CF246" s="544"/>
      <c r="CG246" s="545"/>
      <c r="CH246" s="546"/>
      <c r="CI246" s="544"/>
      <c r="CJ246" s="544"/>
      <c r="CK246" s="544"/>
      <c r="CL246" s="545"/>
      <c r="CM246" s="546"/>
      <c r="CN246" s="544"/>
      <c r="CO246" s="544"/>
      <c r="CP246" s="544"/>
      <c r="CQ246" s="545"/>
      <c r="CR246" s="546"/>
      <c r="CS246" s="544"/>
      <c r="CT246" s="544"/>
      <c r="CU246" s="544"/>
      <c r="CV246" s="545"/>
      <c r="CW246" s="546"/>
      <c r="CX246" s="544"/>
      <c r="CY246" s="544"/>
      <c r="CZ246" s="544"/>
      <c r="DA246" s="544"/>
      <c r="DB246" s="546"/>
      <c r="DC246" s="919"/>
      <c r="DD246" s="919"/>
      <c r="DE246" s="919"/>
      <c r="DF246" s="919"/>
      <c r="DG246" s="546"/>
      <c r="DH246" s="919"/>
      <c r="DI246" s="919"/>
      <c r="DJ246" s="919"/>
      <c r="DK246" s="919"/>
      <c r="DL246" s="546"/>
      <c r="DM246" s="919"/>
      <c r="DN246" s="919"/>
      <c r="DO246" s="919"/>
      <c r="DP246" s="919"/>
      <c r="DQ246" s="546"/>
      <c r="DR246" s="919"/>
      <c r="DS246" s="919"/>
      <c r="DT246" s="544"/>
      <c r="DU246" s="919"/>
      <c r="DV246" s="546"/>
      <c r="DW246" s="919"/>
      <c r="DX246" s="919"/>
      <c r="DY246" s="544"/>
      <c r="DZ246" s="919"/>
      <c r="EA246" s="546"/>
      <c r="EB246" s="919"/>
      <c r="EC246" s="919"/>
      <c r="ED246" s="544"/>
      <c r="EE246" s="919"/>
      <c r="EF246" s="546"/>
      <c r="EG246" s="919"/>
      <c r="EH246" s="919"/>
      <c r="EI246" s="544"/>
      <c r="EJ246" s="919"/>
      <c r="EK246" s="546"/>
      <c r="EL246" s="919"/>
      <c r="EM246" s="919"/>
      <c r="EN246" s="544"/>
      <c r="EO246" s="919"/>
      <c r="EP246" s="546"/>
      <c r="EQ246" s="919"/>
      <c r="ER246" s="86"/>
      <c r="ES246" s="86"/>
      <c r="ET246" s="86"/>
      <c r="EU246" s="1994"/>
      <c r="EV246" s="86"/>
      <c r="EW246" s="86"/>
      <c r="EX246" s="86"/>
      <c r="EY246" s="86"/>
      <c r="EZ246" s="875"/>
      <c r="FA246" s="86"/>
      <c r="FB246" s="86"/>
      <c r="FC246" s="86"/>
      <c r="FD246" s="86"/>
      <c r="FE246" s="875"/>
      <c r="FF246" s="799"/>
      <c r="FG246" s="660"/>
      <c r="FH246" s="1039"/>
      <c r="FI246" s="1039"/>
      <c r="FJ246" s="1039"/>
      <c r="FK246" s="1039"/>
      <c r="FL246" s="1813"/>
      <c r="FM246" s="919"/>
      <c r="FN246" s="919"/>
      <c r="FO246" s="86"/>
      <c r="FP246" s="919"/>
      <c r="FQ246" s="919"/>
      <c r="FR246" s="86"/>
      <c r="FS246" s="1586" t="s">
        <v>802</v>
      </c>
      <c r="FT246" s="86"/>
      <c r="FU246" s="86"/>
      <c r="FV246" s="86"/>
      <c r="FW246" s="86"/>
      <c r="FX246" s="86"/>
      <c r="FY246" s="86"/>
      <c r="FZ246" s="86"/>
      <c r="GA246" s="660"/>
      <c r="GB246"/>
      <c r="GC246"/>
      <c r="GD246"/>
      <c r="GE246"/>
      <c r="GF246"/>
      <c r="GG246"/>
      <c r="GH246" s="974"/>
      <c r="GI246" s="974"/>
      <c r="GJ246" s="974"/>
      <c r="GK246" s="974"/>
      <c r="GL246" s="974"/>
      <c r="GM246" s="974"/>
      <c r="GN246" s="974"/>
      <c r="GO246" s="974"/>
      <c r="GP246" s="974"/>
      <c r="GQ246" s="974"/>
      <c r="GR246" s="974"/>
      <c r="GS246" s="974"/>
      <c r="GT246" s="974"/>
      <c r="GU246" s="974"/>
      <c r="GV246" s="974"/>
      <c r="GW246" s="974"/>
      <c r="GX246" s="974"/>
      <c r="GY246" s="974"/>
      <c r="GZ246" s="974"/>
      <c r="HA246" s="974"/>
      <c r="HB246" s="974"/>
      <c r="HC246" s="974"/>
      <c r="HD246" s="974"/>
      <c r="HE246" s="974"/>
      <c r="HF246" s="974"/>
      <c r="HG246" s="974"/>
      <c r="HH246" s="974"/>
      <c r="HI246" s="974"/>
      <c r="HJ246" s="974"/>
      <c r="HK246" s="974"/>
      <c r="HL246" s="974"/>
      <c r="HM246" s="974"/>
      <c r="HN246" s="974"/>
      <c r="HO246" s="974"/>
      <c r="HP246" s="974"/>
      <c r="HQ246" s="974"/>
      <c r="HR246" s="974"/>
      <c r="HS246" s="974"/>
      <c r="HT246" s="974"/>
      <c r="HU246" s="974"/>
      <c r="HV246" s="974"/>
      <c r="HW246" s="974"/>
      <c r="HX246" s="974"/>
      <c r="HY246" s="974"/>
      <c r="HZ246" s="974"/>
      <c r="IA246" s="974"/>
      <c r="IB246" s="974"/>
      <c r="IC246" s="974"/>
      <c r="ID246" s="974"/>
      <c r="IE246" s="974"/>
      <c r="IF246" s="974"/>
      <c r="IG246" s="974"/>
      <c r="IH246" s="974"/>
      <c r="II246" s="974"/>
      <c r="IJ246" s="974"/>
      <c r="IK246" s="974"/>
      <c r="IL246" s="974"/>
      <c r="IM246" s="974"/>
      <c r="IN246" s="974"/>
      <c r="IO246" s="974"/>
      <c r="IP246" s="974"/>
      <c r="IQ246" s="974"/>
      <c r="IR246" s="974"/>
      <c r="IS246" s="974"/>
      <c r="IT246" s="974"/>
      <c r="IU246" s="974"/>
      <c r="IV246" s="974"/>
    </row>
    <row r="247" spans="1:256" s="336" customFormat="1" ht="12.75" x14ac:dyDescent="0.2">
      <c r="A247" s="331" t="s">
        <v>568</v>
      </c>
      <c r="B247" s="332">
        <f>B234-B240-B245</f>
        <v>194.10000000000008</v>
      </c>
      <c r="C247" s="332">
        <f>C234-C240-C245</f>
        <v>231.89999999999989</v>
      </c>
      <c r="D247" s="332">
        <f>D234-D240-D245</f>
        <v>211.19999999999987</v>
      </c>
      <c r="E247" s="333">
        <f>E234-E240-E245</f>
        <v>197.40000000000018</v>
      </c>
      <c r="F247" s="334">
        <f>SUM(B247:E247)</f>
        <v>834.6</v>
      </c>
      <c r="G247" s="332">
        <f>G234-G240-G245</f>
        <v>220.29999999999984</v>
      </c>
      <c r="H247" s="332">
        <f>H234-H240-H245</f>
        <v>247</v>
      </c>
      <c r="I247" s="332">
        <f>I234-I240-I245</f>
        <v>226.79999999999998</v>
      </c>
      <c r="J247" s="333">
        <f>J234-J240-J245</f>
        <v>210.80000000000007</v>
      </c>
      <c r="K247" s="334">
        <f>SUM(G247:J247)</f>
        <v>904.89999999999986</v>
      </c>
      <c r="L247" s="332">
        <f>L234-L240-L245</f>
        <v>159.30000000000001</v>
      </c>
      <c r="M247" s="332">
        <f>M234-M240-M245</f>
        <v>213.7000000000003</v>
      </c>
      <c r="N247" s="332">
        <f>N234-N240-N245</f>
        <v>237.89999999999989</v>
      </c>
      <c r="O247" s="333">
        <f>O234-O240-O245</f>
        <v>212.80000000000004</v>
      </c>
      <c r="P247" s="334">
        <f>SUM(L247:O247)</f>
        <v>823.70000000000027</v>
      </c>
      <c r="Q247" s="332">
        <f>Q234-Q240-Q245</f>
        <v>211.10000000000008</v>
      </c>
      <c r="R247" s="332">
        <f>R234-R240-R245</f>
        <v>228.59999999999994</v>
      </c>
      <c r="S247" s="332">
        <f>S234-S240-S245</f>
        <v>231.39999999999998</v>
      </c>
      <c r="T247" s="333">
        <f>T234-T240-T245</f>
        <v>231.10000000000019</v>
      </c>
      <c r="U247" s="334">
        <f>SUM(Q247:T247)</f>
        <v>902.20000000000027</v>
      </c>
      <c r="V247" s="332">
        <f>V234-V240-V245</f>
        <v>221.00000000000023</v>
      </c>
      <c r="W247" s="332">
        <f>W234-W240-W245</f>
        <v>248.60000000000005</v>
      </c>
      <c r="X247" s="332">
        <f>X234-X240-X245</f>
        <v>229.39999999999978</v>
      </c>
      <c r="Y247" s="333">
        <f>Y234-Y240-Y245</f>
        <v>246.29999999999998</v>
      </c>
      <c r="Z247" s="334">
        <f>SUM(V247:Y247)</f>
        <v>945.3</v>
      </c>
      <c r="AA247" s="332">
        <f>AA234-AA240-AA245</f>
        <v>225.30000000000007</v>
      </c>
      <c r="AB247" s="332">
        <f>AB234-AB240-AB245</f>
        <v>278.49999999999989</v>
      </c>
      <c r="AC247" s="332">
        <f>AC234-AC240-AC245</f>
        <v>266.09999999999997</v>
      </c>
      <c r="AD247" s="333">
        <f>AD234-AD240-AD245</f>
        <v>279.09999999999985</v>
      </c>
      <c r="AE247" s="334">
        <f>SUM(AA247:AD247)</f>
        <v>1048.9999999999998</v>
      </c>
      <c r="AF247" s="332">
        <f>AF234-AF240-AF245</f>
        <v>276.5</v>
      </c>
      <c r="AG247" s="332">
        <f>AG234-AG240-AG245</f>
        <v>297.60000000000002</v>
      </c>
      <c r="AH247" s="332">
        <f>AH234-AH240-AH245</f>
        <v>287.09999999999991</v>
      </c>
      <c r="AI247" s="333">
        <f>AI234-AI240-AI245</f>
        <v>293.5999999999998</v>
      </c>
      <c r="AJ247" s="334">
        <f>SUM(AF247:AI247)</f>
        <v>1154.7999999999997</v>
      </c>
      <c r="AK247" s="332">
        <f>AK234-AK240-AK245</f>
        <v>266.79999999999984</v>
      </c>
      <c r="AL247" s="332">
        <f>AL234-AL240-AL245</f>
        <v>306.40000000000003</v>
      </c>
      <c r="AM247" s="332">
        <f>AM234-AM240-AM245</f>
        <v>313.39999999999986</v>
      </c>
      <c r="AN247" s="333">
        <f>AN234-AN240-AN245</f>
        <v>310.49999999999994</v>
      </c>
      <c r="AO247" s="334">
        <f>SUM(AK247:AN247)</f>
        <v>1197.0999999999997</v>
      </c>
      <c r="AP247" s="332">
        <f>AP234-AP240-AP245</f>
        <v>278.00125000000003</v>
      </c>
      <c r="AQ247" s="332">
        <f>AQ234-AQ240-AQ245</f>
        <v>315.5</v>
      </c>
      <c r="AR247" s="332">
        <f>AR234-AR240-AR245</f>
        <v>308.79999999999984</v>
      </c>
      <c r="AS247" s="333">
        <f>AS234-AS240-AS245</f>
        <v>342</v>
      </c>
      <c r="AT247" s="334">
        <f>SUM(AP247:AS247)</f>
        <v>1244.30125</v>
      </c>
      <c r="AU247" s="332">
        <f>AU234-AU240-AU245</f>
        <v>262.31627543035978</v>
      </c>
      <c r="AV247" s="332">
        <f>AV234-AV240-AV245</f>
        <v>311.54999999999995</v>
      </c>
      <c r="AW247" s="332">
        <f>AW234-AW240-AW245</f>
        <v>258.29999999999995</v>
      </c>
      <c r="AX247" s="333">
        <f>AX234-AX240-AX245</f>
        <v>248.49</v>
      </c>
      <c r="AY247" s="334">
        <f>SUM(AU247:AX247)</f>
        <v>1080.6562754303598</v>
      </c>
      <c r="AZ247" s="332">
        <f>AZ234-AZ240-AZ245</f>
        <v>235.81538461538463</v>
      </c>
      <c r="BA247" s="332">
        <f>BA234-BA240-BA245</f>
        <v>167.48125000000005</v>
      </c>
      <c r="BB247" s="332">
        <f>BB234-BB240-BB245</f>
        <v>36.089999999999918</v>
      </c>
      <c r="BC247" s="333">
        <f>BC234-BC240-BC245</f>
        <v>42.200000000000045</v>
      </c>
      <c r="BD247" s="334">
        <f>SUM(AZ247:BC247)</f>
        <v>481.58663461538464</v>
      </c>
      <c r="BE247" s="332">
        <f>BE234-BE240-BE245</f>
        <v>17</v>
      </c>
      <c r="BF247" s="332">
        <f>BF234-BF240-BF245</f>
        <v>160</v>
      </c>
      <c r="BG247" s="332">
        <f>BG234-BG240-BG245</f>
        <v>83</v>
      </c>
      <c r="BH247" s="333">
        <f>BH234-BH240-BH245</f>
        <v>58</v>
      </c>
      <c r="BI247" s="334">
        <f>SUM(BE247:BH247)</f>
        <v>318</v>
      </c>
      <c r="BJ247" s="332">
        <f>BJ234-BJ240-BJ245</f>
        <v>91</v>
      </c>
      <c r="BK247" s="332">
        <f>BK234-BK240-BK245</f>
        <v>167</v>
      </c>
      <c r="BL247" s="332">
        <f>BL234-BL240-BL245</f>
        <v>124</v>
      </c>
      <c r="BM247" s="333">
        <f>BM234-BM240-BM245</f>
        <v>152.1</v>
      </c>
      <c r="BN247" s="334">
        <f>SUM(BJ247:BM247)</f>
        <v>534.1</v>
      </c>
      <c r="BO247" s="332">
        <f>BO234-BO240-BO245</f>
        <v>137</v>
      </c>
      <c r="BP247" s="332">
        <f>BP234-BP240-BP245</f>
        <v>194</v>
      </c>
      <c r="BQ247" s="332">
        <f>BQ234-BQ240-BQ245</f>
        <v>189</v>
      </c>
      <c r="BR247" s="333">
        <f>BR234-BR240-BR245</f>
        <v>186</v>
      </c>
      <c r="BS247" s="334">
        <f>SUM(BO247:BR247)</f>
        <v>706</v>
      </c>
      <c r="BT247" s="332">
        <f>BT234-BT240-BT245</f>
        <v>125</v>
      </c>
      <c r="BU247" s="332">
        <f>BU234-BU240-BU245</f>
        <v>199</v>
      </c>
      <c r="BV247" s="332">
        <f>BV234-BV240-BV245</f>
        <v>200</v>
      </c>
      <c r="BW247" s="333">
        <f>BW234-BW240-BW245</f>
        <v>253</v>
      </c>
      <c r="BX247" s="334">
        <f>SUM(BT247:BW247)</f>
        <v>777</v>
      </c>
      <c r="BY247" s="332">
        <f>BY234-BY240-BY245</f>
        <v>235</v>
      </c>
      <c r="BZ247" s="332">
        <f>BZ234-BZ240-BZ245</f>
        <v>304</v>
      </c>
      <c r="CA247" s="332">
        <f>CA234-CA240-CA245</f>
        <v>335</v>
      </c>
      <c r="CB247" s="333">
        <f>CB234-CB240-CB245</f>
        <v>375</v>
      </c>
      <c r="CC247" s="334">
        <f>SUM(BY247:CB247)</f>
        <v>1249</v>
      </c>
      <c r="CD247" s="332">
        <f>CD234-CD240-CD245</f>
        <v>277</v>
      </c>
      <c r="CE247" s="332">
        <f>CE234-CE240-CE245</f>
        <v>441</v>
      </c>
      <c r="CF247" s="332">
        <f>CF234-CF240-CF245</f>
        <v>441</v>
      </c>
      <c r="CG247" s="333">
        <f>CG234-CG240-CG245</f>
        <v>504</v>
      </c>
      <c r="CH247" s="334">
        <f>SUM(CD247:CG247)</f>
        <v>1663</v>
      </c>
      <c r="CI247" s="332">
        <f>CI234-CI240-CI245</f>
        <v>466</v>
      </c>
      <c r="CJ247" s="332">
        <f>CJ234-CJ240-CJ245</f>
        <v>589</v>
      </c>
      <c r="CK247" s="332">
        <f>CK234-CK240-CK245</f>
        <v>636.1</v>
      </c>
      <c r="CL247" s="333">
        <f>CL234-CL240-CL245</f>
        <v>539</v>
      </c>
      <c r="CM247" s="334">
        <f>SUM(CI247:CL247)</f>
        <v>2230.1</v>
      </c>
      <c r="CN247" s="332">
        <f>CN234-CN240-CN245</f>
        <v>420</v>
      </c>
      <c r="CO247" s="332">
        <f>CO234-CO240-CO245</f>
        <v>600</v>
      </c>
      <c r="CP247" s="332">
        <f>CP234-CP240-CP245</f>
        <v>605</v>
      </c>
      <c r="CQ247" s="333">
        <f>CQ234-CQ240-CQ245</f>
        <v>612</v>
      </c>
      <c r="CR247" s="334">
        <f>SUM(CN247:CQ247)</f>
        <v>2237</v>
      </c>
      <c r="CS247" s="332">
        <f>CS234-CS240-CS245</f>
        <v>489</v>
      </c>
      <c r="CT247" s="332">
        <f>CT234-CT240-CT245</f>
        <v>733</v>
      </c>
      <c r="CU247" s="332">
        <f>CU234-CU240-CU245</f>
        <v>822</v>
      </c>
      <c r="CV247" s="333">
        <f>CV234-CV240-CV245</f>
        <v>719</v>
      </c>
      <c r="CW247" s="334">
        <f>SUM(CS247:CV247)</f>
        <v>2763</v>
      </c>
      <c r="CX247" s="332">
        <f>CX234-CX240-CX245</f>
        <v>283</v>
      </c>
      <c r="CY247" s="332">
        <f>CY234-CY240-CY245</f>
        <v>391</v>
      </c>
      <c r="CZ247" s="332">
        <f>CZ234-CZ240-CZ245</f>
        <v>481</v>
      </c>
      <c r="DA247" s="332">
        <f>DA234-DA240-DA245</f>
        <v>467</v>
      </c>
      <c r="DB247" s="334">
        <f>SUM(CX247:DA247)</f>
        <v>1622</v>
      </c>
      <c r="DC247" s="332">
        <f>DC234-DC240-DC245</f>
        <v>456</v>
      </c>
      <c r="DD247" s="332">
        <f>DD234-DD240-DD245</f>
        <v>635</v>
      </c>
      <c r="DE247" s="332">
        <f>DE234-DE240-DE245</f>
        <v>714</v>
      </c>
      <c r="DF247" s="332">
        <f>DF234-DF240-DF245</f>
        <v>561.87317585301844</v>
      </c>
      <c r="DG247" s="334">
        <f>SUM(DC247:DF247)</f>
        <v>2366.8731758530184</v>
      </c>
      <c r="DH247" s="332">
        <f>DH234-DH240-DH245</f>
        <v>573</v>
      </c>
      <c r="DI247" s="332">
        <f>DI234-DI240-DI245</f>
        <v>796</v>
      </c>
      <c r="DJ247" s="332">
        <f>DJ234-DJ240-DJ245</f>
        <v>884</v>
      </c>
      <c r="DK247" s="332">
        <f>DK234-DK240-DK245</f>
        <v>723</v>
      </c>
      <c r="DL247" s="334">
        <f>SUM(DH247:DK247)</f>
        <v>2976</v>
      </c>
      <c r="DM247" s="332">
        <f>DM234-DM240-DM245</f>
        <v>654</v>
      </c>
      <c r="DN247" s="332">
        <f>DN234-DN240-DN245</f>
        <v>843</v>
      </c>
      <c r="DO247" s="332">
        <f>DO234-DO240-DO245</f>
        <v>640</v>
      </c>
      <c r="DP247" s="332">
        <f>DP234-DP240-DP245</f>
        <v>621</v>
      </c>
      <c r="DQ247" s="334">
        <f>SUM(DM247:DP247)</f>
        <v>2758</v>
      </c>
      <c r="DR247" s="332">
        <f>DR234-DR240-DR245</f>
        <v>600</v>
      </c>
      <c r="DS247" s="332">
        <f>DS234-DS240-DS245</f>
        <v>737</v>
      </c>
      <c r="DT247" s="332">
        <f>DT234-DT240-DT245</f>
        <v>747.6</v>
      </c>
      <c r="DU247" s="332">
        <f>DU234-DU240-DU245</f>
        <v>783</v>
      </c>
      <c r="DV247" s="334">
        <f>SUM(DR247:DU247)</f>
        <v>2867.6</v>
      </c>
      <c r="DW247" s="332">
        <f>DW234-DW240-DW245</f>
        <v>554</v>
      </c>
      <c r="DX247" s="332">
        <f>DX234-DX240-DX245</f>
        <v>898</v>
      </c>
      <c r="DY247" s="332">
        <f>DY234-DY240-DY245</f>
        <v>892.09999999999991</v>
      </c>
      <c r="DZ247" s="332">
        <f>DZ234-DZ240-DZ245</f>
        <v>790</v>
      </c>
      <c r="EA247" s="334">
        <f>SUM(DW247:DZ247)</f>
        <v>3134.1</v>
      </c>
      <c r="EB247" s="332">
        <f>EB234-EB240-EB245</f>
        <v>495</v>
      </c>
      <c r="EC247" s="332">
        <f>EC234-EC240-EC245</f>
        <v>698.6</v>
      </c>
      <c r="ED247" s="332">
        <f>ED234-ED240-ED245</f>
        <v>724</v>
      </c>
      <c r="EE247" s="332">
        <f>EE234-EE240-EE245</f>
        <v>524</v>
      </c>
      <c r="EF247" s="334">
        <f>SUM(EB247:EE247)</f>
        <v>2441.6</v>
      </c>
      <c r="EG247" s="332">
        <f>EG234-EG240-EG245</f>
        <v>600</v>
      </c>
      <c r="EH247" s="332">
        <f>EH234-EH240-EH245</f>
        <v>636</v>
      </c>
      <c r="EI247" s="332">
        <f>EI234-EI240-EI245</f>
        <v>705</v>
      </c>
      <c r="EJ247" s="332">
        <f>EJ234-EJ240-EJ245</f>
        <v>641</v>
      </c>
      <c r="EK247" s="334">
        <f>SUM(EG247:EJ247)</f>
        <v>2582</v>
      </c>
      <c r="EL247" s="332">
        <f>EL234-EL240-EL245</f>
        <v>655</v>
      </c>
      <c r="EM247" s="332">
        <f>EM234-EM240-EM245</f>
        <v>780</v>
      </c>
      <c r="EN247" s="332">
        <f>EN234-EN240-EN245</f>
        <v>800</v>
      </c>
      <c r="EO247" s="332">
        <f>EO234-EO240-EO245</f>
        <v>742</v>
      </c>
      <c r="EP247" s="334">
        <f>SUM(EL247:EO247)</f>
        <v>2977</v>
      </c>
      <c r="EQ247" s="332">
        <f>EQ234-EQ240-EQ245</f>
        <v>707</v>
      </c>
      <c r="ER247" s="332">
        <f>ER234-ER240-ER245</f>
        <v>841.6944133204579</v>
      </c>
      <c r="ES247" s="332">
        <f>ES234-ES240-ES245</f>
        <v>776.45208941838155</v>
      </c>
      <c r="ET247" s="332">
        <f>ET234-ET240-ET245</f>
        <v>739.9092620162121</v>
      </c>
      <c r="EU247" s="1995">
        <f>SUM(EQ247:ET247)</f>
        <v>3065.0557647550513</v>
      </c>
      <c r="EV247" s="335"/>
      <c r="EW247" s="20"/>
      <c r="EX247" s="20"/>
      <c r="EY247" s="20"/>
      <c r="EZ247" s="876">
        <f>EZ234-EZ240-EZ245</f>
        <v>3194.8499783280631</v>
      </c>
      <c r="FA247" s="335"/>
      <c r="FB247" s="20"/>
      <c r="FC247" s="20"/>
      <c r="FD247" s="20"/>
      <c r="FE247" s="876">
        <f>FE234-FE240-FE245</f>
        <v>3361.0969593691807</v>
      </c>
      <c r="FF247" s="767"/>
      <c r="FG247" s="660"/>
      <c r="FH247" s="1031"/>
      <c r="FI247" s="1031"/>
      <c r="FJ247" s="1031"/>
      <c r="FK247" s="1031"/>
      <c r="FL247" s="1809"/>
      <c r="FM247" s="332">
        <f>EQ247</f>
        <v>707</v>
      </c>
      <c r="FN247" s="332">
        <f>EL247</f>
        <v>655</v>
      </c>
      <c r="FO247" s="332">
        <v>672.11112050487645</v>
      </c>
      <c r="FP247" s="1878">
        <f>IFERROR(($FM247/FN247)-1,"")</f>
        <v>7.938931297709928E-2</v>
      </c>
      <c r="FQ247" s="1878">
        <f>IFERROR(($FM247/FO247)-1,"")</f>
        <v>5.1909391811454819E-2</v>
      </c>
      <c r="FR247" s="537"/>
      <c r="FS247" s="537"/>
      <c r="FT247" s="537"/>
      <c r="FU247" s="537"/>
      <c r="FV247" s="537"/>
      <c r="FW247" s="537"/>
      <c r="FX247" s="537"/>
      <c r="FY247" s="537"/>
      <c r="FZ247" s="537"/>
      <c r="GA247" s="660"/>
      <c r="GB247"/>
      <c r="GC247"/>
      <c r="GD247"/>
      <c r="GE247"/>
      <c r="GF247"/>
      <c r="GG247"/>
      <c r="GH247" s="963"/>
      <c r="GI247" s="963"/>
      <c r="GJ247" s="963"/>
      <c r="GK247" s="963"/>
      <c r="GL247" s="963"/>
      <c r="GM247" s="963"/>
      <c r="GN247" s="963"/>
      <c r="GO247" s="963"/>
      <c r="GP247" s="963"/>
      <c r="GQ247" s="963"/>
      <c r="GR247" s="963"/>
      <c r="GS247" s="963"/>
      <c r="GT247" s="963"/>
      <c r="GU247" s="963"/>
      <c r="GV247" s="963"/>
      <c r="GW247" s="963"/>
      <c r="GX247" s="963"/>
      <c r="GY247" s="963"/>
      <c r="GZ247" s="963"/>
      <c r="HA247" s="963"/>
      <c r="HB247" s="963"/>
      <c r="HC247" s="963"/>
      <c r="HD247" s="963"/>
      <c r="HE247" s="963"/>
      <c r="HF247" s="963"/>
      <c r="HG247" s="963"/>
      <c r="HH247" s="963"/>
      <c r="HI247" s="963"/>
      <c r="HJ247" s="963"/>
      <c r="HK247" s="963"/>
      <c r="HL247" s="963"/>
      <c r="HM247" s="963"/>
      <c r="HN247" s="963"/>
      <c r="HO247" s="963"/>
      <c r="HP247" s="963"/>
      <c r="HQ247" s="963"/>
      <c r="HR247" s="963"/>
      <c r="HS247" s="963"/>
      <c r="HT247" s="963"/>
      <c r="HU247" s="963"/>
      <c r="HV247" s="963"/>
      <c r="HW247" s="963"/>
      <c r="HX247" s="963"/>
      <c r="HY247" s="963"/>
      <c r="HZ247" s="963"/>
      <c r="IA247" s="963"/>
      <c r="IB247" s="963"/>
      <c r="IC247" s="963"/>
      <c r="ID247" s="963"/>
      <c r="IE247" s="963"/>
      <c r="IF247" s="963"/>
      <c r="IG247" s="963"/>
      <c r="IH247" s="963"/>
      <c r="II247" s="963"/>
      <c r="IJ247" s="963"/>
      <c r="IK247" s="963"/>
      <c r="IL247" s="963"/>
      <c r="IM247" s="963"/>
      <c r="IN247" s="963"/>
      <c r="IO247" s="963"/>
      <c r="IP247" s="963"/>
      <c r="IQ247" s="963"/>
      <c r="IR247" s="963"/>
      <c r="IS247" s="963"/>
      <c r="IT247" s="963"/>
      <c r="IU247" s="963"/>
      <c r="IV247" s="963"/>
    </row>
    <row r="248" spans="1:256" s="1103" customFormat="1" ht="12.75" x14ac:dyDescent="0.2">
      <c r="A248" s="1098" t="s">
        <v>119</v>
      </c>
      <c r="B248" s="1099">
        <f>+B249/B247</f>
        <v>0.40649149922720235</v>
      </c>
      <c r="C248" s="1099">
        <f>+C249/C247</f>
        <v>0.4017166882276843</v>
      </c>
      <c r="D248" s="1099">
        <f>+D249/D247</f>
        <v>0.3716856060606063</v>
      </c>
      <c r="E248" s="1100">
        <f>+E249/E247</f>
        <v>0.33789260385005038</v>
      </c>
      <c r="F248" s="1101">
        <f>F249/F247</f>
        <v>0.38013191948238673</v>
      </c>
      <c r="G248" s="1099">
        <f>+G249/G247</f>
        <v>0.36359509759418995</v>
      </c>
      <c r="H248" s="1099">
        <f>+H249/H247</f>
        <v>0.36882591093117406</v>
      </c>
      <c r="I248" s="1099">
        <f>+I249/I247</f>
        <v>0.36992945326278664</v>
      </c>
      <c r="J248" s="1100">
        <f>+J249/J247</f>
        <v>0.35398481973434526</v>
      </c>
      <c r="K248" s="1101">
        <f>K249/K247</f>
        <v>0.36437175378494868</v>
      </c>
      <c r="L248" s="1099">
        <f>+L249/L247</f>
        <v>0.37162586315128687</v>
      </c>
      <c r="M248" s="1099">
        <f>+M249/M247</f>
        <v>0.3729527374824515</v>
      </c>
      <c r="N248" s="1099">
        <f>+N249/N247</f>
        <v>0.36822194199243397</v>
      </c>
      <c r="O248" s="1100">
        <f>+O249/O247</f>
        <v>0.32999999999999985</v>
      </c>
      <c r="P248" s="1101">
        <f>P249/P247</f>
        <v>0.36023309457326685</v>
      </c>
      <c r="Q248" s="1099">
        <f>+Q249/Q247</f>
        <v>0.34296541923259111</v>
      </c>
      <c r="R248" s="1099">
        <f>+R249/R247</f>
        <v>0.36614173228346469</v>
      </c>
      <c r="S248" s="1099">
        <f>+S249/S247</f>
        <v>0.36992221261884184</v>
      </c>
      <c r="T248" s="1100">
        <f>+T249/T247</f>
        <v>0.37</v>
      </c>
      <c r="U248" s="1101">
        <f>U249/U247</f>
        <v>0.36267679006872089</v>
      </c>
      <c r="V248" s="1099">
        <f>+V249/V247</f>
        <v>0.37149321266968283</v>
      </c>
      <c r="W248" s="1099">
        <f>+W249/W247</f>
        <v>0.38000000000000006</v>
      </c>
      <c r="X248" s="1099">
        <f>+X249/X247</f>
        <v>0.37900000000000017</v>
      </c>
      <c r="Y248" s="1100">
        <f>+Y249/Y247</f>
        <v>0.35282176207876575</v>
      </c>
      <c r="Z248" s="1101">
        <f>Z249/Z247</f>
        <v>0.37068718925208932</v>
      </c>
      <c r="AA248" s="1099">
        <f>+AA249/AA247</f>
        <v>0.35685752330226356</v>
      </c>
      <c r="AB248" s="1099">
        <f>+AB249/AB247</f>
        <v>0.35906642728904864</v>
      </c>
      <c r="AC248" s="1099">
        <f>+AC249/AC247</f>
        <v>0.36753100338218719</v>
      </c>
      <c r="AD248" s="1100">
        <f>+AD249/AD247</f>
        <v>0.36904335363668955</v>
      </c>
      <c r="AE248" s="1101">
        <f>AE249/AE247</f>
        <v>0.36339370829361306</v>
      </c>
      <c r="AF248" s="1099">
        <f>+AF249/AF247</f>
        <v>0.38264014466546109</v>
      </c>
      <c r="AG248" s="1099">
        <f>+AG249/AG247</f>
        <v>0.378</v>
      </c>
      <c r="AH248" s="1099">
        <f>+AH249/AH247</f>
        <v>0.35945663531870442</v>
      </c>
      <c r="AI248" s="1100">
        <f>+AI249/AI247</f>
        <v>0.37500000000000022</v>
      </c>
      <c r="AJ248" s="1101">
        <f>AJ249/AJ247</f>
        <v>0.3737381364738484</v>
      </c>
      <c r="AK248" s="1099">
        <f>+AK249/AK247</f>
        <v>0.36994002998500775</v>
      </c>
      <c r="AL248" s="1099">
        <f>+AL249/AL247</f>
        <v>0.34889033942558745</v>
      </c>
      <c r="AM248" s="1099">
        <f>+AM249/AM247</f>
        <v>0.35449904275686039</v>
      </c>
      <c r="AN248" s="1100">
        <f>+AN249/AN247</f>
        <v>0.35362318840579715</v>
      </c>
      <c r="AO248" s="1101">
        <f>AO249/AO247</f>
        <v>0.35627767103834279</v>
      </c>
      <c r="AP248" s="1099">
        <f>+AP249/AP247</f>
        <v>0.35599999999999998</v>
      </c>
      <c r="AQ248" s="1099">
        <f>+AQ249/AQ247</f>
        <v>0.36</v>
      </c>
      <c r="AR248" s="1099">
        <f>+AR249/AR247</f>
        <v>0.3400000000000003</v>
      </c>
      <c r="AS248" s="1100">
        <f>+AS249/AS247</f>
        <v>0.28699999999999998</v>
      </c>
      <c r="AT248" s="1101">
        <f>AT249/AT247</f>
        <v>0.33407862043054287</v>
      </c>
      <c r="AU248" s="1099">
        <f>+AU249/AU247</f>
        <v>0.36100000000000015</v>
      </c>
      <c r="AV248" s="1099">
        <f>+AV249/AV247</f>
        <v>0.36</v>
      </c>
      <c r="AW248" s="1099">
        <f>+AW249/AW247</f>
        <v>0.35999999999999965</v>
      </c>
      <c r="AX248" s="1100">
        <f>+AX249/AX247</f>
        <v>0.36</v>
      </c>
      <c r="AY248" s="1101">
        <f>AY249/AY247</f>
        <v>0.3602427379374869</v>
      </c>
      <c r="AZ248" s="1099">
        <f>+AZ249/AZ247</f>
        <v>0.35000000000000003</v>
      </c>
      <c r="BA248" s="1099">
        <f>+BA249/BA247</f>
        <v>0.34</v>
      </c>
      <c r="BB248" s="1099">
        <f>+BB249/BB247</f>
        <v>0.47104461069548459</v>
      </c>
      <c r="BC248" s="1100">
        <f>+BC249/BC247</f>
        <v>0.26066350710900443</v>
      </c>
      <c r="BD248" s="1101">
        <f>BD249/BD247</f>
        <v>0.34776506982827804</v>
      </c>
      <c r="BE248" s="1099">
        <f>+BE249/BE247</f>
        <v>0.17500000000000002</v>
      </c>
      <c r="BF248" s="1099">
        <f>+BF249/BF247</f>
        <v>0.37</v>
      </c>
      <c r="BG248" s="1099">
        <f>+BG249/BG247</f>
        <v>0.36468330134357019</v>
      </c>
      <c r="BH248" s="1100">
        <f>+BH249/BH247</f>
        <v>0.3</v>
      </c>
      <c r="BI248" s="1101">
        <f>BI249/BI247</f>
        <v>0.34542048431294448</v>
      </c>
      <c r="BJ248" s="1099">
        <f>+BJ249/BJ247</f>
        <v>0.32967032967032966</v>
      </c>
      <c r="BK248" s="1099">
        <f>+BK249/BK247</f>
        <v>0.3592814371257485</v>
      </c>
      <c r="BL248" s="1099">
        <f>+BL249/BL247</f>
        <v>0.36612903225806448</v>
      </c>
      <c r="BM248" s="1100">
        <f>+BM249/BM247</f>
        <v>0.31163708086785008</v>
      </c>
      <c r="BN248" s="1101">
        <f>BN249/BN247</f>
        <v>0.34225800411907881</v>
      </c>
      <c r="BO248" s="1099">
        <f>+BO249/BO247</f>
        <v>0.37226277372262773</v>
      </c>
      <c r="BP248" s="1099">
        <f>+BP249/BP247</f>
        <v>0.38659793814432991</v>
      </c>
      <c r="BQ248" s="1099">
        <f>+BQ249/BQ247</f>
        <v>0.33333333333333331</v>
      </c>
      <c r="BR248" s="1100">
        <f>+BR249/BR247</f>
        <v>0.30645161290322581</v>
      </c>
      <c r="BS248" s="1101">
        <f>BS249/BS247</f>
        <v>0.34844192634560905</v>
      </c>
      <c r="BT248" s="1099">
        <f>+BT249/BT247</f>
        <v>0.32</v>
      </c>
      <c r="BU248" s="1099">
        <f>+BU249/BU247</f>
        <v>0.31155778894472363</v>
      </c>
      <c r="BV248" s="1099">
        <f>+BV249/BV247</f>
        <v>0.315</v>
      </c>
      <c r="BW248" s="1100">
        <f>+BW249/BW247</f>
        <v>0.32806324110671936</v>
      </c>
      <c r="BX248" s="1101">
        <f>BX249/BX247</f>
        <v>0.31917631917631917</v>
      </c>
      <c r="BY248" s="1099">
        <f>+BY249/BY247</f>
        <v>0.32765957446808508</v>
      </c>
      <c r="BZ248" s="1099">
        <f>+BZ249/BZ247</f>
        <v>0.29934210526315791</v>
      </c>
      <c r="CA248" s="1099">
        <f>+CA249/CA247</f>
        <v>0.29850746268656714</v>
      </c>
      <c r="CB248" s="1100">
        <f>+CB249/CB247</f>
        <v>0.29599999999999999</v>
      </c>
      <c r="CC248" s="1101">
        <f>CC249/CC247</f>
        <v>0.3034427542033627</v>
      </c>
      <c r="CD248" s="1099">
        <f>+CD249/CD247</f>
        <v>0.29963898916967507</v>
      </c>
      <c r="CE248" s="1099">
        <f>+CE249/CE247</f>
        <v>0.30725623582766443</v>
      </c>
      <c r="CF248" s="1099">
        <f>+CF249/CF247</f>
        <v>0.31746031746031744</v>
      </c>
      <c r="CG248" s="1100">
        <f>+CG249/CG247</f>
        <v>0.28174603174603174</v>
      </c>
      <c r="CH248" s="1101">
        <f>CH249/CH247</f>
        <v>0.30096211665664463</v>
      </c>
      <c r="CI248" s="1099">
        <f>+CI249/CI247</f>
        <v>0.34549356223175964</v>
      </c>
      <c r="CJ248" s="1099">
        <f>+CJ249/CJ247</f>
        <v>0.36332767402376909</v>
      </c>
      <c r="CK248" s="1099">
        <f>+CK249/CK247</f>
        <v>0.34585756956453384</v>
      </c>
      <c r="CL248" s="1100">
        <f>+CL249/CL247</f>
        <v>0.2857142857142857</v>
      </c>
      <c r="CM248" s="1101">
        <f>CM249/CM247</f>
        <v>0.33585937850320613</v>
      </c>
      <c r="CN248" s="1099">
        <f>+CN249/CN247</f>
        <v>0.32142857142857145</v>
      </c>
      <c r="CO248" s="1099">
        <f>+CO249/CO247</f>
        <v>0.34333333333333332</v>
      </c>
      <c r="CP248" s="1099">
        <f>+CP249/CP247</f>
        <v>0.33057851239669422</v>
      </c>
      <c r="CQ248" s="1100">
        <f>+CQ249/CQ247</f>
        <v>0.34803921568627449</v>
      </c>
      <c r="CR248" s="1101">
        <f>CR249/CR247</f>
        <v>0.33705856057219491</v>
      </c>
      <c r="CS248" s="1099">
        <f>+CS249/CS247</f>
        <v>0.38865546218487396</v>
      </c>
      <c r="CT248" s="1099">
        <f>+CT249/CT247</f>
        <v>0.38199181446111868</v>
      </c>
      <c r="CU248" s="1099">
        <f>+CU249/CU247</f>
        <v>0.36739659367396593</v>
      </c>
      <c r="CV248" s="1100">
        <f>+CV249/CV247</f>
        <v>0.3713490959666203</v>
      </c>
      <c r="CW248" s="1101">
        <f>CW249/CW247</f>
        <v>0.3760595443389082</v>
      </c>
      <c r="CX248" s="1099">
        <f>+CX249/CX247</f>
        <v>0.37455830388692579</v>
      </c>
      <c r="CY248" s="1099">
        <f>+CY249/CY247</f>
        <v>0.36828644501278773</v>
      </c>
      <c r="CZ248" s="1099">
        <f>+CZ249/CZ247</f>
        <v>0.37006237006237008</v>
      </c>
      <c r="DA248" s="1099">
        <f>+DA249/DA247</f>
        <v>0.34261241970021411</v>
      </c>
      <c r="DB248" s="1101">
        <f>DB249/DB247</f>
        <v>0.36251541307028362</v>
      </c>
      <c r="DC248" s="1099">
        <f>+DC249/DC247</f>
        <v>0.38157894736842107</v>
      </c>
      <c r="DD248" s="1099">
        <f>+DD249/DD247</f>
        <v>0.38267716535433072</v>
      </c>
      <c r="DE248" s="1099">
        <f>+DE249/DE247</f>
        <v>0.37675070028011204</v>
      </c>
      <c r="DF248" s="1099">
        <f>+DF249/DF247</f>
        <v>0.3452736459708638</v>
      </c>
      <c r="DG248" s="1101">
        <f>DG249/DG247</f>
        <v>0.37179854374024457</v>
      </c>
      <c r="DH248" s="1099">
        <f>+DH249/DH247</f>
        <v>0.36998254799301922</v>
      </c>
      <c r="DI248" s="1099">
        <f>+DI249/DI247</f>
        <v>0.37939698492462309</v>
      </c>
      <c r="DJ248" s="1099">
        <f>+DJ249/DJ247</f>
        <v>0.37330316742081449</v>
      </c>
      <c r="DK248" s="1099">
        <f>+DK249/DK247</f>
        <v>0.35131396957123096</v>
      </c>
      <c r="DL248" s="1101">
        <f>DL249/DL247</f>
        <v>0.36895161290322581</v>
      </c>
      <c r="DM248" s="1099">
        <f>+DM249/DM247</f>
        <v>0.37308868501529052</v>
      </c>
      <c r="DN248" s="1099">
        <f>+DN249/DN247</f>
        <v>0.37841043890865955</v>
      </c>
      <c r="DO248" s="1099">
        <f>+DO249/DO247</f>
        <v>0.37187500000000001</v>
      </c>
      <c r="DP248" s="1099">
        <f>+DP249/DP247</f>
        <v>0.33494363929146537</v>
      </c>
      <c r="DQ248" s="1101">
        <f>DQ249/DQ247</f>
        <v>0.36584481508339378</v>
      </c>
      <c r="DR248" s="1099">
        <f>+DR249/DR247</f>
        <v>0.35083333333333333</v>
      </c>
      <c r="DS248" s="1099">
        <f>+DS249/DS247</f>
        <v>0.36906377204884666</v>
      </c>
      <c r="DT248" s="1099">
        <f>+DT249/DT247</f>
        <v>0.35580524344569286</v>
      </c>
      <c r="DU248" s="1099">
        <f>+DU249/DU247</f>
        <v>0.34482758620689657</v>
      </c>
      <c r="DV248" s="1101">
        <f>DV249/DV247</f>
        <v>0.35517505928302412</v>
      </c>
      <c r="DW248" s="1099">
        <f>+DW249/DW247</f>
        <v>0.33664259927797835</v>
      </c>
      <c r="DX248" s="1099">
        <f>+DX249/DX247</f>
        <v>0.37416481069042318</v>
      </c>
      <c r="DY248" s="1099">
        <f>+DY249/DY247</f>
        <v>0.37327653850465198</v>
      </c>
      <c r="DZ248" s="1099">
        <f>+DZ249/DZ247</f>
        <v>0.35316455696202531</v>
      </c>
      <c r="EA248" s="1101">
        <f>EA249/EA247</f>
        <v>0.36198589706773876</v>
      </c>
      <c r="EB248" s="1099">
        <f>+EB249/EB247</f>
        <v>0.37373737373737376</v>
      </c>
      <c r="EC248" s="1099">
        <f>+EC249/EC247</f>
        <v>0.38076152304609218</v>
      </c>
      <c r="ED248" s="1099">
        <f>+ED249/ED247</f>
        <v>0.37569060773480661</v>
      </c>
      <c r="EE248" s="1099">
        <f>+EE249/EE247</f>
        <v>0.31106870229007633</v>
      </c>
      <c r="EF248" s="1101">
        <f>EF249/EF247</f>
        <v>0.36287680209698558</v>
      </c>
      <c r="EG248" s="1099">
        <f>+EG249/EG247</f>
        <v>0.35499999999999998</v>
      </c>
      <c r="EH248" s="1099">
        <f>+EH249/EH247</f>
        <v>0.36352201257861633</v>
      </c>
      <c r="EI248" s="1099">
        <f>+EI249/EI247</f>
        <v>0.34808510638297874</v>
      </c>
      <c r="EJ248" s="1099">
        <f>+EJ249/EJ247</f>
        <v>0.35101404056162244</v>
      </c>
      <c r="EK248" s="1101">
        <f>EK249/EK247</f>
        <v>0.35422153369481024</v>
      </c>
      <c r="EL248" s="1099">
        <f>+EL249/EL247</f>
        <v>0.33893129770992364</v>
      </c>
      <c r="EM248" s="1099">
        <f>+EM249/EM247</f>
        <v>0.36282051282051281</v>
      </c>
      <c r="EN248" s="1099">
        <f>+EN249/EN247</f>
        <v>0.36749999999999999</v>
      </c>
      <c r="EO248" s="1099">
        <f>+EO249/EO247</f>
        <v>0.34501347708894881</v>
      </c>
      <c r="EP248" s="1101">
        <f>EP249/EP247</f>
        <v>0.35438360765871685</v>
      </c>
      <c r="EQ248" s="1099">
        <f>+EQ249/EQ247</f>
        <v>0.21923620933521923</v>
      </c>
      <c r="ER248" s="1914">
        <v>0.245</v>
      </c>
      <c r="ES248" s="1914">
        <f t="shared" ref="ES248:ET248" si="931">+ER248</f>
        <v>0.245</v>
      </c>
      <c r="ET248" s="1914">
        <f t="shared" si="931"/>
        <v>0.245</v>
      </c>
      <c r="EU248" s="1996">
        <f>EU249/EU247</f>
        <v>0.23905720437146577</v>
      </c>
      <c r="EV248" s="904"/>
      <c r="EW248" s="904"/>
      <c r="EX248" s="904"/>
      <c r="EY248" s="904"/>
      <c r="EZ248" s="1419">
        <v>0.24</v>
      </c>
      <c r="FA248" s="904"/>
      <c r="FB248" s="904"/>
      <c r="FC248" s="904"/>
      <c r="FD248" s="904"/>
      <c r="FE248" s="1419">
        <f>+EZ248</f>
        <v>0.24</v>
      </c>
      <c r="FF248" s="790"/>
      <c r="FG248" s="1102"/>
      <c r="FH248" s="2101"/>
      <c r="FI248" s="1041"/>
      <c r="FJ248" s="1041"/>
      <c r="FK248" s="1041"/>
      <c r="FL248" s="1806"/>
      <c r="FM248" s="1099">
        <f>EQ248</f>
        <v>0.21923620933521923</v>
      </c>
      <c r="FN248" s="1099">
        <f>EL248</f>
        <v>0.33893129770992364</v>
      </c>
      <c r="FO248" s="1914">
        <v>0.24</v>
      </c>
      <c r="FP248" s="1900">
        <f>IFERROR(($FM248-FN248)*10000,"")</f>
        <v>-1196.9508837470441</v>
      </c>
      <c r="FQ248" s="1900">
        <f>IFERROR(($FM248-FO248)*10000,"")</f>
        <v>-207.63790664780763</v>
      </c>
      <c r="FR248" s="1624" t="s">
        <v>869</v>
      </c>
      <c r="FS248" s="587"/>
      <c r="FT248" s="587"/>
      <c r="FU248" s="587"/>
      <c r="FV248" s="587"/>
      <c r="FW248" s="587"/>
      <c r="FX248" s="587"/>
      <c r="FY248" s="587"/>
      <c r="FZ248" s="587"/>
      <c r="GA248" s="1102"/>
      <c r="GB248"/>
      <c r="GC248"/>
      <c r="GD248"/>
      <c r="GE248"/>
      <c r="GF248"/>
      <c r="GG248"/>
      <c r="GH248" s="978"/>
      <c r="GI248" s="978"/>
      <c r="GJ248" s="978"/>
      <c r="GK248" s="978"/>
      <c r="GL248" s="978"/>
      <c r="GM248" s="978"/>
      <c r="GN248" s="978"/>
      <c r="GO248" s="978"/>
      <c r="GP248" s="978"/>
      <c r="GQ248" s="978"/>
      <c r="GR248" s="978"/>
      <c r="GS248" s="978"/>
      <c r="GT248" s="978"/>
      <c r="GU248" s="978"/>
      <c r="GV248" s="978"/>
      <c r="GW248" s="978"/>
      <c r="GX248" s="978"/>
      <c r="GY248" s="978"/>
      <c r="GZ248" s="978"/>
      <c r="HA248" s="978"/>
      <c r="HB248" s="978"/>
      <c r="HC248" s="978"/>
      <c r="HD248" s="978"/>
      <c r="HE248" s="978"/>
      <c r="HF248" s="978"/>
      <c r="HG248" s="978"/>
      <c r="HH248" s="978"/>
      <c r="HI248" s="978"/>
      <c r="HJ248" s="978"/>
      <c r="HK248" s="978"/>
      <c r="HL248" s="978"/>
      <c r="HM248" s="978"/>
      <c r="HN248" s="978"/>
      <c r="HO248" s="978"/>
      <c r="HP248" s="978"/>
      <c r="HQ248" s="978"/>
      <c r="HR248" s="978"/>
      <c r="HS248" s="978"/>
      <c r="HT248" s="978"/>
      <c r="HU248" s="978"/>
      <c r="HV248" s="978"/>
      <c r="HW248" s="978"/>
      <c r="HX248" s="978"/>
      <c r="HY248" s="978"/>
      <c r="HZ248" s="978"/>
      <c r="IA248" s="978"/>
      <c r="IB248" s="978"/>
      <c r="IC248" s="978"/>
      <c r="ID248" s="978"/>
      <c r="IE248" s="978"/>
      <c r="IF248" s="978"/>
      <c r="IG248" s="978"/>
      <c r="IH248" s="978"/>
      <c r="II248" s="978"/>
      <c r="IJ248" s="978"/>
      <c r="IK248" s="978"/>
      <c r="IL248" s="978"/>
      <c r="IM248" s="978"/>
      <c r="IN248" s="978"/>
      <c r="IO248" s="978"/>
      <c r="IP248" s="978"/>
      <c r="IQ248" s="978"/>
      <c r="IR248" s="978"/>
      <c r="IS248" s="978"/>
      <c r="IT248" s="978"/>
      <c r="IU248" s="978"/>
      <c r="IV248" s="978"/>
    </row>
    <row r="249" spans="1:256" s="336" customFormat="1" ht="12.75" x14ac:dyDescent="0.2">
      <c r="A249" s="337" t="s">
        <v>120</v>
      </c>
      <c r="B249" s="332">
        <v>78.900000000000006</v>
      </c>
      <c r="C249" s="332">
        <v>93.158099999999948</v>
      </c>
      <c r="D249" s="332">
        <v>78.5</v>
      </c>
      <c r="E249" s="333">
        <v>66.7</v>
      </c>
      <c r="F249" s="334">
        <f>SUM(B249:E249)</f>
        <v>317.25809999999996</v>
      </c>
      <c r="G249" s="332">
        <v>80.099999999999994</v>
      </c>
      <c r="H249" s="332">
        <v>91.1</v>
      </c>
      <c r="I249" s="332">
        <v>83.9</v>
      </c>
      <c r="J249" s="333">
        <v>74.62</v>
      </c>
      <c r="K249" s="334">
        <f>SUM(G249:J249)</f>
        <v>329.72</v>
      </c>
      <c r="L249" s="332">
        <v>59.2</v>
      </c>
      <c r="M249" s="332">
        <v>79.7</v>
      </c>
      <c r="N249" s="332">
        <v>87.6</v>
      </c>
      <c r="O249" s="333">
        <v>70.223999999999975</v>
      </c>
      <c r="P249" s="334">
        <f>SUM(L249:O249)</f>
        <v>296.72399999999999</v>
      </c>
      <c r="Q249" s="332">
        <v>72.400000000000006</v>
      </c>
      <c r="R249" s="332">
        <v>83.7</v>
      </c>
      <c r="S249" s="332">
        <v>85.6</v>
      </c>
      <c r="T249" s="333">
        <v>85.507000000000076</v>
      </c>
      <c r="U249" s="334">
        <f>SUM(Q249:T249)</f>
        <v>327.20700000000011</v>
      </c>
      <c r="V249" s="332">
        <v>82.1</v>
      </c>
      <c r="W249" s="332">
        <v>94.468000000000032</v>
      </c>
      <c r="X249" s="332">
        <v>86.942599999999956</v>
      </c>
      <c r="Y249" s="333">
        <v>86.9</v>
      </c>
      <c r="Z249" s="334">
        <f>SUM(V249:Y249)</f>
        <v>350.41060000000004</v>
      </c>
      <c r="AA249" s="332">
        <v>80.400000000000006</v>
      </c>
      <c r="AB249" s="332">
        <v>100</v>
      </c>
      <c r="AC249" s="332">
        <v>97.8</v>
      </c>
      <c r="AD249" s="333">
        <v>103</v>
      </c>
      <c r="AE249" s="334">
        <f>SUM(AA249:AD249)</f>
        <v>381.2</v>
      </c>
      <c r="AF249" s="332">
        <v>105.8</v>
      </c>
      <c r="AG249" s="332">
        <v>112.4928</v>
      </c>
      <c r="AH249" s="332">
        <v>103.2</v>
      </c>
      <c r="AI249" s="333">
        <v>110.1</v>
      </c>
      <c r="AJ249" s="334">
        <f>SUM(AF249:AI249)</f>
        <v>431.59280000000001</v>
      </c>
      <c r="AK249" s="332">
        <v>98.7</v>
      </c>
      <c r="AL249" s="332">
        <v>106.9</v>
      </c>
      <c r="AM249" s="332">
        <v>111.1</v>
      </c>
      <c r="AN249" s="333">
        <v>109.8</v>
      </c>
      <c r="AO249" s="334">
        <f>SUM(AK249:AN249)</f>
        <v>426.50000000000006</v>
      </c>
      <c r="AP249" s="332">
        <v>98.968445000000003</v>
      </c>
      <c r="AQ249" s="332">
        <v>113.58</v>
      </c>
      <c r="AR249" s="332">
        <v>104.99200000000003</v>
      </c>
      <c r="AS249" s="333">
        <v>98.153999999999996</v>
      </c>
      <c r="AT249" s="334">
        <f>SUM(AP249:AS249)</f>
        <v>415.69444500000003</v>
      </c>
      <c r="AU249" s="332">
        <v>94.696175430359915</v>
      </c>
      <c r="AV249" s="332">
        <v>112.15799999999997</v>
      </c>
      <c r="AW249" s="332">
        <v>92.9879999999999</v>
      </c>
      <c r="AX249" s="333">
        <v>89.456400000000002</v>
      </c>
      <c r="AY249" s="334">
        <f>SUM(AU249:AX249)</f>
        <v>389.29857543035973</v>
      </c>
      <c r="AZ249" s="332">
        <v>82.535384615384629</v>
      </c>
      <c r="BA249" s="332">
        <v>56.943625000000019</v>
      </c>
      <c r="BB249" s="332">
        <v>17</v>
      </c>
      <c r="BC249" s="333">
        <v>11</v>
      </c>
      <c r="BD249" s="334">
        <f>SUM(AZ249:BC249)</f>
        <v>167.47900961538465</v>
      </c>
      <c r="BE249" s="332">
        <v>2.9750000000000001</v>
      </c>
      <c r="BF249" s="332">
        <v>59.2</v>
      </c>
      <c r="BG249" s="332">
        <v>30.268714011516327</v>
      </c>
      <c r="BH249" s="333">
        <v>17.399999999999999</v>
      </c>
      <c r="BI249" s="334">
        <f>SUM(BE249:BH249)</f>
        <v>109.84371401151634</v>
      </c>
      <c r="BJ249" s="332">
        <v>30</v>
      </c>
      <c r="BK249" s="332">
        <v>60</v>
      </c>
      <c r="BL249" s="332">
        <v>45.4</v>
      </c>
      <c r="BM249" s="333">
        <v>47.4</v>
      </c>
      <c r="BN249" s="334">
        <f>SUM(BJ249:BM249)</f>
        <v>182.8</v>
      </c>
      <c r="BO249" s="332">
        <v>51</v>
      </c>
      <c r="BP249" s="332">
        <v>75</v>
      </c>
      <c r="BQ249" s="332">
        <v>63</v>
      </c>
      <c r="BR249" s="333">
        <v>57</v>
      </c>
      <c r="BS249" s="334">
        <f>SUM(BO249:BR249)</f>
        <v>246</v>
      </c>
      <c r="BT249" s="332">
        <v>40</v>
      </c>
      <c r="BU249" s="332">
        <v>62</v>
      </c>
      <c r="BV249" s="332">
        <v>63</v>
      </c>
      <c r="BW249" s="333">
        <v>83</v>
      </c>
      <c r="BX249" s="334">
        <f>SUM(BT249:BW249)</f>
        <v>248</v>
      </c>
      <c r="BY249" s="332">
        <v>77</v>
      </c>
      <c r="BZ249" s="332">
        <v>91</v>
      </c>
      <c r="CA249" s="332">
        <v>100</v>
      </c>
      <c r="CB249" s="333">
        <v>111</v>
      </c>
      <c r="CC249" s="334">
        <f>SUM(BY249:CB249)</f>
        <v>379</v>
      </c>
      <c r="CD249" s="332">
        <v>83</v>
      </c>
      <c r="CE249" s="332">
        <v>135.5</v>
      </c>
      <c r="CF249" s="332">
        <v>140</v>
      </c>
      <c r="CG249" s="333">
        <v>142</v>
      </c>
      <c r="CH249" s="334">
        <f>SUM(CD249:CG249)</f>
        <v>500.5</v>
      </c>
      <c r="CI249" s="332">
        <v>161</v>
      </c>
      <c r="CJ249" s="332">
        <v>214</v>
      </c>
      <c r="CK249" s="332">
        <v>220</v>
      </c>
      <c r="CL249" s="333">
        <v>154</v>
      </c>
      <c r="CM249" s="334">
        <f>SUM(CI249:CL249)</f>
        <v>749</v>
      </c>
      <c r="CN249" s="332">
        <v>135</v>
      </c>
      <c r="CO249" s="332">
        <v>206</v>
      </c>
      <c r="CP249" s="332">
        <v>200</v>
      </c>
      <c r="CQ249" s="333">
        <v>213</v>
      </c>
      <c r="CR249" s="334">
        <f>SUM(CN249:CQ249)</f>
        <v>754</v>
      </c>
      <c r="CS249" s="332">
        <v>190.05252100840337</v>
      </c>
      <c r="CT249" s="332">
        <v>280</v>
      </c>
      <c r="CU249" s="332">
        <v>302</v>
      </c>
      <c r="CV249" s="333">
        <v>267</v>
      </c>
      <c r="CW249" s="334">
        <f>SUM(CS249:CV249)</f>
        <v>1039.0525210084033</v>
      </c>
      <c r="CX249" s="332">
        <v>106</v>
      </c>
      <c r="CY249" s="332">
        <v>144</v>
      </c>
      <c r="CZ249" s="332">
        <v>178</v>
      </c>
      <c r="DA249" s="332">
        <v>160</v>
      </c>
      <c r="DB249" s="334">
        <f>SUM(CX249:DA249)</f>
        <v>588</v>
      </c>
      <c r="DC249" s="332">
        <v>174</v>
      </c>
      <c r="DD249" s="332">
        <v>243</v>
      </c>
      <c r="DE249" s="332">
        <v>269</v>
      </c>
      <c r="DF249" s="332">
        <v>194</v>
      </c>
      <c r="DG249" s="334">
        <f>DC249+DD249+DE249+DF249</f>
        <v>880</v>
      </c>
      <c r="DH249" s="332">
        <v>212</v>
      </c>
      <c r="DI249" s="332">
        <v>302</v>
      </c>
      <c r="DJ249" s="332">
        <v>330</v>
      </c>
      <c r="DK249" s="332">
        <v>254</v>
      </c>
      <c r="DL249" s="334">
        <f>DH249+DI249+DJ249+DK249</f>
        <v>1098</v>
      </c>
      <c r="DM249" s="332">
        <v>244</v>
      </c>
      <c r="DN249" s="332">
        <v>319</v>
      </c>
      <c r="DO249" s="332">
        <v>238</v>
      </c>
      <c r="DP249" s="332">
        <v>208</v>
      </c>
      <c r="DQ249" s="334">
        <f>DM249+DN249+DO249+DP249</f>
        <v>1009</v>
      </c>
      <c r="DR249" s="332">
        <v>210.5</v>
      </c>
      <c r="DS249" s="332">
        <v>272</v>
      </c>
      <c r="DT249" s="332">
        <v>266</v>
      </c>
      <c r="DU249" s="332">
        <v>270</v>
      </c>
      <c r="DV249" s="334">
        <f>DR249+DS249+DT249+DU249</f>
        <v>1018.5</v>
      </c>
      <c r="DW249" s="332">
        <v>186.5</v>
      </c>
      <c r="DX249" s="332">
        <v>336</v>
      </c>
      <c r="DY249" s="332">
        <v>333</v>
      </c>
      <c r="DZ249" s="332">
        <v>279</v>
      </c>
      <c r="EA249" s="334">
        <f>DW249+DX249+DY249+DZ249</f>
        <v>1134.5</v>
      </c>
      <c r="EB249" s="332">
        <v>185</v>
      </c>
      <c r="EC249" s="332">
        <v>266</v>
      </c>
      <c r="ED249" s="332">
        <v>272</v>
      </c>
      <c r="EE249" s="332">
        <v>163</v>
      </c>
      <c r="EF249" s="334">
        <f>EB249+EC249+ED249+EE249</f>
        <v>886</v>
      </c>
      <c r="EG249" s="332">
        <v>213</v>
      </c>
      <c r="EH249" s="332">
        <v>231.2</v>
      </c>
      <c r="EI249" s="332">
        <v>245.4</v>
      </c>
      <c r="EJ249" s="332">
        <v>225</v>
      </c>
      <c r="EK249" s="334">
        <f>EG249+EH249+EI249+EJ249</f>
        <v>914.6</v>
      </c>
      <c r="EL249" s="332">
        <v>222</v>
      </c>
      <c r="EM249" s="332">
        <v>283</v>
      </c>
      <c r="EN249" s="332">
        <v>294</v>
      </c>
      <c r="EO249" s="332">
        <v>256</v>
      </c>
      <c r="EP249" s="334">
        <f>EL249+EM249+EN249+EO249</f>
        <v>1055</v>
      </c>
      <c r="EQ249" s="332">
        <v>155</v>
      </c>
      <c r="ER249" s="332">
        <f>ER247*ER248</f>
        <v>206.21513126351218</v>
      </c>
      <c r="ES249" s="332">
        <f>ES247*ES248</f>
        <v>190.23076190750348</v>
      </c>
      <c r="ET249" s="332">
        <f>ET247*ET248</f>
        <v>181.27776919397195</v>
      </c>
      <c r="EU249" s="1995">
        <f>EQ249+ER249+ES249+ET249</f>
        <v>732.7236623649876</v>
      </c>
      <c r="EV249" s="20"/>
      <c r="EW249" s="20"/>
      <c r="EX249" s="20"/>
      <c r="EY249" s="20"/>
      <c r="EZ249" s="876">
        <f>EZ247*EZ248</f>
        <v>766.7639947987351</v>
      </c>
      <c r="FA249" s="20"/>
      <c r="FB249" s="20"/>
      <c r="FC249" s="20"/>
      <c r="FD249" s="20"/>
      <c r="FE249" s="876">
        <f>FE247*FE248</f>
        <v>806.66327024860334</v>
      </c>
      <c r="FF249" s="767"/>
      <c r="FG249" s="660"/>
      <c r="FH249" s="1031"/>
      <c r="FI249" s="1031"/>
      <c r="FJ249" s="1031"/>
      <c r="FK249" s="1031"/>
      <c r="FL249" s="1809"/>
      <c r="FM249" s="332">
        <f>EQ249</f>
        <v>155</v>
      </c>
      <c r="FN249" s="332">
        <f>EL249</f>
        <v>222</v>
      </c>
      <c r="FO249" s="332">
        <v>161.30666892117034</v>
      </c>
      <c r="FP249" s="1878">
        <f>IFERROR(($FM249/FN249)-1,"")</f>
        <v>-0.30180180180180183</v>
      </c>
      <c r="FQ249" s="1878">
        <f>IFERROR(($FM249/FO249)-1,"")</f>
        <v>-3.9097384896419674E-2</v>
      </c>
      <c r="FR249" s="537"/>
      <c r="FS249" s="1586"/>
      <c r="FT249" s="566"/>
      <c r="FU249" s="1586"/>
      <c r="FV249" s="1598"/>
      <c r="FW249" s="537"/>
      <c r="FX249" s="537"/>
      <c r="FY249" s="537"/>
      <c r="FZ249" s="537"/>
      <c r="GA249" s="660"/>
      <c r="GB249"/>
      <c r="GC249"/>
      <c r="GD249"/>
      <c r="GE249"/>
      <c r="GF249"/>
      <c r="GG249"/>
      <c r="GH249" s="963"/>
      <c r="GI249" s="963"/>
      <c r="GJ249" s="963"/>
      <c r="GK249" s="963"/>
      <c r="GL249" s="963"/>
      <c r="GM249" s="963"/>
      <c r="GN249" s="963"/>
      <c r="GO249" s="963"/>
      <c r="GP249" s="963"/>
      <c r="GQ249" s="963"/>
      <c r="GR249" s="963"/>
      <c r="GS249" s="963"/>
      <c r="GT249" s="963"/>
      <c r="GU249" s="963"/>
      <c r="GV249" s="963"/>
      <c r="GW249" s="963"/>
      <c r="GX249" s="963"/>
      <c r="GY249" s="963"/>
      <c r="GZ249" s="963"/>
      <c r="HA249" s="963"/>
      <c r="HB249" s="963"/>
      <c r="HC249" s="963"/>
      <c r="HD249" s="963"/>
      <c r="HE249" s="963"/>
      <c r="HF249" s="963"/>
      <c r="HG249" s="963"/>
      <c r="HH249" s="963"/>
      <c r="HI249" s="963"/>
      <c r="HJ249" s="963"/>
      <c r="HK249" s="963"/>
      <c r="HL249" s="963"/>
      <c r="HM249" s="963"/>
      <c r="HN249" s="963"/>
      <c r="HO249" s="963"/>
      <c r="HP249" s="963"/>
      <c r="HQ249" s="963"/>
      <c r="HR249" s="963"/>
      <c r="HS249" s="963"/>
      <c r="HT249" s="963"/>
      <c r="HU249" s="963"/>
      <c r="HV249" s="963"/>
      <c r="HW249" s="963"/>
      <c r="HX249" s="963"/>
      <c r="HY249" s="963"/>
      <c r="HZ249" s="963"/>
      <c r="IA249" s="963"/>
      <c r="IB249" s="963"/>
      <c r="IC249" s="963"/>
      <c r="ID249" s="963"/>
      <c r="IE249" s="963"/>
      <c r="IF249" s="963"/>
      <c r="IG249" s="963"/>
      <c r="IH249" s="963"/>
      <c r="II249" s="963"/>
      <c r="IJ249" s="963"/>
      <c r="IK249" s="963"/>
      <c r="IL249" s="963"/>
      <c r="IM249" s="963"/>
      <c r="IN249" s="963"/>
      <c r="IO249" s="963"/>
      <c r="IP249" s="963"/>
      <c r="IQ249" s="963"/>
      <c r="IR249" s="963"/>
      <c r="IS249" s="963"/>
      <c r="IT249" s="963"/>
      <c r="IU249" s="963"/>
      <c r="IV249" s="963"/>
    </row>
    <row r="250" spans="1:256" s="135" customFormat="1" ht="13.5" customHeight="1" x14ac:dyDescent="0.2">
      <c r="A250" s="134" t="s">
        <v>569</v>
      </c>
      <c r="B250" s="130">
        <f t="shared" ref="B250:BM250" si="932">B247-B249</f>
        <v>115.20000000000007</v>
      </c>
      <c r="C250" s="130">
        <f t="shared" si="932"/>
        <v>138.74189999999993</v>
      </c>
      <c r="D250" s="130">
        <f t="shared" si="932"/>
        <v>132.69999999999987</v>
      </c>
      <c r="E250" s="218">
        <f t="shared" si="932"/>
        <v>130.70000000000016</v>
      </c>
      <c r="F250" s="131">
        <f t="shared" si="932"/>
        <v>517.34190000000012</v>
      </c>
      <c r="G250" s="130">
        <f t="shared" si="932"/>
        <v>140.19999999999985</v>
      </c>
      <c r="H250" s="130">
        <f t="shared" si="932"/>
        <v>155.9</v>
      </c>
      <c r="I250" s="130">
        <f t="shared" si="932"/>
        <v>142.89999999999998</v>
      </c>
      <c r="J250" s="218">
        <f t="shared" si="932"/>
        <v>136.18000000000006</v>
      </c>
      <c r="K250" s="131">
        <f t="shared" si="932"/>
        <v>575.17999999999984</v>
      </c>
      <c r="L250" s="130">
        <f t="shared" si="932"/>
        <v>100.10000000000001</v>
      </c>
      <c r="M250" s="130">
        <f t="shared" si="932"/>
        <v>134.00000000000028</v>
      </c>
      <c r="N250" s="130">
        <f t="shared" si="932"/>
        <v>150.2999999999999</v>
      </c>
      <c r="O250" s="218">
        <f t="shared" si="932"/>
        <v>142.57600000000008</v>
      </c>
      <c r="P250" s="131">
        <f t="shared" si="932"/>
        <v>526.97600000000034</v>
      </c>
      <c r="Q250" s="130">
        <f t="shared" si="932"/>
        <v>138.70000000000007</v>
      </c>
      <c r="R250" s="130">
        <f t="shared" si="932"/>
        <v>144.89999999999992</v>
      </c>
      <c r="S250" s="130">
        <f t="shared" si="932"/>
        <v>145.79999999999998</v>
      </c>
      <c r="T250" s="218">
        <f t="shared" si="932"/>
        <v>145.59300000000013</v>
      </c>
      <c r="U250" s="131">
        <f t="shared" si="932"/>
        <v>574.99300000000017</v>
      </c>
      <c r="V250" s="130">
        <f t="shared" si="932"/>
        <v>138.90000000000023</v>
      </c>
      <c r="W250" s="130">
        <f t="shared" si="932"/>
        <v>154.13200000000001</v>
      </c>
      <c r="X250" s="130">
        <f t="shared" si="932"/>
        <v>142.45739999999984</v>
      </c>
      <c r="Y250" s="218">
        <f t="shared" si="932"/>
        <v>159.39999999999998</v>
      </c>
      <c r="Z250" s="131">
        <f t="shared" si="932"/>
        <v>594.88939999999991</v>
      </c>
      <c r="AA250" s="130">
        <f t="shared" si="932"/>
        <v>144.90000000000006</v>
      </c>
      <c r="AB250" s="130">
        <f t="shared" si="932"/>
        <v>178.49999999999989</v>
      </c>
      <c r="AC250" s="130">
        <f t="shared" si="932"/>
        <v>168.29999999999995</v>
      </c>
      <c r="AD250" s="218">
        <f t="shared" si="932"/>
        <v>176.09999999999985</v>
      </c>
      <c r="AE250" s="131">
        <f t="shared" si="932"/>
        <v>667.79999999999973</v>
      </c>
      <c r="AF250" s="130">
        <f t="shared" si="932"/>
        <v>170.7</v>
      </c>
      <c r="AG250" s="130">
        <f t="shared" si="932"/>
        <v>185.10720000000003</v>
      </c>
      <c r="AH250" s="130">
        <f t="shared" si="932"/>
        <v>183.89999999999992</v>
      </c>
      <c r="AI250" s="218">
        <f t="shared" si="932"/>
        <v>183.4999999999998</v>
      </c>
      <c r="AJ250" s="131">
        <f t="shared" si="932"/>
        <v>723.20719999999972</v>
      </c>
      <c r="AK250" s="130">
        <f t="shared" si="932"/>
        <v>168.09999999999985</v>
      </c>
      <c r="AL250" s="130">
        <f t="shared" si="932"/>
        <v>199.50000000000003</v>
      </c>
      <c r="AM250" s="130">
        <f t="shared" si="932"/>
        <v>202.29999999999987</v>
      </c>
      <c r="AN250" s="218">
        <f t="shared" si="932"/>
        <v>200.69999999999993</v>
      </c>
      <c r="AO250" s="131">
        <f t="shared" si="932"/>
        <v>770.59999999999968</v>
      </c>
      <c r="AP250" s="130">
        <f t="shared" si="932"/>
        <v>179.03280500000002</v>
      </c>
      <c r="AQ250" s="130">
        <f t="shared" si="932"/>
        <v>201.92000000000002</v>
      </c>
      <c r="AR250" s="130">
        <f t="shared" si="932"/>
        <v>203.80799999999982</v>
      </c>
      <c r="AS250" s="218">
        <f t="shared" si="932"/>
        <v>243.846</v>
      </c>
      <c r="AT250" s="131">
        <f t="shared" si="932"/>
        <v>828.60680499999989</v>
      </c>
      <c r="AU250" s="130">
        <f t="shared" si="932"/>
        <v>167.62009999999987</v>
      </c>
      <c r="AV250" s="130">
        <f t="shared" si="932"/>
        <v>199.392</v>
      </c>
      <c r="AW250" s="130">
        <f t="shared" si="932"/>
        <v>165.31200000000007</v>
      </c>
      <c r="AX250" s="218">
        <f t="shared" si="932"/>
        <v>159.03360000000001</v>
      </c>
      <c r="AY250" s="131">
        <f t="shared" si="932"/>
        <v>691.35770000000002</v>
      </c>
      <c r="AZ250" s="130">
        <f t="shared" si="932"/>
        <v>153.28</v>
      </c>
      <c r="BA250" s="130">
        <f t="shared" si="932"/>
        <v>110.53762500000002</v>
      </c>
      <c r="BB250" s="130">
        <f t="shared" si="932"/>
        <v>19.089999999999918</v>
      </c>
      <c r="BC250" s="218">
        <f t="shared" si="932"/>
        <v>31.200000000000045</v>
      </c>
      <c r="BD250" s="131">
        <f t="shared" si="932"/>
        <v>314.10762499999998</v>
      </c>
      <c r="BE250" s="130">
        <f t="shared" si="932"/>
        <v>14.025</v>
      </c>
      <c r="BF250" s="130">
        <f t="shared" si="932"/>
        <v>100.8</v>
      </c>
      <c r="BG250" s="130">
        <f t="shared" si="932"/>
        <v>52.731285988483677</v>
      </c>
      <c r="BH250" s="218">
        <f t="shared" si="932"/>
        <v>40.6</v>
      </c>
      <c r="BI250" s="131">
        <f t="shared" si="932"/>
        <v>208.15628598848366</v>
      </c>
      <c r="BJ250" s="130">
        <f t="shared" si="932"/>
        <v>61</v>
      </c>
      <c r="BK250" s="130">
        <f t="shared" si="932"/>
        <v>107</v>
      </c>
      <c r="BL250" s="130">
        <f t="shared" si="932"/>
        <v>78.599999999999994</v>
      </c>
      <c r="BM250" s="218">
        <f t="shared" si="932"/>
        <v>104.69999999999999</v>
      </c>
      <c r="BN250" s="131">
        <f t="shared" ref="BN250:CS250" si="933">BN247-BN249</f>
        <v>351.3</v>
      </c>
      <c r="BO250" s="130">
        <f t="shared" si="933"/>
        <v>86</v>
      </c>
      <c r="BP250" s="130">
        <f t="shared" si="933"/>
        <v>119</v>
      </c>
      <c r="BQ250" s="130">
        <f t="shared" si="933"/>
        <v>126</v>
      </c>
      <c r="BR250" s="218">
        <f t="shared" si="933"/>
        <v>129</v>
      </c>
      <c r="BS250" s="131">
        <f t="shared" si="933"/>
        <v>460</v>
      </c>
      <c r="BT250" s="130">
        <f t="shared" si="933"/>
        <v>85</v>
      </c>
      <c r="BU250" s="130">
        <f t="shared" si="933"/>
        <v>137</v>
      </c>
      <c r="BV250" s="130">
        <f t="shared" si="933"/>
        <v>137</v>
      </c>
      <c r="BW250" s="218">
        <f t="shared" si="933"/>
        <v>170</v>
      </c>
      <c r="BX250" s="131">
        <f>SUM(BT250:BW250)</f>
        <v>529</v>
      </c>
      <c r="BY250" s="130">
        <f t="shared" si="933"/>
        <v>158</v>
      </c>
      <c r="BZ250" s="130">
        <f t="shared" si="933"/>
        <v>213</v>
      </c>
      <c r="CA250" s="130">
        <f t="shared" si="933"/>
        <v>235</v>
      </c>
      <c r="CB250" s="218">
        <f t="shared" si="933"/>
        <v>264</v>
      </c>
      <c r="CC250" s="131">
        <f>SUM(BY250:CB250)</f>
        <v>870</v>
      </c>
      <c r="CD250" s="130">
        <f t="shared" si="933"/>
        <v>194</v>
      </c>
      <c r="CE250" s="130">
        <f t="shared" si="933"/>
        <v>305.5</v>
      </c>
      <c r="CF250" s="130">
        <f t="shared" si="933"/>
        <v>301</v>
      </c>
      <c r="CG250" s="218">
        <f t="shared" si="933"/>
        <v>362</v>
      </c>
      <c r="CH250" s="131">
        <f>SUM(CD250:CG250)</f>
        <v>1162.5</v>
      </c>
      <c r="CI250" s="130">
        <f t="shared" si="933"/>
        <v>305</v>
      </c>
      <c r="CJ250" s="130">
        <f t="shared" si="933"/>
        <v>375</v>
      </c>
      <c r="CK250" s="130">
        <f t="shared" si="933"/>
        <v>416.1</v>
      </c>
      <c r="CL250" s="218">
        <f t="shared" si="933"/>
        <v>385</v>
      </c>
      <c r="CM250" s="131">
        <f>SUM(CI250:CL250)</f>
        <v>1481.1</v>
      </c>
      <c r="CN250" s="130">
        <f t="shared" si="933"/>
        <v>285</v>
      </c>
      <c r="CO250" s="130">
        <f t="shared" si="933"/>
        <v>394</v>
      </c>
      <c r="CP250" s="130">
        <f t="shared" si="933"/>
        <v>405</v>
      </c>
      <c r="CQ250" s="218">
        <f t="shared" si="933"/>
        <v>399</v>
      </c>
      <c r="CR250" s="131">
        <f>SUM(CN250:CQ250)</f>
        <v>1483</v>
      </c>
      <c r="CS250" s="130">
        <f t="shared" si="933"/>
        <v>298.94747899159665</v>
      </c>
      <c r="CT250" s="130">
        <f>CT247-CT249</f>
        <v>453</v>
      </c>
      <c r="CU250" s="130">
        <f>CU247-CU249</f>
        <v>520</v>
      </c>
      <c r="CV250" s="218">
        <f>CV247-CV249</f>
        <v>452</v>
      </c>
      <c r="CW250" s="131">
        <f>SUM(CS250:CV250)</f>
        <v>1723.9474789915967</v>
      </c>
      <c r="CX250" s="130">
        <f t="shared" ref="CX250:DX250" si="934">CX247-CX249</f>
        <v>177</v>
      </c>
      <c r="CY250" s="130">
        <f t="shared" si="934"/>
        <v>247</v>
      </c>
      <c r="CZ250" s="130">
        <f t="shared" si="934"/>
        <v>303</v>
      </c>
      <c r="DA250" s="130">
        <f>DA247-DA249</f>
        <v>307</v>
      </c>
      <c r="DB250" s="131">
        <f>SUM(CX250:DA250)</f>
        <v>1034</v>
      </c>
      <c r="DC250" s="130">
        <f t="shared" si="934"/>
        <v>282</v>
      </c>
      <c r="DD250" s="130">
        <f t="shared" si="934"/>
        <v>392</v>
      </c>
      <c r="DE250" s="130">
        <f>DE247-DE249</f>
        <v>445</v>
      </c>
      <c r="DF250" s="130">
        <f>DF247-DF249</f>
        <v>367.87317585301844</v>
      </c>
      <c r="DG250" s="131">
        <f t="shared" si="934"/>
        <v>1486.8731758530184</v>
      </c>
      <c r="DH250" s="130">
        <f>DH247-DH249</f>
        <v>361</v>
      </c>
      <c r="DI250" s="130">
        <f t="shared" si="934"/>
        <v>494</v>
      </c>
      <c r="DJ250" s="130">
        <f t="shared" si="934"/>
        <v>554</v>
      </c>
      <c r="DK250" s="130">
        <f>DK247-DK249</f>
        <v>469</v>
      </c>
      <c r="DL250" s="131">
        <f t="shared" si="934"/>
        <v>1878</v>
      </c>
      <c r="DM250" s="130">
        <f>DM247-DM249</f>
        <v>410</v>
      </c>
      <c r="DN250" s="130">
        <f>DN247-DN249</f>
        <v>524</v>
      </c>
      <c r="DO250" s="130">
        <f t="shared" si="934"/>
        <v>402</v>
      </c>
      <c r="DP250" s="130">
        <f>DP247-DP249</f>
        <v>413</v>
      </c>
      <c r="DQ250" s="131">
        <f t="shared" si="934"/>
        <v>1749</v>
      </c>
      <c r="DR250" s="130">
        <f t="shared" si="934"/>
        <v>389.5</v>
      </c>
      <c r="DS250" s="130">
        <f t="shared" si="934"/>
        <v>465</v>
      </c>
      <c r="DT250" s="130">
        <f t="shared" si="934"/>
        <v>481.6</v>
      </c>
      <c r="DU250" s="130">
        <f>DU247-DU249</f>
        <v>513</v>
      </c>
      <c r="DV250" s="131">
        <f t="shared" si="934"/>
        <v>1849.1</v>
      </c>
      <c r="DW250" s="130">
        <f>DW247-DW249</f>
        <v>367.5</v>
      </c>
      <c r="DX250" s="130">
        <f t="shared" si="934"/>
        <v>562</v>
      </c>
      <c r="DY250" s="130">
        <f t="shared" ref="DY250:EF250" si="935">DY247-DY249</f>
        <v>559.09999999999991</v>
      </c>
      <c r="DZ250" s="130">
        <f t="shared" si="935"/>
        <v>511</v>
      </c>
      <c r="EA250" s="131">
        <f t="shared" si="935"/>
        <v>1999.6</v>
      </c>
      <c r="EB250" s="130">
        <f t="shared" si="935"/>
        <v>310</v>
      </c>
      <c r="EC250" s="130">
        <f t="shared" si="935"/>
        <v>432.6</v>
      </c>
      <c r="ED250" s="130">
        <f t="shared" si="935"/>
        <v>452</v>
      </c>
      <c r="EE250" s="130">
        <f t="shared" si="935"/>
        <v>361</v>
      </c>
      <c r="EF250" s="131">
        <f t="shared" si="935"/>
        <v>1555.6</v>
      </c>
      <c r="EG250" s="130">
        <f t="shared" ref="EG250:ER250" si="936">EG247-EG249</f>
        <v>387</v>
      </c>
      <c r="EH250" s="130">
        <f t="shared" si="936"/>
        <v>404.8</v>
      </c>
      <c r="EI250" s="2018">
        <f t="shared" si="936"/>
        <v>459.6</v>
      </c>
      <c r="EJ250" s="130">
        <f t="shared" si="936"/>
        <v>416</v>
      </c>
      <c r="EK250" s="131">
        <f t="shared" si="936"/>
        <v>1667.4</v>
      </c>
      <c r="EL250" s="130">
        <f>EL247-EL249</f>
        <v>433</v>
      </c>
      <c r="EM250" s="130">
        <f t="shared" ref="EM250:EP250" si="937">EM247-EM249</f>
        <v>497</v>
      </c>
      <c r="EN250" s="2018">
        <f t="shared" si="937"/>
        <v>506</v>
      </c>
      <c r="EO250" s="130">
        <f t="shared" si="937"/>
        <v>486</v>
      </c>
      <c r="EP250" s="131">
        <f t="shared" si="937"/>
        <v>1922</v>
      </c>
      <c r="EQ250" s="130">
        <f>EQ247-EQ249</f>
        <v>552</v>
      </c>
      <c r="ER250" s="130">
        <f t="shared" si="936"/>
        <v>635.47928205694575</v>
      </c>
      <c r="ES250" s="130">
        <f t="shared" ref="ES250:EU250" si="938">ES247-ES249</f>
        <v>586.22132751087804</v>
      </c>
      <c r="ET250" s="130">
        <f t="shared" si="938"/>
        <v>558.63149282224015</v>
      </c>
      <c r="EU250" s="1978">
        <f t="shared" si="938"/>
        <v>2332.3321023900635</v>
      </c>
      <c r="EV250" s="132"/>
      <c r="EW250" s="132"/>
      <c r="EX250" s="132"/>
      <c r="EY250" s="132"/>
      <c r="EZ250" s="877">
        <f>EZ247-EZ249</f>
        <v>2428.0859835293281</v>
      </c>
      <c r="FA250" s="132"/>
      <c r="FB250" s="132"/>
      <c r="FC250" s="132"/>
      <c r="FD250" s="132"/>
      <c r="FE250" s="877">
        <f>FE247-FE249</f>
        <v>2554.4336891205776</v>
      </c>
      <c r="FF250" s="800"/>
      <c r="FG250" s="660"/>
      <c r="FH250" s="2138"/>
      <c r="FI250" s="1034"/>
      <c r="FJ250" s="1034"/>
      <c r="FK250" s="1034"/>
      <c r="FL250" s="1822"/>
      <c r="FM250" s="130">
        <f>EQ250</f>
        <v>552</v>
      </c>
      <c r="FN250" s="130">
        <f>EL250</f>
        <v>433</v>
      </c>
      <c r="FO250" s="130">
        <v>510.80445158370611</v>
      </c>
      <c r="FP250" s="1879">
        <f>IFERROR(($FM250/FN250)-1,"")</f>
        <v>0.27482678983833719</v>
      </c>
      <c r="FQ250" s="1879">
        <f>IFERROR(($FM250/FO250)-1,"")</f>
        <v>8.064837392973101E-2</v>
      </c>
      <c r="FR250" s="542"/>
      <c r="FS250" s="1586"/>
      <c r="FT250" s="542"/>
      <c r="FU250" s="1586"/>
      <c r="FV250" s="1598" t="s">
        <v>432</v>
      </c>
      <c r="FW250" s="537"/>
      <c r="FX250" s="542"/>
      <c r="FY250" s="542"/>
      <c r="FZ250" s="542"/>
      <c r="GA250" s="660"/>
      <c r="GB250"/>
      <c r="GC250"/>
      <c r="GD250"/>
      <c r="GE250"/>
      <c r="GF250"/>
      <c r="GG250"/>
      <c r="GH250" s="984"/>
      <c r="GI250" s="984"/>
      <c r="GJ250" s="984"/>
      <c r="GK250" s="984"/>
      <c r="GL250" s="984"/>
      <c r="GM250" s="984"/>
      <c r="GN250" s="984"/>
      <c r="GO250" s="984"/>
      <c r="GP250" s="984"/>
      <c r="GQ250" s="984"/>
      <c r="GR250" s="984"/>
      <c r="GS250" s="984"/>
      <c r="GT250" s="984"/>
      <c r="GU250" s="984"/>
      <c r="GV250" s="984"/>
      <c r="GW250" s="984"/>
      <c r="GX250" s="984"/>
      <c r="GY250" s="984"/>
      <c r="GZ250" s="984"/>
      <c r="HA250" s="984"/>
      <c r="HB250" s="984"/>
      <c r="HC250" s="984"/>
      <c r="HD250" s="984"/>
      <c r="HE250" s="984"/>
      <c r="HF250" s="984"/>
      <c r="HG250" s="984"/>
      <c r="HH250" s="984"/>
      <c r="HI250" s="984"/>
      <c r="HJ250" s="984"/>
      <c r="HK250" s="984"/>
      <c r="HL250" s="984"/>
      <c r="HM250" s="984"/>
      <c r="HN250" s="984"/>
      <c r="HO250" s="984"/>
      <c r="HP250" s="984"/>
      <c r="HQ250" s="984"/>
      <c r="HR250" s="984"/>
      <c r="HS250" s="984"/>
      <c r="HT250" s="984"/>
      <c r="HU250" s="984"/>
      <c r="HV250" s="984"/>
      <c r="HW250" s="984"/>
      <c r="HX250" s="984"/>
      <c r="HY250" s="984"/>
      <c r="HZ250" s="984"/>
      <c r="IA250" s="984"/>
      <c r="IB250" s="984"/>
      <c r="IC250" s="984"/>
      <c r="ID250" s="984"/>
      <c r="IE250" s="984"/>
      <c r="IF250" s="984"/>
      <c r="IG250" s="984"/>
      <c r="IH250" s="984"/>
      <c r="II250" s="984"/>
      <c r="IJ250" s="984"/>
      <c r="IK250" s="984"/>
      <c r="IL250" s="984"/>
      <c r="IM250" s="984"/>
      <c r="IN250" s="984"/>
      <c r="IO250" s="984"/>
      <c r="IP250" s="984"/>
      <c r="IQ250" s="984"/>
      <c r="IR250" s="984"/>
      <c r="IS250" s="984"/>
      <c r="IT250" s="984"/>
      <c r="IU250" s="984"/>
      <c r="IV250" s="984"/>
    </row>
    <row r="251" spans="1:256" s="191" customFormat="1" ht="12.75" x14ac:dyDescent="0.2">
      <c r="A251" s="242" t="s">
        <v>74</v>
      </c>
      <c r="B251" s="1138"/>
      <c r="C251" s="1138"/>
      <c r="D251" s="1138"/>
      <c r="E251" s="1139"/>
      <c r="F251" s="1101"/>
      <c r="G251" s="1138">
        <f t="shared" ref="G251:BR251" si="939">G250/B250-1</f>
        <v>0.21701388888888684</v>
      </c>
      <c r="H251" s="1138">
        <f t="shared" si="939"/>
        <v>0.12366920158942674</v>
      </c>
      <c r="I251" s="1138">
        <f t="shared" si="939"/>
        <v>7.6865109269028675E-2</v>
      </c>
      <c r="J251" s="1139">
        <f t="shared" si="939"/>
        <v>4.1928079571537102E-2</v>
      </c>
      <c r="K251" s="1101">
        <f t="shared" si="939"/>
        <v>0.11179859972679518</v>
      </c>
      <c r="L251" s="1138">
        <f t="shared" si="939"/>
        <v>-0.28601997146932867</v>
      </c>
      <c r="M251" s="1138">
        <f t="shared" si="939"/>
        <v>-0.14047466324566849</v>
      </c>
      <c r="N251" s="1138">
        <f t="shared" si="939"/>
        <v>5.1784464660601381E-2</v>
      </c>
      <c r="O251" s="1139">
        <f t="shared" si="939"/>
        <v>4.6967249228961672E-2</v>
      </c>
      <c r="P251" s="1101">
        <f t="shared" si="939"/>
        <v>-8.3806808303486746E-2</v>
      </c>
      <c r="Q251" s="1138">
        <f t="shared" si="939"/>
        <v>0.38561438561438632</v>
      </c>
      <c r="R251" s="1138">
        <f t="shared" si="939"/>
        <v>8.1343283582086645E-2</v>
      </c>
      <c r="S251" s="1138">
        <f t="shared" si="939"/>
        <v>-2.9940119760478501E-2</v>
      </c>
      <c r="T251" s="1139">
        <f t="shared" si="939"/>
        <v>2.1160644147683039E-2</v>
      </c>
      <c r="U251" s="1101">
        <f t="shared" si="939"/>
        <v>9.1118001578819108E-2</v>
      </c>
      <c r="V251" s="1138">
        <f t="shared" si="939"/>
        <v>1.4419610670524108E-3</v>
      </c>
      <c r="W251" s="1138">
        <f t="shared" si="939"/>
        <v>6.371290545203645E-2</v>
      </c>
      <c r="X251" s="1138">
        <f t="shared" si="939"/>
        <v>-2.2925925925926904E-2</v>
      </c>
      <c r="Y251" s="1139">
        <f t="shared" si="939"/>
        <v>9.4832855975217401E-2</v>
      </c>
      <c r="Z251" s="1101">
        <f t="shared" si="939"/>
        <v>3.4602856034768648E-2</v>
      </c>
      <c r="AA251" s="1138">
        <f t="shared" si="939"/>
        <v>4.3196544276456583E-2</v>
      </c>
      <c r="AB251" s="1138">
        <f t="shared" si="939"/>
        <v>0.15809825344509831</v>
      </c>
      <c r="AC251" s="1138">
        <f t="shared" si="939"/>
        <v>0.18140580973680653</v>
      </c>
      <c r="AD251" s="1139">
        <f t="shared" si="939"/>
        <v>0.10476787954830535</v>
      </c>
      <c r="AE251" s="1101">
        <f t="shared" si="939"/>
        <v>0.12256160556903484</v>
      </c>
      <c r="AF251" s="1138">
        <f t="shared" si="939"/>
        <v>0.17805383022774279</v>
      </c>
      <c r="AG251" s="1138">
        <f t="shared" si="939"/>
        <v>3.701512605042101E-2</v>
      </c>
      <c r="AH251" s="1138">
        <f t="shared" si="939"/>
        <v>9.2691622103386662E-2</v>
      </c>
      <c r="AI251" s="1139">
        <f t="shared" si="939"/>
        <v>4.2021578648494984E-2</v>
      </c>
      <c r="AJ251" s="1101">
        <f t="shared" si="939"/>
        <v>8.2969751422581561E-2</v>
      </c>
      <c r="AK251" s="1138">
        <f t="shared" si="939"/>
        <v>-1.5231400117165395E-2</v>
      </c>
      <c r="AL251" s="1138">
        <f t="shared" si="939"/>
        <v>7.7753863707084259E-2</v>
      </c>
      <c r="AM251" s="1138">
        <f t="shared" si="939"/>
        <v>0.10005437737901013</v>
      </c>
      <c r="AN251" s="1139">
        <f t="shared" si="939"/>
        <v>9.3732970027248674E-2</v>
      </c>
      <c r="AO251" s="1101">
        <f t="shared" si="939"/>
        <v>6.5531427231366068E-2</v>
      </c>
      <c r="AP251" s="1138">
        <f t="shared" si="939"/>
        <v>6.5037507436050968E-2</v>
      </c>
      <c r="AQ251" s="1138">
        <f t="shared" si="939"/>
        <v>1.2130325814536214E-2</v>
      </c>
      <c r="AR251" s="1138">
        <f t="shared" si="939"/>
        <v>7.4542758279780852E-3</v>
      </c>
      <c r="AS251" s="1139">
        <f t="shared" si="939"/>
        <v>0.21497757847533672</v>
      </c>
      <c r="AT251" s="1101">
        <f t="shared" si="939"/>
        <v>7.5274857254088001E-2</v>
      </c>
      <c r="AU251" s="1138">
        <f t="shared" si="939"/>
        <v>-6.3746445798021023E-2</v>
      </c>
      <c r="AV251" s="1138">
        <f t="shared" si="939"/>
        <v>-1.2519809825673578E-2</v>
      </c>
      <c r="AW251" s="1138">
        <f t="shared" si="939"/>
        <v>-0.18888365520489769</v>
      </c>
      <c r="AX251" s="1139">
        <f t="shared" si="939"/>
        <v>-0.34781132354026723</v>
      </c>
      <c r="AY251" s="1101">
        <f t="shared" si="939"/>
        <v>-0.16563839950602377</v>
      </c>
      <c r="AZ251" s="1138">
        <f t="shared" si="939"/>
        <v>-8.555119582913906E-2</v>
      </c>
      <c r="BA251" s="1138">
        <f t="shared" si="939"/>
        <v>-0.44562657980259979</v>
      </c>
      <c r="BB251" s="1138">
        <f t="shared" si="939"/>
        <v>-0.88452138985675621</v>
      </c>
      <c r="BC251" s="1139">
        <f t="shared" si="939"/>
        <v>-0.80381504285886729</v>
      </c>
      <c r="BD251" s="1101">
        <f t="shared" si="939"/>
        <v>-0.5456655433214963</v>
      </c>
      <c r="BE251" s="1138">
        <f t="shared" si="939"/>
        <v>-0.90850078288100211</v>
      </c>
      <c r="BF251" s="1138">
        <f t="shared" si="939"/>
        <v>-8.8093307595490833E-2</v>
      </c>
      <c r="BG251" s="1138">
        <f t="shared" si="939"/>
        <v>1.7622465158975329</v>
      </c>
      <c r="BH251" s="1139">
        <f t="shared" si="939"/>
        <v>0.30128205128204932</v>
      </c>
      <c r="BI251" s="1101">
        <f t="shared" si="939"/>
        <v>-0.33730903225133846</v>
      </c>
      <c r="BJ251" s="1138">
        <f t="shared" si="939"/>
        <v>3.3493761140819966</v>
      </c>
      <c r="BK251" s="1138">
        <f t="shared" si="939"/>
        <v>6.1507936507936511E-2</v>
      </c>
      <c r="BL251" s="1138">
        <f t="shared" si="939"/>
        <v>0.49057620208932429</v>
      </c>
      <c r="BM251" s="1139">
        <f t="shared" si="939"/>
        <v>1.5788177339901472</v>
      </c>
      <c r="BN251" s="1101">
        <f t="shared" si="939"/>
        <v>0.68767423156001084</v>
      </c>
      <c r="BO251" s="1138">
        <f t="shared" si="939"/>
        <v>0.4098360655737705</v>
      </c>
      <c r="BP251" s="1138">
        <f t="shared" si="939"/>
        <v>0.11214953271028039</v>
      </c>
      <c r="BQ251" s="1138">
        <f t="shared" si="939"/>
        <v>0.60305343511450382</v>
      </c>
      <c r="BR251" s="1139">
        <f t="shared" si="939"/>
        <v>0.23209169054441281</v>
      </c>
      <c r="BS251" s="1101">
        <f t="shared" ref="BS251:DY251" si="940">BS250/BN250-1</f>
        <v>0.30942214631369191</v>
      </c>
      <c r="BT251" s="1138">
        <f t="shared" si="940"/>
        <v>-1.1627906976744207E-2</v>
      </c>
      <c r="BU251" s="1138">
        <f t="shared" si="940"/>
        <v>0.15126050420168058</v>
      </c>
      <c r="BV251" s="1138">
        <f t="shared" si="940"/>
        <v>8.7301587301587213E-2</v>
      </c>
      <c r="BW251" s="1139">
        <f t="shared" si="940"/>
        <v>0.31782945736434098</v>
      </c>
      <c r="BX251" s="1101">
        <f t="shared" si="940"/>
        <v>0.14999999999999991</v>
      </c>
      <c r="BY251" s="1138">
        <f t="shared" si="940"/>
        <v>0.85882352941176476</v>
      </c>
      <c r="BZ251" s="1138">
        <f t="shared" si="940"/>
        <v>0.55474452554744524</v>
      </c>
      <c r="CA251" s="1138">
        <f t="shared" si="940"/>
        <v>0.71532846715328469</v>
      </c>
      <c r="CB251" s="1139">
        <f t="shared" si="940"/>
        <v>0.55294117647058827</v>
      </c>
      <c r="CC251" s="1101">
        <f t="shared" si="940"/>
        <v>0.64461247637051033</v>
      </c>
      <c r="CD251" s="1138">
        <f t="shared" si="940"/>
        <v>0.22784810126582289</v>
      </c>
      <c r="CE251" s="1138">
        <f t="shared" si="940"/>
        <v>0.43427230046948351</v>
      </c>
      <c r="CF251" s="1138">
        <f t="shared" si="940"/>
        <v>0.2808510638297872</v>
      </c>
      <c r="CG251" s="1139">
        <f t="shared" si="940"/>
        <v>0.3712121212121211</v>
      </c>
      <c r="CH251" s="1101">
        <f t="shared" si="940"/>
        <v>0.3362068965517242</v>
      </c>
      <c r="CI251" s="1138">
        <f t="shared" si="940"/>
        <v>0.57216494845360821</v>
      </c>
      <c r="CJ251" s="1138">
        <f t="shared" si="940"/>
        <v>0.22749590834697209</v>
      </c>
      <c r="CK251" s="1138">
        <f t="shared" si="940"/>
        <v>0.38239202657807314</v>
      </c>
      <c r="CL251" s="1139">
        <f t="shared" si="940"/>
        <v>6.3535911602209838E-2</v>
      </c>
      <c r="CM251" s="1101">
        <f t="shared" si="940"/>
        <v>0.27406451612903227</v>
      </c>
      <c r="CN251" s="1138">
        <f t="shared" si="940"/>
        <v>-6.557377049180324E-2</v>
      </c>
      <c r="CO251" s="1138">
        <f t="shared" si="940"/>
        <v>5.0666666666666638E-2</v>
      </c>
      <c r="CP251" s="1138">
        <f t="shared" si="940"/>
        <v>-2.6676279740447062E-2</v>
      </c>
      <c r="CQ251" s="1139">
        <f t="shared" si="940"/>
        <v>3.6363636363636376E-2</v>
      </c>
      <c r="CR251" s="1101">
        <f t="shared" si="940"/>
        <v>1.2828303288097143E-3</v>
      </c>
      <c r="CS251" s="1138">
        <f t="shared" si="940"/>
        <v>4.8938522777532079E-2</v>
      </c>
      <c r="CT251" s="1138">
        <f t="shared" si="940"/>
        <v>0.14974619289340096</v>
      </c>
      <c r="CU251" s="1138">
        <f t="shared" si="940"/>
        <v>0.28395061728395055</v>
      </c>
      <c r="CV251" s="1139">
        <f t="shared" si="940"/>
        <v>0.13283208020050119</v>
      </c>
      <c r="CW251" s="1101">
        <f t="shared" si="940"/>
        <v>0.16247301348051013</v>
      </c>
      <c r="CX251" s="1138">
        <f t="shared" si="940"/>
        <v>-0.40792275420066204</v>
      </c>
      <c r="CY251" s="1138">
        <f t="shared" si="940"/>
        <v>-0.45474613686534215</v>
      </c>
      <c r="CZ251" s="1138">
        <f t="shared" si="940"/>
        <v>-0.41730769230769227</v>
      </c>
      <c r="DA251" s="1138">
        <f>DA250/CV250-1</f>
        <v>-0.32079646017699115</v>
      </c>
      <c r="DB251" s="1101">
        <f>DB250/CW250-1</f>
        <v>-0.40021374629995898</v>
      </c>
      <c r="DC251" s="1138">
        <f t="shared" si="940"/>
        <v>0.59322033898305082</v>
      </c>
      <c r="DD251" s="1138">
        <f t="shared" si="940"/>
        <v>0.58704453441295557</v>
      </c>
      <c r="DE251" s="1138">
        <f t="shared" si="940"/>
        <v>0.46864686468646855</v>
      </c>
      <c r="DF251" s="1138">
        <f>DF250/DA250-1</f>
        <v>0.19828396043328489</v>
      </c>
      <c r="DG251" s="1101">
        <f t="shared" si="940"/>
        <v>0.43798179482883803</v>
      </c>
      <c r="DH251" s="1138">
        <f>DH250/DC250-1</f>
        <v>0.28014184397163122</v>
      </c>
      <c r="DI251" s="1138">
        <f t="shared" si="940"/>
        <v>0.26020408163265296</v>
      </c>
      <c r="DJ251" s="1138">
        <f t="shared" si="940"/>
        <v>0.24494382022471917</v>
      </c>
      <c r="DK251" s="1138">
        <f t="shared" si="940"/>
        <v>0.27489589017326499</v>
      </c>
      <c r="DL251" s="1101">
        <f t="shared" si="940"/>
        <v>0.26305325195109019</v>
      </c>
      <c r="DM251" s="1138">
        <f t="shared" si="940"/>
        <v>0.1357340720221607</v>
      </c>
      <c r="DN251" s="1138">
        <f t="shared" si="940"/>
        <v>6.0728744939271273E-2</v>
      </c>
      <c r="DO251" s="1138">
        <f t="shared" si="940"/>
        <v>-0.27436823104693142</v>
      </c>
      <c r="DP251" s="1138">
        <f t="shared" si="940"/>
        <v>-0.11940298507462688</v>
      </c>
      <c r="DQ251" s="1101">
        <f t="shared" si="940"/>
        <v>-6.8690095846645316E-2</v>
      </c>
      <c r="DR251" s="1138">
        <f t="shared" si="940"/>
        <v>-5.0000000000000044E-2</v>
      </c>
      <c r="DS251" s="1138">
        <f t="shared" si="940"/>
        <v>-0.11259541984732824</v>
      </c>
      <c r="DT251" s="1138">
        <f t="shared" si="940"/>
        <v>0.19800995024875623</v>
      </c>
      <c r="DU251" s="1138">
        <f t="shared" si="940"/>
        <v>0.24213075060532696</v>
      </c>
      <c r="DV251" s="1101">
        <f t="shared" si="940"/>
        <v>5.72327044025156E-2</v>
      </c>
      <c r="DW251" s="1138">
        <f>DW250/DR250-1</f>
        <v>-5.6482670089858744E-2</v>
      </c>
      <c r="DX251" s="1138">
        <f t="shared" si="940"/>
        <v>0.20860215053763431</v>
      </c>
      <c r="DY251" s="1138">
        <f t="shared" si="940"/>
        <v>0.16092192691029883</v>
      </c>
      <c r="DZ251" s="1138">
        <f t="shared" ref="DZ251:EI251" si="941">DZ250/DU250-1</f>
        <v>-3.8986354775828458E-3</v>
      </c>
      <c r="EA251" s="1101">
        <f t="shared" si="941"/>
        <v>8.1390946947163423E-2</v>
      </c>
      <c r="EB251" s="1138">
        <f t="shared" si="941"/>
        <v>-0.15646258503401356</v>
      </c>
      <c r="EC251" s="1138">
        <f t="shared" si="941"/>
        <v>-0.23024911032028461</v>
      </c>
      <c r="ED251" s="1138">
        <f t="shared" si="941"/>
        <v>-0.19155786084779092</v>
      </c>
      <c r="EE251" s="1138">
        <f t="shared" si="941"/>
        <v>-0.29354207436399216</v>
      </c>
      <c r="EF251" s="1101">
        <f t="shared" si="941"/>
        <v>-0.22204440888177635</v>
      </c>
      <c r="EG251" s="1138">
        <f t="shared" si="941"/>
        <v>0.24838709677419346</v>
      </c>
      <c r="EH251" s="1138">
        <f t="shared" si="941"/>
        <v>-6.4262598243180813E-2</v>
      </c>
      <c r="EI251" s="2019">
        <f t="shared" si="941"/>
        <v>1.6814159292035447E-2</v>
      </c>
      <c r="EJ251" s="1138">
        <f t="shared" ref="EJ251:EN251" si="942">EJ250/EE250-1</f>
        <v>0.15235457063711921</v>
      </c>
      <c r="EK251" s="1101">
        <f t="shared" si="942"/>
        <v>7.1869375160709792E-2</v>
      </c>
      <c r="EL251" s="1138">
        <f t="shared" si="942"/>
        <v>0.1188630490956073</v>
      </c>
      <c r="EM251" s="1138">
        <f t="shared" si="942"/>
        <v>0.2277667984189724</v>
      </c>
      <c r="EN251" s="2019">
        <f t="shared" si="942"/>
        <v>0.10095735422106178</v>
      </c>
      <c r="EO251" s="1138">
        <f t="shared" ref="EO251" si="943">EO250/EJ250-1</f>
        <v>0.16826923076923084</v>
      </c>
      <c r="EP251" s="1101">
        <f t="shared" ref="EP251:EQ251" si="944">EP250/EK250-1</f>
        <v>0.15269281516132893</v>
      </c>
      <c r="EQ251" s="1138">
        <f t="shared" si="944"/>
        <v>0.27482678983833719</v>
      </c>
      <c r="ER251" s="1138">
        <f t="shared" ref="ER251" si="945">ER250/EM250-1</f>
        <v>0.27863034619103777</v>
      </c>
      <c r="ES251" s="1138">
        <f t="shared" ref="ES251:EU251" si="946">ES250/EN250-1</f>
        <v>0.15854017294639933</v>
      </c>
      <c r="ET251" s="1138">
        <f t="shared" si="946"/>
        <v>0.14944751609514428</v>
      </c>
      <c r="EU251" s="1996">
        <f t="shared" si="946"/>
        <v>0.21349224890221818</v>
      </c>
      <c r="EV251" s="68"/>
      <c r="EW251" s="68"/>
      <c r="EX251" s="68"/>
      <c r="EY251" s="68"/>
      <c r="EZ251" s="1148">
        <f>EZ250/EU250-1</f>
        <v>4.1054994287108793E-2</v>
      </c>
      <c r="FA251" s="68"/>
      <c r="FB251" s="68"/>
      <c r="FC251" s="68"/>
      <c r="FD251" s="68"/>
      <c r="FE251" s="1148">
        <f>FE250/EZ250-1</f>
        <v>5.2035927248176517E-2</v>
      </c>
      <c r="FF251" s="790"/>
      <c r="FG251" s="1102"/>
      <c r="FH251" s="1041"/>
      <c r="FI251" s="1041"/>
      <c r="FJ251" s="1041"/>
      <c r="FK251" s="1041"/>
      <c r="FL251" s="1806"/>
      <c r="FM251" s="1138">
        <f>EQ251</f>
        <v>0.27482678983833719</v>
      </c>
      <c r="FN251" s="1138">
        <f>EL251</f>
        <v>0.1188630490956073</v>
      </c>
      <c r="FO251" s="1138">
        <v>0.17968695515867461</v>
      </c>
      <c r="FP251" s="1901">
        <f>IFERROR(($FM251-FN251)*10000,"")</f>
        <v>1559.637407427299</v>
      </c>
      <c r="FQ251" s="1901">
        <f>IFERROR(($FM251-FO251)*10000,"")</f>
        <v>951.39834679662579</v>
      </c>
      <c r="FR251" s="587"/>
      <c r="FS251" s="587"/>
      <c r="FT251" s="587"/>
      <c r="FU251" s="1586"/>
      <c r="FV251" s="1598" t="s">
        <v>432</v>
      </c>
      <c r="FW251" s="537"/>
      <c r="FX251" s="587"/>
      <c r="FY251" s="587"/>
      <c r="FZ251" s="587"/>
      <c r="GA251" s="1102"/>
      <c r="GB251"/>
      <c r="GC251"/>
      <c r="GD251"/>
      <c r="GE251"/>
      <c r="GF251"/>
      <c r="GG251"/>
      <c r="GH251" s="978"/>
      <c r="GI251" s="978"/>
      <c r="GJ251" s="978"/>
      <c r="GK251" s="978"/>
      <c r="GL251" s="978"/>
      <c r="GM251" s="978"/>
      <c r="GN251" s="978"/>
      <c r="GO251" s="978"/>
      <c r="GP251" s="978"/>
      <c r="GQ251" s="978"/>
      <c r="GR251" s="978"/>
      <c r="GS251" s="978"/>
      <c r="GT251" s="978"/>
      <c r="GU251" s="978"/>
      <c r="GV251" s="978"/>
      <c r="GW251" s="978"/>
      <c r="GX251" s="978"/>
      <c r="GY251" s="978"/>
      <c r="GZ251" s="978"/>
      <c r="HA251" s="978"/>
      <c r="HB251" s="978"/>
      <c r="HC251" s="978"/>
      <c r="HD251" s="978"/>
      <c r="HE251" s="978"/>
      <c r="HF251" s="978"/>
      <c r="HG251" s="978"/>
      <c r="HH251" s="978"/>
      <c r="HI251" s="978"/>
      <c r="HJ251" s="978"/>
      <c r="HK251" s="978"/>
      <c r="HL251" s="978"/>
      <c r="HM251" s="978"/>
      <c r="HN251" s="978"/>
      <c r="HO251" s="978"/>
      <c r="HP251" s="978"/>
      <c r="HQ251" s="978"/>
      <c r="HR251" s="978"/>
      <c r="HS251" s="978"/>
      <c r="HT251" s="978"/>
      <c r="HU251" s="978"/>
      <c r="HV251" s="978"/>
      <c r="HW251" s="978"/>
      <c r="HX251" s="978"/>
      <c r="HY251" s="978"/>
      <c r="HZ251" s="978"/>
      <c r="IA251" s="978"/>
      <c r="IB251" s="978"/>
      <c r="IC251" s="978"/>
      <c r="ID251" s="978"/>
      <c r="IE251" s="978"/>
      <c r="IF251" s="978"/>
      <c r="IG251" s="978"/>
      <c r="IH251" s="978"/>
      <c r="II251" s="978"/>
      <c r="IJ251" s="978"/>
      <c r="IK251" s="978"/>
      <c r="IL251" s="978"/>
      <c r="IM251" s="978"/>
      <c r="IN251" s="978"/>
      <c r="IO251" s="978"/>
      <c r="IP251" s="978"/>
      <c r="IQ251" s="978"/>
      <c r="IR251" s="978"/>
      <c r="IS251" s="978"/>
      <c r="IT251" s="978"/>
      <c r="IU251" s="978"/>
      <c r="IV251" s="978"/>
    </row>
    <row r="252" spans="1:256" s="53" customFormat="1" ht="12.75" customHeight="1" x14ac:dyDescent="0.2">
      <c r="A252" s="134" t="s">
        <v>375</v>
      </c>
      <c r="B252" s="130"/>
      <c r="C252" s="130"/>
      <c r="D252" s="130"/>
      <c r="E252" s="218"/>
      <c r="F252" s="131"/>
      <c r="G252" s="130"/>
      <c r="H252" s="130"/>
      <c r="I252" s="130"/>
      <c r="J252" s="218"/>
      <c r="K252" s="131"/>
      <c r="L252" s="130"/>
      <c r="M252" s="130"/>
      <c r="N252" s="130"/>
      <c r="O252" s="218"/>
      <c r="P252" s="131"/>
      <c r="Q252" s="130"/>
      <c r="R252" s="130"/>
      <c r="S252" s="130"/>
      <c r="T252" s="218"/>
      <c r="U252" s="131"/>
      <c r="V252" s="130"/>
      <c r="W252" s="130"/>
      <c r="X252" s="130"/>
      <c r="Y252" s="218"/>
      <c r="Z252" s="131"/>
      <c r="AA252" s="130"/>
      <c r="AB252" s="130"/>
      <c r="AC252" s="130"/>
      <c r="AD252" s="218"/>
      <c r="AE252" s="131"/>
      <c r="AF252" s="130"/>
      <c r="AG252" s="130"/>
      <c r="AH252" s="130"/>
      <c r="AI252" s="218"/>
      <c r="AJ252" s="131"/>
      <c r="AK252" s="130"/>
      <c r="AL252" s="130"/>
      <c r="AM252" s="130"/>
      <c r="AN252" s="218"/>
      <c r="AO252" s="131"/>
      <c r="AP252" s="130"/>
      <c r="AQ252" s="130"/>
      <c r="AR252" s="130"/>
      <c r="AS252" s="218"/>
      <c r="AT252" s="131"/>
      <c r="AU252" s="130"/>
      <c r="AV252" s="130"/>
      <c r="AW252" s="130"/>
      <c r="AX252" s="218"/>
      <c r="AY252" s="131"/>
      <c r="AZ252" s="130"/>
      <c r="BA252" s="130"/>
      <c r="BB252" s="130"/>
      <c r="BC252" s="218"/>
      <c r="BD252" s="131"/>
      <c r="BE252" s="130"/>
      <c r="BF252" s="130"/>
      <c r="BG252" s="130"/>
      <c r="BH252" s="218"/>
      <c r="BI252" s="131"/>
      <c r="BJ252" s="130"/>
      <c r="BK252" s="130"/>
      <c r="BL252" s="130"/>
      <c r="BM252" s="218"/>
      <c r="BN252" s="131"/>
      <c r="BO252" s="130"/>
      <c r="BP252" s="130"/>
      <c r="BQ252" s="130"/>
      <c r="BR252" s="218"/>
      <c r="BS252" s="131"/>
      <c r="BT252" s="130"/>
      <c r="BU252" s="130"/>
      <c r="BV252" s="130"/>
      <c r="BW252" s="218"/>
      <c r="BX252" s="131">
        <f>SUM(BT252:BW252)</f>
        <v>0</v>
      </c>
      <c r="BY252" s="130"/>
      <c r="BZ252" s="130"/>
      <c r="CA252" s="130"/>
      <c r="CB252" s="218"/>
      <c r="CC252" s="131">
        <f>SUM(BY252:CB252)</f>
        <v>0</v>
      </c>
      <c r="CD252" s="130"/>
      <c r="CE252" s="130"/>
      <c r="CF252" s="130"/>
      <c r="CG252" s="218"/>
      <c r="CH252" s="131">
        <f>SUM(CD252:CG252)</f>
        <v>0</v>
      </c>
      <c r="CI252" s="130"/>
      <c r="CJ252" s="130"/>
      <c r="CK252" s="130"/>
      <c r="CL252" s="218"/>
      <c r="CM252" s="131">
        <f>SUM(CI252:CL252)</f>
        <v>0</v>
      </c>
      <c r="CN252" s="130"/>
      <c r="CO252" s="130"/>
      <c r="CP252" s="130"/>
      <c r="CQ252" s="218"/>
      <c r="CR252" s="131">
        <f>SUM(CN252:CQ252)</f>
        <v>0</v>
      </c>
      <c r="CS252" s="130"/>
      <c r="CT252" s="130"/>
      <c r="CU252" s="130"/>
      <c r="CV252" s="218"/>
      <c r="CW252" s="131">
        <f>SUM(CS252:CV252)</f>
        <v>0</v>
      </c>
      <c r="CX252" s="130">
        <v>-2</v>
      </c>
      <c r="CY252" s="130">
        <v>-2</v>
      </c>
      <c r="CZ252" s="130">
        <v>-2</v>
      </c>
      <c r="DA252" s="130">
        <v>-2</v>
      </c>
      <c r="DB252" s="131">
        <f>SUM(CX252:DA252)</f>
        <v>-8</v>
      </c>
      <c r="DC252" s="130">
        <v>-2</v>
      </c>
      <c r="DD252" s="130">
        <v>-2</v>
      </c>
      <c r="DE252" s="130">
        <v>-2</v>
      </c>
      <c r="DF252" s="130">
        <v>-2</v>
      </c>
      <c r="DG252" s="131">
        <f>SUM(DC252:DF252)</f>
        <v>-8</v>
      </c>
      <c r="DH252" s="130">
        <v>0</v>
      </c>
      <c r="DI252" s="130">
        <v>0</v>
      </c>
      <c r="DJ252" s="130">
        <v>0</v>
      </c>
      <c r="DK252" s="130">
        <v>0</v>
      </c>
      <c r="DL252" s="131"/>
      <c r="DM252" s="130"/>
      <c r="DN252" s="130"/>
      <c r="DO252" s="130"/>
      <c r="DP252" s="130"/>
      <c r="DQ252" s="131"/>
      <c r="DR252" s="130"/>
      <c r="DS252" s="130"/>
      <c r="DT252" s="130"/>
      <c r="DU252" s="130"/>
      <c r="DV252" s="131"/>
      <c r="DW252" s="130"/>
      <c r="DX252" s="130"/>
      <c r="DY252" s="130"/>
      <c r="DZ252" s="130"/>
      <c r="EA252" s="131"/>
      <c r="EB252" s="130"/>
      <c r="EC252" s="130"/>
      <c r="ED252" s="130"/>
      <c r="EE252" s="130"/>
      <c r="EF252" s="131"/>
      <c r="EG252" s="130"/>
      <c r="EH252" s="130"/>
      <c r="EI252" s="2018"/>
      <c r="EJ252" s="130"/>
      <c r="EK252" s="131"/>
      <c r="EL252" s="130"/>
      <c r="EM252" s="130"/>
      <c r="EN252" s="2018"/>
      <c r="EO252" s="130"/>
      <c r="EP252" s="131"/>
      <c r="EQ252" s="130"/>
      <c r="ER252" s="130"/>
      <c r="ES252" s="130"/>
      <c r="ET252" s="130"/>
      <c r="EU252" s="1997"/>
      <c r="EV252" s="16"/>
      <c r="EW252" s="16"/>
      <c r="EX252" s="16"/>
      <c r="EY252" s="16"/>
      <c r="EZ252" s="878"/>
      <c r="FA252" s="16"/>
      <c r="FB252" s="16"/>
      <c r="FC252" s="16"/>
      <c r="FD252" s="16"/>
      <c r="FE252" s="878"/>
      <c r="FF252" s="759"/>
      <c r="FG252" s="660"/>
      <c r="FH252" s="1032"/>
      <c r="FI252" s="1032"/>
      <c r="FJ252" s="1032"/>
      <c r="FK252" s="1032"/>
      <c r="FL252" s="1807"/>
      <c r="FM252" s="130"/>
      <c r="FN252" s="130"/>
      <c r="FO252" s="130"/>
      <c r="FP252" s="130"/>
      <c r="FQ252" s="130"/>
      <c r="FR252" s="567"/>
      <c r="FS252" s="567"/>
      <c r="FT252" s="567"/>
      <c r="FU252" s="1586"/>
      <c r="FV252" s="1598" t="s">
        <v>432</v>
      </c>
      <c r="FW252" s="537"/>
      <c r="FX252" s="567"/>
      <c r="FY252" s="567"/>
      <c r="FZ252" s="567"/>
      <c r="GA252" s="660"/>
      <c r="GB252"/>
      <c r="GC252"/>
      <c r="GD252"/>
      <c r="GE252"/>
      <c r="GF252"/>
      <c r="GG252"/>
      <c r="GH252" s="959"/>
      <c r="GI252" s="959"/>
      <c r="GJ252" s="959"/>
      <c r="GK252" s="959"/>
      <c r="GL252" s="959"/>
      <c r="GM252" s="959"/>
      <c r="GN252" s="959"/>
      <c r="GO252" s="959"/>
      <c r="GP252" s="959"/>
      <c r="GQ252" s="959"/>
      <c r="GR252" s="959"/>
      <c r="GS252" s="959"/>
      <c r="GT252" s="959"/>
      <c r="GU252" s="959"/>
      <c r="GV252" s="959"/>
      <c r="GW252" s="959"/>
      <c r="GX252" s="959"/>
      <c r="GY252" s="959"/>
      <c r="GZ252" s="959"/>
      <c r="HA252" s="959"/>
      <c r="HB252" s="959"/>
      <c r="HC252" s="959"/>
      <c r="HD252" s="959"/>
      <c r="HE252" s="959"/>
      <c r="HF252" s="959"/>
      <c r="HG252" s="959"/>
      <c r="HH252" s="959"/>
      <c r="HI252" s="959"/>
      <c r="HJ252" s="959"/>
      <c r="HK252" s="959"/>
      <c r="HL252" s="959"/>
      <c r="HM252" s="959"/>
      <c r="HN252" s="959"/>
      <c r="HO252" s="959"/>
      <c r="HP252" s="959"/>
      <c r="HQ252" s="959"/>
      <c r="HR252" s="959"/>
      <c r="HS252" s="959"/>
      <c r="HT252" s="959"/>
      <c r="HU252" s="959"/>
      <c r="HV252" s="959"/>
      <c r="HW252" s="959"/>
      <c r="HX252" s="959"/>
      <c r="HY252" s="959"/>
      <c r="HZ252" s="959"/>
      <c r="IA252" s="959"/>
      <c r="IB252" s="959"/>
      <c r="IC252" s="959"/>
      <c r="ID252" s="959"/>
      <c r="IE252" s="959"/>
      <c r="IF252" s="959"/>
      <c r="IG252" s="959"/>
      <c r="IH252" s="959"/>
      <c r="II252" s="959"/>
      <c r="IJ252" s="959"/>
      <c r="IK252" s="959"/>
      <c r="IL252" s="959"/>
      <c r="IM252" s="959"/>
      <c r="IN252" s="959"/>
      <c r="IO252" s="959"/>
      <c r="IP252" s="959"/>
      <c r="IQ252" s="959"/>
      <c r="IR252" s="959"/>
      <c r="IS252" s="959"/>
      <c r="IT252" s="959"/>
      <c r="IU252" s="959"/>
      <c r="IV252" s="959"/>
    </row>
    <row r="253" spans="1:256" s="139" customFormat="1" ht="12.75" x14ac:dyDescent="0.2">
      <c r="A253" s="136" t="s">
        <v>570</v>
      </c>
      <c r="B253" s="138"/>
      <c r="C253" s="138"/>
      <c r="D253" s="138"/>
      <c r="E253" s="219"/>
      <c r="F253" s="137">
        <f t="shared" ref="F253:BQ253" si="947">(F250+F252)/F259</f>
        <v>0.98970306473144498</v>
      </c>
      <c r="G253" s="138">
        <f t="shared" si="947"/>
        <v>0.27894169282988501</v>
      </c>
      <c r="H253" s="138">
        <f t="shared" si="947"/>
        <v>0.31671156291772817</v>
      </c>
      <c r="I253" s="138">
        <f t="shared" si="947"/>
        <v>0.29715117488043247</v>
      </c>
      <c r="J253" s="219">
        <f t="shared" si="947"/>
        <v>0.29012740210490445</v>
      </c>
      <c r="K253" s="137">
        <f t="shared" si="947"/>
        <v>1.1829318327329501</v>
      </c>
      <c r="L253" s="138">
        <f t="shared" si="947"/>
        <v>0.21782225616854789</v>
      </c>
      <c r="M253" s="138">
        <f t="shared" si="947"/>
        <v>0.29927013820027043</v>
      </c>
      <c r="N253" s="138">
        <f t="shared" si="947"/>
        <v>0.34410995034101893</v>
      </c>
      <c r="O253" s="219">
        <f t="shared" si="947"/>
        <v>0.3323287205055232</v>
      </c>
      <c r="P253" s="137">
        <f t="shared" si="947"/>
        <v>1.1935310652153608</v>
      </c>
      <c r="Q253" s="138">
        <f t="shared" si="947"/>
        <v>0.32151135836810402</v>
      </c>
      <c r="R253" s="138">
        <f t="shared" si="947"/>
        <v>0.34087781330058625</v>
      </c>
      <c r="S253" s="138">
        <f t="shared" si="947"/>
        <v>0.34459286990555599</v>
      </c>
      <c r="T253" s="219">
        <f t="shared" si="947"/>
        <v>0.34544587438073032</v>
      </c>
      <c r="U253" s="137">
        <f t="shared" si="947"/>
        <v>1.3524279159549764</v>
      </c>
      <c r="V253" s="138">
        <f t="shared" si="947"/>
        <v>0.33036032821976508</v>
      </c>
      <c r="W253" s="138">
        <f t="shared" si="947"/>
        <v>0.3678769956346053</v>
      </c>
      <c r="X253" s="138">
        <f t="shared" si="947"/>
        <v>0.3412096084616541</v>
      </c>
      <c r="Y253" s="219">
        <f t="shared" si="947"/>
        <v>0.38313623690029797</v>
      </c>
      <c r="Z253" s="137">
        <f t="shared" si="947"/>
        <v>1.4225831692163222</v>
      </c>
      <c r="AA253" s="138">
        <f t="shared" si="947"/>
        <v>0.34959720322237442</v>
      </c>
      <c r="AB253" s="138">
        <f t="shared" si="947"/>
        <v>0.43378412860423549</v>
      </c>
      <c r="AC253" s="138">
        <f t="shared" si="947"/>
        <v>0.41252426613330184</v>
      </c>
      <c r="AD253" s="219">
        <f t="shared" si="947"/>
        <v>0.43842614722753309</v>
      </c>
      <c r="AE253" s="137">
        <f t="shared" si="947"/>
        <v>1.6343317451874448</v>
      </c>
      <c r="AF253" s="138">
        <f t="shared" si="947"/>
        <v>0.42945340921098313</v>
      </c>
      <c r="AG253" s="138">
        <f t="shared" si="947"/>
        <v>0.46913058353925119</v>
      </c>
      <c r="AH253" s="138">
        <f t="shared" si="947"/>
        <v>0.46945120923892208</v>
      </c>
      <c r="AI253" s="219">
        <f t="shared" si="947"/>
        <v>0.4727456345096579</v>
      </c>
      <c r="AJ253" s="137">
        <f t="shared" si="947"/>
        <v>1.8407808364988145</v>
      </c>
      <c r="AK253" s="138">
        <f t="shared" si="947"/>
        <v>0.43781742414376834</v>
      </c>
      <c r="AL253" s="138">
        <f t="shared" si="947"/>
        <v>0.52576235541535232</v>
      </c>
      <c r="AM253" s="138">
        <f t="shared" si="947"/>
        <v>0.53871103465538972</v>
      </c>
      <c r="AN253" s="219">
        <f t="shared" si="947"/>
        <v>0.53478358185093189</v>
      </c>
      <c r="AO253" s="137">
        <f t="shared" si="947"/>
        <v>2.0370743960654423</v>
      </c>
      <c r="AP253" s="138">
        <f t="shared" si="947"/>
        <v>0.47577273657384161</v>
      </c>
      <c r="AQ253" s="138">
        <f t="shared" si="947"/>
        <v>0.53611586814820722</v>
      </c>
      <c r="AR253" s="138">
        <f t="shared" si="947"/>
        <v>0.54054742202418793</v>
      </c>
      <c r="AS253" s="219">
        <f t="shared" si="947"/>
        <v>0.64661769775397093</v>
      </c>
      <c r="AT253" s="137">
        <f t="shared" si="947"/>
        <v>2.199053724500208</v>
      </c>
      <c r="AU253" s="138">
        <f t="shared" si="947"/>
        <v>0.43994776902887106</v>
      </c>
      <c r="AV253" s="138">
        <f t="shared" si="947"/>
        <v>0.52618634182900637</v>
      </c>
      <c r="AW253" s="138">
        <f t="shared" si="947"/>
        <v>0.43621509938807679</v>
      </c>
      <c r="AX253" s="219">
        <f t="shared" si="947"/>
        <v>0.41924314919530237</v>
      </c>
      <c r="AY253" s="137">
        <f t="shared" si="947"/>
        <v>1.8215923594412566</v>
      </c>
      <c r="AZ253" s="138">
        <f t="shared" si="947"/>
        <v>0.4036956269818695</v>
      </c>
      <c r="BA253" s="138">
        <f t="shared" si="947"/>
        <v>0.29055816808260088</v>
      </c>
      <c r="BB253" s="138">
        <f t="shared" si="947"/>
        <v>5.016700435446423E-2</v>
      </c>
      <c r="BC253" s="219">
        <f t="shared" si="947"/>
        <v>8.1682021315866063E-2</v>
      </c>
      <c r="BD253" s="137">
        <f t="shared" si="947"/>
        <v>0.82610282073480079</v>
      </c>
      <c r="BE253" s="138">
        <f t="shared" si="947"/>
        <v>3.6628362496735442E-2</v>
      </c>
      <c r="BF253" s="138">
        <f t="shared" si="947"/>
        <v>0.26303360202076609</v>
      </c>
      <c r="BG253" s="138">
        <f t="shared" si="947"/>
        <v>0.13751049228881371</v>
      </c>
      <c r="BH253" s="219">
        <f t="shared" si="947"/>
        <v>0.10578426263679</v>
      </c>
      <c r="BI253" s="137">
        <f t="shared" si="947"/>
        <v>0.54299562274613056</v>
      </c>
      <c r="BJ253" s="138">
        <f t="shared" si="947"/>
        <v>0.15865172046087023</v>
      </c>
      <c r="BK253" s="138">
        <f t="shared" si="947"/>
        <v>0.27790619756793117</v>
      </c>
      <c r="BL253" s="138">
        <f t="shared" si="947"/>
        <v>0.20394077933400101</v>
      </c>
      <c r="BM253" s="219">
        <f t="shared" si="947"/>
        <v>0.27144464551455222</v>
      </c>
      <c r="BN253" s="137">
        <f t="shared" si="947"/>
        <v>0.91209321888679462</v>
      </c>
      <c r="BO253" s="138">
        <f t="shared" si="947"/>
        <v>0.22212866415437424</v>
      </c>
      <c r="BP253" s="138">
        <f t="shared" si="947"/>
        <v>0.30649485784047326</v>
      </c>
      <c r="BQ253" s="138">
        <f t="shared" si="947"/>
        <v>0.32428258911337021</v>
      </c>
      <c r="BR253" s="219">
        <f t="shared" ref="BR253:CH253" si="948">(BR250+BR252)/BR259</f>
        <v>0.33172528003785268</v>
      </c>
      <c r="BS253" s="137">
        <f t="shared" si="948"/>
        <v>1.1849180539008919</v>
      </c>
      <c r="BT253" s="138">
        <f t="shared" si="948"/>
        <v>0.21836865767501606</v>
      </c>
      <c r="BU253" s="138">
        <f t="shared" si="948"/>
        <v>0.35161112323071592</v>
      </c>
      <c r="BV253" s="138">
        <f t="shared" si="948"/>
        <v>0.35136313508245492</v>
      </c>
      <c r="BW253" s="219">
        <f t="shared" si="948"/>
        <v>0.43549878700779027</v>
      </c>
      <c r="BX253" s="137">
        <f t="shared" si="948"/>
        <v>1.3571479881371411</v>
      </c>
      <c r="BY253" s="138">
        <f t="shared" si="948"/>
        <v>0.40101522842639592</v>
      </c>
      <c r="BZ253" s="138">
        <f t="shared" si="948"/>
        <v>0.53733602421796167</v>
      </c>
      <c r="CA253" s="138">
        <f t="shared" si="948"/>
        <v>0.58735316170957252</v>
      </c>
      <c r="CB253" s="219">
        <f t="shared" si="948"/>
        <v>0.64895159902657262</v>
      </c>
      <c r="CC253" s="137">
        <f t="shared" si="948"/>
        <v>2.1786628769618921</v>
      </c>
      <c r="CD253" s="138">
        <f t="shared" si="948"/>
        <v>0.4730472779055222</v>
      </c>
      <c r="CE253" s="138">
        <f t="shared" si="948"/>
        <v>0.74554381991761198</v>
      </c>
      <c r="CF253" s="138">
        <f t="shared" si="948"/>
        <v>0.72998896528308299</v>
      </c>
      <c r="CG253" s="219">
        <f t="shared" si="948"/>
        <v>0.86820337064369368</v>
      </c>
      <c r="CH253" s="137">
        <f t="shared" si="948"/>
        <v>2.8196121305171169</v>
      </c>
      <c r="CI253" s="138">
        <f>CI250/CI259</f>
        <v>0.72313780161366414</v>
      </c>
      <c r="CJ253" s="138">
        <f>CJ250/CJ259</f>
        <v>0.88698613936326232</v>
      </c>
      <c r="CK253" s="138">
        <f>CK250/CK259</f>
        <v>1.0150711598791966</v>
      </c>
      <c r="CL253" s="219">
        <f>CL250/CL259</f>
        <v>0.95221606648199453</v>
      </c>
      <c r="CM253" s="137">
        <f>(CM250+CM252)/CM259</f>
        <v>3.5715082333862833</v>
      </c>
      <c r="CN253" s="138">
        <f>CN250/CN259</f>
        <v>0.70842654735272181</v>
      </c>
      <c r="CO253" s="138">
        <f>CO250/CO259</f>
        <v>0.98083146626835949</v>
      </c>
      <c r="CP253" s="138">
        <f>CP250/CP259</f>
        <v>1.0191243080020131</v>
      </c>
      <c r="CQ253" s="219">
        <f>CQ250/CQ259</f>
        <v>1.0233393177737882</v>
      </c>
      <c r="CR253" s="137">
        <f>(CR250+CR252)/CR259</f>
        <v>3.7277697480047753</v>
      </c>
      <c r="CS253" s="138">
        <f>CS250/CS259</f>
        <v>0.77871184941806892</v>
      </c>
      <c r="CT253" s="138">
        <f>CT250/CT259</f>
        <v>1.1812255541069101</v>
      </c>
      <c r="CU253" s="138">
        <f>CU250/CU259</f>
        <v>1.366622864651774</v>
      </c>
      <c r="CV253" s="219">
        <f>CV250/CV259</f>
        <v>1.2137486573576799</v>
      </c>
      <c r="CW253" s="137">
        <f t="shared" ref="CW253:DF253" si="949">(CW250+CW252)/CW259</f>
        <v>4.535808666688407</v>
      </c>
      <c r="CX253" s="138">
        <f t="shared" si="949"/>
        <v>0.47157100511991373</v>
      </c>
      <c r="CY253" s="138">
        <f t="shared" si="949"/>
        <v>0.65966612816370496</v>
      </c>
      <c r="CZ253" s="138">
        <f t="shared" si="949"/>
        <v>0.8080536912751678</v>
      </c>
      <c r="DA253" s="138">
        <f t="shared" si="949"/>
        <v>0.81703723546745244</v>
      </c>
      <c r="DB253" s="231">
        <f t="shared" si="949"/>
        <v>2.7575085668212056</v>
      </c>
      <c r="DC253" s="138">
        <f t="shared" si="949"/>
        <v>0.74686583088823688</v>
      </c>
      <c r="DD253" s="138">
        <f t="shared" si="949"/>
        <v>1.039722740602506</v>
      </c>
      <c r="DE253" s="138">
        <f t="shared" si="949"/>
        <v>1.1921420882669536</v>
      </c>
      <c r="DF253" s="138">
        <f t="shared" si="949"/>
        <v>1.0004735462209966</v>
      </c>
      <c r="DG253" s="137">
        <f>DC253+DD253+DE253+DF253</f>
        <v>3.979204205978693</v>
      </c>
      <c r="DH253" s="138">
        <f>(DH250+DH252)/DH259</f>
        <v>1.0013869625520111</v>
      </c>
      <c r="DI253" s="138">
        <f>(DI250+DI252)/DI259</f>
        <v>1.3825916596697452</v>
      </c>
      <c r="DJ253" s="138">
        <f>(DJ250+DJ252)/DJ259</f>
        <v>1.5873925501432664</v>
      </c>
      <c r="DK253" s="138">
        <f>(DK250+DK252)/DK259</f>
        <v>1.3851151801535735</v>
      </c>
      <c r="DL253" s="137">
        <f>DH253+DI253+DJ253+DK253</f>
        <v>5.356486352518596</v>
      </c>
      <c r="DM253" s="138">
        <f>(DM250+DM252)/DM259</f>
        <v>1.2316010814058276</v>
      </c>
      <c r="DN253" s="138">
        <f>(DN250+DN252)/DN259</f>
        <v>1.6</v>
      </c>
      <c r="DO253" s="138">
        <f>(DO250+DO252)/DO259</f>
        <v>1.2492231199502797</v>
      </c>
      <c r="DP253" s="138">
        <f>(DP250+DP252)/DP259</f>
        <v>1.2962962962962963</v>
      </c>
      <c r="DQ253" s="137">
        <f>DQ250/DQ259</f>
        <v>5.3782287822878221</v>
      </c>
      <c r="DR253" s="138">
        <f>(DR250+DR252)/DR259</f>
        <v>1.2244577176988367</v>
      </c>
      <c r="DS253" s="138">
        <f>(DS250+DS252)/DS259</f>
        <v>1.4631843926998112</v>
      </c>
      <c r="DT253" s="138">
        <f>(DT250+DT252)/DT259</f>
        <v>1.5342465753424659</v>
      </c>
      <c r="DU253" s="138">
        <f>(DU250+DU252)/DU259</f>
        <v>1.6426512968299711</v>
      </c>
      <c r="DV253" s="137">
        <f>DV250/DV259</f>
        <v>5.8603914111401627</v>
      </c>
      <c r="DW253" s="138">
        <f>(DW250+DW252)/DW259</f>
        <v>1.1741214057507987</v>
      </c>
      <c r="DX253" s="138">
        <f>(DX250+DX252)/DX259</f>
        <v>1.7949536889172788</v>
      </c>
      <c r="DY253" s="138">
        <f>(DY250+DY252)/DY259</f>
        <v>1.7885476647472804</v>
      </c>
      <c r="DZ253" s="138">
        <f>(DZ250+DZ252)/DZ259</f>
        <v>1.6378205128205128</v>
      </c>
      <c r="EA253" s="137">
        <f>EA250/EA259</f>
        <v>6.3951387223155027</v>
      </c>
      <c r="EB253" s="138">
        <f>(EB250+EB252)/EB259</f>
        <v>1.0012919896640826</v>
      </c>
      <c r="EC253" s="138">
        <f>(EC250+EC252)/EC259</f>
        <v>1.4146500981033356</v>
      </c>
      <c r="ED253" s="138">
        <f>(ED250+ED252)/ED259</f>
        <v>1.4942148760330578</v>
      </c>
      <c r="EE253" s="138">
        <f>(EE250+EE252)/EE259</f>
        <v>1.2017310252996005</v>
      </c>
      <c r="EF253" s="137">
        <f>EF250/EF259</f>
        <v>5.1074448001313293</v>
      </c>
      <c r="EG253" s="138">
        <f>(EG250+EG252)/EG259</f>
        <v>1.2947474071595853</v>
      </c>
      <c r="EH253" s="138">
        <f>(EH250+EH252)/EH259</f>
        <v>1.3648010788941334</v>
      </c>
      <c r="EI253" s="2020">
        <f>(EI250+EI252)/EI259</f>
        <v>1.5527027027027027</v>
      </c>
      <c r="EJ253" s="138">
        <f>(EJ250+EJ252)/EJ259</f>
        <v>1.4164113040517536</v>
      </c>
      <c r="EK253" s="137">
        <f t="shared" ref="EK253" si="950">EK250/EK259</f>
        <v>5.6274046574417822</v>
      </c>
      <c r="EL253" s="138">
        <f>(EL250+EL252)/EL259</f>
        <v>1.4788251366120218</v>
      </c>
      <c r="EM253" s="138">
        <f>(EM250+EM252)/EM259</f>
        <v>1.7067307692307694</v>
      </c>
      <c r="EN253" s="2020">
        <f>(EN250+EN252)/EN259</f>
        <v>1.7478411053540588</v>
      </c>
      <c r="EO253" s="138">
        <f>(EO250+EO252)/EO259</f>
        <v>1.6886726893676163</v>
      </c>
      <c r="EP253" s="137">
        <f t="shared" ref="EP253" si="951">EP250/EP259</f>
        <v>6.6201670541634376</v>
      </c>
      <c r="EQ253" s="138">
        <f>(EQ250+EQ252)/EQ259</f>
        <v>1.9307450157397692</v>
      </c>
      <c r="ER253" s="138">
        <f>ER250/ER259</f>
        <v>2.2477760677845193</v>
      </c>
      <c r="ES253" s="138">
        <f t="shared" ref="ES253" si="952">ES250/ES259</f>
        <v>2.0969038930054134</v>
      </c>
      <c r="ET253" s="138">
        <f>ET250/ET259</f>
        <v>2.0207242253862274</v>
      </c>
      <c r="EU253" s="1998">
        <f t="shared" ref="EU253" si="953">EU250/EU259</f>
        <v>8.2954573428626777</v>
      </c>
      <c r="EV253" s="137"/>
      <c r="EW253" s="137"/>
      <c r="EX253" s="137"/>
      <c r="EY253" s="137"/>
      <c r="EZ253" s="137">
        <f>EZ250/EZ259</f>
        <v>8.8552349234287924</v>
      </c>
      <c r="FA253" s="137"/>
      <c r="FB253" s="137"/>
      <c r="FC253" s="137"/>
      <c r="FD253" s="137"/>
      <c r="FE253" s="137">
        <f>FE250/FE259</f>
        <v>9.5524322308533591</v>
      </c>
      <c r="FF253" s="801"/>
      <c r="FG253" s="660"/>
      <c r="FH253" s="2034">
        <f>+EU253/8-1</f>
        <v>3.6932167857834708E-2</v>
      </c>
      <c r="FI253" s="2034">
        <f>+EZ253/8.67-1</f>
        <v>2.1365043071371659E-2</v>
      </c>
      <c r="FJ253" s="2034">
        <f>+FE253/9.41-1</f>
        <v>1.5136262577402748E-2</v>
      </c>
      <c r="FK253" s="1044"/>
      <c r="FL253" s="1836"/>
      <c r="FM253" s="138">
        <f>EQ253</f>
        <v>1.9307450157397692</v>
      </c>
      <c r="FN253" s="138">
        <f>EL253</f>
        <v>1.4788251366120218</v>
      </c>
      <c r="FO253" s="138">
        <v>1.7870296783972186</v>
      </c>
      <c r="FP253" s="1880">
        <f>IFERROR(($FM253/FN253)-1,"")</f>
        <v>0.30559385821848606</v>
      </c>
      <c r="FQ253" s="1880">
        <f>IFERROR(($FM253/FO253)-1,"")</f>
        <v>8.0421348945613813E-2</v>
      </c>
      <c r="FR253" s="593"/>
      <c r="FS253" s="592"/>
      <c r="FT253" s="592"/>
      <c r="FU253" s="1586"/>
      <c r="FV253" s="1598" t="s">
        <v>432</v>
      </c>
      <c r="FW253" s="537"/>
      <c r="FX253" s="592"/>
      <c r="FY253" s="592"/>
      <c r="FZ253" s="592"/>
      <c r="GA253" s="660"/>
      <c r="GB253"/>
      <c r="GC253"/>
      <c r="GD253"/>
      <c r="GE253"/>
      <c r="GF253"/>
      <c r="GG253"/>
      <c r="GH253" s="1011"/>
      <c r="GI253" s="1011"/>
      <c r="GJ253" s="1011"/>
      <c r="GK253" s="1011"/>
      <c r="GL253" s="1011"/>
      <c r="GM253" s="1011"/>
      <c r="GN253" s="1011"/>
      <c r="GO253" s="1011"/>
      <c r="GP253" s="1011"/>
      <c r="GQ253" s="1011"/>
      <c r="GR253" s="1011"/>
      <c r="GS253" s="1011"/>
      <c r="GT253" s="1011"/>
      <c r="GU253" s="1011"/>
      <c r="GV253" s="1011"/>
      <c r="GW253" s="1011"/>
      <c r="GX253" s="1011"/>
      <c r="GY253" s="1011"/>
      <c r="GZ253" s="1011"/>
      <c r="HA253" s="1011"/>
      <c r="HB253" s="1011"/>
      <c r="HC253" s="1011"/>
      <c r="HD253" s="1011"/>
      <c r="HE253" s="1011"/>
      <c r="HF253" s="1011"/>
      <c r="HG253" s="1011"/>
      <c r="HH253" s="1011"/>
      <c r="HI253" s="1011"/>
      <c r="HJ253" s="1011"/>
      <c r="HK253" s="1011"/>
      <c r="HL253" s="1011"/>
      <c r="HM253" s="1011"/>
      <c r="HN253" s="1011"/>
      <c r="HO253" s="1011"/>
      <c r="HP253" s="1011"/>
      <c r="HQ253" s="1011"/>
      <c r="HR253" s="1011"/>
      <c r="HS253" s="1011"/>
      <c r="HT253" s="1011"/>
      <c r="HU253" s="1011"/>
      <c r="HV253" s="1011"/>
      <c r="HW253" s="1011"/>
      <c r="HX253" s="1011"/>
      <c r="HY253" s="1011"/>
      <c r="HZ253" s="1011"/>
      <c r="IA253" s="1011"/>
      <c r="IB253" s="1011"/>
      <c r="IC253" s="1011"/>
      <c r="ID253" s="1011"/>
      <c r="IE253" s="1011"/>
      <c r="IF253" s="1011"/>
      <c r="IG253" s="1011"/>
      <c r="IH253" s="1011"/>
      <c r="II253" s="1011"/>
      <c r="IJ253" s="1011"/>
      <c r="IK253" s="1011"/>
      <c r="IL253" s="1011"/>
      <c r="IM253" s="1011"/>
      <c r="IN253" s="1011"/>
      <c r="IO253" s="1011"/>
      <c r="IP253" s="1011"/>
      <c r="IQ253" s="1011"/>
      <c r="IR253" s="1011"/>
      <c r="IS253" s="1011"/>
      <c r="IT253" s="1011"/>
      <c r="IU253" s="1011"/>
      <c r="IV253" s="1011"/>
    </row>
    <row r="254" spans="1:256" s="1145" customFormat="1" ht="12.75" x14ac:dyDescent="0.2">
      <c r="A254" s="242" t="s">
        <v>74</v>
      </c>
      <c r="B254" s="1138"/>
      <c r="C254" s="1138"/>
      <c r="D254" s="1138"/>
      <c r="E254" s="1139"/>
      <c r="F254" s="1101"/>
      <c r="G254" s="1138"/>
      <c r="H254" s="1138"/>
      <c r="I254" s="1138"/>
      <c r="J254" s="1139"/>
      <c r="K254" s="1101"/>
      <c r="L254" s="1138"/>
      <c r="M254" s="1138"/>
      <c r="N254" s="1138"/>
      <c r="O254" s="1139"/>
      <c r="P254" s="1101"/>
      <c r="Q254" s="1138"/>
      <c r="R254" s="1138"/>
      <c r="S254" s="1138"/>
      <c r="T254" s="1139"/>
      <c r="U254" s="1101"/>
      <c r="V254" s="1138"/>
      <c r="W254" s="1138"/>
      <c r="X254" s="1138"/>
      <c r="Y254" s="1139"/>
      <c r="Z254" s="1101"/>
      <c r="AA254" s="1138"/>
      <c r="AB254" s="1138"/>
      <c r="AC254" s="1138"/>
      <c r="AD254" s="1139"/>
      <c r="AE254" s="1101"/>
      <c r="AF254" s="1138"/>
      <c r="AG254" s="1138"/>
      <c r="AH254" s="1138"/>
      <c r="AI254" s="1139"/>
      <c r="AJ254" s="1101"/>
      <c r="AK254" s="1138"/>
      <c r="AL254" s="1138"/>
      <c r="AM254" s="1138"/>
      <c r="AN254" s="1139"/>
      <c r="AO254" s="1101"/>
      <c r="AP254" s="1138"/>
      <c r="AQ254" s="1138"/>
      <c r="AR254" s="1138"/>
      <c r="AS254" s="1139"/>
      <c r="AT254" s="1101"/>
      <c r="AU254" s="1138"/>
      <c r="AV254" s="1138"/>
      <c r="AW254" s="1138"/>
      <c r="AX254" s="1139"/>
      <c r="AY254" s="1101"/>
      <c r="AZ254" s="1138"/>
      <c r="BA254" s="1138"/>
      <c r="BB254" s="1138"/>
      <c r="BC254" s="1139"/>
      <c r="BD254" s="1101"/>
      <c r="BE254" s="1138"/>
      <c r="BF254" s="1138"/>
      <c r="BG254" s="1138"/>
      <c r="BH254" s="1139"/>
      <c r="BI254" s="1101"/>
      <c r="BJ254" s="1138"/>
      <c r="BK254" s="1138"/>
      <c r="BL254" s="1138"/>
      <c r="BM254" s="1139"/>
      <c r="BN254" s="1101"/>
      <c r="BO254" s="1138"/>
      <c r="BP254" s="1138"/>
      <c r="BQ254" s="1138"/>
      <c r="BR254" s="1139"/>
      <c r="BS254" s="1101"/>
      <c r="BT254" s="1138"/>
      <c r="BU254" s="1138"/>
      <c r="BV254" s="1138"/>
      <c r="BW254" s="1139"/>
      <c r="BX254" s="1101"/>
      <c r="BY254" s="1138"/>
      <c r="BZ254" s="1138"/>
      <c r="CA254" s="1138"/>
      <c r="CB254" s="1139"/>
      <c r="CC254" s="1101">
        <f t="shared" ref="CC254:DY254" si="954">+CC253/BX253-1</f>
        <v>0.6053244716166768</v>
      </c>
      <c r="CD254" s="1138">
        <f t="shared" si="954"/>
        <v>0.17962422465047956</v>
      </c>
      <c r="CE254" s="1138">
        <f t="shared" si="954"/>
        <v>0.38748155030676701</v>
      </c>
      <c r="CF254" s="1138">
        <f t="shared" si="954"/>
        <v>0.24284504259472994</v>
      </c>
      <c r="CG254" s="1139">
        <f t="shared" si="954"/>
        <v>0.33785535307409487</v>
      </c>
      <c r="CH254" s="1101">
        <f t="shared" si="954"/>
        <v>0.29419386557364824</v>
      </c>
      <c r="CI254" s="1138">
        <f t="shared" si="954"/>
        <v>0.52867976498131419</v>
      </c>
      <c r="CJ254" s="1138">
        <f t="shared" si="954"/>
        <v>0.1897169766108191</v>
      </c>
      <c r="CK254" s="1138">
        <f t="shared" si="954"/>
        <v>0.39052945750428081</v>
      </c>
      <c r="CL254" s="1139">
        <f t="shared" si="954"/>
        <v>9.6766147977533246E-2</v>
      </c>
      <c r="CM254" s="1101">
        <f t="shared" si="954"/>
        <v>0.26666650165505867</v>
      </c>
      <c r="CN254" s="1138">
        <f t="shared" si="954"/>
        <v>-2.0343638830821131E-2</v>
      </c>
      <c r="CO254" s="1138">
        <f t="shared" si="954"/>
        <v>0.10580247282383204</v>
      </c>
      <c r="CP254" s="1138">
        <f t="shared" si="954"/>
        <v>3.9929694419640338E-3</v>
      </c>
      <c r="CQ254" s="1139">
        <f t="shared" si="954"/>
        <v>7.4692345356618173E-2</v>
      </c>
      <c r="CR254" s="1101">
        <f t="shared" si="954"/>
        <v>4.3752248184049325E-2</v>
      </c>
      <c r="CS254" s="1138">
        <f t="shared" si="954"/>
        <v>9.9213252704874133E-2</v>
      </c>
      <c r="CT254" s="1138">
        <f t="shared" si="954"/>
        <v>0.20431041899681679</v>
      </c>
      <c r="CU254" s="1138">
        <f t="shared" si="954"/>
        <v>0.3409775960805308</v>
      </c>
      <c r="CV254" s="1139">
        <f t="shared" si="954"/>
        <v>0.18606667043548719</v>
      </c>
      <c r="CW254" s="1101">
        <f t="shared" si="954"/>
        <v>0.21676202483163576</v>
      </c>
      <c r="CX254" s="1138">
        <f t="shared" si="954"/>
        <v>-0.39442169080601697</v>
      </c>
      <c r="CY254" s="1138">
        <f t="shared" si="954"/>
        <v>-0.44154092681946833</v>
      </c>
      <c r="CZ254" s="1138">
        <f t="shared" si="954"/>
        <v>-0.40872225090345893</v>
      </c>
      <c r="DA254" s="1138">
        <f>+DA253/CV253-1</f>
        <v>-0.32684808299097501</v>
      </c>
      <c r="DB254" s="1101">
        <f>+DB253/CW253-1</f>
        <v>-0.39205800564897675</v>
      </c>
      <c r="DC254" s="1138">
        <f t="shared" si="954"/>
        <v>0.58378234195785561</v>
      </c>
      <c r="DD254" s="1138">
        <f t="shared" si="954"/>
        <v>0.57613479942763557</v>
      </c>
      <c r="DE254" s="1138">
        <f t="shared" si="954"/>
        <v>0.47532534179216013</v>
      </c>
      <c r="DF254" s="1138">
        <f>+DF253/DA253-1</f>
        <v>0.22451401575179686</v>
      </c>
      <c r="DG254" s="1101">
        <f t="shared" si="954"/>
        <v>0.44304327966815027</v>
      </c>
      <c r="DH254" s="1138">
        <f>+DH253/DC253-1</f>
        <v>0.3407856152169606</v>
      </c>
      <c r="DI254" s="1138">
        <f t="shared" si="954"/>
        <v>0.32976956805672164</v>
      </c>
      <c r="DJ254" s="1138">
        <f t="shared" si="954"/>
        <v>0.33154643709534515</v>
      </c>
      <c r="DK254" s="1138">
        <f t="shared" si="954"/>
        <v>0.38445957455392099</v>
      </c>
      <c r="DL254" s="1101">
        <f t="shared" si="954"/>
        <v>0.34611999667434956</v>
      </c>
      <c r="DM254" s="1138">
        <f t="shared" si="954"/>
        <v>0.22989526273352023</v>
      </c>
      <c r="DN254" s="1138">
        <f t="shared" si="954"/>
        <v>0.15724696356275314</v>
      </c>
      <c r="DO254" s="1138">
        <f t="shared" si="954"/>
        <v>-0.21303453273890316</v>
      </c>
      <c r="DP254" s="1138">
        <f t="shared" si="954"/>
        <v>-6.4123825317855099E-2</v>
      </c>
      <c r="DQ254" s="1101">
        <f t="shared" si="954"/>
        <v>4.0590843210126515E-3</v>
      </c>
      <c r="DR254" s="1138">
        <f t="shared" si="954"/>
        <v>-5.8000628733103632E-3</v>
      </c>
      <c r="DS254" s="1138">
        <f t="shared" si="954"/>
        <v>-8.5509754562618112E-2</v>
      </c>
      <c r="DT254" s="1138">
        <f t="shared" si="954"/>
        <v>0.22816056702787435</v>
      </c>
      <c r="DU254" s="1138">
        <f t="shared" si="954"/>
        <v>0.267188143268835</v>
      </c>
      <c r="DV254" s="1101">
        <f t="shared" si="954"/>
        <v>8.9650821556764626E-2</v>
      </c>
      <c r="DW254" s="1138">
        <f>+DW253/DR253-1</f>
        <v>-4.110906503381484E-2</v>
      </c>
      <c r="DX254" s="1138">
        <f t="shared" si="954"/>
        <v>0.22674469319980917</v>
      </c>
      <c r="DY254" s="1138">
        <f t="shared" si="954"/>
        <v>0.16574981720135229</v>
      </c>
      <c r="DZ254" s="1138">
        <f t="shared" ref="DZ254:EI254" si="955">+DZ253/DU253-1</f>
        <v>-2.9408457040035474E-3</v>
      </c>
      <c r="EA254" s="1101">
        <f t="shared" si="955"/>
        <v>9.1247712594558994E-2</v>
      </c>
      <c r="EB254" s="1138">
        <f t="shared" si="955"/>
        <v>-0.14719893125208749</v>
      </c>
      <c r="EC254" s="1138">
        <f t="shared" si="955"/>
        <v>-0.2118737620708997</v>
      </c>
      <c r="ED254" s="1138">
        <f t="shared" si="955"/>
        <v>-0.16456524727609734</v>
      </c>
      <c r="EE254" s="1138">
        <f t="shared" si="955"/>
        <v>-0.26626207457245521</v>
      </c>
      <c r="EF254" s="1101">
        <f t="shared" si="955"/>
        <v>-0.20135511958338492</v>
      </c>
      <c r="EG254" s="1138">
        <f t="shared" si="955"/>
        <v>0.29307676534389548</v>
      </c>
      <c r="EH254" s="1138">
        <f t="shared" si="955"/>
        <v>-3.5237702436833218E-2</v>
      </c>
      <c r="EI254" s="1138">
        <f t="shared" si="955"/>
        <v>3.9142848600813185E-2</v>
      </c>
      <c r="EJ254" s="1138">
        <f t="shared" ref="EJ254:EN254" si="956">+EJ253/EE253-1</f>
        <v>0.17864253666799668</v>
      </c>
      <c r="EK254" s="1101">
        <f t="shared" si="956"/>
        <v>0.10180430286727393</v>
      </c>
      <c r="EL254" s="1138">
        <f t="shared" si="956"/>
        <v>0.14217269595176552</v>
      </c>
      <c r="EM254" s="1138">
        <f t="shared" si="956"/>
        <v>0.25053445196108259</v>
      </c>
      <c r="EN254" s="1138">
        <f t="shared" si="956"/>
        <v>0.12567660397041203</v>
      </c>
      <c r="EO254" s="1138">
        <f t="shared" ref="EO254" si="957">+EO253/EJ253-1</f>
        <v>0.19221915593093475</v>
      </c>
      <c r="EP254" s="1101">
        <f t="shared" ref="EP254:EQ254" si="958">+EP253/EK253-1</f>
        <v>0.17641567599173946</v>
      </c>
      <c r="EQ254" s="1138">
        <f t="shared" si="958"/>
        <v>0.30559385821848606</v>
      </c>
      <c r="ER254" s="1138">
        <f t="shared" ref="ER254" si="959">+ER253/EM253-1</f>
        <v>0.31700682281459147</v>
      </c>
      <c r="ES254" s="1138">
        <f t="shared" ref="ES254:EU254" si="960">+ES253/EN253-1</f>
        <v>0.19971082416021169</v>
      </c>
      <c r="ET254" s="1138">
        <f t="shared" si="960"/>
        <v>0.19663463388098013</v>
      </c>
      <c r="EU254" s="1996">
        <f t="shared" si="960"/>
        <v>0.25305861241758931</v>
      </c>
      <c r="EV254" s="1140"/>
      <c r="EW254" s="1140"/>
      <c r="EX254" s="1140"/>
      <c r="EY254" s="1140"/>
      <c r="EZ254" s="1141">
        <f>+EZ253/EU253-1</f>
        <v>6.7480014353607842E-2</v>
      </c>
      <c r="FA254" s="1140"/>
      <c r="FB254" s="1140"/>
      <c r="FC254" s="1140"/>
      <c r="FD254" s="1140"/>
      <c r="FE254" s="1141">
        <f>+FE253/EZ253-1</f>
        <v>7.8732785008329031E-2</v>
      </c>
      <c r="FF254" s="1142"/>
      <c r="FG254" s="1102"/>
      <c r="FH254" s="2034">
        <f>+EU253/8.41-1</f>
        <v>-1.3619816544271357E-2</v>
      </c>
      <c r="FI254" s="2034">
        <f>+EZ253/9.35-1</f>
        <v>-5.2916050970182593E-2</v>
      </c>
      <c r="FJ254" s="2034">
        <f>+FE253/10.06-1</f>
        <v>-5.0454052599069765E-2</v>
      </c>
      <c r="FK254" s="1143"/>
      <c r="FL254" s="1837"/>
      <c r="FM254" s="1138">
        <f>EQ254</f>
        <v>0.30559385821848606</v>
      </c>
      <c r="FN254" s="1138">
        <f>EL254</f>
        <v>0.14217269595176552</v>
      </c>
      <c r="FO254" s="1138">
        <v>0.20841175481456276</v>
      </c>
      <c r="FP254" s="1901">
        <f>IFERROR(($FM254-FN254)*10000,"")</f>
        <v>1634.2116226672053</v>
      </c>
      <c r="FQ254" s="1901">
        <f>IFERROR(($FM254-FO254)*10000,"")</f>
        <v>971.82103403923304</v>
      </c>
      <c r="FR254" s="1620" t="s">
        <v>721</v>
      </c>
      <c r="FS254" s="1144"/>
      <c r="FT254" s="1144"/>
      <c r="FU254" s="1144"/>
      <c r="FV254" s="1144"/>
      <c r="FW254" s="1144"/>
      <c r="FX254" s="1144"/>
      <c r="FY254" s="1144"/>
      <c r="FZ254" s="1144"/>
      <c r="GA254" s="1102"/>
      <c r="GB254"/>
      <c r="GC254"/>
      <c r="GD254"/>
      <c r="GE254"/>
      <c r="GF254"/>
      <c r="GG254"/>
      <c r="GH254" s="1146"/>
      <c r="GI254" s="1146"/>
      <c r="GJ254" s="1146"/>
      <c r="GK254" s="1146"/>
      <c r="GL254" s="1146"/>
      <c r="GM254" s="1146"/>
      <c r="GN254" s="1146"/>
      <c r="GO254" s="1146"/>
      <c r="GP254" s="1146"/>
      <c r="GQ254" s="1146"/>
      <c r="GR254" s="1146"/>
      <c r="GS254" s="1146"/>
      <c r="GT254" s="1146"/>
      <c r="GU254" s="1146"/>
      <c r="GV254" s="1146"/>
      <c r="GW254" s="1146"/>
      <c r="GX254" s="1146"/>
      <c r="GY254" s="1146"/>
      <c r="GZ254" s="1146"/>
      <c r="HA254" s="1146"/>
      <c r="HB254" s="1146"/>
      <c r="HC254" s="1146"/>
      <c r="HD254" s="1146"/>
      <c r="HE254" s="1146"/>
      <c r="HF254" s="1146"/>
      <c r="HG254" s="1146"/>
      <c r="HH254" s="1146"/>
      <c r="HI254" s="1146"/>
      <c r="HJ254" s="1146"/>
      <c r="HK254" s="1146"/>
      <c r="HL254" s="1146"/>
      <c r="HM254" s="1146"/>
      <c r="HN254" s="1146"/>
      <c r="HO254" s="1146"/>
      <c r="HP254" s="1146"/>
      <c r="HQ254" s="1146"/>
      <c r="HR254" s="1146"/>
      <c r="HS254" s="1146"/>
      <c r="HT254" s="1146"/>
      <c r="HU254" s="1146"/>
      <c r="HV254" s="1146"/>
      <c r="HW254" s="1146"/>
      <c r="HX254" s="1146"/>
      <c r="HY254" s="1146"/>
      <c r="HZ254" s="1146"/>
      <c r="IA254" s="1146"/>
      <c r="IB254" s="1146"/>
      <c r="IC254" s="1146"/>
      <c r="ID254" s="1146"/>
      <c r="IE254" s="1146"/>
      <c r="IF254" s="1146"/>
      <c r="IG254" s="1146"/>
      <c r="IH254" s="1146"/>
      <c r="II254" s="1146"/>
      <c r="IJ254" s="1146"/>
      <c r="IK254" s="1146"/>
      <c r="IL254" s="1146"/>
      <c r="IM254" s="1146"/>
      <c r="IN254" s="1146"/>
      <c r="IO254" s="1146"/>
      <c r="IP254" s="1146"/>
      <c r="IQ254" s="1146"/>
      <c r="IR254" s="1146"/>
      <c r="IS254" s="1146"/>
      <c r="IT254" s="1146"/>
      <c r="IU254" s="1146"/>
      <c r="IV254" s="1146"/>
    </row>
    <row r="255" spans="1:256" s="458" customFormat="1" ht="12.75" x14ac:dyDescent="0.2">
      <c r="A255" s="460" t="s">
        <v>13</v>
      </c>
      <c r="F255" s="462"/>
      <c r="K255" s="462"/>
      <c r="P255" s="462"/>
      <c r="U255" s="462"/>
      <c r="Z255" s="462"/>
      <c r="AE255" s="462"/>
      <c r="AJ255" s="462"/>
      <c r="AO255" s="462"/>
      <c r="AT255" s="462"/>
      <c r="AY255" s="462"/>
      <c r="BD255" s="462"/>
      <c r="BI255" s="462"/>
      <c r="BN255" s="462"/>
      <c r="BS255" s="462"/>
      <c r="BU255" s="458">
        <f>BU253/BT253-1</f>
        <v>0.61017211432419027</v>
      </c>
      <c r="BV255" s="458">
        <f>BV253/BU253-1</f>
        <v>-7.0529096458149532E-4</v>
      </c>
      <c r="BW255" s="458">
        <f>BW253/BV253-1</f>
        <v>0.23945497841027374</v>
      </c>
      <c r="BX255" s="462"/>
      <c r="BY255" s="458">
        <f>BY253/BW253-1</f>
        <v>-7.9181755747984472E-2</v>
      </c>
      <c r="BZ255" s="458">
        <f>BZ253/BY253-1</f>
        <v>0.33993919963213237</v>
      </c>
      <c r="CA255" s="458">
        <f>CA253/BZ253-1</f>
        <v>9.3083536627579955E-2</v>
      </c>
      <c r="CB255" s="458">
        <f>CB253/CA253-1</f>
        <v>0.10487461604481596</v>
      </c>
      <c r="CC255" s="462"/>
      <c r="CD255" s="458">
        <f>CD253/CB253-1</f>
        <v>-0.27105923058808534</v>
      </c>
      <c r="CE255" s="458">
        <f>CE253/CD253-1</f>
        <v>0.57604504822140257</v>
      </c>
      <c r="CF255" s="458">
        <f>CF253/CE253-1</f>
        <v>-2.086376979993998E-2</v>
      </c>
      <c r="CG255" s="458">
        <f>CG253/CF253-1</f>
        <v>0.18933766390155293</v>
      </c>
      <c r="CH255" s="462"/>
      <c r="CI255" s="458">
        <f>CI253/CG253-1</f>
        <v>-0.16708708343585055</v>
      </c>
      <c r="CJ255" s="458">
        <f>CJ253/CI253-1</f>
        <v>0.22657968838577469</v>
      </c>
      <c r="CK255" s="458">
        <f>CK253/CJ253-1</f>
        <v>0.14440475992993784</v>
      </c>
      <c r="CL255" s="458">
        <f>CL253/CK253-1</f>
        <v>-6.192185915781756E-2</v>
      </c>
      <c r="CM255" s="462"/>
      <c r="CN255" s="458">
        <f>CN253/CL253-1</f>
        <v>-0.2560233204528507</v>
      </c>
      <c r="CO255" s="458">
        <f>CO253/CN253-1</f>
        <v>0.38452104870091586</v>
      </c>
      <c r="CP255" s="458">
        <f>CP253/CO253-1</f>
        <v>3.904120437667169E-2</v>
      </c>
      <c r="CQ255" s="458">
        <f>CQ253/CP253-1</f>
        <v>4.1359132921070518E-3</v>
      </c>
      <c r="CR255" s="462"/>
      <c r="CS255" s="458">
        <f>CS253/CQ253-1</f>
        <v>-0.23904824539322034</v>
      </c>
      <c r="CT255" s="458">
        <f>CT253/CS253-1</f>
        <v>0.51689685342484459</v>
      </c>
      <c r="CU255" s="458">
        <f>CU253/CT253-1</f>
        <v>0.156953352304537</v>
      </c>
      <c r="CV255" s="458">
        <f>CV253/CU253-1</f>
        <v>-0.11186276129885153</v>
      </c>
      <c r="CW255" s="462"/>
      <c r="CX255" s="458">
        <f>CX253/CV253-1</f>
        <v>-0.6114755701180179</v>
      </c>
      <c r="CY255" s="458">
        <f>CY253/CX253-1</f>
        <v>0.39886914378029092</v>
      </c>
      <c r="CZ255" s="458">
        <f>CZ253/CY253-1</f>
        <v>0.22494343240651959</v>
      </c>
      <c r="DA255" s="458">
        <f>DA253/CZ253-1</f>
        <v>1.1117509008724324E-2</v>
      </c>
      <c r="DB255" s="462"/>
      <c r="DC255" s="458">
        <f>DC253/DA253-1</f>
        <v>-8.588519780138093E-2</v>
      </c>
      <c r="DD255" s="458">
        <f>DD253/DC253-1</f>
        <v>0.39211448375671254</v>
      </c>
      <c r="DE255" s="458">
        <f>DE253/DD253-1</f>
        <v>0.14659614694598533</v>
      </c>
      <c r="DF255" s="458">
        <f>DF253/DE253-1</f>
        <v>-0.16077659192839189</v>
      </c>
      <c r="DG255" s="462"/>
      <c r="DH255" s="458">
        <f>DH253/DF253-1</f>
        <v>9.1298399089567717E-4</v>
      </c>
      <c r="DI255" s="458">
        <f>DI253/DH253-1</f>
        <v>0.38067671277269577</v>
      </c>
      <c r="DJ255" s="458">
        <f>DJ253/DI253-1</f>
        <v>0.14812825539714392</v>
      </c>
      <c r="DK255" s="458">
        <f>DK253/DJ253-1</f>
        <v>-0.1274274406613769</v>
      </c>
      <c r="DL255" s="462"/>
      <c r="DM255" s="458">
        <f>DM253/DK253-1</f>
        <v>-0.11083128749677351</v>
      </c>
      <c r="DN255" s="458">
        <f>DN253/DM253-1</f>
        <v>0.29912195121951224</v>
      </c>
      <c r="DO255" s="458">
        <f>DO253/DN253-1</f>
        <v>-0.2192355500310752</v>
      </c>
      <c r="DP255" s="458">
        <f>DP253/DO253-1</f>
        <v>3.7681960567532702E-2</v>
      </c>
      <c r="DQ255" s="462"/>
      <c r="DR255" s="458">
        <f>DR253/DP253-1</f>
        <v>-5.5418332060897413E-2</v>
      </c>
      <c r="DS255" s="458">
        <f>DS253/DR253-1</f>
        <v>0.19496522546292683</v>
      </c>
      <c r="DT255" s="458">
        <f>DT253/DS253-1</f>
        <v>4.8566799234055269E-2</v>
      </c>
      <c r="DU255" s="458">
        <f>DU253/DT253-1</f>
        <v>7.0656648826677548E-2</v>
      </c>
      <c r="DV255" s="462"/>
      <c r="DW255" s="458">
        <f>DW253/DU253-1</f>
        <v>-0.28522784597275941</v>
      </c>
      <c r="DX255" s="458">
        <f>DX253/DW253-1</f>
        <v>0.52876327790777755</v>
      </c>
      <c r="DY255" s="458">
        <f>DY253/DX253-1</f>
        <v>-3.5689077715773676E-3</v>
      </c>
      <c r="DZ255" s="458">
        <f>DZ253/DY253-1</f>
        <v>-8.4273488986420286E-2</v>
      </c>
      <c r="EA255" s="462"/>
      <c r="EB255" s="458">
        <f>EB253/DZ253-1</f>
        <v>-0.38864363840470884</v>
      </c>
      <c r="EC255" s="458">
        <f>EC253/EB253-1</f>
        <v>0.41282474313804118</v>
      </c>
      <c r="ED255" s="458">
        <f>ED253/EC253-1</f>
        <v>5.6243432942461924E-2</v>
      </c>
      <c r="EE255" s="458">
        <f>EE253/ED253-1</f>
        <v>-0.19574417001520095</v>
      </c>
      <c r="EF255" s="462"/>
      <c r="EG255" s="458">
        <f>EG253/EE253-1</f>
        <v>7.7401997536674205E-2</v>
      </c>
      <c r="EH255" s="458">
        <f>EH253/EG253-1</f>
        <v>5.4106052923660108E-2</v>
      </c>
      <c r="EI255" s="458">
        <f>EI253/EH253-1</f>
        <v>0.13767693088345268</v>
      </c>
      <c r="EJ255" s="458">
        <f>EJ253/EI253-1</f>
        <v>-8.777687989704297E-2</v>
      </c>
      <c r="EK255" s="462"/>
      <c r="EL255" s="458">
        <f>EL253/EJ253-1</f>
        <v>4.4064765920554638E-2</v>
      </c>
      <c r="EM255" s="458">
        <f>EM253/EL253-1</f>
        <v>0.15411263101794304</v>
      </c>
      <c r="EN255" s="458">
        <f>EN253/EM253-1</f>
        <v>2.4087182855335731E-2</v>
      </c>
      <c r="EO255" s="458">
        <f>EO253/EN253-1</f>
        <v>-3.3852285430978513E-2</v>
      </c>
      <c r="EP255" s="462"/>
      <c r="EQ255" s="458">
        <f>EQ253/EO253-1</f>
        <v>0.14335064923848884</v>
      </c>
      <c r="ER255" s="458">
        <f>ER253/EQ253-1</f>
        <v>0.16420140902100377</v>
      </c>
      <c r="ES255" s="458">
        <f>ES253/ER253-1</f>
        <v>-6.712064290630626E-2</v>
      </c>
      <c r="ET255" s="458">
        <f>ET253/ES253-1</f>
        <v>-3.6329594252410113E-2</v>
      </c>
      <c r="EU255" s="1932"/>
      <c r="EZ255" s="740"/>
      <c r="FE255" s="740"/>
      <c r="FF255" s="740"/>
      <c r="FG255" s="655"/>
      <c r="FH255" s="1088">
        <f>AVERAGE(CI255,CN255,CS255,CX255,DC255,DH255,DM255,DR255,DW255,EB255,EG255,EL255,EQ255)</f>
        <v>-0.14876231726537276</v>
      </c>
      <c r="FI255" s="1088">
        <f>AVERAGE(CJ255,CO255,CT255,CY255,DD255,DI255,DN255,DS255,DX255,EC255,EH255,EM255)</f>
        <v>0.32862931770759135</v>
      </c>
      <c r="FJ255" s="1088">
        <f>AVERAGE(CK255,CP255,CU255,CZ255,DE255,DJ255,DO255,DT255,DY255,ED255,EI255,EN255)</f>
        <v>7.5319753289454033E-2</v>
      </c>
      <c r="FK255" s="1088">
        <f>AVERAGE(CL255,CQ255,CV255,DA255,DF255,DK255,DP255,DU255,DZ255,EE255,EJ255,EO255)</f>
        <v>-6.1670287140086578E-2</v>
      </c>
      <c r="FL255" s="1795"/>
      <c r="FM255" s="458">
        <f>EQ255</f>
        <v>0.14335064923848884</v>
      </c>
      <c r="FN255" s="458">
        <f>EL255</f>
        <v>4.4064765920554638E-2</v>
      </c>
      <c r="FO255" s="2040">
        <v>5.8245147001480646E-2</v>
      </c>
      <c r="FP255" s="1888">
        <f>IFERROR(($FM255-FN255)*10000,"")</f>
        <v>992.85883317934201</v>
      </c>
      <c r="FQ255" s="1888">
        <f>IFERROR(($FM255-FO255)*10000,"")</f>
        <v>851.05502237008193</v>
      </c>
      <c r="FR255" s="566"/>
      <c r="FS255" s="566"/>
      <c r="FT255" s="566"/>
      <c r="FU255" s="566"/>
      <c r="FV255" s="566"/>
      <c r="FW255" s="566"/>
      <c r="FX255" s="566"/>
      <c r="FY255" s="566"/>
      <c r="FZ255" s="566"/>
      <c r="GA255" s="655"/>
      <c r="GB255"/>
      <c r="GC255"/>
      <c r="GD255"/>
      <c r="GE255"/>
      <c r="GF255"/>
      <c r="GG255"/>
      <c r="GH255" s="913"/>
      <c r="GI255" s="913"/>
      <c r="GJ255" s="913"/>
      <c r="GK255" s="913"/>
      <c r="GL255" s="913"/>
      <c r="GM255" s="913"/>
      <c r="GN255" s="913"/>
      <c r="GO255" s="913"/>
      <c r="GP255" s="913"/>
      <c r="GQ255" s="913"/>
      <c r="GR255" s="913"/>
      <c r="GS255" s="913"/>
      <c r="GT255" s="913"/>
      <c r="GU255" s="913"/>
      <c r="GV255" s="913"/>
      <c r="GW255" s="913"/>
      <c r="GX255" s="913"/>
      <c r="GY255" s="913"/>
      <c r="GZ255" s="913"/>
      <c r="HA255" s="913"/>
      <c r="HB255" s="913"/>
      <c r="HC255" s="913"/>
      <c r="HD255" s="913"/>
      <c r="HE255" s="913"/>
      <c r="HF255" s="913"/>
      <c r="HG255" s="913"/>
      <c r="HH255" s="913"/>
      <c r="HI255" s="913"/>
      <c r="HJ255" s="913"/>
      <c r="HK255" s="913"/>
      <c r="HL255" s="913"/>
      <c r="HM255" s="913"/>
      <c r="HN255" s="913"/>
      <c r="HO255" s="913"/>
      <c r="HP255" s="913"/>
      <c r="HQ255" s="913"/>
      <c r="HR255" s="913"/>
      <c r="HS255" s="913"/>
      <c r="HT255" s="913"/>
      <c r="HU255" s="913"/>
      <c r="HV255" s="913"/>
      <c r="HW255" s="913"/>
      <c r="HX255" s="913"/>
      <c r="HY255" s="913"/>
      <c r="HZ255" s="913"/>
      <c r="IA255" s="913"/>
      <c r="IB255" s="913"/>
      <c r="IC255" s="913"/>
      <c r="ID255" s="913"/>
      <c r="IE255" s="913"/>
      <c r="IF255" s="913"/>
      <c r="IG255" s="913"/>
      <c r="IH255" s="913"/>
      <c r="II255" s="913"/>
      <c r="IJ255" s="913"/>
      <c r="IK255" s="913"/>
      <c r="IL255" s="913"/>
      <c r="IM255" s="913"/>
      <c r="IN255" s="913"/>
      <c r="IO255" s="913"/>
      <c r="IP255" s="913"/>
      <c r="IQ255" s="913"/>
      <c r="IR255" s="913"/>
      <c r="IS255" s="913"/>
      <c r="IT255" s="913"/>
      <c r="IU255" s="913"/>
      <c r="IV255" s="913"/>
    </row>
    <row r="256" spans="1:256" s="551" customFormat="1" ht="12.75" x14ac:dyDescent="0.2">
      <c r="A256" s="85" t="s">
        <v>359</v>
      </c>
      <c r="B256" s="547"/>
      <c r="C256" s="547"/>
      <c r="D256" s="547"/>
      <c r="E256" s="548"/>
      <c r="F256" s="549"/>
      <c r="G256" s="547"/>
      <c r="H256" s="547"/>
      <c r="I256" s="547"/>
      <c r="J256" s="548"/>
      <c r="K256" s="549"/>
      <c r="L256" s="1156"/>
      <c r="M256" s="547"/>
      <c r="N256" s="547"/>
      <c r="O256" s="548"/>
      <c r="P256" s="549"/>
      <c r="Q256" s="1156"/>
      <c r="R256" s="547"/>
      <c r="S256" s="547"/>
      <c r="T256" s="548"/>
      <c r="U256" s="549"/>
      <c r="V256" s="1156"/>
      <c r="W256" s="547"/>
      <c r="X256" s="547"/>
      <c r="Y256" s="548"/>
      <c r="Z256" s="549"/>
      <c r="AA256" s="1156"/>
      <c r="AB256" s="547"/>
      <c r="AC256" s="547"/>
      <c r="AD256" s="548"/>
      <c r="AE256" s="549"/>
      <c r="AF256" s="1156"/>
      <c r="AG256" s="547"/>
      <c r="AH256" s="547"/>
      <c r="AI256" s="548"/>
      <c r="AJ256" s="549"/>
      <c r="AK256" s="1156"/>
      <c r="AL256" s="547"/>
      <c r="AM256" s="547"/>
      <c r="AN256" s="548"/>
      <c r="AO256" s="549"/>
      <c r="AP256" s="1156"/>
      <c r="AQ256" s="547"/>
      <c r="AR256" s="547"/>
      <c r="AS256" s="548"/>
      <c r="AT256" s="549"/>
      <c r="AU256" s="1156"/>
      <c r="AV256" s="547"/>
      <c r="AW256" s="547"/>
      <c r="AX256" s="548"/>
      <c r="AY256" s="549"/>
      <c r="AZ256" s="1156"/>
      <c r="BA256" s="547"/>
      <c r="BB256" s="547"/>
      <c r="BC256" s="548"/>
      <c r="BD256" s="549"/>
      <c r="BE256" s="1156"/>
      <c r="BF256" s="547"/>
      <c r="BG256" s="547"/>
      <c r="BH256" s="548"/>
      <c r="BI256" s="549"/>
      <c r="BJ256" s="1156"/>
      <c r="BK256" s="547"/>
      <c r="BL256" s="547"/>
      <c r="BM256" s="548"/>
      <c r="BN256" s="549"/>
      <c r="BO256" s="1156"/>
      <c r="BP256" s="547"/>
      <c r="BQ256" s="547"/>
      <c r="BR256" s="548"/>
      <c r="BS256" s="549"/>
      <c r="BT256" s="1156"/>
      <c r="BU256" s="547"/>
      <c r="BV256" s="547"/>
      <c r="BW256" s="548"/>
      <c r="BX256" s="549"/>
      <c r="BY256" s="1156"/>
      <c r="BZ256" s="547"/>
      <c r="CA256" s="547"/>
      <c r="CB256" s="548"/>
      <c r="CC256" s="549"/>
      <c r="CD256" s="1156"/>
      <c r="CE256" s="547"/>
      <c r="CF256" s="547"/>
      <c r="CG256" s="548"/>
      <c r="CH256" s="549"/>
      <c r="CI256" s="1156"/>
      <c r="CJ256" s="547"/>
      <c r="CK256" s="547"/>
      <c r="CL256" s="548"/>
      <c r="CM256" s="549"/>
      <c r="CN256" s="1156"/>
      <c r="CO256" s="547"/>
      <c r="CP256" s="547"/>
      <c r="CQ256" s="548"/>
      <c r="CR256" s="549"/>
      <c r="CS256" s="1156"/>
      <c r="CT256" s="547"/>
      <c r="CU256" s="547"/>
      <c r="CV256" s="548"/>
      <c r="CW256" s="549"/>
      <c r="CX256" s="1156"/>
      <c r="CY256" s="547"/>
      <c r="CZ256" s="547"/>
      <c r="DA256" s="547"/>
      <c r="DB256" s="549"/>
      <c r="DC256" s="1156"/>
      <c r="DD256" s="547"/>
      <c r="DE256" s="547"/>
      <c r="DF256" s="547"/>
      <c r="DG256" s="549"/>
      <c r="DH256" s="1156"/>
      <c r="DI256" s="547"/>
      <c r="DJ256" s="547"/>
      <c r="DK256" s="547"/>
      <c r="DL256" s="549"/>
      <c r="DM256" s="1156"/>
      <c r="DN256" s="547"/>
      <c r="DO256" s="547"/>
      <c r="DP256" s="547"/>
      <c r="DQ256" s="549"/>
      <c r="DR256" s="1156"/>
      <c r="DS256" s="547"/>
      <c r="DT256" s="547"/>
      <c r="DU256" s="547"/>
      <c r="DV256" s="549"/>
      <c r="DW256" s="1156"/>
      <c r="DX256" s="547"/>
      <c r="DY256" s="547"/>
      <c r="DZ256" s="547"/>
      <c r="EA256" s="549"/>
      <c r="EB256" s="1156"/>
      <c r="EC256" s="547"/>
      <c r="ED256" s="547"/>
      <c r="EE256" s="547"/>
      <c r="EF256" s="549"/>
      <c r="EG256" s="1156"/>
      <c r="EH256" s="547"/>
      <c r="EI256" s="547"/>
      <c r="EJ256" s="547"/>
      <c r="EK256" s="549"/>
      <c r="EL256" s="1156"/>
      <c r="EM256" s="547"/>
      <c r="EN256" s="547"/>
      <c r="EO256" s="547"/>
      <c r="EP256" s="549"/>
      <c r="EQ256" s="1156"/>
      <c r="ER256" s="550"/>
      <c r="ES256" s="550"/>
      <c r="ET256" s="550"/>
      <c r="EU256" s="1999"/>
      <c r="EV256" s="550"/>
      <c r="EW256" s="550"/>
      <c r="EX256" s="550"/>
      <c r="EY256" s="550"/>
      <c r="EZ256" s="879"/>
      <c r="FA256" s="550"/>
      <c r="FB256" s="550"/>
      <c r="FC256" s="550"/>
      <c r="FD256" s="550"/>
      <c r="FE256" s="879"/>
      <c r="FF256" s="802"/>
      <c r="FG256" s="660"/>
      <c r="FH256" s="1045"/>
      <c r="FI256" s="1045"/>
      <c r="FJ256" s="1045"/>
      <c r="FK256" s="1045"/>
      <c r="FL256" s="1838"/>
      <c r="FM256" s="547"/>
      <c r="FN256" s="547"/>
      <c r="FO256" s="550"/>
      <c r="FP256" s="547"/>
      <c r="FQ256" s="547"/>
      <c r="FR256" s="550"/>
      <c r="FS256" s="550"/>
      <c r="FT256" s="550"/>
      <c r="FU256" s="550"/>
      <c r="FV256" s="550"/>
      <c r="FW256" s="550"/>
      <c r="FX256" s="550"/>
      <c r="FY256" s="550"/>
      <c r="FZ256" s="550"/>
      <c r="GA256" s="660"/>
      <c r="GB256"/>
      <c r="GC256"/>
      <c r="GD256"/>
      <c r="GE256"/>
      <c r="GF256"/>
      <c r="GG256"/>
      <c r="GH256" s="985"/>
      <c r="GI256" s="985"/>
      <c r="GJ256" s="985"/>
      <c r="GK256" s="985"/>
      <c r="GL256" s="985"/>
      <c r="GM256" s="985"/>
      <c r="GN256" s="985"/>
      <c r="GO256" s="985"/>
      <c r="GP256" s="985"/>
      <c r="GQ256" s="985"/>
      <c r="GR256" s="985"/>
      <c r="GS256" s="985"/>
      <c r="GT256" s="985"/>
      <c r="GU256" s="985"/>
      <c r="GV256" s="985"/>
      <c r="GW256" s="985"/>
      <c r="GX256" s="985"/>
      <c r="GY256" s="985"/>
      <c r="GZ256" s="985"/>
      <c r="HA256" s="985"/>
      <c r="HB256" s="985"/>
      <c r="HC256" s="985"/>
      <c r="HD256" s="985"/>
      <c r="HE256" s="985"/>
      <c r="HF256" s="985"/>
      <c r="HG256" s="985"/>
      <c r="HH256" s="985"/>
      <c r="HI256" s="985"/>
      <c r="HJ256" s="985"/>
      <c r="HK256" s="985"/>
      <c r="HL256" s="985"/>
      <c r="HM256" s="985"/>
      <c r="HN256" s="985"/>
      <c r="HO256" s="985"/>
      <c r="HP256" s="985"/>
      <c r="HQ256" s="985"/>
      <c r="HR256" s="985"/>
      <c r="HS256" s="985"/>
      <c r="HT256" s="985"/>
      <c r="HU256" s="985"/>
      <c r="HV256" s="985"/>
      <c r="HW256" s="985"/>
      <c r="HX256" s="985"/>
      <c r="HY256" s="985"/>
      <c r="HZ256" s="985"/>
      <c r="IA256" s="985"/>
      <c r="IB256" s="985"/>
      <c r="IC256" s="985"/>
      <c r="ID256" s="985"/>
      <c r="IE256" s="985"/>
      <c r="IF256" s="985"/>
      <c r="IG256" s="985"/>
      <c r="IH256" s="985"/>
      <c r="II256" s="985"/>
      <c r="IJ256" s="985"/>
      <c r="IK256" s="985"/>
      <c r="IL256" s="985"/>
      <c r="IM256" s="985"/>
      <c r="IN256" s="985"/>
      <c r="IO256" s="985"/>
      <c r="IP256" s="985"/>
      <c r="IQ256" s="985"/>
      <c r="IR256" s="985"/>
      <c r="IS256" s="985"/>
      <c r="IT256" s="985"/>
      <c r="IU256" s="985"/>
      <c r="IV256" s="985"/>
    </row>
    <row r="257" spans="1:256" s="436" customFormat="1" ht="12.75" x14ac:dyDescent="0.2">
      <c r="A257" s="431" t="s">
        <v>32</v>
      </c>
      <c r="B257" s="432">
        <v>535.06500000000005</v>
      </c>
      <c r="C257" s="433">
        <v>527.24099999999999</v>
      </c>
      <c r="D257" s="433">
        <v>517.98</v>
      </c>
      <c r="E257" s="434">
        <v>512.14800000000002</v>
      </c>
      <c r="F257" s="429">
        <v>522.72435888675398</v>
      </c>
      <c r="G257" s="432">
        <v>502.61400000000003</v>
      </c>
      <c r="H257" s="433">
        <v>492.24599999999998</v>
      </c>
      <c r="I257" s="433">
        <v>480.9</v>
      </c>
      <c r="J257" s="434">
        <v>469.38</v>
      </c>
      <c r="K257" s="429">
        <v>486.23258254125301</v>
      </c>
      <c r="L257" s="432">
        <v>459.54899999999998</v>
      </c>
      <c r="M257" s="433">
        <v>447.75600000000003</v>
      </c>
      <c r="N257" s="433">
        <v>436.779</v>
      </c>
      <c r="O257" s="434">
        <v>429.02100000000002</v>
      </c>
      <c r="P257" s="429">
        <v>441.5268402795304</v>
      </c>
      <c r="Q257" s="432">
        <v>431.4</v>
      </c>
      <c r="R257" s="433">
        <v>425.07900000000006</v>
      </c>
      <c r="S257" s="433">
        <v>423.108</v>
      </c>
      <c r="T257" s="434">
        <v>421.464</v>
      </c>
      <c r="U257" s="429">
        <v>425.15611606108126</v>
      </c>
      <c r="V257" s="432">
        <v>420.45</v>
      </c>
      <c r="W257" s="433">
        <v>418.97699999999998</v>
      </c>
      <c r="X257" s="433">
        <v>417.50700000000006</v>
      </c>
      <c r="Y257" s="434">
        <v>416.04</v>
      </c>
      <c r="Z257" s="429">
        <v>418.17548026222943</v>
      </c>
      <c r="AA257" s="432">
        <v>414.47699999999998</v>
      </c>
      <c r="AB257" s="433">
        <v>411.495</v>
      </c>
      <c r="AC257" s="433">
        <v>407.976</v>
      </c>
      <c r="AD257" s="434">
        <v>401.66399999999999</v>
      </c>
      <c r="AE257" s="429">
        <v>408.60737238106356</v>
      </c>
      <c r="AF257" s="432">
        <v>397.48199999999997</v>
      </c>
      <c r="AG257" s="433">
        <v>394.57499999999999</v>
      </c>
      <c r="AH257" s="433">
        <v>391.73400000000004</v>
      </c>
      <c r="AI257" s="434">
        <v>388.15800000000002</v>
      </c>
      <c r="AJ257" s="429">
        <v>392.8806654547468</v>
      </c>
      <c r="AK257" s="432">
        <v>383.95</v>
      </c>
      <c r="AL257" s="433">
        <v>379.44900000000001</v>
      </c>
      <c r="AM257" s="433">
        <v>375.52600000000001</v>
      </c>
      <c r="AN257" s="434">
        <v>375.29199999999997</v>
      </c>
      <c r="AO257" s="429">
        <v>378.28760770269076</v>
      </c>
      <c r="AP257" s="432">
        <v>376.29899999999998</v>
      </c>
      <c r="AQ257" s="433">
        <v>376.63499999999999</v>
      </c>
      <c r="AR257" s="433">
        <v>377.04</v>
      </c>
      <c r="AS257" s="434">
        <v>377.11</v>
      </c>
      <c r="AT257" s="429">
        <v>376.80152866129833</v>
      </c>
      <c r="AU257" s="432">
        <v>381</v>
      </c>
      <c r="AV257" s="433">
        <v>378.93799999999999</v>
      </c>
      <c r="AW257" s="433">
        <v>378.96899999999999</v>
      </c>
      <c r="AX257" s="434">
        <v>379.33499999999998</v>
      </c>
      <c r="AY257" s="429">
        <v>379.53480448944271</v>
      </c>
      <c r="AZ257" s="432">
        <v>379.69200000000001</v>
      </c>
      <c r="BA257" s="433">
        <v>380.43200000000002</v>
      </c>
      <c r="BB257" s="433">
        <v>380.529</v>
      </c>
      <c r="BC257" s="434">
        <v>381.96899999999999</v>
      </c>
      <c r="BD257" s="429">
        <v>380.22824413141205</v>
      </c>
      <c r="BE257" s="432">
        <v>382.9</v>
      </c>
      <c r="BF257" s="433">
        <v>383.221</v>
      </c>
      <c r="BG257" s="433">
        <v>383.471</v>
      </c>
      <c r="BH257" s="434">
        <v>383.8</v>
      </c>
      <c r="BI257" s="429">
        <f>AVERAGE(BE257:BH257)</f>
        <v>383.34800000000001</v>
      </c>
      <c r="BJ257" s="432">
        <v>384.49</v>
      </c>
      <c r="BK257" s="433">
        <v>385.02199999999999</v>
      </c>
      <c r="BL257" s="433">
        <v>385.40600000000001</v>
      </c>
      <c r="BM257" s="434">
        <v>385.714</v>
      </c>
      <c r="BN257" s="429">
        <v>385.22129992372294</v>
      </c>
      <c r="BO257" s="432">
        <v>387.16300000000001</v>
      </c>
      <c r="BP257" s="433">
        <v>388.26100000000002</v>
      </c>
      <c r="BQ257" s="433">
        <v>388.55</v>
      </c>
      <c r="BR257" s="434">
        <v>388.87599999999998</v>
      </c>
      <c r="BS257" s="429">
        <v>388.30644151255649</v>
      </c>
      <c r="BT257" s="432">
        <v>389.25</v>
      </c>
      <c r="BU257" s="433">
        <v>389.63499999999999</v>
      </c>
      <c r="BV257" s="433">
        <v>389.91</v>
      </c>
      <c r="BW257" s="434">
        <v>390.35700000000003</v>
      </c>
      <c r="BX257" s="429">
        <f>AVERAGE(BT257:BW257)</f>
        <v>389.78800000000001</v>
      </c>
      <c r="BY257" s="432">
        <v>391.23099999999999</v>
      </c>
      <c r="BZ257" s="433">
        <v>392.40100000000001</v>
      </c>
      <c r="CA257" s="433">
        <v>394.44900000000001</v>
      </c>
      <c r="CB257" s="434">
        <v>398.72300000000001</v>
      </c>
      <c r="CC257" s="429">
        <f>AVERAGE(BY257:CB257)</f>
        <v>394.20100000000002</v>
      </c>
      <c r="CD257" s="432">
        <v>401.77100000000002</v>
      </c>
      <c r="CE257" s="433">
        <v>403.16699999999997</v>
      </c>
      <c r="CF257" s="433">
        <v>404.26100000000002</v>
      </c>
      <c r="CG257" s="434">
        <v>407.48099999999999</v>
      </c>
      <c r="CH257" s="429">
        <f>AVERAGE(CD257:CG257)</f>
        <v>404.17</v>
      </c>
      <c r="CI257" s="432">
        <v>412.44400000000002</v>
      </c>
      <c r="CJ257" s="433">
        <v>413.50700000000001</v>
      </c>
      <c r="CK257" s="433">
        <v>402.048</v>
      </c>
      <c r="CL257" s="434">
        <v>395.952</v>
      </c>
      <c r="CM257" s="429">
        <f>AVERAGE(CI257:CL257)</f>
        <v>405.98775000000001</v>
      </c>
      <c r="CN257" s="432">
        <v>394.2</v>
      </c>
      <c r="CO257" s="433">
        <v>393.7</v>
      </c>
      <c r="CP257" s="433">
        <v>389</v>
      </c>
      <c r="CQ257" s="434">
        <v>381.6</v>
      </c>
      <c r="CR257" s="429">
        <f>AVERAGE(CN257:CQ257)</f>
        <v>389.625</v>
      </c>
      <c r="CS257" s="432">
        <v>375.7</v>
      </c>
      <c r="CT257" s="433">
        <v>375.4</v>
      </c>
      <c r="CU257" s="433">
        <v>372.5</v>
      </c>
      <c r="CV257" s="434">
        <v>365.8</v>
      </c>
      <c r="CW257" s="429">
        <f>AVERAGE(CS257:CV257)</f>
        <v>372.34999999999997</v>
      </c>
      <c r="CX257" s="432">
        <v>366.2</v>
      </c>
      <c r="CY257" s="433">
        <v>366.8</v>
      </c>
      <c r="CZ257" s="433">
        <v>367.3</v>
      </c>
      <c r="DA257" s="433">
        <v>367.9</v>
      </c>
      <c r="DB257" s="429">
        <f>AVERAGE(CX257:DA257)</f>
        <v>367.04999999999995</v>
      </c>
      <c r="DC257" s="432">
        <v>369.5</v>
      </c>
      <c r="DD257" s="433">
        <v>369.7</v>
      </c>
      <c r="DE257" s="433">
        <v>366.3</v>
      </c>
      <c r="DF257" s="433">
        <v>360.7</v>
      </c>
      <c r="DG257" s="429">
        <f>AVERAGE(DC257:DF257)</f>
        <v>366.55</v>
      </c>
      <c r="DH257" s="433">
        <v>355.2</v>
      </c>
      <c r="DI257" s="433">
        <v>351</v>
      </c>
      <c r="DJ257" s="433">
        <v>343.2</v>
      </c>
      <c r="DK257" s="433">
        <v>332.8</v>
      </c>
      <c r="DL257" s="429">
        <f>AVERAGE(DH257:DK257)</f>
        <v>345.55</v>
      </c>
      <c r="DM257" s="433">
        <v>328.3</v>
      </c>
      <c r="DN257" s="433">
        <v>322.7</v>
      </c>
      <c r="DO257" s="433">
        <v>317.7</v>
      </c>
      <c r="DP257" s="433">
        <v>314.8</v>
      </c>
      <c r="DQ257" s="429">
        <f>AVERAGE(DM257:DP257)</f>
        <v>320.875</v>
      </c>
      <c r="DR257" s="433">
        <v>314.5</v>
      </c>
      <c r="DS257" s="433">
        <v>314.10000000000002</v>
      </c>
      <c r="DT257" s="432">
        <v>310.39999999999998</v>
      </c>
      <c r="DU257" s="433">
        <v>308.7</v>
      </c>
      <c r="DV257" s="429">
        <f>AVERAGE(DR257:DU257)</f>
        <v>311.92500000000001</v>
      </c>
      <c r="DW257" s="433">
        <v>309.5</v>
      </c>
      <c r="DX257" s="433">
        <v>309.7</v>
      </c>
      <c r="DY257" s="432">
        <v>309.39999999999998</v>
      </c>
      <c r="DZ257" s="433">
        <v>309</v>
      </c>
      <c r="EA257" s="429">
        <f>AVERAGE(DW257:DZ257)</f>
        <v>309.39999999999998</v>
      </c>
      <c r="EB257" s="433">
        <v>306.8</v>
      </c>
      <c r="EC257" s="433">
        <v>302.89999999999998</v>
      </c>
      <c r="ED257" s="432">
        <v>300.10000000000002</v>
      </c>
      <c r="EE257" s="433">
        <v>297.89999999999998</v>
      </c>
      <c r="EF257" s="429">
        <f>AVERAGE(EB257:EE257)</f>
        <v>301.92500000000001</v>
      </c>
      <c r="EG257" s="433">
        <v>297.2</v>
      </c>
      <c r="EH257" s="433">
        <v>294.7</v>
      </c>
      <c r="EI257" s="432">
        <v>292.7</v>
      </c>
      <c r="EJ257" s="433">
        <v>291.2</v>
      </c>
      <c r="EK257" s="429">
        <f>AVERAGE(EG257:EJ257)</f>
        <v>293.95</v>
      </c>
      <c r="EL257" s="433">
        <v>290.3</v>
      </c>
      <c r="EM257" s="433">
        <v>289</v>
      </c>
      <c r="EN257" s="432">
        <v>287.10000000000002</v>
      </c>
      <c r="EO257" s="433">
        <v>285.10000000000002</v>
      </c>
      <c r="EP257" s="429">
        <f>AVERAGE(EL257:EO257)</f>
        <v>287.875</v>
      </c>
      <c r="EQ257" s="433">
        <v>283.13993750000003</v>
      </c>
      <c r="ER257" s="432">
        <f>EQ257*(1+(ER$260/4))</f>
        <v>279.95461320312501</v>
      </c>
      <c r="ES257" s="432">
        <f>ER257*(1+(ES$260/4))</f>
        <v>276.80512380458987</v>
      </c>
      <c r="ET257" s="432">
        <f>ES257*(1+(ET$260/4))</f>
        <v>273.69106616178823</v>
      </c>
      <c r="EU257" s="2000">
        <f>AVERAGE(EQ257:ET257)</f>
        <v>278.39768516737581</v>
      </c>
      <c r="EV257" s="435"/>
      <c r="EW257" s="435"/>
      <c r="EX257" s="435"/>
      <c r="EY257" s="435"/>
      <c r="EZ257" s="880">
        <f>EU257*(1+(EZ$260))</f>
        <v>271.4377430381914</v>
      </c>
      <c r="FA257" s="435"/>
      <c r="FB257" s="435"/>
      <c r="FC257" s="435"/>
      <c r="FD257" s="435"/>
      <c r="FE257" s="880">
        <f>EZ257*(1+(FE$260))</f>
        <v>264.65179946223662</v>
      </c>
      <c r="FF257" s="803"/>
      <c r="FG257" s="660"/>
      <c r="FH257" s="1046"/>
      <c r="FI257" s="1046"/>
      <c r="FJ257" s="1046"/>
      <c r="FK257" s="1046"/>
      <c r="FL257" s="1839"/>
      <c r="FM257" s="433">
        <f>EQ257</f>
        <v>283.13993750000003</v>
      </c>
      <c r="FN257" s="433">
        <f>EL257</f>
        <v>290.3</v>
      </c>
      <c r="FO257" s="432">
        <v>283.13993750000003</v>
      </c>
      <c r="FP257" s="1881">
        <f>IFERROR(($FM257/FN257)-1,"")</f>
        <v>-2.4664355838787344E-2</v>
      </c>
      <c r="FQ257" s="1881">
        <f>IFERROR(($FM257/FO257)-1,"")</f>
        <v>0</v>
      </c>
      <c r="FR257" s="593"/>
      <c r="FS257" s="593"/>
      <c r="FT257" s="593"/>
      <c r="FU257" s="593"/>
      <c r="FV257" s="593"/>
      <c r="FW257" s="593"/>
      <c r="FX257" s="593"/>
      <c r="FY257" s="593"/>
      <c r="FZ257" s="593"/>
      <c r="GA257" s="660"/>
      <c r="GB257"/>
      <c r="GC257"/>
      <c r="GD257"/>
      <c r="GE257"/>
      <c r="GF257"/>
      <c r="GG257"/>
      <c r="GH257" s="986"/>
      <c r="GI257" s="986"/>
      <c r="GJ257" s="986"/>
      <c r="GK257" s="986"/>
      <c r="GL257" s="986"/>
      <c r="GM257" s="986"/>
      <c r="GN257" s="986"/>
      <c r="GO257" s="986"/>
      <c r="GP257" s="986"/>
      <c r="GQ257" s="986"/>
      <c r="GR257" s="986"/>
      <c r="GS257" s="986"/>
      <c r="GT257" s="986"/>
      <c r="GU257" s="986"/>
      <c r="GV257" s="986"/>
      <c r="GW257" s="986"/>
      <c r="GX257" s="986"/>
      <c r="GY257" s="986"/>
      <c r="GZ257" s="986"/>
      <c r="HA257" s="986"/>
      <c r="HB257" s="986"/>
      <c r="HC257" s="986"/>
      <c r="HD257" s="986"/>
      <c r="HE257" s="986"/>
      <c r="HF257" s="986"/>
      <c r="HG257" s="986"/>
      <c r="HH257" s="986"/>
      <c r="HI257" s="986"/>
      <c r="HJ257" s="986"/>
      <c r="HK257" s="986"/>
      <c r="HL257" s="986"/>
      <c r="HM257" s="986"/>
      <c r="HN257" s="986"/>
      <c r="HO257" s="986"/>
      <c r="HP257" s="986"/>
      <c r="HQ257" s="986"/>
      <c r="HR257" s="986"/>
      <c r="HS257" s="986"/>
      <c r="HT257" s="986"/>
      <c r="HU257" s="986"/>
      <c r="HV257" s="986"/>
      <c r="HW257" s="986"/>
      <c r="HX257" s="986"/>
      <c r="HY257" s="986"/>
      <c r="HZ257" s="986"/>
      <c r="IA257" s="986"/>
      <c r="IB257" s="986"/>
      <c r="IC257" s="986"/>
      <c r="ID257" s="986"/>
      <c r="IE257" s="986"/>
      <c r="IF257" s="986"/>
      <c r="IG257" s="986"/>
      <c r="IH257" s="986"/>
      <c r="II257" s="986"/>
      <c r="IJ257" s="986"/>
      <c r="IK257" s="986"/>
      <c r="IL257" s="986"/>
      <c r="IM257" s="986"/>
      <c r="IN257" s="986"/>
      <c r="IO257" s="986"/>
      <c r="IP257" s="986"/>
      <c r="IQ257" s="986"/>
      <c r="IR257" s="986"/>
      <c r="IS257" s="986"/>
      <c r="IT257" s="986"/>
      <c r="IU257" s="986"/>
      <c r="IV257" s="986"/>
    </row>
    <row r="258" spans="1:256" s="436" customFormat="1" ht="12.75" x14ac:dyDescent="0.2">
      <c r="A258" s="431" t="s">
        <v>587</v>
      </c>
      <c r="B258" s="432"/>
      <c r="C258" s="433"/>
      <c r="D258" s="433"/>
      <c r="E258" s="434"/>
      <c r="F258" s="429">
        <f>F259-F257</f>
        <v>0</v>
      </c>
      <c r="G258" s="432">
        <f t="shared" ref="G258:BR258" si="961">G259-G257</f>
        <v>0</v>
      </c>
      <c r="H258" s="433">
        <f t="shared" si="961"/>
        <v>0</v>
      </c>
      <c r="I258" s="433">
        <f t="shared" si="961"/>
        <v>0</v>
      </c>
      <c r="J258" s="434">
        <f t="shared" si="961"/>
        <v>0</v>
      </c>
      <c r="K258" s="429">
        <f t="shared" si="961"/>
        <v>0</v>
      </c>
      <c r="L258" s="432">
        <f t="shared" si="961"/>
        <v>0</v>
      </c>
      <c r="M258" s="433">
        <f t="shared" si="961"/>
        <v>0</v>
      </c>
      <c r="N258" s="433">
        <f t="shared" si="961"/>
        <v>0</v>
      </c>
      <c r="O258" s="434">
        <f t="shared" si="961"/>
        <v>0</v>
      </c>
      <c r="P258" s="429">
        <f t="shared" si="961"/>
        <v>0</v>
      </c>
      <c r="Q258" s="432">
        <f t="shared" si="961"/>
        <v>0</v>
      </c>
      <c r="R258" s="433">
        <f t="shared" si="961"/>
        <v>0</v>
      </c>
      <c r="S258" s="433">
        <f t="shared" si="961"/>
        <v>0</v>
      </c>
      <c r="T258" s="434">
        <f t="shared" si="961"/>
        <v>0</v>
      </c>
      <c r="U258" s="429">
        <f t="shared" si="961"/>
        <v>0</v>
      </c>
      <c r="V258" s="432">
        <f t="shared" si="961"/>
        <v>0</v>
      </c>
      <c r="W258" s="433">
        <f t="shared" si="961"/>
        <v>0</v>
      </c>
      <c r="X258" s="433">
        <f t="shared" si="961"/>
        <v>0</v>
      </c>
      <c r="Y258" s="434">
        <f t="shared" si="961"/>
        <v>0</v>
      </c>
      <c r="Z258" s="429">
        <f t="shared" si="961"/>
        <v>0</v>
      </c>
      <c r="AA258" s="432">
        <f t="shared" si="961"/>
        <v>0</v>
      </c>
      <c r="AB258" s="433">
        <f t="shared" si="961"/>
        <v>0</v>
      </c>
      <c r="AC258" s="433">
        <f t="shared" si="961"/>
        <v>0</v>
      </c>
      <c r="AD258" s="434">
        <f t="shared" si="961"/>
        <v>0</v>
      </c>
      <c r="AE258" s="429">
        <f t="shared" si="961"/>
        <v>0</v>
      </c>
      <c r="AF258" s="432">
        <f t="shared" si="961"/>
        <v>0</v>
      </c>
      <c r="AG258" s="433">
        <f t="shared" si="961"/>
        <v>0</v>
      </c>
      <c r="AH258" s="433">
        <f t="shared" si="961"/>
        <v>0</v>
      </c>
      <c r="AI258" s="434">
        <f t="shared" si="961"/>
        <v>0</v>
      </c>
      <c r="AJ258" s="429">
        <f t="shared" si="961"/>
        <v>0</v>
      </c>
      <c r="AK258" s="432">
        <f t="shared" si="961"/>
        <v>0</v>
      </c>
      <c r="AL258" s="433">
        <f t="shared" si="961"/>
        <v>0</v>
      </c>
      <c r="AM258" s="433">
        <f t="shared" si="961"/>
        <v>0</v>
      </c>
      <c r="AN258" s="434">
        <f t="shared" si="961"/>
        <v>0</v>
      </c>
      <c r="AO258" s="429">
        <f t="shared" si="961"/>
        <v>0</v>
      </c>
      <c r="AP258" s="432">
        <f t="shared" si="961"/>
        <v>0</v>
      </c>
      <c r="AQ258" s="433">
        <f t="shared" si="961"/>
        <v>0</v>
      </c>
      <c r="AR258" s="433">
        <f t="shared" si="961"/>
        <v>0</v>
      </c>
      <c r="AS258" s="434">
        <f t="shared" si="961"/>
        <v>0</v>
      </c>
      <c r="AT258" s="429">
        <f t="shared" si="961"/>
        <v>0</v>
      </c>
      <c r="AU258" s="432">
        <f t="shared" si="961"/>
        <v>0</v>
      </c>
      <c r="AV258" s="433">
        <f t="shared" si="961"/>
        <v>0</v>
      </c>
      <c r="AW258" s="433">
        <f t="shared" si="961"/>
        <v>0</v>
      </c>
      <c r="AX258" s="434">
        <f t="shared" si="961"/>
        <v>0</v>
      </c>
      <c r="AY258" s="429">
        <f t="shared" si="961"/>
        <v>0</v>
      </c>
      <c r="AZ258" s="432">
        <f t="shared" si="961"/>
        <v>0</v>
      </c>
      <c r="BA258" s="433">
        <f t="shared" si="961"/>
        <v>0</v>
      </c>
      <c r="BB258" s="433">
        <f t="shared" si="961"/>
        <v>0</v>
      </c>
      <c r="BC258" s="434">
        <f t="shared" si="961"/>
        <v>0</v>
      </c>
      <c r="BD258" s="429">
        <f t="shared" si="961"/>
        <v>0</v>
      </c>
      <c r="BE258" s="432">
        <f t="shared" si="961"/>
        <v>0</v>
      </c>
      <c r="BF258" s="433">
        <f t="shared" si="961"/>
        <v>0</v>
      </c>
      <c r="BG258" s="433">
        <f t="shared" si="961"/>
        <v>0</v>
      </c>
      <c r="BH258" s="434">
        <f t="shared" si="961"/>
        <v>0</v>
      </c>
      <c r="BI258" s="429">
        <f t="shared" si="961"/>
        <v>0</v>
      </c>
      <c r="BJ258" s="432">
        <f t="shared" si="961"/>
        <v>0</v>
      </c>
      <c r="BK258" s="433">
        <f t="shared" si="961"/>
        <v>0</v>
      </c>
      <c r="BL258" s="433">
        <f t="shared" si="961"/>
        <v>0</v>
      </c>
      <c r="BM258" s="434">
        <f t="shared" si="961"/>
        <v>0</v>
      </c>
      <c r="BN258" s="429">
        <f t="shared" si="961"/>
        <v>-6.3299923722979656E-2</v>
      </c>
      <c r="BO258" s="432">
        <f t="shared" si="961"/>
        <v>0</v>
      </c>
      <c r="BP258" s="433">
        <f t="shared" si="961"/>
        <v>0</v>
      </c>
      <c r="BQ258" s="433">
        <f t="shared" si="961"/>
        <v>0</v>
      </c>
      <c r="BR258" s="434">
        <f t="shared" si="961"/>
        <v>0</v>
      </c>
      <c r="BS258" s="429">
        <f t="shared" ref="BS258:DU258" si="962">BS259-BS257</f>
        <v>-9.3941512556511952E-2</v>
      </c>
      <c r="BT258" s="432">
        <f t="shared" si="962"/>
        <v>0</v>
      </c>
      <c r="BU258" s="433">
        <f t="shared" si="962"/>
        <v>0</v>
      </c>
      <c r="BV258" s="433">
        <f t="shared" si="962"/>
        <v>0</v>
      </c>
      <c r="BW258" s="434">
        <f t="shared" si="962"/>
        <v>0</v>
      </c>
      <c r="BX258" s="429">
        <f t="shared" si="962"/>
        <v>0</v>
      </c>
      <c r="BY258" s="432">
        <f t="shared" si="962"/>
        <v>2.7690000000000055</v>
      </c>
      <c r="BZ258" s="433">
        <f t="shared" si="962"/>
        <v>3.9989999999999668</v>
      </c>
      <c r="CA258" s="433">
        <f t="shared" si="962"/>
        <v>5.6510000000000105</v>
      </c>
      <c r="CB258" s="434">
        <f t="shared" si="962"/>
        <v>8.0869999999999891</v>
      </c>
      <c r="CC258" s="429">
        <f t="shared" si="962"/>
        <v>5.1264999999999645</v>
      </c>
      <c r="CD258" s="432">
        <f t="shared" si="962"/>
        <v>8.3360000000000127</v>
      </c>
      <c r="CE258" s="433">
        <f t="shared" si="962"/>
        <v>6.6009999999999991</v>
      </c>
      <c r="CF258" s="433">
        <f t="shared" si="962"/>
        <v>8.0739999999999554</v>
      </c>
      <c r="CG258" s="434">
        <f t="shared" si="962"/>
        <v>9.47199999999998</v>
      </c>
      <c r="CH258" s="429">
        <f t="shared" si="962"/>
        <v>8.1207499999999868</v>
      </c>
      <c r="CI258" s="432">
        <f t="shared" si="962"/>
        <v>9.3290000000000077</v>
      </c>
      <c r="CJ258" s="433">
        <f t="shared" si="962"/>
        <v>9.2729999999999677</v>
      </c>
      <c r="CK258" s="433">
        <f t="shared" si="962"/>
        <v>7.8740000000000236</v>
      </c>
      <c r="CL258" s="434">
        <f t="shared" si="962"/>
        <v>8.367999999999995</v>
      </c>
      <c r="CM258" s="429">
        <f t="shared" si="962"/>
        <v>8.7109999999999559</v>
      </c>
      <c r="CN258" s="432">
        <f t="shared" si="962"/>
        <v>8.1000000000000227</v>
      </c>
      <c r="CO258" s="433">
        <f t="shared" si="962"/>
        <v>8</v>
      </c>
      <c r="CP258" s="433">
        <f t="shared" si="962"/>
        <v>8.3999999999999773</v>
      </c>
      <c r="CQ258" s="434">
        <f t="shared" si="962"/>
        <v>8.2999999999999545</v>
      </c>
      <c r="CR258" s="429">
        <f t="shared" si="962"/>
        <v>8.2000000000000455</v>
      </c>
      <c r="CS258" s="432">
        <f t="shared" si="962"/>
        <v>8.1999999999999886</v>
      </c>
      <c r="CT258" s="433">
        <f t="shared" si="962"/>
        <v>8.1000000000000227</v>
      </c>
      <c r="CU258" s="433">
        <f t="shared" si="962"/>
        <v>8</v>
      </c>
      <c r="CV258" s="434">
        <f t="shared" si="962"/>
        <v>6.5999999999999659</v>
      </c>
      <c r="CW258" s="429">
        <f t="shared" si="962"/>
        <v>7.7250000000000796</v>
      </c>
      <c r="CX258" s="432">
        <f t="shared" si="962"/>
        <v>4.9000000000000341</v>
      </c>
      <c r="CY258" s="433">
        <f t="shared" si="962"/>
        <v>4.5999999999999659</v>
      </c>
      <c r="CZ258" s="433">
        <f t="shared" si="962"/>
        <v>5.1999999999999886</v>
      </c>
      <c r="DA258" s="433">
        <f t="shared" si="962"/>
        <v>5.4000000000000341</v>
      </c>
      <c r="DB258" s="429">
        <f t="shared" si="962"/>
        <v>5.0250000000000341</v>
      </c>
      <c r="DC258" s="432">
        <f t="shared" si="962"/>
        <v>5.3999999999999773</v>
      </c>
      <c r="DD258" s="433">
        <f t="shared" si="962"/>
        <v>5.4000000000000341</v>
      </c>
      <c r="DE258" s="433">
        <f t="shared" si="962"/>
        <v>5.3000000000000114</v>
      </c>
      <c r="DF258" s="433">
        <f t="shared" si="962"/>
        <v>5</v>
      </c>
      <c r="DG258" s="429">
        <f>DG259-DG257</f>
        <v>5.2749999999999773</v>
      </c>
      <c r="DH258" s="433">
        <f t="shared" si="962"/>
        <v>5.3000000000000114</v>
      </c>
      <c r="DI258" s="433">
        <f t="shared" si="962"/>
        <v>6.3000000000000114</v>
      </c>
      <c r="DJ258" s="433">
        <f t="shared" si="962"/>
        <v>5.8000000000000114</v>
      </c>
      <c r="DK258" s="433">
        <f t="shared" si="962"/>
        <v>5.8000000000000114</v>
      </c>
      <c r="DL258" s="429">
        <f>DL259-DL257</f>
        <v>5.8000000000000114</v>
      </c>
      <c r="DM258" s="433">
        <f t="shared" si="962"/>
        <v>4.5999999999999659</v>
      </c>
      <c r="DN258" s="433">
        <f t="shared" si="962"/>
        <v>4.8000000000000114</v>
      </c>
      <c r="DO258" s="433">
        <f t="shared" si="962"/>
        <v>4.1000000000000227</v>
      </c>
      <c r="DP258" s="433">
        <f t="shared" si="962"/>
        <v>3.8000000000000114</v>
      </c>
      <c r="DQ258" s="429">
        <f>DQ259-DQ257</f>
        <v>4.3250000000000455</v>
      </c>
      <c r="DR258" s="433">
        <f t="shared" si="962"/>
        <v>3.6000000000000227</v>
      </c>
      <c r="DS258" s="433">
        <f t="shared" si="962"/>
        <v>3.6999999999999886</v>
      </c>
      <c r="DT258" s="433">
        <f t="shared" si="962"/>
        <v>3.5</v>
      </c>
      <c r="DU258" s="433">
        <f t="shared" si="962"/>
        <v>3.6000000000000227</v>
      </c>
      <c r="DV258" s="429">
        <f t="shared" ref="DV258:EA258" si="963">DV259-DV257</f>
        <v>3.6000000000000227</v>
      </c>
      <c r="DW258" s="433">
        <f t="shared" si="963"/>
        <v>3.5</v>
      </c>
      <c r="DX258" s="433">
        <f t="shared" si="963"/>
        <v>3.4000000000000341</v>
      </c>
      <c r="DY258" s="433">
        <f t="shared" si="963"/>
        <v>3.2000000000000455</v>
      </c>
      <c r="DZ258" s="433">
        <f t="shared" si="963"/>
        <v>3</v>
      </c>
      <c r="EA258" s="429">
        <f t="shared" si="963"/>
        <v>3.2750000000000341</v>
      </c>
      <c r="EB258" s="433">
        <f t="shared" ref="EB258:EG258" si="964">EB259-EB257</f>
        <v>2.8000000000000114</v>
      </c>
      <c r="EC258" s="433">
        <f t="shared" si="964"/>
        <v>2.9000000000000341</v>
      </c>
      <c r="ED258" s="433">
        <f t="shared" si="964"/>
        <v>2.3999999999999773</v>
      </c>
      <c r="EE258" s="433">
        <f t="shared" si="964"/>
        <v>2.5</v>
      </c>
      <c r="EF258" s="429">
        <f t="shared" si="964"/>
        <v>2.6500000000000341</v>
      </c>
      <c r="EG258" s="433">
        <f t="shared" si="964"/>
        <v>1.6999999999999886</v>
      </c>
      <c r="EH258" s="433">
        <f t="shared" ref="EH258:EM258" si="965">EH259-EH257</f>
        <v>1.9000000000000341</v>
      </c>
      <c r="EI258" s="433">
        <f t="shared" si="965"/>
        <v>3.3000000000000114</v>
      </c>
      <c r="EJ258" s="433">
        <f t="shared" si="965"/>
        <v>2.5</v>
      </c>
      <c r="EK258" s="429">
        <f t="shared" si="965"/>
        <v>2.3500000000000227</v>
      </c>
      <c r="EL258" s="433">
        <f t="shared" si="965"/>
        <v>2.5</v>
      </c>
      <c r="EM258" s="433">
        <f t="shared" si="965"/>
        <v>2.1999999999999886</v>
      </c>
      <c r="EN258" s="433">
        <f t="shared" ref="EN258:EQ258" si="966">EN259-EN257</f>
        <v>2.3999999999999773</v>
      </c>
      <c r="EO258" s="433">
        <f t="shared" si="966"/>
        <v>2.6999999999999886</v>
      </c>
      <c r="EP258" s="429">
        <f t="shared" si="966"/>
        <v>2.4499999999999886</v>
      </c>
      <c r="EQ258" s="433">
        <f t="shared" si="966"/>
        <v>2.7600624999999468</v>
      </c>
      <c r="ER258" s="437">
        <f>EQ258</f>
        <v>2.7600624999999468</v>
      </c>
      <c r="ES258" s="437">
        <f>ER258</f>
        <v>2.7600624999999468</v>
      </c>
      <c r="ET258" s="437">
        <f>ES258</f>
        <v>2.7600624999999468</v>
      </c>
      <c r="EU258" s="2000">
        <f>EU259-EU257</f>
        <v>2.76006249999989</v>
      </c>
      <c r="EV258" s="438"/>
      <c r="EW258" s="438"/>
      <c r="EX258" s="438"/>
      <c r="EY258" s="438"/>
      <c r="EZ258" s="881">
        <f>EU258</f>
        <v>2.76006249999989</v>
      </c>
      <c r="FA258" s="438"/>
      <c r="FB258" s="438"/>
      <c r="FC258" s="438"/>
      <c r="FD258" s="438"/>
      <c r="FE258" s="881">
        <f>EZ258</f>
        <v>2.76006249999989</v>
      </c>
      <c r="FF258" s="803"/>
      <c r="FG258" s="660"/>
      <c r="FH258" s="1046"/>
      <c r="FI258" s="1046"/>
      <c r="FJ258" s="1046"/>
      <c r="FK258" s="1046"/>
      <c r="FL258" s="1839"/>
      <c r="FM258" s="433">
        <f>EQ258</f>
        <v>2.7600624999999468</v>
      </c>
      <c r="FN258" s="433">
        <f>EL258</f>
        <v>2.5</v>
      </c>
      <c r="FO258" s="437">
        <v>2.6999999999999886</v>
      </c>
      <c r="FP258" s="433"/>
      <c r="FQ258" s="433"/>
      <c r="FR258" s="593"/>
      <c r="FS258" s="593"/>
      <c r="FT258" s="593"/>
      <c r="FU258" s="593"/>
      <c r="FV258" s="593"/>
      <c r="FW258" s="593"/>
      <c r="FX258" s="593"/>
      <c r="FY258" s="593"/>
      <c r="FZ258" s="593"/>
      <c r="GA258" s="660"/>
      <c r="GB258"/>
      <c r="GC258"/>
      <c r="GD258"/>
      <c r="GE258"/>
      <c r="GF258"/>
      <c r="GG258"/>
      <c r="GH258" s="986"/>
      <c r="GI258" s="986"/>
      <c r="GJ258" s="986"/>
      <c r="GK258" s="986"/>
      <c r="GL258" s="986"/>
      <c r="GM258" s="986"/>
      <c r="GN258" s="986"/>
      <c r="GO258" s="986"/>
      <c r="GP258" s="986"/>
      <c r="GQ258" s="986"/>
      <c r="GR258" s="986"/>
      <c r="GS258" s="986"/>
      <c r="GT258" s="986"/>
      <c r="GU258" s="986"/>
      <c r="GV258" s="986"/>
      <c r="GW258" s="986"/>
      <c r="GX258" s="986"/>
      <c r="GY258" s="986"/>
      <c r="GZ258" s="986"/>
      <c r="HA258" s="986"/>
      <c r="HB258" s="986"/>
      <c r="HC258" s="986"/>
      <c r="HD258" s="986"/>
      <c r="HE258" s="986"/>
      <c r="HF258" s="986"/>
      <c r="HG258" s="986"/>
      <c r="HH258" s="986"/>
      <c r="HI258" s="986"/>
      <c r="HJ258" s="986"/>
      <c r="HK258" s="986"/>
      <c r="HL258" s="986"/>
      <c r="HM258" s="986"/>
      <c r="HN258" s="986"/>
      <c r="HO258" s="986"/>
      <c r="HP258" s="986"/>
      <c r="HQ258" s="986"/>
      <c r="HR258" s="986"/>
      <c r="HS258" s="986"/>
      <c r="HT258" s="986"/>
      <c r="HU258" s="986"/>
      <c r="HV258" s="986"/>
      <c r="HW258" s="986"/>
      <c r="HX258" s="986"/>
      <c r="HY258" s="986"/>
      <c r="HZ258" s="986"/>
      <c r="IA258" s="986"/>
      <c r="IB258" s="986"/>
      <c r="IC258" s="986"/>
      <c r="ID258" s="986"/>
      <c r="IE258" s="986"/>
      <c r="IF258" s="986"/>
      <c r="IG258" s="986"/>
      <c r="IH258" s="986"/>
      <c r="II258" s="986"/>
      <c r="IJ258" s="986"/>
      <c r="IK258" s="986"/>
      <c r="IL258" s="986"/>
      <c r="IM258" s="986"/>
      <c r="IN258" s="986"/>
      <c r="IO258" s="986"/>
      <c r="IP258" s="986"/>
      <c r="IQ258" s="986"/>
      <c r="IR258" s="986"/>
      <c r="IS258" s="986"/>
      <c r="IT258" s="986"/>
      <c r="IU258" s="986"/>
      <c r="IV258" s="986"/>
    </row>
    <row r="259" spans="1:256" s="430" customFormat="1" ht="12" customHeight="1" x14ac:dyDescent="0.2">
      <c r="A259" s="439" t="s">
        <v>588</v>
      </c>
      <c r="B259" s="483"/>
      <c r="C259" s="484"/>
      <c r="D259" s="484"/>
      <c r="E259" s="485"/>
      <c r="F259" s="486">
        <f>F257</f>
        <v>522.72435888675398</v>
      </c>
      <c r="G259" s="483">
        <f t="shared" ref="G259:BC259" si="967">G257</f>
        <v>502.61400000000003</v>
      </c>
      <c r="H259" s="484">
        <f t="shared" si="967"/>
        <v>492.24599999999998</v>
      </c>
      <c r="I259" s="484">
        <f t="shared" si="967"/>
        <v>480.9</v>
      </c>
      <c r="J259" s="485">
        <f t="shared" si="967"/>
        <v>469.38</v>
      </c>
      <c r="K259" s="486">
        <f t="shared" si="967"/>
        <v>486.23258254125301</v>
      </c>
      <c r="L259" s="483">
        <f t="shared" si="967"/>
        <v>459.54899999999998</v>
      </c>
      <c r="M259" s="484">
        <f t="shared" si="967"/>
        <v>447.75600000000003</v>
      </c>
      <c r="N259" s="484">
        <f t="shared" si="967"/>
        <v>436.779</v>
      </c>
      <c r="O259" s="485">
        <f t="shared" si="967"/>
        <v>429.02100000000002</v>
      </c>
      <c r="P259" s="486">
        <f t="shared" si="967"/>
        <v>441.5268402795304</v>
      </c>
      <c r="Q259" s="483">
        <f t="shared" si="967"/>
        <v>431.4</v>
      </c>
      <c r="R259" s="484">
        <f t="shared" si="967"/>
        <v>425.07900000000006</v>
      </c>
      <c r="S259" s="484">
        <f t="shared" si="967"/>
        <v>423.108</v>
      </c>
      <c r="T259" s="485">
        <f t="shared" si="967"/>
        <v>421.464</v>
      </c>
      <c r="U259" s="486">
        <f t="shared" si="967"/>
        <v>425.15611606108126</v>
      </c>
      <c r="V259" s="483">
        <f t="shared" si="967"/>
        <v>420.45</v>
      </c>
      <c r="W259" s="484">
        <f t="shared" si="967"/>
        <v>418.97699999999998</v>
      </c>
      <c r="X259" s="484">
        <f t="shared" si="967"/>
        <v>417.50700000000006</v>
      </c>
      <c r="Y259" s="485">
        <f t="shared" si="967"/>
        <v>416.04</v>
      </c>
      <c r="Z259" s="486">
        <f t="shared" si="967"/>
        <v>418.17548026222943</v>
      </c>
      <c r="AA259" s="483">
        <f t="shared" si="967"/>
        <v>414.47699999999998</v>
      </c>
      <c r="AB259" s="484">
        <f t="shared" si="967"/>
        <v>411.495</v>
      </c>
      <c r="AC259" s="484">
        <f t="shared" si="967"/>
        <v>407.976</v>
      </c>
      <c r="AD259" s="485">
        <f t="shared" si="967"/>
        <v>401.66399999999999</v>
      </c>
      <c r="AE259" s="486">
        <f t="shared" si="967"/>
        <v>408.60737238106356</v>
      </c>
      <c r="AF259" s="483">
        <f t="shared" si="967"/>
        <v>397.48199999999997</v>
      </c>
      <c r="AG259" s="484">
        <f t="shared" si="967"/>
        <v>394.57499999999999</v>
      </c>
      <c r="AH259" s="484">
        <f t="shared" si="967"/>
        <v>391.73400000000004</v>
      </c>
      <c r="AI259" s="485">
        <f t="shared" si="967"/>
        <v>388.15800000000002</v>
      </c>
      <c r="AJ259" s="486">
        <f t="shared" si="967"/>
        <v>392.8806654547468</v>
      </c>
      <c r="AK259" s="483">
        <f t="shared" si="967"/>
        <v>383.95</v>
      </c>
      <c r="AL259" s="484">
        <f t="shared" si="967"/>
        <v>379.44900000000001</v>
      </c>
      <c r="AM259" s="484">
        <f t="shared" si="967"/>
        <v>375.52600000000001</v>
      </c>
      <c r="AN259" s="485">
        <f t="shared" si="967"/>
        <v>375.29199999999997</v>
      </c>
      <c r="AO259" s="486">
        <f t="shared" si="967"/>
        <v>378.28760770269076</v>
      </c>
      <c r="AP259" s="483">
        <f t="shared" si="967"/>
        <v>376.29899999999998</v>
      </c>
      <c r="AQ259" s="484">
        <f t="shared" si="967"/>
        <v>376.63499999999999</v>
      </c>
      <c r="AR259" s="484">
        <f t="shared" si="967"/>
        <v>377.04</v>
      </c>
      <c r="AS259" s="485">
        <f t="shared" si="967"/>
        <v>377.11</v>
      </c>
      <c r="AT259" s="486">
        <f t="shared" si="967"/>
        <v>376.80152866129833</v>
      </c>
      <c r="AU259" s="483">
        <f t="shared" si="967"/>
        <v>381</v>
      </c>
      <c r="AV259" s="484">
        <f t="shared" si="967"/>
        <v>378.93799999999999</v>
      </c>
      <c r="AW259" s="484">
        <f t="shared" si="967"/>
        <v>378.96899999999999</v>
      </c>
      <c r="AX259" s="485">
        <f t="shared" si="967"/>
        <v>379.33499999999998</v>
      </c>
      <c r="AY259" s="486">
        <f t="shared" si="967"/>
        <v>379.53480448944271</v>
      </c>
      <c r="AZ259" s="483">
        <f t="shared" si="967"/>
        <v>379.69200000000001</v>
      </c>
      <c r="BA259" s="484">
        <f t="shared" si="967"/>
        <v>380.43200000000002</v>
      </c>
      <c r="BB259" s="484">
        <f t="shared" si="967"/>
        <v>380.529</v>
      </c>
      <c r="BC259" s="485">
        <f t="shared" si="967"/>
        <v>381.96899999999999</v>
      </c>
      <c r="BD259" s="486">
        <f>BD257</f>
        <v>380.22824413141205</v>
      </c>
      <c r="BE259" s="483">
        <f>BE257</f>
        <v>382.9</v>
      </c>
      <c r="BF259" s="484">
        <f>BF257</f>
        <v>383.221</v>
      </c>
      <c r="BG259" s="484">
        <f>BG257</f>
        <v>383.471</v>
      </c>
      <c r="BH259" s="485">
        <f>BH257</f>
        <v>383.8</v>
      </c>
      <c r="BI259" s="486">
        <f>AVERAGE(BE259:BH259)</f>
        <v>383.34800000000001</v>
      </c>
      <c r="BJ259" s="483">
        <f>BJ257</f>
        <v>384.49</v>
      </c>
      <c r="BK259" s="484">
        <f>BK257</f>
        <v>385.02199999999999</v>
      </c>
      <c r="BL259" s="484">
        <f>BL257</f>
        <v>385.40600000000001</v>
      </c>
      <c r="BM259" s="485">
        <f>BM257</f>
        <v>385.714</v>
      </c>
      <c r="BN259" s="486">
        <f>AVERAGE(BJ259:BM259)</f>
        <v>385.15799999999996</v>
      </c>
      <c r="BO259" s="483">
        <f>BO257</f>
        <v>387.16300000000001</v>
      </c>
      <c r="BP259" s="484">
        <f>BP257</f>
        <v>388.26100000000002</v>
      </c>
      <c r="BQ259" s="484">
        <f>BQ257</f>
        <v>388.55</v>
      </c>
      <c r="BR259" s="485">
        <f>BR257</f>
        <v>388.87599999999998</v>
      </c>
      <c r="BS259" s="486">
        <f>AVERAGE(BO259:BR259)</f>
        <v>388.21249999999998</v>
      </c>
      <c r="BT259" s="483">
        <f>BT257</f>
        <v>389.25</v>
      </c>
      <c r="BU259" s="484">
        <f>BU257</f>
        <v>389.63499999999999</v>
      </c>
      <c r="BV259" s="484">
        <f>BV257</f>
        <v>389.91</v>
      </c>
      <c r="BW259" s="485">
        <f>BW257</f>
        <v>390.35700000000003</v>
      </c>
      <c r="BX259" s="486">
        <f>AVERAGE(BT259:BW259)</f>
        <v>389.78800000000001</v>
      </c>
      <c r="BY259" s="483">
        <v>394</v>
      </c>
      <c r="BZ259" s="484">
        <v>396.4</v>
      </c>
      <c r="CA259" s="484">
        <v>400.1</v>
      </c>
      <c r="CB259" s="485">
        <v>406.81</v>
      </c>
      <c r="CC259" s="486">
        <f>AVERAGE(BY259:CB259)</f>
        <v>399.32749999999999</v>
      </c>
      <c r="CD259" s="483">
        <v>410.10700000000003</v>
      </c>
      <c r="CE259" s="484">
        <v>409.76799999999997</v>
      </c>
      <c r="CF259" s="484">
        <v>412.33499999999998</v>
      </c>
      <c r="CG259" s="485">
        <v>416.95299999999997</v>
      </c>
      <c r="CH259" s="486">
        <f>AVERAGE(CD259:CG259)</f>
        <v>412.29075</v>
      </c>
      <c r="CI259" s="483">
        <v>421.77300000000002</v>
      </c>
      <c r="CJ259" s="484">
        <v>422.78</v>
      </c>
      <c r="CK259" s="484">
        <v>409.92200000000003</v>
      </c>
      <c r="CL259" s="485">
        <v>404.32</v>
      </c>
      <c r="CM259" s="486">
        <f>AVERAGE(CI259:CL259)</f>
        <v>414.69874999999996</v>
      </c>
      <c r="CN259" s="483">
        <v>402.3</v>
      </c>
      <c r="CO259" s="484">
        <v>401.7</v>
      </c>
      <c r="CP259" s="484">
        <v>397.4</v>
      </c>
      <c r="CQ259" s="485">
        <v>389.9</v>
      </c>
      <c r="CR259" s="486">
        <f>AVERAGE(CN259:CQ259)</f>
        <v>397.82500000000005</v>
      </c>
      <c r="CS259" s="483">
        <v>383.9</v>
      </c>
      <c r="CT259" s="484">
        <v>383.5</v>
      </c>
      <c r="CU259" s="484">
        <v>380.5</v>
      </c>
      <c r="CV259" s="485">
        <v>372.4</v>
      </c>
      <c r="CW259" s="486">
        <f>AVERAGE(CS259:CV259)</f>
        <v>380.07500000000005</v>
      </c>
      <c r="CX259" s="483">
        <v>371.1</v>
      </c>
      <c r="CY259" s="484">
        <v>371.4</v>
      </c>
      <c r="CZ259" s="484">
        <v>372.5</v>
      </c>
      <c r="DA259" s="484">
        <v>373.3</v>
      </c>
      <c r="DB259" s="486">
        <f>AVERAGE(CX259:DA259)</f>
        <v>372.07499999999999</v>
      </c>
      <c r="DC259" s="483">
        <v>374.9</v>
      </c>
      <c r="DD259" s="484">
        <v>375.1</v>
      </c>
      <c r="DE259" s="484">
        <v>371.6</v>
      </c>
      <c r="DF259" s="484">
        <v>365.7</v>
      </c>
      <c r="DG259" s="486">
        <f>AVERAGE(DC259:DF259)</f>
        <v>371.82499999999999</v>
      </c>
      <c r="DH259" s="484">
        <v>360.5</v>
      </c>
      <c r="DI259" s="484">
        <v>357.3</v>
      </c>
      <c r="DJ259" s="484">
        <v>349</v>
      </c>
      <c r="DK259" s="484">
        <v>338.6</v>
      </c>
      <c r="DL259" s="486">
        <f>AVERAGE(DH259:DK259)</f>
        <v>351.35</v>
      </c>
      <c r="DM259" s="484">
        <v>332.9</v>
      </c>
      <c r="DN259" s="484">
        <v>327.5</v>
      </c>
      <c r="DO259" s="484">
        <v>321.8</v>
      </c>
      <c r="DP259" s="484">
        <v>318.60000000000002</v>
      </c>
      <c r="DQ259" s="486">
        <f>AVERAGE(DM259:DP259)</f>
        <v>325.20000000000005</v>
      </c>
      <c r="DR259" s="484">
        <v>318.10000000000002</v>
      </c>
      <c r="DS259" s="484">
        <v>317.8</v>
      </c>
      <c r="DT259" s="484">
        <v>313.89999999999998</v>
      </c>
      <c r="DU259" s="484">
        <v>312.3</v>
      </c>
      <c r="DV259" s="486">
        <f>AVERAGE(DR259:DU259)</f>
        <v>315.52500000000003</v>
      </c>
      <c r="DW259" s="484">
        <v>313</v>
      </c>
      <c r="DX259" s="484">
        <v>313.10000000000002</v>
      </c>
      <c r="DY259" s="484">
        <v>312.60000000000002</v>
      </c>
      <c r="DZ259" s="484">
        <v>312</v>
      </c>
      <c r="EA259" s="486">
        <f>AVERAGE(DW259:DZ259)</f>
        <v>312.67500000000001</v>
      </c>
      <c r="EB259" s="484">
        <v>309.60000000000002</v>
      </c>
      <c r="EC259" s="484">
        <v>305.8</v>
      </c>
      <c r="ED259" s="484">
        <v>302.5</v>
      </c>
      <c r="EE259" s="484">
        <v>300.39999999999998</v>
      </c>
      <c r="EF259" s="486">
        <f>AVERAGE(EB259:EE259)</f>
        <v>304.57500000000005</v>
      </c>
      <c r="EG259" s="484">
        <v>298.89999999999998</v>
      </c>
      <c r="EH259" s="484">
        <v>296.60000000000002</v>
      </c>
      <c r="EI259" s="2069">
        <v>296</v>
      </c>
      <c r="EJ259" s="484">
        <v>293.7</v>
      </c>
      <c r="EK259" s="486">
        <f>AVERAGE(EG259:EJ259)</f>
        <v>296.3</v>
      </c>
      <c r="EL259" s="484">
        <v>292.8</v>
      </c>
      <c r="EM259" s="484">
        <v>291.2</v>
      </c>
      <c r="EN259" s="2069">
        <v>289.5</v>
      </c>
      <c r="EO259" s="484">
        <v>287.8</v>
      </c>
      <c r="EP259" s="486">
        <f>AVERAGE(EL259:EO259)</f>
        <v>290.32499999999999</v>
      </c>
      <c r="EQ259" s="484">
        <v>285.89999999999998</v>
      </c>
      <c r="ER259" s="484">
        <f>ER257+ER258</f>
        <v>282.71467570312495</v>
      </c>
      <c r="ES259" s="484">
        <f>ES257+ES258</f>
        <v>279.56518630458982</v>
      </c>
      <c r="ET259" s="484">
        <f>ET257+ET258</f>
        <v>276.45112866178818</v>
      </c>
      <c r="EU259" s="2001">
        <f>AVERAGE(EQ259:ET259)</f>
        <v>281.1577476673757</v>
      </c>
      <c r="EV259" s="487"/>
      <c r="EW259" s="487"/>
      <c r="EX259" s="487"/>
      <c r="EY259" s="487"/>
      <c r="EZ259" s="882">
        <f>EZ257+EZ258</f>
        <v>274.19780553819129</v>
      </c>
      <c r="FA259" s="487"/>
      <c r="FB259" s="487"/>
      <c r="FC259" s="487"/>
      <c r="FD259" s="487"/>
      <c r="FE259" s="882">
        <f>FE257+FE258</f>
        <v>267.41186196223651</v>
      </c>
      <c r="FF259" s="804"/>
      <c r="FG259" s="660"/>
      <c r="FH259" s="1046"/>
      <c r="FI259" s="1046"/>
      <c r="FJ259" s="1046"/>
      <c r="FK259" s="1046"/>
      <c r="FL259" s="1839"/>
      <c r="FM259" s="484">
        <f>EQ259</f>
        <v>285.89999999999998</v>
      </c>
      <c r="FN259" s="484">
        <f>EL259</f>
        <v>292.8</v>
      </c>
      <c r="FO259" s="484">
        <v>285.83993750000002</v>
      </c>
      <c r="FP259" s="1882">
        <f>IFERROR(($FM259/FN259)-1,"")</f>
        <v>-2.3565573770491954E-2</v>
      </c>
      <c r="FQ259" s="1882">
        <f>IFERROR(($FM259/FO259)-1,"")</f>
        <v>2.1012634037531619E-4</v>
      </c>
      <c r="FR259" s="1624" t="s">
        <v>842</v>
      </c>
      <c r="FS259" s="594"/>
      <c r="FT259" s="594"/>
      <c r="FU259" s="594"/>
      <c r="FV259" s="594"/>
      <c r="FW259" s="594"/>
      <c r="FX259" s="594"/>
      <c r="FY259" s="594"/>
      <c r="FZ259" s="594"/>
      <c r="GA259" s="660"/>
      <c r="GB259"/>
      <c r="GC259"/>
      <c r="GD259"/>
      <c r="GE259"/>
      <c r="GF259"/>
      <c r="GG259"/>
      <c r="GH259" s="987"/>
      <c r="GI259" s="987"/>
      <c r="GJ259" s="987"/>
      <c r="GK259" s="987"/>
      <c r="GL259" s="987"/>
      <c r="GM259" s="987"/>
      <c r="GN259" s="987"/>
      <c r="GO259" s="987"/>
      <c r="GP259" s="987"/>
      <c r="GQ259" s="987"/>
      <c r="GR259" s="987"/>
      <c r="GS259" s="987"/>
      <c r="GT259" s="987"/>
      <c r="GU259" s="987"/>
      <c r="GV259" s="987"/>
      <c r="GW259" s="987"/>
      <c r="GX259" s="987"/>
      <c r="GY259" s="987"/>
      <c r="GZ259" s="987"/>
      <c r="HA259" s="987"/>
      <c r="HB259" s="987"/>
      <c r="HC259" s="987"/>
      <c r="HD259" s="987"/>
      <c r="HE259" s="987"/>
      <c r="HF259" s="987"/>
      <c r="HG259" s="987"/>
      <c r="HH259" s="987"/>
      <c r="HI259" s="987"/>
      <c r="HJ259" s="987"/>
      <c r="HK259" s="987"/>
      <c r="HL259" s="987"/>
      <c r="HM259" s="987"/>
      <c r="HN259" s="987"/>
      <c r="HO259" s="987"/>
      <c r="HP259" s="987"/>
      <c r="HQ259" s="987"/>
      <c r="HR259" s="987"/>
      <c r="HS259" s="987"/>
      <c r="HT259" s="987"/>
      <c r="HU259" s="987"/>
      <c r="HV259" s="987"/>
      <c r="HW259" s="987"/>
      <c r="HX259" s="987"/>
      <c r="HY259" s="987"/>
      <c r="HZ259" s="987"/>
      <c r="IA259" s="987"/>
      <c r="IB259" s="987"/>
      <c r="IC259" s="987"/>
      <c r="ID259" s="987"/>
      <c r="IE259" s="987"/>
      <c r="IF259" s="987"/>
      <c r="IG259" s="987"/>
      <c r="IH259" s="987"/>
      <c r="II259" s="987"/>
      <c r="IJ259" s="987"/>
      <c r="IK259" s="987"/>
      <c r="IL259" s="987"/>
      <c r="IM259" s="987"/>
      <c r="IN259" s="987"/>
      <c r="IO259" s="987"/>
      <c r="IP259" s="987"/>
      <c r="IQ259" s="987"/>
      <c r="IR259" s="987"/>
      <c r="IS259" s="987"/>
      <c r="IT259" s="987"/>
      <c r="IU259" s="987"/>
      <c r="IV259" s="987"/>
    </row>
    <row r="260" spans="1:256" s="144" customFormat="1" ht="12" customHeight="1" x14ac:dyDescent="0.2">
      <c r="A260" s="140" t="s">
        <v>2</v>
      </c>
      <c r="B260" s="142"/>
      <c r="C260" s="142"/>
      <c r="D260" s="142"/>
      <c r="E260" s="220"/>
      <c r="F260" s="141"/>
      <c r="G260" s="142"/>
      <c r="H260" s="142"/>
      <c r="I260" s="142"/>
      <c r="J260" s="220"/>
      <c r="K260" s="141"/>
      <c r="L260" s="142"/>
      <c r="M260" s="142"/>
      <c r="N260" s="142"/>
      <c r="O260" s="220"/>
      <c r="P260" s="141"/>
      <c r="Q260" s="142"/>
      <c r="R260" s="142"/>
      <c r="S260" s="142"/>
      <c r="T260" s="220"/>
      <c r="U260" s="141"/>
      <c r="V260" s="142"/>
      <c r="W260" s="142"/>
      <c r="X260" s="142"/>
      <c r="Y260" s="220"/>
      <c r="Z260" s="141"/>
      <c r="AA260" s="142"/>
      <c r="AB260" s="142"/>
      <c r="AC260" s="142"/>
      <c r="AD260" s="220"/>
      <c r="AE260" s="141"/>
      <c r="AF260" s="142"/>
      <c r="AG260" s="142"/>
      <c r="AH260" s="142"/>
      <c r="AI260" s="220"/>
      <c r="AJ260" s="141"/>
      <c r="AK260" s="142"/>
      <c r="AL260" s="142"/>
      <c r="AM260" s="142"/>
      <c r="AN260" s="220"/>
      <c r="AO260" s="141"/>
      <c r="AP260" s="142"/>
      <c r="AQ260" s="142"/>
      <c r="AR260" s="142"/>
      <c r="AS260" s="220"/>
      <c r="AT260" s="141"/>
      <c r="AU260" s="142"/>
      <c r="AV260" s="142"/>
      <c r="AW260" s="142"/>
      <c r="AX260" s="220"/>
      <c r="AY260" s="141"/>
      <c r="AZ260" s="142"/>
      <c r="BA260" s="142"/>
      <c r="BB260" s="142"/>
      <c r="BC260" s="220"/>
      <c r="BD260" s="141"/>
      <c r="BE260" s="142"/>
      <c r="BF260" s="142"/>
      <c r="BG260" s="142"/>
      <c r="BH260" s="220"/>
      <c r="BI260" s="141"/>
      <c r="BJ260" s="142"/>
      <c r="BK260" s="142"/>
      <c r="BL260" s="142"/>
      <c r="BM260" s="220"/>
      <c r="BN260" s="141"/>
      <c r="BO260" s="142"/>
      <c r="BP260" s="142"/>
      <c r="BQ260" s="142"/>
      <c r="BR260" s="220"/>
      <c r="BS260" s="141"/>
      <c r="BT260" s="266"/>
      <c r="BU260" s="266"/>
      <c r="BV260" s="266"/>
      <c r="BW260" s="266"/>
      <c r="BX260" s="267"/>
      <c r="BY260" s="266"/>
      <c r="BZ260" s="266">
        <f>(BZ257/BY257-1)*4</f>
        <v>1.1962242255854072E-2</v>
      </c>
      <c r="CA260" s="266">
        <f>(CA257/BZ257-1)*4</f>
        <v>2.0876603270633787E-2</v>
      </c>
      <c r="CB260" s="266">
        <f>(CB257/CA257-1)*4</f>
        <v>4.3341471267514642E-2</v>
      </c>
      <c r="CC260" s="141">
        <f>CC259/BX259-1</f>
        <v>2.4473559986454063E-2</v>
      </c>
      <c r="CD260" s="266">
        <f>(CD257/CB257-1)*4</f>
        <v>3.0577619048813176E-2</v>
      </c>
      <c r="CE260" s="266">
        <f>(CE257/CD257-1)*4</f>
        <v>1.389846454821253E-2</v>
      </c>
      <c r="CF260" s="266">
        <f>(CF257/CE257-1)*4</f>
        <v>1.0854062956542343E-2</v>
      </c>
      <c r="CG260" s="266">
        <f>(CG257/CF257-1)*4</f>
        <v>3.1860604906236212E-2</v>
      </c>
      <c r="CH260" s="141">
        <f>CH259/CC259-1</f>
        <v>3.2462702919282993E-2</v>
      </c>
      <c r="CI260" s="266">
        <f>(CI257/CG257-1)*4</f>
        <v>4.8718835970266383E-2</v>
      </c>
      <c r="CJ260" s="266">
        <f>(CJ257/CI257-1)*4</f>
        <v>1.0309278350515427E-2</v>
      </c>
      <c r="CK260" s="266">
        <f>(CK257/CJ257-1)*4</f>
        <v>-0.1108469747791454</v>
      </c>
      <c r="CL260" s="266">
        <f>(CL257/CK257-1)*4</f>
        <v>-6.0649474689589145E-2</v>
      </c>
      <c r="CM260" s="141">
        <f>CM259/CH259-1</f>
        <v>5.8405385034709933E-3</v>
      </c>
      <c r="CN260" s="266">
        <f>(CN257/CL257-1)*4</f>
        <v>-1.7699115044247815E-2</v>
      </c>
      <c r="CO260" s="266">
        <f>(CO257/CN257-1)*4</f>
        <v>-5.0735667174022225E-3</v>
      </c>
      <c r="CP260" s="266">
        <f>(CP257/CO257-1)*4</f>
        <v>-4.7752095504190795E-2</v>
      </c>
      <c r="CQ260" s="266">
        <f>(CQ257/CP257-1)*4</f>
        <v>-7.6092544987146127E-2</v>
      </c>
      <c r="CR260" s="141">
        <f>CR259/CM259-1</f>
        <v>-4.0689174973399189E-2</v>
      </c>
      <c r="CS260" s="266">
        <f>(CS257/CQ257-1)*4</f>
        <v>-6.1844863731656652E-2</v>
      </c>
      <c r="CT260" s="266">
        <f>(CT257/CS257-1)*4</f>
        <v>-3.1940377961139355E-3</v>
      </c>
      <c r="CU260" s="266">
        <f>(CU257/CT257-1)*4</f>
        <v>-3.090037293553527E-2</v>
      </c>
      <c r="CV260" s="266">
        <f>(CV257/CU257-1)*4</f>
        <v>-7.1946308724831987E-2</v>
      </c>
      <c r="CW260" s="141">
        <f>CW259/CR259-1</f>
        <v>-4.4617608244831297E-2</v>
      </c>
      <c r="CX260" s="266">
        <f>(CX257/CV257-1)*4</f>
        <v>4.3739748496447461E-3</v>
      </c>
      <c r="CY260" s="266">
        <f>(CY257/CX257-1)*4</f>
        <v>6.5537957400332303E-3</v>
      </c>
      <c r="CZ260" s="266">
        <f>(CZ257/CY257-1)*4</f>
        <v>5.4525627044714753E-3</v>
      </c>
      <c r="DA260" s="266">
        <f>(DA257/CZ257-1)*4</f>
        <v>6.5341682548325508E-3</v>
      </c>
      <c r="DB260" s="141">
        <f>DB259/CW259-1</f>
        <v>-2.1048477274222321E-2</v>
      </c>
      <c r="DC260" s="266">
        <f>(DC257/DA257-1)*4</f>
        <v>1.7396031530306999E-2</v>
      </c>
      <c r="DD260" s="266">
        <f>(DD257/DC257-1)*4</f>
        <v>2.1650879566976755E-3</v>
      </c>
      <c r="DE260" s="266">
        <f>(DE257/DD257-1)*4</f>
        <v>-3.6786583716526877E-2</v>
      </c>
      <c r="DF260" s="266">
        <f>(DF257/DE257-1)*4</f>
        <v>-6.115206115206151E-2</v>
      </c>
      <c r="DG260" s="141">
        <f>DG259/DB259-1</f>
        <v>-6.719075455217105E-4</v>
      </c>
      <c r="DH260" s="266">
        <f>(DH257/DF257-1)*4</f>
        <v>-6.0992514555032074E-2</v>
      </c>
      <c r="DI260" s="266">
        <f>(DI257/DH257-1)*4</f>
        <v>-4.7297297297297369E-2</v>
      </c>
      <c r="DJ260" s="266">
        <f>(DJ257/DI257-1)*4</f>
        <v>-8.8888888888889017E-2</v>
      </c>
      <c r="DK260" s="266">
        <f>(DK257/DJ257-1)*4</f>
        <v>-0.1212121212121211</v>
      </c>
      <c r="DL260" s="141">
        <f>DL259/DG259-1</f>
        <v>-5.5066227391918132E-2</v>
      </c>
      <c r="DM260" s="266">
        <f>(DM257/DK257-1)*4</f>
        <v>-5.4086538461538325E-2</v>
      </c>
      <c r="DN260" s="266">
        <f>(DN257/DM257-1)*4</f>
        <v>-6.8230277185501453E-2</v>
      </c>
      <c r="DO260" s="266">
        <f>(DO257/DN257-1)*4</f>
        <v>-6.197706848466078E-2</v>
      </c>
      <c r="DP260" s="266">
        <f>(DP257/DO257-1)*4</f>
        <v>-3.6512433112999343E-2</v>
      </c>
      <c r="DQ260" s="141">
        <f>DQ259/DL259-1</f>
        <v>-7.4427209335420463E-2</v>
      </c>
      <c r="DR260" s="266">
        <f>(DR257/DP257-1)*4</f>
        <v>-3.8119440914869962E-3</v>
      </c>
      <c r="DS260" s="266">
        <f>(DS257/DR257-1)*4</f>
        <v>-5.0874403815579505E-3</v>
      </c>
      <c r="DT260" s="1210">
        <f>(DT257/DS257-1)*4</f>
        <v>-4.7118751989812857E-2</v>
      </c>
      <c r="DU260" s="266">
        <f>(DU257/DT257-1)*4</f>
        <v>-2.1907216494845283E-2</v>
      </c>
      <c r="DV260" s="141">
        <f>DV259/DQ259-1</f>
        <v>-2.9750922509225175E-2</v>
      </c>
      <c r="DW260" s="266">
        <f>(DW257/DU257-1)*4</f>
        <v>1.0366051182377767E-2</v>
      </c>
      <c r="DX260" s="266">
        <f>(DX257/DW257-1)*4</f>
        <v>2.5848142164779375E-3</v>
      </c>
      <c r="DY260" s="1210">
        <f>(DY257/DX257-1)*4</f>
        <v>-3.8747174685180852E-3</v>
      </c>
      <c r="DZ260" s="266">
        <f>(DZ257/DY257-1)*4</f>
        <v>-5.1712992889458853E-3</v>
      </c>
      <c r="EA260" s="141">
        <f>EA259/DV259-1</f>
        <v>-9.032564772997409E-3</v>
      </c>
      <c r="EB260" s="266">
        <f>(EB257/DZ257-1)*4</f>
        <v>-2.847896440129416E-2</v>
      </c>
      <c r="EC260" s="266">
        <f>(EC257/EB257-1)*4</f>
        <v>-5.0847457627118953E-2</v>
      </c>
      <c r="ED260" s="1210">
        <f>(ED257/EC257-1)*4</f>
        <v>-3.6975899636843224E-2</v>
      </c>
      <c r="EE260" s="266">
        <f>(EE257/ED257-1)*4</f>
        <v>-2.9323558813729278E-2</v>
      </c>
      <c r="EF260" s="141">
        <f>EF259/EA259-1</f>
        <v>-2.5905492923962492E-2</v>
      </c>
      <c r="EG260" s="266">
        <f>(EG257/EE257-1)*4</f>
        <v>-9.3991272239004608E-3</v>
      </c>
      <c r="EH260" s="266">
        <f>(EH257/EG257-1)*4</f>
        <v>-3.3647375504710642E-2</v>
      </c>
      <c r="EI260" s="1210">
        <f>(EI257/EH257-1)*4</f>
        <v>-2.714625042416019E-2</v>
      </c>
      <c r="EJ260" s="266">
        <f>(EJ257/EI257-1)*4</f>
        <v>-2.0498804236419588E-2</v>
      </c>
      <c r="EK260" s="141">
        <f>EK259/EF259-1</f>
        <v>-2.7169005991956152E-2</v>
      </c>
      <c r="EL260" s="266">
        <f>(EL257/EJ257-1)*4</f>
        <v>-1.2362637362636875E-2</v>
      </c>
      <c r="EM260" s="266">
        <f>(EM257/EL257-1)*4</f>
        <v>-1.7912504305890753E-2</v>
      </c>
      <c r="EN260" s="1210">
        <f>(EN257/EM257-1)*4</f>
        <v>-2.6297577854670795E-2</v>
      </c>
      <c r="EO260" s="266">
        <f>(EO257/EN257-1)*4</f>
        <v>-2.7864855451062542E-2</v>
      </c>
      <c r="EP260" s="141">
        <f>EP259/EK259-1</f>
        <v>-2.0165372932838377E-2</v>
      </c>
      <c r="EQ260" s="266">
        <f>(EQ257/EO257-1)*4</f>
        <v>-2.7499999999999858E-2</v>
      </c>
      <c r="ER260" s="1421">
        <v>-4.4999999999999998E-2</v>
      </c>
      <c r="ES260" s="1421">
        <f>ER260</f>
        <v>-4.4999999999999998E-2</v>
      </c>
      <c r="ET260" s="1421">
        <f>ES260</f>
        <v>-4.4999999999999998E-2</v>
      </c>
      <c r="EU260" s="2002">
        <f>EU259/EP259-1</f>
        <v>-3.1575828236026116E-2</v>
      </c>
      <c r="EV260" s="143"/>
      <c r="EW260" s="143"/>
      <c r="EX260" s="143"/>
      <c r="EY260" s="143"/>
      <c r="EZ260" s="883">
        <v>-2.5000000000000001E-2</v>
      </c>
      <c r="FA260" s="143"/>
      <c r="FB260" s="143"/>
      <c r="FC260" s="143"/>
      <c r="FD260" s="143"/>
      <c r="FE260" s="883">
        <f>+EZ260</f>
        <v>-2.5000000000000001E-2</v>
      </c>
      <c r="FF260" s="805"/>
      <c r="FG260" s="660"/>
      <c r="FH260" s="1076"/>
      <c r="FI260" s="1076"/>
      <c r="FJ260" s="1076"/>
      <c r="FK260" s="1076"/>
      <c r="FL260" s="1840"/>
      <c r="FM260" s="266">
        <f>EQ260</f>
        <v>-2.7499999999999858E-2</v>
      </c>
      <c r="FN260" s="266">
        <f>EL260</f>
        <v>-1.2362637362636875E-2</v>
      </c>
      <c r="FO260" s="1421">
        <v>-2.75E-2</v>
      </c>
      <c r="FP260" s="1902">
        <f>IFERROR(($FM260-FN260)*10000,"")</f>
        <v>-151.37362637362983</v>
      </c>
      <c r="FQ260" s="1902">
        <f>IFERROR(($FM260-FO260)*10000,"")</f>
        <v>1.4224732503009818E-12</v>
      </c>
      <c r="FR260" s="595"/>
      <c r="FS260" s="595"/>
      <c r="FT260" s="595"/>
      <c r="FU260" s="595"/>
      <c r="FV260" s="595"/>
      <c r="FW260" s="595"/>
      <c r="FX260" s="595"/>
      <c r="FY260" s="595"/>
      <c r="FZ260" s="595"/>
      <c r="GA260" s="660"/>
      <c r="GB260"/>
      <c r="GC260"/>
      <c r="GD260"/>
      <c r="GE260"/>
      <c r="GF260"/>
      <c r="GG260"/>
      <c r="GH260" s="1000"/>
      <c r="GI260" s="1000"/>
      <c r="GJ260" s="1000"/>
      <c r="GK260" s="1000"/>
      <c r="GL260" s="1000"/>
      <c r="GM260" s="1000"/>
      <c r="GN260" s="1000"/>
      <c r="GO260" s="1000"/>
      <c r="GP260" s="1000"/>
      <c r="GQ260" s="1000"/>
      <c r="GR260" s="1000"/>
      <c r="GS260" s="1000"/>
      <c r="GT260" s="1000"/>
      <c r="GU260" s="1000"/>
      <c r="GV260" s="1000"/>
      <c r="GW260" s="1000"/>
      <c r="GX260" s="1000"/>
      <c r="GY260" s="1000"/>
      <c r="GZ260" s="1000"/>
      <c r="HA260" s="1000"/>
      <c r="HB260" s="1000"/>
      <c r="HC260" s="1000"/>
      <c r="HD260" s="1000"/>
      <c r="HE260" s="1000"/>
      <c r="HF260" s="1000"/>
      <c r="HG260" s="1000"/>
      <c r="HH260" s="1000"/>
      <c r="HI260" s="1000"/>
      <c r="HJ260" s="1000"/>
      <c r="HK260" s="1000"/>
      <c r="HL260" s="1000"/>
      <c r="HM260" s="1000"/>
      <c r="HN260" s="1000"/>
      <c r="HO260" s="1000"/>
      <c r="HP260" s="1000"/>
      <c r="HQ260" s="1000"/>
      <c r="HR260" s="1000"/>
      <c r="HS260" s="1000"/>
      <c r="HT260" s="1000"/>
      <c r="HU260" s="1000"/>
      <c r="HV260" s="1000"/>
      <c r="HW260" s="1000"/>
      <c r="HX260" s="1000"/>
      <c r="HY260" s="1000"/>
      <c r="HZ260" s="1000"/>
      <c r="IA260" s="1000"/>
      <c r="IB260" s="1000"/>
      <c r="IC260" s="1000"/>
      <c r="ID260" s="1000"/>
      <c r="IE260" s="1000"/>
      <c r="IF260" s="1000"/>
      <c r="IG260" s="1000"/>
      <c r="IH260" s="1000"/>
      <c r="II260" s="1000"/>
      <c r="IJ260" s="1000"/>
      <c r="IK260" s="1000"/>
      <c r="IL260" s="1000"/>
      <c r="IM260" s="1000"/>
      <c r="IN260" s="1000"/>
      <c r="IO260" s="1000"/>
      <c r="IP260" s="1000"/>
      <c r="IQ260" s="1000"/>
      <c r="IR260" s="1000"/>
      <c r="IS260" s="1000"/>
      <c r="IT260" s="1000"/>
      <c r="IU260" s="1000"/>
      <c r="IV260" s="1000"/>
    </row>
    <row r="261" spans="1:256" s="551" customFormat="1" ht="12.75" x14ac:dyDescent="0.2">
      <c r="A261" s="85" t="s">
        <v>486</v>
      </c>
      <c r="B261" s="547"/>
      <c r="C261" s="547"/>
      <c r="D261" s="547"/>
      <c r="E261" s="548"/>
      <c r="F261" s="549"/>
      <c r="G261" s="547"/>
      <c r="H261" s="547"/>
      <c r="I261" s="547"/>
      <c r="J261" s="548"/>
      <c r="K261" s="549"/>
      <c r="L261" s="547"/>
      <c r="M261" s="547"/>
      <c r="N261" s="547"/>
      <c r="O261" s="548"/>
      <c r="P261" s="549"/>
      <c r="Q261" s="547"/>
      <c r="R261" s="547"/>
      <c r="S261" s="547"/>
      <c r="T261" s="548"/>
      <c r="U261" s="549"/>
      <c r="V261" s="547"/>
      <c r="W261" s="547"/>
      <c r="X261" s="547"/>
      <c r="Y261" s="548"/>
      <c r="Z261" s="549"/>
      <c r="AA261" s="547"/>
      <c r="AB261" s="547"/>
      <c r="AC261" s="547"/>
      <c r="AD261" s="548"/>
      <c r="AE261" s="549"/>
      <c r="AF261" s="547"/>
      <c r="AG261" s="547"/>
      <c r="AH261" s="547"/>
      <c r="AI261" s="548"/>
      <c r="AJ261" s="549"/>
      <c r="AK261" s="547"/>
      <c r="AL261" s="547"/>
      <c r="AM261" s="547"/>
      <c r="AN261" s="548"/>
      <c r="AO261" s="549"/>
      <c r="AP261" s="547"/>
      <c r="AQ261" s="547"/>
      <c r="AR261" s="547"/>
      <c r="AS261" s="548"/>
      <c r="AT261" s="549"/>
      <c r="AU261" s="547"/>
      <c r="AV261" s="547"/>
      <c r="AW261" s="547"/>
      <c r="AX261" s="548"/>
      <c r="AY261" s="549"/>
      <c r="AZ261" s="547"/>
      <c r="BA261" s="547"/>
      <c r="BB261" s="547"/>
      <c r="BC261" s="548"/>
      <c r="BD261" s="549"/>
      <c r="BE261" s="547"/>
      <c r="BF261" s="547"/>
      <c r="BG261" s="547"/>
      <c r="BH261" s="548"/>
      <c r="BI261" s="549"/>
      <c r="BJ261" s="547"/>
      <c r="BK261" s="547"/>
      <c r="BL261" s="547"/>
      <c r="BM261" s="548"/>
      <c r="BN261" s="549"/>
      <c r="BO261" s="547"/>
      <c r="BP261" s="547"/>
      <c r="BQ261" s="547"/>
      <c r="BR261" s="548"/>
      <c r="BS261" s="549"/>
      <c r="BT261" s="547"/>
      <c r="BU261" s="547"/>
      <c r="BV261" s="547"/>
      <c r="BW261" s="548"/>
      <c r="BX261" s="549"/>
      <c r="BY261" s="547"/>
      <c r="BZ261" s="547"/>
      <c r="CA261" s="547"/>
      <c r="CB261" s="548"/>
      <c r="CC261" s="549"/>
      <c r="CD261" s="547"/>
      <c r="CE261" s="547"/>
      <c r="CF261" s="547"/>
      <c r="CG261" s="548"/>
      <c r="CH261" s="549"/>
      <c r="CI261" s="547"/>
      <c r="CJ261" s="547"/>
      <c r="CK261" s="547"/>
      <c r="CL261" s="548"/>
      <c r="CM261" s="549"/>
      <c r="CN261" s="547"/>
      <c r="CO261" s="547"/>
      <c r="CP261" s="547"/>
      <c r="CQ261" s="548"/>
      <c r="CR261" s="549"/>
      <c r="CS261" s="547"/>
      <c r="CT261" s="547"/>
      <c r="CU261" s="547"/>
      <c r="CV261" s="548"/>
      <c r="CW261" s="549"/>
      <c r="CX261" s="547"/>
      <c r="CY261" s="547"/>
      <c r="CZ261" s="547"/>
      <c r="DA261" s="547"/>
      <c r="DB261" s="549"/>
      <c r="DC261" s="547"/>
      <c r="DD261" s="547"/>
      <c r="DE261" s="547"/>
      <c r="DF261" s="547"/>
      <c r="DG261" s="549"/>
      <c r="DH261" s="547"/>
      <c r="DI261" s="547"/>
      <c r="DJ261" s="547"/>
      <c r="DK261" s="547"/>
      <c r="DL261" s="549"/>
      <c r="DM261" s="547"/>
      <c r="DN261" s="547"/>
      <c r="DO261" s="547"/>
      <c r="DP261" s="547"/>
      <c r="DQ261" s="549"/>
      <c r="DR261" s="547"/>
      <c r="DS261" s="547"/>
      <c r="DT261" s="939"/>
      <c r="DU261" s="547"/>
      <c r="DV261" s="549"/>
      <c r="DW261" s="547"/>
      <c r="DX261" s="547"/>
      <c r="DY261" s="939"/>
      <c r="DZ261" s="547"/>
      <c r="EA261" s="549"/>
      <c r="EB261" s="547"/>
      <c r="EC261" s="547"/>
      <c r="ED261" s="939"/>
      <c r="EE261" s="547"/>
      <c r="EF261" s="549"/>
      <c r="EG261" s="547"/>
      <c r="EH261" s="547"/>
      <c r="EI261" s="939"/>
      <c r="EJ261" s="547"/>
      <c r="EK261" s="549"/>
      <c r="EL261" s="547"/>
      <c r="EM261" s="547"/>
      <c r="EN261" s="939"/>
      <c r="EO261" s="547"/>
      <c r="EP261" s="549"/>
      <c r="EQ261" s="547"/>
      <c r="ER261" s="550"/>
      <c r="ES261" s="550"/>
      <c r="ET261" s="550"/>
      <c r="EU261" s="2003"/>
      <c r="EV261" s="550"/>
      <c r="EW261" s="550"/>
      <c r="EX261" s="550"/>
      <c r="EY261" s="550"/>
      <c r="EZ261" s="879"/>
      <c r="FA261" s="550"/>
      <c r="FB261" s="550"/>
      <c r="FC261" s="550"/>
      <c r="FD261" s="550"/>
      <c r="FE261" s="879"/>
      <c r="FF261" s="802"/>
      <c r="FG261" s="660"/>
      <c r="FH261" s="1045"/>
      <c r="FI261" s="1045"/>
      <c r="FJ261" s="1045"/>
      <c r="FK261" s="1045"/>
      <c r="FL261" s="1838"/>
      <c r="FM261" s="547"/>
      <c r="FN261" s="547"/>
      <c r="FO261" s="550"/>
      <c r="FP261" s="547"/>
      <c r="FQ261" s="547"/>
      <c r="FR261" s="550"/>
      <c r="FS261" s="550"/>
      <c r="FT261" s="550"/>
      <c r="FU261" s="550"/>
      <c r="FV261" s="550"/>
      <c r="FW261" s="550"/>
      <c r="FX261" s="550"/>
      <c r="FY261" s="550"/>
      <c r="FZ261" s="550"/>
      <c r="GA261" s="660"/>
      <c r="GB261"/>
      <c r="GC261"/>
      <c r="GD261"/>
      <c r="GE261"/>
      <c r="GF261"/>
      <c r="GG261"/>
      <c r="GH261" s="985"/>
      <c r="GI261" s="985"/>
      <c r="GJ261" s="985"/>
      <c r="GK261" s="985"/>
      <c r="GL261" s="985"/>
      <c r="GM261" s="985"/>
      <c r="GN261" s="985"/>
      <c r="GO261" s="985"/>
      <c r="GP261" s="985"/>
      <c r="GQ261" s="985"/>
      <c r="GR261" s="985"/>
      <c r="GS261" s="985"/>
      <c r="GT261" s="985"/>
      <c r="GU261" s="985"/>
      <c r="GV261" s="985"/>
      <c r="GW261" s="985"/>
      <c r="GX261" s="985"/>
      <c r="GY261" s="985"/>
      <c r="GZ261" s="985"/>
      <c r="HA261" s="985"/>
      <c r="HB261" s="985"/>
      <c r="HC261" s="985"/>
      <c r="HD261" s="985"/>
      <c r="HE261" s="985"/>
      <c r="HF261" s="985"/>
      <c r="HG261" s="985"/>
      <c r="HH261" s="985"/>
      <c r="HI261" s="985"/>
      <c r="HJ261" s="985"/>
      <c r="HK261" s="985"/>
      <c r="HL261" s="985"/>
      <c r="HM261" s="985"/>
      <c r="HN261" s="985"/>
      <c r="HO261" s="985"/>
      <c r="HP261" s="985"/>
      <c r="HQ261" s="985"/>
      <c r="HR261" s="985"/>
      <c r="HS261" s="985"/>
      <c r="HT261" s="985"/>
      <c r="HU261" s="985"/>
      <c r="HV261" s="985"/>
      <c r="HW261" s="985"/>
      <c r="HX261" s="985"/>
      <c r="HY261" s="985"/>
      <c r="HZ261" s="985"/>
      <c r="IA261" s="985"/>
      <c r="IB261" s="985"/>
      <c r="IC261" s="985"/>
      <c r="ID261" s="985"/>
      <c r="IE261" s="985"/>
      <c r="IF261" s="985"/>
      <c r="IG261" s="985"/>
      <c r="IH261" s="985"/>
      <c r="II261" s="985"/>
      <c r="IJ261" s="985"/>
      <c r="IK261" s="985"/>
      <c r="IL261" s="985"/>
      <c r="IM261" s="985"/>
      <c r="IN261" s="985"/>
      <c r="IO261" s="985"/>
      <c r="IP261" s="985"/>
      <c r="IQ261" s="985"/>
      <c r="IR261" s="985"/>
      <c r="IS261" s="985"/>
      <c r="IT261" s="985"/>
      <c r="IU261" s="985"/>
      <c r="IV261" s="985"/>
    </row>
    <row r="262" spans="1:256" s="49" customFormat="1" ht="12.75" x14ac:dyDescent="0.2">
      <c r="A262" s="477" t="s">
        <v>589</v>
      </c>
      <c r="B262" s="292"/>
      <c r="C262" s="293"/>
      <c r="D262" s="293"/>
      <c r="E262" s="294"/>
      <c r="F262" s="48"/>
      <c r="G262" s="292"/>
      <c r="H262" s="293"/>
      <c r="I262" s="293"/>
      <c r="J262" s="294"/>
      <c r="K262" s="48"/>
      <c r="L262" s="292"/>
      <c r="M262" s="293"/>
      <c r="N262" s="293"/>
      <c r="O262" s="294"/>
      <c r="P262" s="48"/>
      <c r="Q262" s="292"/>
      <c r="R262" s="293"/>
      <c r="S262" s="293"/>
      <c r="T262" s="294"/>
      <c r="U262" s="48"/>
      <c r="V262" s="292"/>
      <c r="W262" s="293"/>
      <c r="X262" s="293"/>
      <c r="Y262" s="294"/>
      <c r="Z262" s="48"/>
      <c r="AA262" s="292"/>
      <c r="AB262" s="293"/>
      <c r="AC262" s="293"/>
      <c r="AD262" s="294"/>
      <c r="AE262" s="48"/>
      <c r="AF262" s="292"/>
      <c r="AG262" s="293"/>
      <c r="AH262" s="293"/>
      <c r="AI262" s="294"/>
      <c r="AJ262" s="48"/>
      <c r="AK262" s="292"/>
      <c r="AL262" s="293"/>
      <c r="AM262" s="293"/>
      <c r="AN262" s="294"/>
      <c r="AO262" s="48"/>
      <c r="AP262" s="292"/>
      <c r="AQ262" s="293"/>
      <c r="AR262" s="293"/>
      <c r="AS262" s="294"/>
      <c r="AT262" s="48"/>
      <c r="AU262" s="292"/>
      <c r="AV262" s="293"/>
      <c r="AW262" s="293"/>
      <c r="AX262" s="294"/>
      <c r="AY262" s="48"/>
      <c r="AZ262" s="292"/>
      <c r="BA262" s="293"/>
      <c r="BB262" s="293"/>
      <c r="BC262" s="294"/>
      <c r="BD262" s="48"/>
      <c r="BE262" s="292"/>
      <c r="BF262" s="293"/>
      <c r="BG262" s="293"/>
      <c r="BH262" s="294"/>
      <c r="BI262" s="48">
        <f>SUM(BE262:BH262)</f>
        <v>0</v>
      </c>
      <c r="BJ262" s="292">
        <f>13/(1-BJ248)</f>
        <v>19.393442622950818</v>
      </c>
      <c r="BK262" s="293"/>
      <c r="BL262" s="293"/>
      <c r="BM262" s="294">
        <f>12/(1-BM248)</f>
        <v>17.432664756446993</v>
      </c>
      <c r="BN262" s="48">
        <f>SUM(BJ262:BM262)</f>
        <v>36.826107379397811</v>
      </c>
      <c r="BO262" s="292"/>
      <c r="BP262" s="293"/>
      <c r="BQ262" s="293"/>
      <c r="BR262" s="294"/>
      <c r="BS262" s="48">
        <f>SUM(BO262:BR262)</f>
        <v>0</v>
      </c>
      <c r="BT262" s="292">
        <f>114/(1-BT248)</f>
        <v>167.64705882352942</v>
      </c>
      <c r="BU262" s="293"/>
      <c r="BV262" s="293"/>
      <c r="BW262" s="294">
        <f>66/(1-BW248)</f>
        <v>98.223529411764702</v>
      </c>
      <c r="BX262" s="48">
        <f>SUM(BT262:BW262)</f>
        <v>265.87058823529412</v>
      </c>
      <c r="BY262" s="292"/>
      <c r="BZ262" s="293"/>
      <c r="CA262" s="293"/>
      <c r="CB262" s="294"/>
      <c r="CC262" s="48">
        <f t="shared" ref="CC262:CC267" si="968">SUM(BY262:CB262)</f>
        <v>0</v>
      </c>
      <c r="CD262" s="292"/>
      <c r="CE262" s="293"/>
      <c r="CF262" s="293"/>
      <c r="CG262" s="294"/>
      <c r="CH262" s="48">
        <f t="shared" ref="CH262:CH267" si="969">SUM(CD262:CG262)</f>
        <v>0</v>
      </c>
      <c r="CI262" s="292"/>
      <c r="CJ262" s="293"/>
      <c r="CK262" s="293"/>
      <c r="CL262" s="294"/>
      <c r="CM262" s="48">
        <f t="shared" ref="CM262:CM267" si="970">SUM(CI262:CL262)</f>
        <v>0</v>
      </c>
      <c r="CN262" s="292"/>
      <c r="CO262" s="293"/>
      <c r="CP262" s="293"/>
      <c r="CQ262" s="294"/>
      <c r="CR262" s="48">
        <f t="shared" ref="CR262:CR267" si="971">SUM(CN262:CQ262)</f>
        <v>0</v>
      </c>
      <c r="CS262" s="292">
        <v>-13</v>
      </c>
      <c r="CT262" s="293"/>
      <c r="CU262" s="293"/>
      <c r="CV262" s="294"/>
      <c r="CW262" s="48">
        <f t="shared" ref="CW262:CW267" si="972">SUM(CS262:CV262)</f>
        <v>-13</v>
      </c>
      <c r="CX262" s="20"/>
      <c r="CY262" s="20"/>
      <c r="CZ262" s="20"/>
      <c r="DA262" s="295"/>
      <c r="DB262" s="48">
        <f t="shared" ref="DB262:DB267" si="973">SUM(CX262:DA262)</f>
        <v>0</v>
      </c>
      <c r="DC262" s="20"/>
      <c r="DD262" s="20"/>
      <c r="DE262" s="20"/>
      <c r="DF262" s="295"/>
      <c r="DG262" s="48">
        <f t="shared" ref="DG262:DG267" si="974">SUM(DC262:DF262)</f>
        <v>0</v>
      </c>
      <c r="DH262" s="295"/>
      <c r="DI262" s="20"/>
      <c r="DJ262" s="20"/>
      <c r="DK262" s="295"/>
      <c r="DL262" s="48">
        <f t="shared" ref="DL262:DL267" si="975">SUM(DH262:DK262)</f>
        <v>0</v>
      </c>
      <c r="DM262" s="295"/>
      <c r="DN262" s="20"/>
      <c r="DO262" s="20"/>
      <c r="DP262" s="295"/>
      <c r="DQ262" s="48">
        <f t="shared" ref="DQ262:DQ267" si="976">SUM(DM262:DP262)</f>
        <v>0</v>
      </c>
      <c r="DR262" s="295"/>
      <c r="DS262" s="20"/>
      <c r="DT262" s="20"/>
      <c r="DU262" s="295"/>
      <c r="DV262" s="48">
        <f t="shared" ref="DV262:DV267" si="977">SUM(DR262:DU262)</f>
        <v>0</v>
      </c>
      <c r="DW262" s="295"/>
      <c r="DX262" s="20"/>
      <c r="DY262" s="20"/>
      <c r="DZ262" s="295"/>
      <c r="EA262" s="48">
        <f t="shared" ref="EA262:EA267" si="978">SUM(DW262:DZ262)</f>
        <v>0</v>
      </c>
      <c r="EB262" s="295"/>
      <c r="EC262" s="20"/>
      <c r="ED262" s="20"/>
      <c r="EE262" s="295"/>
      <c r="EF262" s="48">
        <f t="shared" ref="EF262:EF267" si="979">SUM(EB262:EE262)</f>
        <v>0</v>
      </c>
      <c r="EG262" s="295"/>
      <c r="EH262" s="20"/>
      <c r="EI262" s="20"/>
      <c r="EJ262" s="295"/>
      <c r="EK262" s="48">
        <f t="shared" ref="EK262:EK267" si="980">SUM(EG262:EJ262)</f>
        <v>0</v>
      </c>
      <c r="EL262" s="295"/>
      <c r="EM262" s="20"/>
      <c r="EN262" s="20"/>
      <c r="EO262" s="295"/>
      <c r="EP262" s="48">
        <f t="shared" ref="EP262:EP267" si="981">SUM(EL262:EO262)</f>
        <v>0</v>
      </c>
      <c r="EQ262" s="295"/>
      <c r="ER262" s="20"/>
      <c r="ES262" s="20"/>
      <c r="ET262" s="20"/>
      <c r="EU262" s="941"/>
      <c r="EV262" s="20"/>
      <c r="EW262" s="145"/>
      <c r="EX262" s="20"/>
      <c r="EY262" s="20"/>
      <c r="EZ262" s="747"/>
      <c r="FA262" s="20"/>
      <c r="FB262" s="145"/>
      <c r="FC262" s="20"/>
      <c r="FD262" s="20"/>
      <c r="FE262" s="747"/>
      <c r="FF262" s="767"/>
      <c r="FG262" s="660"/>
      <c r="FH262" s="1031"/>
      <c r="FI262" s="1031"/>
      <c r="FJ262" s="1031"/>
      <c r="FK262" s="1031"/>
      <c r="FL262" s="1809"/>
      <c r="FM262" s="20"/>
      <c r="FN262" s="20"/>
      <c r="FO262" s="2048"/>
      <c r="FP262" s="20"/>
      <c r="FQ262" s="20"/>
      <c r="FR262" s="537"/>
      <c r="FS262" s="537"/>
      <c r="FT262" s="537"/>
      <c r="FU262" s="537"/>
      <c r="FV262" s="537"/>
      <c r="FW262" s="537"/>
      <c r="FX262" s="537"/>
      <c r="FY262" s="537"/>
      <c r="FZ262" s="537"/>
      <c r="GA262" s="660"/>
      <c r="GB262"/>
      <c r="GC262"/>
      <c r="GD262"/>
      <c r="GE262"/>
      <c r="GF262"/>
      <c r="GG262"/>
      <c r="GH262" s="963"/>
      <c r="GI262" s="963"/>
      <c r="GJ262" s="963"/>
      <c r="GK262" s="963"/>
      <c r="GL262" s="963"/>
      <c r="GM262" s="963"/>
      <c r="GN262" s="963"/>
      <c r="GO262" s="963"/>
      <c r="GP262" s="963"/>
      <c r="GQ262" s="963"/>
      <c r="GR262" s="963"/>
      <c r="GS262" s="963"/>
      <c r="GT262" s="963"/>
      <c r="GU262" s="963"/>
      <c r="GV262" s="963"/>
      <c r="GW262" s="963"/>
      <c r="GX262" s="963"/>
      <c r="GY262" s="963"/>
      <c r="GZ262" s="963"/>
      <c r="HA262" s="963"/>
      <c r="HB262" s="963"/>
      <c r="HC262" s="963"/>
      <c r="HD262" s="963"/>
      <c r="HE262" s="963"/>
      <c r="HF262" s="963"/>
      <c r="HG262" s="963"/>
      <c r="HH262" s="963"/>
      <c r="HI262" s="963"/>
      <c r="HJ262" s="963"/>
      <c r="HK262" s="963"/>
      <c r="HL262" s="963"/>
      <c r="HM262" s="963"/>
      <c r="HN262" s="963"/>
      <c r="HO262" s="963"/>
      <c r="HP262" s="963"/>
      <c r="HQ262" s="963"/>
      <c r="HR262" s="963"/>
      <c r="HS262" s="963"/>
      <c r="HT262" s="963"/>
      <c r="HU262" s="963"/>
      <c r="HV262" s="963"/>
      <c r="HW262" s="963"/>
      <c r="HX262" s="963"/>
      <c r="HY262" s="963"/>
      <c r="HZ262" s="963"/>
      <c r="IA262" s="963"/>
      <c r="IB262" s="963"/>
      <c r="IC262" s="963"/>
      <c r="ID262" s="963"/>
      <c r="IE262" s="963"/>
      <c r="IF262" s="963"/>
      <c r="IG262" s="963"/>
      <c r="IH262" s="963"/>
      <c r="II262" s="963"/>
      <c r="IJ262" s="963"/>
      <c r="IK262" s="963"/>
      <c r="IL262" s="963"/>
      <c r="IM262" s="963"/>
      <c r="IN262" s="963"/>
      <c r="IO262" s="963"/>
      <c r="IP262" s="963"/>
      <c r="IQ262" s="963"/>
      <c r="IR262" s="963"/>
      <c r="IS262" s="963"/>
      <c r="IT262" s="963"/>
      <c r="IU262" s="963"/>
      <c r="IV262" s="963"/>
    </row>
    <row r="263" spans="1:256" s="49" customFormat="1" ht="12.75" x14ac:dyDescent="0.2">
      <c r="A263" s="477" t="s">
        <v>590</v>
      </c>
      <c r="B263" s="293"/>
      <c r="C263" s="293"/>
      <c r="D263" s="293"/>
      <c r="E263" s="294"/>
      <c r="F263" s="48"/>
      <c r="G263" s="293"/>
      <c r="H263" s="293"/>
      <c r="I263" s="293"/>
      <c r="J263" s="294"/>
      <c r="K263" s="48"/>
      <c r="L263" s="293"/>
      <c r="M263" s="293"/>
      <c r="N263" s="293"/>
      <c r="O263" s="294"/>
      <c r="P263" s="48"/>
      <c r="Q263" s="293"/>
      <c r="R263" s="293"/>
      <c r="S263" s="293"/>
      <c r="T263" s="294"/>
      <c r="U263" s="48"/>
      <c r="V263" s="293"/>
      <c r="W263" s="293"/>
      <c r="X263" s="293"/>
      <c r="Y263" s="294"/>
      <c r="Z263" s="48"/>
      <c r="AA263" s="293"/>
      <c r="AB263" s="293"/>
      <c r="AC263" s="293"/>
      <c r="AD263" s="294"/>
      <c r="AE263" s="48"/>
      <c r="AF263" s="293"/>
      <c r="AG263" s="293"/>
      <c r="AH263" s="293"/>
      <c r="AI263" s="294"/>
      <c r="AJ263" s="48"/>
      <c r="AK263" s="293"/>
      <c r="AL263" s="293"/>
      <c r="AM263" s="293"/>
      <c r="AN263" s="294"/>
      <c r="AO263" s="48"/>
      <c r="AP263" s="293"/>
      <c r="AQ263" s="293"/>
      <c r="AR263" s="293"/>
      <c r="AS263" s="294"/>
      <c r="AT263" s="48"/>
      <c r="AU263" s="293"/>
      <c r="AV263" s="293"/>
      <c r="AW263" s="293"/>
      <c r="AX263" s="294"/>
      <c r="AY263" s="48"/>
      <c r="AZ263" s="293"/>
      <c r="BA263" s="293"/>
      <c r="BB263" s="293"/>
      <c r="BC263" s="294"/>
      <c r="BD263" s="48"/>
      <c r="BE263" s="293"/>
      <c r="BF263" s="293"/>
      <c r="BG263" s="293"/>
      <c r="BH263" s="294"/>
      <c r="BI263" s="48">
        <f>SUM(BE263:BH263)</f>
        <v>0</v>
      </c>
      <c r="BJ263" s="293"/>
      <c r="BK263" s="293"/>
      <c r="BL263" s="293"/>
      <c r="BM263" s="294"/>
      <c r="BN263" s="48">
        <f>SUM(BJ263:BM263)</f>
        <v>0</v>
      </c>
      <c r="BO263" s="293"/>
      <c r="BP263" s="293"/>
      <c r="BQ263" s="293"/>
      <c r="BR263" s="294"/>
      <c r="BS263" s="48">
        <f>SUM(BO263:BR263)</f>
        <v>0</v>
      </c>
      <c r="BT263" s="293">
        <f>10/(1-BT248)</f>
        <v>14.705882352941178</v>
      </c>
      <c r="BU263" s="293"/>
      <c r="BV263" s="293"/>
      <c r="BW263" s="294">
        <f>53/(1-BW248)</f>
        <v>78.876470588235293</v>
      </c>
      <c r="BX263" s="48">
        <f>SUM(BT263:BW263)</f>
        <v>93.582352941176467</v>
      </c>
      <c r="BY263" s="293"/>
      <c r="BZ263" s="293"/>
      <c r="CA263" s="293"/>
      <c r="CB263" s="294"/>
      <c r="CC263" s="48">
        <f t="shared" si="968"/>
        <v>0</v>
      </c>
      <c r="CD263" s="293"/>
      <c r="CE263" s="293"/>
      <c r="CF263" s="293"/>
      <c r="CG263" s="294"/>
      <c r="CH263" s="48">
        <f t="shared" si="969"/>
        <v>0</v>
      </c>
      <c r="CI263" s="293"/>
      <c r="CJ263" s="293"/>
      <c r="CK263" s="293"/>
      <c r="CL263" s="294"/>
      <c r="CM263" s="48">
        <f t="shared" si="970"/>
        <v>0</v>
      </c>
      <c r="CN263" s="293"/>
      <c r="CO263" s="293"/>
      <c r="CP263" s="293"/>
      <c r="CQ263" s="294"/>
      <c r="CR263" s="48">
        <f t="shared" si="971"/>
        <v>0</v>
      </c>
      <c r="CS263" s="293"/>
      <c r="CT263" s="293"/>
      <c r="CU263" s="293"/>
      <c r="CV263" s="294"/>
      <c r="CW263" s="48">
        <f t="shared" si="972"/>
        <v>0</v>
      </c>
      <c r="CX263" s="20"/>
      <c r="CY263" s="20"/>
      <c r="CZ263" s="20"/>
      <c r="DA263" s="295"/>
      <c r="DB263" s="48">
        <f t="shared" si="973"/>
        <v>0</v>
      </c>
      <c r="DC263" s="20"/>
      <c r="DD263" s="20"/>
      <c r="DE263" s="20"/>
      <c r="DF263" s="295"/>
      <c r="DG263" s="48">
        <f t="shared" si="974"/>
        <v>0</v>
      </c>
      <c r="DH263" s="295"/>
      <c r="DI263" s="20"/>
      <c r="DJ263" s="20"/>
      <c r="DK263" s="295"/>
      <c r="DL263" s="48">
        <f t="shared" si="975"/>
        <v>0</v>
      </c>
      <c r="DM263" s="295"/>
      <c r="DN263" s="20"/>
      <c r="DO263" s="20"/>
      <c r="DP263" s="295"/>
      <c r="DQ263" s="48">
        <f t="shared" si="976"/>
        <v>0</v>
      </c>
      <c r="DR263" s="295"/>
      <c r="DS263" s="20"/>
      <c r="DT263" s="296"/>
      <c r="DU263" s="295"/>
      <c r="DV263" s="48">
        <f t="shared" si="977"/>
        <v>0</v>
      </c>
      <c r="DW263" s="295"/>
      <c r="DX263" s="20"/>
      <c r="DY263" s="296"/>
      <c r="DZ263" s="295"/>
      <c r="EA263" s="48">
        <f t="shared" si="978"/>
        <v>0</v>
      </c>
      <c r="EB263" s="295"/>
      <c r="EC263" s="20"/>
      <c r="ED263" s="296"/>
      <c r="EE263" s="295"/>
      <c r="EF263" s="48">
        <f t="shared" si="979"/>
        <v>0</v>
      </c>
      <c r="EG263" s="295"/>
      <c r="EH263" s="20"/>
      <c r="EI263" s="296"/>
      <c r="EJ263" s="295"/>
      <c r="EK263" s="48">
        <f t="shared" si="980"/>
        <v>0</v>
      </c>
      <c r="EL263" s="295"/>
      <c r="EM263" s="20"/>
      <c r="EN263" s="296"/>
      <c r="EO263" s="295"/>
      <c r="EP263" s="48">
        <f t="shared" si="981"/>
        <v>0</v>
      </c>
      <c r="EQ263" s="295"/>
      <c r="ER263" s="297"/>
      <c r="ES263" s="297"/>
      <c r="ET263" s="297"/>
      <c r="EU263" s="941"/>
      <c r="EV263" s="297"/>
      <c r="EW263" s="298"/>
      <c r="EX263" s="20"/>
      <c r="EY263" s="297"/>
      <c r="EZ263" s="747"/>
      <c r="FA263" s="297"/>
      <c r="FB263" s="298"/>
      <c r="FC263" s="20"/>
      <c r="FD263" s="297"/>
      <c r="FE263" s="747"/>
      <c r="FF263" s="806"/>
      <c r="FG263" s="660"/>
      <c r="FH263" s="1077"/>
      <c r="FI263" s="1077"/>
      <c r="FJ263" s="1077"/>
      <c r="FK263" s="1077"/>
      <c r="FL263" s="1841"/>
      <c r="FM263" s="20"/>
      <c r="FN263" s="20"/>
      <c r="FO263" s="297"/>
      <c r="FP263" s="20"/>
      <c r="FQ263" s="20"/>
      <c r="FR263" s="537"/>
      <c r="FS263" s="537"/>
      <c r="FT263" s="537"/>
      <c r="FU263" s="537"/>
      <c r="FV263" s="537"/>
      <c r="FW263" s="537"/>
      <c r="FX263" s="537"/>
      <c r="FY263" s="537"/>
      <c r="FZ263" s="537"/>
      <c r="GA263" s="660"/>
      <c r="GB263"/>
      <c r="GC263"/>
      <c r="GD263"/>
      <c r="GE263"/>
      <c r="GF263"/>
      <c r="GG263"/>
      <c r="GH263" s="963"/>
      <c r="GI263" s="963"/>
      <c r="GJ263" s="963"/>
      <c r="GK263" s="963"/>
      <c r="GL263" s="963"/>
      <c r="GM263" s="963"/>
      <c r="GN263" s="963"/>
      <c r="GO263" s="963"/>
      <c r="GP263" s="963"/>
      <c r="GQ263" s="963"/>
      <c r="GR263" s="963"/>
      <c r="GS263" s="963"/>
      <c r="GT263" s="963"/>
      <c r="GU263" s="963"/>
      <c r="GV263" s="963"/>
      <c r="GW263" s="963"/>
      <c r="GX263" s="963"/>
      <c r="GY263" s="963"/>
      <c r="GZ263" s="963"/>
      <c r="HA263" s="963"/>
      <c r="HB263" s="963"/>
      <c r="HC263" s="963"/>
      <c r="HD263" s="963"/>
      <c r="HE263" s="963"/>
      <c r="HF263" s="963"/>
      <c r="HG263" s="963"/>
      <c r="HH263" s="963"/>
      <c r="HI263" s="963"/>
      <c r="HJ263" s="963"/>
      <c r="HK263" s="963"/>
      <c r="HL263" s="963"/>
      <c r="HM263" s="963"/>
      <c r="HN263" s="963"/>
      <c r="HO263" s="963"/>
      <c r="HP263" s="963"/>
      <c r="HQ263" s="963"/>
      <c r="HR263" s="963"/>
      <c r="HS263" s="963"/>
      <c r="HT263" s="963"/>
      <c r="HU263" s="963"/>
      <c r="HV263" s="963"/>
      <c r="HW263" s="963"/>
      <c r="HX263" s="963"/>
      <c r="HY263" s="963"/>
      <c r="HZ263" s="963"/>
      <c r="IA263" s="963"/>
      <c r="IB263" s="963"/>
      <c r="IC263" s="963"/>
      <c r="ID263" s="963"/>
      <c r="IE263" s="963"/>
      <c r="IF263" s="963"/>
      <c r="IG263" s="963"/>
      <c r="IH263" s="963"/>
      <c r="II263" s="963"/>
      <c r="IJ263" s="963"/>
      <c r="IK263" s="963"/>
      <c r="IL263" s="963"/>
      <c r="IM263" s="963"/>
      <c r="IN263" s="963"/>
      <c r="IO263" s="963"/>
      <c r="IP263" s="963"/>
      <c r="IQ263" s="963"/>
      <c r="IR263" s="963"/>
      <c r="IS263" s="963"/>
      <c r="IT263" s="963"/>
      <c r="IU263" s="963"/>
      <c r="IV263" s="963"/>
    </row>
    <row r="264" spans="1:256" s="49" customFormat="1" ht="12.75" x14ac:dyDescent="0.2">
      <c r="A264" s="477" t="s">
        <v>399</v>
      </c>
      <c r="B264" s="293"/>
      <c r="C264" s="293"/>
      <c r="D264" s="293"/>
      <c r="E264" s="294"/>
      <c r="F264" s="48"/>
      <c r="G264" s="293"/>
      <c r="H264" s="293"/>
      <c r="I264" s="293"/>
      <c r="J264" s="294"/>
      <c r="K264" s="48"/>
      <c r="L264" s="293"/>
      <c r="M264" s="293"/>
      <c r="N264" s="293"/>
      <c r="O264" s="294"/>
      <c r="P264" s="48"/>
      <c r="Q264" s="293"/>
      <c r="R264" s="293"/>
      <c r="S264" s="293"/>
      <c r="T264" s="294"/>
      <c r="U264" s="48"/>
      <c r="V264" s="293"/>
      <c r="W264" s="293"/>
      <c r="X264" s="293"/>
      <c r="Y264" s="294"/>
      <c r="Z264" s="48"/>
      <c r="AA264" s="293"/>
      <c r="AB264" s="293"/>
      <c r="AC264" s="293"/>
      <c r="AD264" s="294"/>
      <c r="AE264" s="48"/>
      <c r="AF264" s="293"/>
      <c r="AG264" s="293"/>
      <c r="AH264" s="293"/>
      <c r="AI264" s="294"/>
      <c r="AJ264" s="48"/>
      <c r="AK264" s="293"/>
      <c r="AL264" s="293"/>
      <c r="AM264" s="293"/>
      <c r="AN264" s="294"/>
      <c r="AO264" s="48"/>
      <c r="AP264" s="293"/>
      <c r="AQ264" s="293"/>
      <c r="AR264" s="293"/>
      <c r="AS264" s="294"/>
      <c r="AT264" s="48"/>
      <c r="AU264" s="293"/>
      <c r="AV264" s="293"/>
      <c r="AW264" s="293"/>
      <c r="AX264" s="294"/>
      <c r="AY264" s="48"/>
      <c r="AZ264" s="293"/>
      <c r="BA264" s="293"/>
      <c r="BB264" s="293"/>
      <c r="BC264" s="294"/>
      <c r="BD264" s="48"/>
      <c r="BE264" s="293"/>
      <c r="BF264" s="293"/>
      <c r="BG264" s="293"/>
      <c r="BH264" s="294"/>
      <c r="BI264" s="48">
        <f>SUM(BE264:BH264)</f>
        <v>0</v>
      </c>
      <c r="BJ264" s="293"/>
      <c r="BK264" s="293"/>
      <c r="BL264" s="293"/>
      <c r="BM264" s="294"/>
      <c r="BN264" s="48">
        <f>SUM(BJ264:BM264)</f>
        <v>0</v>
      </c>
      <c r="BO264" s="293"/>
      <c r="BP264" s="293"/>
      <c r="BQ264" s="293"/>
      <c r="BR264" s="294"/>
      <c r="BS264" s="48">
        <f>SUM(BO264:BR264)</f>
        <v>0</v>
      </c>
      <c r="BT264" s="293"/>
      <c r="BU264" s="293"/>
      <c r="BV264" s="293"/>
      <c r="BW264" s="294"/>
      <c r="BX264" s="48">
        <f>SUM(BT264:BW264)</f>
        <v>0</v>
      </c>
      <c r="BY264" s="293"/>
      <c r="BZ264" s="293"/>
      <c r="CA264" s="293"/>
      <c r="CB264" s="294"/>
      <c r="CC264" s="48">
        <f t="shared" si="968"/>
        <v>0</v>
      </c>
      <c r="CD264" s="293"/>
      <c r="CE264" s="293"/>
      <c r="CF264" s="293"/>
      <c r="CG264" s="294"/>
      <c r="CH264" s="48">
        <f t="shared" si="969"/>
        <v>0</v>
      </c>
      <c r="CI264" s="293"/>
      <c r="CJ264" s="293"/>
      <c r="CK264" s="293"/>
      <c r="CL264" s="294"/>
      <c r="CM264" s="48">
        <f t="shared" si="970"/>
        <v>0</v>
      </c>
      <c r="CN264" s="293"/>
      <c r="CO264" s="293"/>
      <c r="CP264" s="293"/>
      <c r="CQ264" s="294"/>
      <c r="CR264" s="48">
        <f t="shared" si="971"/>
        <v>0</v>
      </c>
      <c r="CS264" s="293"/>
      <c r="CT264" s="293"/>
      <c r="CU264" s="293"/>
      <c r="CV264" s="294"/>
      <c r="CW264" s="48">
        <f t="shared" si="972"/>
        <v>0</v>
      </c>
      <c r="CX264" s="20"/>
      <c r="CY264" s="20"/>
      <c r="CZ264" s="20"/>
      <c r="DA264" s="295"/>
      <c r="DB264" s="48">
        <f t="shared" si="973"/>
        <v>0</v>
      </c>
      <c r="DC264" s="20"/>
      <c r="DD264" s="20"/>
      <c r="DE264" s="20"/>
      <c r="DF264" s="295"/>
      <c r="DG264" s="48">
        <f t="shared" si="974"/>
        <v>0</v>
      </c>
      <c r="DH264" s="295"/>
      <c r="DI264" s="20"/>
      <c r="DJ264" s="20"/>
      <c r="DK264" s="295"/>
      <c r="DL264" s="48">
        <f t="shared" si="975"/>
        <v>0</v>
      </c>
      <c r="DM264" s="295"/>
      <c r="DN264" s="20"/>
      <c r="DO264" s="20"/>
      <c r="DP264" s="295"/>
      <c r="DQ264" s="48">
        <f t="shared" si="976"/>
        <v>0</v>
      </c>
      <c r="DR264" s="295"/>
      <c r="DS264" s="20"/>
      <c r="DT264" s="296"/>
      <c r="DU264" s="295"/>
      <c r="DV264" s="48">
        <f t="shared" si="977"/>
        <v>0</v>
      </c>
      <c r="DW264" s="295"/>
      <c r="DX264" s="20"/>
      <c r="DY264" s="296"/>
      <c r="DZ264" s="295"/>
      <c r="EA264" s="48">
        <f t="shared" si="978"/>
        <v>0</v>
      </c>
      <c r="EB264" s="295"/>
      <c r="EC264" s="20"/>
      <c r="ED264" s="296"/>
      <c r="EE264" s="295"/>
      <c r="EF264" s="48">
        <f t="shared" si="979"/>
        <v>0</v>
      </c>
      <c r="EG264" s="295"/>
      <c r="EH264" s="20"/>
      <c r="EI264" s="296"/>
      <c r="EJ264" s="295"/>
      <c r="EK264" s="48">
        <f t="shared" si="980"/>
        <v>0</v>
      </c>
      <c r="EL264" s="295"/>
      <c r="EM264" s="20"/>
      <c r="EN264" s="296"/>
      <c r="EO264" s="295"/>
      <c r="EP264" s="48">
        <f t="shared" si="981"/>
        <v>0</v>
      </c>
      <c r="EQ264" s="295"/>
      <c r="ER264" s="297"/>
      <c r="ES264" s="297"/>
      <c r="ET264" s="297"/>
      <c r="EU264" s="941"/>
      <c r="EV264" s="297"/>
      <c r="EW264" s="298"/>
      <c r="EX264" s="20"/>
      <c r="EY264" s="297"/>
      <c r="EZ264" s="747"/>
      <c r="FA264" s="297"/>
      <c r="FB264" s="298"/>
      <c r="FC264" s="20"/>
      <c r="FD264" s="297"/>
      <c r="FE264" s="747"/>
      <c r="FF264" s="806"/>
      <c r="FG264" s="660"/>
      <c r="FH264" s="1077"/>
      <c r="FI264" s="1077"/>
      <c r="FJ264" s="1077"/>
      <c r="FK264" s="1077"/>
      <c r="FL264" s="1841"/>
      <c r="FM264" s="20"/>
      <c r="FN264" s="20"/>
      <c r="FO264" s="297"/>
      <c r="FP264" s="20"/>
      <c r="FQ264" s="20"/>
      <c r="FR264" s="537"/>
      <c r="FS264" s="537"/>
      <c r="FT264" s="537"/>
      <c r="FU264" s="537"/>
      <c r="FV264" s="537"/>
      <c r="FW264" s="537"/>
      <c r="FX264" s="537"/>
      <c r="FY264" s="537"/>
      <c r="FZ264" s="537"/>
      <c r="GA264" s="660"/>
      <c r="GB264"/>
      <c r="GC264"/>
      <c r="GD264"/>
      <c r="GE264"/>
      <c r="GF264"/>
      <c r="GG264"/>
      <c r="GH264" s="963"/>
      <c r="GI264" s="963"/>
      <c r="GJ264" s="963"/>
      <c r="GK264" s="963"/>
      <c r="GL264" s="963"/>
      <c r="GM264" s="963"/>
      <c r="GN264" s="963"/>
      <c r="GO264" s="963"/>
      <c r="GP264" s="963"/>
      <c r="GQ264" s="963"/>
      <c r="GR264" s="963"/>
      <c r="GS264" s="963"/>
      <c r="GT264" s="963"/>
      <c r="GU264" s="963"/>
      <c r="GV264" s="963"/>
      <c r="GW264" s="963"/>
      <c r="GX264" s="963"/>
      <c r="GY264" s="963"/>
      <c r="GZ264" s="963"/>
      <c r="HA264" s="963"/>
      <c r="HB264" s="963"/>
      <c r="HC264" s="963"/>
      <c r="HD264" s="963"/>
      <c r="HE264" s="963"/>
      <c r="HF264" s="963"/>
      <c r="HG264" s="963"/>
      <c r="HH264" s="963"/>
      <c r="HI264" s="963"/>
      <c r="HJ264" s="963"/>
      <c r="HK264" s="963"/>
      <c r="HL264" s="963"/>
      <c r="HM264" s="963"/>
      <c r="HN264" s="963"/>
      <c r="HO264" s="963"/>
      <c r="HP264" s="963"/>
      <c r="HQ264" s="963"/>
      <c r="HR264" s="963"/>
      <c r="HS264" s="963"/>
      <c r="HT264" s="963"/>
      <c r="HU264" s="963"/>
      <c r="HV264" s="963"/>
      <c r="HW264" s="963"/>
      <c r="HX264" s="963"/>
      <c r="HY264" s="963"/>
      <c r="HZ264" s="963"/>
      <c r="IA264" s="963"/>
      <c r="IB264" s="963"/>
      <c r="IC264" s="963"/>
      <c r="ID264" s="963"/>
      <c r="IE264" s="963"/>
      <c r="IF264" s="963"/>
      <c r="IG264" s="963"/>
      <c r="IH264" s="963"/>
      <c r="II264" s="963"/>
      <c r="IJ264" s="963"/>
      <c r="IK264" s="963"/>
      <c r="IL264" s="963"/>
      <c r="IM264" s="963"/>
      <c r="IN264" s="963"/>
      <c r="IO264" s="963"/>
      <c r="IP264" s="963"/>
      <c r="IQ264" s="963"/>
      <c r="IR264" s="963"/>
      <c r="IS264" s="963"/>
      <c r="IT264" s="963"/>
      <c r="IU264" s="963"/>
      <c r="IV264" s="963"/>
    </row>
    <row r="265" spans="1:256" s="49" customFormat="1" ht="12.75" x14ac:dyDescent="0.2">
      <c r="A265" s="477" t="s">
        <v>440</v>
      </c>
      <c r="B265" s="292"/>
      <c r="C265" s="292"/>
      <c r="D265" s="292"/>
      <c r="E265" s="299"/>
      <c r="F265" s="48"/>
      <c r="G265" s="292"/>
      <c r="H265" s="292"/>
      <c r="I265" s="292"/>
      <c r="J265" s="299"/>
      <c r="K265" s="48"/>
      <c r="L265" s="292"/>
      <c r="M265" s="292"/>
      <c r="N265" s="292"/>
      <c r="O265" s="299"/>
      <c r="P265" s="48"/>
      <c r="Q265" s="292"/>
      <c r="R265" s="292"/>
      <c r="S265" s="292"/>
      <c r="T265" s="299"/>
      <c r="U265" s="48"/>
      <c r="V265" s="292"/>
      <c r="W265" s="292"/>
      <c r="X265" s="292"/>
      <c r="Y265" s="299"/>
      <c r="Z265" s="48"/>
      <c r="AA265" s="292"/>
      <c r="AB265" s="292"/>
      <c r="AC265" s="292"/>
      <c r="AD265" s="299"/>
      <c r="AE265" s="48"/>
      <c r="AF265" s="292"/>
      <c r="AG265" s="292"/>
      <c r="AH265" s="292"/>
      <c r="AI265" s="299"/>
      <c r="AJ265" s="48"/>
      <c r="AK265" s="292"/>
      <c r="AL265" s="292"/>
      <c r="AM265" s="292"/>
      <c r="AN265" s="299"/>
      <c r="AO265" s="48"/>
      <c r="AP265" s="292">
        <v>-1.4774770000000008</v>
      </c>
      <c r="AQ265" s="293">
        <v>-10.7</v>
      </c>
      <c r="AR265" s="293">
        <v>-25.09</v>
      </c>
      <c r="AS265" s="294">
        <v>-20</v>
      </c>
      <c r="AT265" s="48">
        <f>SUM(AP265:AS265)</f>
        <v>-57.267477</v>
      </c>
      <c r="AU265" s="292">
        <v>-36</v>
      </c>
      <c r="AV265" s="293">
        <v>-18</v>
      </c>
      <c r="AW265" s="293">
        <v>-15</v>
      </c>
      <c r="AX265" s="294">
        <v>-9</v>
      </c>
      <c r="AY265" s="48">
        <f>SUM(AU265:AX265)</f>
        <v>-78</v>
      </c>
      <c r="AZ265" s="292">
        <v>-41</v>
      </c>
      <c r="BA265" s="293">
        <v>-34.22</v>
      </c>
      <c r="BB265" s="292"/>
      <c r="BC265" s="299"/>
      <c r="BD265" s="48">
        <f>SUM(AZ265:BC265)</f>
        <v>-75.22</v>
      </c>
      <c r="BE265" s="292"/>
      <c r="BF265" s="292"/>
      <c r="BG265" s="292"/>
      <c r="BH265" s="299"/>
      <c r="BI265" s="48">
        <v>-36.200000000000003</v>
      </c>
      <c r="BJ265" s="292">
        <v>12.5</v>
      </c>
      <c r="BK265" s="292"/>
      <c r="BL265" s="292"/>
      <c r="BM265" s="299">
        <v>11.5</v>
      </c>
      <c r="BN265" s="48">
        <f>SUM(BJ265:BM265)</f>
        <v>24</v>
      </c>
      <c r="BO265" s="292"/>
      <c r="BP265" s="292"/>
      <c r="BQ265" s="292"/>
      <c r="BR265" s="299"/>
      <c r="BS265" s="48">
        <f>SUM(BO265:BR265)</f>
        <v>0</v>
      </c>
      <c r="BT265" s="292">
        <f>114.4+10.4</f>
        <v>124.80000000000001</v>
      </c>
      <c r="BU265" s="292"/>
      <c r="BV265" s="292"/>
      <c r="BW265" s="299">
        <f>-65.5-53.2</f>
        <v>-118.7</v>
      </c>
      <c r="BX265" s="48">
        <f>SUM(BT265:BW265)</f>
        <v>6.1000000000000085</v>
      </c>
      <c r="BY265" s="292"/>
      <c r="BZ265" s="292"/>
      <c r="CA265" s="292">
        <v>53</v>
      </c>
      <c r="CB265" s="299"/>
      <c r="CC265" s="48">
        <f t="shared" si="968"/>
        <v>53</v>
      </c>
      <c r="CD265" s="292"/>
      <c r="CE265" s="292">
        <f>23+96</f>
        <v>119</v>
      </c>
      <c r="CF265" s="292">
        <v>0</v>
      </c>
      <c r="CG265" s="299"/>
      <c r="CH265" s="48">
        <f t="shared" si="969"/>
        <v>119</v>
      </c>
      <c r="CI265" s="292"/>
      <c r="CJ265" s="292"/>
      <c r="CK265" s="292"/>
      <c r="CL265" s="299"/>
      <c r="CM265" s="48">
        <f t="shared" si="970"/>
        <v>0</v>
      </c>
      <c r="CN265" s="292"/>
      <c r="CO265" s="292"/>
      <c r="CP265" s="292">
        <v>-19</v>
      </c>
      <c r="CQ265" s="299"/>
      <c r="CR265" s="48">
        <f t="shared" si="971"/>
        <v>-19</v>
      </c>
      <c r="CS265" s="292">
        <f>CS262*(1-CS248)</f>
        <v>-7.9474789915966397</v>
      </c>
      <c r="CT265" s="292">
        <f>CT262*(1-CT248)</f>
        <v>0</v>
      </c>
      <c r="CU265" s="292">
        <f>CU262*(1-CU248)</f>
        <v>0</v>
      </c>
      <c r="CV265" s="299">
        <f>CV262*(1-CV248)</f>
        <v>0</v>
      </c>
      <c r="CW265" s="48">
        <f t="shared" si="972"/>
        <v>-7.9474789915966397</v>
      </c>
      <c r="CX265" s="20">
        <f>CX262*(1-CX248)</f>
        <v>0</v>
      </c>
      <c r="CY265" s="20">
        <f>CY262*(1-CY248)</f>
        <v>0</v>
      </c>
      <c r="CZ265" s="20">
        <f>CZ262*(1-CZ248)</f>
        <v>0</v>
      </c>
      <c r="DA265" s="292">
        <f>DA262*(1-DA248)</f>
        <v>0</v>
      </c>
      <c r="DB265" s="48">
        <f t="shared" si="973"/>
        <v>0</v>
      </c>
      <c r="DC265" s="20"/>
      <c r="DD265" s="20">
        <f>DD262*(1-DD248)</f>
        <v>0</v>
      </c>
      <c r="DE265" s="20">
        <f>DE262*(1-DE248)</f>
        <v>0</v>
      </c>
      <c r="DF265" s="292">
        <f>DF262*(1-DF248)</f>
        <v>0</v>
      </c>
      <c r="DG265" s="48">
        <f t="shared" si="974"/>
        <v>0</v>
      </c>
      <c r="DH265" s="292">
        <f>DH262*(1-DH248)</f>
        <v>0</v>
      </c>
      <c r="DI265" s="20">
        <f>DI262*(1-DI248)</f>
        <v>0</v>
      </c>
      <c r="DJ265" s="20">
        <f>DJ262*(1-DJ248)</f>
        <v>0</v>
      </c>
      <c r="DK265" s="292">
        <f>DK262*(1-DK248)</f>
        <v>0</v>
      </c>
      <c r="DL265" s="48">
        <f t="shared" si="975"/>
        <v>0</v>
      </c>
      <c r="DM265" s="292">
        <f>DM262*(1-DM248)</f>
        <v>0</v>
      </c>
      <c r="DN265" s="20">
        <f>DN262*(1-DN248)</f>
        <v>0</v>
      </c>
      <c r="DO265" s="20">
        <f>DO262*(1-DO248)</f>
        <v>0</v>
      </c>
      <c r="DP265" s="292">
        <f>DP262*(1-DP248)</f>
        <v>0</v>
      </c>
      <c r="DQ265" s="48">
        <f t="shared" si="976"/>
        <v>0</v>
      </c>
      <c r="DR265" s="292">
        <f>DR262*(1-DR248)</f>
        <v>0</v>
      </c>
      <c r="DS265" s="20">
        <f>DS262*(1-DS248)</f>
        <v>0</v>
      </c>
      <c r="DT265" s="20">
        <f>DT262*(1-DT248)</f>
        <v>0</v>
      </c>
      <c r="DU265" s="292">
        <f>DU262*(1-DU248)</f>
        <v>0</v>
      </c>
      <c r="DV265" s="48">
        <f t="shared" si="977"/>
        <v>0</v>
      </c>
      <c r="DW265" s="292">
        <f>DW262*(1-DW248)</f>
        <v>0</v>
      </c>
      <c r="DX265" s="20">
        <f>DX262*(1-DX248)</f>
        <v>0</v>
      </c>
      <c r="DY265" s="20">
        <f>DY262*(1-DY248)</f>
        <v>0</v>
      </c>
      <c r="DZ265" s="292">
        <f>DZ262*(1-DZ248)</f>
        <v>0</v>
      </c>
      <c r="EA265" s="48">
        <f t="shared" si="978"/>
        <v>0</v>
      </c>
      <c r="EB265" s="292">
        <f>EB262*(1-EB248)</f>
        <v>0</v>
      </c>
      <c r="EC265" s="20">
        <f>EC262*(1-EC248)</f>
        <v>0</v>
      </c>
      <c r="ED265" s="20">
        <f>ED262*(1-ED248)</f>
        <v>0</v>
      </c>
      <c r="EE265" s="292">
        <f>EE262*(1-EE248)</f>
        <v>0</v>
      </c>
      <c r="EF265" s="48">
        <f t="shared" si="979"/>
        <v>0</v>
      </c>
      <c r="EG265" s="292">
        <f>EG262*(1-EG248)</f>
        <v>0</v>
      </c>
      <c r="EH265" s="20">
        <f>EH262*(1-EH248)</f>
        <v>0</v>
      </c>
      <c r="EI265" s="20">
        <f>EI262*(1-EI248)</f>
        <v>0</v>
      </c>
      <c r="EJ265" s="292">
        <f>EJ262*(1-EJ248)</f>
        <v>0</v>
      </c>
      <c r="EK265" s="48">
        <f t="shared" si="980"/>
        <v>0</v>
      </c>
      <c r="EL265" s="292">
        <f>EL262*(1-EL248)</f>
        <v>0</v>
      </c>
      <c r="EM265" s="20">
        <f>EM262*(1-EM248)</f>
        <v>0</v>
      </c>
      <c r="EN265" s="20">
        <f>EN262*(1-EN248)</f>
        <v>0</v>
      </c>
      <c r="EO265" s="292">
        <f>EO262*(1-EO248)</f>
        <v>0</v>
      </c>
      <c r="EP265" s="48">
        <f t="shared" si="981"/>
        <v>0</v>
      </c>
      <c r="EQ265" s="292">
        <f>EQ262*(1-EQ248)</f>
        <v>0</v>
      </c>
      <c r="ER265" s="297"/>
      <c r="ES265" s="297"/>
      <c r="ET265" s="297"/>
      <c r="EU265" s="941"/>
      <c r="EV265" s="297"/>
      <c r="EW265" s="298"/>
      <c r="EX265" s="20"/>
      <c r="EY265" s="297"/>
      <c r="EZ265" s="747"/>
      <c r="FA265" s="297"/>
      <c r="FB265" s="298"/>
      <c r="FC265" s="20"/>
      <c r="FD265" s="297"/>
      <c r="FE265" s="747"/>
      <c r="FF265" s="806"/>
      <c r="FG265" s="660"/>
      <c r="FH265" s="1077"/>
      <c r="FI265" s="1077"/>
      <c r="FJ265" s="1077"/>
      <c r="FK265" s="1077"/>
      <c r="FL265" s="1841"/>
      <c r="FM265" s="20">
        <f>EQ265</f>
        <v>0</v>
      </c>
      <c r="FN265" s="20">
        <f>EL265</f>
        <v>0</v>
      </c>
      <c r="FO265" s="297"/>
      <c r="FP265" s="20"/>
      <c r="FQ265" s="20"/>
      <c r="FR265" s="537"/>
      <c r="FS265" s="537"/>
      <c r="FT265" s="537"/>
      <c r="FU265" s="537"/>
      <c r="FV265" s="537"/>
      <c r="FW265" s="537"/>
      <c r="FX265" s="537"/>
      <c r="FY265" s="537"/>
      <c r="FZ265" s="537"/>
      <c r="GA265" s="660"/>
      <c r="GB265"/>
      <c r="GC265"/>
      <c r="GD265"/>
      <c r="GE265"/>
      <c r="GF265"/>
      <c r="GG265"/>
      <c r="GH265" s="963"/>
      <c r="GI265" s="963"/>
      <c r="GJ265" s="963"/>
      <c r="GK265" s="963"/>
      <c r="GL265" s="963"/>
      <c r="GM265" s="963"/>
      <c r="GN265" s="963"/>
      <c r="GO265" s="963"/>
      <c r="GP265" s="963"/>
      <c r="GQ265" s="963"/>
      <c r="GR265" s="963"/>
      <c r="GS265" s="963"/>
      <c r="GT265" s="963"/>
      <c r="GU265" s="963"/>
      <c r="GV265" s="963"/>
      <c r="GW265" s="963"/>
      <c r="GX265" s="963"/>
      <c r="GY265" s="963"/>
      <c r="GZ265" s="963"/>
      <c r="HA265" s="963"/>
      <c r="HB265" s="963"/>
      <c r="HC265" s="963"/>
      <c r="HD265" s="963"/>
      <c r="HE265" s="963"/>
      <c r="HF265" s="963"/>
      <c r="HG265" s="963"/>
      <c r="HH265" s="963"/>
      <c r="HI265" s="963"/>
      <c r="HJ265" s="963"/>
      <c r="HK265" s="963"/>
      <c r="HL265" s="963"/>
      <c r="HM265" s="963"/>
      <c r="HN265" s="963"/>
      <c r="HO265" s="963"/>
      <c r="HP265" s="963"/>
      <c r="HQ265" s="963"/>
      <c r="HR265" s="963"/>
      <c r="HS265" s="963"/>
      <c r="HT265" s="963"/>
      <c r="HU265" s="963"/>
      <c r="HV265" s="963"/>
      <c r="HW265" s="963"/>
      <c r="HX265" s="963"/>
      <c r="HY265" s="963"/>
      <c r="HZ265" s="963"/>
      <c r="IA265" s="963"/>
      <c r="IB265" s="963"/>
      <c r="IC265" s="963"/>
      <c r="ID265" s="963"/>
      <c r="IE265" s="963"/>
      <c r="IF265" s="963"/>
      <c r="IG265" s="963"/>
      <c r="IH265" s="963"/>
      <c r="II265" s="963"/>
      <c r="IJ265" s="963"/>
      <c r="IK265" s="963"/>
      <c r="IL265" s="963"/>
      <c r="IM265" s="963"/>
      <c r="IN265" s="963"/>
      <c r="IO265" s="963"/>
      <c r="IP265" s="963"/>
      <c r="IQ265" s="963"/>
      <c r="IR265" s="963"/>
      <c r="IS265" s="963"/>
      <c r="IT265" s="963"/>
      <c r="IU265" s="963"/>
      <c r="IV265" s="963"/>
    </row>
    <row r="266" spans="1:256" s="49" customFormat="1" ht="12.75" x14ac:dyDescent="0.2">
      <c r="A266" s="35" t="s">
        <v>15</v>
      </c>
      <c r="B266" s="20"/>
      <c r="C266" s="20"/>
      <c r="D266" s="20"/>
      <c r="E266" s="205"/>
      <c r="F266" s="48"/>
      <c r="G266" s="20"/>
      <c r="H266" s="20"/>
      <c r="I266" s="20"/>
      <c r="J266" s="205"/>
      <c r="K266" s="48"/>
      <c r="L266" s="20"/>
      <c r="M266" s="20"/>
      <c r="N266" s="20"/>
      <c r="O266" s="205"/>
      <c r="P266" s="48"/>
      <c r="Q266" s="20"/>
      <c r="R266" s="20"/>
      <c r="S266" s="20"/>
      <c r="T266" s="205"/>
      <c r="U266" s="48"/>
      <c r="V266" s="20"/>
      <c r="W266" s="20"/>
      <c r="X266" s="20"/>
      <c r="Y266" s="205"/>
      <c r="Z266" s="48"/>
      <c r="AA266" s="20"/>
      <c r="AB266" s="20"/>
      <c r="AC266" s="20"/>
      <c r="AD266" s="205"/>
      <c r="AE266" s="48"/>
      <c r="AF266" s="20"/>
      <c r="AG266" s="20"/>
      <c r="AH266" s="20"/>
      <c r="AI266" s="205"/>
      <c r="AJ266" s="48"/>
      <c r="AK266" s="20"/>
      <c r="AL266" s="20"/>
      <c r="AM266" s="20"/>
      <c r="AN266" s="205"/>
      <c r="AO266" s="48"/>
      <c r="AP266" s="20">
        <f t="shared" ref="AP266:BM266" si="982">AP250+AP265</f>
        <v>177.55532800000003</v>
      </c>
      <c r="AQ266" s="20">
        <f t="shared" si="982"/>
        <v>191.22000000000003</v>
      </c>
      <c r="AR266" s="20">
        <f t="shared" si="982"/>
        <v>178.71799999999982</v>
      </c>
      <c r="AS266" s="205">
        <f t="shared" si="982"/>
        <v>223.846</v>
      </c>
      <c r="AT266" s="48">
        <f t="shared" si="982"/>
        <v>771.33932799999991</v>
      </c>
      <c r="AU266" s="20">
        <f t="shared" si="982"/>
        <v>131.62009999999987</v>
      </c>
      <c r="AV266" s="20">
        <f t="shared" si="982"/>
        <v>181.392</v>
      </c>
      <c r="AW266" s="20">
        <f t="shared" si="982"/>
        <v>150.31200000000007</v>
      </c>
      <c r="AX266" s="205">
        <f t="shared" si="982"/>
        <v>150.03360000000001</v>
      </c>
      <c r="AY266" s="48">
        <f t="shared" si="982"/>
        <v>613.35770000000002</v>
      </c>
      <c r="AZ266" s="20">
        <f t="shared" si="982"/>
        <v>112.28</v>
      </c>
      <c r="BA266" s="20">
        <f t="shared" si="982"/>
        <v>76.317625000000021</v>
      </c>
      <c r="BB266" s="20">
        <f t="shared" si="982"/>
        <v>19.089999999999918</v>
      </c>
      <c r="BC266" s="205">
        <f t="shared" si="982"/>
        <v>31.200000000000045</v>
      </c>
      <c r="BD266" s="48">
        <f t="shared" si="982"/>
        <v>238.88762499999999</v>
      </c>
      <c r="BE266" s="20">
        <f t="shared" si="982"/>
        <v>14.025</v>
      </c>
      <c r="BF266" s="20">
        <f t="shared" si="982"/>
        <v>100.8</v>
      </c>
      <c r="BG266" s="20">
        <f t="shared" si="982"/>
        <v>52.731285988483677</v>
      </c>
      <c r="BH266" s="205">
        <f t="shared" si="982"/>
        <v>40.6</v>
      </c>
      <c r="BI266" s="48">
        <f t="shared" si="982"/>
        <v>171.95628598848367</v>
      </c>
      <c r="BJ266" s="20">
        <f t="shared" si="982"/>
        <v>73.5</v>
      </c>
      <c r="BK266" s="20">
        <f t="shared" si="982"/>
        <v>107</v>
      </c>
      <c r="BL266" s="20">
        <f t="shared" si="982"/>
        <v>78.599999999999994</v>
      </c>
      <c r="BM266" s="205">
        <f t="shared" si="982"/>
        <v>116.19999999999999</v>
      </c>
      <c r="BN266" s="48">
        <f>SUM(BJ266:BM266)</f>
        <v>375.3</v>
      </c>
      <c r="BO266" s="20">
        <f>BO250+BO265</f>
        <v>86</v>
      </c>
      <c r="BP266" s="20">
        <f>BP250+BP265</f>
        <v>119</v>
      </c>
      <c r="BQ266" s="20">
        <f>BQ250+BQ265</f>
        <v>126</v>
      </c>
      <c r="BR266" s="205">
        <f>BR250+BR265</f>
        <v>129</v>
      </c>
      <c r="BS266" s="48">
        <f>SUM(BO266:BR266)</f>
        <v>460</v>
      </c>
      <c r="BT266" s="20">
        <f>BT250+BT265</f>
        <v>209.8</v>
      </c>
      <c r="BU266" s="20">
        <f>BU250+BU265</f>
        <v>137</v>
      </c>
      <c r="BV266" s="20">
        <f>BV250+BV265</f>
        <v>137</v>
      </c>
      <c r="BW266" s="205">
        <f>BW250+BW265</f>
        <v>51.3</v>
      </c>
      <c r="BX266" s="48">
        <f>SUM(BT266:BW266)</f>
        <v>535.1</v>
      </c>
      <c r="BY266" s="20">
        <f>BY250+BY265</f>
        <v>158</v>
      </c>
      <c r="BZ266" s="20">
        <f>BZ250+BZ265</f>
        <v>213</v>
      </c>
      <c r="CA266" s="20">
        <f>CA250+CA265</f>
        <v>288</v>
      </c>
      <c r="CB266" s="205">
        <f>CB250+CB265</f>
        <v>264</v>
      </c>
      <c r="CC266" s="48">
        <f t="shared" si="968"/>
        <v>923</v>
      </c>
      <c r="CD266" s="20">
        <f>CD250+CD265</f>
        <v>194</v>
      </c>
      <c r="CE266" s="20">
        <f>CE250+CE265</f>
        <v>424.5</v>
      </c>
      <c r="CF266" s="20">
        <f>CF250+CF265</f>
        <v>301</v>
      </c>
      <c r="CG266" s="205">
        <f>CG250+CG265</f>
        <v>362</v>
      </c>
      <c r="CH266" s="48">
        <f t="shared" si="969"/>
        <v>1281.5</v>
      </c>
      <c r="CI266" s="20">
        <f>CI250+CI265</f>
        <v>305</v>
      </c>
      <c r="CJ266" s="20">
        <f>CJ250+CJ265</f>
        <v>375</v>
      </c>
      <c r="CK266" s="20">
        <f>CK250+CK265</f>
        <v>416.1</v>
      </c>
      <c r="CL266" s="205">
        <f>CL250+CL265</f>
        <v>385</v>
      </c>
      <c r="CM266" s="48">
        <f t="shared" si="970"/>
        <v>1481.1</v>
      </c>
      <c r="CN266" s="20">
        <f>CN250+CN265</f>
        <v>285</v>
      </c>
      <c r="CO266" s="20">
        <f>CO250+CO265</f>
        <v>394</v>
      </c>
      <c r="CP266" s="20">
        <f>CP250+CP265</f>
        <v>386</v>
      </c>
      <c r="CQ266" s="205">
        <f>CQ250+CQ265</f>
        <v>399</v>
      </c>
      <c r="CR266" s="48">
        <f t="shared" si="971"/>
        <v>1464</v>
      </c>
      <c r="CS266" s="20">
        <f>CS250+CS265</f>
        <v>291</v>
      </c>
      <c r="CT266" s="20">
        <f>CT250+CT265</f>
        <v>453</v>
      </c>
      <c r="CU266" s="20">
        <f>CU250+CU265</f>
        <v>520</v>
      </c>
      <c r="CV266" s="205">
        <f>CV250+CV265</f>
        <v>452</v>
      </c>
      <c r="CW266" s="48">
        <f t="shared" si="972"/>
        <v>1716</v>
      </c>
      <c r="CX266" s="20">
        <f>CX250+CX265</f>
        <v>177</v>
      </c>
      <c r="CY266" s="20">
        <f>CY250+CY265</f>
        <v>247</v>
      </c>
      <c r="CZ266" s="20">
        <f>CZ250+CZ265</f>
        <v>303</v>
      </c>
      <c r="DA266" s="20">
        <f>DA250+DA265</f>
        <v>307</v>
      </c>
      <c r="DB266" s="48">
        <f t="shared" si="973"/>
        <v>1034</v>
      </c>
      <c r="DC266" s="20">
        <f>DC250+DC265</f>
        <v>282</v>
      </c>
      <c r="DD266" s="20">
        <f>DD250+DD265</f>
        <v>392</v>
      </c>
      <c r="DE266" s="20">
        <f>DE250+DE265</f>
        <v>445</v>
      </c>
      <c r="DF266" s="20">
        <f>DF250+DF265</f>
        <v>367.87317585301844</v>
      </c>
      <c r="DG266" s="48">
        <f t="shared" si="974"/>
        <v>1486.8731758530184</v>
      </c>
      <c r="DH266" s="20">
        <f>DH250+DH265</f>
        <v>361</v>
      </c>
      <c r="DI266" s="20">
        <f>DI250+DI265</f>
        <v>494</v>
      </c>
      <c r="DJ266" s="20">
        <f>DJ250+DJ265</f>
        <v>554</v>
      </c>
      <c r="DK266" s="20">
        <f>DK250+DK265</f>
        <v>469</v>
      </c>
      <c r="DL266" s="48">
        <f t="shared" si="975"/>
        <v>1878</v>
      </c>
      <c r="DM266" s="20">
        <f>DM250+DM265</f>
        <v>410</v>
      </c>
      <c r="DN266" s="20">
        <f>DN250+DN265</f>
        <v>524</v>
      </c>
      <c r="DO266" s="20">
        <f>DO250+DO265</f>
        <v>402</v>
      </c>
      <c r="DP266" s="20">
        <f>DP250+DP265</f>
        <v>413</v>
      </c>
      <c r="DQ266" s="48">
        <f t="shared" si="976"/>
        <v>1749</v>
      </c>
      <c r="DR266" s="20">
        <f>DR250+DR265</f>
        <v>389.5</v>
      </c>
      <c r="DS266" s="20">
        <f>DS250+DS265</f>
        <v>465</v>
      </c>
      <c r="DT266" s="20">
        <f>DT250+DT265</f>
        <v>481.6</v>
      </c>
      <c r="DU266" s="20">
        <f>DU250+DU265</f>
        <v>513</v>
      </c>
      <c r="DV266" s="48">
        <f t="shared" si="977"/>
        <v>1849.1</v>
      </c>
      <c r="DW266" s="20">
        <f>DW250+DW265</f>
        <v>367.5</v>
      </c>
      <c r="DX266" s="20">
        <f>DX250+DX265</f>
        <v>562</v>
      </c>
      <c r="DY266" s="20">
        <f>DY250+DY265</f>
        <v>559.09999999999991</v>
      </c>
      <c r="DZ266" s="20">
        <f>DZ250+DZ265</f>
        <v>511</v>
      </c>
      <c r="EA266" s="48">
        <f t="shared" si="978"/>
        <v>1999.6</v>
      </c>
      <c r="EB266" s="20">
        <f>EB250+EB265</f>
        <v>310</v>
      </c>
      <c r="EC266" s="20">
        <f>EC250+EC265</f>
        <v>432.6</v>
      </c>
      <c r="ED266" s="20">
        <f>ED250+ED265</f>
        <v>452</v>
      </c>
      <c r="EE266" s="20">
        <f>EE250+EE265</f>
        <v>361</v>
      </c>
      <c r="EF266" s="48">
        <f t="shared" si="979"/>
        <v>1555.6</v>
      </c>
      <c r="EG266" s="20">
        <f t="shared" ref="EG266:ER266" si="983">EG250+EG265</f>
        <v>387</v>
      </c>
      <c r="EH266" s="20">
        <f t="shared" si="983"/>
        <v>404.8</v>
      </c>
      <c r="EI266" s="20">
        <f t="shared" si="983"/>
        <v>459.6</v>
      </c>
      <c r="EJ266" s="20">
        <f>EJ250+EJ265</f>
        <v>416</v>
      </c>
      <c r="EK266" s="48">
        <f t="shared" si="980"/>
        <v>1667.4</v>
      </c>
      <c r="EL266" s="20">
        <f>EL250+EL265</f>
        <v>433</v>
      </c>
      <c r="EM266" s="20">
        <f t="shared" ref="EM266:EN266" si="984">EM250+EM265</f>
        <v>497</v>
      </c>
      <c r="EN266" s="20">
        <f t="shared" si="984"/>
        <v>506</v>
      </c>
      <c r="EO266" s="20">
        <f>EO250+EO265</f>
        <v>486</v>
      </c>
      <c r="EP266" s="48">
        <f t="shared" si="981"/>
        <v>1922</v>
      </c>
      <c r="EQ266" s="20">
        <f>EQ250+EQ265</f>
        <v>552</v>
      </c>
      <c r="ER266" s="20">
        <f t="shared" si="983"/>
        <v>635.47928205694575</v>
      </c>
      <c r="ES266" s="20">
        <f t="shared" ref="ES266:EU266" si="985">ES250+ES265</f>
        <v>586.22132751087804</v>
      </c>
      <c r="ET266" s="20">
        <f t="shared" si="985"/>
        <v>558.63149282224015</v>
      </c>
      <c r="EU266" s="1954">
        <f t="shared" si="985"/>
        <v>2332.3321023900635</v>
      </c>
      <c r="EV266" s="297"/>
      <c r="EW266" s="298"/>
      <c r="EX266" s="20"/>
      <c r="EY266" s="297"/>
      <c r="EZ266" s="747">
        <f>EZ250+EZ265</f>
        <v>2428.0859835293281</v>
      </c>
      <c r="FA266" s="297"/>
      <c r="FB266" s="298"/>
      <c r="FC266" s="20"/>
      <c r="FD266" s="297"/>
      <c r="FE266" s="747">
        <f>FE250+FE265</f>
        <v>2554.4336891205776</v>
      </c>
      <c r="FF266" s="806"/>
      <c r="FG266" s="660"/>
      <c r="FH266" s="1077"/>
      <c r="FI266" s="1077"/>
      <c r="FJ266" s="1077"/>
      <c r="FK266" s="1077"/>
      <c r="FL266" s="1841"/>
      <c r="FM266" s="20">
        <f>EQ266</f>
        <v>552</v>
      </c>
      <c r="FN266" s="20">
        <f>EL266</f>
        <v>433</v>
      </c>
      <c r="FO266" s="2048">
        <v>510.80445158370611</v>
      </c>
      <c r="FP266" s="16">
        <f>IFERROR(($FM266/FN266)-1,"")</f>
        <v>0.27482678983833719</v>
      </c>
      <c r="FQ266" s="16">
        <f>IFERROR(($FM266/FO266)-1,"")</f>
        <v>8.064837392973101E-2</v>
      </c>
      <c r="FR266" s="537"/>
      <c r="FS266" s="537"/>
      <c r="FT266" s="537"/>
      <c r="FU266" s="537"/>
      <c r="FV266" s="537"/>
      <c r="FW266" s="537"/>
      <c r="FX266" s="537"/>
      <c r="FY266" s="537"/>
      <c r="FZ266" s="537"/>
      <c r="GA266" s="660"/>
      <c r="GB266"/>
      <c r="GC266"/>
      <c r="GD266"/>
      <c r="GE266"/>
      <c r="GF266"/>
      <c r="GG266"/>
      <c r="GH266" s="963"/>
      <c r="GI266" s="963"/>
      <c r="GJ266" s="963"/>
      <c r="GK266" s="963"/>
      <c r="GL266" s="963"/>
      <c r="GM266" s="963"/>
      <c r="GN266" s="963"/>
      <c r="GO266" s="963"/>
      <c r="GP266" s="963"/>
      <c r="GQ266" s="963"/>
      <c r="GR266" s="963"/>
      <c r="GS266" s="963"/>
      <c r="GT266" s="963"/>
      <c r="GU266" s="963"/>
      <c r="GV266" s="963"/>
      <c r="GW266" s="963"/>
      <c r="GX266" s="963"/>
      <c r="GY266" s="963"/>
      <c r="GZ266" s="963"/>
      <c r="HA266" s="963"/>
      <c r="HB266" s="963"/>
      <c r="HC266" s="963"/>
      <c r="HD266" s="963"/>
      <c r="HE266" s="963"/>
      <c r="HF266" s="963"/>
      <c r="HG266" s="963"/>
      <c r="HH266" s="963"/>
      <c r="HI266" s="963"/>
      <c r="HJ266" s="963"/>
      <c r="HK266" s="963"/>
      <c r="HL266" s="963"/>
      <c r="HM266" s="963"/>
      <c r="HN266" s="963"/>
      <c r="HO266" s="963"/>
      <c r="HP266" s="963"/>
      <c r="HQ266" s="963"/>
      <c r="HR266" s="963"/>
      <c r="HS266" s="963"/>
      <c r="HT266" s="963"/>
      <c r="HU266" s="963"/>
      <c r="HV266" s="963"/>
      <c r="HW266" s="963"/>
      <c r="HX266" s="963"/>
      <c r="HY266" s="963"/>
      <c r="HZ266" s="963"/>
      <c r="IA266" s="963"/>
      <c r="IB266" s="963"/>
      <c r="IC266" s="963"/>
      <c r="ID266" s="963"/>
      <c r="IE266" s="963"/>
      <c r="IF266" s="963"/>
      <c r="IG266" s="963"/>
      <c r="IH266" s="963"/>
      <c r="II266" s="963"/>
      <c r="IJ266" s="963"/>
      <c r="IK266" s="963"/>
      <c r="IL266" s="963"/>
      <c r="IM266" s="963"/>
      <c r="IN266" s="963"/>
      <c r="IO266" s="963"/>
      <c r="IP266" s="963"/>
      <c r="IQ266" s="963"/>
      <c r="IR266" s="963"/>
      <c r="IS266" s="963"/>
      <c r="IT266" s="963"/>
      <c r="IU266" s="963"/>
      <c r="IV266" s="963"/>
    </row>
    <row r="267" spans="1:256" s="305" customFormat="1" ht="12.75" x14ac:dyDescent="0.2">
      <c r="A267" s="300" t="s">
        <v>24</v>
      </c>
      <c r="B267" s="301"/>
      <c r="C267" s="301"/>
      <c r="D267" s="301"/>
      <c r="E267" s="302"/>
      <c r="F267" s="303"/>
      <c r="G267" s="301"/>
      <c r="H267" s="301"/>
      <c r="I267" s="301"/>
      <c r="J267" s="302"/>
      <c r="K267" s="303"/>
      <c r="L267" s="301"/>
      <c r="M267" s="301"/>
      <c r="N267" s="301"/>
      <c r="O267" s="302"/>
      <c r="P267" s="303"/>
      <c r="Q267" s="301"/>
      <c r="R267" s="301"/>
      <c r="S267" s="301"/>
      <c r="T267" s="302"/>
      <c r="U267" s="303"/>
      <c r="V267" s="301"/>
      <c r="W267" s="301"/>
      <c r="X267" s="301"/>
      <c r="Y267" s="302"/>
      <c r="Z267" s="303"/>
      <c r="AA267" s="301"/>
      <c r="AB267" s="301"/>
      <c r="AC267" s="301"/>
      <c r="AD267" s="302"/>
      <c r="AE267" s="303"/>
      <c r="AF267" s="301"/>
      <c r="AG267" s="301"/>
      <c r="AH267" s="301"/>
      <c r="AI267" s="302"/>
      <c r="AJ267" s="303"/>
      <c r="AK267" s="301"/>
      <c r="AL267" s="301"/>
      <c r="AM267" s="301"/>
      <c r="AN267" s="302"/>
      <c r="AO267" s="303"/>
      <c r="AP267" s="301">
        <f>AP265/AP257</f>
        <v>-3.926337832415183E-3</v>
      </c>
      <c r="AQ267" s="301">
        <f>AQ265/AQ257</f>
        <v>-2.8409468052623892E-2</v>
      </c>
      <c r="AR267" s="301">
        <f>AR265/AR257</f>
        <v>-6.6544663696159551E-2</v>
      </c>
      <c r="AS267" s="301">
        <f>AS265/AS257</f>
        <v>-5.3034923497122854E-2</v>
      </c>
      <c r="AT267" s="303">
        <f>AT265/AT259</f>
        <v>-0.15198313341100306</v>
      </c>
      <c r="AU267" s="301">
        <f>AU265/AU257</f>
        <v>-9.4488188976377951E-2</v>
      </c>
      <c r="AV267" s="301">
        <f>AV265/AV257</f>
        <v>-4.7501174334587719E-2</v>
      </c>
      <c r="AW267" s="301">
        <f>AW265/AW257</f>
        <v>-3.9581073913697425E-2</v>
      </c>
      <c r="AX267" s="301">
        <f>AX265/AX257</f>
        <v>-2.3725730554786668E-2</v>
      </c>
      <c r="AY267" s="303">
        <f>AY265/AY259</f>
        <v>-0.20551474878549558</v>
      </c>
      <c r="AZ267" s="301">
        <f>AZ265/AZ257</f>
        <v>-0.10798225930491029</v>
      </c>
      <c r="BA267" s="301">
        <f>BA265/BA257</f>
        <v>-8.9950372208436713E-2</v>
      </c>
      <c r="BB267" s="301">
        <f>BB265/BB257</f>
        <v>0</v>
      </c>
      <c r="BC267" s="301">
        <f>BC265/BC257</f>
        <v>0</v>
      </c>
      <c r="BD267" s="303">
        <f t="shared" ref="BD267:BI267" si="986">BD265/BD259</f>
        <v>-0.19782854419937027</v>
      </c>
      <c r="BE267" s="301">
        <f t="shared" si="986"/>
        <v>0</v>
      </c>
      <c r="BF267" s="301">
        <f t="shared" si="986"/>
        <v>0</v>
      </c>
      <c r="BG267" s="301">
        <f t="shared" si="986"/>
        <v>0</v>
      </c>
      <c r="BH267" s="302">
        <f t="shared" si="986"/>
        <v>0</v>
      </c>
      <c r="BI267" s="303">
        <f t="shared" si="986"/>
        <v>-9.4431169590033087E-2</v>
      </c>
      <c r="BJ267" s="301"/>
      <c r="BK267" s="301"/>
      <c r="BL267" s="301"/>
      <c r="BM267" s="302"/>
      <c r="BN267" s="303"/>
      <c r="BO267" s="301"/>
      <c r="BP267" s="301"/>
      <c r="BQ267" s="301"/>
      <c r="BR267" s="302"/>
      <c r="BS267" s="303"/>
      <c r="BT267" s="301">
        <f>BT265/BT259</f>
        <v>0.32061657032755303</v>
      </c>
      <c r="BU267" s="301"/>
      <c r="BV267" s="301"/>
      <c r="BW267" s="302"/>
      <c r="BX267" s="303"/>
      <c r="BY267" s="301">
        <f>BY265/BY259</f>
        <v>0</v>
      </c>
      <c r="BZ267" s="301">
        <f>BZ265/BZ259</f>
        <v>0</v>
      </c>
      <c r="CA267" s="301">
        <f>CA265/CA259</f>
        <v>0.13246688327918019</v>
      </c>
      <c r="CB267" s="302">
        <f>CB265/CB259</f>
        <v>0</v>
      </c>
      <c r="CC267" s="303">
        <f t="shared" si="968"/>
        <v>0.13246688327918019</v>
      </c>
      <c r="CD267" s="301">
        <f>CD265/CD259</f>
        <v>0</v>
      </c>
      <c r="CE267" s="301">
        <f>CE265/CE259</f>
        <v>0.29040823099900431</v>
      </c>
      <c r="CF267" s="301">
        <f>CF265/CF259</f>
        <v>0</v>
      </c>
      <c r="CG267" s="302">
        <f>CG265/CG259</f>
        <v>0</v>
      </c>
      <c r="CH267" s="303">
        <f t="shared" si="969"/>
        <v>0.29040823099900431</v>
      </c>
      <c r="CI267" s="301">
        <f>CI265/CI259</f>
        <v>0</v>
      </c>
      <c r="CJ267" s="301">
        <f>CJ265/CJ259</f>
        <v>0</v>
      </c>
      <c r="CK267" s="301">
        <f>CK265/CK259</f>
        <v>0</v>
      </c>
      <c r="CL267" s="302">
        <f>CL265/CL259</f>
        <v>0</v>
      </c>
      <c r="CM267" s="303">
        <f t="shared" si="970"/>
        <v>0</v>
      </c>
      <c r="CN267" s="301">
        <f>CN265/CN259</f>
        <v>0</v>
      </c>
      <c r="CO267" s="301">
        <f>CO265/CO259</f>
        <v>0</v>
      </c>
      <c r="CP267" s="301">
        <f>CP265/CP259</f>
        <v>-4.7810770005032713E-2</v>
      </c>
      <c r="CQ267" s="302">
        <f>CQ265/CQ259</f>
        <v>0</v>
      </c>
      <c r="CR267" s="303">
        <f t="shared" si="971"/>
        <v>-4.7810770005032713E-2</v>
      </c>
      <c r="CS267" s="301">
        <f>CS265/CS259</f>
        <v>-2.0701951007024329E-2</v>
      </c>
      <c r="CT267" s="301">
        <f>CT265/CT259</f>
        <v>0</v>
      </c>
      <c r="CU267" s="301">
        <f>CU265/CU259</f>
        <v>0</v>
      </c>
      <c r="CV267" s="302">
        <f>CV265/CV259</f>
        <v>0</v>
      </c>
      <c r="CW267" s="303">
        <f t="shared" si="972"/>
        <v>-2.0701951007024329E-2</v>
      </c>
      <c r="CX267" s="301">
        <f>CX265/CX259</f>
        <v>0</v>
      </c>
      <c r="CY267" s="301">
        <f>CY265/CY259</f>
        <v>0</v>
      </c>
      <c r="CZ267" s="301">
        <f>CZ265/CZ259</f>
        <v>0</v>
      </c>
      <c r="DA267" s="301">
        <f>DA265/DA259</f>
        <v>0</v>
      </c>
      <c r="DB267" s="303">
        <f t="shared" si="973"/>
        <v>0</v>
      </c>
      <c r="DC267" s="301">
        <f>DC265/DC259</f>
        <v>0</v>
      </c>
      <c r="DD267" s="301">
        <f>DD265/DD259</f>
        <v>0</v>
      </c>
      <c r="DE267" s="301">
        <f>DE265/DE259</f>
        <v>0</v>
      </c>
      <c r="DF267" s="301">
        <f>DF265/DF259</f>
        <v>0</v>
      </c>
      <c r="DG267" s="303">
        <f t="shared" si="974"/>
        <v>0</v>
      </c>
      <c r="DH267" s="301">
        <f>DH265/DH259</f>
        <v>0</v>
      </c>
      <c r="DI267" s="301">
        <f>DI265/DI259</f>
        <v>0</v>
      </c>
      <c r="DJ267" s="301">
        <f>DJ265/DJ259</f>
        <v>0</v>
      </c>
      <c r="DK267" s="301">
        <f>DK265/DK259</f>
        <v>0</v>
      </c>
      <c r="DL267" s="303">
        <f t="shared" si="975"/>
        <v>0</v>
      </c>
      <c r="DM267" s="301">
        <f>DM265/DM259</f>
        <v>0</v>
      </c>
      <c r="DN267" s="301">
        <f>DN265/DN259</f>
        <v>0</v>
      </c>
      <c r="DO267" s="301">
        <f>DO265/DO259</f>
        <v>0</v>
      </c>
      <c r="DP267" s="301">
        <f>DP265/DP259</f>
        <v>0</v>
      </c>
      <c r="DQ267" s="303">
        <f t="shared" si="976"/>
        <v>0</v>
      </c>
      <c r="DR267" s="301">
        <f>DR265/DR259</f>
        <v>0</v>
      </c>
      <c r="DS267" s="301">
        <f>DS265/DS259</f>
        <v>0</v>
      </c>
      <c r="DT267" s="301">
        <f>DT265/DT259</f>
        <v>0</v>
      </c>
      <c r="DU267" s="301">
        <f>DU265/DU259</f>
        <v>0</v>
      </c>
      <c r="DV267" s="303">
        <f t="shared" si="977"/>
        <v>0</v>
      </c>
      <c r="DW267" s="301">
        <f>DW265/DW259</f>
        <v>0</v>
      </c>
      <c r="DX267" s="301">
        <f>DX265/DX259</f>
        <v>0</v>
      </c>
      <c r="DY267" s="301">
        <f>DY265/DY259</f>
        <v>0</v>
      </c>
      <c r="DZ267" s="301">
        <f>DZ265/DZ259</f>
        <v>0</v>
      </c>
      <c r="EA267" s="303">
        <f t="shared" si="978"/>
        <v>0</v>
      </c>
      <c r="EB267" s="301">
        <f>EB265/EB259</f>
        <v>0</v>
      </c>
      <c r="EC267" s="301">
        <f>EC265/EC259</f>
        <v>0</v>
      </c>
      <c r="ED267" s="301">
        <f>ED265/ED259</f>
        <v>0</v>
      </c>
      <c r="EE267" s="301">
        <f>EE265/EE259</f>
        <v>0</v>
      </c>
      <c r="EF267" s="303">
        <f t="shared" si="979"/>
        <v>0</v>
      </c>
      <c r="EG267" s="301">
        <f t="shared" ref="EG267:ER267" si="987">EG265/EG259</f>
        <v>0</v>
      </c>
      <c r="EH267" s="301">
        <f t="shared" si="987"/>
        <v>0</v>
      </c>
      <c r="EI267" s="301">
        <f t="shared" si="987"/>
        <v>0</v>
      </c>
      <c r="EJ267" s="301">
        <f>EJ265/EJ259</f>
        <v>0</v>
      </c>
      <c r="EK267" s="303">
        <f t="shared" si="980"/>
        <v>0</v>
      </c>
      <c r="EL267" s="301">
        <f>EL265/EL259</f>
        <v>0</v>
      </c>
      <c r="EM267" s="301">
        <f t="shared" ref="EM267:EN267" si="988">EM265/EM259</f>
        <v>0</v>
      </c>
      <c r="EN267" s="301">
        <f t="shared" si="988"/>
        <v>0</v>
      </c>
      <c r="EO267" s="301">
        <f>EO265/EO259</f>
        <v>0</v>
      </c>
      <c r="EP267" s="303">
        <f t="shared" si="981"/>
        <v>0</v>
      </c>
      <c r="EQ267" s="301">
        <f>EQ265/EQ259</f>
        <v>0</v>
      </c>
      <c r="ER267" s="301">
        <f t="shared" si="987"/>
        <v>0</v>
      </c>
      <c r="ES267" s="301">
        <f t="shared" ref="ES267:EU267" si="989">ES265/ES259</f>
        <v>0</v>
      </c>
      <c r="ET267" s="301">
        <f t="shared" si="989"/>
        <v>0</v>
      </c>
      <c r="EU267" s="1976">
        <f t="shared" si="989"/>
        <v>0</v>
      </c>
      <c r="EV267" s="304"/>
      <c r="EW267" s="301"/>
      <c r="EX267" s="301"/>
      <c r="EY267" s="301"/>
      <c r="EZ267" s="884">
        <f>EZ265/EZ259</f>
        <v>0</v>
      </c>
      <c r="FA267" s="304"/>
      <c r="FB267" s="301"/>
      <c r="FC267" s="301"/>
      <c r="FD267" s="301"/>
      <c r="FE267" s="884">
        <f>FE265/FE259</f>
        <v>0</v>
      </c>
      <c r="FF267" s="807"/>
      <c r="FG267" s="660"/>
      <c r="FH267" s="1078"/>
      <c r="FI267" s="1078"/>
      <c r="FJ267" s="1078"/>
      <c r="FK267" s="1078"/>
      <c r="FL267" s="1842"/>
      <c r="FM267" s="301">
        <f>EQ267</f>
        <v>0</v>
      </c>
      <c r="FN267" s="301">
        <f>EL267</f>
        <v>0</v>
      </c>
      <c r="FO267" s="301">
        <v>0</v>
      </c>
      <c r="FP267" s="301"/>
      <c r="FQ267" s="301"/>
      <c r="FR267" s="596"/>
      <c r="FS267" s="596"/>
      <c r="FT267" s="596"/>
      <c r="FU267" s="596"/>
      <c r="FV267" s="596"/>
      <c r="FW267" s="596"/>
      <c r="FX267" s="596"/>
      <c r="FY267" s="596"/>
      <c r="FZ267" s="596"/>
      <c r="GA267" s="660"/>
      <c r="GB267"/>
      <c r="GC267"/>
      <c r="GD267"/>
      <c r="GE267"/>
      <c r="GF267"/>
      <c r="GG267"/>
      <c r="GH267" s="988"/>
      <c r="GI267" s="988"/>
      <c r="GJ267" s="988"/>
      <c r="GK267" s="988"/>
      <c r="GL267" s="988"/>
      <c r="GM267" s="988"/>
      <c r="GN267" s="988"/>
      <c r="GO267" s="988"/>
      <c r="GP267" s="988"/>
      <c r="GQ267" s="988"/>
      <c r="GR267" s="988"/>
      <c r="GS267" s="988"/>
      <c r="GT267" s="988"/>
      <c r="GU267" s="988"/>
      <c r="GV267" s="988"/>
      <c r="GW267" s="988"/>
      <c r="GX267" s="988"/>
      <c r="GY267" s="988"/>
      <c r="GZ267" s="988"/>
      <c r="HA267" s="988"/>
      <c r="HB267" s="988"/>
      <c r="HC267" s="988"/>
      <c r="HD267" s="988"/>
      <c r="HE267" s="988"/>
      <c r="HF267" s="988"/>
      <c r="HG267" s="988"/>
      <c r="HH267" s="988"/>
      <c r="HI267" s="988"/>
      <c r="HJ267" s="988"/>
      <c r="HK267" s="988"/>
      <c r="HL267" s="988"/>
      <c r="HM267" s="988"/>
      <c r="HN267" s="988"/>
      <c r="HO267" s="988"/>
      <c r="HP267" s="988"/>
      <c r="HQ267" s="988"/>
      <c r="HR267" s="988"/>
      <c r="HS267" s="988"/>
      <c r="HT267" s="988"/>
      <c r="HU267" s="988"/>
      <c r="HV267" s="988"/>
      <c r="HW267" s="988"/>
      <c r="HX267" s="988"/>
      <c r="HY267" s="988"/>
      <c r="HZ267" s="988"/>
      <c r="IA267" s="988"/>
      <c r="IB267" s="988"/>
      <c r="IC267" s="988"/>
      <c r="ID267" s="988"/>
      <c r="IE267" s="988"/>
      <c r="IF267" s="988"/>
      <c r="IG267" s="988"/>
      <c r="IH267" s="988"/>
      <c r="II267" s="988"/>
      <c r="IJ267" s="988"/>
      <c r="IK267" s="988"/>
      <c r="IL267" s="988"/>
      <c r="IM267" s="988"/>
      <c r="IN267" s="988"/>
      <c r="IO267" s="988"/>
      <c r="IP267" s="988"/>
      <c r="IQ267" s="988"/>
      <c r="IR267" s="988"/>
      <c r="IS267" s="988"/>
      <c r="IT267" s="988"/>
      <c r="IU267" s="988"/>
      <c r="IV267" s="988"/>
    </row>
    <row r="268" spans="1:256" s="482" customFormat="1" ht="12.75" customHeight="1" x14ac:dyDescent="0.2">
      <c r="A268" s="479" t="s">
        <v>25</v>
      </c>
      <c r="B268" s="313"/>
      <c r="C268" s="313"/>
      <c r="D268" s="313"/>
      <c r="E268" s="480"/>
      <c r="F268" s="312"/>
      <c r="G268" s="313"/>
      <c r="H268" s="313"/>
      <c r="I268" s="313"/>
      <c r="J268" s="480"/>
      <c r="K268" s="312"/>
      <c r="L268" s="313"/>
      <c r="M268" s="313"/>
      <c r="N268" s="313"/>
      <c r="O268" s="480"/>
      <c r="P268" s="312"/>
      <c r="Q268" s="313"/>
      <c r="R268" s="313"/>
      <c r="S268" s="313"/>
      <c r="T268" s="480"/>
      <c r="U268" s="312"/>
      <c r="V268" s="313"/>
      <c r="W268" s="313"/>
      <c r="X268" s="313"/>
      <c r="Y268" s="480"/>
      <c r="Z268" s="312"/>
      <c r="AA268" s="313"/>
      <c r="AB268" s="313"/>
      <c r="AC268" s="313"/>
      <c r="AD268" s="480"/>
      <c r="AE268" s="312"/>
      <c r="AF268" s="313"/>
      <c r="AG268" s="313"/>
      <c r="AH268" s="313"/>
      <c r="AI268" s="480"/>
      <c r="AJ268" s="312"/>
      <c r="AK268" s="313"/>
      <c r="AL268" s="313"/>
      <c r="AM268" s="313"/>
      <c r="AN268" s="480"/>
      <c r="AO268" s="312"/>
      <c r="AP268" s="313">
        <f t="shared" ref="AP268:BI268" si="990">AP267+AP253</f>
        <v>0.47184639874142642</v>
      </c>
      <c r="AQ268" s="313">
        <f t="shared" si="990"/>
        <v>0.50770640009558332</v>
      </c>
      <c r="AR268" s="313">
        <f t="shared" si="990"/>
        <v>0.47400275832802841</v>
      </c>
      <c r="AS268" s="313">
        <f t="shared" si="990"/>
        <v>0.59358277425684802</v>
      </c>
      <c r="AT268" s="312">
        <f t="shared" si="990"/>
        <v>2.0470705910892049</v>
      </c>
      <c r="AU268" s="313">
        <f t="shared" si="990"/>
        <v>0.34545958005249311</v>
      </c>
      <c r="AV268" s="313">
        <f t="shared" si="990"/>
        <v>0.47868516749441864</v>
      </c>
      <c r="AW268" s="313">
        <f t="shared" si="990"/>
        <v>0.39663402547437937</v>
      </c>
      <c r="AX268" s="313">
        <f t="shared" si="990"/>
        <v>0.39551741864051571</v>
      </c>
      <c r="AY268" s="312">
        <f t="shared" si="990"/>
        <v>1.6160776106557611</v>
      </c>
      <c r="AZ268" s="313">
        <f t="shared" si="990"/>
        <v>0.29571336767695922</v>
      </c>
      <c r="BA268" s="313">
        <f t="shared" si="990"/>
        <v>0.20060779587416416</v>
      </c>
      <c r="BB268" s="313">
        <f t="shared" si="990"/>
        <v>5.016700435446423E-2</v>
      </c>
      <c r="BC268" s="313">
        <f t="shared" si="990"/>
        <v>8.1682021315866063E-2</v>
      </c>
      <c r="BD268" s="312">
        <f t="shared" si="990"/>
        <v>0.62827427653543055</v>
      </c>
      <c r="BE268" s="313">
        <f t="shared" si="990"/>
        <v>3.6628362496735442E-2</v>
      </c>
      <c r="BF268" s="313">
        <f t="shared" si="990"/>
        <v>0.26303360202076609</v>
      </c>
      <c r="BG268" s="313">
        <f t="shared" si="990"/>
        <v>0.13751049228881371</v>
      </c>
      <c r="BH268" s="480">
        <f t="shared" si="990"/>
        <v>0.10578426263679</v>
      </c>
      <c r="BI268" s="312">
        <f t="shared" si="990"/>
        <v>0.4485644531560975</v>
      </c>
      <c r="BJ268" s="313"/>
      <c r="BK268" s="313"/>
      <c r="BL268" s="313"/>
      <c r="BM268" s="480"/>
      <c r="BN268" s="312"/>
      <c r="BO268" s="313"/>
      <c r="BP268" s="313"/>
      <c r="BQ268" s="313"/>
      <c r="BR268" s="480"/>
      <c r="BS268" s="312"/>
      <c r="BT268" s="313">
        <f>BT267+BT253</f>
        <v>0.53898522800256909</v>
      </c>
      <c r="BU268" s="313"/>
      <c r="BV268" s="313"/>
      <c r="BW268" s="480"/>
      <c r="BX268" s="312"/>
      <c r="BY268" s="313">
        <f t="shared" ref="BY268:DX268" si="991">BY267+BY253</f>
        <v>0.40101522842639592</v>
      </c>
      <c r="BZ268" s="313">
        <f t="shared" si="991"/>
        <v>0.53733602421796167</v>
      </c>
      <c r="CA268" s="313">
        <f t="shared" si="991"/>
        <v>0.71982004498875274</v>
      </c>
      <c r="CB268" s="480">
        <f t="shared" si="991"/>
        <v>0.64895159902657262</v>
      </c>
      <c r="CC268" s="312">
        <f t="shared" si="991"/>
        <v>2.3111297602410721</v>
      </c>
      <c r="CD268" s="313">
        <f t="shared" si="991"/>
        <v>0.4730472779055222</v>
      </c>
      <c r="CE268" s="313">
        <f t="shared" si="991"/>
        <v>1.0359520509166162</v>
      </c>
      <c r="CF268" s="313">
        <f t="shared" si="991"/>
        <v>0.72998896528308299</v>
      </c>
      <c r="CG268" s="480">
        <f t="shared" si="991"/>
        <v>0.86820337064369368</v>
      </c>
      <c r="CH268" s="312">
        <f t="shared" si="991"/>
        <v>3.110020361516121</v>
      </c>
      <c r="CI268" s="313">
        <f t="shared" si="991"/>
        <v>0.72313780161366414</v>
      </c>
      <c r="CJ268" s="313">
        <f t="shared" si="991"/>
        <v>0.88698613936326232</v>
      </c>
      <c r="CK268" s="313">
        <f t="shared" si="991"/>
        <v>1.0150711598791966</v>
      </c>
      <c r="CL268" s="480">
        <f t="shared" si="991"/>
        <v>0.95221606648199453</v>
      </c>
      <c r="CM268" s="312">
        <f t="shared" si="991"/>
        <v>3.5715082333862833</v>
      </c>
      <c r="CN268" s="313">
        <f t="shared" si="991"/>
        <v>0.70842654735272181</v>
      </c>
      <c r="CO268" s="313">
        <f t="shared" si="991"/>
        <v>0.98083146626835949</v>
      </c>
      <c r="CP268" s="313">
        <f t="shared" si="991"/>
        <v>0.97131353799698039</v>
      </c>
      <c r="CQ268" s="480">
        <f t="shared" si="991"/>
        <v>1.0233393177737882</v>
      </c>
      <c r="CR268" s="312">
        <f t="shared" si="991"/>
        <v>3.6799589779997426</v>
      </c>
      <c r="CS268" s="313">
        <f t="shared" si="991"/>
        <v>0.7580098984110446</v>
      </c>
      <c r="CT268" s="313">
        <f t="shared" si="991"/>
        <v>1.1812255541069101</v>
      </c>
      <c r="CU268" s="313">
        <f t="shared" si="991"/>
        <v>1.366622864651774</v>
      </c>
      <c r="CV268" s="480">
        <f t="shared" si="991"/>
        <v>1.2137486573576799</v>
      </c>
      <c r="CW268" s="312">
        <f t="shared" si="991"/>
        <v>4.5151067156813829</v>
      </c>
      <c r="CX268" s="313">
        <f t="shared" si="991"/>
        <v>0.47157100511991373</v>
      </c>
      <c r="CY268" s="313">
        <f t="shared" si="991"/>
        <v>0.65966612816370496</v>
      </c>
      <c r="CZ268" s="313">
        <f t="shared" si="991"/>
        <v>0.8080536912751678</v>
      </c>
      <c r="DA268" s="313">
        <f t="shared" si="991"/>
        <v>0.81703723546745244</v>
      </c>
      <c r="DB268" s="312">
        <f t="shared" si="991"/>
        <v>2.7575085668212056</v>
      </c>
      <c r="DC268" s="313">
        <f t="shared" si="991"/>
        <v>0.74686583088823688</v>
      </c>
      <c r="DD268" s="313">
        <f t="shared" si="991"/>
        <v>1.039722740602506</v>
      </c>
      <c r="DE268" s="313">
        <f t="shared" si="991"/>
        <v>1.1921420882669536</v>
      </c>
      <c r="DF268" s="313">
        <f t="shared" si="991"/>
        <v>1.0004735462209966</v>
      </c>
      <c r="DG268" s="312">
        <f t="shared" si="991"/>
        <v>3.979204205978693</v>
      </c>
      <c r="DH268" s="313">
        <f t="shared" si="991"/>
        <v>1.0013869625520111</v>
      </c>
      <c r="DI268" s="313">
        <f t="shared" si="991"/>
        <v>1.3825916596697452</v>
      </c>
      <c r="DJ268" s="313">
        <f t="shared" si="991"/>
        <v>1.5873925501432664</v>
      </c>
      <c r="DK268" s="313">
        <f t="shared" si="991"/>
        <v>1.3851151801535735</v>
      </c>
      <c r="DL268" s="312">
        <f t="shared" si="991"/>
        <v>5.356486352518596</v>
      </c>
      <c r="DM268" s="313">
        <f t="shared" si="991"/>
        <v>1.2316010814058276</v>
      </c>
      <c r="DN268" s="313">
        <f t="shared" si="991"/>
        <v>1.6</v>
      </c>
      <c r="DO268" s="313">
        <f t="shared" si="991"/>
        <v>1.2492231199502797</v>
      </c>
      <c r="DP268" s="313">
        <f t="shared" si="991"/>
        <v>1.2962962962962963</v>
      </c>
      <c r="DQ268" s="312">
        <f t="shared" si="991"/>
        <v>5.3782287822878221</v>
      </c>
      <c r="DR268" s="313">
        <f t="shared" si="991"/>
        <v>1.2244577176988367</v>
      </c>
      <c r="DS268" s="313">
        <f t="shared" si="991"/>
        <v>1.4631843926998112</v>
      </c>
      <c r="DT268" s="313">
        <f t="shared" si="991"/>
        <v>1.5342465753424659</v>
      </c>
      <c r="DU268" s="313">
        <f t="shared" si="991"/>
        <v>1.6426512968299711</v>
      </c>
      <c r="DV268" s="312">
        <f t="shared" si="991"/>
        <v>5.8603914111401627</v>
      </c>
      <c r="DW268" s="313">
        <f t="shared" si="991"/>
        <v>1.1741214057507987</v>
      </c>
      <c r="DX268" s="313">
        <f t="shared" si="991"/>
        <v>1.7949536889172788</v>
      </c>
      <c r="DY268" s="313">
        <f t="shared" ref="DY268:EF268" si="992">DY267+DY253</f>
        <v>1.7885476647472804</v>
      </c>
      <c r="DZ268" s="313">
        <f t="shared" si="992"/>
        <v>1.6378205128205128</v>
      </c>
      <c r="EA268" s="312">
        <f t="shared" si="992"/>
        <v>6.3951387223155027</v>
      </c>
      <c r="EB268" s="313">
        <f t="shared" si="992"/>
        <v>1.0012919896640826</v>
      </c>
      <c r="EC268" s="313">
        <f t="shared" si="992"/>
        <v>1.4146500981033356</v>
      </c>
      <c r="ED268" s="313">
        <f t="shared" si="992"/>
        <v>1.4942148760330578</v>
      </c>
      <c r="EE268" s="313">
        <f t="shared" si="992"/>
        <v>1.2017310252996005</v>
      </c>
      <c r="EF268" s="312">
        <f t="shared" si="992"/>
        <v>5.1074448001313293</v>
      </c>
      <c r="EG268" s="313">
        <f t="shared" ref="EG268:ER268" si="993">EG267+EG253</f>
        <v>1.2947474071595853</v>
      </c>
      <c r="EH268" s="313">
        <f t="shared" si="993"/>
        <v>1.3648010788941334</v>
      </c>
      <c r="EI268" s="313">
        <f t="shared" si="993"/>
        <v>1.5527027027027027</v>
      </c>
      <c r="EJ268" s="313">
        <f t="shared" si="993"/>
        <v>1.4164113040517536</v>
      </c>
      <c r="EK268" s="312">
        <f t="shared" si="993"/>
        <v>5.6274046574417822</v>
      </c>
      <c r="EL268" s="313">
        <f>EL267+EL253</f>
        <v>1.4788251366120218</v>
      </c>
      <c r="EM268" s="313">
        <f t="shared" ref="EM268:EP268" si="994">EM267+EM253</f>
        <v>1.7067307692307694</v>
      </c>
      <c r="EN268" s="313">
        <f t="shared" si="994"/>
        <v>1.7478411053540588</v>
      </c>
      <c r="EO268" s="313">
        <f t="shared" si="994"/>
        <v>1.6886726893676163</v>
      </c>
      <c r="EP268" s="312">
        <f t="shared" si="994"/>
        <v>6.6201670541634376</v>
      </c>
      <c r="EQ268" s="313">
        <f>EQ267+EQ253</f>
        <v>1.9307450157397692</v>
      </c>
      <c r="ER268" s="313">
        <f t="shared" si="993"/>
        <v>2.2477760677845193</v>
      </c>
      <c r="ES268" s="313">
        <f t="shared" ref="ES268:EU268" si="995">ES267+ES253</f>
        <v>2.0969038930054134</v>
      </c>
      <c r="ET268" s="313">
        <f t="shared" si="995"/>
        <v>2.0207242253862274</v>
      </c>
      <c r="EU268" s="2004">
        <f t="shared" si="995"/>
        <v>8.2954573428626777</v>
      </c>
      <c r="EV268" s="481"/>
      <c r="EW268" s="309"/>
      <c r="EX268" s="309"/>
      <c r="EY268" s="309"/>
      <c r="EZ268" s="885">
        <f>EZ267+EZ253</f>
        <v>8.8552349234287924</v>
      </c>
      <c r="FA268" s="481"/>
      <c r="FB268" s="309"/>
      <c r="FC268" s="309"/>
      <c r="FD268" s="309"/>
      <c r="FE268" s="885">
        <f>FE267+FE253</f>
        <v>9.5524322308533591</v>
      </c>
      <c r="FF268" s="808"/>
      <c r="FG268" s="660"/>
      <c r="FH268" s="1047"/>
      <c r="FI268" s="1047"/>
      <c r="FJ268" s="1047"/>
      <c r="FK268" s="1047"/>
      <c r="FL268" s="1828"/>
      <c r="FM268" s="313">
        <f>EQ268</f>
        <v>1.9307450157397692</v>
      </c>
      <c r="FN268" s="313">
        <f>EL268</f>
        <v>1.4788251366120218</v>
      </c>
      <c r="FO268" s="313">
        <v>1.7870296783972186</v>
      </c>
      <c r="FP268" s="1883">
        <f>IFERROR(($FM268/FN268)-1,"")</f>
        <v>0.30559385821848606</v>
      </c>
      <c r="FQ268" s="1883">
        <f>IFERROR(($FM268/FO268)-1,"")</f>
        <v>8.0421348945613813E-2</v>
      </c>
      <c r="FR268" s="597"/>
      <c r="FS268" s="597"/>
      <c r="FT268" s="597"/>
      <c r="FU268" s="597"/>
      <c r="FV268" s="597"/>
      <c r="FW268" s="597"/>
      <c r="FX268" s="597"/>
      <c r="FY268" s="597"/>
      <c r="FZ268" s="597"/>
      <c r="GA268" s="660"/>
      <c r="GB268"/>
      <c r="GC268"/>
      <c r="GD268"/>
      <c r="GE268"/>
      <c r="GF268"/>
      <c r="GG268"/>
      <c r="GH268" s="989"/>
      <c r="GI268" s="989"/>
      <c r="GJ268" s="989"/>
      <c r="GK268" s="989"/>
      <c r="GL268" s="989"/>
      <c r="GM268" s="989"/>
      <c r="GN268" s="989"/>
      <c r="GO268" s="989"/>
      <c r="GP268" s="989"/>
      <c r="GQ268" s="989"/>
      <c r="GR268" s="989"/>
      <c r="GS268" s="989"/>
      <c r="GT268" s="989"/>
      <c r="GU268" s="989"/>
      <c r="GV268" s="989"/>
      <c r="GW268" s="989"/>
      <c r="GX268" s="989"/>
      <c r="GY268" s="989"/>
      <c r="GZ268" s="989"/>
      <c r="HA268" s="989"/>
      <c r="HB268" s="989"/>
      <c r="HC268" s="989"/>
      <c r="HD268" s="989"/>
      <c r="HE268" s="989"/>
      <c r="HF268" s="989"/>
      <c r="HG268" s="989"/>
      <c r="HH268" s="989"/>
      <c r="HI268" s="989"/>
      <c r="HJ268" s="989"/>
      <c r="HK268" s="989"/>
      <c r="HL268" s="989"/>
      <c r="HM268" s="989"/>
      <c r="HN268" s="989"/>
      <c r="HO268" s="989"/>
      <c r="HP268" s="989"/>
      <c r="HQ268" s="989"/>
      <c r="HR268" s="989"/>
      <c r="HS268" s="989"/>
      <c r="HT268" s="989"/>
      <c r="HU268" s="989"/>
      <c r="HV268" s="989"/>
      <c r="HW268" s="989"/>
      <c r="HX268" s="989"/>
      <c r="HY268" s="989"/>
      <c r="HZ268" s="989"/>
      <c r="IA268" s="989"/>
      <c r="IB268" s="989"/>
      <c r="IC268" s="989"/>
      <c r="ID268" s="989"/>
      <c r="IE268" s="989"/>
      <c r="IF268" s="989"/>
      <c r="IG268" s="989"/>
      <c r="IH268" s="989"/>
      <c r="II268" s="989"/>
      <c r="IJ268" s="989"/>
      <c r="IK268" s="989"/>
      <c r="IL268" s="989"/>
      <c r="IM268" s="989"/>
      <c r="IN268" s="989"/>
      <c r="IO268" s="989"/>
      <c r="IP268" s="989"/>
      <c r="IQ268" s="989"/>
      <c r="IR268" s="989"/>
      <c r="IS268" s="989"/>
      <c r="IT268" s="989"/>
      <c r="IU268" s="989"/>
      <c r="IV268" s="989"/>
    </row>
    <row r="269" spans="1:256" s="53" customFormat="1" ht="12.75" x14ac:dyDescent="0.2">
      <c r="A269" s="13" t="s">
        <v>74</v>
      </c>
      <c r="B269" s="15"/>
      <c r="C269" s="15"/>
      <c r="D269" s="15"/>
      <c r="E269" s="195"/>
      <c r="F269" s="14"/>
      <c r="G269" s="15"/>
      <c r="H269" s="15"/>
      <c r="I269" s="15"/>
      <c r="J269" s="195"/>
      <c r="K269" s="14"/>
      <c r="L269" s="15"/>
      <c r="M269" s="15"/>
      <c r="N269" s="15"/>
      <c r="O269" s="195"/>
      <c r="P269" s="14"/>
      <c r="Q269" s="15"/>
      <c r="R269" s="15"/>
      <c r="S269" s="15"/>
      <c r="T269" s="195"/>
      <c r="U269" s="14"/>
      <c r="V269" s="15"/>
      <c r="W269" s="15"/>
      <c r="X269" s="15"/>
      <c r="Y269" s="195"/>
      <c r="Z269" s="14"/>
      <c r="AA269" s="15"/>
      <c r="AB269" s="15"/>
      <c r="AC269" s="15"/>
      <c r="AD269" s="195"/>
      <c r="AE269" s="14"/>
      <c r="AF269" s="15"/>
      <c r="AG269" s="15"/>
      <c r="AH269" s="15"/>
      <c r="AI269" s="195"/>
      <c r="AJ269" s="14"/>
      <c r="AK269" s="15"/>
      <c r="AL269" s="15"/>
      <c r="AM269" s="15"/>
      <c r="AN269" s="195"/>
      <c r="AO269" s="14"/>
      <c r="AP269" s="15"/>
      <c r="AQ269" s="15"/>
      <c r="AR269" s="15"/>
      <c r="AS269" s="195"/>
      <c r="AT269" s="14"/>
      <c r="AU269" s="15"/>
      <c r="AV269" s="15"/>
      <c r="AW269" s="15"/>
      <c r="AX269" s="195"/>
      <c r="AY269" s="14"/>
      <c r="AZ269" s="15"/>
      <c r="BA269" s="15"/>
      <c r="BB269" s="15"/>
      <c r="BC269" s="195"/>
      <c r="BD269" s="14"/>
      <c r="BE269" s="15"/>
      <c r="BF269" s="15"/>
      <c r="BG269" s="15"/>
      <c r="BH269" s="195"/>
      <c r="BI269" s="14"/>
      <c r="BJ269" s="15"/>
      <c r="BK269" s="15"/>
      <c r="BL269" s="15"/>
      <c r="BM269" s="195"/>
      <c r="BN269" s="14"/>
      <c r="BO269" s="15"/>
      <c r="BP269" s="15"/>
      <c r="BQ269" s="15"/>
      <c r="BR269" s="195"/>
      <c r="BS269" s="14"/>
      <c r="BT269" s="15"/>
      <c r="BU269" s="15"/>
      <c r="BV269" s="15"/>
      <c r="BW269" s="195"/>
      <c r="BX269" s="14"/>
      <c r="BY269" s="15"/>
      <c r="BZ269" s="15"/>
      <c r="CA269" s="15"/>
      <c r="CB269" s="195"/>
      <c r="CC269" s="14"/>
      <c r="CD269" s="15">
        <f t="shared" ref="CD269:DY269" si="996">CD268/BY268-1</f>
        <v>0.17962422465047956</v>
      </c>
      <c r="CE269" s="15">
        <f t="shared" si="996"/>
        <v>0.92794081212838808</v>
      </c>
      <c r="CF269" s="15">
        <f t="shared" si="996"/>
        <v>1.4127031283894143E-2</v>
      </c>
      <c r="CG269" s="195">
        <f t="shared" si="996"/>
        <v>0.33785535307409487</v>
      </c>
      <c r="CH269" s="14">
        <f t="shared" si="996"/>
        <v>0.34567102852403986</v>
      </c>
      <c r="CI269" s="15">
        <f t="shared" si="996"/>
        <v>0.52867976498131419</v>
      </c>
      <c r="CJ269" s="15">
        <f t="shared" si="996"/>
        <v>-0.14379614521883333</v>
      </c>
      <c r="CK269" s="15">
        <f t="shared" si="996"/>
        <v>0.39052945750428081</v>
      </c>
      <c r="CL269" s="195">
        <f t="shared" si="996"/>
        <v>9.6766147977533246E-2</v>
      </c>
      <c r="CM269" s="14">
        <f t="shared" si="996"/>
        <v>0.14838741172909531</v>
      </c>
      <c r="CN269" s="15">
        <f t="shared" si="996"/>
        <v>-2.0343638830821131E-2</v>
      </c>
      <c r="CO269" s="15">
        <f t="shared" si="996"/>
        <v>0.10580247282383204</v>
      </c>
      <c r="CP269" s="15">
        <f t="shared" si="996"/>
        <v>-4.3107935297288735E-2</v>
      </c>
      <c r="CQ269" s="195">
        <f t="shared" si="996"/>
        <v>7.4692345356618173E-2</v>
      </c>
      <c r="CR269" s="14">
        <f t="shared" si="996"/>
        <v>3.0365531178023542E-2</v>
      </c>
      <c r="CS269" s="15">
        <f t="shared" si="996"/>
        <v>6.9990814493906095E-2</v>
      </c>
      <c r="CT269" s="15">
        <f t="shared" si="996"/>
        <v>0.20431041899681679</v>
      </c>
      <c r="CU269" s="15">
        <f t="shared" si="996"/>
        <v>0.40698426531765541</v>
      </c>
      <c r="CV269" s="195">
        <f t="shared" si="996"/>
        <v>0.18606667043548719</v>
      </c>
      <c r="CW269" s="14">
        <f t="shared" si="996"/>
        <v>0.22694484984057861</v>
      </c>
      <c r="CX269" s="15">
        <f t="shared" si="996"/>
        <v>-0.37788278740366021</v>
      </c>
      <c r="CY269" s="15">
        <f t="shared" si="996"/>
        <v>-0.44154092681946833</v>
      </c>
      <c r="CZ269" s="15">
        <f t="shared" si="996"/>
        <v>-0.40872225090345893</v>
      </c>
      <c r="DA269" s="15">
        <f>DA268/CV268-1</f>
        <v>-0.32684808299097501</v>
      </c>
      <c r="DB269" s="14">
        <f>DB268/CW268-1</f>
        <v>-0.38927056646432667</v>
      </c>
      <c r="DC269" s="15">
        <f t="shared" si="996"/>
        <v>0.58378234195785561</v>
      </c>
      <c r="DD269" s="15">
        <f t="shared" si="996"/>
        <v>0.57613479942763557</v>
      </c>
      <c r="DE269" s="15">
        <f t="shared" si="996"/>
        <v>0.47532534179216013</v>
      </c>
      <c r="DF269" s="15">
        <f>DF268/DA268-1</f>
        <v>0.22451401575179686</v>
      </c>
      <c r="DG269" s="14">
        <f t="shared" si="996"/>
        <v>0.44304327966815027</v>
      </c>
      <c r="DH269" s="15">
        <f>DH268/DC268-1</f>
        <v>0.3407856152169606</v>
      </c>
      <c r="DI269" s="15">
        <f t="shared" si="996"/>
        <v>0.32976956805672164</v>
      </c>
      <c r="DJ269" s="15">
        <f t="shared" si="996"/>
        <v>0.33154643709534515</v>
      </c>
      <c r="DK269" s="15">
        <f t="shared" si="996"/>
        <v>0.38445957455392099</v>
      </c>
      <c r="DL269" s="14">
        <f t="shared" si="996"/>
        <v>0.34611999667434956</v>
      </c>
      <c r="DM269" s="15">
        <f t="shared" si="996"/>
        <v>0.22989526273352023</v>
      </c>
      <c r="DN269" s="15">
        <f t="shared" si="996"/>
        <v>0.15724696356275314</v>
      </c>
      <c r="DO269" s="15">
        <f t="shared" si="996"/>
        <v>-0.21303453273890316</v>
      </c>
      <c r="DP269" s="15">
        <f t="shared" si="996"/>
        <v>-6.4123825317855099E-2</v>
      </c>
      <c r="DQ269" s="14">
        <f t="shared" si="996"/>
        <v>4.0590843210126515E-3</v>
      </c>
      <c r="DR269" s="15">
        <f t="shared" si="996"/>
        <v>-5.8000628733103632E-3</v>
      </c>
      <c r="DS269" s="15">
        <f t="shared" si="996"/>
        <v>-8.5509754562618112E-2</v>
      </c>
      <c r="DT269" s="15">
        <f t="shared" si="996"/>
        <v>0.22816056702787435</v>
      </c>
      <c r="DU269" s="15">
        <f t="shared" si="996"/>
        <v>0.267188143268835</v>
      </c>
      <c r="DV269" s="14">
        <f t="shared" si="996"/>
        <v>8.9650821556764626E-2</v>
      </c>
      <c r="DW269" s="15">
        <f t="shared" si="996"/>
        <v>-4.110906503381484E-2</v>
      </c>
      <c r="DX269" s="15">
        <f t="shared" si="996"/>
        <v>0.22674469319980917</v>
      </c>
      <c r="DY269" s="15">
        <f t="shared" si="996"/>
        <v>0.16574981720135229</v>
      </c>
      <c r="DZ269" s="15">
        <f>DZ268/DU268-1</f>
        <v>-2.9408457040035474E-3</v>
      </c>
      <c r="EA269" s="14">
        <f>EA268/DV268-1</f>
        <v>9.1247712594558994E-2</v>
      </c>
      <c r="EB269" s="15">
        <f>EB268/DW268-1</f>
        <v>-0.14719893125208749</v>
      </c>
      <c r="EC269" s="15">
        <f t="shared" ref="EC269:EI269" si="997">EC268/DX268-1</f>
        <v>-0.2118737620708997</v>
      </c>
      <c r="ED269" s="15">
        <f t="shared" si="997"/>
        <v>-0.16456524727609734</v>
      </c>
      <c r="EE269" s="15">
        <f t="shared" si="997"/>
        <v>-0.26626207457245521</v>
      </c>
      <c r="EF269" s="14">
        <f t="shared" si="997"/>
        <v>-0.20135511958338492</v>
      </c>
      <c r="EG269" s="15">
        <f>EG268/EB268-1</f>
        <v>0.29307676534389548</v>
      </c>
      <c r="EH269" s="15">
        <f t="shared" si="997"/>
        <v>-3.5237702436833218E-2</v>
      </c>
      <c r="EI269" s="15">
        <f t="shared" si="997"/>
        <v>3.9142848600813185E-2</v>
      </c>
      <c r="EJ269" s="15">
        <f t="shared" ref="EJ269:EK269" si="998">EJ268/EE268-1</f>
        <v>0.17864253666799668</v>
      </c>
      <c r="EK269" s="14">
        <f t="shared" si="998"/>
        <v>0.10180430286727393</v>
      </c>
      <c r="EL269" s="15">
        <f>EL268/EG268-1</f>
        <v>0.14217269595176552</v>
      </c>
      <c r="EM269" s="15">
        <f t="shared" ref="EM269:EN269" si="999">EM268/EH268-1</f>
        <v>0.25053445196108259</v>
      </c>
      <c r="EN269" s="15">
        <f t="shared" si="999"/>
        <v>0.12567660397041203</v>
      </c>
      <c r="EO269" s="15">
        <f t="shared" ref="EO269" si="1000">EO268/EJ268-1</f>
        <v>0.19221915593093475</v>
      </c>
      <c r="EP269" s="14">
        <f t="shared" ref="EP269" si="1001">EP268/EK268-1</f>
        <v>0.17641567599173946</v>
      </c>
      <c r="EQ269" s="15">
        <f>EQ268/EL268-1</f>
        <v>0.30559385821848606</v>
      </c>
      <c r="ER269" s="15">
        <f t="shared" ref="ER269" si="1002">ER268/EM268-1</f>
        <v>0.31700682281459147</v>
      </c>
      <c r="ES269" s="15">
        <f t="shared" ref="ES269:EU269" si="1003">ES268/EN268-1</f>
        <v>0.19971082416021169</v>
      </c>
      <c r="ET269" s="15">
        <f t="shared" si="1003"/>
        <v>0.19663463388098013</v>
      </c>
      <c r="EU269" s="1943">
        <f t="shared" si="1003"/>
        <v>0.25305861241758931</v>
      </c>
      <c r="EV269" s="306"/>
      <c r="EW269" s="307"/>
      <c r="EX269" s="16"/>
      <c r="EY269" s="306"/>
      <c r="EZ269" s="837">
        <f>EZ268/EU268-1</f>
        <v>6.7480014353607842E-2</v>
      </c>
      <c r="FA269" s="306"/>
      <c r="FB269" s="307"/>
      <c r="FC269" s="16"/>
      <c r="FD269" s="306"/>
      <c r="FE269" s="837">
        <f>FE268/EZ268-1</f>
        <v>7.8732785008329031E-2</v>
      </c>
      <c r="FF269" s="809"/>
      <c r="FG269" s="660"/>
      <c r="FH269" s="1079"/>
      <c r="FI269" s="1079"/>
      <c r="FJ269" s="1079"/>
      <c r="FK269" s="1079"/>
      <c r="FL269" s="1843"/>
      <c r="FM269" s="15">
        <f>EQ269</f>
        <v>0.30559385821848606</v>
      </c>
      <c r="FN269" s="15">
        <f>EL269</f>
        <v>0.14217269595176552</v>
      </c>
      <c r="FO269" s="2042">
        <v>0.20841175481456276</v>
      </c>
      <c r="FP269" s="15"/>
      <c r="FQ269" s="15"/>
      <c r="FR269" s="567"/>
      <c r="FS269" s="567"/>
      <c r="FT269" s="567"/>
      <c r="FU269" s="567"/>
      <c r="FV269" s="567"/>
      <c r="FW269" s="567"/>
      <c r="FX269" s="567"/>
      <c r="FY269" s="567"/>
      <c r="FZ269" s="567"/>
      <c r="GA269" s="660"/>
      <c r="GB269"/>
      <c r="GC269"/>
      <c r="GD269"/>
      <c r="GE269"/>
      <c r="GF269"/>
      <c r="GG269"/>
      <c r="GH269" s="959"/>
      <c r="GI269" s="959"/>
      <c r="GJ269" s="959"/>
      <c r="GK269" s="959"/>
      <c r="GL269" s="959"/>
      <c r="GM269" s="959"/>
      <c r="GN269" s="959"/>
      <c r="GO269" s="959"/>
      <c r="GP269" s="959"/>
      <c r="GQ269" s="959"/>
      <c r="GR269" s="959"/>
      <c r="GS269" s="959"/>
      <c r="GT269" s="959"/>
      <c r="GU269" s="959"/>
      <c r="GV269" s="959"/>
      <c r="GW269" s="959"/>
      <c r="GX269" s="959"/>
      <c r="GY269" s="959"/>
      <c r="GZ269" s="959"/>
      <c r="HA269" s="959"/>
      <c r="HB269" s="959"/>
      <c r="HC269" s="959"/>
      <c r="HD269" s="959"/>
      <c r="HE269" s="959"/>
      <c r="HF269" s="959"/>
      <c r="HG269" s="959"/>
      <c r="HH269" s="959"/>
      <c r="HI269" s="959"/>
      <c r="HJ269" s="959"/>
      <c r="HK269" s="959"/>
      <c r="HL269" s="959"/>
      <c r="HM269" s="959"/>
      <c r="HN269" s="959"/>
      <c r="HO269" s="959"/>
      <c r="HP269" s="959"/>
      <c r="HQ269" s="959"/>
      <c r="HR269" s="959"/>
      <c r="HS269" s="959"/>
      <c r="HT269" s="959"/>
      <c r="HU269" s="959"/>
      <c r="HV269" s="959"/>
      <c r="HW269" s="959"/>
      <c r="HX269" s="959"/>
      <c r="HY269" s="959"/>
      <c r="HZ269" s="959"/>
      <c r="IA269" s="959"/>
      <c r="IB269" s="959"/>
      <c r="IC269" s="959"/>
      <c r="ID269" s="959"/>
      <c r="IE269" s="959"/>
      <c r="IF269" s="959"/>
      <c r="IG269" s="959"/>
      <c r="IH269" s="959"/>
      <c r="II269" s="959"/>
      <c r="IJ269" s="959"/>
      <c r="IK269" s="959"/>
      <c r="IL269" s="959"/>
      <c r="IM269" s="959"/>
      <c r="IN269" s="959"/>
      <c r="IO269" s="959"/>
      <c r="IP269" s="959"/>
      <c r="IQ269" s="959"/>
      <c r="IR269" s="959"/>
      <c r="IS269" s="959"/>
      <c r="IT269" s="959"/>
      <c r="IU269" s="959"/>
      <c r="IV269" s="959"/>
    </row>
    <row r="270" spans="1:256" s="551" customFormat="1" ht="12.75" x14ac:dyDescent="0.2">
      <c r="A270" s="85" t="s">
        <v>360</v>
      </c>
      <c r="B270" s="547"/>
      <c r="C270" s="547"/>
      <c r="D270" s="547"/>
      <c r="E270" s="548"/>
      <c r="F270" s="549"/>
      <c r="G270" s="547"/>
      <c r="H270" s="547"/>
      <c r="I270" s="547"/>
      <c r="J270" s="548"/>
      <c r="K270" s="549"/>
      <c r="L270" s="547"/>
      <c r="M270" s="547"/>
      <c r="N270" s="547"/>
      <c r="O270" s="548"/>
      <c r="P270" s="549"/>
      <c r="Q270" s="547"/>
      <c r="R270" s="547"/>
      <c r="S270" s="547"/>
      <c r="T270" s="548"/>
      <c r="U270" s="549"/>
      <c r="V270" s="547"/>
      <c r="W270" s="547"/>
      <c r="X270" s="547"/>
      <c r="Y270" s="548"/>
      <c r="Z270" s="549"/>
      <c r="AA270" s="547"/>
      <c r="AB270" s="547"/>
      <c r="AC270" s="547"/>
      <c r="AD270" s="548"/>
      <c r="AE270" s="549"/>
      <c r="AF270" s="547"/>
      <c r="AG270" s="547"/>
      <c r="AH270" s="547"/>
      <c r="AI270" s="548"/>
      <c r="AJ270" s="549"/>
      <c r="AK270" s="547"/>
      <c r="AL270" s="547"/>
      <c r="AM270" s="547"/>
      <c r="AN270" s="548"/>
      <c r="AO270" s="549"/>
      <c r="AP270" s="547"/>
      <c r="AQ270" s="547"/>
      <c r="AR270" s="547"/>
      <c r="AS270" s="548"/>
      <c r="AT270" s="549"/>
      <c r="AU270" s="547"/>
      <c r="AV270" s="547"/>
      <c r="AW270" s="547"/>
      <c r="AX270" s="548"/>
      <c r="AY270" s="549"/>
      <c r="AZ270" s="547"/>
      <c r="BA270" s="547"/>
      <c r="BB270" s="547"/>
      <c r="BC270" s="548"/>
      <c r="BD270" s="549"/>
      <c r="BE270" s="547"/>
      <c r="BF270" s="547"/>
      <c r="BG270" s="547"/>
      <c r="BH270" s="548"/>
      <c r="BI270" s="549"/>
      <c r="BJ270" s="547"/>
      <c r="BK270" s="547"/>
      <c r="BL270" s="547"/>
      <c r="BM270" s="548"/>
      <c r="BN270" s="549"/>
      <c r="BO270" s="547"/>
      <c r="BP270" s="547"/>
      <c r="BQ270" s="547"/>
      <c r="BR270" s="548"/>
      <c r="BS270" s="549"/>
      <c r="BT270" s="547"/>
      <c r="BU270" s="547"/>
      <c r="BV270" s="547"/>
      <c r="BW270" s="548"/>
      <c r="BX270" s="549"/>
      <c r="BY270" s="547"/>
      <c r="BZ270" s="547"/>
      <c r="CA270" s="547"/>
      <c r="CB270" s="548"/>
      <c r="CC270" s="549"/>
      <c r="CD270" s="547"/>
      <c r="CE270" s="547"/>
      <c r="CF270" s="547"/>
      <c r="CG270" s="548"/>
      <c r="CH270" s="549"/>
      <c r="CI270" s="547"/>
      <c r="CJ270" s="547"/>
      <c r="CK270" s="547"/>
      <c r="CL270" s="548"/>
      <c r="CM270" s="549"/>
      <c r="CN270" s="547"/>
      <c r="CO270" s="547"/>
      <c r="CP270" s="547"/>
      <c r="CQ270" s="548"/>
      <c r="CR270" s="549"/>
      <c r="CS270" s="547"/>
      <c r="CT270" s="547"/>
      <c r="CU270" s="547"/>
      <c r="CV270" s="548"/>
      <c r="CW270" s="549"/>
      <c r="CX270" s="547"/>
      <c r="CY270" s="547"/>
      <c r="CZ270" s="547"/>
      <c r="DA270" s="547"/>
      <c r="DB270" s="549"/>
      <c r="DC270" s="547"/>
      <c r="DD270" s="547"/>
      <c r="DE270" s="547"/>
      <c r="DF270" s="547"/>
      <c r="DG270" s="549"/>
      <c r="DH270" s="547"/>
      <c r="DI270" s="547"/>
      <c r="DJ270" s="547"/>
      <c r="DK270" s="547"/>
      <c r="DL270" s="549"/>
      <c r="DM270" s="547"/>
      <c r="DN270" s="547"/>
      <c r="DO270" s="547"/>
      <c r="DP270" s="547"/>
      <c r="DQ270" s="549"/>
      <c r="DR270" s="547"/>
      <c r="DS270" s="547"/>
      <c r="DT270" s="547"/>
      <c r="DU270" s="547"/>
      <c r="DV270" s="549"/>
      <c r="DW270" s="547"/>
      <c r="DX270" s="547"/>
      <c r="DY270" s="547"/>
      <c r="DZ270" s="547"/>
      <c r="EA270" s="549"/>
      <c r="EB270" s="547"/>
      <c r="EC270" s="547"/>
      <c r="ED270" s="547"/>
      <c r="EE270" s="547"/>
      <c r="EF270" s="549"/>
      <c r="EG270" s="547"/>
      <c r="EH270" s="547"/>
      <c r="EI270" s="547"/>
      <c r="EJ270" s="547"/>
      <c r="EK270" s="549"/>
      <c r="EL270" s="547"/>
      <c r="EM270" s="547"/>
      <c r="EN270" s="547"/>
      <c r="EO270" s="547"/>
      <c r="EP270" s="549"/>
      <c r="EQ270" s="547"/>
      <c r="ER270" s="550"/>
      <c r="ES270" s="550"/>
      <c r="ET270" s="550"/>
      <c r="EU270" s="1999"/>
      <c r="EV270" s="550"/>
      <c r="EW270" s="550"/>
      <c r="EX270" s="550"/>
      <c r="EY270" s="550"/>
      <c r="EZ270" s="879"/>
      <c r="FA270" s="550"/>
      <c r="FB270" s="550"/>
      <c r="FC270" s="550"/>
      <c r="FD270" s="550"/>
      <c r="FE270" s="879"/>
      <c r="FF270" s="802"/>
      <c r="FG270" s="660"/>
      <c r="FH270" s="1045"/>
      <c r="FI270" s="1045"/>
      <c r="FJ270" s="1045"/>
      <c r="FK270" s="1045"/>
      <c r="FL270" s="1838"/>
      <c r="FM270" s="547"/>
      <c r="FN270" s="547"/>
      <c r="FO270" s="550"/>
      <c r="FP270" s="547"/>
      <c r="FQ270" s="547"/>
      <c r="FR270" s="550"/>
      <c r="FS270" s="550"/>
      <c r="FT270" s="550"/>
      <c r="FU270" s="550"/>
      <c r="FV270" s="550"/>
      <c r="FW270" s="550"/>
      <c r="FX270" s="550"/>
      <c r="FY270" s="550"/>
      <c r="FZ270" s="550"/>
      <c r="GA270" s="660"/>
      <c r="GB270"/>
      <c r="GC270"/>
      <c r="GD270"/>
      <c r="GE270"/>
      <c r="GF270"/>
      <c r="GG270"/>
      <c r="GH270" s="985"/>
      <c r="GI270" s="985"/>
      <c r="GJ270" s="985"/>
      <c r="GK270" s="985"/>
      <c r="GL270" s="985"/>
      <c r="GM270" s="985"/>
      <c r="GN270" s="985"/>
      <c r="GO270" s="985"/>
      <c r="GP270" s="985"/>
      <c r="GQ270" s="985"/>
      <c r="GR270" s="985"/>
      <c r="GS270" s="985"/>
      <c r="GT270" s="985"/>
      <c r="GU270" s="985"/>
      <c r="GV270" s="985"/>
      <c r="GW270" s="985"/>
      <c r="GX270" s="985"/>
      <c r="GY270" s="985"/>
      <c r="GZ270" s="985"/>
      <c r="HA270" s="985"/>
      <c r="HB270" s="985"/>
      <c r="HC270" s="985"/>
      <c r="HD270" s="985"/>
      <c r="HE270" s="985"/>
      <c r="HF270" s="985"/>
      <c r="HG270" s="985"/>
      <c r="HH270" s="985"/>
      <c r="HI270" s="985"/>
      <c r="HJ270" s="985"/>
      <c r="HK270" s="985"/>
      <c r="HL270" s="985"/>
      <c r="HM270" s="985"/>
      <c r="HN270" s="985"/>
      <c r="HO270" s="985"/>
      <c r="HP270" s="985"/>
      <c r="HQ270" s="985"/>
      <c r="HR270" s="985"/>
      <c r="HS270" s="985"/>
      <c r="HT270" s="985"/>
      <c r="HU270" s="985"/>
      <c r="HV270" s="985"/>
      <c r="HW270" s="985"/>
      <c r="HX270" s="985"/>
      <c r="HY270" s="985"/>
      <c r="HZ270" s="985"/>
      <c r="IA270" s="985"/>
      <c r="IB270" s="985"/>
      <c r="IC270" s="985"/>
      <c r="ID270" s="985"/>
      <c r="IE270" s="985"/>
      <c r="IF270" s="985"/>
      <c r="IG270" s="985"/>
      <c r="IH270" s="985"/>
      <c r="II270" s="985"/>
      <c r="IJ270" s="985"/>
      <c r="IK270" s="985"/>
      <c r="IL270" s="985"/>
      <c r="IM270" s="985"/>
      <c r="IN270" s="985"/>
      <c r="IO270" s="985"/>
      <c r="IP270" s="985"/>
      <c r="IQ270" s="985"/>
      <c r="IR270" s="985"/>
      <c r="IS270" s="985"/>
      <c r="IT270" s="985"/>
      <c r="IU270" s="985"/>
      <c r="IV270" s="985"/>
    </row>
    <row r="271" spans="1:256" s="314" customFormat="1" ht="12.75" x14ac:dyDescent="0.2">
      <c r="A271" s="308" t="s">
        <v>637</v>
      </c>
      <c r="B271" s="309"/>
      <c r="C271" s="309"/>
      <c r="D271" s="309"/>
      <c r="E271" s="310"/>
      <c r="F271" s="311"/>
      <c r="G271" s="309"/>
      <c r="H271" s="309"/>
      <c r="I271" s="309"/>
      <c r="J271" s="310"/>
      <c r="K271" s="311"/>
      <c r="L271" s="309"/>
      <c r="M271" s="309"/>
      <c r="N271" s="309"/>
      <c r="O271" s="310"/>
      <c r="P271" s="311"/>
      <c r="Q271" s="309"/>
      <c r="R271" s="309"/>
      <c r="S271" s="309"/>
      <c r="T271" s="310"/>
      <c r="U271" s="311">
        <v>0.6</v>
      </c>
      <c r="V271" s="309">
        <v>0.45</v>
      </c>
      <c r="W271" s="309">
        <v>0.45</v>
      </c>
      <c r="X271" s="309">
        <v>0.48</v>
      </c>
      <c r="Y271" s="310">
        <v>0.48</v>
      </c>
      <c r="Z271" s="311">
        <v>0.62</v>
      </c>
      <c r="AA271" s="309">
        <v>0.16</v>
      </c>
      <c r="AB271" s="309">
        <v>0.16</v>
      </c>
      <c r="AC271" s="309">
        <v>0.16</v>
      </c>
      <c r="AD271" s="310">
        <v>0.17333333333333334</v>
      </c>
      <c r="AE271" s="311">
        <v>0.65333333333333332</v>
      </c>
      <c r="AF271" s="309">
        <f>(2.08/4)/3</f>
        <v>0.17333333333333334</v>
      </c>
      <c r="AG271" s="309">
        <f>(2.08/4)/3</f>
        <v>0.17333333333333334</v>
      </c>
      <c r="AH271" s="309">
        <f>(2.08/4)/3</f>
        <v>0.17333333333333334</v>
      </c>
      <c r="AI271" s="310">
        <f>(2.08/4)/3</f>
        <v>0.17333333333333334</v>
      </c>
      <c r="AJ271" s="311">
        <f>SUM(AF271:AI271)</f>
        <v>0.69333333333333336</v>
      </c>
      <c r="AK271" s="309">
        <v>0.18666666666666668</v>
      </c>
      <c r="AL271" s="309">
        <v>0.18666666666666668</v>
      </c>
      <c r="AM271" s="309">
        <v>0.18666666666666668</v>
      </c>
      <c r="AN271" s="310">
        <f>(2.08/4)/3</f>
        <v>0.17333333333333334</v>
      </c>
      <c r="AO271" s="311">
        <f>SUM(AK271:AN271)</f>
        <v>0.73333333333333339</v>
      </c>
      <c r="AP271" s="309">
        <v>0.2</v>
      </c>
      <c r="AQ271" s="309">
        <v>0.18666666666666668</v>
      </c>
      <c r="AR271" s="309">
        <v>0.18666666666666668</v>
      </c>
      <c r="AS271" s="310">
        <f>(2.08/4)/3</f>
        <v>0.17333333333333334</v>
      </c>
      <c r="AT271" s="311">
        <f>SUM(AP271:AS271)</f>
        <v>0.7466666666666667</v>
      </c>
      <c r="AU271" s="309">
        <v>0.2</v>
      </c>
      <c r="AV271" s="309">
        <v>0.2</v>
      </c>
      <c r="AW271" s="309">
        <v>0.2</v>
      </c>
      <c r="AX271" s="310">
        <v>0.2</v>
      </c>
      <c r="AY271" s="311">
        <v>0.8</v>
      </c>
      <c r="AZ271" s="309">
        <v>0.2</v>
      </c>
      <c r="BA271" s="309">
        <v>0.2</v>
      </c>
      <c r="BB271" s="309">
        <v>0.2</v>
      </c>
      <c r="BC271" s="310">
        <v>0.2</v>
      </c>
      <c r="BD271" s="311">
        <v>0.8</v>
      </c>
      <c r="BE271" s="309">
        <v>0.2</v>
      </c>
      <c r="BF271" s="309">
        <v>0.2</v>
      </c>
      <c r="BG271" s="309">
        <v>0.2</v>
      </c>
      <c r="BH271" s="310">
        <v>0.2</v>
      </c>
      <c r="BI271" s="311">
        <v>0.8</v>
      </c>
      <c r="BJ271" s="309">
        <v>0.06</v>
      </c>
      <c r="BK271" s="309">
        <v>0.06</v>
      </c>
      <c r="BL271" s="309">
        <v>0.06</v>
      </c>
      <c r="BM271" s="310">
        <v>0.06</v>
      </c>
      <c r="BN271" s="311">
        <f>SUM(BJ271:BM271)</f>
        <v>0.24</v>
      </c>
      <c r="BO271" s="309">
        <v>0.06</v>
      </c>
      <c r="BP271" s="309">
        <v>0.06</v>
      </c>
      <c r="BQ271" s="309">
        <v>7.0000000000000007E-2</v>
      </c>
      <c r="BR271" s="310">
        <v>7.0000000000000007E-2</v>
      </c>
      <c r="BS271" s="311">
        <f>SUM(BO271:BR271)</f>
        <v>0.26</v>
      </c>
      <c r="BT271" s="309">
        <v>7.0000000000000007E-2</v>
      </c>
      <c r="BU271" s="309">
        <v>7.0000000000000007E-2</v>
      </c>
      <c r="BV271" s="309">
        <v>0.08</v>
      </c>
      <c r="BW271" s="310">
        <v>0.08</v>
      </c>
      <c r="BX271" s="311">
        <f>SUM(BT271:BW271)</f>
        <v>0.30000000000000004</v>
      </c>
      <c r="BY271" s="309">
        <v>0.08</v>
      </c>
      <c r="BZ271" s="309">
        <v>0.08</v>
      </c>
      <c r="CA271" s="309">
        <v>0.1</v>
      </c>
      <c r="CB271" s="310">
        <v>0.1</v>
      </c>
      <c r="CC271" s="311">
        <f>SUM(BY271:CB271)</f>
        <v>0.36</v>
      </c>
      <c r="CD271" s="309">
        <v>0.11</v>
      </c>
      <c r="CE271" s="309">
        <v>0.11</v>
      </c>
      <c r="CF271" s="309">
        <v>0.13</v>
      </c>
      <c r="CG271" s="310">
        <v>0.13</v>
      </c>
      <c r="CH271" s="311">
        <f>SUM(CD271:CG271)</f>
        <v>0.48</v>
      </c>
      <c r="CI271" s="309">
        <v>0.16</v>
      </c>
      <c r="CJ271" s="309">
        <v>0.16</v>
      </c>
      <c r="CK271" s="309">
        <v>0.18</v>
      </c>
      <c r="CL271" s="310">
        <v>0.18</v>
      </c>
      <c r="CM271" s="311">
        <f>SUM(CI271:CL271)</f>
        <v>0.67999999999999994</v>
      </c>
      <c r="CN271" s="309">
        <v>0.22</v>
      </c>
      <c r="CO271" s="309">
        <v>0.22</v>
      </c>
      <c r="CP271" s="309">
        <v>0.26</v>
      </c>
      <c r="CQ271" s="310">
        <f>CP271</f>
        <v>0.26</v>
      </c>
      <c r="CR271" s="311">
        <f>SUM(CN271:CQ271)</f>
        <v>0.96</v>
      </c>
      <c r="CS271" s="309">
        <v>0.26</v>
      </c>
      <c r="CT271" s="309">
        <v>0.28999999999999998</v>
      </c>
      <c r="CU271" s="309">
        <f>CT271+0.03</f>
        <v>0.31999999999999995</v>
      </c>
      <c r="CV271" s="310">
        <f>CU271</f>
        <v>0.31999999999999995</v>
      </c>
      <c r="CW271" s="311">
        <f>SUM(CS271:CV271)</f>
        <v>1.19</v>
      </c>
      <c r="CX271" s="309">
        <v>0.34</v>
      </c>
      <c r="CY271" s="309">
        <v>0.34</v>
      </c>
      <c r="CZ271" s="309">
        <v>0.34</v>
      </c>
      <c r="DA271" s="309">
        <f>CZ271</f>
        <v>0.34</v>
      </c>
      <c r="DB271" s="311">
        <f>SUM(CX271:DA271)</f>
        <v>1.36</v>
      </c>
      <c r="DC271" s="309">
        <v>0.34</v>
      </c>
      <c r="DD271" s="309">
        <v>0.34</v>
      </c>
      <c r="DE271" s="309">
        <v>0.36</v>
      </c>
      <c r="DF271" s="309">
        <v>0.36</v>
      </c>
      <c r="DG271" s="311">
        <f>SUM(DC271:DF271)</f>
        <v>1.4</v>
      </c>
      <c r="DH271" s="309">
        <v>0.4</v>
      </c>
      <c r="DI271" s="309">
        <v>0.4</v>
      </c>
      <c r="DJ271" s="309">
        <v>0.43</v>
      </c>
      <c r="DK271" s="309">
        <v>0.47</v>
      </c>
      <c r="DL271" s="311">
        <f>SUM(DH271:DK271)</f>
        <v>1.7</v>
      </c>
      <c r="DM271" s="309">
        <v>0.47</v>
      </c>
      <c r="DN271" s="309">
        <v>0.47</v>
      </c>
      <c r="DO271" s="309">
        <v>0.5</v>
      </c>
      <c r="DP271" s="309">
        <v>0.5</v>
      </c>
      <c r="DQ271" s="311">
        <f>SUM(DM271:DP271)</f>
        <v>1.94</v>
      </c>
      <c r="DR271" s="309">
        <v>0.5</v>
      </c>
      <c r="DS271" s="309">
        <v>0.5</v>
      </c>
      <c r="DT271" s="1211">
        <v>0.52</v>
      </c>
      <c r="DU271" s="309">
        <v>0.54</v>
      </c>
      <c r="DV271" s="311">
        <f>SUM(DR271:DU271)</f>
        <v>2.06</v>
      </c>
      <c r="DW271" s="1602">
        <v>0.54</v>
      </c>
      <c r="DX271" s="1602">
        <v>0.54</v>
      </c>
      <c r="DY271" s="1602">
        <v>0.56999999999999995</v>
      </c>
      <c r="DZ271" s="1602">
        <v>0.56999999999999995</v>
      </c>
      <c r="EA271" s="1609">
        <f>SUM(DW271:DZ271)</f>
        <v>2.2199999999999998</v>
      </c>
      <c r="EB271" s="1602">
        <v>0.59</v>
      </c>
      <c r="EC271" s="1602">
        <v>0.59</v>
      </c>
      <c r="ED271" s="1602">
        <v>0.59</v>
      </c>
      <c r="EE271" s="1602">
        <v>0.59</v>
      </c>
      <c r="EF271" s="1609">
        <f>SUM(EB271:EE271)</f>
        <v>2.36</v>
      </c>
      <c r="EG271" s="1602">
        <v>0.59</v>
      </c>
      <c r="EH271" s="1602">
        <v>0.6</v>
      </c>
      <c r="EI271" s="1602">
        <v>0.59</v>
      </c>
      <c r="EJ271" s="1602">
        <v>0.59</v>
      </c>
      <c r="EK271" s="1609">
        <f>SUM(EG271:EJ271)</f>
        <v>2.3699999999999997</v>
      </c>
      <c r="EL271" s="1602">
        <v>0.61</v>
      </c>
      <c r="EM271" s="1602">
        <v>0.61</v>
      </c>
      <c r="EN271" s="1602">
        <v>0.61</v>
      </c>
      <c r="EO271" s="1602">
        <v>0.61</v>
      </c>
      <c r="EP271" s="1609">
        <f>SUM(EL271:EO271)</f>
        <v>2.44</v>
      </c>
      <c r="EQ271" s="1602">
        <v>0.72</v>
      </c>
      <c r="ER271" s="1164">
        <f>EQ271</f>
        <v>0.72</v>
      </c>
      <c r="ES271" s="1164">
        <f>ER271</f>
        <v>0.72</v>
      </c>
      <c r="ET271" s="1164">
        <f>ES271</f>
        <v>0.72</v>
      </c>
      <c r="EU271" s="2005">
        <f>SUM(EQ271:ET271)</f>
        <v>2.88</v>
      </c>
      <c r="EV271" s="313"/>
      <c r="EW271" s="313"/>
      <c r="EX271" s="313"/>
      <c r="EY271" s="313"/>
      <c r="EZ271" s="885">
        <f>EZ253*EZ273</f>
        <v>3.0743424413383904</v>
      </c>
      <c r="FA271" s="313"/>
      <c r="FB271" s="313"/>
      <c r="FC271" s="313"/>
      <c r="FD271" s="313"/>
      <c r="FE271" s="885">
        <f>FE253*FE273</f>
        <v>3.3163939838142675</v>
      </c>
      <c r="FF271" s="810"/>
      <c r="FG271" s="660"/>
      <c r="FH271" s="1048"/>
      <c r="FI271" s="1048"/>
      <c r="FJ271" s="1048"/>
      <c r="FK271" s="1048"/>
      <c r="FL271" s="1844"/>
      <c r="FM271" s="1602">
        <f>EQ271</f>
        <v>0.72</v>
      </c>
      <c r="FN271" s="1602">
        <f>EL271</f>
        <v>0.61</v>
      </c>
      <c r="FO271" s="1164">
        <v>0.72</v>
      </c>
      <c r="FP271" s="1884">
        <f>IFERROR(($FM271/FN271)-1,"")</f>
        <v>0.18032786885245899</v>
      </c>
      <c r="FQ271" s="1884">
        <f>IFERROR(($FM271/FO271)-1,"")</f>
        <v>0</v>
      </c>
      <c r="FR271" s="598"/>
      <c r="FS271" s="598"/>
      <c r="FT271" s="598"/>
      <c r="FU271" s="598"/>
      <c r="FV271" s="598"/>
      <c r="FW271" s="598"/>
      <c r="FX271" s="598"/>
      <c r="FY271" s="598"/>
      <c r="FZ271" s="598"/>
      <c r="GA271" s="660"/>
      <c r="GB271"/>
      <c r="GC271"/>
      <c r="GD271"/>
      <c r="GE271"/>
      <c r="GF271"/>
      <c r="GG271"/>
      <c r="GH271" s="1001"/>
      <c r="GI271" s="1001"/>
      <c r="GJ271" s="1001"/>
      <c r="GK271" s="1001"/>
      <c r="GL271" s="1001"/>
      <c r="GM271" s="1001"/>
      <c r="GN271" s="1001"/>
      <c r="GO271" s="1001"/>
      <c r="GP271" s="1001"/>
      <c r="GQ271" s="1001"/>
      <c r="GR271" s="1001"/>
      <c r="GS271" s="1001"/>
      <c r="GT271" s="1001"/>
      <c r="GU271" s="1001"/>
      <c r="GV271" s="1001"/>
      <c r="GW271" s="1001"/>
      <c r="GX271" s="1001"/>
      <c r="GY271" s="1001"/>
      <c r="GZ271" s="1001"/>
      <c r="HA271" s="1001"/>
      <c r="HB271" s="1001"/>
      <c r="HC271" s="1001"/>
      <c r="HD271" s="1001"/>
      <c r="HE271" s="1001"/>
      <c r="HF271" s="1001"/>
      <c r="HG271" s="1001"/>
      <c r="HH271" s="1001"/>
      <c r="HI271" s="1001"/>
      <c r="HJ271" s="1001"/>
      <c r="HK271" s="1001"/>
      <c r="HL271" s="1001"/>
      <c r="HM271" s="1001"/>
      <c r="HN271" s="1001"/>
      <c r="HO271" s="1001"/>
      <c r="HP271" s="1001"/>
      <c r="HQ271" s="1001"/>
      <c r="HR271" s="1001"/>
      <c r="HS271" s="1001"/>
      <c r="HT271" s="1001"/>
      <c r="HU271" s="1001"/>
      <c r="HV271" s="1001"/>
      <c r="HW271" s="1001"/>
      <c r="HX271" s="1001"/>
      <c r="HY271" s="1001"/>
      <c r="HZ271" s="1001"/>
      <c r="IA271" s="1001"/>
      <c r="IB271" s="1001"/>
      <c r="IC271" s="1001"/>
      <c r="ID271" s="1001"/>
      <c r="IE271" s="1001"/>
      <c r="IF271" s="1001"/>
      <c r="IG271" s="1001"/>
      <c r="IH271" s="1001"/>
      <c r="II271" s="1001"/>
      <c r="IJ271" s="1001"/>
      <c r="IK271" s="1001"/>
      <c r="IL271" s="1001"/>
      <c r="IM271" s="1001"/>
      <c r="IN271" s="1001"/>
      <c r="IO271" s="1001"/>
      <c r="IP271" s="1001"/>
      <c r="IQ271" s="1001"/>
      <c r="IR271" s="1001"/>
      <c r="IS271" s="1001"/>
      <c r="IT271" s="1001"/>
      <c r="IU271" s="1001"/>
      <c r="IV271" s="1001"/>
    </row>
    <row r="272" spans="1:256" s="191" customFormat="1" ht="12.75" x14ac:dyDescent="0.2">
      <c r="A272" s="242" t="s">
        <v>74</v>
      </c>
      <c r="B272" s="68"/>
      <c r="C272" s="68"/>
      <c r="D272" s="68"/>
      <c r="E272" s="206"/>
      <c r="F272" s="21"/>
      <c r="G272" s="68"/>
      <c r="H272" s="68"/>
      <c r="I272" s="68"/>
      <c r="J272" s="206"/>
      <c r="K272" s="21"/>
      <c r="L272" s="68"/>
      <c r="M272" s="68"/>
      <c r="N272" s="68"/>
      <c r="O272" s="206"/>
      <c r="P272" s="21"/>
      <c r="Q272" s="68"/>
      <c r="R272" s="68"/>
      <c r="S272" s="68"/>
      <c r="T272" s="206"/>
      <c r="U272" s="21"/>
      <c r="V272" s="68"/>
      <c r="W272" s="68"/>
      <c r="X272" s="68"/>
      <c r="Y272" s="206"/>
      <c r="Z272" s="21"/>
      <c r="AA272" s="68"/>
      <c r="AB272" s="68"/>
      <c r="AC272" s="68"/>
      <c r="AD272" s="206"/>
      <c r="AE272" s="21"/>
      <c r="AF272" s="68"/>
      <c r="AG272" s="68"/>
      <c r="AH272" s="68"/>
      <c r="AI272" s="206"/>
      <c r="AJ272" s="21"/>
      <c r="AK272" s="68"/>
      <c r="AL272" s="68"/>
      <c r="AM272" s="68"/>
      <c r="AN272" s="206"/>
      <c r="AO272" s="21"/>
      <c r="AP272" s="68"/>
      <c r="AQ272" s="68"/>
      <c r="AR272" s="68"/>
      <c r="AS272" s="206"/>
      <c r="AT272" s="21"/>
      <c r="AU272" s="68"/>
      <c r="AV272" s="68"/>
      <c r="AW272" s="68"/>
      <c r="AX272" s="206"/>
      <c r="AY272" s="21"/>
      <c r="AZ272" s="68"/>
      <c r="BA272" s="68"/>
      <c r="BB272" s="68"/>
      <c r="BC272" s="206"/>
      <c r="BD272" s="21"/>
      <c r="BE272" s="68"/>
      <c r="BF272" s="68"/>
      <c r="BG272" s="68"/>
      <c r="BH272" s="206"/>
      <c r="BI272" s="21"/>
      <c r="BJ272" s="68"/>
      <c r="BK272" s="68"/>
      <c r="BL272" s="68"/>
      <c r="BM272" s="206"/>
      <c r="BN272" s="21"/>
      <c r="BO272" s="68"/>
      <c r="BP272" s="68"/>
      <c r="BQ272" s="68"/>
      <c r="BR272" s="206"/>
      <c r="BS272" s="21"/>
      <c r="BT272" s="68"/>
      <c r="BU272" s="68"/>
      <c r="BV272" s="68"/>
      <c r="BW272" s="206"/>
      <c r="BX272" s="21">
        <f>BX271/BS271-1</f>
        <v>0.15384615384615397</v>
      </c>
      <c r="BY272" s="68"/>
      <c r="BZ272" s="68"/>
      <c r="CA272" s="68"/>
      <c r="CB272" s="206"/>
      <c r="CC272" s="21">
        <f t="shared" ref="CC272:DY272" si="1004">CC271/BX271-1</f>
        <v>0.19999999999999973</v>
      </c>
      <c r="CD272" s="68">
        <f t="shared" si="1004"/>
        <v>0.375</v>
      </c>
      <c r="CE272" s="68">
        <f t="shared" si="1004"/>
        <v>0.375</v>
      </c>
      <c r="CF272" s="68">
        <f t="shared" si="1004"/>
        <v>0.30000000000000004</v>
      </c>
      <c r="CG272" s="206">
        <f t="shared" si="1004"/>
        <v>0.30000000000000004</v>
      </c>
      <c r="CH272" s="21">
        <f t="shared" si="1004"/>
        <v>0.33333333333333326</v>
      </c>
      <c r="CI272" s="68">
        <f t="shared" si="1004"/>
        <v>0.45454545454545459</v>
      </c>
      <c r="CJ272" s="68">
        <f t="shared" si="1004"/>
        <v>0.45454545454545459</v>
      </c>
      <c r="CK272" s="68">
        <f t="shared" si="1004"/>
        <v>0.38461538461538458</v>
      </c>
      <c r="CL272" s="206">
        <f t="shared" si="1004"/>
        <v>0.38461538461538458</v>
      </c>
      <c r="CM272" s="21">
        <f t="shared" si="1004"/>
        <v>0.41666666666666652</v>
      </c>
      <c r="CN272" s="68">
        <f t="shared" si="1004"/>
        <v>0.375</v>
      </c>
      <c r="CO272" s="68">
        <f t="shared" si="1004"/>
        <v>0.375</v>
      </c>
      <c r="CP272" s="68">
        <f t="shared" si="1004"/>
        <v>0.44444444444444464</v>
      </c>
      <c r="CQ272" s="206">
        <f t="shared" si="1004"/>
        <v>0.44444444444444464</v>
      </c>
      <c r="CR272" s="21">
        <f t="shared" si="1004"/>
        <v>0.41176470588235303</v>
      </c>
      <c r="CS272" s="68">
        <f t="shared" si="1004"/>
        <v>0.18181818181818188</v>
      </c>
      <c r="CT272" s="68">
        <f t="shared" si="1004"/>
        <v>0.31818181818181812</v>
      </c>
      <c r="CU272" s="68">
        <f t="shared" si="1004"/>
        <v>0.23076923076923062</v>
      </c>
      <c r="CV272" s="206">
        <f t="shared" si="1004"/>
        <v>0.23076923076923062</v>
      </c>
      <c r="CW272" s="21">
        <f t="shared" si="1004"/>
        <v>0.23958333333333326</v>
      </c>
      <c r="CX272" s="68">
        <f t="shared" si="1004"/>
        <v>0.30769230769230771</v>
      </c>
      <c r="CY272" s="68">
        <f t="shared" si="1004"/>
        <v>0.1724137931034484</v>
      </c>
      <c r="CZ272" s="68">
        <f t="shared" si="1004"/>
        <v>6.2500000000000222E-2</v>
      </c>
      <c r="DA272" s="68">
        <f>DA271/CV271-1</f>
        <v>6.2500000000000222E-2</v>
      </c>
      <c r="DB272" s="21">
        <f>DB271/CW271-1</f>
        <v>0.14285714285714302</v>
      </c>
      <c r="DC272" s="68">
        <f t="shared" si="1004"/>
        <v>0</v>
      </c>
      <c r="DD272" s="68">
        <f t="shared" si="1004"/>
        <v>0</v>
      </c>
      <c r="DE272" s="68">
        <f t="shared" si="1004"/>
        <v>5.8823529411764497E-2</v>
      </c>
      <c r="DF272" s="68">
        <f>DF271/DA271-1</f>
        <v>5.8823529411764497E-2</v>
      </c>
      <c r="DG272" s="21">
        <f t="shared" si="1004"/>
        <v>2.9411764705882248E-2</v>
      </c>
      <c r="DH272" s="68">
        <f>DH271/DC271-1</f>
        <v>0.17647058823529416</v>
      </c>
      <c r="DI272" s="68">
        <f t="shared" si="1004"/>
        <v>0.17647058823529416</v>
      </c>
      <c r="DJ272" s="68">
        <f t="shared" si="1004"/>
        <v>0.19444444444444442</v>
      </c>
      <c r="DK272" s="68">
        <f t="shared" si="1004"/>
        <v>0.30555555555555558</v>
      </c>
      <c r="DL272" s="21">
        <f t="shared" si="1004"/>
        <v>0.21428571428571441</v>
      </c>
      <c r="DM272" s="68">
        <f t="shared" si="1004"/>
        <v>0.17499999999999982</v>
      </c>
      <c r="DN272" s="68">
        <f t="shared" si="1004"/>
        <v>0.17499999999999982</v>
      </c>
      <c r="DO272" s="68">
        <f t="shared" si="1004"/>
        <v>0.16279069767441867</v>
      </c>
      <c r="DP272" s="68">
        <f t="shared" si="1004"/>
        <v>6.3829787234042534E-2</v>
      </c>
      <c r="DQ272" s="21">
        <f t="shared" si="1004"/>
        <v>0.14117647058823524</v>
      </c>
      <c r="DR272" s="68">
        <f t="shared" si="1004"/>
        <v>6.3829787234042534E-2</v>
      </c>
      <c r="DS272" s="68">
        <f t="shared" si="1004"/>
        <v>6.3829787234042534E-2</v>
      </c>
      <c r="DT272" s="68">
        <f t="shared" si="1004"/>
        <v>4.0000000000000036E-2</v>
      </c>
      <c r="DU272" s="68">
        <f t="shared" si="1004"/>
        <v>8.0000000000000071E-2</v>
      </c>
      <c r="DV272" s="21">
        <f t="shared" si="1004"/>
        <v>6.1855670103092786E-2</v>
      </c>
      <c r="DW272" s="1603">
        <f t="shared" si="1004"/>
        <v>8.0000000000000071E-2</v>
      </c>
      <c r="DX272" s="1603">
        <f t="shared" si="1004"/>
        <v>8.0000000000000071E-2</v>
      </c>
      <c r="DY272" s="1603">
        <f t="shared" si="1004"/>
        <v>9.6153846153846034E-2</v>
      </c>
      <c r="DZ272" s="1603">
        <f t="shared" ref="DZ272:EF272" si="1005">DZ271/DU271-1</f>
        <v>5.5555555555555358E-2</v>
      </c>
      <c r="EA272" s="1610">
        <f t="shared" si="1005"/>
        <v>7.7669902912621103E-2</v>
      </c>
      <c r="EB272" s="1603">
        <f t="shared" si="1005"/>
        <v>9.259259259259256E-2</v>
      </c>
      <c r="EC272" s="1603">
        <f t="shared" si="1005"/>
        <v>9.259259259259256E-2</v>
      </c>
      <c r="ED272" s="1603">
        <f t="shared" si="1005"/>
        <v>3.5087719298245723E-2</v>
      </c>
      <c r="EE272" s="1603">
        <f t="shared" si="1005"/>
        <v>3.5087719298245723E-2</v>
      </c>
      <c r="EF272" s="1610">
        <f t="shared" si="1005"/>
        <v>6.3063063063063085E-2</v>
      </c>
      <c r="EG272" s="1603">
        <f t="shared" ref="EG272:EN272" si="1006">EG271/EB271-1</f>
        <v>0</v>
      </c>
      <c r="EH272" s="1603">
        <f t="shared" si="1006"/>
        <v>1.6949152542372836E-2</v>
      </c>
      <c r="EI272" s="1603">
        <f t="shared" si="1006"/>
        <v>0</v>
      </c>
      <c r="EJ272" s="1603">
        <f t="shared" si="1006"/>
        <v>0</v>
      </c>
      <c r="EK272" s="1610">
        <f t="shared" si="1006"/>
        <v>4.237288135593209E-3</v>
      </c>
      <c r="EL272" s="1603">
        <f t="shared" si="1006"/>
        <v>3.3898305084745894E-2</v>
      </c>
      <c r="EM272" s="1603">
        <f t="shared" si="1006"/>
        <v>1.6666666666666607E-2</v>
      </c>
      <c r="EN272" s="1603">
        <f t="shared" si="1006"/>
        <v>3.3898305084745894E-2</v>
      </c>
      <c r="EO272" s="1603">
        <f t="shared" ref="EO272" si="1007">EO271/EJ271-1</f>
        <v>3.3898305084745894E-2</v>
      </c>
      <c r="EP272" s="1610">
        <f t="shared" ref="EP272:EQ272" si="1008">EP271/EK271-1</f>
        <v>2.9535864978903037E-2</v>
      </c>
      <c r="EQ272" s="1603">
        <f t="shared" si="1008"/>
        <v>0.18032786885245899</v>
      </c>
      <c r="ER272" s="68">
        <f t="shared" ref="ER272" si="1009">ER271/EM271-1</f>
        <v>0.18032786885245899</v>
      </c>
      <c r="ES272" s="68">
        <f t="shared" ref="ES272:EU272" si="1010">ES271/EN271-1</f>
        <v>0.18032786885245899</v>
      </c>
      <c r="ET272" s="68">
        <f t="shared" si="1010"/>
        <v>0.18032786885245899</v>
      </c>
      <c r="EU272" s="270">
        <f t="shared" si="1010"/>
        <v>0.18032786885245899</v>
      </c>
      <c r="EV272" s="68"/>
      <c r="EW272" s="68"/>
      <c r="EX272" s="68"/>
      <c r="EY272" s="68"/>
      <c r="EZ272" s="844">
        <f>EZ271/EU271-1</f>
        <v>6.7480014353607842E-2</v>
      </c>
      <c r="FA272" s="68"/>
      <c r="FB272" s="68"/>
      <c r="FC272" s="68"/>
      <c r="FD272" s="68"/>
      <c r="FE272" s="844">
        <f>FE271/EZ271-1</f>
        <v>7.8732785008329031E-2</v>
      </c>
      <c r="FF272" s="790"/>
      <c r="FG272" s="1102"/>
      <c r="FH272" s="1041"/>
      <c r="FI272" s="1041"/>
      <c r="FJ272" s="1041"/>
      <c r="FK272" s="1041"/>
      <c r="FL272" s="1806"/>
      <c r="FM272" s="1603">
        <f>EQ272</f>
        <v>0.18032786885245899</v>
      </c>
      <c r="FN272" s="1603">
        <f>EL272</f>
        <v>3.3898305084745894E-2</v>
      </c>
      <c r="FO272" s="2065">
        <v>0.18032786885245899</v>
      </c>
      <c r="FP272" s="1903">
        <f>IFERROR(($FM272-FN272)*10000,"")</f>
        <v>1464.295637677131</v>
      </c>
      <c r="FQ272" s="1903">
        <f>IFERROR(($FM272-FO272)*10000,"")</f>
        <v>0</v>
      </c>
      <c r="FR272" s="587"/>
      <c r="FS272" s="587"/>
      <c r="FT272" s="587"/>
      <c r="FU272" s="587"/>
      <c r="FV272" s="587"/>
      <c r="FW272" s="587"/>
      <c r="FX272" s="587"/>
      <c r="FY272" s="587"/>
      <c r="FZ272" s="587"/>
      <c r="GA272" s="1102"/>
      <c r="GB272"/>
      <c r="GC272"/>
      <c r="GD272"/>
      <c r="GE272"/>
      <c r="GF272"/>
      <c r="GG272"/>
      <c r="GH272" s="978"/>
      <c r="GI272" s="978"/>
      <c r="GJ272" s="978"/>
      <c r="GK272" s="978"/>
      <c r="GL272" s="978"/>
      <c r="GM272" s="978"/>
      <c r="GN272" s="978"/>
      <c r="GO272" s="978"/>
      <c r="GP272" s="978"/>
      <c r="GQ272" s="978"/>
      <c r="GR272" s="978"/>
      <c r="GS272" s="978"/>
      <c r="GT272" s="978"/>
      <c r="GU272" s="978"/>
      <c r="GV272" s="978"/>
      <c r="GW272" s="978"/>
      <c r="GX272" s="978"/>
      <c r="GY272" s="978"/>
      <c r="GZ272" s="978"/>
      <c r="HA272" s="978"/>
      <c r="HB272" s="978"/>
      <c r="HC272" s="978"/>
      <c r="HD272" s="978"/>
      <c r="HE272" s="978"/>
      <c r="HF272" s="978"/>
      <c r="HG272" s="978"/>
      <c r="HH272" s="978"/>
      <c r="HI272" s="978"/>
      <c r="HJ272" s="978"/>
      <c r="HK272" s="978"/>
      <c r="HL272" s="978"/>
      <c r="HM272" s="978"/>
      <c r="HN272" s="978"/>
      <c r="HO272" s="978"/>
      <c r="HP272" s="978"/>
      <c r="HQ272" s="978"/>
      <c r="HR272" s="978"/>
      <c r="HS272" s="978"/>
      <c r="HT272" s="978"/>
      <c r="HU272" s="978"/>
      <c r="HV272" s="978"/>
      <c r="HW272" s="978"/>
      <c r="HX272" s="978"/>
      <c r="HY272" s="978"/>
      <c r="HZ272" s="978"/>
      <c r="IA272" s="978"/>
      <c r="IB272" s="978"/>
      <c r="IC272" s="978"/>
      <c r="ID272" s="978"/>
      <c r="IE272" s="978"/>
      <c r="IF272" s="978"/>
      <c r="IG272" s="978"/>
      <c r="IH272" s="978"/>
      <c r="II272" s="978"/>
      <c r="IJ272" s="978"/>
      <c r="IK272" s="978"/>
      <c r="IL272" s="978"/>
      <c r="IM272" s="978"/>
      <c r="IN272" s="978"/>
      <c r="IO272" s="978"/>
      <c r="IP272" s="978"/>
      <c r="IQ272" s="978"/>
      <c r="IR272" s="978"/>
      <c r="IS272" s="978"/>
      <c r="IT272" s="978"/>
      <c r="IU272" s="978"/>
      <c r="IV272" s="978"/>
    </row>
    <row r="273" spans="1:256" s="191" customFormat="1" ht="12.75" x14ac:dyDescent="0.2">
      <c r="A273" s="242" t="s">
        <v>325</v>
      </c>
      <c r="B273" s="68"/>
      <c r="C273" s="68"/>
      <c r="D273" s="68"/>
      <c r="E273" s="206"/>
      <c r="F273" s="21"/>
      <c r="G273" s="68"/>
      <c r="H273" s="68"/>
      <c r="I273" s="68"/>
      <c r="J273" s="206"/>
      <c r="K273" s="21"/>
      <c r="L273" s="68"/>
      <c r="M273" s="68"/>
      <c r="N273" s="68"/>
      <c r="O273" s="206"/>
      <c r="P273" s="21"/>
      <c r="Q273" s="68"/>
      <c r="R273" s="68"/>
      <c r="S273" s="68"/>
      <c r="T273" s="206"/>
      <c r="U273" s="21"/>
      <c r="V273" s="68"/>
      <c r="W273" s="68"/>
      <c r="X273" s="68"/>
      <c r="Y273" s="206"/>
      <c r="Z273" s="21"/>
      <c r="AA273" s="68"/>
      <c r="AB273" s="68"/>
      <c r="AC273" s="68"/>
      <c r="AD273" s="206"/>
      <c r="AE273" s="21"/>
      <c r="AF273" s="68"/>
      <c r="AG273" s="68"/>
      <c r="AH273" s="68"/>
      <c r="AI273" s="206"/>
      <c r="AJ273" s="21"/>
      <c r="AK273" s="68"/>
      <c r="AL273" s="68"/>
      <c r="AM273" s="68"/>
      <c r="AN273" s="206"/>
      <c r="AO273" s="21"/>
      <c r="AP273" s="68"/>
      <c r="AQ273" s="68"/>
      <c r="AR273" s="68"/>
      <c r="AS273" s="206"/>
      <c r="AT273" s="21"/>
      <c r="AU273" s="68"/>
      <c r="AV273" s="68"/>
      <c r="AW273" s="68"/>
      <c r="AX273" s="206"/>
      <c r="AY273" s="21"/>
      <c r="AZ273" s="68"/>
      <c r="BA273" s="68"/>
      <c r="BB273" s="68"/>
      <c r="BC273" s="206"/>
      <c r="BD273" s="21"/>
      <c r="BE273" s="68"/>
      <c r="BF273" s="68"/>
      <c r="BG273" s="68"/>
      <c r="BH273" s="206"/>
      <c r="BI273" s="21"/>
      <c r="BJ273" s="68"/>
      <c r="BK273" s="68"/>
      <c r="BL273" s="68"/>
      <c r="BM273" s="206"/>
      <c r="BN273" s="21"/>
      <c r="BO273" s="68"/>
      <c r="BP273" s="68"/>
      <c r="BQ273" s="68"/>
      <c r="BR273" s="206"/>
      <c r="BS273" s="21"/>
      <c r="BT273" s="68"/>
      <c r="BU273" s="68"/>
      <c r="BV273" s="68"/>
      <c r="BW273" s="206"/>
      <c r="BX273" s="21">
        <f t="shared" ref="BX273:DV273" si="1011">BX271/BX253</f>
        <v>0.22105179584120987</v>
      </c>
      <c r="BY273" s="68">
        <f t="shared" si="1011"/>
        <v>0.19949367088607597</v>
      </c>
      <c r="BZ273" s="68">
        <f t="shared" si="1011"/>
        <v>0.14888262910798122</v>
      </c>
      <c r="CA273" s="68">
        <f t="shared" si="1011"/>
        <v>0.17025531914893621</v>
      </c>
      <c r="CB273" s="206">
        <f t="shared" si="1011"/>
        <v>0.15409469696969696</v>
      </c>
      <c r="CC273" s="21">
        <f t="shared" si="1011"/>
        <v>0.16523896551724138</v>
      </c>
      <c r="CD273" s="68">
        <f t="shared" si="1011"/>
        <v>0.23253489690721652</v>
      </c>
      <c r="CE273" s="68">
        <f t="shared" si="1011"/>
        <v>0.14754330605564647</v>
      </c>
      <c r="CF273" s="68">
        <f t="shared" si="1011"/>
        <v>0.17808488372093023</v>
      </c>
      <c r="CG273" s="206">
        <f t="shared" si="1011"/>
        <v>0.14973450276243094</v>
      </c>
      <c r="CH273" s="21">
        <f t="shared" si="1011"/>
        <v>0.17023618064516127</v>
      </c>
      <c r="CI273" s="68">
        <f t="shared" si="1011"/>
        <v>0.22125796721311478</v>
      </c>
      <c r="CJ273" s="68">
        <f t="shared" si="1011"/>
        <v>0.18038613333333331</v>
      </c>
      <c r="CK273" s="68">
        <f t="shared" si="1011"/>
        <v>0.1773274693583273</v>
      </c>
      <c r="CL273" s="206">
        <f t="shared" si="1011"/>
        <v>0.18903272727272724</v>
      </c>
      <c r="CM273" s="21">
        <f t="shared" si="1011"/>
        <v>0.19039575315643778</v>
      </c>
      <c r="CN273" s="68">
        <f t="shared" si="1011"/>
        <v>0.31054736842105263</v>
      </c>
      <c r="CO273" s="68">
        <f t="shared" si="1011"/>
        <v>0.22429949238578681</v>
      </c>
      <c r="CP273" s="68">
        <f t="shared" si="1011"/>
        <v>0.25512098765432101</v>
      </c>
      <c r="CQ273" s="206">
        <f t="shared" si="1011"/>
        <v>0.2540701754385965</v>
      </c>
      <c r="CR273" s="21">
        <f t="shared" si="1011"/>
        <v>0.25752663519892116</v>
      </c>
      <c r="CS273" s="68">
        <f t="shared" si="1011"/>
        <v>0.33388473566223231</v>
      </c>
      <c r="CT273" s="68">
        <f t="shared" si="1011"/>
        <v>0.24550772626931563</v>
      </c>
      <c r="CU273" s="68">
        <f t="shared" si="1011"/>
        <v>0.23415384615384613</v>
      </c>
      <c r="CV273" s="206">
        <f t="shared" si="1011"/>
        <v>0.263646017699115</v>
      </c>
      <c r="CW273" s="21">
        <f t="shared" si="1011"/>
        <v>0.26235674549932431</v>
      </c>
      <c r="CX273" s="68">
        <f t="shared" si="1011"/>
        <v>0.72099428571428581</v>
      </c>
      <c r="CY273" s="68">
        <f t="shared" si="1011"/>
        <v>0.51541224489795923</v>
      </c>
      <c r="CZ273" s="68">
        <f t="shared" si="1011"/>
        <v>0.42076411960132892</v>
      </c>
      <c r="DA273" s="68">
        <f t="shared" si="1011"/>
        <v>0.41613770491803281</v>
      </c>
      <c r="DB273" s="21">
        <f t="shared" si="1011"/>
        <v>0.49319883040935675</v>
      </c>
      <c r="DC273" s="68">
        <f t="shared" si="1011"/>
        <v>0.4552357142857143</v>
      </c>
      <c r="DD273" s="68">
        <f t="shared" si="1011"/>
        <v>0.32701025641025644</v>
      </c>
      <c r="DE273" s="68">
        <f t="shared" si="1011"/>
        <v>0.3019774266365689</v>
      </c>
      <c r="DF273" s="68">
        <f t="shared" si="1011"/>
        <v>0.359829604050799</v>
      </c>
      <c r="DG273" s="21">
        <f t="shared" si="1011"/>
        <v>0.35182914158979867</v>
      </c>
      <c r="DH273" s="68">
        <f t="shared" si="1011"/>
        <v>0.39944598337950143</v>
      </c>
      <c r="DI273" s="68">
        <f t="shared" si="1011"/>
        <v>0.28931174089068828</v>
      </c>
      <c r="DJ273" s="68">
        <f t="shared" si="1011"/>
        <v>0.27088447653429604</v>
      </c>
      <c r="DK273" s="68">
        <f t="shared" si="1011"/>
        <v>0.33932196162046907</v>
      </c>
      <c r="DL273" s="21">
        <f t="shared" si="1011"/>
        <v>0.31737222651573965</v>
      </c>
      <c r="DM273" s="68">
        <f>DM271/DM253</f>
        <v>0.38161707317073168</v>
      </c>
      <c r="DN273" s="68">
        <f>DN271/DN253</f>
        <v>0.29374999999999996</v>
      </c>
      <c r="DO273" s="68">
        <f>DO271/DO253</f>
        <v>0.40024875621890549</v>
      </c>
      <c r="DP273" s="68">
        <f>DP271/DP253</f>
        <v>0.38571428571428573</v>
      </c>
      <c r="DQ273" s="21">
        <f t="shared" si="1011"/>
        <v>0.3607135506003431</v>
      </c>
      <c r="DR273" s="68">
        <f>DR271/DR253</f>
        <v>0.40834403080872916</v>
      </c>
      <c r="DS273" s="68">
        <f>DS271/DS253</f>
        <v>0.3417204301075269</v>
      </c>
      <c r="DT273" s="68">
        <f t="shared" si="1011"/>
        <v>0.33892857142857141</v>
      </c>
      <c r="DU273" s="68">
        <f>DU271/DU253</f>
        <v>0.32873684210526322</v>
      </c>
      <c r="DV273" s="21">
        <f t="shared" si="1011"/>
        <v>0.35151235736304154</v>
      </c>
      <c r="DW273" s="1603">
        <f t="shared" ref="DW273:EF273" si="1012">DW271/DW253</f>
        <v>0.45991836734693881</v>
      </c>
      <c r="DX273" s="1603">
        <f t="shared" si="1012"/>
        <v>0.30084341637010681</v>
      </c>
      <c r="DY273" s="1603">
        <f t="shared" si="1012"/>
        <v>0.31869433017349319</v>
      </c>
      <c r="DZ273" s="1603">
        <f t="shared" si="1012"/>
        <v>0.34802348336594913</v>
      </c>
      <c r="EA273" s="1610">
        <f t="shared" si="1012"/>
        <v>0.34713867773554713</v>
      </c>
      <c r="EB273" s="1603">
        <f t="shared" si="1012"/>
        <v>0.58923870967741931</v>
      </c>
      <c r="EC273" s="1603">
        <f t="shared" si="1012"/>
        <v>0.41706426259824314</v>
      </c>
      <c r="ED273" s="1603">
        <f t="shared" si="1012"/>
        <v>0.39485619469026551</v>
      </c>
      <c r="EE273" s="1603">
        <f t="shared" si="1012"/>
        <v>0.49095844875346256</v>
      </c>
      <c r="EF273" s="1610">
        <f t="shared" si="1012"/>
        <v>0.46207058369760873</v>
      </c>
      <c r="EG273" s="1603">
        <f t="shared" ref="EG273:ER273" si="1013">EG271/EG253</f>
        <v>0.45568733850129195</v>
      </c>
      <c r="EH273" s="1603">
        <f t="shared" si="1013"/>
        <v>0.43962450592885377</v>
      </c>
      <c r="EI273" s="1603">
        <f t="shared" si="1013"/>
        <v>0.37998259355961705</v>
      </c>
      <c r="EJ273" s="1603">
        <f t="shared" si="1013"/>
        <v>0.41654567307692303</v>
      </c>
      <c r="EK273" s="1610">
        <f t="shared" si="1013"/>
        <v>0.42115329255127737</v>
      </c>
      <c r="EL273" s="1603">
        <f>EL271/EL253</f>
        <v>0.41248960739030027</v>
      </c>
      <c r="EM273" s="1603">
        <f t="shared" ref="EM273:EP273" si="1014">EM271/EM253</f>
        <v>0.35740845070422533</v>
      </c>
      <c r="EN273" s="1603">
        <f t="shared" si="1014"/>
        <v>0.34900197628458496</v>
      </c>
      <c r="EO273" s="1603">
        <f t="shared" si="1014"/>
        <v>0.36123045267489712</v>
      </c>
      <c r="EP273" s="1610">
        <f t="shared" si="1014"/>
        <v>0.36857075962539021</v>
      </c>
      <c r="EQ273" s="1603">
        <f>EQ271/EQ253</f>
        <v>0.37291304347826082</v>
      </c>
      <c r="ER273" s="68">
        <f t="shared" si="1013"/>
        <v>0.32031660551918556</v>
      </c>
      <c r="ES273" s="68">
        <f t="shared" ref="ES273:EU273" si="1015">ES271/ES253</f>
        <v>0.34336337607159051</v>
      </c>
      <c r="ET273" s="68">
        <f t="shared" si="1015"/>
        <v>0.35630789741355434</v>
      </c>
      <c r="EU273" s="1956">
        <f t="shared" si="1015"/>
        <v>0.34717796511580173</v>
      </c>
      <c r="EV273" s="1279"/>
      <c r="EW273" s="1279"/>
      <c r="EX273" s="1279"/>
      <c r="EY273" s="1279"/>
      <c r="EZ273" s="2039">
        <f>EU273</f>
        <v>0.34717796511580173</v>
      </c>
      <c r="FA273" s="1279"/>
      <c r="FB273" s="1279"/>
      <c r="FC273" s="1279"/>
      <c r="FD273" s="1279"/>
      <c r="FE273" s="2039">
        <f>EZ273</f>
        <v>0.34717796511580173</v>
      </c>
      <c r="FF273" s="790"/>
      <c r="FG273" s="1102"/>
      <c r="FH273" s="1041"/>
      <c r="FI273" s="1041"/>
      <c r="FJ273" s="1041"/>
      <c r="FK273" s="1041"/>
      <c r="FL273" s="1806"/>
      <c r="FM273" s="1603">
        <f>EQ273</f>
        <v>0.37291304347826082</v>
      </c>
      <c r="FN273" s="1603">
        <f>EL273</f>
        <v>0.41248960739030027</v>
      </c>
      <c r="FO273" s="2065">
        <v>0.40290321347419689</v>
      </c>
      <c r="FP273" s="1903">
        <f>IFERROR(($FM273-FN273)*10000,"")</f>
        <v>-395.76563912039455</v>
      </c>
      <c r="FQ273" s="1903">
        <f>IFERROR(($FM273-FO273)*10000,"")</f>
        <v>-299.90169995936066</v>
      </c>
      <c r="FR273" s="1427" t="s">
        <v>665</v>
      </c>
      <c r="FS273" s="587"/>
      <c r="FT273" s="587"/>
      <c r="FU273" s="587"/>
      <c r="FV273" s="587"/>
      <c r="FW273" s="587"/>
      <c r="FX273" s="587"/>
      <c r="FY273" s="587"/>
      <c r="FZ273" s="587"/>
      <c r="GA273" s="1102"/>
      <c r="GB273"/>
      <c r="GC273"/>
      <c r="GD273"/>
      <c r="GE273"/>
      <c r="GF273"/>
      <c r="GG273"/>
      <c r="GH273" s="978"/>
      <c r="GI273" s="978"/>
      <c r="GJ273" s="978"/>
      <c r="GK273" s="978"/>
      <c r="GL273" s="978"/>
      <c r="GM273" s="978"/>
      <c r="GN273" s="978"/>
      <c r="GO273" s="978"/>
      <c r="GP273" s="978"/>
      <c r="GQ273" s="978"/>
      <c r="GR273" s="978"/>
      <c r="GS273" s="978"/>
      <c r="GT273" s="978"/>
      <c r="GU273" s="978"/>
      <c r="GV273" s="978"/>
      <c r="GW273" s="978"/>
      <c r="GX273" s="978"/>
      <c r="GY273" s="978"/>
      <c r="GZ273" s="978"/>
      <c r="HA273" s="978"/>
      <c r="HB273" s="978"/>
      <c r="HC273" s="978"/>
      <c r="HD273" s="978"/>
      <c r="HE273" s="978"/>
      <c r="HF273" s="978"/>
      <c r="HG273" s="978"/>
      <c r="HH273" s="978"/>
      <c r="HI273" s="978"/>
      <c r="HJ273" s="978"/>
      <c r="HK273" s="978"/>
      <c r="HL273" s="978"/>
      <c r="HM273" s="978"/>
      <c r="HN273" s="978"/>
      <c r="HO273" s="978"/>
      <c r="HP273" s="978"/>
      <c r="HQ273" s="978"/>
      <c r="HR273" s="978"/>
      <c r="HS273" s="978"/>
      <c r="HT273" s="978"/>
      <c r="HU273" s="978"/>
      <c r="HV273" s="978"/>
      <c r="HW273" s="978"/>
      <c r="HX273" s="978"/>
      <c r="HY273" s="978"/>
      <c r="HZ273" s="978"/>
      <c r="IA273" s="978"/>
      <c r="IB273" s="978"/>
      <c r="IC273" s="978"/>
      <c r="ID273" s="978"/>
      <c r="IE273" s="978"/>
      <c r="IF273" s="978"/>
      <c r="IG273" s="978"/>
      <c r="IH273" s="978"/>
      <c r="II273" s="978"/>
      <c r="IJ273" s="978"/>
      <c r="IK273" s="978"/>
      <c r="IL273" s="978"/>
      <c r="IM273" s="978"/>
      <c r="IN273" s="978"/>
      <c r="IO273" s="978"/>
      <c r="IP273" s="978"/>
      <c r="IQ273" s="978"/>
      <c r="IR273" s="978"/>
      <c r="IS273" s="978"/>
      <c r="IT273" s="978"/>
      <c r="IU273" s="978"/>
      <c r="IV273" s="978"/>
    </row>
    <row r="274" spans="1:256" s="53" customFormat="1" ht="12.75" x14ac:dyDescent="0.2">
      <c r="A274" s="13"/>
      <c r="B274" s="16"/>
      <c r="C274" s="16"/>
      <c r="D274" s="16"/>
      <c r="E274" s="201"/>
      <c r="F274" s="14"/>
      <c r="G274" s="16"/>
      <c r="H274" s="16"/>
      <c r="I274" s="16"/>
      <c r="J274" s="201"/>
      <c r="K274" s="14"/>
      <c r="L274" s="16"/>
      <c r="M274" s="16"/>
      <c r="N274" s="16"/>
      <c r="O274" s="201"/>
      <c r="P274" s="14"/>
      <c r="Q274" s="16"/>
      <c r="R274" s="16"/>
      <c r="S274" s="16"/>
      <c r="T274" s="201"/>
      <c r="U274" s="14"/>
      <c r="V274" s="16"/>
      <c r="W274" s="16"/>
      <c r="X274" s="16"/>
      <c r="Y274" s="201"/>
      <c r="Z274" s="14"/>
      <c r="AA274" s="16"/>
      <c r="AB274" s="16"/>
      <c r="AC274" s="16"/>
      <c r="AD274" s="201"/>
      <c r="AE274" s="14"/>
      <c r="AF274" s="16"/>
      <c r="AG274" s="16"/>
      <c r="AH274" s="16"/>
      <c r="AI274" s="201"/>
      <c r="AJ274" s="14"/>
      <c r="AK274" s="16"/>
      <c r="AL274" s="16"/>
      <c r="AM274" s="16"/>
      <c r="AN274" s="201"/>
      <c r="AO274" s="14"/>
      <c r="AP274" s="16"/>
      <c r="AQ274" s="16"/>
      <c r="AR274" s="16"/>
      <c r="AS274" s="201"/>
      <c r="AT274" s="14"/>
      <c r="AU274" s="16"/>
      <c r="AV274" s="16"/>
      <c r="AW274" s="16"/>
      <c r="AX274" s="201"/>
      <c r="AY274" s="14"/>
      <c r="AZ274" s="16"/>
      <c r="BA274" s="16"/>
      <c r="BB274" s="16"/>
      <c r="BC274" s="201"/>
      <c r="BD274" s="14"/>
      <c r="BE274" s="16"/>
      <c r="BF274" s="16"/>
      <c r="BG274" s="16"/>
      <c r="BH274" s="201"/>
      <c r="BI274" s="14"/>
      <c r="BJ274" s="16"/>
      <c r="BK274" s="16"/>
      <c r="BL274" s="16"/>
      <c r="BM274" s="201"/>
      <c r="BN274" s="14"/>
      <c r="BO274" s="16"/>
      <c r="BP274" s="16"/>
      <c r="BQ274" s="16"/>
      <c r="BR274" s="201"/>
      <c r="BS274" s="14"/>
      <c r="BT274" s="16"/>
      <c r="BU274" s="16"/>
      <c r="BV274" s="16"/>
      <c r="BW274" s="201"/>
      <c r="BX274" s="14"/>
      <c r="BY274" s="16"/>
      <c r="BZ274" s="16"/>
      <c r="CA274" s="16"/>
      <c r="CB274" s="201"/>
      <c r="CC274" s="14"/>
      <c r="CD274" s="16"/>
      <c r="CE274" s="16"/>
      <c r="CF274" s="16"/>
      <c r="CG274" s="201"/>
      <c r="CH274" s="14"/>
      <c r="CI274" s="16"/>
      <c r="CJ274" s="16"/>
      <c r="CK274" s="16"/>
      <c r="CL274" s="201"/>
      <c r="CM274" s="14"/>
      <c r="CN274" s="16"/>
      <c r="CO274" s="16"/>
      <c r="CP274" s="16"/>
      <c r="CQ274" s="201"/>
      <c r="CR274" s="14"/>
      <c r="CS274" s="16"/>
      <c r="CT274" s="16"/>
      <c r="CU274" s="16"/>
      <c r="CV274" s="201"/>
      <c r="CW274" s="14"/>
      <c r="CX274" s="16"/>
      <c r="CY274" s="16"/>
      <c r="CZ274" s="16"/>
      <c r="DA274" s="16"/>
      <c r="DB274" s="14"/>
      <c r="DC274" s="16"/>
      <c r="DD274" s="16"/>
      <c r="DE274" s="16"/>
      <c r="DF274" s="16"/>
      <c r="DG274" s="14"/>
      <c r="DH274" s="16"/>
      <c r="DI274" s="16"/>
      <c r="DJ274" s="16"/>
      <c r="DK274" s="16"/>
      <c r="DL274" s="14"/>
      <c r="DM274" s="16"/>
      <c r="DN274" s="16"/>
      <c r="DO274" s="16"/>
      <c r="DP274" s="16"/>
      <c r="DQ274" s="14"/>
      <c r="DR274" s="16"/>
      <c r="DS274" s="16"/>
      <c r="DT274" s="16"/>
      <c r="DU274" s="16"/>
      <c r="DV274" s="14"/>
      <c r="DW274" s="1604"/>
      <c r="DX274" s="1604"/>
      <c r="DY274" s="1604"/>
      <c r="DZ274" s="1604"/>
      <c r="EA274" s="1611"/>
      <c r="EB274" s="1604"/>
      <c r="EC274" s="1604"/>
      <c r="ED274" s="1604"/>
      <c r="EE274" s="1604"/>
      <c r="EF274" s="1611"/>
      <c r="EG274" s="1604"/>
      <c r="EH274" s="1604"/>
      <c r="EI274" s="1604"/>
      <c r="EJ274" s="1604"/>
      <c r="EK274" s="1611"/>
      <c r="EL274" s="1604"/>
      <c r="EM274" s="1604"/>
      <c r="EN274" s="1604"/>
      <c r="EO274" s="1604"/>
      <c r="EP274" s="1611"/>
      <c r="EQ274" s="1604"/>
      <c r="ER274" s="16"/>
      <c r="ES274" s="16"/>
      <c r="ET274" s="16"/>
      <c r="EU274" s="1943"/>
      <c r="EV274" s="254"/>
      <c r="EW274" s="254"/>
      <c r="EX274" s="254"/>
      <c r="EY274" s="254"/>
      <c r="EZ274" s="833"/>
      <c r="FA274" s="254"/>
      <c r="FB274" s="254"/>
      <c r="FC274" s="254"/>
      <c r="FD274" s="254"/>
      <c r="FE274" s="833"/>
      <c r="FF274" s="759"/>
      <c r="FG274" s="660"/>
      <c r="FH274" s="1032"/>
      <c r="FI274" s="1032"/>
      <c r="FJ274" s="1032"/>
      <c r="FK274" s="1032"/>
      <c r="FL274" s="1807"/>
      <c r="FM274" s="1604"/>
      <c r="FN274" s="1604"/>
      <c r="FO274" s="2043"/>
      <c r="FP274" s="1604"/>
      <c r="FQ274" s="1604"/>
      <c r="FR274" s="567"/>
      <c r="FS274" s="567"/>
      <c r="FT274" s="567"/>
      <c r="FU274" s="567"/>
      <c r="FV274" s="567"/>
      <c r="FW274" s="567"/>
      <c r="FX274" s="567"/>
      <c r="FY274" s="567"/>
      <c r="FZ274" s="567"/>
      <c r="GA274" s="660"/>
      <c r="GB274"/>
      <c r="GC274"/>
      <c r="GD274"/>
      <c r="GE274"/>
      <c r="GF274"/>
      <c r="GG274"/>
      <c r="GH274" s="959"/>
      <c r="GI274" s="959"/>
      <c r="GJ274" s="959"/>
      <c r="GK274" s="959"/>
      <c r="GL274" s="959"/>
      <c r="GM274" s="959"/>
      <c r="GN274" s="959"/>
      <c r="GO274" s="959"/>
      <c r="GP274" s="959"/>
      <c r="GQ274" s="959"/>
      <c r="GR274" s="959"/>
      <c r="GS274" s="959"/>
      <c r="GT274" s="959"/>
      <c r="GU274" s="959"/>
      <c r="GV274" s="959"/>
      <c r="GW274" s="959"/>
      <c r="GX274" s="959"/>
      <c r="GY274" s="959"/>
      <c r="GZ274" s="959"/>
      <c r="HA274" s="959"/>
      <c r="HB274" s="959"/>
      <c r="HC274" s="959"/>
      <c r="HD274" s="959"/>
      <c r="HE274" s="959"/>
      <c r="HF274" s="959"/>
      <c r="HG274" s="959"/>
      <c r="HH274" s="959"/>
      <c r="HI274" s="959"/>
      <c r="HJ274" s="959"/>
      <c r="HK274" s="959"/>
      <c r="HL274" s="959"/>
      <c r="HM274" s="959"/>
      <c r="HN274" s="959"/>
      <c r="HO274" s="959"/>
      <c r="HP274" s="959"/>
      <c r="HQ274" s="959"/>
      <c r="HR274" s="959"/>
      <c r="HS274" s="959"/>
      <c r="HT274" s="959"/>
      <c r="HU274" s="959"/>
      <c r="HV274" s="959"/>
      <c r="HW274" s="959"/>
      <c r="HX274" s="959"/>
      <c r="HY274" s="959"/>
      <c r="HZ274" s="959"/>
      <c r="IA274" s="959"/>
      <c r="IB274" s="959"/>
      <c r="IC274" s="959"/>
      <c r="ID274" s="959"/>
      <c r="IE274" s="959"/>
      <c r="IF274" s="959"/>
      <c r="IG274" s="959"/>
      <c r="IH274" s="959"/>
      <c r="II274" s="959"/>
      <c r="IJ274" s="959"/>
      <c r="IK274" s="959"/>
      <c r="IL274" s="959"/>
      <c r="IM274" s="959"/>
      <c r="IN274" s="959"/>
      <c r="IO274" s="959"/>
      <c r="IP274" s="959"/>
      <c r="IQ274" s="959"/>
      <c r="IR274" s="959"/>
      <c r="IS274" s="959"/>
      <c r="IT274" s="959"/>
      <c r="IU274" s="959"/>
      <c r="IV274" s="959"/>
    </row>
    <row r="275" spans="1:256" s="250" customFormat="1" ht="12.75" x14ac:dyDescent="0.2">
      <c r="A275" s="245" t="s">
        <v>295</v>
      </c>
      <c r="B275" s="246"/>
      <c r="C275" s="246"/>
      <c r="D275" s="246"/>
      <c r="E275" s="247"/>
      <c r="F275" s="248"/>
      <c r="G275" s="246"/>
      <c r="H275" s="246"/>
      <c r="I275" s="246"/>
      <c r="J275" s="247"/>
      <c r="K275" s="248"/>
      <c r="L275" s="246"/>
      <c r="M275" s="246"/>
      <c r="N275" s="246"/>
      <c r="O275" s="247"/>
      <c r="P275" s="248"/>
      <c r="Q275" s="246"/>
      <c r="R275" s="246"/>
      <c r="S275" s="246"/>
      <c r="T275" s="247"/>
      <c r="U275" s="248"/>
      <c r="V275" s="246"/>
      <c r="W275" s="246"/>
      <c r="X275" s="246"/>
      <c r="Y275" s="247"/>
      <c r="Z275" s="248"/>
      <c r="AA275" s="246"/>
      <c r="AB275" s="246"/>
      <c r="AC275" s="246"/>
      <c r="AD275" s="247"/>
      <c r="AE275" s="248"/>
      <c r="AF275" s="246"/>
      <c r="AG275" s="246"/>
      <c r="AH275" s="246"/>
      <c r="AI275" s="247"/>
      <c r="AJ275" s="248"/>
      <c r="AK275" s="246"/>
      <c r="AL275" s="246"/>
      <c r="AM275" s="246"/>
      <c r="AN275" s="247"/>
      <c r="AO275" s="248"/>
      <c r="AP275" s="246"/>
      <c r="AQ275" s="246"/>
      <c r="AR275" s="246"/>
      <c r="AS275" s="247"/>
      <c r="AT275" s="248"/>
      <c r="AU275" s="246"/>
      <c r="AV275" s="246"/>
      <c r="AW275" s="246"/>
      <c r="AX275" s="247"/>
      <c r="AY275" s="248"/>
      <c r="AZ275" s="246"/>
      <c r="BA275" s="246"/>
      <c r="BB275" s="246"/>
      <c r="BC275" s="247"/>
      <c r="BD275" s="248"/>
      <c r="BE275" s="246"/>
      <c r="BF275" s="246"/>
      <c r="BG275" s="246"/>
      <c r="BH275" s="247"/>
      <c r="BI275" s="248"/>
      <c r="BJ275" s="246"/>
      <c r="BK275" s="246"/>
      <c r="BL275" s="246"/>
      <c r="BM275" s="247"/>
      <c r="BN275" s="248"/>
      <c r="BO275" s="246">
        <f ca="1">MarketData!H16</f>
        <v>23.426666666666666</v>
      </c>
      <c r="BP275" s="246">
        <f ca="1">MarketData!I16</f>
        <v>21.993333333333336</v>
      </c>
      <c r="BQ275" s="246">
        <f ca="1">MarketData!J16</f>
        <v>20.456666666666667</v>
      </c>
      <c r="BR275" s="247">
        <f ca="1">MarketData!K16</f>
        <v>19.973333333333333</v>
      </c>
      <c r="BS275" s="248">
        <f ca="1">MarketData!L16</f>
        <v>21.462499999999999</v>
      </c>
      <c r="BT275" s="246">
        <f ca="1">MarketData!M16</f>
        <v>19.106666666666666</v>
      </c>
      <c r="BU275" s="246">
        <f ca="1">MarketData!N16</f>
        <v>20.776666666666667</v>
      </c>
      <c r="BV275" s="246">
        <f ca="1">MarketData!O16</f>
        <v>18.923333333333332</v>
      </c>
      <c r="BW275" s="247">
        <f ca="1">MarketData!P16</f>
        <v>21.736666666666668</v>
      </c>
      <c r="BX275" s="248">
        <f ca="1">MarketData!Q16</f>
        <v>20.135833333333334</v>
      </c>
      <c r="BY275" s="246">
        <f ca="1">MarketData!R16</f>
        <v>22.183333333333334</v>
      </c>
      <c r="BZ275" s="246">
        <f ca="1">MarketData!S16</f>
        <v>24.856666666666666</v>
      </c>
      <c r="CA275" s="246">
        <f ca="1">MarketData!T16</f>
        <v>28.276666666666667</v>
      </c>
      <c r="CB275" s="247">
        <f ca="1">MarketData!U16</f>
        <v>34.823333333333331</v>
      </c>
      <c r="CC275" s="248">
        <f ca="1">MarketData!V16</f>
        <v>27.534999999999997</v>
      </c>
      <c r="CD275" s="246">
        <f ca="1">MarketData!W16</f>
        <v>35.953333333333333</v>
      </c>
      <c r="CE275" s="246">
        <f ca="1">MarketData!X16</f>
        <v>31.426666666666666</v>
      </c>
      <c r="CF275" s="246">
        <f ca="1">MarketData!Y16</f>
        <v>37.793333333333329</v>
      </c>
      <c r="CG275" s="247">
        <f ca="1">MarketData!Z16</f>
        <v>43.089999999999996</v>
      </c>
      <c r="CH275" s="248">
        <f ca="1">MarketData!AA16</f>
        <v>37.06583333333333</v>
      </c>
      <c r="CI275" s="246">
        <f ca="1">MarketData!AB16</f>
        <v>51.696666666666665</v>
      </c>
      <c r="CJ275" s="246">
        <f ca="1">MarketData!AC16</f>
        <v>53.326666666666661</v>
      </c>
      <c r="CK275" s="246">
        <f ca="1">MarketData!AD16</f>
        <v>43.4</v>
      </c>
      <c r="CL275" s="247">
        <f ca="1">MarketData!AE16</f>
        <v>50.703333333333326</v>
      </c>
      <c r="CM275" s="248">
        <f ca="1">MarketData!AF16</f>
        <v>49.781666666666659</v>
      </c>
      <c r="CN275" s="246">
        <f ca="1">MarketData!AG16</f>
        <v>49.223333333333329</v>
      </c>
      <c r="CO275" s="246">
        <f ca="1">MarketData!AH16</f>
        <v>54.566666666666663</v>
      </c>
      <c r="CP275" s="246">
        <f ca="1">MarketData!AI16</f>
        <v>52.300000000000004</v>
      </c>
      <c r="CQ275" s="247">
        <f ca="1">MarketData!AJ16</f>
        <v>51.1</v>
      </c>
      <c r="CR275" s="248">
        <f ca="1">MarketData!AK16</f>
        <v>51.797499999999999</v>
      </c>
      <c r="CS275" s="246">
        <f ca="1">MarketData!AL16</f>
        <v>53.866666666666667</v>
      </c>
      <c r="CT275" s="246">
        <f ca="1">MarketData!AM16</f>
        <v>63.21</v>
      </c>
      <c r="CU275" s="246">
        <f ca="1">MarketData!AN16</f>
        <v>70.553333333333327</v>
      </c>
      <c r="CV275" s="247">
        <f ca="1">MarketData!AO16</f>
        <v>52.153333333333329</v>
      </c>
      <c r="CW275" s="248">
        <f ca="1">MarketData!AP16</f>
        <v>59.945833333333333</v>
      </c>
      <c r="CX275" s="246">
        <f ca="1">MarketData!AQ16</f>
        <v>34.61</v>
      </c>
      <c r="CY275" s="246">
        <f ca="1">MarketData!AR16</f>
        <v>36.85</v>
      </c>
      <c r="CZ275" s="246">
        <f ca="1">MarketData!AS16</f>
        <v>44.076666666666675</v>
      </c>
      <c r="DA275" s="246">
        <f ca="1">MarketData!AT16</f>
        <v>50.146666666666668</v>
      </c>
      <c r="DB275" s="248">
        <f ca="1">MarketData!AU16</f>
        <v>41.420833333333341</v>
      </c>
      <c r="DC275" s="246">
        <f ca="1">MarketData!AV16</f>
        <v>51.46</v>
      </c>
      <c r="DD275" s="246">
        <f ca="1">MarketData!AW16</f>
        <v>56.279999999999994</v>
      </c>
      <c r="DE275" s="246">
        <f ca="1">MarketData!AX16</f>
        <v>56.486666666666672</v>
      </c>
      <c r="DF275" s="246">
        <f ca="1">MarketData!AY16</f>
        <v>61.493333333333332</v>
      </c>
      <c r="DG275" s="248">
        <f ca="1">MarketData!AZ16</f>
        <v>56.43</v>
      </c>
      <c r="DH275" s="246">
        <f ca="1">MarketData!BA16</f>
        <v>65.346666666666664</v>
      </c>
      <c r="DI275" s="246">
        <f ca="1">MarketData!BB16</f>
        <v>74.306666666666672</v>
      </c>
      <c r="DJ275" s="246">
        <f ca="1">MarketData!BC16</f>
        <v>68.13333333333334</v>
      </c>
      <c r="DK275" s="246">
        <f ca="1">MarketData!BD16</f>
        <v>72.009229307692308</v>
      </c>
      <c r="DL275" s="248">
        <f ca="1">MarketData!BE16</f>
        <v>69.948973993589746</v>
      </c>
      <c r="DM275" s="246">
        <f ca="1">MarketData!BF16</f>
        <v>70.833071538461539</v>
      </c>
      <c r="DN275" s="246">
        <f ca="1">MarketData!BG16</f>
        <v>68.575376615384613</v>
      </c>
      <c r="DO275" s="246">
        <f ca="1">MarketData!BH16</f>
        <v>72.26691546153846</v>
      </c>
      <c r="DP275" s="246">
        <f ca="1">MarketData!BI16</f>
        <v>61.745378230769234</v>
      </c>
      <c r="DQ275" s="248">
        <f ca="1">AVERAGE(DM275:DP275)</f>
        <v>68.355185461538468</v>
      </c>
      <c r="DR275" s="246">
        <f ca="1">MarketData!BK16</f>
        <v>71.144609153846147</v>
      </c>
      <c r="DS275" s="246">
        <f ca="1">MarketData!BL16</f>
        <v>76.311534461538457</v>
      </c>
      <c r="DT275" s="246">
        <f ca="1">MarketData!BM16</f>
        <v>75.013071307692314</v>
      </c>
      <c r="DU275" s="246">
        <f ca="1">MarketData!BN16</f>
        <v>86.128456</v>
      </c>
      <c r="DV275" s="248">
        <f ca="1">AVERAGE(DR275:DU275)</f>
        <v>77.14941773076923</v>
      </c>
      <c r="DW275" s="1605">
        <f ca="1">MarketData!BP16</f>
        <v>92.74999230769231</v>
      </c>
      <c r="DX275" s="1605">
        <f ca="1">MarketData!BQ16</f>
        <v>98.094610615384653</v>
      </c>
      <c r="DY275" s="1605">
        <f ca="1">MarketData!BR16</f>
        <v>106.13230692307694</v>
      </c>
      <c r="DZ275" s="1605">
        <f ca="1">MarketData!BS16</f>
        <v>109.73077153846151</v>
      </c>
      <c r="EA275" s="1612">
        <f ca="1">AVERAGE(DW275:DZ275)</f>
        <v>101.67692034615385</v>
      </c>
      <c r="EB275" s="1605">
        <f ca="1">MarketData!BU16</f>
        <v>107.0884653846154</v>
      </c>
      <c r="EC275" s="1605">
        <f ca="1">MarketData!BV16</f>
        <v>97.751540230769223</v>
      </c>
      <c r="ED275" s="1605">
        <f ca="1">MarketData!BW16</f>
        <v>81.488462307692302</v>
      </c>
      <c r="EE275" s="1605">
        <f ca="1">MarketData!BX16</f>
        <v>85.817693076923078</v>
      </c>
      <c r="EF275" s="1612">
        <f ca="1">AVERAGE(EB275:EE275)</f>
        <v>93.036540250000002</v>
      </c>
      <c r="EG275" s="1605">
        <f ca="1">MarketData!BZ16</f>
        <v>76.149229076923064</v>
      </c>
      <c r="EH275" s="1605">
        <f ca="1">MarketData!CA16</f>
        <v>85.202309692307708</v>
      </c>
      <c r="EI275" s="1605">
        <f ca="1">MarketData!CB16</f>
        <v>90.453847384615372</v>
      </c>
      <c r="EJ275" s="1605">
        <f ca="1">MarketData!CC16</f>
        <v>108.80846461538461</v>
      </c>
      <c r="EK275" s="1612">
        <f ca="1">AVERAGE(EG275:EJ275)</f>
        <v>90.153462692307684</v>
      </c>
      <c r="EL275" s="1605">
        <f ca="1">MarketData!CE16</f>
        <v>108.38923615384617</v>
      </c>
      <c r="EM275" s="1605">
        <f ca="1">MarketData!CF16</f>
        <v>117.22077384615386</v>
      </c>
      <c r="EN275" s="1605">
        <f ca="1">MarketData!CG16</f>
        <v>120.94154307692307</v>
      </c>
      <c r="EO275" s="1605">
        <f ca="1">MarketData!CH16</f>
        <v>144.97385076923075</v>
      </c>
      <c r="EP275" s="1612">
        <f ca="1">AVERAGE(EL275:EO275)</f>
        <v>122.88135096153847</v>
      </c>
      <c r="EQ275" s="1605">
        <f ca="1">MarketData!CJ16</f>
        <v>153.93846538461537</v>
      </c>
      <c r="ER275" s="1605">
        <f ca="1">MarketData!CK16</f>
        <v>124.18077692307693</v>
      </c>
      <c r="ES275" s="249">
        <f ca="1">+ER275</f>
        <v>124.18077692307693</v>
      </c>
      <c r="ET275" s="249">
        <f ca="1">+ES275</f>
        <v>124.18077692307693</v>
      </c>
      <c r="EU275" s="2006">
        <f ca="1">+ET275</f>
        <v>124.18077692307693</v>
      </c>
      <c r="EV275" s="246"/>
      <c r="EW275" s="246"/>
      <c r="EX275" s="246"/>
      <c r="EY275" s="246"/>
      <c r="EZ275" s="886">
        <f ca="1">+EU275</f>
        <v>124.18077692307693</v>
      </c>
      <c r="FA275" s="246"/>
      <c r="FB275" s="246"/>
      <c r="FC275" s="246"/>
      <c r="FD275" s="246"/>
      <c r="FE275" s="886">
        <f ca="1">+EZ275</f>
        <v>124.18077692307693</v>
      </c>
      <c r="FF275" s="811"/>
      <c r="FG275" s="660"/>
      <c r="FH275" s="1042"/>
      <c r="FI275" s="1042"/>
      <c r="FJ275" s="1042"/>
      <c r="FK275" s="1042"/>
      <c r="FL275" s="1833"/>
      <c r="FM275" s="1605">
        <f t="shared" ref="FM275:FM280" ca="1" si="1016">EQ275</f>
        <v>153.93846538461537</v>
      </c>
      <c r="FN275" s="1605">
        <f t="shared" ref="FN275:FN280" ca="1" si="1017">EL275</f>
        <v>108.38923615384617</v>
      </c>
      <c r="FO275" s="249">
        <v>154.06385076923078</v>
      </c>
      <c r="FP275" s="1885">
        <f ca="1">IFERROR(($FM275/FN275)-1,"")</f>
        <v>0.42023757014134921</v>
      </c>
      <c r="FQ275" s="1885">
        <f ca="1">IFERROR(($FM275/FO275)-1,"")</f>
        <v>-8.1385337306172367E-4</v>
      </c>
      <c r="FR275" s="599"/>
      <c r="FS275" s="599"/>
      <c r="FT275" s="599"/>
      <c r="FU275" s="599"/>
      <c r="FV275" s="599"/>
      <c r="FW275" s="599"/>
      <c r="FX275" s="599"/>
      <c r="FY275" s="599"/>
      <c r="FZ275" s="599"/>
      <c r="GA275" s="660"/>
      <c r="GB275"/>
      <c r="GC275"/>
      <c r="GD275"/>
      <c r="GE275"/>
      <c r="GF275"/>
      <c r="GG275"/>
      <c r="GH275" s="1002"/>
      <c r="GI275" s="1002"/>
      <c r="GJ275" s="1002"/>
      <c r="GK275" s="1002"/>
      <c r="GL275" s="1002"/>
      <c r="GM275" s="1002"/>
      <c r="GN275" s="1002"/>
      <c r="GO275" s="1002"/>
      <c r="GP275" s="1002"/>
      <c r="GQ275" s="1002"/>
      <c r="GR275" s="1002"/>
      <c r="GS275" s="1002"/>
      <c r="GT275" s="1002"/>
      <c r="GU275" s="1002"/>
      <c r="GV275" s="1002"/>
      <c r="GW275" s="1002"/>
      <c r="GX275" s="1002"/>
      <c r="GY275" s="1002"/>
      <c r="GZ275" s="1002"/>
      <c r="HA275" s="1002"/>
      <c r="HB275" s="1002"/>
      <c r="HC275" s="1002"/>
      <c r="HD275" s="1002"/>
      <c r="HE275" s="1002"/>
      <c r="HF275" s="1002"/>
      <c r="HG275" s="1002"/>
      <c r="HH275" s="1002"/>
      <c r="HI275" s="1002"/>
      <c r="HJ275" s="1002"/>
      <c r="HK275" s="1002"/>
      <c r="HL275" s="1002"/>
      <c r="HM275" s="1002"/>
      <c r="HN275" s="1002"/>
      <c r="HO275" s="1002"/>
      <c r="HP275" s="1002"/>
      <c r="HQ275" s="1002"/>
      <c r="HR275" s="1002"/>
      <c r="HS275" s="1002"/>
      <c r="HT275" s="1002"/>
      <c r="HU275" s="1002"/>
      <c r="HV275" s="1002"/>
      <c r="HW275" s="1002"/>
      <c r="HX275" s="1002"/>
      <c r="HY275" s="1002"/>
      <c r="HZ275" s="1002"/>
      <c r="IA275" s="1002"/>
      <c r="IB275" s="1002"/>
      <c r="IC275" s="1002"/>
      <c r="ID275" s="1002"/>
      <c r="IE275" s="1002"/>
      <c r="IF275" s="1002"/>
      <c r="IG275" s="1002"/>
      <c r="IH275" s="1002"/>
      <c r="II275" s="1002"/>
      <c r="IJ275" s="1002"/>
      <c r="IK275" s="1002"/>
      <c r="IL275" s="1002"/>
      <c r="IM275" s="1002"/>
      <c r="IN275" s="1002"/>
      <c r="IO275" s="1002"/>
      <c r="IP275" s="1002"/>
      <c r="IQ275" s="1002"/>
      <c r="IR275" s="1002"/>
      <c r="IS275" s="1002"/>
      <c r="IT275" s="1002"/>
      <c r="IU275" s="1002"/>
      <c r="IV275" s="1002"/>
    </row>
    <row r="276" spans="1:256" s="289" customFormat="1" ht="12.75" customHeight="1" x14ac:dyDescent="0.2">
      <c r="A276" s="315" t="s">
        <v>643</v>
      </c>
      <c r="B276" s="316"/>
      <c r="C276" s="316"/>
      <c r="D276" s="316"/>
      <c r="E276" s="317"/>
      <c r="F276" s="318"/>
      <c r="G276" s="316"/>
      <c r="H276" s="316"/>
      <c r="I276" s="316"/>
      <c r="J276" s="317"/>
      <c r="K276" s="318"/>
      <c r="L276" s="316"/>
      <c r="M276" s="316"/>
      <c r="N276" s="316"/>
      <c r="O276" s="317"/>
      <c r="P276" s="318"/>
      <c r="Q276" s="316"/>
      <c r="R276" s="316"/>
      <c r="S276" s="316"/>
      <c r="T276" s="317"/>
      <c r="U276" s="318"/>
      <c r="V276" s="316"/>
      <c r="W276" s="316"/>
      <c r="X276" s="316"/>
      <c r="Y276" s="317"/>
      <c r="Z276" s="318"/>
      <c r="AA276" s="316"/>
      <c r="AB276" s="316"/>
      <c r="AC276" s="316"/>
      <c r="AD276" s="317"/>
      <c r="AE276" s="318"/>
      <c r="AF276" s="316"/>
      <c r="AG276" s="316"/>
      <c r="AH276" s="316"/>
      <c r="AI276" s="317"/>
      <c r="AJ276" s="318"/>
      <c r="AK276" s="316"/>
      <c r="AL276" s="316"/>
      <c r="AM276" s="316"/>
      <c r="AN276" s="317"/>
      <c r="AO276" s="318"/>
      <c r="AP276" s="316"/>
      <c r="AQ276" s="316"/>
      <c r="AR276" s="316"/>
      <c r="AS276" s="317"/>
      <c r="AT276" s="318"/>
      <c r="AU276" s="316"/>
      <c r="AV276" s="316"/>
      <c r="AW276" s="316"/>
      <c r="AX276" s="317"/>
      <c r="AY276" s="318"/>
      <c r="AZ276" s="316"/>
      <c r="BA276" s="316"/>
      <c r="BB276" s="316"/>
      <c r="BC276" s="317"/>
      <c r="BD276" s="318"/>
      <c r="BE276" s="316"/>
      <c r="BF276" s="316"/>
      <c r="BG276" s="316"/>
      <c r="BH276" s="317"/>
      <c r="BI276" s="318"/>
      <c r="BJ276" s="316"/>
      <c r="BK276" s="316"/>
      <c r="BL276" s="316"/>
      <c r="BM276" s="317"/>
      <c r="BN276" s="318"/>
      <c r="BO276" s="316"/>
      <c r="BP276" s="316">
        <f ca="1">BP275/BO275-1</f>
        <v>-6.1183836084234389E-2</v>
      </c>
      <c r="BQ276" s="316">
        <f ca="1">BQ275/BP275-1</f>
        <v>-6.9869657471961277E-2</v>
      </c>
      <c r="BR276" s="317">
        <f ca="1">BR275/BQ275-1</f>
        <v>-2.3627179403617471E-2</v>
      </c>
      <c r="BS276" s="318"/>
      <c r="BT276" s="316">
        <f ca="1">BT275/BR275-1</f>
        <v>-4.3391188251001411E-2</v>
      </c>
      <c r="BU276" s="316">
        <f ca="1">BU275/BT275-1</f>
        <v>8.7404047452896094E-2</v>
      </c>
      <c r="BV276" s="316">
        <f ca="1">BV275/BU275-1</f>
        <v>-8.9202631156746426E-2</v>
      </c>
      <c r="BW276" s="317">
        <f ca="1">BW275/BV275-1</f>
        <v>0.14867007222124373</v>
      </c>
      <c r="BX276" s="318">
        <f ca="1">BX277</f>
        <v>-6.181324014754408E-2</v>
      </c>
      <c r="BY276" s="316">
        <f ca="1">BY275/BW275-1</f>
        <v>2.0548995552829297E-2</v>
      </c>
      <c r="BZ276" s="316">
        <f ca="1">BZ275/BY275-1</f>
        <v>0.12051089406461291</v>
      </c>
      <c r="CA276" s="316">
        <f ca="1">CA275/BZ275-1</f>
        <v>0.13758884269813598</v>
      </c>
      <c r="CB276" s="317">
        <f ca="1">CB275/CA275-1</f>
        <v>0.23152186726393942</v>
      </c>
      <c r="CC276" s="318">
        <f ca="1">CC277</f>
        <v>0.36746264950544205</v>
      </c>
      <c r="CD276" s="316">
        <f ca="1">CD275/CB275-1</f>
        <v>3.2449507035512637E-2</v>
      </c>
      <c r="CE276" s="316">
        <f ca="1">CE275/CD275-1</f>
        <v>-0.12590394956425</v>
      </c>
      <c r="CF276" s="316">
        <f ca="1">CF275/CE275-1</f>
        <v>0.20258803563852346</v>
      </c>
      <c r="CG276" s="317">
        <f ca="1">CG275/CF275-1</f>
        <v>0.14014817428117832</v>
      </c>
      <c r="CH276" s="318">
        <f ca="1">CH277</f>
        <v>0.3461352218388718</v>
      </c>
      <c r="CI276" s="316">
        <f ca="1">CI275/CG275-1</f>
        <v>0.19973698460586387</v>
      </c>
      <c r="CJ276" s="316">
        <f ca="1">CJ275/CI275-1</f>
        <v>3.1530079308788261E-2</v>
      </c>
      <c r="CK276" s="316">
        <f ca="1">CK275/CJ275-1</f>
        <v>-0.18614826853356659</v>
      </c>
      <c r="CL276" s="317">
        <f ca="1">CL275/CK275-1</f>
        <v>0.16827956989247306</v>
      </c>
      <c r="CM276" s="318">
        <f ca="1">CM277</f>
        <v>0.34306077025112969</v>
      </c>
      <c r="CN276" s="316">
        <f ca="1">CN275/CL275-1</f>
        <v>-2.918940240615342E-2</v>
      </c>
      <c r="CO276" s="316">
        <f ca="1">CO275/CN275-1</f>
        <v>0.10855285433737394</v>
      </c>
      <c r="CP276" s="316">
        <f ca="1">CP275/CO275-1</f>
        <v>-4.1539401343921645E-2</v>
      </c>
      <c r="CQ276" s="317">
        <f ca="1">CQ275/CP275-1</f>
        <v>-2.2944550669216079E-2</v>
      </c>
      <c r="CR276" s="318">
        <f ca="1">CR277</f>
        <v>4.0493488231946317E-2</v>
      </c>
      <c r="CS276" s="316">
        <f ca="1">CS275/CQ275-1</f>
        <v>5.4142204827136275E-2</v>
      </c>
      <c r="CT276" s="316">
        <f ca="1">CT275/CS275-1</f>
        <v>0.17345297029702977</v>
      </c>
      <c r="CU276" s="316">
        <f ca="1">CU275/CT275-1</f>
        <v>0.1161736012234349</v>
      </c>
      <c r="CV276" s="317">
        <f ca="1">CV275/CU275-1</f>
        <v>-0.26079561560994047</v>
      </c>
      <c r="CW276" s="318">
        <f ca="1">CW277</f>
        <v>0.15731132454912555</v>
      </c>
      <c r="CX276" s="316">
        <f ca="1">CX275/CV275-1</f>
        <v>-0.33637990540713281</v>
      </c>
      <c r="CY276" s="316">
        <f ca="1">CY275/CX275-1</f>
        <v>6.472117885004347E-2</v>
      </c>
      <c r="CZ276" s="316">
        <f ca="1">CZ275/CY275-1</f>
        <v>0.19611035730438742</v>
      </c>
      <c r="DA276" s="316">
        <f ca="1">DA275/CZ275-1</f>
        <v>0.13771458821749971</v>
      </c>
      <c r="DB276" s="318">
        <f ca="1">DB277</f>
        <v>-0.30902898449989558</v>
      </c>
      <c r="DC276" s="316">
        <f ca="1">DC275/DA275-1</f>
        <v>2.6189843126827927E-2</v>
      </c>
      <c r="DD276" s="316">
        <f ca="1">DD275/DC275-1</f>
        <v>9.3664982510687889E-2</v>
      </c>
      <c r="DE276" s="316">
        <f ca="1">DE275/DD275-1</f>
        <v>3.6721156124142063E-3</v>
      </c>
      <c r="DF276" s="316">
        <f ca="1">DF275/DE275-1</f>
        <v>8.8634486014398606E-2</v>
      </c>
      <c r="DG276" s="318">
        <f ca="1">DG277</f>
        <v>0.3623579116789053</v>
      </c>
      <c r="DH276" s="316">
        <f ca="1">DH275/DF275-1</f>
        <v>6.2662619254119756E-2</v>
      </c>
      <c r="DI276" s="316">
        <f ca="1">DI275/DH275-1</f>
        <v>0.13711487451540516</v>
      </c>
      <c r="DJ276" s="316">
        <f ca="1">DJ275/DI275-1</f>
        <v>-8.307913152700519E-2</v>
      </c>
      <c r="DK276" s="316">
        <f ca="1">DK275/DJ275-1</f>
        <v>5.688692721661881E-2</v>
      </c>
      <c r="DL276" s="318">
        <f ca="1">DL277</f>
        <v>0.23957068923604008</v>
      </c>
      <c r="DM276" s="316">
        <f ca="1">DM275/DK275-1</f>
        <v>-1.6333430874604926E-2</v>
      </c>
      <c r="DN276" s="316">
        <f ca="1">DN275/DM275-1</f>
        <v>-3.187345789249052E-2</v>
      </c>
      <c r="DO276" s="316">
        <f ca="1">DO275/DN275-1</f>
        <v>5.3831842103593486E-2</v>
      </c>
      <c r="DP276" s="316">
        <f ca="1">DP275/DO275-1</f>
        <v>-0.1455927261260922</v>
      </c>
      <c r="DQ276" s="318">
        <f ca="1">DQ277</f>
        <v>-2.2785016577903439E-2</v>
      </c>
      <c r="DR276" s="316">
        <f ca="1">DR275/DP275-1</f>
        <v>0.15222565951329847</v>
      </c>
      <c r="DS276" s="316">
        <f ca="1">DS275/DR275-1</f>
        <v>7.2625675636493137E-2</v>
      </c>
      <c r="DT276" s="316">
        <f ca="1">DT275/DS275-1</f>
        <v>-1.7015293467864678E-2</v>
      </c>
      <c r="DU276" s="316">
        <f ca="1">DU275/DT275-1</f>
        <v>0.14817930393376444</v>
      </c>
      <c r="DV276" s="318">
        <f ca="1">DV277</f>
        <v>0.12865493978037734</v>
      </c>
      <c r="DW276" s="1607">
        <f ca="1">DW275/DU275-1</f>
        <v>7.6879774875939999E-2</v>
      </c>
      <c r="DX276" s="1607">
        <f ca="1">DX275/DW275-1</f>
        <v>5.7623921843162007E-2</v>
      </c>
      <c r="DY276" s="1607">
        <f ca="1">DY275/DX275-1</f>
        <v>8.1938204935712244E-2</v>
      </c>
      <c r="DZ276" s="1607">
        <f ca="1">DZ275/DY275-1</f>
        <v>3.3905459324394815E-2</v>
      </c>
      <c r="EA276" s="1613">
        <f ca="1">EA277</f>
        <v>0.3179220704034218</v>
      </c>
      <c r="EB276" s="1607">
        <f ca="1">EB275/DZ275-1</f>
        <v>-2.4079901351281019E-2</v>
      </c>
      <c r="EC276" s="1607">
        <f ca="1">EC275/EB275-1</f>
        <v>-8.718889677158026E-2</v>
      </c>
      <c r="ED276" s="1607">
        <f ca="1">ED275/EC275-1</f>
        <v>-0.16637157721181151</v>
      </c>
      <c r="EE276" s="1607">
        <f ca="1">EE275/ED275-1</f>
        <v>5.3126916947874525E-2</v>
      </c>
      <c r="EF276" s="1613">
        <f ca="1">EF277</f>
        <v>-8.4978774600352969E-2</v>
      </c>
      <c r="EG276" s="1607">
        <f ca="1">EG275/EE275-1</f>
        <v>-0.11266282806429717</v>
      </c>
      <c r="EH276" s="1607">
        <f ca="1">EH275/EG275-1</f>
        <v>0.1188860442203501</v>
      </c>
      <c r="EI276" s="1607">
        <f ca="1">EI275/EH275-1</f>
        <v>6.1636095444743466E-2</v>
      </c>
      <c r="EJ276" s="1607">
        <f ca="1">EJ275/EI275-1</f>
        <v>0.20291693235252084</v>
      </c>
      <c r="EK276" s="1613">
        <f ca="1">EK277</f>
        <v>-3.0988658326558061E-2</v>
      </c>
      <c r="EL276" s="1607">
        <f ca="1">EL275/EJ275-1</f>
        <v>-3.8529030165099787E-3</v>
      </c>
      <c r="EM276" s="1607">
        <f ca="1">EM275/EL275-1</f>
        <v>8.1479840671377479E-2</v>
      </c>
      <c r="EN276" s="1607">
        <f ca="1">EN275/EM275-1</f>
        <v>3.1741551507350696E-2</v>
      </c>
      <c r="EO276" s="1607">
        <f ca="1">EO275/EN275-1</f>
        <v>0.19871011300907826</v>
      </c>
      <c r="EP276" s="1613">
        <f ca="1">EP277</f>
        <v>0.36302419554233367</v>
      </c>
      <c r="EQ276" s="1607">
        <f ca="1">EQ275/EO275-1</f>
        <v>6.1836079871083083E-2</v>
      </c>
      <c r="ER276" s="1607">
        <f ca="1">ER275/EQ275-1</f>
        <v>-0.19330898477640934</v>
      </c>
      <c r="ES276" s="316">
        <f ca="1">ES275/ER275-1</f>
        <v>0</v>
      </c>
      <c r="ET276" s="316">
        <f ca="1">ET275/ES275-1</f>
        <v>0</v>
      </c>
      <c r="EU276" s="2007">
        <f ca="1">EU277</f>
        <v>1.0574639287170395E-2</v>
      </c>
      <c r="EV276" s="146"/>
      <c r="EW276" s="146"/>
      <c r="EX276" s="146"/>
      <c r="EY276" s="146"/>
      <c r="EZ276" s="887">
        <f ca="1">EZ275/EU275-1</f>
        <v>0</v>
      </c>
      <c r="FA276" s="146"/>
      <c r="FB276" s="146"/>
      <c r="FC276" s="146"/>
      <c r="FD276" s="146"/>
      <c r="FE276" s="887">
        <f ca="1">FE275/EZ275-1</f>
        <v>0</v>
      </c>
      <c r="FF276" s="812"/>
      <c r="FG276" s="660"/>
      <c r="FH276" s="1049"/>
      <c r="FI276" s="1049"/>
      <c r="FJ276" s="1049"/>
      <c r="FK276" s="1049"/>
      <c r="FL276" s="1845"/>
      <c r="FM276" s="1607">
        <f t="shared" ca="1" si="1016"/>
        <v>6.1836079871083083E-2</v>
      </c>
      <c r="FN276" s="1607">
        <f t="shared" ca="1" si="1017"/>
        <v>-3.8529030165099787E-3</v>
      </c>
      <c r="FO276" s="2066">
        <v>6.270096263407865E-2</v>
      </c>
      <c r="FP276" s="1904">
        <f ca="1">IFERROR(($FM276-FN276)*10000,"")</f>
        <v>656.88982887593056</v>
      </c>
      <c r="FQ276" s="1904">
        <f ca="1">IFERROR(($FM276-FO276)*10000,"")</f>
        <v>-8.6488276299556688</v>
      </c>
      <c r="FR276" s="600"/>
      <c r="FS276" s="600"/>
      <c r="FT276" s="600"/>
      <c r="FU276" s="600"/>
      <c r="FV276" s="600"/>
      <c r="FW276" s="600"/>
      <c r="FX276" s="600"/>
      <c r="FY276" s="600"/>
      <c r="FZ276" s="600"/>
      <c r="GA276" s="660"/>
      <c r="GB276"/>
      <c r="GC276"/>
      <c r="GD276"/>
      <c r="GE276"/>
      <c r="GF276"/>
      <c r="GG276"/>
      <c r="GH276" s="990"/>
      <c r="GI276" s="990"/>
      <c r="GJ276" s="990"/>
      <c r="GK276" s="990"/>
      <c r="GL276" s="990"/>
      <c r="GM276" s="990"/>
      <c r="GN276" s="990"/>
      <c r="GO276" s="990"/>
      <c r="GP276" s="990"/>
      <c r="GQ276" s="990"/>
      <c r="GR276" s="990"/>
      <c r="GS276" s="990"/>
      <c r="GT276" s="990"/>
      <c r="GU276" s="990"/>
      <c r="GV276" s="990"/>
      <c r="GW276" s="990"/>
      <c r="GX276" s="990"/>
      <c r="GY276" s="990"/>
      <c r="GZ276" s="990"/>
      <c r="HA276" s="990"/>
      <c r="HB276" s="990"/>
      <c r="HC276" s="990"/>
      <c r="HD276" s="990"/>
      <c r="HE276" s="990"/>
      <c r="HF276" s="990"/>
      <c r="HG276" s="990"/>
      <c r="HH276" s="990"/>
      <c r="HI276" s="990"/>
      <c r="HJ276" s="990"/>
      <c r="HK276" s="990"/>
      <c r="HL276" s="990"/>
      <c r="HM276" s="990"/>
      <c r="HN276" s="990"/>
      <c r="HO276" s="990"/>
      <c r="HP276" s="990"/>
      <c r="HQ276" s="990"/>
      <c r="HR276" s="990"/>
      <c r="HS276" s="990"/>
      <c r="HT276" s="990"/>
      <c r="HU276" s="990"/>
      <c r="HV276" s="990"/>
      <c r="HW276" s="990"/>
      <c r="HX276" s="990"/>
      <c r="HY276" s="990"/>
      <c r="HZ276" s="990"/>
      <c r="IA276" s="990"/>
      <c r="IB276" s="990"/>
      <c r="IC276" s="990"/>
      <c r="ID276" s="990"/>
      <c r="IE276" s="990"/>
      <c r="IF276" s="990"/>
      <c r="IG276" s="990"/>
      <c r="IH276" s="990"/>
      <c r="II276" s="990"/>
      <c r="IJ276" s="990"/>
      <c r="IK276" s="990"/>
      <c r="IL276" s="990"/>
      <c r="IM276" s="990"/>
      <c r="IN276" s="990"/>
      <c r="IO276" s="990"/>
      <c r="IP276" s="990"/>
      <c r="IQ276" s="990"/>
      <c r="IR276" s="990"/>
      <c r="IS276" s="990"/>
      <c r="IT276" s="990"/>
      <c r="IU276" s="990"/>
      <c r="IV276" s="990"/>
    </row>
    <row r="277" spans="1:256" s="169" customFormat="1" ht="12.75" customHeight="1" x14ac:dyDescent="0.2">
      <c r="A277" s="13" t="s">
        <v>74</v>
      </c>
      <c r="B277" s="316"/>
      <c r="C277" s="316"/>
      <c r="D277" s="316"/>
      <c r="E277" s="317"/>
      <c r="F277" s="319"/>
      <c r="G277" s="316"/>
      <c r="H277" s="316"/>
      <c r="I277" s="316"/>
      <c r="J277" s="317"/>
      <c r="K277" s="319"/>
      <c r="L277" s="316"/>
      <c r="M277" s="316"/>
      <c r="N277" s="316"/>
      <c r="O277" s="317"/>
      <c r="P277" s="319"/>
      <c r="Q277" s="316"/>
      <c r="R277" s="316"/>
      <c r="S277" s="316"/>
      <c r="T277" s="317"/>
      <c r="U277" s="319"/>
      <c r="V277" s="316"/>
      <c r="W277" s="316"/>
      <c r="X277" s="316"/>
      <c r="Y277" s="317"/>
      <c r="Z277" s="319"/>
      <c r="AA277" s="316"/>
      <c r="AB277" s="316"/>
      <c r="AC277" s="316"/>
      <c r="AD277" s="317"/>
      <c r="AE277" s="319"/>
      <c r="AF277" s="316"/>
      <c r="AG277" s="316"/>
      <c r="AH277" s="316"/>
      <c r="AI277" s="317"/>
      <c r="AJ277" s="319"/>
      <c r="AK277" s="316"/>
      <c r="AL277" s="316"/>
      <c r="AM277" s="316"/>
      <c r="AN277" s="317"/>
      <c r="AO277" s="319"/>
      <c r="AP277" s="316"/>
      <c r="AQ277" s="316"/>
      <c r="AR277" s="316"/>
      <c r="AS277" s="317"/>
      <c r="AT277" s="319"/>
      <c r="AU277" s="316"/>
      <c r="AV277" s="316"/>
      <c r="AW277" s="316"/>
      <c r="AX277" s="317"/>
      <c r="AY277" s="319"/>
      <c r="AZ277" s="316"/>
      <c r="BA277" s="316"/>
      <c r="BB277" s="316"/>
      <c r="BC277" s="317"/>
      <c r="BD277" s="319"/>
      <c r="BE277" s="316"/>
      <c r="BF277" s="316"/>
      <c r="BG277" s="316"/>
      <c r="BH277" s="317"/>
      <c r="BI277" s="319"/>
      <c r="BJ277" s="316"/>
      <c r="BK277" s="316"/>
      <c r="BL277" s="316"/>
      <c r="BM277" s="317"/>
      <c r="BN277" s="319"/>
      <c r="BO277" s="316"/>
      <c r="BP277" s="316"/>
      <c r="BQ277" s="316"/>
      <c r="BR277" s="317"/>
      <c r="BS277" s="319"/>
      <c r="BT277" s="316">
        <f t="shared" ref="BT277:DY277" ca="1" si="1018">BT275/BO275-1</f>
        <v>-0.18440523619806493</v>
      </c>
      <c r="BU277" s="316">
        <f t="shared" ca="1" si="1018"/>
        <v>-5.5319793876932533E-2</v>
      </c>
      <c r="BV277" s="316">
        <f t="shared" ca="1" si="1018"/>
        <v>-7.4955189832165647E-2</v>
      </c>
      <c r="BW277" s="317">
        <f t="shared" ca="1" si="1018"/>
        <v>8.8284379172229643E-2</v>
      </c>
      <c r="BX277" s="319">
        <f t="shared" ca="1" si="1018"/>
        <v>-6.181324014754408E-2</v>
      </c>
      <c r="BY277" s="316">
        <f t="shared" ca="1" si="1018"/>
        <v>0.16102581995812981</v>
      </c>
      <c r="BZ277" s="316">
        <f t="shared" ca="1" si="1018"/>
        <v>0.19637413765441991</v>
      </c>
      <c r="CA277" s="316">
        <f t="shared" ca="1" si="1018"/>
        <v>0.49427514532323413</v>
      </c>
      <c r="CB277" s="317">
        <f t="shared" ca="1" si="1018"/>
        <v>0.6020548995552828</v>
      </c>
      <c r="CC277" s="319">
        <f t="shared" ca="1" si="1018"/>
        <v>0.36746264950544205</v>
      </c>
      <c r="CD277" s="316">
        <f t="shared" ca="1" si="1018"/>
        <v>0.62073628850488349</v>
      </c>
      <c r="CE277" s="316">
        <f t="shared" ca="1" si="1018"/>
        <v>0.26431540834115608</v>
      </c>
      <c r="CF277" s="316">
        <f t="shared" ca="1" si="1018"/>
        <v>0.33655546386891411</v>
      </c>
      <c r="CG277" s="317">
        <f t="shared" ca="1" si="1018"/>
        <v>0.23738872403560829</v>
      </c>
      <c r="CH277" s="319">
        <f t="shared" ca="1" si="1018"/>
        <v>0.3461352218388718</v>
      </c>
      <c r="CI277" s="316">
        <f t="shared" ca="1" si="1018"/>
        <v>0.43788244020025946</v>
      </c>
      <c r="CJ277" s="316">
        <f t="shared" ca="1" si="1018"/>
        <v>0.69686041578277447</v>
      </c>
      <c r="CK277" s="316">
        <f t="shared" ca="1" si="1018"/>
        <v>0.14835067913212208</v>
      </c>
      <c r="CL277" s="317">
        <f t="shared" ca="1" si="1018"/>
        <v>0.17668445888450512</v>
      </c>
      <c r="CM277" s="319">
        <f t="shared" ca="1" si="1018"/>
        <v>0.34306077025112969</v>
      </c>
      <c r="CN277" s="316">
        <f t="shared" ca="1" si="1018"/>
        <v>-4.7843187826423383E-2</v>
      </c>
      <c r="CO277" s="316">
        <f t="shared" ca="1" si="1018"/>
        <v>2.3252906613326685E-2</v>
      </c>
      <c r="CP277" s="316">
        <f t="shared" ca="1" si="1018"/>
        <v>0.2050691244239633</v>
      </c>
      <c r="CQ277" s="317">
        <f t="shared" ca="1" si="1018"/>
        <v>7.8232857800277777E-3</v>
      </c>
      <c r="CR277" s="319">
        <f t="shared" ca="1" si="1018"/>
        <v>4.0493488231946317E-2</v>
      </c>
      <c r="CS277" s="316">
        <f t="shared" ca="1" si="1018"/>
        <v>9.4331956389246407E-2</v>
      </c>
      <c r="CT277" s="316">
        <f t="shared" ca="1" si="1018"/>
        <v>0.1583995113011607</v>
      </c>
      <c r="CU277" s="316">
        <f t="shared" ca="1" si="1018"/>
        <v>0.34901210962396401</v>
      </c>
      <c r="CV277" s="317">
        <f t="shared" ca="1" si="1018"/>
        <v>2.0613176777560138E-2</v>
      </c>
      <c r="CW277" s="319">
        <f t="shared" ca="1" si="1018"/>
        <v>0.15731132454912555</v>
      </c>
      <c r="CX277" s="316">
        <f t="shared" ca="1" si="1018"/>
        <v>-0.35748762376237631</v>
      </c>
      <c r="CY277" s="316">
        <f t="shared" ca="1" si="1018"/>
        <v>-0.41702262300268944</v>
      </c>
      <c r="CZ277" s="316">
        <f t="shared" ca="1" si="1018"/>
        <v>-0.37527166209959351</v>
      </c>
      <c r="DA277" s="316">
        <f ca="1">DA275/CV275-1</f>
        <v>-3.8476287869103842E-2</v>
      </c>
      <c r="DB277" s="319">
        <f ca="1">DB275/CW275-1</f>
        <v>-0.30902898449989558</v>
      </c>
      <c r="DC277" s="316">
        <f t="shared" ca="1" si="1018"/>
        <v>0.48685351054608494</v>
      </c>
      <c r="DD277" s="316">
        <f t="shared" ca="1" si="1018"/>
        <v>0.52727272727272712</v>
      </c>
      <c r="DE277" s="316">
        <f t="shared" ca="1" si="1018"/>
        <v>0.28155486652045658</v>
      </c>
      <c r="DF277" s="316">
        <f ca="1">DF275/DA275-1</f>
        <v>0.22626960914650351</v>
      </c>
      <c r="DG277" s="319">
        <f t="shared" ca="1" si="1018"/>
        <v>0.3623579116789053</v>
      </c>
      <c r="DH277" s="316">
        <f ca="1">DH275/DC275-1</f>
        <v>0.26985360798030822</v>
      </c>
      <c r="DI277" s="316">
        <f t="shared" ca="1" si="1018"/>
        <v>0.32030324567638013</v>
      </c>
      <c r="DJ277" s="316">
        <f t="shared" ca="1" si="1018"/>
        <v>0.20618435028915383</v>
      </c>
      <c r="DK277" s="316">
        <f t="shared" ca="1" si="1018"/>
        <v>0.17100871597504841</v>
      </c>
      <c r="DL277" s="319">
        <f t="shared" ca="1" si="1018"/>
        <v>0.23957068923604008</v>
      </c>
      <c r="DM277" s="316">
        <f t="shared" ca="1" si="1018"/>
        <v>8.3958450394739037E-2</v>
      </c>
      <c r="DN277" s="316">
        <f t="shared" ca="1" si="1018"/>
        <v>-7.7130226780217859E-2</v>
      </c>
      <c r="DO277" s="316">
        <f t="shared" ca="1" si="1018"/>
        <v>6.0669013623362744E-2</v>
      </c>
      <c r="DP277" s="316">
        <f t="shared" ca="1" si="1018"/>
        <v>-0.14253521632714727</v>
      </c>
      <c r="DQ277" s="319">
        <f t="shared" ca="1" si="1018"/>
        <v>-2.2785016577903439E-2</v>
      </c>
      <c r="DR277" s="316">
        <f t="shared" ca="1" si="1018"/>
        <v>4.3981943549553648E-3</v>
      </c>
      <c r="DS277" s="316">
        <f t="shared" ca="1" si="1018"/>
        <v>0.11281247333927547</v>
      </c>
      <c r="DT277" s="316">
        <f t="shared" ca="1" si="1018"/>
        <v>3.8000180699775399E-2</v>
      </c>
      <c r="DU277" s="316">
        <f t="shared" ca="1" si="1018"/>
        <v>0.39489721284240309</v>
      </c>
      <c r="DV277" s="319">
        <f t="shared" ca="1" si="1018"/>
        <v>0.12865493978037734</v>
      </c>
      <c r="DW277" s="1607">
        <f t="shared" ca="1" si="1018"/>
        <v>0.30368264596303796</v>
      </c>
      <c r="DX277" s="1607">
        <f t="shared" ca="1" si="1018"/>
        <v>0.28544932699295966</v>
      </c>
      <c r="DY277" s="1607">
        <f t="shared" ca="1" si="1018"/>
        <v>0.41485083963217839</v>
      </c>
      <c r="DZ277" s="1607">
        <f t="shared" ref="DZ277:EF277" ca="1" si="1019">DZ275/DU275-1</f>
        <v>0.27403620864237377</v>
      </c>
      <c r="EA277" s="1614">
        <f t="shared" ca="1" si="1019"/>
        <v>0.3179220704034218</v>
      </c>
      <c r="EB277" s="1607">
        <f t="shared" ca="1" si="1019"/>
        <v>0.15459271445927558</v>
      </c>
      <c r="EC277" s="1607">
        <f t="shared" ca="1" si="1019"/>
        <v>-3.4973418260515476E-3</v>
      </c>
      <c r="ED277" s="1607">
        <f t="shared" ca="1" si="1019"/>
        <v>-0.23219927399906715</v>
      </c>
      <c r="EE277" s="1607">
        <f t="shared" ca="1" si="1019"/>
        <v>-0.21792500067455289</v>
      </c>
      <c r="EF277" s="1614">
        <f t="shared" ca="1" si="1019"/>
        <v>-8.4978774600352969E-2</v>
      </c>
      <c r="EG277" s="1607">
        <f t="shared" ref="EG277:EN277" ca="1" si="1020">EG275/EB275-1</f>
        <v>-0.28891287401095911</v>
      </c>
      <c r="EH277" s="1607">
        <f t="shared" ca="1" si="1020"/>
        <v>-0.12837885222918866</v>
      </c>
      <c r="EI277" s="1607">
        <f t="shared" ca="1" si="1020"/>
        <v>0.11002030008948593</v>
      </c>
      <c r="EJ277" s="1607">
        <f t="shared" ca="1" si="1020"/>
        <v>0.26790246526265449</v>
      </c>
      <c r="EK277" s="1614">
        <f t="shared" ca="1" si="1020"/>
        <v>-3.0988658326558061E-2</v>
      </c>
      <c r="EL277" s="1607">
        <f t="shared" ca="1" si="1020"/>
        <v>0.42337929704259358</v>
      </c>
      <c r="EM277" s="1607">
        <f t="shared" ca="1" si="1020"/>
        <v>0.37579338247372496</v>
      </c>
      <c r="EN277" s="1607">
        <f t="shared" ca="1" si="1020"/>
        <v>0.337052503280177</v>
      </c>
      <c r="EO277" s="1607">
        <f t="shared" ref="EO277" ca="1" si="1021">EO275/EJ275-1</f>
        <v>0.3323765874436635</v>
      </c>
      <c r="EP277" s="1614">
        <f t="shared" ref="EP277:ER277" ca="1" si="1022">EP275/EK275-1</f>
        <v>0.36302419554233367</v>
      </c>
      <c r="EQ277" s="1607">
        <f t="shared" ca="1" si="1022"/>
        <v>0.42023757014134921</v>
      </c>
      <c r="ER277" s="1607">
        <f t="shared" ca="1" si="1022"/>
        <v>5.9375167460144151E-2</v>
      </c>
      <c r="ES277" s="316">
        <f t="shared" ref="ES277:EU277" ca="1" si="1023">ES275/EN275-1</f>
        <v>2.6783467150684581E-2</v>
      </c>
      <c r="ET277" s="316">
        <f t="shared" ca="1" si="1023"/>
        <v>-0.14342637472775843</v>
      </c>
      <c r="EU277" s="2008">
        <f t="shared" ca="1" si="1023"/>
        <v>1.0574639287170395E-2</v>
      </c>
      <c r="EV277" s="320"/>
      <c r="EW277" s="320"/>
      <c r="EX277" s="320"/>
      <c r="EY277" s="320"/>
      <c r="EZ277" s="888">
        <f ca="1">EZ275/EU275-1</f>
        <v>0</v>
      </c>
      <c r="FA277" s="320"/>
      <c r="FB277" s="320"/>
      <c r="FC277" s="320"/>
      <c r="FD277" s="320"/>
      <c r="FE277" s="888">
        <f ca="1">FE275/EZ275-1</f>
        <v>0</v>
      </c>
      <c r="FF277" s="813"/>
      <c r="FG277" s="660"/>
      <c r="FH277" s="1050"/>
      <c r="FI277" s="1050"/>
      <c r="FJ277" s="1050"/>
      <c r="FK277" s="1050"/>
      <c r="FL277" s="1846"/>
      <c r="FM277" s="1607">
        <f t="shared" ca="1" si="1016"/>
        <v>0.42023757014134921</v>
      </c>
      <c r="FN277" s="1607">
        <f t="shared" ca="1" si="1017"/>
        <v>0.42337929704259358</v>
      </c>
      <c r="FO277" s="2066">
        <v>0.42139437674931757</v>
      </c>
      <c r="FP277" s="1904">
        <f ca="1">IFERROR(($FM277-FN277)*10000,"")</f>
        <v>-31.417269012443683</v>
      </c>
      <c r="FQ277" s="1904">
        <f ca="1">IFERROR(($FM277-FO277)*10000,"")</f>
        <v>-11.568066079683526</v>
      </c>
      <c r="FR277" s="601"/>
      <c r="FS277" s="601"/>
      <c r="FT277" s="601"/>
      <c r="FU277" s="601"/>
      <c r="FV277" s="601"/>
      <c r="FW277" s="601"/>
      <c r="FX277" s="601"/>
      <c r="FY277" s="601"/>
      <c r="FZ277" s="601"/>
      <c r="GA277" s="660"/>
      <c r="GB277"/>
      <c r="GC277"/>
      <c r="GD277"/>
      <c r="GE277"/>
      <c r="GF277"/>
      <c r="GG277"/>
      <c r="GH277" s="991"/>
      <c r="GI277" s="991"/>
      <c r="GJ277" s="991"/>
      <c r="GK277" s="991"/>
      <c r="GL277" s="991"/>
      <c r="GM277" s="991"/>
      <c r="GN277" s="991"/>
      <c r="GO277" s="991"/>
      <c r="GP277" s="991"/>
      <c r="GQ277" s="991"/>
      <c r="GR277" s="991"/>
      <c r="GS277" s="991"/>
      <c r="GT277" s="991"/>
      <c r="GU277" s="991"/>
      <c r="GV277" s="991"/>
      <c r="GW277" s="991"/>
      <c r="GX277" s="991"/>
      <c r="GY277" s="991"/>
      <c r="GZ277" s="991"/>
      <c r="HA277" s="991"/>
      <c r="HB277" s="991"/>
      <c r="HC277" s="991"/>
      <c r="HD277" s="991"/>
      <c r="HE277" s="991"/>
      <c r="HF277" s="991"/>
      <c r="HG277" s="991"/>
      <c r="HH277" s="991"/>
      <c r="HI277" s="991"/>
      <c r="HJ277" s="991"/>
      <c r="HK277" s="991"/>
      <c r="HL277" s="991"/>
      <c r="HM277" s="991"/>
      <c r="HN277" s="991"/>
      <c r="HO277" s="991"/>
      <c r="HP277" s="991"/>
      <c r="HQ277" s="991"/>
      <c r="HR277" s="991"/>
      <c r="HS277" s="991"/>
      <c r="HT277" s="991"/>
      <c r="HU277" s="991"/>
      <c r="HV277" s="991"/>
      <c r="HW277" s="991"/>
      <c r="HX277" s="991"/>
      <c r="HY277" s="991"/>
      <c r="HZ277" s="991"/>
      <c r="IA277" s="991"/>
      <c r="IB277" s="991"/>
      <c r="IC277" s="991"/>
      <c r="ID277" s="991"/>
      <c r="IE277" s="991"/>
      <c r="IF277" s="991"/>
      <c r="IG277" s="991"/>
      <c r="IH277" s="991"/>
      <c r="II277" s="991"/>
      <c r="IJ277" s="991"/>
      <c r="IK277" s="991"/>
      <c r="IL277" s="991"/>
      <c r="IM277" s="991"/>
      <c r="IN277" s="991"/>
      <c r="IO277" s="991"/>
      <c r="IP277" s="991"/>
      <c r="IQ277" s="991"/>
      <c r="IR277" s="991"/>
      <c r="IS277" s="991"/>
      <c r="IT277" s="991"/>
      <c r="IU277" s="991"/>
      <c r="IV277" s="991"/>
    </row>
    <row r="278" spans="1:256" s="147" customFormat="1" ht="12" customHeight="1" x14ac:dyDescent="0.2">
      <c r="A278" s="321" t="s">
        <v>19</v>
      </c>
      <c r="B278" s="249"/>
      <c r="C278" s="249"/>
      <c r="D278" s="249"/>
      <c r="E278" s="322"/>
      <c r="F278" s="323"/>
      <c r="G278" s="249"/>
      <c r="H278" s="249"/>
      <c r="I278" s="249"/>
      <c r="J278" s="322"/>
      <c r="K278" s="323"/>
      <c r="L278" s="249"/>
      <c r="M278" s="249"/>
      <c r="N278" s="249"/>
      <c r="O278" s="322"/>
      <c r="P278" s="323"/>
      <c r="Q278" s="249"/>
      <c r="R278" s="249"/>
      <c r="S278" s="249"/>
      <c r="T278" s="322"/>
      <c r="U278" s="323"/>
      <c r="V278" s="249"/>
      <c r="W278" s="249"/>
      <c r="X278" s="249"/>
      <c r="Y278" s="322"/>
      <c r="Z278" s="323"/>
      <c r="AA278" s="249"/>
      <c r="AB278" s="249"/>
      <c r="AC278" s="249"/>
      <c r="AD278" s="322"/>
      <c r="AE278" s="323"/>
      <c r="AF278" s="249"/>
      <c r="AG278" s="249"/>
      <c r="AH278" s="249"/>
      <c r="AI278" s="322"/>
      <c r="AJ278" s="323"/>
      <c r="AK278" s="249"/>
      <c r="AL278" s="249"/>
      <c r="AM278" s="249"/>
      <c r="AN278" s="322"/>
      <c r="AO278" s="323"/>
      <c r="AP278" s="249"/>
      <c r="AQ278" s="249"/>
      <c r="AR278" s="249"/>
      <c r="AS278" s="322"/>
      <c r="AT278" s="323"/>
      <c r="AU278" s="249"/>
      <c r="AV278" s="249"/>
      <c r="AW278" s="249"/>
      <c r="AX278" s="322"/>
      <c r="AY278" s="323"/>
      <c r="AZ278" s="249"/>
      <c r="BA278" s="249"/>
      <c r="BB278" s="249"/>
      <c r="BC278" s="322"/>
      <c r="BD278" s="323"/>
      <c r="BE278" s="249"/>
      <c r="BF278" s="249"/>
      <c r="BG278" s="249"/>
      <c r="BH278" s="322"/>
      <c r="BI278" s="323"/>
      <c r="BJ278" s="249"/>
      <c r="BK278" s="249"/>
      <c r="BL278" s="249"/>
      <c r="BM278" s="322"/>
      <c r="BN278" s="323"/>
      <c r="BO278" s="249">
        <f ca="1">MarketData!H32</f>
        <v>23.94</v>
      </c>
      <c r="BP278" s="249">
        <f ca="1">MarketData!I32</f>
        <v>23.38</v>
      </c>
      <c r="BQ278" s="249">
        <f ca="1">MarketData!J32</f>
        <v>20.190000000000001</v>
      </c>
      <c r="BR278" s="322">
        <f ca="1">MarketData!K32</f>
        <v>19.989999999999998</v>
      </c>
      <c r="BS278" s="323">
        <f ca="1">MarketData!L32</f>
        <v>19.989999999999998</v>
      </c>
      <c r="BT278" s="249">
        <f ca="1">MarketData!M32</f>
        <v>18.559999999999999</v>
      </c>
      <c r="BU278" s="249">
        <f ca="1">MarketData!N32</f>
        <v>19.2</v>
      </c>
      <c r="BV278" s="249">
        <f ca="1">MarketData!O32</f>
        <v>18.5</v>
      </c>
      <c r="BW278" s="322">
        <f ca="1">MarketData!P32</f>
        <v>23.65</v>
      </c>
      <c r="BX278" s="323">
        <f ca="1">MarketData!Q32</f>
        <v>23.65</v>
      </c>
      <c r="BY278" s="249">
        <f ca="1">MarketData!R32</f>
        <v>22.09</v>
      </c>
      <c r="BZ278" s="249">
        <f ca="1">MarketData!S32</f>
        <v>26.52</v>
      </c>
      <c r="CA278" s="249">
        <f ca="1">MarketData!T32</f>
        <v>29.74</v>
      </c>
      <c r="CB278" s="322">
        <f ca="1">MarketData!U32</f>
        <v>36.19</v>
      </c>
      <c r="CC278" s="323">
        <f ca="1">MarketData!V32</f>
        <v>36.19</v>
      </c>
      <c r="CD278" s="249">
        <f ca="1">MarketData!W32</f>
        <v>37.049999999999997</v>
      </c>
      <c r="CE278" s="249">
        <f ca="1">MarketData!X32</f>
        <v>30.96</v>
      </c>
      <c r="CF278" s="249">
        <f ca="1">MarketData!Y32</f>
        <v>40.56</v>
      </c>
      <c r="CG278" s="322">
        <f ca="1">MarketData!Z32</f>
        <v>44.83</v>
      </c>
      <c r="CH278" s="323">
        <f ca="1">MarketData!AA32</f>
        <v>44.83</v>
      </c>
      <c r="CI278" s="249">
        <f ca="1">MarketData!AB32</f>
        <v>54.07</v>
      </c>
      <c r="CJ278" s="249">
        <f ca="1">MarketData!AC32</f>
        <v>53.22</v>
      </c>
      <c r="CK278" s="249">
        <f ca="1">MarketData!AD32</f>
        <v>44.05</v>
      </c>
      <c r="CL278" s="322">
        <f ca="1">MarketData!AE32</f>
        <v>50.29</v>
      </c>
      <c r="CM278" s="323">
        <f ca="1">MarketData!AF32</f>
        <v>50.29</v>
      </c>
      <c r="CN278" s="249">
        <f ca="1">MarketData!AG32</f>
        <v>50.6</v>
      </c>
      <c r="CO278" s="249">
        <f ca="1">MarketData!AH32</f>
        <v>52.57</v>
      </c>
      <c r="CP278" s="249">
        <f ca="1">MarketData!AI32</f>
        <v>51.91</v>
      </c>
      <c r="CQ278" s="322">
        <f ca="1">MarketData!AJ32</f>
        <v>50.44</v>
      </c>
      <c r="CR278" s="323">
        <f ca="1">MarketData!AK32</f>
        <v>50.44</v>
      </c>
      <c r="CS278" s="249">
        <f ca="1">MarketData!AL32</f>
        <v>54.32</v>
      </c>
      <c r="CT278" s="249">
        <f ca="1">MarketData!AM32</f>
        <v>62.67</v>
      </c>
      <c r="CU278" s="249">
        <f ca="1">MarketData!AN32</f>
        <v>66.209999999999994</v>
      </c>
      <c r="CV278" s="322">
        <f ca="1">MarketData!AO32</f>
        <v>47.05</v>
      </c>
      <c r="CW278" s="323">
        <f ca="1">MarketData!AP32</f>
        <v>47.05</v>
      </c>
      <c r="CX278" s="249">
        <f ca="1">MarketData!AQ32</f>
        <v>33.75</v>
      </c>
      <c r="CY278" s="249">
        <f ca="1">MarketData!AR32</f>
        <v>37.67</v>
      </c>
      <c r="CZ278" s="249">
        <f ca="1">MarketData!AS32</f>
        <v>43.11</v>
      </c>
      <c r="DA278" s="249">
        <f ca="1">MarketData!AT32</f>
        <v>52.42</v>
      </c>
      <c r="DB278" s="323">
        <f ca="1">MarketData!AU32</f>
        <v>52.42</v>
      </c>
      <c r="DC278" s="249">
        <f ca="1">MarketData!AV32</f>
        <v>55.89</v>
      </c>
      <c r="DD278" s="249">
        <f ca="1">MarketData!AW32</f>
        <v>53.05</v>
      </c>
      <c r="DE278" s="249">
        <f ca="1">MarketData!AX32</f>
        <v>59.51</v>
      </c>
      <c r="DF278" s="249">
        <f ca="1">MarketData!AY32</f>
        <v>62.82</v>
      </c>
      <c r="DG278" s="323">
        <f ca="1">MarketData!AZ32</f>
        <v>62.82</v>
      </c>
      <c r="DH278" s="249">
        <f ca="1">MarketData!BA32</f>
        <v>69.27</v>
      </c>
      <c r="DI278" s="249">
        <f ca="1">MarketData!BB32</f>
        <v>74.930000000000007</v>
      </c>
      <c r="DJ278" s="249">
        <f ca="1">MarketData!BC32</f>
        <v>61.02</v>
      </c>
      <c r="DK278" s="249">
        <f ca="1">MarketData!BD32</f>
        <v>72.859986000000006</v>
      </c>
      <c r="DL278" s="323">
        <f ca="1">DK278</f>
        <v>72.859986000000006</v>
      </c>
      <c r="DM278" s="249">
        <f ca="1">MarketData!BF32</f>
        <v>65.829987000000003</v>
      </c>
      <c r="DN278" s="249">
        <f ca="1">MarketData!BG32</f>
        <v>71.769990000000007</v>
      </c>
      <c r="DO278" s="249">
        <f ca="1">MarketData!BH32</f>
        <v>63.629989999999999</v>
      </c>
      <c r="DP278" s="249">
        <f ca="1">MarketData!BI32</f>
        <v>61.069992999999997</v>
      </c>
      <c r="DQ278" s="323">
        <f ca="1">DP278</f>
        <v>61.069992999999997</v>
      </c>
      <c r="DR278" s="249">
        <f ca="1">MarketData!BK32</f>
        <v>77.079987000000003</v>
      </c>
      <c r="DS278" s="249">
        <f ca="1">MarketData!BL32</f>
        <v>72.649994000000007</v>
      </c>
      <c r="DT278" s="249">
        <f ca="1">MarketData!BM32</f>
        <v>77.789993999999993</v>
      </c>
      <c r="DU278" s="249">
        <f ca="1">MarketData!BN32</f>
        <v>92.329987000000003</v>
      </c>
      <c r="DV278" s="323">
        <f ca="1">DU278</f>
        <v>92.329987000000003</v>
      </c>
      <c r="DW278" s="1606">
        <f ca="1">MarketData!BP32</f>
        <v>96.349991000000003</v>
      </c>
      <c r="DX278" s="1606">
        <f ca="1">MarketData!BQ32</f>
        <v>101.65</v>
      </c>
      <c r="DY278" s="1606">
        <f ca="1">MarketData!BR32</f>
        <v>111.31</v>
      </c>
      <c r="DZ278" s="1606">
        <f ca="1">MarketData!BS32</f>
        <v>111.54</v>
      </c>
      <c r="EA278" s="1615">
        <f ca="1">DZ278</f>
        <v>111.54</v>
      </c>
      <c r="EB278" s="1606">
        <f ca="1">MarketData!BU32</f>
        <v>103.62</v>
      </c>
      <c r="EC278" s="1606">
        <f ca="1">MarketData!BV32</f>
        <v>88.869996</v>
      </c>
      <c r="ED278" s="1606">
        <f ca="1">MarketData!BW32</f>
        <v>75.619996</v>
      </c>
      <c r="EE278" s="1606">
        <f ca="1">MarketData!BX32</f>
        <v>86.779999000000004</v>
      </c>
      <c r="EF278" s="1615">
        <f ca="1">EE278</f>
        <v>86.779999000000004</v>
      </c>
      <c r="EG278" s="1606">
        <f ca="1">MarketData!BZ32</f>
        <v>83.869996</v>
      </c>
      <c r="EH278" s="1606">
        <f ca="1">MarketData!CA32</f>
        <v>82.64</v>
      </c>
      <c r="EI278" s="1606">
        <f ca="1">MarketData!CB32</f>
        <v>93.619996</v>
      </c>
      <c r="EJ278" s="1606">
        <f ca="1">MarketData!CC32</f>
        <v>109.28</v>
      </c>
      <c r="EK278" s="1615">
        <f ca="1">EJ278</f>
        <v>109.28</v>
      </c>
      <c r="EL278" s="1606">
        <f ca="1">MarketData!CE32</f>
        <v>110.66001</v>
      </c>
      <c r="EM278" s="1606">
        <f ca="1">MarketData!CF32</f>
        <v>119.29</v>
      </c>
      <c r="EN278" s="1606">
        <f ca="1">MarketData!CG32</f>
        <v>130.99001000000001</v>
      </c>
      <c r="EO278" s="1606">
        <f ca="1">MarketData!CH32</f>
        <v>144.52001000000001</v>
      </c>
      <c r="EP278" s="1615">
        <f ca="1">EO278</f>
        <v>144.52001000000001</v>
      </c>
      <c r="EQ278" s="1606">
        <f ca="1">MarketData!CJ32</f>
        <v>132.18</v>
      </c>
      <c r="ER278" s="1606">
        <f ca="1">MarketData!CK32</f>
        <v>134.97001</v>
      </c>
      <c r="ES278" s="249">
        <f ca="1">+ER278</f>
        <v>134.97001</v>
      </c>
      <c r="ET278" s="249">
        <f ca="1">ES278</f>
        <v>134.97001</v>
      </c>
      <c r="EU278" s="2009">
        <f ca="1">ET278</f>
        <v>134.97001</v>
      </c>
      <c r="EV278" s="324"/>
      <c r="EW278" s="325"/>
      <c r="EX278" s="325"/>
      <c r="EY278" s="326"/>
      <c r="EZ278" s="889">
        <f ca="1">EU278</f>
        <v>134.97001</v>
      </c>
      <c r="FA278" s="324"/>
      <c r="FB278" s="325"/>
      <c r="FC278" s="325"/>
      <c r="FD278" s="326"/>
      <c r="FE278" s="889">
        <f ca="1">EZ278</f>
        <v>134.97001</v>
      </c>
      <c r="FF278" s="814"/>
      <c r="FG278" s="660"/>
      <c r="FH278" s="1080"/>
      <c r="FI278" s="1080"/>
      <c r="FJ278" s="1080"/>
      <c r="FK278" s="1080"/>
      <c r="FL278" s="1847"/>
      <c r="FM278" s="1606">
        <f t="shared" ca="1" si="1016"/>
        <v>132.18</v>
      </c>
      <c r="FN278" s="1606">
        <f t="shared" ca="1" si="1017"/>
        <v>110.66001</v>
      </c>
      <c r="FO278" s="249">
        <v>132.18</v>
      </c>
      <c r="FP278" s="1886">
        <f ca="1">IFERROR(($FM278/FN278)-1,"")</f>
        <v>0.19446943841772657</v>
      </c>
      <c r="FQ278" s="1886">
        <f ca="1">IFERROR(($FM278/FO278)-1,"")</f>
        <v>0</v>
      </c>
      <c r="FR278" s="602"/>
      <c r="FS278" s="602"/>
      <c r="FT278" s="602"/>
      <c r="FU278" s="602"/>
      <c r="FV278" s="602"/>
      <c r="FW278" s="602"/>
      <c r="FX278" s="602"/>
      <c r="FY278" s="602"/>
      <c r="FZ278" s="602"/>
      <c r="GA278" s="660"/>
      <c r="GB278"/>
      <c r="GC278"/>
      <c r="GD278"/>
      <c r="GE278"/>
      <c r="GF278"/>
      <c r="GG278"/>
      <c r="GH278" s="1003"/>
      <c r="GI278" s="1003"/>
      <c r="GJ278" s="1003"/>
      <c r="GK278" s="1003"/>
      <c r="GL278" s="1003"/>
      <c r="GM278" s="1003"/>
      <c r="GN278" s="1003"/>
      <c r="GO278" s="1003"/>
      <c r="GP278" s="1003"/>
      <c r="GQ278" s="1003"/>
      <c r="GR278" s="1003"/>
      <c r="GS278" s="1003"/>
      <c r="GT278" s="1003"/>
      <c r="GU278" s="1003"/>
      <c r="GV278" s="1003"/>
      <c r="GW278" s="1003"/>
      <c r="GX278" s="1003"/>
      <c r="GY278" s="1003"/>
      <c r="GZ278" s="1003"/>
      <c r="HA278" s="1003"/>
      <c r="HB278" s="1003"/>
      <c r="HC278" s="1003"/>
      <c r="HD278" s="1003"/>
      <c r="HE278" s="1003"/>
      <c r="HF278" s="1003"/>
      <c r="HG278" s="1003"/>
      <c r="HH278" s="1003"/>
      <c r="HI278" s="1003"/>
      <c r="HJ278" s="1003"/>
      <c r="HK278" s="1003"/>
      <c r="HL278" s="1003"/>
      <c r="HM278" s="1003"/>
      <c r="HN278" s="1003"/>
      <c r="HO278" s="1003"/>
      <c r="HP278" s="1003"/>
      <c r="HQ278" s="1003"/>
      <c r="HR278" s="1003"/>
      <c r="HS278" s="1003"/>
      <c r="HT278" s="1003"/>
      <c r="HU278" s="1003"/>
      <c r="HV278" s="1003"/>
      <c r="HW278" s="1003"/>
      <c r="HX278" s="1003"/>
      <c r="HY278" s="1003"/>
      <c r="HZ278" s="1003"/>
      <c r="IA278" s="1003"/>
      <c r="IB278" s="1003"/>
      <c r="IC278" s="1003"/>
      <c r="ID278" s="1003"/>
      <c r="IE278" s="1003"/>
      <c r="IF278" s="1003"/>
      <c r="IG278" s="1003"/>
      <c r="IH278" s="1003"/>
      <c r="II278" s="1003"/>
      <c r="IJ278" s="1003"/>
      <c r="IK278" s="1003"/>
      <c r="IL278" s="1003"/>
      <c r="IM278" s="1003"/>
      <c r="IN278" s="1003"/>
      <c r="IO278" s="1003"/>
      <c r="IP278" s="1003"/>
      <c r="IQ278" s="1003"/>
      <c r="IR278" s="1003"/>
      <c r="IS278" s="1003"/>
      <c r="IT278" s="1003"/>
      <c r="IU278" s="1003"/>
      <c r="IV278" s="1003"/>
    </row>
    <row r="279" spans="1:256" s="328" customFormat="1" ht="12" customHeight="1" x14ac:dyDescent="0.2">
      <c r="A279" s="327" t="s">
        <v>151</v>
      </c>
      <c r="B279" s="149"/>
      <c r="C279" s="149"/>
      <c r="D279" s="149"/>
      <c r="E279" s="221"/>
      <c r="F279" s="148"/>
      <c r="G279" s="149"/>
      <c r="H279" s="149"/>
      <c r="I279" s="149"/>
      <c r="J279" s="221"/>
      <c r="K279" s="148"/>
      <c r="L279" s="149"/>
      <c r="M279" s="149"/>
      <c r="N279" s="149"/>
      <c r="O279" s="221"/>
      <c r="P279" s="148"/>
      <c r="Q279" s="149"/>
      <c r="R279" s="149"/>
      <c r="S279" s="149"/>
      <c r="T279" s="221"/>
      <c r="U279" s="148"/>
      <c r="V279" s="149"/>
      <c r="W279" s="149"/>
      <c r="X279" s="149"/>
      <c r="Y279" s="221"/>
      <c r="Z279" s="148"/>
      <c r="AA279" s="149"/>
      <c r="AB279" s="149"/>
      <c r="AC279" s="149"/>
      <c r="AD279" s="221"/>
      <c r="AE279" s="148"/>
      <c r="AF279" s="149"/>
      <c r="AG279" s="149"/>
      <c r="AH279" s="149"/>
      <c r="AI279" s="221"/>
      <c r="AJ279" s="148"/>
      <c r="AK279" s="149"/>
      <c r="AL279" s="149"/>
      <c r="AM279" s="149"/>
      <c r="AN279" s="221"/>
      <c r="AO279" s="148"/>
      <c r="AP279" s="149"/>
      <c r="AQ279" s="149"/>
      <c r="AR279" s="149"/>
      <c r="AS279" s="221"/>
      <c r="AT279" s="148"/>
      <c r="AU279" s="149"/>
      <c r="AV279" s="149"/>
      <c r="AW279" s="149"/>
      <c r="AX279" s="221"/>
      <c r="AY279" s="148"/>
      <c r="AZ279" s="149"/>
      <c r="BA279" s="149"/>
      <c r="BB279" s="149"/>
      <c r="BC279" s="221"/>
      <c r="BD279" s="148"/>
      <c r="BE279" s="149"/>
      <c r="BF279" s="149"/>
      <c r="BG279" s="149"/>
      <c r="BH279" s="221"/>
      <c r="BI279" s="148"/>
      <c r="BJ279" s="149"/>
      <c r="BK279" s="149"/>
      <c r="BL279" s="149"/>
      <c r="BM279" s="221"/>
      <c r="BN279" s="148"/>
      <c r="BO279" s="149">
        <f ca="1">BO278-BN278</f>
        <v>23.94</v>
      </c>
      <c r="BP279" s="149">
        <f ca="1">BP278-BO278</f>
        <v>-0.56000000000000227</v>
      </c>
      <c r="BQ279" s="149">
        <f ca="1">BQ278-BP278</f>
        <v>-3.1899999999999977</v>
      </c>
      <c r="BR279" s="221">
        <f ca="1">BR278-BQ278</f>
        <v>-0.20000000000000284</v>
      </c>
      <c r="BS279" s="148">
        <f ca="1">BS278-BN278</f>
        <v>19.989999999999998</v>
      </c>
      <c r="BT279" s="149">
        <f ca="1">BT278-BS278</f>
        <v>-1.4299999999999997</v>
      </c>
      <c r="BU279" s="149">
        <f ca="1">BU278-BT278</f>
        <v>0.64000000000000057</v>
      </c>
      <c r="BV279" s="149">
        <f ca="1">BV278-BU278</f>
        <v>-0.69999999999999929</v>
      </c>
      <c r="BW279" s="221">
        <f ca="1">BW278-BV278</f>
        <v>5.1499999999999986</v>
      </c>
      <c r="BX279" s="148">
        <f ca="1">BX278-BS278</f>
        <v>3.66</v>
      </c>
      <c r="BY279" s="149">
        <f ca="1">BY278-BX278</f>
        <v>-1.5599999999999987</v>
      </c>
      <c r="BZ279" s="149">
        <f ca="1">BZ278-BY278</f>
        <v>4.43</v>
      </c>
      <c r="CA279" s="149">
        <f ca="1">CA278-BZ278</f>
        <v>3.2199999999999989</v>
      </c>
      <c r="CB279" s="221">
        <f ca="1">CB278-CA278</f>
        <v>6.4499999999999993</v>
      </c>
      <c r="CC279" s="148">
        <f ca="1">CC278-BX278</f>
        <v>12.54</v>
      </c>
      <c r="CD279" s="149">
        <f ca="1">CD278-CC278</f>
        <v>0.85999999999999943</v>
      </c>
      <c r="CE279" s="149">
        <f ca="1">CE278-CD278</f>
        <v>-6.0899999999999963</v>
      </c>
      <c r="CF279" s="149">
        <f ca="1">CF278-CE278</f>
        <v>9.6000000000000014</v>
      </c>
      <c r="CG279" s="221">
        <f ca="1">CG278-CF278</f>
        <v>4.269999999999996</v>
      </c>
      <c r="CH279" s="148">
        <f ca="1">CH278-CC278</f>
        <v>8.64</v>
      </c>
      <c r="CI279" s="149">
        <f ca="1">CI278-CH278</f>
        <v>9.240000000000002</v>
      </c>
      <c r="CJ279" s="149">
        <f ca="1">CJ278-CI278</f>
        <v>-0.85000000000000142</v>
      </c>
      <c r="CK279" s="149">
        <f ca="1">CK278-CJ278</f>
        <v>-9.1700000000000017</v>
      </c>
      <c r="CL279" s="221">
        <f ca="1">CL278-CK278</f>
        <v>6.240000000000002</v>
      </c>
      <c r="CM279" s="148">
        <f ca="1">CM278-CH278</f>
        <v>5.4600000000000009</v>
      </c>
      <c r="CN279" s="149">
        <f ca="1">CN278-CM278</f>
        <v>0.31000000000000227</v>
      </c>
      <c r="CO279" s="149">
        <f ca="1">CO278-CN278</f>
        <v>1.9699999999999989</v>
      </c>
      <c r="CP279" s="149">
        <f ca="1">CP278-CO278</f>
        <v>-0.66000000000000369</v>
      </c>
      <c r="CQ279" s="221">
        <f ca="1">CQ278-CP278</f>
        <v>-1.4699999999999989</v>
      </c>
      <c r="CR279" s="148">
        <f ca="1">CR278-CM278</f>
        <v>0.14999999999999858</v>
      </c>
      <c r="CS279" s="149">
        <f ca="1">CS278-CR278</f>
        <v>3.8800000000000026</v>
      </c>
      <c r="CT279" s="149">
        <f ca="1">CT278-CS278</f>
        <v>8.3500000000000014</v>
      </c>
      <c r="CU279" s="149">
        <f ca="1">CU278-CT278</f>
        <v>3.539999999999992</v>
      </c>
      <c r="CV279" s="221">
        <f ca="1">CV278-CU278</f>
        <v>-19.159999999999997</v>
      </c>
      <c r="CW279" s="148">
        <f ca="1">CW278-CR278</f>
        <v>-3.3900000000000006</v>
      </c>
      <c r="CX279" s="149">
        <f ca="1">CX278-CW278</f>
        <v>-13.299999999999997</v>
      </c>
      <c r="CY279" s="149">
        <f ca="1">CY278-CX278</f>
        <v>3.9200000000000017</v>
      </c>
      <c r="CZ279" s="149">
        <f ca="1">CZ278-CY278</f>
        <v>5.4399999999999977</v>
      </c>
      <c r="DA279" s="149">
        <f ca="1">DA278-CZ278</f>
        <v>9.3100000000000023</v>
      </c>
      <c r="DB279" s="148">
        <f ca="1">DB278-CW278</f>
        <v>5.3700000000000045</v>
      </c>
      <c r="DC279" s="149">
        <f ca="1">DC278-DB278</f>
        <v>3.4699999999999989</v>
      </c>
      <c r="DD279" s="149">
        <f ca="1">DD278-DC278</f>
        <v>-2.8400000000000034</v>
      </c>
      <c r="DE279" s="149">
        <f ca="1">DE278-DD278</f>
        <v>6.4600000000000009</v>
      </c>
      <c r="DF279" s="149">
        <f ca="1">DF278-DE278</f>
        <v>3.3100000000000023</v>
      </c>
      <c r="DG279" s="148">
        <f ca="1">DG278-DB278</f>
        <v>10.399999999999999</v>
      </c>
      <c r="DH279" s="149">
        <f ca="1">DH278-DG278</f>
        <v>6.4499999999999957</v>
      </c>
      <c r="DI279" s="149">
        <f ca="1">DI278-DH278</f>
        <v>5.6600000000000108</v>
      </c>
      <c r="DJ279" s="149">
        <f ca="1">DJ278-DI278</f>
        <v>-13.910000000000004</v>
      </c>
      <c r="DK279" s="149">
        <f ca="1">DK278-DJ278</f>
        <v>11.839986000000003</v>
      </c>
      <c r="DL279" s="148">
        <f ca="1">DL278-DG278</f>
        <v>10.039986000000006</v>
      </c>
      <c r="DM279" s="149">
        <f ca="1">DM278-DL278</f>
        <v>-7.0299990000000037</v>
      </c>
      <c r="DN279" s="149">
        <f ca="1">DN278-DM278</f>
        <v>5.9400030000000044</v>
      </c>
      <c r="DO279" s="149">
        <f ca="1">DO278-DN278</f>
        <v>-8.1400000000000077</v>
      </c>
      <c r="DP279" s="149">
        <f ca="1">DP278-DO278</f>
        <v>-2.5599970000000027</v>
      </c>
      <c r="DQ279" s="148">
        <f ca="1">DQ278-DL278</f>
        <v>-11.78999300000001</v>
      </c>
      <c r="DR279" s="149">
        <f ca="1">DR278-DQ278</f>
        <v>16.009994000000006</v>
      </c>
      <c r="DS279" s="149">
        <f ca="1">DS278-DR278</f>
        <v>-4.4299929999999961</v>
      </c>
      <c r="DT279" s="149">
        <f ca="1">DT278-DS278</f>
        <v>5.1399999999999864</v>
      </c>
      <c r="DU279" s="149">
        <f ca="1">DU278-DT278</f>
        <v>14.53999300000001</v>
      </c>
      <c r="DV279" s="148">
        <f ca="1">DV278-DQ278</f>
        <v>31.259994000000006</v>
      </c>
      <c r="DW279" s="1608">
        <f ca="1">DW278-DV278</f>
        <v>4.0200040000000001</v>
      </c>
      <c r="DX279" s="1608">
        <f ca="1">DX278-DW278</f>
        <v>5.3000090000000029</v>
      </c>
      <c r="DY279" s="1608">
        <f ca="1">DY278-DX278</f>
        <v>9.6599999999999966</v>
      </c>
      <c r="DZ279" s="1608">
        <f ca="1">DZ278-DY278</f>
        <v>0.23000000000000398</v>
      </c>
      <c r="EA279" s="1616">
        <f ca="1">EA278-DV278</f>
        <v>19.210013000000004</v>
      </c>
      <c r="EB279" s="1608">
        <f ca="1">EB278-EA278</f>
        <v>-7.9200000000000017</v>
      </c>
      <c r="EC279" s="1608">
        <f ca="1">EC278-EB278</f>
        <v>-14.750004000000004</v>
      </c>
      <c r="ED279" s="1608">
        <f ca="1">ED278-EC278</f>
        <v>-13.25</v>
      </c>
      <c r="EE279" s="1608">
        <f ca="1">EE278-ED278</f>
        <v>11.160003000000003</v>
      </c>
      <c r="EF279" s="1616">
        <f ca="1">EF278-EA278</f>
        <v>-24.760001000000003</v>
      </c>
      <c r="EG279" s="1608">
        <f ca="1">EG278-EF278</f>
        <v>-2.9100030000000032</v>
      </c>
      <c r="EH279" s="1608">
        <f ca="1">EH278-EG278</f>
        <v>-1.2299959999999999</v>
      </c>
      <c r="EI279" s="1608">
        <f ca="1">EI278-EH278</f>
        <v>10.979996</v>
      </c>
      <c r="EJ279" s="1608">
        <f ca="1">EJ278-EI278</f>
        <v>15.660004000000001</v>
      </c>
      <c r="EK279" s="1616">
        <f ca="1">EK278-EF278</f>
        <v>22.500000999999997</v>
      </c>
      <c r="EL279" s="1608">
        <f ca="1">EL278-EK278</f>
        <v>1.3800099999999986</v>
      </c>
      <c r="EM279" s="1608">
        <f ca="1">EM278-EL278</f>
        <v>8.6299900000000065</v>
      </c>
      <c r="EN279" s="1608">
        <f ca="1">EN278-EM278</f>
        <v>11.700010000000006</v>
      </c>
      <c r="EO279" s="1608">
        <f ca="1">EO278-EN278</f>
        <v>13.530000000000001</v>
      </c>
      <c r="EP279" s="1616">
        <f ca="1">EP278-EK278</f>
        <v>35.240010000000012</v>
      </c>
      <c r="EQ279" s="1608">
        <f ca="1">EQ278-EP278</f>
        <v>-12.340010000000007</v>
      </c>
      <c r="ER279" s="1608">
        <f ca="1">ER278-EQ278</f>
        <v>2.7900099999999952</v>
      </c>
      <c r="ES279" s="149"/>
      <c r="ET279" s="149"/>
      <c r="EU279" s="2010"/>
      <c r="EV279" s="110"/>
      <c r="EW279" s="110"/>
      <c r="EX279" s="110"/>
      <c r="EY279" s="110"/>
      <c r="EZ279" s="890"/>
      <c r="FA279" s="110"/>
      <c r="FB279" s="110"/>
      <c r="FC279" s="110"/>
      <c r="FD279" s="110"/>
      <c r="FE279" s="890"/>
      <c r="FF279" s="786"/>
      <c r="FG279" s="660"/>
      <c r="FH279" s="1081"/>
      <c r="FI279" s="1081"/>
      <c r="FJ279" s="1081"/>
      <c r="FK279" s="1081"/>
      <c r="FL279" s="1826"/>
      <c r="FM279" s="1608">
        <f t="shared" ca="1" si="1016"/>
        <v>-12.340010000000007</v>
      </c>
      <c r="FN279" s="1608">
        <f t="shared" ca="1" si="1017"/>
        <v>1.3800099999999986</v>
      </c>
      <c r="FO279" s="2067">
        <v>-12.340010000000007</v>
      </c>
      <c r="FP279" s="1887">
        <f ca="1">IFERROR(($FM279/FN279)-1,"")</f>
        <v>-9.9419714349896147</v>
      </c>
      <c r="FQ279" s="1887">
        <f ca="1">IFERROR(($FM279/FO279)-1,"")</f>
        <v>0</v>
      </c>
      <c r="FR279" s="584"/>
      <c r="FS279" s="584"/>
      <c r="FT279" s="584"/>
      <c r="FU279" s="584"/>
      <c r="FV279" s="584"/>
      <c r="FW279" s="584"/>
      <c r="FX279" s="584"/>
      <c r="FY279" s="584"/>
      <c r="FZ279" s="584"/>
      <c r="GA279" s="660"/>
      <c r="GB279"/>
      <c r="GC279"/>
      <c r="GD279"/>
      <c r="GE279"/>
      <c r="GF279"/>
      <c r="GG279"/>
      <c r="GH279" s="976"/>
      <c r="GI279" s="976"/>
      <c r="GJ279" s="976"/>
      <c r="GK279" s="976"/>
      <c r="GL279" s="976"/>
      <c r="GM279" s="976"/>
      <c r="GN279" s="976"/>
      <c r="GO279" s="976"/>
      <c r="GP279" s="976"/>
      <c r="GQ279" s="976"/>
      <c r="GR279" s="976"/>
      <c r="GS279" s="976"/>
      <c r="GT279" s="976"/>
      <c r="GU279" s="976"/>
      <c r="GV279" s="976"/>
      <c r="GW279" s="976"/>
      <c r="GX279" s="976"/>
      <c r="GY279" s="976"/>
      <c r="GZ279" s="976"/>
      <c r="HA279" s="976"/>
      <c r="HB279" s="976"/>
      <c r="HC279" s="976"/>
      <c r="HD279" s="976"/>
      <c r="HE279" s="976"/>
      <c r="HF279" s="976"/>
      <c r="HG279" s="976"/>
      <c r="HH279" s="976"/>
      <c r="HI279" s="976"/>
      <c r="HJ279" s="976"/>
      <c r="HK279" s="976"/>
      <c r="HL279" s="976"/>
      <c r="HM279" s="976"/>
      <c r="HN279" s="976"/>
      <c r="HO279" s="976"/>
      <c r="HP279" s="976"/>
      <c r="HQ279" s="976"/>
      <c r="HR279" s="976"/>
      <c r="HS279" s="976"/>
      <c r="HT279" s="976"/>
      <c r="HU279" s="976"/>
      <c r="HV279" s="976"/>
      <c r="HW279" s="976"/>
      <c r="HX279" s="976"/>
      <c r="HY279" s="976"/>
      <c r="HZ279" s="976"/>
      <c r="IA279" s="976"/>
      <c r="IB279" s="976"/>
      <c r="IC279" s="976"/>
      <c r="ID279" s="976"/>
      <c r="IE279" s="976"/>
      <c r="IF279" s="976"/>
      <c r="IG279" s="976"/>
      <c r="IH279" s="976"/>
      <c r="II279" s="976"/>
      <c r="IJ279" s="976"/>
      <c r="IK279" s="976"/>
      <c r="IL279" s="976"/>
      <c r="IM279" s="976"/>
      <c r="IN279" s="976"/>
      <c r="IO279" s="976"/>
      <c r="IP279" s="976"/>
      <c r="IQ279" s="976"/>
      <c r="IR279" s="976"/>
      <c r="IS279" s="976"/>
      <c r="IT279" s="976"/>
      <c r="IU279" s="976"/>
      <c r="IV279" s="976"/>
    </row>
    <row r="280" spans="1:256" s="330" customFormat="1" ht="12" customHeight="1" x14ac:dyDescent="0.2">
      <c r="A280" s="315" t="s">
        <v>46</v>
      </c>
      <c r="B280" s="316"/>
      <c r="C280" s="316"/>
      <c r="D280" s="316"/>
      <c r="E280" s="317"/>
      <c r="F280" s="319"/>
      <c r="G280" s="316"/>
      <c r="H280" s="316"/>
      <c r="I280" s="316"/>
      <c r="J280" s="317"/>
      <c r="K280" s="319"/>
      <c r="L280" s="316"/>
      <c r="M280" s="316"/>
      <c r="N280" s="316"/>
      <c r="O280" s="317"/>
      <c r="P280" s="319"/>
      <c r="Q280" s="316"/>
      <c r="R280" s="316"/>
      <c r="S280" s="316"/>
      <c r="T280" s="317"/>
      <c r="U280" s="319"/>
      <c r="V280" s="316"/>
      <c r="W280" s="316"/>
      <c r="X280" s="316"/>
      <c r="Y280" s="317"/>
      <c r="Z280" s="319"/>
      <c r="AA280" s="316"/>
      <c r="AB280" s="316"/>
      <c r="AC280" s="316"/>
      <c r="AD280" s="317"/>
      <c r="AE280" s="319"/>
      <c r="AF280" s="316"/>
      <c r="AG280" s="316"/>
      <c r="AH280" s="316"/>
      <c r="AI280" s="317"/>
      <c r="AJ280" s="319"/>
      <c r="AK280" s="316"/>
      <c r="AL280" s="316"/>
      <c r="AM280" s="316"/>
      <c r="AN280" s="317"/>
      <c r="AO280" s="319"/>
      <c r="AP280" s="316"/>
      <c r="AQ280" s="316"/>
      <c r="AR280" s="316"/>
      <c r="AS280" s="317"/>
      <c r="AT280" s="319"/>
      <c r="AU280" s="316"/>
      <c r="AV280" s="316"/>
      <c r="AW280" s="316"/>
      <c r="AX280" s="317"/>
      <c r="AY280" s="319"/>
      <c r="AZ280" s="316"/>
      <c r="BA280" s="316"/>
      <c r="BB280" s="316"/>
      <c r="BC280" s="317"/>
      <c r="BD280" s="319"/>
      <c r="BE280" s="316"/>
      <c r="BF280" s="316"/>
      <c r="BG280" s="316"/>
      <c r="BH280" s="317"/>
      <c r="BI280" s="319"/>
      <c r="BJ280" s="316"/>
      <c r="BK280" s="316"/>
      <c r="BL280" s="316"/>
      <c r="BM280" s="317"/>
      <c r="BN280" s="319"/>
      <c r="BO280" s="316"/>
      <c r="BP280" s="316">
        <f ca="1">BP279/BO278</f>
        <v>-2.3391812865497168E-2</v>
      </c>
      <c r="BQ280" s="316">
        <f ca="1">BQ279/BP278</f>
        <v>-0.13644140290846868</v>
      </c>
      <c r="BR280" s="317">
        <f ca="1">BR279/BQ278</f>
        <v>-9.9058940069342658E-3</v>
      </c>
      <c r="BS280" s="319"/>
      <c r="BT280" s="316">
        <f ca="1">BT279/BS278</f>
        <v>-7.1535767883941961E-2</v>
      </c>
      <c r="BU280" s="316">
        <f ca="1">BU279/BT278</f>
        <v>3.4482758620689689E-2</v>
      </c>
      <c r="BV280" s="316">
        <f ca="1">BV279/BU278</f>
        <v>-3.6458333333333301E-2</v>
      </c>
      <c r="BW280" s="317">
        <f ca="1">BW279/BV278</f>
        <v>0.27837837837837831</v>
      </c>
      <c r="BX280" s="319">
        <f ca="1">BX279/BS278</f>
        <v>0.18309154577288647</v>
      </c>
      <c r="BY280" s="316">
        <f ca="1">BY279/BX278</f>
        <v>-6.5961945031712418E-2</v>
      </c>
      <c r="BZ280" s="316">
        <f ca="1">BZ279/BY278</f>
        <v>0.20054323223177908</v>
      </c>
      <c r="CA280" s="316">
        <f ca="1">CA279/BZ278</f>
        <v>0.12141779788838608</v>
      </c>
      <c r="CB280" s="317">
        <f ca="1">CB279/CA278</f>
        <v>0.21687962340282446</v>
      </c>
      <c r="CC280" s="319">
        <f ca="1">CC279/BX278</f>
        <v>0.53023255813953485</v>
      </c>
      <c r="CD280" s="316">
        <f ca="1">CD279/CC278</f>
        <v>2.3763470571981197E-2</v>
      </c>
      <c r="CE280" s="316">
        <f ca="1">CE279/CD278</f>
        <v>-0.16437246963562743</v>
      </c>
      <c r="CF280" s="316">
        <f ca="1">CF279/CE278</f>
        <v>0.31007751937984501</v>
      </c>
      <c r="CG280" s="317">
        <f ca="1">CG279/CF278</f>
        <v>0.10527613412228787</v>
      </c>
      <c r="CH280" s="319">
        <f ca="1">CH279/CC278</f>
        <v>0.23873998342083452</v>
      </c>
      <c r="CI280" s="316">
        <f ca="1">CI279/CH278</f>
        <v>0.20611197858576852</v>
      </c>
      <c r="CJ280" s="316">
        <f ca="1">CJ279/CI278</f>
        <v>-1.5720362493064573E-2</v>
      </c>
      <c r="CK280" s="316">
        <f ca="1">CK279/CJ278</f>
        <v>-0.17230364524614811</v>
      </c>
      <c r="CL280" s="317">
        <f ca="1">CL279/CK278</f>
        <v>0.14165720771850177</v>
      </c>
      <c r="CM280" s="319">
        <f ca="1">CM279/CH278</f>
        <v>0.12179344189159047</v>
      </c>
      <c r="CN280" s="316">
        <f ca="1">CN279/CM278</f>
        <v>6.1642473652814131E-3</v>
      </c>
      <c r="CO280" s="316">
        <f ca="1">CO279/CN278</f>
        <v>3.8932806324110648E-2</v>
      </c>
      <c r="CP280" s="316">
        <f ca="1">CP279/CO278</f>
        <v>-1.2554688986113824E-2</v>
      </c>
      <c r="CQ280" s="317">
        <f ca="1">CQ279/CP278</f>
        <v>-2.8318243113080312E-2</v>
      </c>
      <c r="CR280" s="319">
        <f ca="1">CR279/CM278</f>
        <v>2.9827003380393435E-3</v>
      </c>
      <c r="CS280" s="316">
        <f ca="1">CS279/CR278</f>
        <v>7.6923076923076983E-2</v>
      </c>
      <c r="CT280" s="316">
        <f ca="1">CT279/CS278</f>
        <v>0.15371870397643597</v>
      </c>
      <c r="CU280" s="316">
        <f ca="1">CU279/CT278</f>
        <v>5.6486357108664308E-2</v>
      </c>
      <c r="CV280" s="317">
        <f ca="1">CV279/CU278</f>
        <v>-0.2893822685394955</v>
      </c>
      <c r="CW280" s="319">
        <f ca="1">CW279/CR278</f>
        <v>-6.7208564631245055E-2</v>
      </c>
      <c r="CX280" s="316">
        <f ca="1">CX279/CW278</f>
        <v>-0.28267800212539845</v>
      </c>
      <c r="CY280" s="316">
        <f ca="1">CY279/CX278</f>
        <v>0.11614814814814819</v>
      </c>
      <c r="CZ280" s="316">
        <f ca="1">CZ279/CY278</f>
        <v>0.14441199893814699</v>
      </c>
      <c r="DA280" s="316">
        <f ca="1">DA279/CZ278</f>
        <v>0.21595917420552083</v>
      </c>
      <c r="DB280" s="319">
        <f ca="1">DB279/CW278</f>
        <v>0.11413390010627003</v>
      </c>
      <c r="DC280" s="316">
        <f ca="1">DC279/DB278</f>
        <v>6.619610835558945E-2</v>
      </c>
      <c r="DD280" s="316">
        <f ca="1">DD279/DC278</f>
        <v>-5.0814099123277931E-2</v>
      </c>
      <c r="DE280" s="316">
        <f ca="1">DE279/DD278</f>
        <v>0.12177191328934969</v>
      </c>
      <c r="DF280" s="316">
        <f ca="1">DF279/DE278</f>
        <v>5.5620904049739579E-2</v>
      </c>
      <c r="DG280" s="319">
        <f ca="1">DG279/DB278</f>
        <v>0.19839755818389923</v>
      </c>
      <c r="DH280" s="316">
        <f ca="1">DH279/DG278</f>
        <v>0.10267430754536765</v>
      </c>
      <c r="DI280" s="316">
        <f ca="1">DI279/DH278</f>
        <v>8.1709253645156799E-2</v>
      </c>
      <c r="DJ280" s="316">
        <f ca="1">DJ279/DI278</f>
        <v>-0.18563993060189513</v>
      </c>
      <c r="DK280" s="316">
        <f ca="1">DK279/DJ278</f>
        <v>0.19403451327433632</v>
      </c>
      <c r="DL280" s="319">
        <f ca="1">DL279/DG278</f>
        <v>0.15982148997134679</v>
      </c>
      <c r="DM280" s="316">
        <f ca="1">DM279/DL278</f>
        <v>-9.6486417112405201E-2</v>
      </c>
      <c r="DN280" s="316">
        <f ca="1">DN279/DM278</f>
        <v>9.0232480222121325E-2</v>
      </c>
      <c r="DO280" s="316">
        <f ca="1">DO279/DN278</f>
        <v>-0.11341787841965711</v>
      </c>
      <c r="DP280" s="316">
        <f ca="1">DP279/DO278</f>
        <v>-4.0232553863359131E-2</v>
      </c>
      <c r="DQ280" s="319">
        <f ca="1">DQ279/DL278</f>
        <v>-0.16181711865824416</v>
      </c>
      <c r="DR280" s="316">
        <f ca="1">DR279/DP278</f>
        <v>0.26215811094001612</v>
      </c>
      <c r="DS280" s="316">
        <f ca="1">DS279/DR278</f>
        <v>-5.747267445698967E-2</v>
      </c>
      <c r="DT280" s="316">
        <f ca="1">DT279/DS278</f>
        <v>7.0750177900909192E-2</v>
      </c>
      <c r="DU280" s="316">
        <f ca="1">DU279/DT278</f>
        <v>0.1869134094546917</v>
      </c>
      <c r="DV280" s="319">
        <f ca="1">DV279/DQ278</f>
        <v>0.51187158315213832</v>
      </c>
      <c r="DW280" s="1607">
        <f ca="1">DW279/DU278</f>
        <v>4.3539527412692042E-2</v>
      </c>
      <c r="DX280" s="1607">
        <f ca="1">DX279/DW278</f>
        <v>5.5007882668094935E-2</v>
      </c>
      <c r="DY280" s="1607">
        <f ca="1">DY279/DX278</f>
        <v>9.5031972454500693E-2</v>
      </c>
      <c r="DZ280" s="1607">
        <f ca="1">DZ279/DY278</f>
        <v>2.0663013206360971E-3</v>
      </c>
      <c r="EA280" s="1614">
        <f ca="1">EA279/DV278</f>
        <v>0.20805822273103974</v>
      </c>
      <c r="EB280" s="1607">
        <f ca="1">EB279/DZ278</f>
        <v>-7.1005917159763329E-2</v>
      </c>
      <c r="EC280" s="1607">
        <f ca="1">EC279/EB278</f>
        <v>-0.14234707585408227</v>
      </c>
      <c r="ED280" s="1607">
        <f ca="1">ED279/EC278</f>
        <v>-0.1490941892244487</v>
      </c>
      <c r="EE280" s="1607">
        <f ca="1">EE279/ED278</f>
        <v>0.14758005276805361</v>
      </c>
      <c r="EF280" s="1614">
        <f ca="1">EF279/EA278</f>
        <v>-0.22198315402546173</v>
      </c>
      <c r="EG280" s="1607">
        <f ca="1">EG279/EE278</f>
        <v>-3.3533107093029618E-2</v>
      </c>
      <c r="EH280" s="1607">
        <f ca="1">EH279/EG278</f>
        <v>-1.46655068398954E-2</v>
      </c>
      <c r="EI280" s="1607">
        <f ca="1">EI279/EH278</f>
        <v>0.13286539206195547</v>
      </c>
      <c r="EJ280" s="1607">
        <f ca="1">EJ279/EI278</f>
        <v>0.16727200031070286</v>
      </c>
      <c r="EK280" s="1614">
        <f ca="1">EK279/EF278</f>
        <v>0.25927634546296774</v>
      </c>
      <c r="EL280" s="1607">
        <f ca="1">EL279/EJ278</f>
        <v>1.262820278184479E-2</v>
      </c>
      <c r="EM280" s="1607">
        <f ca="1">EM279/EL278</f>
        <v>7.7986528286053888E-2</v>
      </c>
      <c r="EN280" s="1607">
        <f ca="1">EN279/EM278</f>
        <v>9.8080392321234014E-2</v>
      </c>
      <c r="EO280" s="1607">
        <f ca="1">EO279/EN278</f>
        <v>0.10329031962055732</v>
      </c>
      <c r="EP280" s="1614">
        <f ca="1">EP279/EK278</f>
        <v>0.32247446925329437</v>
      </c>
      <c r="EQ280" s="1607">
        <f ca="1">EQ279/EO278</f>
        <v>-8.5386169015626318E-2</v>
      </c>
      <c r="ER280" s="1607">
        <f ca="1">ER279/EQ278</f>
        <v>2.1107656226357959E-2</v>
      </c>
      <c r="ES280" s="2107"/>
      <c r="ET280" s="329"/>
      <c r="EU280" s="2008"/>
      <c r="EV280" s="146"/>
      <c r="EW280" s="146"/>
      <c r="EX280" s="146"/>
      <c r="EY280" s="146"/>
      <c r="EZ280" s="1276"/>
      <c r="FA280" s="146"/>
      <c r="FB280" s="146"/>
      <c r="FC280" s="146"/>
      <c r="FD280" s="146"/>
      <c r="FE280" s="1276"/>
      <c r="FF280" s="815"/>
      <c r="FG280" s="660"/>
      <c r="FH280" s="1082"/>
      <c r="FI280" s="1082"/>
      <c r="FJ280" s="1082"/>
      <c r="FK280" s="1082"/>
      <c r="FL280" s="1848"/>
      <c r="FM280" s="1607">
        <f t="shared" ca="1" si="1016"/>
        <v>-8.5386169015626318E-2</v>
      </c>
      <c r="FN280" s="1607">
        <f t="shared" ca="1" si="1017"/>
        <v>1.262820278184479E-2</v>
      </c>
      <c r="FO280" s="329">
        <v>-8.5386169015626318E-2</v>
      </c>
      <c r="FP280" s="1904">
        <f ca="1">IFERROR(($FM280-FN280)*10000,"")</f>
        <v>-980.14371797471108</v>
      </c>
      <c r="FQ280" s="1904">
        <f ca="1">IFERROR(($FM280-FO280)*10000,"")</f>
        <v>0</v>
      </c>
      <c r="FR280" s="603"/>
      <c r="FS280" s="603"/>
      <c r="FT280" s="603"/>
      <c r="FU280" s="603"/>
      <c r="FV280" s="603"/>
      <c r="FW280" s="603"/>
      <c r="FX280" s="603"/>
      <c r="FY280" s="603"/>
      <c r="FZ280" s="603"/>
      <c r="GA280" s="660"/>
      <c r="GB280"/>
      <c r="GC280"/>
      <c r="GD280"/>
      <c r="GE280"/>
      <c r="GF280"/>
      <c r="GG280"/>
      <c r="GH280" s="1004"/>
      <c r="GI280" s="1004"/>
      <c r="GJ280" s="1004"/>
      <c r="GK280" s="1004"/>
      <c r="GL280" s="1004"/>
      <c r="GM280" s="1004"/>
      <c r="GN280" s="1004"/>
      <c r="GO280" s="1004"/>
      <c r="GP280" s="1004"/>
      <c r="GQ280" s="1004"/>
      <c r="GR280" s="1004"/>
      <c r="GS280" s="1004"/>
      <c r="GT280" s="1004"/>
      <c r="GU280" s="1004"/>
      <c r="GV280" s="1004"/>
      <c r="GW280" s="1004"/>
      <c r="GX280" s="1004"/>
      <c r="GY280" s="1004"/>
      <c r="GZ280" s="1004"/>
      <c r="HA280" s="1004"/>
      <c r="HB280" s="1004"/>
      <c r="HC280" s="1004"/>
      <c r="HD280" s="1004"/>
      <c r="HE280" s="1004"/>
      <c r="HF280" s="1004"/>
      <c r="HG280" s="1004"/>
      <c r="HH280" s="1004"/>
      <c r="HI280" s="1004"/>
      <c r="HJ280" s="1004"/>
      <c r="HK280" s="1004"/>
      <c r="HL280" s="1004"/>
      <c r="HM280" s="1004"/>
      <c r="HN280" s="1004"/>
      <c r="HO280" s="1004"/>
      <c r="HP280" s="1004"/>
      <c r="HQ280" s="1004"/>
      <c r="HR280" s="1004"/>
      <c r="HS280" s="1004"/>
      <c r="HT280" s="1004"/>
      <c r="HU280" s="1004"/>
      <c r="HV280" s="1004"/>
      <c r="HW280" s="1004"/>
      <c r="HX280" s="1004"/>
      <c r="HY280" s="1004"/>
      <c r="HZ280" s="1004"/>
      <c r="IA280" s="1004"/>
      <c r="IB280" s="1004"/>
      <c r="IC280" s="1004"/>
      <c r="ID280" s="1004"/>
      <c r="IE280" s="1004"/>
      <c r="IF280" s="1004"/>
      <c r="IG280" s="1004"/>
      <c r="IH280" s="1004"/>
      <c r="II280" s="1004"/>
      <c r="IJ280" s="1004"/>
      <c r="IK280" s="1004"/>
      <c r="IL280" s="1004"/>
      <c r="IM280" s="1004"/>
      <c r="IN280" s="1004"/>
      <c r="IO280" s="1004"/>
      <c r="IP280" s="1004"/>
      <c r="IQ280" s="1004"/>
      <c r="IR280" s="1004"/>
      <c r="IS280" s="1004"/>
      <c r="IT280" s="1004"/>
      <c r="IU280" s="1004"/>
      <c r="IV280" s="1004"/>
    </row>
    <row r="281" spans="1:256" s="169" customFormat="1" ht="12.6" customHeight="1" x14ac:dyDescent="0.2">
      <c r="A281" s="287"/>
      <c r="B281" s="272"/>
      <c r="C281" s="272"/>
      <c r="D281" s="272"/>
      <c r="E281" s="276"/>
      <c r="F281" s="277"/>
      <c r="G281" s="272"/>
      <c r="H281" s="272"/>
      <c r="I281" s="272"/>
      <c r="J281" s="276"/>
      <c r="K281" s="277"/>
      <c r="L281" s="272"/>
      <c r="M281" s="272"/>
      <c r="N281" s="272"/>
      <c r="O281" s="276"/>
      <c r="P281" s="277"/>
      <c r="Q281" s="272"/>
      <c r="R281" s="272"/>
      <c r="S281" s="272"/>
      <c r="T281" s="276"/>
      <c r="U281" s="277"/>
      <c r="V281" s="272"/>
      <c r="W281" s="272"/>
      <c r="X281" s="272"/>
      <c r="Y281" s="276"/>
      <c r="Z281" s="277"/>
      <c r="AA281" s="272"/>
      <c r="AB281" s="272"/>
      <c r="AC281" s="272"/>
      <c r="AD281" s="276"/>
      <c r="AE281" s="277"/>
      <c r="AF281" s="272"/>
      <c r="AG281" s="272"/>
      <c r="AH281" s="272"/>
      <c r="AI281" s="276"/>
      <c r="AJ281" s="277"/>
      <c r="AK281" s="272"/>
      <c r="AL281" s="272"/>
      <c r="AM281" s="272"/>
      <c r="AN281" s="276"/>
      <c r="AO281" s="277"/>
      <c r="AP281" s="272"/>
      <c r="AQ281" s="272"/>
      <c r="AR281" s="272"/>
      <c r="AS281" s="276"/>
      <c r="AT281" s="277"/>
      <c r="AU281" s="272"/>
      <c r="AV281" s="272"/>
      <c r="AW281" s="272"/>
      <c r="AX281" s="276"/>
      <c r="AY281" s="277"/>
      <c r="AZ281" s="272"/>
      <c r="BA281" s="272"/>
      <c r="BB281" s="272"/>
      <c r="BC281" s="276"/>
      <c r="BD281" s="277"/>
      <c r="BE281" s="272"/>
      <c r="BF281" s="272"/>
      <c r="BG281" s="272"/>
      <c r="BH281" s="276"/>
      <c r="BI281" s="277"/>
      <c r="BJ281" s="272"/>
      <c r="BK281" s="272"/>
      <c r="BL281" s="272"/>
      <c r="BM281" s="276"/>
      <c r="BN281" s="277"/>
      <c r="BO281" s="272"/>
      <c r="BP281" s="272"/>
      <c r="BQ281" s="272"/>
      <c r="BR281" s="276"/>
      <c r="BS281" s="277"/>
      <c r="BT281" s="272"/>
      <c r="BU281" s="272"/>
      <c r="BV281" s="272"/>
      <c r="BW281" s="276"/>
      <c r="BX281" s="277"/>
      <c r="BY281" s="272"/>
      <c r="BZ281" s="272"/>
      <c r="CA281" s="272"/>
      <c r="CB281" s="276"/>
      <c r="CC281" s="277"/>
      <c r="CD281" s="272"/>
      <c r="CE281" s="272"/>
      <c r="CF281" s="272"/>
      <c r="CG281" s="276"/>
      <c r="CH281" s="277"/>
      <c r="CI281" s="272"/>
      <c r="CJ281" s="272"/>
      <c r="CK281" s="272"/>
      <c r="CL281" s="276"/>
      <c r="CM281" s="277"/>
      <c r="CN281" s="272"/>
      <c r="CO281" s="272"/>
      <c r="CP281" s="272"/>
      <c r="CQ281" s="276"/>
      <c r="CR281" s="277"/>
      <c r="CS281" s="272"/>
      <c r="CT281" s="272"/>
      <c r="CU281" s="272"/>
      <c r="CV281" s="276"/>
      <c r="CW281" s="277"/>
      <c r="CX281" s="272"/>
      <c r="CY281" s="272"/>
      <c r="CZ281" s="272"/>
      <c r="DA281" s="272"/>
      <c r="DB281" s="277"/>
      <c r="DC281" s="272"/>
      <c r="DD281" s="272"/>
      <c r="DE281" s="272"/>
      <c r="DF281" s="272"/>
      <c r="DG281" s="277"/>
      <c r="DH281" s="503"/>
      <c r="DI281" s="503"/>
      <c r="DJ281" s="272"/>
      <c r="DK281" s="272"/>
      <c r="DL281" s="504"/>
      <c r="DM281" s="503"/>
      <c r="DN281" s="503"/>
      <c r="DO281" s="272"/>
      <c r="DP281" s="272"/>
      <c r="DQ281" s="504"/>
      <c r="DR281" s="503"/>
      <c r="DS281" s="503"/>
      <c r="DT281" s="503"/>
      <c r="DU281" s="272"/>
      <c r="DV281" s="504"/>
      <c r="DW281" s="503"/>
      <c r="DX281" s="503"/>
      <c r="DY281" s="503"/>
      <c r="DZ281" s="503"/>
      <c r="EA281" s="504"/>
      <c r="EB281" s="503"/>
      <c r="EC281" s="503"/>
      <c r="ED281" s="505"/>
      <c r="EE281" s="505"/>
      <c r="EF281" s="504"/>
      <c r="EG281" s="505"/>
      <c r="EH281" s="505"/>
      <c r="EI281" s="505"/>
      <c r="EJ281" s="505"/>
      <c r="EK281" s="2011"/>
      <c r="EL281" s="505"/>
      <c r="EM281" s="505"/>
      <c r="EN281" s="505"/>
      <c r="EO281" s="505"/>
      <c r="EP281" s="2011"/>
      <c r="EQ281" s="505"/>
      <c r="ER281" s="505"/>
      <c r="ES281" s="505"/>
      <c r="ET281" s="505"/>
      <c r="EU281" s="891"/>
      <c r="EV281" s="505"/>
      <c r="EW281" s="505"/>
      <c r="EX281" s="505"/>
      <c r="EY281" s="505"/>
      <c r="EZ281" s="891"/>
      <c r="FA281" s="505"/>
      <c r="FB281" s="505"/>
      <c r="FC281" s="505"/>
      <c r="FD281" s="505"/>
      <c r="FE281" s="891"/>
      <c r="FF281" s="813"/>
      <c r="FG281" s="660"/>
      <c r="FH281" s="1050"/>
      <c r="FI281" s="1050"/>
      <c r="FJ281" s="1050"/>
      <c r="FK281" s="1050"/>
      <c r="FL281" s="1846"/>
      <c r="FM281" s="991"/>
      <c r="FN281" s="991"/>
      <c r="FO281" s="991"/>
      <c r="FP281" s="991"/>
      <c r="FQ281" s="991"/>
      <c r="FR281" s="601"/>
      <c r="FS281" s="601"/>
      <c r="FT281" s="601"/>
      <c r="FU281" s="601"/>
      <c r="FV281" s="601"/>
      <c r="FW281" s="601"/>
      <c r="FX281" s="601"/>
      <c r="FY281" s="601"/>
      <c r="FZ281" s="601"/>
      <c r="GA281" s="660"/>
      <c r="GB281"/>
      <c r="GC281"/>
      <c r="GD281"/>
      <c r="GE281"/>
      <c r="GF281"/>
      <c r="GG281"/>
      <c r="GH281" s="991"/>
      <c r="GI281" s="991"/>
      <c r="GJ281" s="991"/>
      <c r="GK281" s="991"/>
      <c r="GL281" s="991"/>
      <c r="GM281" s="991"/>
      <c r="GN281" s="991"/>
      <c r="GO281" s="991"/>
      <c r="GP281" s="991"/>
      <c r="GQ281" s="991"/>
      <c r="GR281" s="991"/>
      <c r="GS281" s="991"/>
      <c r="GT281" s="991"/>
      <c r="GU281" s="991"/>
      <c r="GV281" s="991"/>
      <c r="GW281" s="991"/>
      <c r="GX281" s="991"/>
      <c r="GY281" s="991"/>
      <c r="GZ281" s="991"/>
      <c r="HA281" s="991"/>
      <c r="HB281" s="991"/>
      <c r="HC281" s="991"/>
      <c r="HD281" s="991"/>
      <c r="HE281" s="991"/>
      <c r="HF281" s="991"/>
      <c r="HG281" s="991"/>
      <c r="HH281" s="991"/>
      <c r="HI281" s="991"/>
      <c r="HJ281" s="991"/>
      <c r="HK281" s="991"/>
      <c r="HL281" s="991"/>
      <c r="HM281" s="991"/>
      <c r="HN281" s="991"/>
      <c r="HO281" s="991"/>
      <c r="HP281" s="991"/>
      <c r="HQ281" s="991"/>
      <c r="HR281" s="991"/>
      <c r="HS281" s="991"/>
      <c r="HT281" s="991"/>
      <c r="HU281" s="991"/>
      <c r="HV281" s="991"/>
      <c r="HW281" s="991"/>
      <c r="HX281" s="991"/>
      <c r="HY281" s="991"/>
      <c r="HZ281" s="991"/>
      <c r="IA281" s="991"/>
      <c r="IB281" s="991"/>
      <c r="IC281" s="991"/>
      <c r="ID281" s="991"/>
      <c r="IE281" s="991"/>
      <c r="IF281" s="991"/>
      <c r="IG281" s="991"/>
      <c r="IH281" s="991"/>
      <c r="II281" s="991"/>
      <c r="IJ281" s="991"/>
      <c r="IK281" s="991"/>
      <c r="IL281" s="991"/>
      <c r="IM281" s="991"/>
      <c r="IN281" s="991"/>
      <c r="IO281" s="991"/>
      <c r="IP281" s="991"/>
      <c r="IQ281" s="991"/>
      <c r="IR281" s="991"/>
      <c r="IS281" s="991"/>
      <c r="IT281" s="991"/>
      <c r="IU281" s="991"/>
      <c r="IV281" s="991"/>
    </row>
    <row r="282" spans="1:256" s="154" customFormat="1" ht="12.6" customHeight="1" x14ac:dyDescent="0.2">
      <c r="A282" s="150" t="s">
        <v>592</v>
      </c>
      <c r="B282" s="152"/>
      <c r="C282" s="152"/>
      <c r="D282" s="152"/>
      <c r="E282" s="222"/>
      <c r="F282" s="151"/>
      <c r="G282" s="152"/>
      <c r="H282" s="152"/>
      <c r="I282" s="152"/>
      <c r="J282" s="222"/>
      <c r="K282" s="151"/>
      <c r="L282" s="152"/>
      <c r="M282" s="152"/>
      <c r="N282" s="152"/>
      <c r="O282" s="222"/>
      <c r="P282" s="151"/>
      <c r="Q282" s="152"/>
      <c r="R282" s="152"/>
      <c r="S282" s="152"/>
      <c r="T282" s="222"/>
      <c r="U282" s="151"/>
      <c r="V282" s="152"/>
      <c r="W282" s="152"/>
      <c r="X282" s="152"/>
      <c r="Y282" s="222"/>
      <c r="Z282" s="151"/>
      <c r="AA282" s="152"/>
      <c r="AB282" s="152"/>
      <c r="AC282" s="152"/>
      <c r="AD282" s="222"/>
      <c r="AE282" s="151"/>
      <c r="AF282" s="152"/>
      <c r="AG282" s="152"/>
      <c r="AH282" s="152"/>
      <c r="AI282" s="222"/>
      <c r="AJ282" s="151"/>
      <c r="AK282" s="152"/>
      <c r="AL282" s="152"/>
      <c r="AM282" s="152"/>
      <c r="AN282" s="222"/>
      <c r="AO282" s="151"/>
      <c r="AP282" s="152"/>
      <c r="AQ282" s="152"/>
      <c r="AR282" s="152"/>
      <c r="AS282" s="222"/>
      <c r="AT282" s="151"/>
      <c r="AU282" s="152"/>
      <c r="AV282" s="152"/>
      <c r="AW282" s="152"/>
      <c r="AX282" s="222"/>
      <c r="AY282" s="151"/>
      <c r="AZ282" s="152"/>
      <c r="BA282" s="152"/>
      <c r="BB282" s="152"/>
      <c r="BC282" s="222"/>
      <c r="BD282" s="151"/>
      <c r="BE282" s="152"/>
      <c r="BF282" s="152"/>
      <c r="BG282" s="152"/>
      <c r="BH282" s="222"/>
      <c r="BI282" s="151"/>
      <c r="BJ282" s="152"/>
      <c r="BK282" s="152"/>
      <c r="BL282" s="152"/>
      <c r="BM282" s="222"/>
      <c r="BN282" s="151"/>
      <c r="BO282" s="152"/>
      <c r="BP282" s="152"/>
      <c r="BQ282" s="152"/>
      <c r="BR282" s="222"/>
      <c r="BS282" s="151"/>
      <c r="BT282" s="152"/>
      <c r="BU282" s="152"/>
      <c r="BV282" s="152"/>
      <c r="BW282" s="222"/>
      <c r="BX282" s="151"/>
      <c r="BY282" s="152"/>
      <c r="BZ282" s="152"/>
      <c r="CA282" s="152"/>
      <c r="CB282" s="222"/>
      <c r="CC282" s="151"/>
      <c r="CD282" s="152"/>
      <c r="CE282" s="152"/>
      <c r="CF282" s="152"/>
      <c r="CG282" s="222"/>
      <c r="CH282" s="151"/>
      <c r="CI282" s="152"/>
      <c r="CJ282" s="152"/>
      <c r="CK282" s="152"/>
      <c r="CL282" s="222"/>
      <c r="CM282" s="151"/>
      <c r="CN282" s="152"/>
      <c r="CO282" s="152"/>
      <c r="CP282" s="152"/>
      <c r="CQ282" s="222"/>
      <c r="CR282" s="151"/>
      <c r="CS282" s="152"/>
      <c r="CT282" s="152"/>
      <c r="CU282" s="152"/>
      <c r="CV282" s="222"/>
      <c r="CW282" s="151"/>
      <c r="CX282" s="152"/>
      <c r="CY282" s="152"/>
      <c r="CZ282" s="152"/>
      <c r="DA282" s="152"/>
      <c r="DB282" s="151"/>
      <c r="DC282" s="152"/>
      <c r="DD282" s="152"/>
      <c r="DE282" s="152"/>
      <c r="DF282" s="152"/>
      <c r="DG282" s="151"/>
      <c r="DH282" s="152"/>
      <c r="DI282" s="152"/>
      <c r="DJ282" s="152"/>
      <c r="DK282" s="152"/>
      <c r="DL282" s="151"/>
      <c r="DM282" s="152"/>
      <c r="DN282" s="152"/>
      <c r="DO282" s="152"/>
      <c r="DP282" s="152"/>
      <c r="DQ282" s="151"/>
      <c r="DR282" s="152"/>
      <c r="DS282" s="152"/>
      <c r="DT282" s="152"/>
      <c r="DU282" s="152"/>
      <c r="DV282" s="151"/>
      <c r="DW282" s="152"/>
      <c r="DX282" s="152"/>
      <c r="DY282" s="152"/>
      <c r="DZ282" s="152"/>
      <c r="EA282" s="151"/>
      <c r="EB282" s="152"/>
      <c r="EC282" s="152"/>
      <c r="ED282" s="153"/>
      <c r="EE282" s="153"/>
      <c r="EF282" s="151"/>
      <c r="EG282" s="153"/>
      <c r="EH282" s="153"/>
      <c r="EI282" s="153"/>
      <c r="EJ282" s="153"/>
      <c r="EK282" s="892"/>
      <c r="EL282" s="153"/>
      <c r="EM282" s="153"/>
      <c r="EN282" s="153"/>
      <c r="EO282" s="153"/>
      <c r="EP282" s="892"/>
      <c r="EQ282" s="153"/>
      <c r="ER282" s="153"/>
      <c r="ES282" s="153"/>
      <c r="ET282" s="153"/>
      <c r="EU282" s="892"/>
      <c r="EV282" s="153"/>
      <c r="EW282" s="153"/>
      <c r="EX282" s="153"/>
      <c r="EY282" s="153"/>
      <c r="EZ282" s="892"/>
      <c r="FA282" s="153"/>
      <c r="FB282" s="153"/>
      <c r="FC282" s="153"/>
      <c r="FD282" s="153"/>
      <c r="FE282" s="892"/>
      <c r="FF282" s="816"/>
      <c r="FG282" s="660"/>
      <c r="FH282" s="1050"/>
      <c r="FI282" s="1050"/>
      <c r="FJ282" s="1050"/>
      <c r="FK282" s="1050"/>
      <c r="FL282" s="1846"/>
      <c r="FM282" s="991"/>
      <c r="FN282" s="991"/>
      <c r="FO282" s="991"/>
      <c r="FP282" s="991"/>
      <c r="FQ282" s="991"/>
      <c r="FR282" s="601"/>
      <c r="FS282" s="601"/>
      <c r="FT282" s="601"/>
      <c r="FU282" s="601"/>
      <c r="FV282" s="601"/>
      <c r="FW282" s="601"/>
      <c r="FX282" s="601"/>
      <c r="FY282" s="601"/>
      <c r="FZ282" s="601"/>
      <c r="GA282" s="660"/>
      <c r="GB282"/>
      <c r="GC282"/>
      <c r="GD282"/>
      <c r="GE282"/>
      <c r="GF282"/>
      <c r="GG282"/>
      <c r="GH282" s="991"/>
      <c r="GI282" s="991"/>
      <c r="GJ282" s="991"/>
      <c r="GK282" s="991"/>
      <c r="GL282" s="991"/>
      <c r="GM282" s="991"/>
      <c r="GN282" s="991"/>
      <c r="GO282" s="991"/>
      <c r="GP282" s="991"/>
      <c r="GQ282" s="991"/>
      <c r="GR282" s="991"/>
      <c r="GS282" s="991"/>
      <c r="GT282" s="991"/>
      <c r="GU282" s="991"/>
      <c r="GV282" s="991"/>
      <c r="GW282" s="991"/>
      <c r="GX282" s="991"/>
      <c r="GY282" s="991"/>
      <c r="GZ282" s="991"/>
      <c r="HA282" s="991"/>
      <c r="HB282" s="991"/>
      <c r="HC282" s="991"/>
      <c r="HD282" s="991"/>
      <c r="HE282" s="991"/>
      <c r="HF282" s="991"/>
      <c r="HG282" s="991"/>
      <c r="HH282" s="991"/>
      <c r="HI282" s="991"/>
      <c r="HJ282" s="991"/>
      <c r="HK282" s="991"/>
      <c r="HL282" s="991"/>
      <c r="HM282" s="991"/>
      <c r="HN282" s="991"/>
      <c r="HO282" s="991"/>
      <c r="HP282" s="991"/>
      <c r="HQ282" s="991"/>
      <c r="HR282" s="991"/>
      <c r="HS282" s="991"/>
      <c r="HT282" s="991"/>
      <c r="HU282" s="991"/>
      <c r="HV282" s="991"/>
      <c r="HW282" s="991"/>
      <c r="HX282" s="991"/>
      <c r="HY282" s="991"/>
      <c r="HZ282" s="991"/>
      <c r="IA282" s="991"/>
      <c r="IB282" s="991"/>
      <c r="IC282" s="991"/>
      <c r="ID282" s="991"/>
      <c r="IE282" s="991"/>
      <c r="IF282" s="991"/>
      <c r="IG282" s="991"/>
      <c r="IH282" s="991"/>
      <c r="II282" s="991"/>
      <c r="IJ282" s="991"/>
      <c r="IK282" s="991"/>
      <c r="IL282" s="991"/>
      <c r="IM282" s="991"/>
      <c r="IN282" s="991"/>
      <c r="IO282" s="991"/>
      <c r="IP282" s="991"/>
      <c r="IQ282" s="991"/>
      <c r="IR282" s="991"/>
      <c r="IS282" s="991"/>
      <c r="IT282" s="991"/>
      <c r="IU282" s="991"/>
      <c r="IV282" s="991"/>
    </row>
    <row r="283" spans="1:256" s="562" customFormat="1" ht="12.6" customHeight="1" x14ac:dyDescent="0.2">
      <c r="A283" s="557" t="s">
        <v>189</v>
      </c>
      <c r="B283" s="558"/>
      <c r="C283" s="558"/>
      <c r="D283" s="558"/>
      <c r="E283" s="559"/>
      <c r="F283" s="560"/>
      <c r="G283" s="558"/>
      <c r="H283" s="558"/>
      <c r="I283" s="558"/>
      <c r="J283" s="559"/>
      <c r="K283" s="560"/>
      <c r="L283" s="558"/>
      <c r="M283" s="558"/>
      <c r="N283" s="558"/>
      <c r="O283" s="559"/>
      <c r="P283" s="560"/>
      <c r="Q283" s="558"/>
      <c r="R283" s="558"/>
      <c r="S283" s="558"/>
      <c r="T283" s="559"/>
      <c r="U283" s="560"/>
      <c r="V283" s="558"/>
      <c r="W283" s="558"/>
      <c r="X283" s="558"/>
      <c r="Y283" s="559"/>
      <c r="Z283" s="560"/>
      <c r="AA283" s="558"/>
      <c r="AB283" s="558"/>
      <c r="AC283" s="558"/>
      <c r="AD283" s="559"/>
      <c r="AE283" s="560"/>
      <c r="AF283" s="558"/>
      <c r="AG283" s="558"/>
      <c r="AH283" s="558"/>
      <c r="AI283" s="559"/>
      <c r="AJ283" s="560"/>
      <c r="AK283" s="558"/>
      <c r="AL283" s="558"/>
      <c r="AM283" s="558"/>
      <c r="AN283" s="559"/>
      <c r="AO283" s="560"/>
      <c r="AP283" s="558"/>
      <c r="AQ283" s="558"/>
      <c r="AR283" s="558"/>
      <c r="AS283" s="559"/>
      <c r="AT283" s="560"/>
      <c r="AU283" s="558"/>
      <c r="AV283" s="558"/>
      <c r="AW283" s="558"/>
      <c r="AX283" s="559"/>
      <c r="AY283" s="560"/>
      <c r="AZ283" s="558"/>
      <c r="BA283" s="558"/>
      <c r="BB283" s="558"/>
      <c r="BC283" s="559"/>
      <c r="BD283" s="560"/>
      <c r="BE283" s="558"/>
      <c r="BF283" s="558"/>
      <c r="BG283" s="558"/>
      <c r="BH283" s="559"/>
      <c r="BI283" s="560"/>
      <c r="BJ283" s="558"/>
      <c r="BK283" s="558"/>
      <c r="BL283" s="558"/>
      <c r="BM283" s="559"/>
      <c r="BN283" s="560"/>
      <c r="BO283" s="558"/>
      <c r="BP283" s="558"/>
      <c r="BQ283" s="558"/>
      <c r="BR283" s="559"/>
      <c r="BS283" s="560"/>
      <c r="BT283" s="558"/>
      <c r="BU283" s="558"/>
      <c r="BV283" s="558"/>
      <c r="BW283" s="559"/>
      <c r="BX283" s="560"/>
      <c r="BY283" s="558"/>
      <c r="BZ283" s="558"/>
      <c r="CA283" s="558"/>
      <c r="CB283" s="559"/>
      <c r="CC283" s="560"/>
      <c r="CD283" s="558"/>
      <c r="CE283" s="558"/>
      <c r="CF283" s="558"/>
      <c r="CG283" s="559"/>
      <c r="CH283" s="560"/>
      <c r="CI283" s="558"/>
      <c r="CJ283" s="558"/>
      <c r="CK283" s="558"/>
      <c r="CL283" s="559"/>
      <c r="CM283" s="560"/>
      <c r="CN283" s="558"/>
      <c r="CO283" s="558"/>
      <c r="CP283" s="558"/>
      <c r="CQ283" s="559"/>
      <c r="CR283" s="560"/>
      <c r="CS283" s="558"/>
      <c r="CT283" s="558"/>
      <c r="CU283" s="558"/>
      <c r="CV283" s="559"/>
      <c r="CW283" s="560"/>
      <c r="CX283" s="558"/>
      <c r="CY283" s="558"/>
      <c r="CZ283" s="558"/>
      <c r="DA283" s="558"/>
      <c r="DB283" s="560"/>
      <c r="DC283" s="558"/>
      <c r="DD283" s="558"/>
      <c r="DE283" s="558"/>
      <c r="DF283" s="558"/>
      <c r="DG283" s="560"/>
      <c r="DH283" s="558"/>
      <c r="DI283" s="558"/>
      <c r="DJ283" s="558"/>
      <c r="DK283" s="558"/>
      <c r="DL283" s="560"/>
      <c r="DM283" s="558"/>
      <c r="DN283" s="558"/>
      <c r="DO283" s="558"/>
      <c r="DP283" s="558"/>
      <c r="DQ283" s="560"/>
      <c r="DR283" s="558"/>
      <c r="DS283" s="558"/>
      <c r="DT283" s="558"/>
      <c r="DU283" s="558"/>
      <c r="DV283" s="560"/>
      <c r="DW283" s="558"/>
      <c r="DX283" s="558"/>
      <c r="DY283" s="558"/>
      <c r="DZ283" s="558"/>
      <c r="EA283" s="560"/>
      <c r="EB283" s="558"/>
      <c r="EC283" s="558"/>
      <c r="ED283" s="561"/>
      <c r="EE283" s="561"/>
      <c r="EF283" s="560"/>
      <c r="EG283" s="561"/>
      <c r="EH283" s="561"/>
      <c r="EI283" s="561"/>
      <c r="EJ283" s="561"/>
      <c r="EK283" s="893"/>
      <c r="EL283" s="561"/>
      <c r="EM283" s="561"/>
      <c r="EN283" s="561"/>
      <c r="EO283" s="561"/>
      <c r="EP283" s="893"/>
      <c r="EQ283" s="561"/>
      <c r="ER283" s="561"/>
      <c r="ES283" s="561"/>
      <c r="ET283" s="561"/>
      <c r="EU283" s="893"/>
      <c r="EV283" s="561"/>
      <c r="EW283" s="561"/>
      <c r="EX283" s="561"/>
      <c r="EY283" s="561"/>
      <c r="EZ283" s="893"/>
      <c r="FA283" s="561"/>
      <c r="FB283" s="561"/>
      <c r="FC283" s="561"/>
      <c r="FD283" s="561"/>
      <c r="FE283" s="893"/>
      <c r="FF283" s="817"/>
      <c r="FG283" s="660"/>
      <c r="FH283" s="1050"/>
      <c r="FI283" s="1050"/>
      <c r="FJ283" s="1050"/>
      <c r="FK283" s="1050"/>
      <c r="FL283" s="1846"/>
      <c r="FM283" s="991"/>
      <c r="FN283" s="991"/>
      <c r="FO283" s="991"/>
      <c r="FP283" s="991"/>
      <c r="FQ283" s="991"/>
      <c r="FR283" s="601"/>
      <c r="FS283" s="601"/>
      <c r="FT283" s="601"/>
      <c r="FU283" s="601"/>
      <c r="FV283" s="604"/>
      <c r="FW283" s="604"/>
      <c r="FX283" s="604"/>
      <c r="FY283" s="604"/>
      <c r="FZ283" s="604"/>
      <c r="GA283" s="660"/>
      <c r="GB283"/>
      <c r="GC283"/>
      <c r="GD283"/>
      <c r="GE283"/>
      <c r="GF283"/>
      <c r="GG283"/>
      <c r="GH283" s="992"/>
      <c r="GI283" s="992"/>
      <c r="GJ283" s="992"/>
      <c r="GK283" s="992"/>
      <c r="GL283" s="992"/>
      <c r="GM283" s="992"/>
      <c r="GN283" s="992"/>
      <c r="GO283" s="992"/>
      <c r="GP283" s="992"/>
      <c r="GQ283" s="992"/>
      <c r="GR283" s="992"/>
      <c r="GS283" s="992"/>
      <c r="GT283" s="992"/>
      <c r="GU283" s="992"/>
      <c r="GV283" s="992"/>
      <c r="GW283" s="992"/>
      <c r="GX283" s="992"/>
      <c r="GY283" s="992"/>
      <c r="GZ283" s="992"/>
      <c r="HA283" s="992"/>
      <c r="HB283" s="992"/>
      <c r="HC283" s="992"/>
      <c r="HD283" s="992"/>
      <c r="HE283" s="992"/>
      <c r="HF283" s="992"/>
      <c r="HG283" s="992"/>
      <c r="HH283" s="992"/>
      <c r="HI283" s="992"/>
      <c r="HJ283" s="992"/>
      <c r="HK283" s="992"/>
      <c r="HL283" s="992"/>
      <c r="HM283" s="992"/>
      <c r="HN283" s="992"/>
      <c r="HO283" s="992"/>
      <c r="HP283" s="992"/>
      <c r="HQ283" s="992"/>
      <c r="HR283" s="992"/>
      <c r="HS283" s="992"/>
      <c r="HT283" s="992"/>
      <c r="HU283" s="992"/>
      <c r="HV283" s="992"/>
      <c r="HW283" s="992"/>
      <c r="HX283" s="992"/>
      <c r="HY283" s="992"/>
      <c r="HZ283" s="992"/>
      <c r="IA283" s="992"/>
      <c r="IB283" s="992"/>
      <c r="IC283" s="992"/>
      <c r="ID283" s="992"/>
      <c r="IE283" s="992"/>
      <c r="IF283" s="992"/>
      <c r="IG283" s="992"/>
      <c r="IH283" s="992"/>
      <c r="II283" s="992"/>
      <c r="IJ283" s="992"/>
      <c r="IK283" s="992"/>
      <c r="IL283" s="992"/>
      <c r="IM283" s="992"/>
      <c r="IN283" s="992"/>
      <c r="IO283" s="992"/>
      <c r="IP283" s="992"/>
      <c r="IQ283" s="992"/>
      <c r="IR283" s="992"/>
      <c r="IS283" s="992"/>
      <c r="IT283" s="992"/>
      <c r="IU283" s="992"/>
      <c r="IV283" s="992"/>
    </row>
    <row r="284" spans="1:256" s="157" customFormat="1" ht="12.75" x14ac:dyDescent="0.2">
      <c r="A284" s="180" t="s">
        <v>9</v>
      </c>
      <c r="B284" s="158"/>
      <c r="C284" s="158"/>
      <c r="D284" s="158"/>
      <c r="E284" s="223"/>
      <c r="F284" s="159"/>
      <c r="G284" s="158"/>
      <c r="H284" s="158"/>
      <c r="I284" s="158"/>
      <c r="J284" s="223"/>
      <c r="K284" s="159"/>
      <c r="L284" s="158"/>
      <c r="M284" s="158"/>
      <c r="N284" s="158"/>
      <c r="O284" s="223"/>
      <c r="P284" s="159"/>
      <c r="Q284" s="158"/>
      <c r="R284" s="158"/>
      <c r="S284" s="158"/>
      <c r="T284" s="223"/>
      <c r="U284" s="159"/>
      <c r="V284" s="158"/>
      <c r="W284" s="158"/>
      <c r="X284" s="158"/>
      <c r="Y284" s="223"/>
      <c r="Z284" s="159"/>
      <c r="AA284" s="158"/>
      <c r="AB284" s="158"/>
      <c r="AC284" s="158"/>
      <c r="AD284" s="223"/>
      <c r="AE284" s="159"/>
      <c r="AF284" s="158"/>
      <c r="AG284" s="158"/>
      <c r="AH284" s="158"/>
      <c r="AI284" s="223"/>
      <c r="AJ284" s="159"/>
      <c r="AK284" s="158"/>
      <c r="AL284" s="158"/>
      <c r="AM284" s="158"/>
      <c r="AN284" s="223"/>
      <c r="AO284" s="159"/>
      <c r="AP284" s="158"/>
      <c r="AQ284" s="158"/>
      <c r="AR284" s="158"/>
      <c r="AS284" s="223"/>
      <c r="AT284" s="159">
        <v>721</v>
      </c>
      <c r="AU284" s="158"/>
      <c r="AV284" s="158"/>
      <c r="AW284" s="158"/>
      <c r="AX284" s="223"/>
      <c r="AY284" s="159">
        <v>734</v>
      </c>
      <c r="AZ284" s="158"/>
      <c r="BA284" s="158"/>
      <c r="BB284" s="158"/>
      <c r="BC284" s="223"/>
      <c r="BD284" s="159">
        <v>239</v>
      </c>
      <c r="BE284" s="158"/>
      <c r="BF284" s="158"/>
      <c r="BG284" s="158"/>
      <c r="BH284" s="223"/>
      <c r="BI284" s="159">
        <v>172</v>
      </c>
      <c r="BJ284" s="158"/>
      <c r="BK284" s="158"/>
      <c r="BL284" s="158"/>
      <c r="BM284" s="223"/>
      <c r="BN284" s="159">
        <v>375</v>
      </c>
      <c r="BO284" s="158"/>
      <c r="BP284" s="158"/>
      <c r="BQ284" s="158"/>
      <c r="BR284" s="223"/>
      <c r="BS284" s="159">
        <v>460</v>
      </c>
      <c r="BT284" s="158"/>
      <c r="BU284" s="158"/>
      <c r="BV284" s="158"/>
      <c r="BW284" s="223"/>
      <c r="BX284" s="159">
        <v>535</v>
      </c>
      <c r="BY284" s="158"/>
      <c r="BZ284" s="158"/>
      <c r="CA284" s="158"/>
      <c r="CB284" s="223"/>
      <c r="CC284" s="159">
        <v>923</v>
      </c>
      <c r="CD284" s="158"/>
      <c r="CE284" s="158"/>
      <c r="CF284" s="158"/>
      <c r="CG284" s="223"/>
      <c r="CH284" s="159">
        <v>1281</v>
      </c>
      <c r="CI284" s="158"/>
      <c r="CJ284" s="158"/>
      <c r="CK284" s="158"/>
      <c r="CL284" s="223"/>
      <c r="CM284" s="159">
        <v>1481</v>
      </c>
      <c r="CN284" s="158"/>
      <c r="CO284" s="158"/>
      <c r="CP284" s="158"/>
      <c r="CQ284" s="223"/>
      <c r="CR284" s="159">
        <v>1464</v>
      </c>
      <c r="CS284" s="158"/>
      <c r="CT284" s="158"/>
      <c r="CU284" s="158"/>
      <c r="CV284" s="223"/>
      <c r="CW284" s="159">
        <v>1716</v>
      </c>
      <c r="CX284" s="156"/>
      <c r="CY284" s="156"/>
      <c r="CZ284" s="156"/>
      <c r="DA284" s="158"/>
      <c r="DB284" s="159">
        <v>1034</v>
      </c>
      <c r="DC284" s="156"/>
      <c r="DD284" s="156"/>
      <c r="DE284" s="156"/>
      <c r="DF284" s="158"/>
      <c r="DG284" s="159">
        <v>1496</v>
      </c>
      <c r="DH284" s="158"/>
      <c r="DI284" s="156"/>
      <c r="DJ284" s="156"/>
      <c r="DK284" s="158"/>
      <c r="DL284" s="48">
        <v>1916</v>
      </c>
      <c r="DM284" s="20">
        <f>Model!DM266</f>
        <v>410</v>
      </c>
      <c r="DN284" s="20">
        <f>Model!DN266</f>
        <v>524</v>
      </c>
      <c r="DO284" s="172"/>
      <c r="DP284" s="20"/>
      <c r="DQ284" s="171">
        <f>Model!DQ266</f>
        <v>1749</v>
      </c>
      <c r="DR284" s="20">
        <v>450</v>
      </c>
      <c r="DS284" s="172">
        <f>Model!DS266</f>
        <v>465</v>
      </c>
      <c r="DT284" s="172">
        <f>Model!DT266</f>
        <v>481.6</v>
      </c>
      <c r="DU284" s="172">
        <f>Model!DU266</f>
        <v>513</v>
      </c>
      <c r="DV284" s="171">
        <v>1910</v>
      </c>
      <c r="DW284" s="172">
        <f>Model!DW266</f>
        <v>367.5</v>
      </c>
      <c r="DX284" s="172">
        <f>Model!DX266</f>
        <v>562</v>
      </c>
      <c r="DY284" s="172">
        <f>Model!DY266</f>
        <v>559.09999999999991</v>
      </c>
      <c r="DZ284" s="172">
        <f>Model!DZ266</f>
        <v>511</v>
      </c>
      <c r="EA284" s="171">
        <v>2000</v>
      </c>
      <c r="EB284" s="172">
        <f>Model!EB266</f>
        <v>310</v>
      </c>
      <c r="EC284" s="172">
        <f>Model!EC266</f>
        <v>432.6</v>
      </c>
      <c r="ED284" s="172">
        <f>Model!ED266</f>
        <v>452</v>
      </c>
      <c r="EE284" s="172">
        <f>Model!EE266</f>
        <v>361</v>
      </c>
      <c r="EF284" s="171">
        <f>+SUM(EB284:EE284)</f>
        <v>1555.6</v>
      </c>
      <c r="EG284" s="172">
        <f>Model!EG266</f>
        <v>387</v>
      </c>
      <c r="EH284" s="172">
        <f>Model!EH266</f>
        <v>404.8</v>
      </c>
      <c r="EI284" s="172">
        <f>Model!EI266</f>
        <v>459.6</v>
      </c>
      <c r="EJ284" s="172">
        <f>Model!EJ266</f>
        <v>416</v>
      </c>
      <c r="EK284" s="171">
        <f>+SUM(EG284:EJ284)</f>
        <v>1667.4</v>
      </c>
      <c r="EL284" s="172">
        <f>Model!EL266</f>
        <v>433</v>
      </c>
      <c r="EM284" s="172">
        <f>Model!EM266</f>
        <v>497</v>
      </c>
      <c r="EN284" s="172">
        <f>Model!EN266</f>
        <v>506</v>
      </c>
      <c r="EO284" s="172">
        <f>Model!EO266</f>
        <v>486</v>
      </c>
      <c r="EP284" s="171">
        <f>+SUM(EL284:EO284)</f>
        <v>1922</v>
      </c>
      <c r="EQ284" s="172"/>
      <c r="ER284" s="172"/>
      <c r="ES284" s="172"/>
      <c r="ET284" s="172"/>
      <c r="EU284" s="171">
        <f>Model!EU266</f>
        <v>2332.3321023900635</v>
      </c>
      <c r="EV284" s="172"/>
      <c r="EW284" s="172"/>
      <c r="EX284" s="172"/>
      <c r="EY284" s="172"/>
      <c r="EZ284" s="171">
        <f>Model!EZ266</f>
        <v>2428.0859835293281</v>
      </c>
      <c r="FA284" s="172"/>
      <c r="FB284" s="172"/>
      <c r="FC284" s="172"/>
      <c r="FD284" s="172"/>
      <c r="FE284" s="171">
        <f>Model!FE266</f>
        <v>2554.4336891205776</v>
      </c>
      <c r="FF284" s="818"/>
      <c r="FG284" s="660"/>
      <c r="FH284" s="1083"/>
      <c r="FI284" s="1083"/>
      <c r="FJ284" s="1083"/>
      <c r="FK284" s="1083"/>
      <c r="FL284" s="1850"/>
      <c r="FM284" s="1785"/>
      <c r="FN284" s="1785"/>
      <c r="FO284" s="1785"/>
      <c r="FP284" s="1785"/>
      <c r="FQ284" s="1785"/>
      <c r="FR284" s="605"/>
      <c r="FS284" s="605"/>
      <c r="FT284" s="605"/>
      <c r="FU284" s="605"/>
      <c r="FV284" s="605"/>
      <c r="FW284" s="605"/>
      <c r="FX284" s="605"/>
      <c r="FY284" s="605"/>
      <c r="FZ284" s="605"/>
      <c r="GA284" s="660"/>
      <c r="GB284"/>
      <c r="GC284"/>
      <c r="GD284"/>
      <c r="GE284"/>
      <c r="GF284"/>
      <c r="GG284"/>
      <c r="GH284" s="1005"/>
      <c r="GI284" s="1005"/>
      <c r="GJ284" s="1005"/>
      <c r="GK284" s="1005"/>
      <c r="GL284" s="1005"/>
      <c r="GM284" s="1005"/>
      <c r="GN284" s="1005"/>
      <c r="GO284" s="1005"/>
      <c r="GP284" s="1005"/>
      <c r="GQ284" s="1005"/>
      <c r="GR284" s="1005"/>
      <c r="GS284" s="1005"/>
      <c r="GT284" s="1005"/>
      <c r="GU284" s="1005"/>
      <c r="GV284" s="1005"/>
      <c r="GW284" s="1005"/>
      <c r="GX284" s="1005"/>
      <c r="GY284" s="1005"/>
      <c r="GZ284" s="1005"/>
      <c r="HA284" s="1005"/>
      <c r="HB284" s="1005"/>
      <c r="HC284" s="1005"/>
      <c r="HD284" s="1005"/>
      <c r="HE284" s="1005"/>
      <c r="HF284" s="1005"/>
      <c r="HG284" s="1005"/>
      <c r="HH284" s="1005"/>
      <c r="HI284" s="1005"/>
      <c r="HJ284" s="1005"/>
      <c r="HK284" s="1005"/>
      <c r="HL284" s="1005"/>
      <c r="HM284" s="1005"/>
      <c r="HN284" s="1005"/>
      <c r="HO284" s="1005"/>
      <c r="HP284" s="1005"/>
      <c r="HQ284" s="1005"/>
      <c r="HR284" s="1005"/>
      <c r="HS284" s="1005"/>
      <c r="HT284" s="1005"/>
      <c r="HU284" s="1005"/>
      <c r="HV284" s="1005"/>
      <c r="HW284" s="1005"/>
      <c r="HX284" s="1005"/>
      <c r="HY284" s="1005"/>
      <c r="HZ284" s="1005"/>
      <c r="IA284" s="1005"/>
      <c r="IB284" s="1005"/>
      <c r="IC284" s="1005"/>
      <c r="ID284" s="1005"/>
      <c r="IE284" s="1005"/>
      <c r="IF284" s="1005"/>
      <c r="IG284" s="1005"/>
      <c r="IH284" s="1005"/>
      <c r="II284" s="1005"/>
      <c r="IJ284" s="1005"/>
      <c r="IK284" s="1005"/>
      <c r="IL284" s="1005"/>
      <c r="IM284" s="1005"/>
      <c r="IN284" s="1005"/>
      <c r="IO284" s="1005"/>
      <c r="IP284" s="1005"/>
      <c r="IQ284" s="1005"/>
      <c r="IR284" s="1005"/>
      <c r="IS284" s="1005"/>
      <c r="IT284" s="1005"/>
      <c r="IU284" s="1005"/>
      <c r="IV284" s="1005"/>
    </row>
    <row r="285" spans="1:256" s="157" customFormat="1" ht="12.75" x14ac:dyDescent="0.2">
      <c r="A285" s="290" t="s">
        <v>602</v>
      </c>
      <c r="B285" s="158"/>
      <c r="C285" s="158"/>
      <c r="D285" s="158"/>
      <c r="E285" s="223"/>
      <c r="F285" s="159"/>
      <c r="G285" s="158"/>
      <c r="H285" s="158"/>
      <c r="I285" s="158"/>
      <c r="J285" s="223"/>
      <c r="K285" s="159"/>
      <c r="L285" s="158"/>
      <c r="M285" s="158"/>
      <c r="N285" s="158"/>
      <c r="O285" s="223"/>
      <c r="P285" s="159"/>
      <c r="Q285" s="158"/>
      <c r="R285" s="158"/>
      <c r="S285" s="158"/>
      <c r="T285" s="223"/>
      <c r="U285" s="159"/>
      <c r="V285" s="158"/>
      <c r="W285" s="158"/>
      <c r="X285" s="158"/>
      <c r="Y285" s="223"/>
      <c r="Z285" s="159"/>
      <c r="AA285" s="158"/>
      <c r="AB285" s="158"/>
      <c r="AC285" s="158"/>
      <c r="AD285" s="223"/>
      <c r="AE285" s="159"/>
      <c r="AF285" s="158"/>
      <c r="AG285" s="158"/>
      <c r="AH285" s="158"/>
      <c r="AI285" s="223"/>
      <c r="AJ285" s="159"/>
      <c r="AK285" s="158"/>
      <c r="AL285" s="158"/>
      <c r="AM285" s="158"/>
      <c r="AN285" s="223"/>
      <c r="AO285" s="159"/>
      <c r="AP285" s="158"/>
      <c r="AQ285" s="158"/>
      <c r="AR285" s="158"/>
      <c r="AS285" s="223"/>
      <c r="AT285" s="159">
        <v>432</v>
      </c>
      <c r="AU285" s="158"/>
      <c r="AV285" s="158"/>
      <c r="AW285" s="158"/>
      <c r="AX285" s="223"/>
      <c r="AY285" s="159">
        <v>450</v>
      </c>
      <c r="AZ285" s="158"/>
      <c r="BA285" s="158"/>
      <c r="BB285" s="158"/>
      <c r="BC285" s="223"/>
      <c r="BD285" s="159">
        <v>489</v>
      </c>
      <c r="BE285" s="158"/>
      <c r="BF285" s="158"/>
      <c r="BG285" s="158"/>
      <c r="BH285" s="223"/>
      <c r="BI285" s="159">
        <v>517</v>
      </c>
      <c r="BJ285" s="158"/>
      <c r="BK285" s="158"/>
      <c r="BL285" s="158"/>
      <c r="BM285" s="223"/>
      <c r="BN285" s="159">
        <v>527</v>
      </c>
      <c r="BO285" s="158"/>
      <c r="BP285" s="158"/>
      <c r="BQ285" s="158"/>
      <c r="BR285" s="223"/>
      <c r="BS285" s="159">
        <v>529</v>
      </c>
      <c r="BT285" s="158"/>
      <c r="BU285" s="158"/>
      <c r="BV285" s="158"/>
      <c r="BW285" s="223"/>
      <c r="BX285" s="159">
        <v>528</v>
      </c>
      <c r="BY285" s="158"/>
      <c r="BZ285" s="158"/>
      <c r="CA285" s="158"/>
      <c r="CB285" s="223"/>
      <c r="CC285" s="159">
        <v>609</v>
      </c>
      <c r="CD285" s="158"/>
      <c r="CE285" s="158"/>
      <c r="CF285" s="158"/>
      <c r="CG285" s="223"/>
      <c r="CH285" s="159">
        <v>787</v>
      </c>
      <c r="CI285" s="158"/>
      <c r="CJ285" s="158"/>
      <c r="CK285" s="158"/>
      <c r="CL285" s="223"/>
      <c r="CM285" s="159">
        <v>750</v>
      </c>
      <c r="CN285" s="158"/>
      <c r="CO285" s="158"/>
      <c r="CP285" s="158"/>
      <c r="CQ285" s="223"/>
      <c r="CR285" s="159">
        <v>786</v>
      </c>
      <c r="CS285" s="158"/>
      <c r="CT285" s="158"/>
      <c r="CU285" s="158"/>
      <c r="CV285" s="223"/>
      <c r="CW285" s="159">
        <v>815</v>
      </c>
      <c r="CX285" s="156"/>
      <c r="CY285" s="156"/>
      <c r="CZ285" s="156"/>
      <c r="DA285" s="158"/>
      <c r="DB285" s="159">
        <v>845</v>
      </c>
      <c r="DC285" s="156"/>
      <c r="DD285" s="156"/>
      <c r="DE285" s="156"/>
      <c r="DF285" s="158"/>
      <c r="DG285" s="159">
        <v>826</v>
      </c>
      <c r="DH285" s="158"/>
      <c r="DI285" s="156"/>
      <c r="DJ285" s="156"/>
      <c r="DK285" s="158"/>
      <c r="DL285" s="48">
        <v>869</v>
      </c>
      <c r="DM285" s="20">
        <f>Model!DM207</f>
        <v>224</v>
      </c>
      <c r="DN285" s="20">
        <f>Model!DN207</f>
        <v>229</v>
      </c>
      <c r="DO285" s="172"/>
      <c r="DP285" s="20"/>
      <c r="DQ285" s="171">
        <f>Model!DQ207</f>
        <v>916</v>
      </c>
      <c r="DR285" s="20">
        <f>Model!DR207</f>
        <v>227</v>
      </c>
      <c r="DS285" s="172">
        <f>Model!DS207</f>
        <v>226</v>
      </c>
      <c r="DT285" s="172">
        <f>Model!DT207</f>
        <v>230</v>
      </c>
      <c r="DU285" s="172">
        <f>Model!DU207</f>
        <v>233</v>
      </c>
      <c r="DV285" s="171">
        <v>922</v>
      </c>
      <c r="DW285" s="20">
        <f>Model!DW207</f>
        <v>237</v>
      </c>
      <c r="DX285" s="20">
        <f>Model!DX207</f>
        <v>238</v>
      </c>
      <c r="DY285" s="20">
        <f>Model!DY207</f>
        <v>236</v>
      </c>
      <c r="DZ285" s="172">
        <f>Model!DZ207</f>
        <v>240</v>
      </c>
      <c r="EA285" s="171">
        <v>956</v>
      </c>
      <c r="EB285" s="20">
        <f>Model!EB207</f>
        <v>245</v>
      </c>
      <c r="EC285" s="20">
        <f>Model!EC207</f>
        <v>247</v>
      </c>
      <c r="ED285" s="20">
        <f>Model!ED207</f>
        <v>275</v>
      </c>
      <c r="EE285" s="172">
        <f>Model!EE207</f>
        <v>287</v>
      </c>
      <c r="EF285" s="171">
        <v>1059</v>
      </c>
      <c r="EG285" s="20">
        <v>253</v>
      </c>
      <c r="EH285" s="20">
        <f>Model!EH207</f>
        <v>257</v>
      </c>
      <c r="EI285" s="20">
        <f>Model!EI207</f>
        <v>258</v>
      </c>
      <c r="EJ285" s="172">
        <f>Model!EJ207</f>
        <v>259</v>
      </c>
      <c r="EK285" s="171">
        <f>+SUM(EG285:EJ285)</f>
        <v>1027</v>
      </c>
      <c r="EL285" s="20">
        <v>260</v>
      </c>
      <c r="EM285" s="20">
        <f>Model!EM207</f>
        <v>264</v>
      </c>
      <c r="EN285" s="20">
        <f>Model!EN207</f>
        <v>265</v>
      </c>
      <c r="EO285" s="172">
        <f>Model!EO207</f>
        <v>267</v>
      </c>
      <c r="EP285" s="171">
        <f>+SUM(EL285:EO285)</f>
        <v>1056</v>
      </c>
      <c r="EQ285" s="172"/>
      <c r="ER285" s="172"/>
      <c r="ES285" s="172"/>
      <c r="ET285" s="172"/>
      <c r="EU285" s="171">
        <f>Model!EU207</f>
        <v>1100</v>
      </c>
      <c r="EV285" s="172"/>
      <c r="EW285" s="172"/>
      <c r="EX285" s="172"/>
      <c r="EY285" s="172"/>
      <c r="EZ285" s="171">
        <f>Model!EZ207</f>
        <v>1138.5</v>
      </c>
      <c r="FA285" s="172"/>
      <c r="FB285" s="172"/>
      <c r="FC285" s="172"/>
      <c r="FD285" s="172"/>
      <c r="FE285" s="171">
        <f>Model!FE207</f>
        <v>1178.3474999999999</v>
      </c>
      <c r="FF285" s="818"/>
      <c r="FG285" s="660"/>
      <c r="FH285" s="1083"/>
      <c r="FI285" s="1083"/>
      <c r="FJ285" s="1083"/>
      <c r="FK285" s="1083"/>
      <c r="FL285" s="1850"/>
      <c r="FM285" s="1785"/>
      <c r="FN285" s="1785"/>
      <c r="FO285" s="1785"/>
      <c r="FP285" s="1785"/>
      <c r="FQ285" s="1785"/>
      <c r="FR285" s="605"/>
      <c r="FS285" s="605"/>
      <c r="FT285" s="605"/>
      <c r="FU285" s="605"/>
      <c r="FV285" s="605"/>
      <c r="FW285" s="605"/>
      <c r="FX285" s="605"/>
      <c r="FY285" s="605"/>
      <c r="FZ285" s="605"/>
      <c r="GA285" s="660"/>
      <c r="GB285"/>
      <c r="GC285"/>
      <c r="GD285"/>
      <c r="GE285"/>
      <c r="GF285"/>
      <c r="GG285"/>
      <c r="GH285" s="1005"/>
      <c r="GI285" s="1005"/>
      <c r="GJ285" s="1005"/>
      <c r="GK285" s="1005"/>
      <c r="GL285" s="1005"/>
      <c r="GM285" s="1005"/>
      <c r="GN285" s="1005"/>
      <c r="GO285" s="1005"/>
      <c r="GP285" s="1005"/>
      <c r="GQ285" s="1005"/>
      <c r="GR285" s="1005"/>
      <c r="GS285" s="1005"/>
      <c r="GT285" s="1005"/>
      <c r="GU285" s="1005"/>
      <c r="GV285" s="1005"/>
      <c r="GW285" s="1005"/>
      <c r="GX285" s="1005"/>
      <c r="GY285" s="1005"/>
      <c r="GZ285" s="1005"/>
      <c r="HA285" s="1005"/>
      <c r="HB285" s="1005"/>
      <c r="HC285" s="1005"/>
      <c r="HD285" s="1005"/>
      <c r="HE285" s="1005"/>
      <c r="HF285" s="1005"/>
      <c r="HG285" s="1005"/>
      <c r="HH285" s="1005"/>
      <c r="HI285" s="1005"/>
      <c r="HJ285" s="1005"/>
      <c r="HK285" s="1005"/>
      <c r="HL285" s="1005"/>
      <c r="HM285" s="1005"/>
      <c r="HN285" s="1005"/>
      <c r="HO285" s="1005"/>
      <c r="HP285" s="1005"/>
      <c r="HQ285" s="1005"/>
      <c r="HR285" s="1005"/>
      <c r="HS285" s="1005"/>
      <c r="HT285" s="1005"/>
      <c r="HU285" s="1005"/>
      <c r="HV285" s="1005"/>
      <c r="HW285" s="1005"/>
      <c r="HX285" s="1005"/>
      <c r="HY285" s="1005"/>
      <c r="HZ285" s="1005"/>
      <c r="IA285" s="1005"/>
      <c r="IB285" s="1005"/>
      <c r="IC285" s="1005"/>
      <c r="ID285" s="1005"/>
      <c r="IE285" s="1005"/>
      <c r="IF285" s="1005"/>
      <c r="IG285" s="1005"/>
      <c r="IH285" s="1005"/>
      <c r="II285" s="1005"/>
      <c r="IJ285" s="1005"/>
      <c r="IK285" s="1005"/>
      <c r="IL285" s="1005"/>
      <c r="IM285" s="1005"/>
      <c r="IN285" s="1005"/>
      <c r="IO285" s="1005"/>
      <c r="IP285" s="1005"/>
      <c r="IQ285" s="1005"/>
      <c r="IR285" s="1005"/>
      <c r="IS285" s="1005"/>
      <c r="IT285" s="1005"/>
      <c r="IU285" s="1005"/>
      <c r="IV285" s="1005"/>
    </row>
    <row r="286" spans="1:256" s="157" customFormat="1" ht="12.75" x14ac:dyDescent="0.2">
      <c r="A286" s="290" t="s">
        <v>123</v>
      </c>
      <c r="B286" s="156"/>
      <c r="C286" s="156"/>
      <c r="D286" s="156"/>
      <c r="E286" s="224"/>
      <c r="F286" s="155"/>
      <c r="G286" s="156"/>
      <c r="H286" s="156"/>
      <c r="I286" s="156"/>
      <c r="J286" s="224"/>
      <c r="K286" s="155"/>
      <c r="L286" s="156"/>
      <c r="M286" s="156"/>
      <c r="N286" s="156"/>
      <c r="O286" s="224"/>
      <c r="P286" s="155"/>
      <c r="Q286" s="156"/>
      <c r="R286" s="156"/>
      <c r="S286" s="156"/>
      <c r="T286" s="224"/>
      <c r="U286" s="155"/>
      <c r="V286" s="156"/>
      <c r="W286" s="156"/>
      <c r="X286" s="156"/>
      <c r="Y286" s="224"/>
      <c r="Z286" s="155"/>
      <c r="AA286" s="156"/>
      <c r="AB286" s="156"/>
      <c r="AC286" s="156"/>
      <c r="AD286" s="224"/>
      <c r="AE286" s="155"/>
      <c r="AF286" s="156"/>
      <c r="AG286" s="156"/>
      <c r="AH286" s="156"/>
      <c r="AI286" s="224"/>
      <c r="AJ286" s="155"/>
      <c r="AK286" s="156"/>
      <c r="AL286" s="156"/>
      <c r="AM286" s="156"/>
      <c r="AN286" s="224"/>
      <c r="AO286" s="155"/>
      <c r="AP286" s="156"/>
      <c r="AQ286" s="156"/>
      <c r="AR286" s="156"/>
      <c r="AS286" s="224"/>
      <c r="AT286" s="155"/>
      <c r="AU286" s="156"/>
      <c r="AV286" s="156"/>
      <c r="AW286" s="156"/>
      <c r="AX286" s="224"/>
      <c r="AY286" s="155"/>
      <c r="AZ286" s="156"/>
      <c r="BA286" s="156"/>
      <c r="BB286" s="156"/>
      <c r="BC286" s="224"/>
      <c r="BD286" s="155"/>
      <c r="BE286" s="156"/>
      <c r="BF286" s="156"/>
      <c r="BG286" s="156"/>
      <c r="BH286" s="224"/>
      <c r="BI286" s="155"/>
      <c r="BJ286" s="156"/>
      <c r="BK286" s="156"/>
      <c r="BL286" s="156"/>
      <c r="BM286" s="224"/>
      <c r="BN286" s="155"/>
      <c r="BO286" s="156"/>
      <c r="BP286" s="156"/>
      <c r="BQ286" s="156"/>
      <c r="BR286" s="224"/>
      <c r="BS286" s="155"/>
      <c r="BT286" s="156"/>
      <c r="BU286" s="156"/>
      <c r="BV286" s="156"/>
      <c r="BW286" s="224"/>
      <c r="BX286" s="155"/>
      <c r="BY286" s="156"/>
      <c r="BZ286" s="156"/>
      <c r="CA286" s="156"/>
      <c r="CB286" s="224"/>
      <c r="CC286" s="155"/>
      <c r="CD286" s="156"/>
      <c r="CE286" s="156"/>
      <c r="CF286" s="156"/>
      <c r="CG286" s="224"/>
      <c r="CH286" s="155"/>
      <c r="CI286" s="156"/>
      <c r="CJ286" s="156"/>
      <c r="CK286" s="156"/>
      <c r="CL286" s="224"/>
      <c r="CM286" s="155"/>
      <c r="CN286" s="156"/>
      <c r="CO286" s="156"/>
      <c r="CP286" s="156"/>
      <c r="CQ286" s="224"/>
      <c r="CR286" s="155"/>
      <c r="CS286" s="156"/>
      <c r="CT286" s="156"/>
      <c r="CU286" s="156"/>
      <c r="CV286" s="224"/>
      <c r="CW286" s="155"/>
      <c r="CX286" s="156"/>
      <c r="CY286" s="156"/>
      <c r="CZ286" s="156"/>
      <c r="DA286" s="156"/>
      <c r="DB286" s="155"/>
      <c r="DC286" s="156"/>
      <c r="DD286" s="156"/>
      <c r="DE286" s="156"/>
      <c r="DF286" s="156"/>
      <c r="DG286" s="155"/>
      <c r="DH286" s="156"/>
      <c r="DI286" s="156"/>
      <c r="DJ286" s="156"/>
      <c r="DK286" s="156"/>
      <c r="DL286" s="171"/>
      <c r="DM286" s="172"/>
      <c r="DN286" s="172"/>
      <c r="DO286" s="172"/>
      <c r="DP286" s="172"/>
      <c r="DQ286" s="179"/>
      <c r="DR286" s="172"/>
      <c r="DS286" s="172"/>
      <c r="DT286" s="172"/>
      <c r="DU286" s="172"/>
      <c r="DV286" s="179"/>
      <c r="DW286" s="172"/>
      <c r="DX286" s="172"/>
      <c r="DY286" s="172"/>
      <c r="DZ286" s="172"/>
      <c r="EA286" s="179"/>
      <c r="EB286" s="172"/>
      <c r="EC286" s="172"/>
      <c r="ED286" s="172"/>
      <c r="EE286" s="172"/>
      <c r="EF286" s="179"/>
      <c r="EG286" s="172"/>
      <c r="EH286" s="172"/>
      <c r="EI286" s="172"/>
      <c r="EJ286" s="172"/>
      <c r="EK286" s="179"/>
      <c r="EL286" s="172"/>
      <c r="EM286" s="172"/>
      <c r="EN286" s="172"/>
      <c r="EO286" s="172"/>
      <c r="EP286" s="179"/>
      <c r="EQ286" s="172"/>
      <c r="ER286" s="172"/>
      <c r="ES286" s="172"/>
      <c r="ET286" s="172"/>
      <c r="EU286" s="179"/>
      <c r="EV286" s="172"/>
      <c r="EW286" s="172"/>
      <c r="EX286" s="172"/>
      <c r="EY286" s="172"/>
      <c r="EZ286" s="179"/>
      <c r="FA286" s="172"/>
      <c r="FB286" s="172"/>
      <c r="FC286" s="172"/>
      <c r="FD286" s="172"/>
      <c r="FE286" s="179"/>
      <c r="FF286" s="818"/>
      <c r="FG286" s="660"/>
      <c r="FH286" s="1083"/>
      <c r="FI286" s="1083"/>
      <c r="FJ286" s="1083"/>
      <c r="FK286" s="1083"/>
      <c r="FL286" s="1850"/>
      <c r="FM286" s="1785"/>
      <c r="FN286" s="1785"/>
      <c r="FO286" s="1785"/>
      <c r="FP286" s="1785"/>
      <c r="FQ286" s="1785"/>
      <c r="FR286" s="605"/>
      <c r="FS286" s="605"/>
      <c r="FT286" s="605"/>
      <c r="FU286" s="605"/>
      <c r="FV286" s="605"/>
      <c r="FW286" s="605"/>
      <c r="FX286" s="605"/>
      <c r="FY286" s="605"/>
      <c r="FZ286" s="605"/>
      <c r="GA286" s="660"/>
      <c r="GB286"/>
      <c r="GC286"/>
      <c r="GD286"/>
      <c r="GE286"/>
      <c r="GF286"/>
      <c r="GG286"/>
      <c r="GH286" s="1005"/>
      <c r="GI286" s="1005"/>
      <c r="GJ286" s="1005"/>
      <c r="GK286" s="1005"/>
      <c r="GL286" s="1005"/>
      <c r="GM286" s="1005"/>
      <c r="GN286" s="1005"/>
      <c r="GO286" s="1005"/>
      <c r="GP286" s="1005"/>
      <c r="GQ286" s="1005"/>
      <c r="GR286" s="1005"/>
      <c r="GS286" s="1005"/>
      <c r="GT286" s="1005"/>
      <c r="GU286" s="1005"/>
      <c r="GV286" s="1005"/>
      <c r="GW286" s="1005"/>
      <c r="GX286" s="1005"/>
      <c r="GY286" s="1005"/>
      <c r="GZ286" s="1005"/>
      <c r="HA286" s="1005"/>
      <c r="HB286" s="1005"/>
      <c r="HC286" s="1005"/>
      <c r="HD286" s="1005"/>
      <c r="HE286" s="1005"/>
      <c r="HF286" s="1005"/>
      <c r="HG286" s="1005"/>
      <c r="HH286" s="1005"/>
      <c r="HI286" s="1005"/>
      <c r="HJ286" s="1005"/>
      <c r="HK286" s="1005"/>
      <c r="HL286" s="1005"/>
      <c r="HM286" s="1005"/>
      <c r="HN286" s="1005"/>
      <c r="HO286" s="1005"/>
      <c r="HP286" s="1005"/>
      <c r="HQ286" s="1005"/>
      <c r="HR286" s="1005"/>
      <c r="HS286" s="1005"/>
      <c r="HT286" s="1005"/>
      <c r="HU286" s="1005"/>
      <c r="HV286" s="1005"/>
      <c r="HW286" s="1005"/>
      <c r="HX286" s="1005"/>
      <c r="HY286" s="1005"/>
      <c r="HZ286" s="1005"/>
      <c r="IA286" s="1005"/>
      <c r="IB286" s="1005"/>
      <c r="IC286" s="1005"/>
      <c r="ID286" s="1005"/>
      <c r="IE286" s="1005"/>
      <c r="IF286" s="1005"/>
      <c r="IG286" s="1005"/>
      <c r="IH286" s="1005"/>
      <c r="II286" s="1005"/>
      <c r="IJ286" s="1005"/>
      <c r="IK286" s="1005"/>
      <c r="IL286" s="1005"/>
      <c r="IM286" s="1005"/>
      <c r="IN286" s="1005"/>
      <c r="IO286" s="1005"/>
      <c r="IP286" s="1005"/>
      <c r="IQ286" s="1005"/>
      <c r="IR286" s="1005"/>
      <c r="IS286" s="1005"/>
      <c r="IT286" s="1005"/>
      <c r="IU286" s="1005"/>
      <c r="IV286" s="1005"/>
    </row>
    <row r="287" spans="1:256" s="160" customFormat="1" ht="12.75" x14ac:dyDescent="0.2">
      <c r="A287" s="180" t="s">
        <v>602</v>
      </c>
      <c r="B287" s="158"/>
      <c r="C287" s="158"/>
      <c r="D287" s="158"/>
      <c r="E287" s="223"/>
      <c r="F287" s="159"/>
      <c r="G287" s="158"/>
      <c r="H287" s="158"/>
      <c r="I287" s="158"/>
      <c r="J287" s="223"/>
      <c r="K287" s="159"/>
      <c r="L287" s="158"/>
      <c r="M287" s="158"/>
      <c r="N287" s="158"/>
      <c r="O287" s="223"/>
      <c r="P287" s="159"/>
      <c r="Q287" s="158"/>
      <c r="R287" s="158"/>
      <c r="S287" s="158"/>
      <c r="T287" s="223"/>
      <c r="U287" s="159"/>
      <c r="V287" s="158"/>
      <c r="W287" s="158"/>
      <c r="X287" s="158"/>
      <c r="Y287" s="223"/>
      <c r="Z287" s="159"/>
      <c r="AA287" s="158"/>
      <c r="AB287" s="158"/>
      <c r="AC287" s="158"/>
      <c r="AD287" s="223"/>
      <c r="AE287" s="159"/>
      <c r="AF287" s="158"/>
      <c r="AG287" s="158"/>
      <c r="AH287" s="158"/>
      <c r="AI287" s="223"/>
      <c r="AJ287" s="159"/>
      <c r="AK287" s="158"/>
      <c r="AL287" s="158"/>
      <c r="AM287" s="158"/>
      <c r="AN287" s="223"/>
      <c r="AO287" s="159"/>
      <c r="AP287" s="158"/>
      <c r="AQ287" s="158"/>
      <c r="AR287" s="158"/>
      <c r="AS287" s="223"/>
      <c r="AT287" s="159">
        <f>AT285+AT286</f>
        <v>432</v>
      </c>
      <c r="AU287" s="158"/>
      <c r="AV287" s="158"/>
      <c r="AW287" s="158"/>
      <c r="AX287" s="223"/>
      <c r="AY287" s="159">
        <f>AY285+AY286</f>
        <v>450</v>
      </c>
      <c r="AZ287" s="158"/>
      <c r="BA287" s="158"/>
      <c r="BB287" s="158"/>
      <c r="BC287" s="223"/>
      <c r="BD287" s="159">
        <f>BD285+BD286</f>
        <v>489</v>
      </c>
      <c r="BE287" s="158"/>
      <c r="BF287" s="158"/>
      <c r="BG287" s="158"/>
      <c r="BH287" s="223"/>
      <c r="BI287" s="159">
        <f>BI285+BI286</f>
        <v>517</v>
      </c>
      <c r="BJ287" s="158"/>
      <c r="BK287" s="158"/>
      <c r="BL287" s="158"/>
      <c r="BM287" s="223"/>
      <c r="BN287" s="159">
        <f>BN285+BN286</f>
        <v>527</v>
      </c>
      <c r="BO287" s="158"/>
      <c r="BP287" s="158"/>
      <c r="BQ287" s="158"/>
      <c r="BR287" s="223"/>
      <c r="BS287" s="159">
        <f>BS285+BS286</f>
        <v>529</v>
      </c>
      <c r="BT287" s="158"/>
      <c r="BU287" s="158"/>
      <c r="BV287" s="158"/>
      <c r="BW287" s="223"/>
      <c r="BX287" s="159">
        <f>BX285+BX286</f>
        <v>528</v>
      </c>
      <c r="BY287" s="158"/>
      <c r="BZ287" s="158"/>
      <c r="CA287" s="158"/>
      <c r="CB287" s="223"/>
      <c r="CC287" s="159">
        <f>CC285+CC286</f>
        <v>609</v>
      </c>
      <c r="CD287" s="158"/>
      <c r="CE287" s="158"/>
      <c r="CF287" s="158"/>
      <c r="CG287" s="223"/>
      <c r="CH287" s="159">
        <f>CH285+CH286</f>
        <v>787</v>
      </c>
      <c r="CI287" s="158"/>
      <c r="CJ287" s="158"/>
      <c r="CK287" s="158"/>
      <c r="CL287" s="223"/>
      <c r="CM287" s="159">
        <f>CM285+CM286</f>
        <v>750</v>
      </c>
      <c r="CN287" s="158"/>
      <c r="CO287" s="158"/>
      <c r="CP287" s="158"/>
      <c r="CQ287" s="223"/>
      <c r="CR287" s="159">
        <f>CR285+CR286</f>
        <v>786</v>
      </c>
      <c r="CS287" s="158"/>
      <c r="CT287" s="158"/>
      <c r="CU287" s="158"/>
      <c r="CV287" s="223"/>
      <c r="CW287" s="159">
        <f>CW285+CW286</f>
        <v>815</v>
      </c>
      <c r="CX287" s="158"/>
      <c r="CY287" s="158"/>
      <c r="CZ287" s="158"/>
      <c r="DA287" s="158"/>
      <c r="DB287" s="159">
        <f>DB285+DB286</f>
        <v>845</v>
      </c>
      <c r="DC287" s="158"/>
      <c r="DD287" s="158"/>
      <c r="DE287" s="158"/>
      <c r="DF287" s="158"/>
      <c r="DG287" s="159">
        <f>DG285+DG286</f>
        <v>826</v>
      </c>
      <c r="DH287" s="158"/>
      <c r="DI287" s="158"/>
      <c r="DJ287" s="158"/>
      <c r="DK287" s="158"/>
      <c r="DL287" s="48">
        <f>DL285+DL286</f>
        <v>869</v>
      </c>
      <c r="DM287" s="20">
        <f>DM285+DM286</f>
        <v>224</v>
      </c>
      <c r="DN287" s="20">
        <f>DN285+DN286</f>
        <v>229</v>
      </c>
      <c r="DO287" s="20"/>
      <c r="DP287" s="20"/>
      <c r="DQ287" s="48">
        <f t="shared" ref="DQ287:DY287" si="1024">DQ285+DQ286</f>
        <v>916</v>
      </c>
      <c r="DR287" s="20">
        <f t="shared" si="1024"/>
        <v>227</v>
      </c>
      <c r="DS287" s="20">
        <f t="shared" si="1024"/>
        <v>226</v>
      </c>
      <c r="DT287" s="20">
        <f t="shared" si="1024"/>
        <v>230</v>
      </c>
      <c r="DU287" s="20">
        <f t="shared" si="1024"/>
        <v>233</v>
      </c>
      <c r="DV287" s="48">
        <f t="shared" si="1024"/>
        <v>922</v>
      </c>
      <c r="DW287" s="20">
        <f t="shared" si="1024"/>
        <v>237</v>
      </c>
      <c r="DX287" s="20">
        <f t="shared" si="1024"/>
        <v>238</v>
      </c>
      <c r="DY287" s="20">
        <f t="shared" si="1024"/>
        <v>236</v>
      </c>
      <c r="DZ287" s="20">
        <f t="shared" ref="DZ287:EH287" si="1025">DZ285+DZ286</f>
        <v>240</v>
      </c>
      <c r="EA287" s="48">
        <f t="shared" si="1025"/>
        <v>956</v>
      </c>
      <c r="EB287" s="20">
        <f t="shared" si="1025"/>
        <v>245</v>
      </c>
      <c r="EC287" s="20">
        <f t="shared" si="1025"/>
        <v>247</v>
      </c>
      <c r="ED287" s="20">
        <f t="shared" si="1025"/>
        <v>275</v>
      </c>
      <c r="EE287" s="20">
        <f t="shared" si="1025"/>
        <v>287</v>
      </c>
      <c r="EF287" s="48">
        <f t="shared" si="1025"/>
        <v>1059</v>
      </c>
      <c r="EG287" s="20">
        <f>EG285+EG286</f>
        <v>253</v>
      </c>
      <c r="EH287" s="20">
        <f t="shared" si="1025"/>
        <v>257</v>
      </c>
      <c r="EI287" s="20">
        <f>EI285+EI286</f>
        <v>258</v>
      </c>
      <c r="EJ287" s="20">
        <f t="shared" ref="EJ287" si="1026">EJ285+EJ286</f>
        <v>259</v>
      </c>
      <c r="EK287" s="48">
        <f>EK285+EK286</f>
        <v>1027</v>
      </c>
      <c r="EL287" s="20">
        <f>EL285+EL286</f>
        <v>260</v>
      </c>
      <c r="EM287" s="20">
        <f t="shared" ref="EM287" si="1027">EM285+EM286</f>
        <v>264</v>
      </c>
      <c r="EN287" s="20">
        <f>EN285+EN286</f>
        <v>265</v>
      </c>
      <c r="EO287" s="20">
        <f t="shared" ref="EO287" si="1028">EO285+EO286</f>
        <v>267</v>
      </c>
      <c r="EP287" s="48">
        <f>EP285+EP286</f>
        <v>1056</v>
      </c>
      <c r="EQ287" s="20"/>
      <c r="ER287" s="20"/>
      <c r="ES287" s="20"/>
      <c r="ET287" s="20"/>
      <c r="EU287" s="48">
        <f>EU285+EU286</f>
        <v>1100</v>
      </c>
      <c r="EV287" s="20"/>
      <c r="EW287" s="20"/>
      <c r="EX287" s="20"/>
      <c r="EY287" s="20"/>
      <c r="EZ287" s="48">
        <f>EZ285+EZ286</f>
        <v>1138.5</v>
      </c>
      <c r="FA287" s="20"/>
      <c r="FB287" s="20"/>
      <c r="FC287" s="20"/>
      <c r="FD287" s="20"/>
      <c r="FE287" s="48">
        <f>FE285+FE286</f>
        <v>1178.3474999999999</v>
      </c>
      <c r="FF287" s="819"/>
      <c r="FG287" s="660"/>
      <c r="FH287" s="1084"/>
      <c r="FI287" s="1084"/>
      <c r="FJ287" s="1084"/>
      <c r="FK287" s="1084"/>
      <c r="FL287" s="1851"/>
      <c r="FM287" s="1786"/>
      <c r="FN287" s="1786"/>
      <c r="FO287" s="1786"/>
      <c r="FP287" s="1786"/>
      <c r="FQ287" s="1786"/>
      <c r="FR287" s="606"/>
      <c r="FS287" s="606"/>
      <c r="FT287" s="606"/>
      <c r="FU287" s="606"/>
      <c r="FV287" s="606"/>
      <c r="FW287" s="606"/>
      <c r="FX287" s="606"/>
      <c r="FY287" s="606"/>
      <c r="FZ287" s="606"/>
      <c r="GA287" s="660"/>
      <c r="GB287"/>
      <c r="GC287"/>
      <c r="GD287"/>
      <c r="GE287"/>
      <c r="GF287"/>
      <c r="GG287"/>
      <c r="GH287" s="993"/>
      <c r="GI287" s="993"/>
      <c r="GJ287" s="993"/>
      <c r="GK287" s="993"/>
      <c r="GL287" s="993"/>
      <c r="GM287" s="993"/>
      <c r="GN287" s="993"/>
      <c r="GO287" s="993"/>
      <c r="GP287" s="993"/>
      <c r="GQ287" s="993"/>
      <c r="GR287" s="993"/>
      <c r="GS287" s="993"/>
      <c r="GT287" s="993"/>
      <c r="GU287" s="993"/>
      <c r="GV287" s="993"/>
      <c r="GW287" s="993"/>
      <c r="GX287" s="993"/>
      <c r="GY287" s="993"/>
      <c r="GZ287" s="993"/>
      <c r="HA287" s="993"/>
      <c r="HB287" s="993"/>
      <c r="HC287" s="993"/>
      <c r="HD287" s="993"/>
      <c r="HE287" s="993"/>
      <c r="HF287" s="993"/>
      <c r="HG287" s="993"/>
      <c r="HH287" s="993"/>
      <c r="HI287" s="993"/>
      <c r="HJ287" s="993"/>
      <c r="HK287" s="993"/>
      <c r="HL287" s="993"/>
      <c r="HM287" s="993"/>
      <c r="HN287" s="993"/>
      <c r="HO287" s="993"/>
      <c r="HP287" s="993"/>
      <c r="HQ287" s="993"/>
      <c r="HR287" s="993"/>
      <c r="HS287" s="993"/>
      <c r="HT287" s="993"/>
      <c r="HU287" s="993"/>
      <c r="HV287" s="993"/>
      <c r="HW287" s="993"/>
      <c r="HX287" s="993"/>
      <c r="HY287" s="993"/>
      <c r="HZ287" s="993"/>
      <c r="IA287" s="993"/>
      <c r="IB287" s="993"/>
      <c r="IC287" s="993"/>
      <c r="ID287" s="993"/>
      <c r="IE287" s="993"/>
      <c r="IF287" s="993"/>
      <c r="IG287" s="993"/>
      <c r="IH287" s="993"/>
      <c r="II287" s="993"/>
      <c r="IJ287" s="993"/>
      <c r="IK287" s="993"/>
      <c r="IL287" s="993"/>
      <c r="IM287" s="993"/>
      <c r="IN287" s="993"/>
      <c r="IO287" s="993"/>
      <c r="IP287" s="993"/>
      <c r="IQ287" s="993"/>
      <c r="IR287" s="993"/>
      <c r="IS287" s="993"/>
      <c r="IT287" s="993"/>
      <c r="IU287" s="993"/>
      <c r="IV287" s="993"/>
    </row>
    <row r="288" spans="1:256" s="157" customFormat="1" ht="12.75" x14ac:dyDescent="0.2">
      <c r="A288" s="180" t="s">
        <v>633</v>
      </c>
      <c r="B288" s="158"/>
      <c r="C288" s="158"/>
      <c r="D288" s="158"/>
      <c r="E288" s="223"/>
      <c r="F288" s="159"/>
      <c r="G288" s="158"/>
      <c r="H288" s="158"/>
      <c r="I288" s="158"/>
      <c r="J288" s="223"/>
      <c r="K288" s="159"/>
      <c r="L288" s="158"/>
      <c r="M288" s="158"/>
      <c r="N288" s="158"/>
      <c r="O288" s="223"/>
      <c r="P288" s="159"/>
      <c r="Q288" s="158"/>
      <c r="R288" s="158"/>
      <c r="S288" s="158"/>
      <c r="T288" s="223"/>
      <c r="U288" s="159"/>
      <c r="V288" s="158"/>
      <c r="W288" s="158"/>
      <c r="X288" s="158"/>
      <c r="Y288" s="223"/>
      <c r="Z288" s="159"/>
      <c r="AA288" s="158"/>
      <c r="AB288" s="158"/>
      <c r="AC288" s="158"/>
      <c r="AD288" s="223"/>
      <c r="AE288" s="159"/>
      <c r="AF288" s="158"/>
      <c r="AG288" s="158"/>
      <c r="AH288" s="158"/>
      <c r="AI288" s="223"/>
      <c r="AJ288" s="159"/>
      <c r="AK288" s="158"/>
      <c r="AL288" s="158"/>
      <c r="AM288" s="158"/>
      <c r="AN288" s="223"/>
      <c r="AO288" s="159"/>
      <c r="AP288" s="158"/>
      <c r="AQ288" s="158"/>
      <c r="AR288" s="158"/>
      <c r="AS288" s="223"/>
      <c r="AT288" s="159">
        <v>75</v>
      </c>
      <c r="AU288" s="158"/>
      <c r="AV288" s="158"/>
      <c r="AW288" s="158"/>
      <c r="AX288" s="223"/>
      <c r="AY288" s="159">
        <v>114</v>
      </c>
      <c r="AZ288" s="158"/>
      <c r="BA288" s="158"/>
      <c r="BB288" s="158"/>
      <c r="BC288" s="223"/>
      <c r="BD288" s="159">
        <v>85</v>
      </c>
      <c r="BE288" s="158"/>
      <c r="BF288" s="158"/>
      <c r="BG288" s="158"/>
      <c r="BH288" s="223"/>
      <c r="BI288" s="159">
        <v>2</v>
      </c>
      <c r="BJ288" s="158"/>
      <c r="BK288" s="158"/>
      <c r="BL288" s="158"/>
      <c r="BM288" s="223"/>
      <c r="BN288" s="159">
        <v>44</v>
      </c>
      <c r="BO288" s="158"/>
      <c r="BP288" s="158"/>
      <c r="BQ288" s="158"/>
      <c r="BR288" s="223"/>
      <c r="BS288" s="159">
        <v>178</v>
      </c>
      <c r="BT288" s="158"/>
      <c r="BU288" s="158"/>
      <c r="BV288" s="158"/>
      <c r="BW288" s="223"/>
      <c r="BX288" s="159">
        <v>132</v>
      </c>
      <c r="BY288" s="158"/>
      <c r="BZ288" s="158"/>
      <c r="CA288" s="158"/>
      <c r="CB288" s="223"/>
      <c r="CC288" s="159">
        <v>200</v>
      </c>
      <c r="CD288" s="158"/>
      <c r="CE288" s="158"/>
      <c r="CF288" s="158"/>
      <c r="CG288" s="223"/>
      <c r="CH288" s="159">
        <v>80</v>
      </c>
      <c r="CI288" s="158"/>
      <c r="CJ288" s="158"/>
      <c r="CK288" s="158"/>
      <c r="CL288" s="223"/>
      <c r="CM288" s="159">
        <v>-8</v>
      </c>
      <c r="CN288" s="158"/>
      <c r="CO288" s="158"/>
      <c r="CP288" s="158"/>
      <c r="CQ288" s="223"/>
      <c r="CR288" s="159">
        <v>125</v>
      </c>
      <c r="CS288" s="158"/>
      <c r="CT288" s="158"/>
      <c r="CU288" s="158"/>
      <c r="CV288" s="223"/>
      <c r="CW288" s="159">
        <v>290</v>
      </c>
      <c r="CX288" s="156"/>
      <c r="CY288" s="156"/>
      <c r="CZ288" s="156"/>
      <c r="DA288" s="158"/>
      <c r="DB288" s="159">
        <v>338</v>
      </c>
      <c r="DC288" s="156"/>
      <c r="DD288" s="156"/>
      <c r="DE288" s="156"/>
      <c r="DF288" s="158"/>
      <c r="DG288" s="159">
        <v>312</v>
      </c>
      <c r="DH288" s="158"/>
      <c r="DI288" s="156"/>
      <c r="DJ288" s="156"/>
      <c r="DK288" s="158"/>
      <c r="DL288" s="48">
        <v>527</v>
      </c>
      <c r="DM288" s="20">
        <v>88</v>
      </c>
      <c r="DN288" s="172">
        <f>138-DM288</f>
        <v>50</v>
      </c>
      <c r="DO288" s="172"/>
      <c r="DP288" s="20"/>
      <c r="DQ288" s="48">
        <v>366</v>
      </c>
      <c r="DR288" s="20">
        <v>74</v>
      </c>
      <c r="DS288" s="172">
        <f>143-DR288</f>
        <v>69</v>
      </c>
      <c r="DT288" s="172">
        <f>215-SUM(DR288:DS288)</f>
        <v>72</v>
      </c>
      <c r="DU288" s="20">
        <f>DV288-SUM(DR288:DT288)</f>
        <v>47</v>
      </c>
      <c r="DV288" s="171">
        <v>262</v>
      </c>
      <c r="DW288" s="20">
        <v>-8</v>
      </c>
      <c r="DX288" s="20">
        <f>17-DW288</f>
        <v>25</v>
      </c>
      <c r="DY288" s="20">
        <f>21-SUM(DW288:DX288)</f>
        <v>4</v>
      </c>
      <c r="DZ288" s="20">
        <f>EA288-SUM(DW288:DY288)</f>
        <v>273</v>
      </c>
      <c r="EA288" s="171">
        <v>294</v>
      </c>
      <c r="EB288" s="20">
        <v>12</v>
      </c>
      <c r="EC288" s="20">
        <f>35-EB288</f>
        <v>23</v>
      </c>
      <c r="ED288" s="20">
        <f>56-SUM(EB288:EC288)</f>
        <v>21</v>
      </c>
      <c r="EE288" s="20">
        <f>EF288-SUM(EB288:ED288)</f>
        <v>264</v>
      </c>
      <c r="EF288" s="171">
        <v>320</v>
      </c>
      <c r="EG288" s="20">
        <v>44</v>
      </c>
      <c r="EH288" s="20">
        <f>101-EG288</f>
        <v>57</v>
      </c>
      <c r="EI288" s="20">
        <f>117-SUM(EG288:EH288)</f>
        <v>16</v>
      </c>
      <c r="EJ288" s="20">
        <f>EK288-SUM(EG288:EI288)</f>
        <v>110</v>
      </c>
      <c r="EK288" s="171">
        <v>227</v>
      </c>
      <c r="EL288" s="20">
        <v>56</v>
      </c>
      <c r="EM288" s="20">
        <f>114-EL288</f>
        <v>58</v>
      </c>
      <c r="EN288" s="20">
        <f>219-SUM(EL288:EM288)</f>
        <v>105</v>
      </c>
      <c r="EO288" s="20">
        <f>EP288-SUM(EL288:EN288)</f>
        <v>258</v>
      </c>
      <c r="EP288" s="171">
        <v>477</v>
      </c>
      <c r="EQ288" s="172"/>
      <c r="ER288" s="172"/>
      <c r="ES288" s="172"/>
      <c r="ET288" s="172"/>
      <c r="EU288" s="171">
        <f>EU289*EU249</f>
        <v>146.54473247299754</v>
      </c>
      <c r="EV288" s="172"/>
      <c r="EW288" s="172"/>
      <c r="EX288" s="172"/>
      <c r="EY288" s="172"/>
      <c r="EZ288" s="171">
        <f>EZ289*EZ249</f>
        <v>153.35279895974702</v>
      </c>
      <c r="FA288" s="172"/>
      <c r="FB288" s="172"/>
      <c r="FC288" s="172"/>
      <c r="FD288" s="172"/>
      <c r="FE288" s="171">
        <f>FE289*FE249</f>
        <v>161.33265404972067</v>
      </c>
      <c r="FF288" s="818"/>
      <c r="FG288" s="660"/>
      <c r="FH288" s="1083"/>
      <c r="FI288" s="1083"/>
      <c r="FJ288" s="1083"/>
      <c r="FK288" s="1083"/>
      <c r="FL288" s="1850"/>
      <c r="FM288" s="1785"/>
      <c r="FN288" s="1785"/>
      <c r="FO288" s="1785"/>
      <c r="FP288" s="1785"/>
      <c r="FQ288" s="1785"/>
      <c r="FR288" s="605"/>
      <c r="FS288" s="605"/>
      <c r="FT288" s="605"/>
      <c r="FU288" s="605"/>
      <c r="FV288" s="605"/>
      <c r="FW288" s="605"/>
      <c r="FX288" s="605"/>
      <c r="FY288" s="605"/>
      <c r="FZ288" s="605"/>
      <c r="GA288" s="660"/>
      <c r="GB288"/>
      <c r="GC288"/>
      <c r="GD288"/>
      <c r="GE288"/>
      <c r="GF288"/>
      <c r="GG288"/>
      <c r="GH288" s="1005"/>
      <c r="GI288" s="1005"/>
      <c r="GJ288" s="1005"/>
      <c r="GK288" s="1005"/>
      <c r="GL288" s="1005"/>
      <c r="GM288" s="1005"/>
      <c r="GN288" s="1005"/>
      <c r="GO288" s="1005"/>
      <c r="GP288" s="1005"/>
      <c r="GQ288" s="1005"/>
      <c r="GR288" s="1005"/>
      <c r="GS288" s="1005"/>
      <c r="GT288" s="1005"/>
      <c r="GU288" s="1005"/>
      <c r="GV288" s="1005"/>
      <c r="GW288" s="1005"/>
      <c r="GX288" s="1005"/>
      <c r="GY288" s="1005"/>
      <c r="GZ288" s="1005"/>
      <c r="HA288" s="1005"/>
      <c r="HB288" s="1005"/>
      <c r="HC288" s="1005"/>
      <c r="HD288" s="1005"/>
      <c r="HE288" s="1005"/>
      <c r="HF288" s="1005"/>
      <c r="HG288" s="1005"/>
      <c r="HH288" s="1005"/>
      <c r="HI288" s="1005"/>
      <c r="HJ288" s="1005"/>
      <c r="HK288" s="1005"/>
      <c r="HL288" s="1005"/>
      <c r="HM288" s="1005"/>
      <c r="HN288" s="1005"/>
      <c r="HO288" s="1005"/>
      <c r="HP288" s="1005"/>
      <c r="HQ288" s="1005"/>
      <c r="HR288" s="1005"/>
      <c r="HS288" s="1005"/>
      <c r="HT288" s="1005"/>
      <c r="HU288" s="1005"/>
      <c r="HV288" s="1005"/>
      <c r="HW288" s="1005"/>
      <c r="HX288" s="1005"/>
      <c r="HY288" s="1005"/>
      <c r="HZ288" s="1005"/>
      <c r="IA288" s="1005"/>
      <c r="IB288" s="1005"/>
      <c r="IC288" s="1005"/>
      <c r="ID288" s="1005"/>
      <c r="IE288" s="1005"/>
      <c r="IF288" s="1005"/>
      <c r="IG288" s="1005"/>
      <c r="IH288" s="1005"/>
      <c r="II288" s="1005"/>
      <c r="IJ288" s="1005"/>
      <c r="IK288" s="1005"/>
      <c r="IL288" s="1005"/>
      <c r="IM288" s="1005"/>
      <c r="IN288" s="1005"/>
      <c r="IO288" s="1005"/>
      <c r="IP288" s="1005"/>
      <c r="IQ288" s="1005"/>
      <c r="IR288" s="1005"/>
      <c r="IS288" s="1005"/>
      <c r="IT288" s="1005"/>
      <c r="IU288" s="1005"/>
      <c r="IV288" s="1005"/>
    </row>
    <row r="289" spans="1:256" s="1182" customFormat="1" ht="12.75" x14ac:dyDescent="0.2">
      <c r="A289" s="271" t="s">
        <v>124</v>
      </c>
      <c r="B289" s="1166"/>
      <c r="C289" s="1166"/>
      <c r="D289" s="1166"/>
      <c r="E289" s="1176"/>
      <c r="F289" s="21"/>
      <c r="G289" s="1166"/>
      <c r="H289" s="1166"/>
      <c r="I289" s="1166"/>
      <c r="J289" s="1176"/>
      <c r="K289" s="21"/>
      <c r="L289" s="1166"/>
      <c r="M289" s="1166"/>
      <c r="N289" s="1166"/>
      <c r="O289" s="1176"/>
      <c r="P289" s="21"/>
      <c r="Q289" s="1166"/>
      <c r="R289" s="1166"/>
      <c r="S289" s="1166"/>
      <c r="T289" s="1176"/>
      <c r="U289" s="21"/>
      <c r="V289" s="1166"/>
      <c r="W289" s="1166"/>
      <c r="X289" s="1166"/>
      <c r="Y289" s="1176"/>
      <c r="Z289" s="21"/>
      <c r="AA289" s="1166"/>
      <c r="AB289" s="1166"/>
      <c r="AC289" s="1166"/>
      <c r="AD289" s="1176"/>
      <c r="AE289" s="21"/>
      <c r="AF289" s="1166"/>
      <c r="AG289" s="1166"/>
      <c r="AH289" s="1166"/>
      <c r="AI289" s="1176"/>
      <c r="AJ289" s="21"/>
      <c r="AK289" s="1166"/>
      <c r="AL289" s="1166"/>
      <c r="AM289" s="1166"/>
      <c r="AN289" s="1176"/>
      <c r="AO289" s="21"/>
      <c r="AP289" s="1166"/>
      <c r="AQ289" s="1166"/>
      <c r="AR289" s="1166"/>
      <c r="AS289" s="1176"/>
      <c r="AT289" s="21"/>
      <c r="AU289" s="1166"/>
      <c r="AV289" s="1166"/>
      <c r="AW289" s="1166"/>
      <c r="AX289" s="1176"/>
      <c r="AY289" s="21"/>
      <c r="AZ289" s="1166"/>
      <c r="BA289" s="1166"/>
      <c r="BB289" s="1166"/>
      <c r="BC289" s="1176"/>
      <c r="BD289" s="21"/>
      <c r="BE289" s="1166"/>
      <c r="BF289" s="1166"/>
      <c r="BG289" s="1166"/>
      <c r="BH289" s="1176"/>
      <c r="BI289" s="21">
        <f>BI288/Model!BI249</f>
        <v>1.8207687331023004E-2</v>
      </c>
      <c r="BJ289" s="1166"/>
      <c r="BK289" s="1166"/>
      <c r="BL289" s="1166"/>
      <c r="BM289" s="1176"/>
      <c r="BN289" s="21">
        <f>BN288/Model!BN249</f>
        <v>0.24070021881838072</v>
      </c>
      <c r="BO289" s="1166"/>
      <c r="BP289" s="1166"/>
      <c r="BQ289" s="1166"/>
      <c r="BR289" s="1176"/>
      <c r="BS289" s="21">
        <f>BS288/Model!BS249</f>
        <v>0.72357723577235777</v>
      </c>
      <c r="BT289" s="1166"/>
      <c r="BU289" s="1166"/>
      <c r="BV289" s="1166"/>
      <c r="BW289" s="1176"/>
      <c r="BX289" s="21">
        <f>BX288/Model!BX249</f>
        <v>0.532258064516129</v>
      </c>
      <c r="BY289" s="1166"/>
      <c r="BZ289" s="1166"/>
      <c r="CA289" s="1166"/>
      <c r="CB289" s="1176"/>
      <c r="CC289" s="21">
        <f>CC288/Model!CC249</f>
        <v>0.52770448548812665</v>
      </c>
      <c r="CD289" s="1166"/>
      <c r="CE289" s="1166"/>
      <c r="CF289" s="1166"/>
      <c r="CG289" s="1176"/>
      <c r="CH289" s="21">
        <f>CH288/Model!CH249</f>
        <v>0.15984015984015984</v>
      </c>
      <c r="CI289" s="1166"/>
      <c r="CJ289" s="1166"/>
      <c r="CK289" s="1166"/>
      <c r="CL289" s="1176"/>
      <c r="CM289" s="21">
        <f>CM288/Model!CM249</f>
        <v>-1.0680907877169559E-2</v>
      </c>
      <c r="CN289" s="1166"/>
      <c r="CO289" s="1166"/>
      <c r="CP289" s="1166"/>
      <c r="CQ289" s="1176"/>
      <c r="CR289" s="21">
        <f>CR288/Model!CR249</f>
        <v>0.16578249336870027</v>
      </c>
      <c r="CS289" s="1166"/>
      <c r="CT289" s="1166"/>
      <c r="CU289" s="1166"/>
      <c r="CV289" s="1176"/>
      <c r="CW289" s="21">
        <f>CW288/Model!CW249</f>
        <v>0.2791004247971548</v>
      </c>
      <c r="CX289" s="1166"/>
      <c r="CY289" s="1166"/>
      <c r="CZ289" s="1166"/>
      <c r="DA289" s="1166"/>
      <c r="DB289" s="21">
        <f>DB288/Model!DB249</f>
        <v>0.57482993197278909</v>
      </c>
      <c r="DC289" s="1166"/>
      <c r="DD289" s="1166"/>
      <c r="DE289" s="1166"/>
      <c r="DF289" s="1166"/>
      <c r="DG289" s="21">
        <f>DG288/Model!DG249</f>
        <v>0.35454545454545455</v>
      </c>
      <c r="DH289" s="1166"/>
      <c r="DI289" s="1166"/>
      <c r="DJ289" s="1166"/>
      <c r="DK289" s="1166"/>
      <c r="DL289" s="21">
        <f>DL288/Model!DL249</f>
        <v>0.47996357012750457</v>
      </c>
      <c r="DM289" s="1166">
        <f>DM288/Model!DM249</f>
        <v>0.36065573770491804</v>
      </c>
      <c r="DN289" s="1166">
        <f>DN288/Model!DN249</f>
        <v>0.15673981191222572</v>
      </c>
      <c r="DO289" s="1166"/>
      <c r="DP289" s="1166"/>
      <c r="DQ289" s="21">
        <f>DQ288/Model!DQ249</f>
        <v>0.36273538156590684</v>
      </c>
      <c r="DR289" s="1166">
        <f>DR288/Model!DR249</f>
        <v>0.35154394299287411</v>
      </c>
      <c r="DS289" s="1166">
        <f>DS288/Model!DS249</f>
        <v>0.25367647058823528</v>
      </c>
      <c r="DT289" s="1166">
        <f>DT288/Model!DT249</f>
        <v>0.27067669172932329</v>
      </c>
      <c r="DU289" s="1166">
        <f>DU288/Model!DU249</f>
        <v>0.17407407407407408</v>
      </c>
      <c r="DV289" s="21">
        <f>DV288/Model!DV249</f>
        <v>0.25724104074619536</v>
      </c>
      <c r="DW289" s="1166">
        <f>DW288/Model!DW249</f>
        <v>-4.2895442359249331E-2</v>
      </c>
      <c r="DX289" s="1166">
        <f>DX288/Model!DX249</f>
        <v>7.4404761904761904E-2</v>
      </c>
      <c r="DY289" s="1166">
        <f>DY288/Model!DY249</f>
        <v>1.2012012012012012E-2</v>
      </c>
      <c r="DZ289" s="1166">
        <f>DZ288/Model!DZ249</f>
        <v>0.978494623655914</v>
      </c>
      <c r="EA289" s="21">
        <f>EA288/Model!EA249</f>
        <v>0.25914499779638606</v>
      </c>
      <c r="EB289" s="1166">
        <f>EB288/Model!EB249</f>
        <v>6.4864864864864868E-2</v>
      </c>
      <c r="EC289" s="1166">
        <f>EC288/Model!EC249</f>
        <v>8.646616541353383E-2</v>
      </c>
      <c r="ED289" s="1166">
        <f>ED288/Model!ED249</f>
        <v>7.720588235294118E-2</v>
      </c>
      <c r="EE289" s="1166">
        <f>EE288/Model!EE249</f>
        <v>1.6196319018404908</v>
      </c>
      <c r="EF289" s="21">
        <f>EF288/Model!EF249</f>
        <v>0.36117381489841988</v>
      </c>
      <c r="EG289" s="1166">
        <f>EG288/Model!EG249</f>
        <v>0.20657276995305165</v>
      </c>
      <c r="EH289" s="1166">
        <f>EH288/Model!EH249</f>
        <v>0.24653979238754326</v>
      </c>
      <c r="EI289" s="1166">
        <f>EI288/Model!EI249</f>
        <v>6.5199674001629987E-2</v>
      </c>
      <c r="EJ289" s="1166">
        <f>EJ288/Model!EJ249</f>
        <v>0.48888888888888887</v>
      </c>
      <c r="EK289" s="21">
        <f>EK288/Model!EK249</f>
        <v>0.24819593264815218</v>
      </c>
      <c r="EL289" s="1166">
        <f>EL288/Model!EL249</f>
        <v>0.25225225225225223</v>
      </c>
      <c r="EM289" s="1166">
        <f>EM288/Model!EM249</f>
        <v>0.20494699646643111</v>
      </c>
      <c r="EN289" s="1166">
        <f>EN288/Model!EN249</f>
        <v>0.35714285714285715</v>
      </c>
      <c r="EO289" s="1166">
        <f>EO288/Model!EO249</f>
        <v>1.0078125</v>
      </c>
      <c r="EP289" s="21">
        <f>EP288/Model!EP249</f>
        <v>0.45213270142180095</v>
      </c>
      <c r="EQ289" s="1177"/>
      <c r="ER289" s="1177"/>
      <c r="ES289" s="1177"/>
      <c r="ET289" s="1177"/>
      <c r="EU289" s="29">
        <v>0.2</v>
      </c>
      <c r="EV289" s="1177"/>
      <c r="EW289" s="1177"/>
      <c r="EX289" s="1177"/>
      <c r="EY289" s="1177"/>
      <c r="EZ289" s="29">
        <v>0.2</v>
      </c>
      <c r="FA289" s="1177"/>
      <c r="FB289" s="1177"/>
      <c r="FC289" s="1177"/>
      <c r="FD289" s="1177"/>
      <c r="FE289" s="29">
        <v>0.2</v>
      </c>
      <c r="FF289" s="1178"/>
      <c r="FG289" s="1102"/>
      <c r="FH289" s="1179"/>
      <c r="FI289" s="1179"/>
      <c r="FJ289" s="1179"/>
      <c r="FK289" s="1179"/>
      <c r="FL289" s="1852"/>
      <c r="FM289" s="1787"/>
      <c r="FN289" s="1787"/>
      <c r="FO289" s="1787"/>
      <c r="FP289" s="1787"/>
      <c r="FQ289" s="1787"/>
      <c r="FR289" s="1588"/>
      <c r="FS289" s="1180"/>
      <c r="FT289" s="1180"/>
      <c r="FU289" s="1180"/>
      <c r="FV289" s="1180"/>
      <c r="FW289" s="1180"/>
      <c r="FX289" s="1180"/>
      <c r="FY289" s="1180"/>
      <c r="FZ289" s="1180"/>
      <c r="GA289" s="1102"/>
      <c r="GB289"/>
      <c r="GC289"/>
      <c r="GD289"/>
      <c r="GE289"/>
      <c r="GF289"/>
      <c r="GG289"/>
      <c r="GH289" s="1181"/>
      <c r="GI289" s="1181"/>
      <c r="GJ289" s="1181"/>
      <c r="GK289" s="1181"/>
      <c r="GL289" s="1181"/>
      <c r="GM289" s="1181"/>
      <c r="GN289" s="1181"/>
      <c r="GO289" s="1181"/>
      <c r="GP289" s="1181"/>
      <c r="GQ289" s="1181"/>
      <c r="GR289" s="1181"/>
      <c r="GS289" s="1181"/>
      <c r="GT289" s="1181"/>
      <c r="GU289" s="1181"/>
      <c r="GV289" s="1181"/>
      <c r="GW289" s="1181"/>
      <c r="GX289" s="1181"/>
      <c r="GY289" s="1181"/>
      <c r="GZ289" s="1181"/>
      <c r="HA289" s="1181"/>
      <c r="HB289" s="1181"/>
      <c r="HC289" s="1181"/>
      <c r="HD289" s="1181"/>
      <c r="HE289" s="1181"/>
      <c r="HF289" s="1181"/>
      <c r="HG289" s="1181"/>
      <c r="HH289" s="1181"/>
      <c r="HI289" s="1181"/>
      <c r="HJ289" s="1181"/>
      <c r="HK289" s="1181"/>
      <c r="HL289" s="1181"/>
      <c r="HM289" s="1181"/>
      <c r="HN289" s="1181"/>
      <c r="HO289" s="1181"/>
      <c r="HP289" s="1181"/>
      <c r="HQ289" s="1181"/>
      <c r="HR289" s="1181"/>
      <c r="HS289" s="1181"/>
      <c r="HT289" s="1181"/>
      <c r="HU289" s="1181"/>
      <c r="HV289" s="1181"/>
      <c r="HW289" s="1181"/>
      <c r="HX289" s="1181"/>
      <c r="HY289" s="1181"/>
      <c r="HZ289" s="1181"/>
      <c r="IA289" s="1181"/>
      <c r="IB289" s="1181"/>
      <c r="IC289" s="1181"/>
      <c r="ID289" s="1181"/>
      <c r="IE289" s="1181"/>
      <c r="IF289" s="1181"/>
      <c r="IG289" s="1181"/>
      <c r="IH289" s="1181"/>
      <c r="II289" s="1181"/>
      <c r="IJ289" s="1181"/>
      <c r="IK289" s="1181"/>
      <c r="IL289" s="1181"/>
      <c r="IM289" s="1181"/>
      <c r="IN289" s="1181"/>
      <c r="IO289" s="1181"/>
      <c r="IP289" s="1181"/>
      <c r="IQ289" s="1181"/>
      <c r="IR289" s="1181"/>
      <c r="IS289" s="1181"/>
      <c r="IT289" s="1181"/>
      <c r="IU289" s="1181"/>
      <c r="IV289" s="1181"/>
    </row>
    <row r="290" spans="1:256" s="1197" customFormat="1" ht="12.75" x14ac:dyDescent="0.2">
      <c r="A290" s="280" t="s">
        <v>125</v>
      </c>
      <c r="B290" s="20"/>
      <c r="C290" s="20"/>
      <c r="D290" s="20"/>
      <c r="E290" s="205"/>
      <c r="F290" s="48"/>
      <c r="G290" s="20"/>
      <c r="H290" s="20"/>
      <c r="I290" s="20"/>
      <c r="J290" s="205"/>
      <c r="K290" s="48"/>
      <c r="L290" s="20"/>
      <c r="M290" s="20"/>
      <c r="N290" s="20"/>
      <c r="O290" s="205"/>
      <c r="P290" s="48"/>
      <c r="Q290" s="20"/>
      <c r="R290" s="20"/>
      <c r="S290" s="20"/>
      <c r="T290" s="205"/>
      <c r="U290" s="48"/>
      <c r="V290" s="20"/>
      <c r="W290" s="20"/>
      <c r="X290" s="20"/>
      <c r="Y290" s="205"/>
      <c r="Z290" s="48"/>
      <c r="AA290" s="20"/>
      <c r="AB290" s="20"/>
      <c r="AC290" s="20"/>
      <c r="AD290" s="205"/>
      <c r="AE290" s="48"/>
      <c r="AF290" s="20"/>
      <c r="AG290" s="20"/>
      <c r="AH290" s="20"/>
      <c r="AI290" s="205"/>
      <c r="AJ290" s="48"/>
      <c r="AK290" s="20"/>
      <c r="AL290" s="20"/>
      <c r="AM290" s="20"/>
      <c r="AN290" s="205"/>
      <c r="AO290" s="48"/>
      <c r="AP290" s="20"/>
      <c r="AQ290" s="20"/>
      <c r="AR290" s="20"/>
      <c r="AS290" s="205"/>
      <c r="AT290" s="48">
        <f>-22+77</f>
        <v>55</v>
      </c>
      <c r="AU290" s="20"/>
      <c r="AV290" s="20"/>
      <c r="AW290" s="20"/>
      <c r="AX290" s="205"/>
      <c r="AY290" s="48">
        <v>-104</v>
      </c>
      <c r="AZ290" s="20"/>
      <c r="BA290" s="20"/>
      <c r="BB290" s="20"/>
      <c r="BC290" s="205"/>
      <c r="BD290" s="48">
        <v>0</v>
      </c>
      <c r="BE290" s="20"/>
      <c r="BF290" s="20"/>
      <c r="BG290" s="20"/>
      <c r="BH290" s="205"/>
      <c r="BI290" s="48">
        <v>0</v>
      </c>
      <c r="BJ290" s="20"/>
      <c r="BK290" s="20"/>
      <c r="BL290" s="20"/>
      <c r="BM290" s="205"/>
      <c r="BN290" s="48">
        <v>-13</v>
      </c>
      <c r="BO290" s="20"/>
      <c r="BP290" s="20"/>
      <c r="BQ290" s="20"/>
      <c r="BR290" s="205"/>
      <c r="BS290" s="48">
        <v>0</v>
      </c>
      <c r="BT290" s="20"/>
      <c r="BU290" s="20"/>
      <c r="BV290" s="20"/>
      <c r="BW290" s="205"/>
      <c r="BX290" s="48">
        <v>-10</v>
      </c>
      <c r="BY290" s="20"/>
      <c r="BZ290" s="20"/>
      <c r="CA290" s="20"/>
      <c r="CB290" s="205"/>
      <c r="CC290" s="48">
        <v>0</v>
      </c>
      <c r="CD290" s="20"/>
      <c r="CE290" s="20"/>
      <c r="CF290" s="20"/>
      <c r="CG290" s="205"/>
      <c r="CH290" s="48">
        <v>0</v>
      </c>
      <c r="CI290" s="20"/>
      <c r="CJ290" s="20"/>
      <c r="CK290" s="20"/>
      <c r="CL290" s="205"/>
      <c r="CM290" s="48">
        <v>0</v>
      </c>
      <c r="CN290" s="20"/>
      <c r="CO290" s="20"/>
      <c r="CP290" s="20"/>
      <c r="CQ290" s="205"/>
      <c r="CR290" s="48">
        <v>0</v>
      </c>
      <c r="CS290" s="20"/>
      <c r="CT290" s="20"/>
      <c r="CU290" s="20"/>
      <c r="CV290" s="205"/>
      <c r="CW290" s="48">
        <v>0</v>
      </c>
      <c r="CX290" s="172"/>
      <c r="CY290" s="172"/>
      <c r="CZ290" s="172"/>
      <c r="DA290" s="20"/>
      <c r="DB290" s="48">
        <v>0</v>
      </c>
      <c r="DC290" s="172"/>
      <c r="DD290" s="172"/>
      <c r="DE290" s="172"/>
      <c r="DF290" s="20"/>
      <c r="DG290" s="48">
        <v>0</v>
      </c>
      <c r="DH290" s="20"/>
      <c r="DI290" s="172"/>
      <c r="DJ290" s="172"/>
      <c r="DK290" s="20"/>
      <c r="DL290" s="48">
        <v>0</v>
      </c>
      <c r="DM290" s="20">
        <v>0</v>
      </c>
      <c r="DN290" s="172">
        <v>0</v>
      </c>
      <c r="DO290" s="172"/>
      <c r="DP290" s="20"/>
      <c r="DQ290" s="48">
        <v>0</v>
      </c>
      <c r="DR290" s="20">
        <v>0</v>
      </c>
      <c r="DS290" s="172">
        <v>0</v>
      </c>
      <c r="DT290" s="172">
        <v>0</v>
      </c>
      <c r="DU290" s="20">
        <v>0</v>
      </c>
      <c r="DV290" s="171">
        <v>0</v>
      </c>
      <c r="DW290" s="20">
        <v>0</v>
      </c>
      <c r="DX290" s="20">
        <v>0</v>
      </c>
      <c r="DY290" s="20">
        <v>0</v>
      </c>
      <c r="DZ290" s="20">
        <v>0</v>
      </c>
      <c r="EA290" s="171">
        <v>0</v>
      </c>
      <c r="EB290" s="20">
        <v>0</v>
      </c>
      <c r="EC290" s="20">
        <v>0</v>
      </c>
      <c r="ED290" s="20">
        <v>0</v>
      </c>
      <c r="EE290" s="20">
        <v>0</v>
      </c>
      <c r="EF290" s="171">
        <v>0</v>
      </c>
      <c r="EG290" s="20">
        <v>0</v>
      </c>
      <c r="EH290" s="20">
        <v>0</v>
      </c>
      <c r="EI290" s="20">
        <v>0</v>
      </c>
      <c r="EJ290" s="20">
        <v>0</v>
      </c>
      <c r="EK290" s="171">
        <v>0</v>
      </c>
      <c r="EL290" s="20">
        <v>0</v>
      </c>
      <c r="EM290" s="20">
        <v>0</v>
      </c>
      <c r="EN290" s="20">
        <v>0</v>
      </c>
      <c r="EO290" s="20">
        <v>0</v>
      </c>
      <c r="EP290" s="171">
        <v>0</v>
      </c>
      <c r="EQ290" s="1406"/>
      <c r="ER290" s="1406"/>
      <c r="ES290" s="1406"/>
      <c r="ET290" s="1406"/>
      <c r="EU290" s="907">
        <f>SUM(Pension!N51:N52)+SUM(OPEB!N51:N52)</f>
        <v>1.3087028750062224</v>
      </c>
      <c r="EV290" s="1406"/>
      <c r="EW290" s="1406"/>
      <c r="EX290" s="1406"/>
      <c r="EY290" s="1406"/>
      <c r="EZ290" s="907">
        <f>SUM(Pension!O51:O52)+SUM(OPEB!O51:O52)</f>
        <v>-7.0114990472471668</v>
      </c>
      <c r="FA290" s="1406"/>
      <c r="FB290" s="1406"/>
      <c r="FC290" s="1406"/>
      <c r="FD290" s="1406"/>
      <c r="FE290" s="907">
        <f>SUM(Pension!P51:P52)+SUM(OPEB!P51:P52)</f>
        <v>-15.810789118179938</v>
      </c>
      <c r="FF290" s="1192"/>
      <c r="FG290" s="1193"/>
      <c r="FH290" s="1194"/>
      <c r="FI290" s="1194"/>
      <c r="FJ290" s="1194"/>
      <c r="FK290" s="1194"/>
      <c r="FL290" s="1853"/>
      <c r="FM290" s="1788"/>
      <c r="FN290" s="1788"/>
      <c r="FO290" s="1788"/>
      <c r="FP290" s="1788"/>
      <c r="FQ290" s="1788"/>
      <c r="FR290" s="1195"/>
      <c r="FS290" s="1180"/>
      <c r="FT290" s="1180"/>
      <c r="FU290" s="1195"/>
      <c r="FV290" s="1195"/>
      <c r="FW290" s="1195"/>
      <c r="FX290" s="1195"/>
      <c r="FY290" s="1195"/>
      <c r="FZ290" s="1195"/>
      <c r="GA290" s="1193"/>
      <c r="GB290"/>
      <c r="GC290"/>
      <c r="GD290"/>
      <c r="GE290"/>
      <c r="GF290"/>
      <c r="GG290"/>
      <c r="GH290" s="1196"/>
      <c r="GI290" s="1196"/>
      <c r="GJ290" s="1196"/>
      <c r="GK290" s="1196"/>
      <c r="GL290" s="1196"/>
      <c r="GM290" s="1196"/>
      <c r="GN290" s="1196"/>
      <c r="GO290" s="1196"/>
      <c r="GP290" s="1196"/>
      <c r="GQ290" s="1196"/>
      <c r="GR290" s="1196"/>
      <c r="GS290" s="1196"/>
      <c r="GT290" s="1196"/>
      <c r="GU290" s="1196"/>
      <c r="GV290" s="1196"/>
      <c r="GW290" s="1196"/>
      <c r="GX290" s="1196"/>
      <c r="GY290" s="1196"/>
      <c r="GZ290" s="1196"/>
      <c r="HA290" s="1196"/>
      <c r="HB290" s="1196"/>
      <c r="HC290" s="1196"/>
      <c r="HD290" s="1196"/>
      <c r="HE290" s="1196"/>
      <c r="HF290" s="1196"/>
      <c r="HG290" s="1196"/>
      <c r="HH290" s="1196"/>
      <c r="HI290" s="1196"/>
      <c r="HJ290" s="1196"/>
      <c r="HK290" s="1196"/>
      <c r="HL290" s="1196"/>
      <c r="HM290" s="1196"/>
      <c r="HN290" s="1196"/>
      <c r="HO290" s="1196"/>
      <c r="HP290" s="1196"/>
      <c r="HQ290" s="1196"/>
      <c r="HR290" s="1196"/>
      <c r="HS290" s="1196"/>
      <c r="HT290" s="1196"/>
      <c r="HU290" s="1196"/>
      <c r="HV290" s="1196"/>
      <c r="HW290" s="1196"/>
      <c r="HX290" s="1196"/>
      <c r="HY290" s="1196"/>
      <c r="HZ290" s="1196"/>
      <c r="IA290" s="1196"/>
      <c r="IB290" s="1196"/>
      <c r="IC290" s="1196"/>
      <c r="ID290" s="1196"/>
      <c r="IE290" s="1196"/>
      <c r="IF290" s="1196"/>
      <c r="IG290" s="1196"/>
      <c r="IH290" s="1196"/>
      <c r="II290" s="1196"/>
      <c r="IJ290" s="1196"/>
      <c r="IK290" s="1196"/>
      <c r="IL290" s="1196"/>
      <c r="IM290" s="1196"/>
      <c r="IN290" s="1196"/>
      <c r="IO290" s="1196"/>
      <c r="IP290" s="1196"/>
      <c r="IQ290" s="1196"/>
      <c r="IR290" s="1196"/>
      <c r="IS290" s="1196"/>
      <c r="IT290" s="1196"/>
      <c r="IU290" s="1196"/>
      <c r="IV290" s="1196"/>
    </row>
    <row r="291" spans="1:256" s="1197" customFormat="1" ht="12.75" x14ac:dyDescent="0.2">
      <c r="A291" s="280" t="s">
        <v>601</v>
      </c>
      <c r="B291" s="20"/>
      <c r="C291" s="20"/>
      <c r="D291" s="20"/>
      <c r="E291" s="205"/>
      <c r="F291" s="48"/>
      <c r="G291" s="20"/>
      <c r="H291" s="20"/>
      <c r="I291" s="20"/>
      <c r="J291" s="205"/>
      <c r="K291" s="48"/>
      <c r="L291" s="20"/>
      <c r="M291" s="20"/>
      <c r="N291" s="20"/>
      <c r="O291" s="205"/>
      <c r="P291" s="48"/>
      <c r="Q291" s="20"/>
      <c r="R291" s="20"/>
      <c r="S291" s="20"/>
      <c r="T291" s="205"/>
      <c r="U291" s="48"/>
      <c r="V291" s="20"/>
      <c r="W291" s="20"/>
      <c r="X291" s="20"/>
      <c r="Y291" s="205"/>
      <c r="Z291" s="48"/>
      <c r="AA291" s="20"/>
      <c r="AB291" s="20"/>
      <c r="AC291" s="20"/>
      <c r="AD291" s="205"/>
      <c r="AE291" s="48"/>
      <c r="AF291" s="20"/>
      <c r="AG291" s="20"/>
      <c r="AH291" s="20"/>
      <c r="AI291" s="205"/>
      <c r="AJ291" s="48"/>
      <c r="AK291" s="20"/>
      <c r="AL291" s="20"/>
      <c r="AM291" s="20"/>
      <c r="AN291" s="205"/>
      <c r="AO291" s="48"/>
      <c r="AP291" s="20"/>
      <c r="AQ291" s="20"/>
      <c r="AR291" s="20"/>
      <c r="AS291" s="205"/>
      <c r="AT291" s="48">
        <f>AT292-AT288-AT287-AT284</f>
        <v>-82</v>
      </c>
      <c r="AU291" s="20"/>
      <c r="AV291" s="20"/>
      <c r="AW291" s="20"/>
      <c r="AX291" s="205"/>
      <c r="AY291" s="48">
        <f>AY292-AY288-AY287-AY284</f>
        <v>-406</v>
      </c>
      <c r="AZ291" s="20"/>
      <c r="BA291" s="20"/>
      <c r="BB291" s="20"/>
      <c r="BC291" s="205"/>
      <c r="BD291" s="48">
        <f>BD292-BD288-BD287-BD284</f>
        <v>-280</v>
      </c>
      <c r="BE291" s="20"/>
      <c r="BF291" s="20"/>
      <c r="BG291" s="20"/>
      <c r="BH291" s="205"/>
      <c r="BI291" s="48">
        <f>BI292-BI288-BI287-BI284</f>
        <v>651</v>
      </c>
      <c r="BJ291" s="20"/>
      <c r="BK291" s="20"/>
      <c r="BL291" s="20"/>
      <c r="BM291" s="205"/>
      <c r="BN291" s="48">
        <f>BN292-BN288-BN287-BN284</f>
        <v>-292</v>
      </c>
      <c r="BO291" s="20"/>
      <c r="BP291" s="20"/>
      <c r="BQ291" s="20"/>
      <c r="BR291" s="205"/>
      <c r="BS291" s="48">
        <f>BS292-BS288-BS287-BS284</f>
        <v>-364</v>
      </c>
      <c r="BT291" s="20"/>
      <c r="BU291" s="20"/>
      <c r="BV291" s="20"/>
      <c r="BW291" s="205"/>
      <c r="BX291" s="48">
        <f>BX292-BX288-BX287-BX284</f>
        <v>-141</v>
      </c>
      <c r="BY291" s="20"/>
      <c r="BZ291" s="20"/>
      <c r="CA291" s="20"/>
      <c r="CB291" s="205"/>
      <c r="CC291" s="48">
        <f>CC292-CC288-CC287-CC284</f>
        <v>-71</v>
      </c>
      <c r="CD291" s="20"/>
      <c r="CE291" s="20"/>
      <c r="CF291" s="20"/>
      <c r="CG291" s="205"/>
      <c r="CH291" s="48">
        <f>CH292-CH288-CH287-CH284</f>
        <v>-43</v>
      </c>
      <c r="CI291" s="20"/>
      <c r="CJ291" s="20"/>
      <c r="CK291" s="20"/>
      <c r="CL291" s="205"/>
      <c r="CM291" s="48">
        <f>CM292-CM288-CM287-CM284</f>
        <v>-17</v>
      </c>
      <c r="CN291" s="20"/>
      <c r="CO291" s="20"/>
      <c r="CP291" s="20"/>
      <c r="CQ291" s="205"/>
      <c r="CR291" s="48">
        <f>CR292-CR288-CR287-CR284</f>
        <v>-42</v>
      </c>
      <c r="CS291" s="20"/>
      <c r="CT291" s="20"/>
      <c r="CU291" s="20"/>
      <c r="CV291" s="205"/>
      <c r="CW291" s="48">
        <f>CW292-CW288-CW287-CW284</f>
        <v>-106</v>
      </c>
      <c r="CX291" s="172"/>
      <c r="CY291" s="172"/>
      <c r="CZ291" s="172"/>
      <c r="DA291" s="20"/>
      <c r="DB291" s="48">
        <f>DB292-DB288-DB287-DB284</f>
        <v>-357</v>
      </c>
      <c r="DC291" s="172"/>
      <c r="DD291" s="172"/>
      <c r="DE291" s="172"/>
      <c r="DF291" s="20"/>
      <c r="DG291" s="48">
        <f>DG292-DG288-DG287-DG284</f>
        <v>80</v>
      </c>
      <c r="DH291" s="20"/>
      <c r="DI291" s="172"/>
      <c r="DJ291" s="172"/>
      <c r="DK291" s="20"/>
      <c r="DL291" s="48">
        <f>DL292-DL288-DL287-DL284</f>
        <v>-85</v>
      </c>
      <c r="DM291" s="20">
        <f>DM292-DM288-DM287-DM284</f>
        <v>313</v>
      </c>
      <c r="DN291" s="20">
        <f>DN292-DN288-DN287-DN284</f>
        <v>-175</v>
      </c>
      <c r="DO291" s="172"/>
      <c r="DP291" s="20"/>
      <c r="DQ291" s="48">
        <f t="shared" ref="DQ291:DV291" si="1029">DQ292-DQ288-DQ287-DQ284</f>
        <v>34</v>
      </c>
      <c r="DR291" s="20">
        <f t="shared" si="1029"/>
        <v>-28</v>
      </c>
      <c r="DS291" s="172">
        <f t="shared" si="1029"/>
        <v>23</v>
      </c>
      <c r="DT291" s="172">
        <f t="shared" si="1029"/>
        <v>114.39999999999998</v>
      </c>
      <c r="DU291" s="172">
        <f t="shared" si="1029"/>
        <v>-119</v>
      </c>
      <c r="DV291" s="48">
        <f t="shared" si="1029"/>
        <v>-16</v>
      </c>
      <c r="DW291" s="20">
        <f t="shared" ref="DW291:EB291" si="1030">DW292-DW288-DW287-DW284</f>
        <v>-8.5</v>
      </c>
      <c r="DX291" s="20">
        <f t="shared" si="1030"/>
        <v>24</v>
      </c>
      <c r="DY291" s="20">
        <f t="shared" si="1030"/>
        <v>109.90000000000009</v>
      </c>
      <c r="DZ291" s="172">
        <f t="shared" si="1030"/>
        <v>-518</v>
      </c>
      <c r="EA291" s="48">
        <f t="shared" si="1030"/>
        <v>-398</v>
      </c>
      <c r="EB291" s="20">
        <f t="shared" si="1030"/>
        <v>38</v>
      </c>
      <c r="EC291" s="20">
        <f t="shared" ref="EC291:EH291" si="1031">EC292-EC288-EC287-EC284</f>
        <v>165.39999999999998</v>
      </c>
      <c r="ED291" s="20">
        <f t="shared" si="1031"/>
        <v>-13</v>
      </c>
      <c r="EE291" s="172">
        <f t="shared" si="1031"/>
        <v>-212</v>
      </c>
      <c r="EF291" s="48">
        <f t="shared" si="1031"/>
        <v>-26.599999999999909</v>
      </c>
      <c r="EG291" s="20">
        <f t="shared" si="1031"/>
        <v>195</v>
      </c>
      <c r="EH291" s="20">
        <f t="shared" si="1031"/>
        <v>-165.8</v>
      </c>
      <c r="EI291" s="20">
        <f>EI292-EI288-EI287-EI284</f>
        <v>146.39999999999998</v>
      </c>
      <c r="EJ291" s="172">
        <f t="shared" ref="EJ291" si="1032">EJ292-EJ288-EJ287-EJ284</f>
        <v>-63</v>
      </c>
      <c r="EK291" s="48">
        <f>EK292-EK288-EK287-EK284</f>
        <v>112.59999999999991</v>
      </c>
      <c r="EL291" s="20">
        <f t="shared" ref="EL291:EM291" si="1033">EL292-EL288-EL287-EL284</f>
        <v>97</v>
      </c>
      <c r="EM291" s="20">
        <f t="shared" si="1033"/>
        <v>-89</v>
      </c>
      <c r="EN291" s="20">
        <f>EN292-EN288-EN287-EN284</f>
        <v>13</v>
      </c>
      <c r="EO291" s="172">
        <f t="shared" ref="EO291" si="1034">EO292-EO288-EO287-EO284</f>
        <v>-223</v>
      </c>
      <c r="EP291" s="48">
        <f>EP292-EP288-EP287-EP284</f>
        <v>-202</v>
      </c>
      <c r="EQ291" s="172"/>
      <c r="ER291" s="172"/>
      <c r="ES291" s="172"/>
      <c r="ET291" s="172"/>
      <c r="EU291" s="171">
        <f>(EP321-EU321)+(EP323-EU323)+(EP325-EU325)+(EU333-EP333)+(EU335-EP335)+(EU332-EP332)+(EP319-EU319)</f>
        <v>28.777464451999435</v>
      </c>
      <c r="EV291" s="172"/>
      <c r="EW291" s="172"/>
      <c r="EX291" s="172"/>
      <c r="EY291" s="172"/>
      <c r="EZ291" s="171">
        <f>(EU321-EZ321)+(EU323-EZ323)+(EU325-EZ325)+(EZ333-EU333)+(EZ335-EU335)+(EZ332-EU332)+(EU319-EZ319)</f>
        <v>29.179891497352514</v>
      </c>
      <c r="FA291" s="172"/>
      <c r="FB291" s="172"/>
      <c r="FC291" s="172"/>
      <c r="FD291" s="172"/>
      <c r="FE291" s="171">
        <f>(EZ321-FE321)+(EZ323-FE323)+(EZ325-FE325)+(FE333-EZ333)+(FE335-EZ335)+(FE332-EZ332)+(EZ319-FE319)</f>
        <v>22.915203786982033</v>
      </c>
      <c r="FF291" s="1192"/>
      <c r="FG291" s="1193"/>
      <c r="FH291" s="1194"/>
      <c r="FI291" s="1194"/>
      <c r="FJ291" s="1194"/>
      <c r="FK291" s="1194"/>
      <c r="FL291" s="1853"/>
      <c r="FM291" s="1788"/>
      <c r="FN291" s="1788"/>
      <c r="FO291" s="1788"/>
      <c r="FP291" s="1788"/>
      <c r="FQ291" s="1788"/>
      <c r="FR291" s="1195"/>
      <c r="FS291" s="1195"/>
      <c r="FT291" s="1195"/>
      <c r="FU291" s="1195"/>
      <c r="FV291" s="1195"/>
      <c r="FW291" s="1195"/>
      <c r="FX291" s="1195"/>
      <c r="FY291" s="1195"/>
      <c r="FZ291" s="1195"/>
      <c r="GA291" s="1193"/>
      <c r="GB291"/>
      <c r="GC291"/>
      <c r="GD291"/>
      <c r="GE291"/>
      <c r="GF291"/>
      <c r="GG291"/>
      <c r="GH291" s="1196"/>
      <c r="GI291" s="1196"/>
      <c r="GJ291" s="1196"/>
      <c r="GK291" s="1196"/>
      <c r="GL291" s="1196"/>
      <c r="GM291" s="1196"/>
      <c r="GN291" s="1196"/>
      <c r="GO291" s="1196"/>
      <c r="GP291" s="1196"/>
      <c r="GQ291" s="1196"/>
      <c r="GR291" s="1196"/>
      <c r="GS291" s="1196"/>
      <c r="GT291" s="1196"/>
      <c r="GU291" s="1196"/>
      <c r="GV291" s="1196"/>
      <c r="GW291" s="1196"/>
      <c r="GX291" s="1196"/>
      <c r="GY291" s="1196"/>
      <c r="GZ291" s="1196"/>
      <c r="HA291" s="1196"/>
      <c r="HB291" s="1196"/>
      <c r="HC291" s="1196"/>
      <c r="HD291" s="1196"/>
      <c r="HE291" s="1196"/>
      <c r="HF291" s="1196"/>
      <c r="HG291" s="1196"/>
      <c r="HH291" s="1196"/>
      <c r="HI291" s="1196"/>
      <c r="HJ291" s="1196"/>
      <c r="HK291" s="1196"/>
      <c r="HL291" s="1196"/>
      <c r="HM291" s="1196"/>
      <c r="HN291" s="1196"/>
      <c r="HO291" s="1196"/>
      <c r="HP291" s="1196"/>
      <c r="HQ291" s="1196"/>
      <c r="HR291" s="1196"/>
      <c r="HS291" s="1196"/>
      <c r="HT291" s="1196"/>
      <c r="HU291" s="1196"/>
      <c r="HV291" s="1196"/>
      <c r="HW291" s="1196"/>
      <c r="HX291" s="1196"/>
      <c r="HY291" s="1196"/>
      <c r="HZ291" s="1196"/>
      <c r="IA291" s="1196"/>
      <c r="IB291" s="1196"/>
      <c r="IC291" s="1196"/>
      <c r="ID291" s="1196"/>
      <c r="IE291" s="1196"/>
      <c r="IF291" s="1196"/>
      <c r="IG291" s="1196"/>
      <c r="IH291" s="1196"/>
      <c r="II291" s="1196"/>
      <c r="IJ291" s="1196"/>
      <c r="IK291" s="1196"/>
      <c r="IL291" s="1196"/>
      <c r="IM291" s="1196"/>
      <c r="IN291" s="1196"/>
      <c r="IO291" s="1196"/>
      <c r="IP291" s="1196"/>
      <c r="IQ291" s="1196"/>
      <c r="IR291" s="1196"/>
      <c r="IS291" s="1196"/>
      <c r="IT291" s="1196"/>
      <c r="IU291" s="1196"/>
      <c r="IV291" s="1196"/>
    </row>
    <row r="292" spans="1:256" s="553" customFormat="1" ht="12.75" x14ac:dyDescent="0.2">
      <c r="A292" s="552" t="s">
        <v>126</v>
      </c>
      <c r="E292" s="554"/>
      <c r="F292" s="555"/>
      <c r="J292" s="554"/>
      <c r="K292" s="555"/>
      <c r="O292" s="554"/>
      <c r="P292" s="555"/>
      <c r="T292" s="554"/>
      <c r="U292" s="555"/>
      <c r="Y292" s="554"/>
      <c r="Z292" s="555"/>
      <c r="AD292" s="554"/>
      <c r="AE292" s="555"/>
      <c r="AI292" s="554"/>
      <c r="AJ292" s="555"/>
      <c r="AN292" s="554"/>
      <c r="AO292" s="555"/>
      <c r="AS292" s="554"/>
      <c r="AT292" s="555">
        <v>1146</v>
      </c>
      <c r="AX292" s="554"/>
      <c r="AY292" s="555">
        <v>892</v>
      </c>
      <c r="BC292" s="554"/>
      <c r="BD292" s="555">
        <v>533</v>
      </c>
      <c r="BH292" s="554"/>
      <c r="BI292" s="555">
        <v>1342</v>
      </c>
      <c r="BM292" s="554"/>
      <c r="BN292" s="555">
        <v>654</v>
      </c>
      <c r="BR292" s="554"/>
      <c r="BS292" s="555">
        <v>803</v>
      </c>
      <c r="BW292" s="554"/>
      <c r="BX292" s="555">
        <v>1054</v>
      </c>
      <c r="CB292" s="554"/>
      <c r="CC292" s="555">
        <v>1661</v>
      </c>
      <c r="CG292" s="554"/>
      <c r="CH292" s="555">
        <v>2105</v>
      </c>
      <c r="CL292" s="554"/>
      <c r="CM292" s="555">
        <v>2206</v>
      </c>
      <c r="CQ292" s="554"/>
      <c r="CR292" s="555">
        <v>2333</v>
      </c>
      <c r="CV292" s="554"/>
      <c r="CW292" s="555">
        <v>2715</v>
      </c>
      <c r="DB292" s="555">
        <v>1860</v>
      </c>
      <c r="DG292" s="555">
        <v>2714</v>
      </c>
      <c r="DL292" s="1169">
        <v>3227</v>
      </c>
      <c r="DM292" s="1170">
        <v>1035</v>
      </c>
      <c r="DN292" s="1170">
        <f>1663-DM292</f>
        <v>628</v>
      </c>
      <c r="DO292" s="1170"/>
      <c r="DP292" s="1170"/>
      <c r="DQ292" s="1169">
        <v>3065</v>
      </c>
      <c r="DR292" s="1170">
        <v>723</v>
      </c>
      <c r="DS292" s="1170">
        <f>1506-DR292</f>
        <v>783</v>
      </c>
      <c r="DT292" s="1170">
        <f>2404-SUM(DR292:DS292)</f>
        <v>898</v>
      </c>
      <c r="DU292" s="1170">
        <f>DV292-SUM(DR292:DT292)</f>
        <v>674</v>
      </c>
      <c r="DV292" s="1169">
        <v>3078</v>
      </c>
      <c r="DW292" s="1170">
        <v>588</v>
      </c>
      <c r="DX292" s="1170">
        <f>1437-DW292</f>
        <v>849</v>
      </c>
      <c r="DY292" s="1170">
        <f>2346-SUM(DW292:DX292)</f>
        <v>909</v>
      </c>
      <c r="DZ292" s="1170">
        <f>EA292-SUM(DW292:DY292)</f>
        <v>506</v>
      </c>
      <c r="EA292" s="1169">
        <v>2852</v>
      </c>
      <c r="EB292" s="1170">
        <v>605</v>
      </c>
      <c r="EC292" s="1170">
        <f>1473-EB292</f>
        <v>868</v>
      </c>
      <c r="ED292" s="1170">
        <f>2208-SUM(EB292:EC292)</f>
        <v>735</v>
      </c>
      <c r="EE292" s="1170">
        <f>EF292-SUM(EB292:ED292)</f>
        <v>700</v>
      </c>
      <c r="EF292" s="1169">
        <v>2908</v>
      </c>
      <c r="EG292" s="1170">
        <v>879</v>
      </c>
      <c r="EH292" s="1170">
        <f>1432-EG292</f>
        <v>553</v>
      </c>
      <c r="EI292" s="1170">
        <f>2312-SUM(EG292:EH292)</f>
        <v>880</v>
      </c>
      <c r="EJ292" s="1170">
        <f>EK292-SUM(EG292:EI292)</f>
        <v>722</v>
      </c>
      <c r="EK292" s="1169">
        <v>3034</v>
      </c>
      <c r="EL292" s="1170">
        <v>846</v>
      </c>
      <c r="EM292" s="1170">
        <f>1576-EL292</f>
        <v>730</v>
      </c>
      <c r="EN292" s="1170">
        <f>2465-SUM(EL292:EM292)</f>
        <v>889</v>
      </c>
      <c r="EO292" s="1170">
        <f>EP292-SUM(EL292:EN292)</f>
        <v>788</v>
      </c>
      <c r="EP292" s="1169">
        <v>3253</v>
      </c>
      <c r="EQ292" s="1170"/>
      <c r="ER292" s="1170"/>
      <c r="ES292" s="1170"/>
      <c r="ET292" s="1170"/>
      <c r="EU292" s="1169">
        <f>EU291+EU290+EU288+EU284+EU287</f>
        <v>3608.9630021900666</v>
      </c>
      <c r="EV292" s="1170"/>
      <c r="EW292" s="1170"/>
      <c r="EX292" s="1170"/>
      <c r="EY292" s="1170"/>
      <c r="EZ292" s="1169">
        <f>EZ291+EZ290+EZ288+EZ284+EZ287</f>
        <v>3742.1071749391804</v>
      </c>
      <c r="FA292" s="1170"/>
      <c r="FB292" s="1170"/>
      <c r="FC292" s="1170"/>
      <c r="FD292" s="1170"/>
      <c r="FE292" s="1169">
        <f>FE291+FE290+FE288+FE284+FE287</f>
        <v>3901.2182578391003</v>
      </c>
      <c r="FF292" s="820"/>
      <c r="FG292" s="660"/>
      <c r="FH292" s="1052"/>
      <c r="FI292" s="1052"/>
      <c r="FJ292" s="1052"/>
      <c r="FK292" s="1052"/>
      <c r="FL292" s="1854"/>
      <c r="FM292" s="1012"/>
      <c r="FN292" s="1012"/>
      <c r="FO292" s="1012"/>
      <c r="FP292" s="1012"/>
      <c r="FQ292" s="1012"/>
      <c r="FR292" s="556"/>
      <c r="FS292" s="556"/>
      <c r="FT292" s="556"/>
      <c r="FU292" s="556"/>
      <c r="FV292" s="556"/>
      <c r="FW292" s="556"/>
      <c r="FX292" s="556"/>
      <c r="FY292" s="556"/>
      <c r="FZ292" s="556"/>
      <c r="GA292" s="660"/>
      <c r="GB292"/>
      <c r="GC292"/>
      <c r="GD292"/>
      <c r="GE292"/>
      <c r="GF292"/>
      <c r="GG292"/>
      <c r="GH292" s="1012"/>
      <c r="GI292" s="1012"/>
      <c r="GJ292" s="1012"/>
      <c r="GK292" s="1012"/>
      <c r="GL292" s="1012"/>
      <c r="GM292" s="1012"/>
      <c r="GN292" s="1012"/>
      <c r="GO292" s="1012"/>
      <c r="GP292" s="1012"/>
      <c r="GQ292" s="1012"/>
      <c r="GR292" s="1012"/>
      <c r="GS292" s="1012"/>
      <c r="GT292" s="1012"/>
      <c r="GU292" s="1012"/>
      <c r="GV292" s="1012"/>
      <c r="GW292" s="1012"/>
      <c r="GX292" s="1012"/>
      <c r="GY292" s="1012"/>
      <c r="GZ292" s="1012"/>
      <c r="HA292" s="1012"/>
      <c r="HB292" s="1012"/>
      <c r="HC292" s="1012"/>
      <c r="HD292" s="1012"/>
      <c r="HE292" s="1012"/>
      <c r="HF292" s="1012"/>
      <c r="HG292" s="1012"/>
      <c r="HH292" s="1012"/>
      <c r="HI292" s="1012"/>
      <c r="HJ292" s="1012"/>
      <c r="HK292" s="1012"/>
      <c r="HL292" s="1012"/>
      <c r="HM292" s="1012"/>
      <c r="HN292" s="1012"/>
      <c r="HO292" s="1012"/>
      <c r="HP292" s="1012"/>
      <c r="HQ292" s="1012"/>
      <c r="HR292" s="1012"/>
      <c r="HS292" s="1012"/>
      <c r="HT292" s="1012"/>
      <c r="HU292" s="1012"/>
      <c r="HV292" s="1012"/>
      <c r="HW292" s="1012"/>
      <c r="HX292" s="1012"/>
      <c r="HY292" s="1012"/>
      <c r="HZ292" s="1012"/>
      <c r="IA292" s="1012"/>
      <c r="IB292" s="1012"/>
      <c r="IC292" s="1012"/>
      <c r="ID292" s="1012"/>
      <c r="IE292" s="1012"/>
      <c r="IF292" s="1012"/>
      <c r="IG292" s="1012"/>
      <c r="IH292" s="1012"/>
      <c r="II292" s="1012"/>
      <c r="IJ292" s="1012"/>
      <c r="IK292" s="1012"/>
      <c r="IL292" s="1012"/>
      <c r="IM292" s="1012"/>
      <c r="IN292" s="1012"/>
      <c r="IO292" s="1012"/>
      <c r="IP292" s="1012"/>
      <c r="IQ292" s="1012"/>
      <c r="IR292" s="1012"/>
      <c r="IS292" s="1012"/>
      <c r="IT292" s="1012"/>
      <c r="IU292" s="1012"/>
      <c r="IV292" s="1012"/>
    </row>
    <row r="293" spans="1:256" s="562" customFormat="1" ht="12.6" customHeight="1" x14ac:dyDescent="0.2">
      <c r="A293" s="557" t="s">
        <v>127</v>
      </c>
      <c r="B293" s="558"/>
      <c r="C293" s="558"/>
      <c r="D293" s="558"/>
      <c r="E293" s="559"/>
      <c r="F293" s="560"/>
      <c r="G293" s="558"/>
      <c r="H293" s="558"/>
      <c r="I293" s="558"/>
      <c r="J293" s="559"/>
      <c r="K293" s="560"/>
      <c r="L293" s="558"/>
      <c r="M293" s="558"/>
      <c r="N293" s="558"/>
      <c r="O293" s="559"/>
      <c r="P293" s="560"/>
      <c r="Q293" s="558"/>
      <c r="R293" s="558"/>
      <c r="S293" s="558"/>
      <c r="T293" s="559"/>
      <c r="U293" s="560"/>
      <c r="V293" s="558"/>
      <c r="W293" s="558"/>
      <c r="X293" s="558"/>
      <c r="Y293" s="559"/>
      <c r="Z293" s="560"/>
      <c r="AA293" s="558"/>
      <c r="AB293" s="558"/>
      <c r="AC293" s="558"/>
      <c r="AD293" s="559"/>
      <c r="AE293" s="560"/>
      <c r="AF293" s="558"/>
      <c r="AG293" s="558"/>
      <c r="AH293" s="558"/>
      <c r="AI293" s="559"/>
      <c r="AJ293" s="560"/>
      <c r="AK293" s="558"/>
      <c r="AL293" s="558"/>
      <c r="AM293" s="558"/>
      <c r="AN293" s="559"/>
      <c r="AO293" s="560"/>
      <c r="AP293" s="558"/>
      <c r="AQ293" s="558"/>
      <c r="AR293" s="558"/>
      <c r="AS293" s="559"/>
      <c r="AT293" s="560"/>
      <c r="AU293" s="558"/>
      <c r="AV293" s="558"/>
      <c r="AW293" s="558"/>
      <c r="AX293" s="559"/>
      <c r="AY293" s="560"/>
      <c r="AZ293" s="558"/>
      <c r="BA293" s="558"/>
      <c r="BB293" s="558"/>
      <c r="BC293" s="559"/>
      <c r="BD293" s="560"/>
      <c r="BE293" s="558"/>
      <c r="BF293" s="558"/>
      <c r="BG293" s="558"/>
      <c r="BH293" s="559"/>
      <c r="BI293" s="560"/>
      <c r="BJ293" s="558"/>
      <c r="BK293" s="558"/>
      <c r="BL293" s="558"/>
      <c r="BM293" s="559"/>
      <c r="BN293" s="560"/>
      <c r="BO293" s="558"/>
      <c r="BP293" s="558"/>
      <c r="BQ293" s="558"/>
      <c r="BR293" s="559"/>
      <c r="BS293" s="560"/>
      <c r="BT293" s="558"/>
      <c r="BU293" s="558"/>
      <c r="BV293" s="558"/>
      <c r="BW293" s="559"/>
      <c r="BX293" s="560"/>
      <c r="BY293" s="558"/>
      <c r="BZ293" s="558"/>
      <c r="CA293" s="558"/>
      <c r="CB293" s="559"/>
      <c r="CC293" s="560"/>
      <c r="CD293" s="558"/>
      <c r="CE293" s="558"/>
      <c r="CF293" s="558"/>
      <c r="CG293" s="559"/>
      <c r="CH293" s="560"/>
      <c r="CI293" s="558"/>
      <c r="CJ293" s="558"/>
      <c r="CK293" s="558"/>
      <c r="CL293" s="559"/>
      <c r="CM293" s="560"/>
      <c r="CN293" s="558"/>
      <c r="CO293" s="558"/>
      <c r="CP293" s="558"/>
      <c r="CQ293" s="559"/>
      <c r="CR293" s="560"/>
      <c r="CS293" s="558"/>
      <c r="CT293" s="558"/>
      <c r="CU293" s="558"/>
      <c r="CV293" s="559"/>
      <c r="CW293" s="560"/>
      <c r="CX293" s="558"/>
      <c r="CY293" s="558"/>
      <c r="CZ293" s="558"/>
      <c r="DA293" s="558"/>
      <c r="DB293" s="560"/>
      <c r="DC293" s="558"/>
      <c r="DD293" s="558"/>
      <c r="DE293" s="558"/>
      <c r="DF293" s="558"/>
      <c r="DG293" s="560"/>
      <c r="DH293" s="558"/>
      <c r="DI293" s="558"/>
      <c r="DJ293" s="558"/>
      <c r="DK293" s="558"/>
      <c r="DL293" s="1171"/>
      <c r="DM293" s="1172"/>
      <c r="DN293" s="1172"/>
      <c r="DO293" s="1172"/>
      <c r="DP293" s="1172"/>
      <c r="DQ293" s="1171"/>
      <c r="DR293" s="1172"/>
      <c r="DS293" s="1172"/>
      <c r="DT293" s="1172"/>
      <c r="DU293" s="1172"/>
      <c r="DV293" s="1171"/>
      <c r="DW293" s="1172"/>
      <c r="DX293" s="1172"/>
      <c r="DY293" s="1172"/>
      <c r="DZ293" s="1172"/>
      <c r="EA293" s="1171"/>
      <c r="EB293" s="1172"/>
      <c r="EC293" s="1172"/>
      <c r="ED293" s="1173"/>
      <c r="EE293" s="1172"/>
      <c r="EF293" s="1171"/>
      <c r="EG293" s="1172"/>
      <c r="EH293" s="1173"/>
      <c r="EI293" s="1173"/>
      <c r="EJ293" s="1172"/>
      <c r="EK293" s="1171"/>
      <c r="EL293" s="1172"/>
      <c r="EM293" s="1173"/>
      <c r="EN293" s="1173"/>
      <c r="EO293" s="1172"/>
      <c r="EP293" s="1171"/>
      <c r="EQ293" s="1173"/>
      <c r="ER293" s="1173"/>
      <c r="ES293" s="1173"/>
      <c r="ET293" s="1173"/>
      <c r="EU293" s="1171"/>
      <c r="EV293" s="1173"/>
      <c r="EW293" s="1173"/>
      <c r="EX293" s="1173"/>
      <c r="EY293" s="1173"/>
      <c r="EZ293" s="1171"/>
      <c r="FA293" s="1173"/>
      <c r="FB293" s="1173"/>
      <c r="FC293" s="1173"/>
      <c r="FD293" s="1173"/>
      <c r="FE293" s="1171"/>
      <c r="FF293" s="817"/>
      <c r="FG293" s="660"/>
      <c r="FH293" s="1051"/>
      <c r="FI293" s="1051"/>
      <c r="FJ293" s="1051"/>
      <c r="FK293" s="1051"/>
      <c r="FL293" s="1849"/>
      <c r="FM293" s="992"/>
      <c r="FN293" s="992"/>
      <c r="FO293" s="992"/>
      <c r="FP293" s="992"/>
      <c r="FQ293" s="992"/>
      <c r="FR293" s="604"/>
      <c r="FS293" s="604"/>
      <c r="FT293" s="604"/>
      <c r="FU293" s="604"/>
      <c r="FV293" s="604"/>
      <c r="FW293" s="604"/>
      <c r="FX293" s="604"/>
      <c r="FY293" s="604"/>
      <c r="FZ293" s="604"/>
      <c r="GA293" s="660"/>
      <c r="GB293"/>
      <c r="GC293"/>
      <c r="GD293"/>
      <c r="GE293"/>
      <c r="GF293"/>
      <c r="GG293"/>
      <c r="GH293" s="992"/>
      <c r="GI293" s="992"/>
      <c r="GJ293" s="992"/>
      <c r="GK293" s="992"/>
      <c r="GL293" s="992"/>
      <c r="GM293" s="992"/>
      <c r="GN293" s="992"/>
      <c r="GO293" s="992"/>
      <c r="GP293" s="992"/>
      <c r="GQ293" s="992"/>
      <c r="GR293" s="992"/>
      <c r="GS293" s="992"/>
      <c r="GT293" s="992"/>
      <c r="GU293" s="992"/>
      <c r="GV293" s="992"/>
      <c r="GW293" s="992"/>
      <c r="GX293" s="992"/>
      <c r="GY293" s="992"/>
      <c r="GZ293" s="992"/>
      <c r="HA293" s="992"/>
      <c r="HB293" s="992"/>
      <c r="HC293" s="992"/>
      <c r="HD293" s="992"/>
      <c r="HE293" s="992"/>
      <c r="HF293" s="992"/>
      <c r="HG293" s="992"/>
      <c r="HH293" s="992"/>
      <c r="HI293" s="992"/>
      <c r="HJ293" s="992"/>
      <c r="HK293" s="992"/>
      <c r="HL293" s="992"/>
      <c r="HM293" s="992"/>
      <c r="HN293" s="992"/>
      <c r="HO293" s="992"/>
      <c r="HP293" s="992"/>
      <c r="HQ293" s="992"/>
      <c r="HR293" s="992"/>
      <c r="HS293" s="992"/>
      <c r="HT293" s="992"/>
      <c r="HU293" s="992"/>
      <c r="HV293" s="992"/>
      <c r="HW293" s="992"/>
      <c r="HX293" s="992"/>
      <c r="HY293" s="992"/>
      <c r="HZ293" s="992"/>
      <c r="IA293" s="992"/>
      <c r="IB293" s="992"/>
      <c r="IC293" s="992"/>
      <c r="ID293" s="992"/>
      <c r="IE293" s="992"/>
      <c r="IF293" s="992"/>
      <c r="IG293" s="992"/>
      <c r="IH293" s="992"/>
      <c r="II293" s="992"/>
      <c r="IJ293" s="992"/>
      <c r="IK293" s="992"/>
      <c r="IL293" s="992"/>
      <c r="IM293" s="992"/>
      <c r="IN293" s="992"/>
      <c r="IO293" s="992"/>
      <c r="IP293" s="992"/>
      <c r="IQ293" s="992"/>
      <c r="IR293" s="992"/>
      <c r="IS293" s="992"/>
      <c r="IT293" s="992"/>
      <c r="IU293" s="992"/>
      <c r="IV293" s="992"/>
    </row>
    <row r="294" spans="1:256" s="1197" customFormat="1" ht="12.75" x14ac:dyDescent="0.2">
      <c r="A294" s="280" t="s">
        <v>382</v>
      </c>
      <c r="B294" s="20"/>
      <c r="C294" s="20"/>
      <c r="D294" s="20"/>
      <c r="E294" s="205"/>
      <c r="F294" s="48"/>
      <c r="G294" s="20"/>
      <c r="H294" s="20"/>
      <c r="I294" s="20"/>
      <c r="J294" s="205"/>
      <c r="K294" s="48"/>
      <c r="L294" s="20"/>
      <c r="M294" s="20"/>
      <c r="N294" s="20"/>
      <c r="O294" s="205"/>
      <c r="P294" s="48"/>
      <c r="Q294" s="20"/>
      <c r="R294" s="20"/>
      <c r="S294" s="20"/>
      <c r="T294" s="205"/>
      <c r="U294" s="48"/>
      <c r="V294" s="20"/>
      <c r="W294" s="20"/>
      <c r="X294" s="20"/>
      <c r="Y294" s="205"/>
      <c r="Z294" s="48"/>
      <c r="AA294" s="20"/>
      <c r="AB294" s="20"/>
      <c r="AC294" s="20"/>
      <c r="AD294" s="205"/>
      <c r="AE294" s="48"/>
      <c r="AF294" s="20"/>
      <c r="AG294" s="20"/>
      <c r="AH294" s="20"/>
      <c r="AI294" s="205"/>
      <c r="AJ294" s="48"/>
      <c r="AK294" s="20"/>
      <c r="AL294" s="20"/>
      <c r="AM294" s="20"/>
      <c r="AN294" s="205"/>
      <c r="AO294" s="48"/>
      <c r="AP294" s="20"/>
      <c r="AQ294" s="20"/>
      <c r="AR294" s="20"/>
      <c r="AS294" s="205"/>
      <c r="AT294" s="48">
        <v>-875</v>
      </c>
      <c r="AU294" s="20"/>
      <c r="AV294" s="20"/>
      <c r="AW294" s="20"/>
      <c r="AX294" s="205"/>
      <c r="AY294" s="48">
        <v>-956</v>
      </c>
      <c r="AZ294" s="20"/>
      <c r="BA294" s="20"/>
      <c r="BB294" s="20"/>
      <c r="BC294" s="205"/>
      <c r="BD294" s="48">
        <v>-912</v>
      </c>
      <c r="BE294" s="20"/>
      <c r="BF294" s="20"/>
      <c r="BG294" s="20"/>
      <c r="BH294" s="205"/>
      <c r="BI294" s="48">
        <v>-731</v>
      </c>
      <c r="BJ294" s="20"/>
      <c r="BK294" s="20"/>
      <c r="BL294" s="20"/>
      <c r="BM294" s="205"/>
      <c r="BN294" s="48">
        <v>-746</v>
      </c>
      <c r="BO294" s="20"/>
      <c r="BP294" s="20"/>
      <c r="BQ294" s="20"/>
      <c r="BR294" s="205"/>
      <c r="BS294" s="48">
        <v>-689</v>
      </c>
      <c r="BT294" s="20"/>
      <c r="BU294" s="20"/>
      <c r="BV294" s="20"/>
      <c r="BW294" s="205"/>
      <c r="BX294" s="48">
        <v>-720</v>
      </c>
      <c r="BY294" s="20"/>
      <c r="BZ294" s="20"/>
      <c r="CA294" s="20"/>
      <c r="CB294" s="205"/>
      <c r="CC294" s="48">
        <v>-1041</v>
      </c>
      <c r="CD294" s="20"/>
      <c r="CE294" s="20"/>
      <c r="CF294" s="20"/>
      <c r="CG294" s="205"/>
      <c r="CH294" s="48">
        <v>-1025</v>
      </c>
      <c r="CI294" s="20"/>
      <c r="CJ294" s="20"/>
      <c r="CK294" s="20"/>
      <c r="CL294" s="205"/>
      <c r="CM294" s="48">
        <v>-1178</v>
      </c>
      <c r="CN294" s="20"/>
      <c r="CO294" s="20"/>
      <c r="CP294" s="20"/>
      <c r="CQ294" s="205"/>
      <c r="CR294" s="48">
        <v>-1341</v>
      </c>
      <c r="CS294" s="20"/>
      <c r="CT294" s="20"/>
      <c r="CU294" s="20"/>
      <c r="CV294" s="205"/>
      <c r="CW294" s="48">
        <v>-1558</v>
      </c>
      <c r="CX294" s="172"/>
      <c r="CY294" s="172"/>
      <c r="CZ294" s="172"/>
      <c r="DA294" s="20"/>
      <c r="DB294" s="48">
        <v>-1299</v>
      </c>
      <c r="DC294" s="172"/>
      <c r="DD294" s="172"/>
      <c r="DE294" s="172"/>
      <c r="DF294" s="20"/>
      <c r="DG294" s="48">
        <v>-1470</v>
      </c>
      <c r="DH294" s="20"/>
      <c r="DI294" s="172"/>
      <c r="DJ294" s="172"/>
      <c r="DK294" s="20"/>
      <c r="DL294" s="48">
        <v>-2160</v>
      </c>
      <c r="DM294" s="20">
        <v>-461</v>
      </c>
      <c r="DN294" s="172">
        <f>-968-DM294</f>
        <v>-507</v>
      </c>
      <c r="DO294" s="172"/>
      <c r="DP294" s="20">
        <v>-719</v>
      </c>
      <c r="DQ294" s="48">
        <v>-2241</v>
      </c>
      <c r="DR294" s="20">
        <v>-379</v>
      </c>
      <c r="DS294" s="172">
        <f>-884-DR294</f>
        <v>-505</v>
      </c>
      <c r="DT294" s="172">
        <f>+-1470-SUM(DR294:DS294)</f>
        <v>-586</v>
      </c>
      <c r="DU294" s="20">
        <f>DV294-SUM(DR294:DT294)</f>
        <v>-501</v>
      </c>
      <c r="DV294" s="171">
        <v>-1971</v>
      </c>
      <c r="DW294" s="20">
        <v>-381</v>
      </c>
      <c r="DX294" s="20">
        <f>+-809-DW294</f>
        <v>-428</v>
      </c>
      <c r="DY294" s="20">
        <f>+-1379-SUM(DW294:DX294)</f>
        <v>-570</v>
      </c>
      <c r="DZ294" s="20">
        <f>EA294-SUM(DW294:DY294)</f>
        <v>-739</v>
      </c>
      <c r="EA294" s="171">
        <v>-2118</v>
      </c>
      <c r="EB294" s="20">
        <v>-392</v>
      </c>
      <c r="EC294" s="20">
        <f>+-886-EB294</f>
        <v>-494</v>
      </c>
      <c r="ED294" s="20">
        <f>+-1777-SUM(EB294:EC294)</f>
        <v>-891</v>
      </c>
      <c r="EE294" s="20">
        <f>EF294-SUM(EB294:ED294)</f>
        <v>-608</v>
      </c>
      <c r="EF294" s="171">
        <v>-2385</v>
      </c>
      <c r="EG294" s="20">
        <v>-398</v>
      </c>
      <c r="EH294" s="20">
        <f>+-932-EG294</f>
        <v>-534</v>
      </c>
      <c r="EI294" s="20">
        <f>+-1304-SUM(EG294:EH294)</f>
        <v>-372</v>
      </c>
      <c r="EJ294" s="20">
        <f>EK294-SUM(EG294:EI294)</f>
        <v>-583</v>
      </c>
      <c r="EK294" s="171">
        <v>-1887</v>
      </c>
      <c r="EL294" s="20">
        <v>-438</v>
      </c>
      <c r="EM294" s="20">
        <f>+-883-EL294</f>
        <v>-445</v>
      </c>
      <c r="EN294" s="20">
        <f>+-1315-SUM(EL294:EM294)</f>
        <v>-432</v>
      </c>
      <c r="EO294" s="20">
        <f>EP294-SUM(EL294:EN294)</f>
        <v>-408</v>
      </c>
      <c r="EP294" s="2021">
        <v>-1723</v>
      </c>
      <c r="EQ294" s="172"/>
      <c r="ER294" s="172"/>
      <c r="ES294" s="172"/>
      <c r="ET294" s="172"/>
      <c r="EU294" s="2021">
        <f>-EU295*EU221</f>
        <v>-1903.4836024363417</v>
      </c>
      <c r="EV294" s="172"/>
      <c r="EW294" s="172"/>
      <c r="EX294" s="172"/>
      <c r="EY294" s="172"/>
      <c r="EZ294" s="171">
        <f>-EZ295*EZ221</f>
        <v>-2089.5199576841214</v>
      </c>
      <c r="FA294" s="172"/>
      <c r="FB294" s="172"/>
      <c r="FC294" s="172"/>
      <c r="FD294" s="172"/>
      <c r="FE294" s="171">
        <f>-FE295*FE221</f>
        <v>-2168.6012431372314</v>
      </c>
      <c r="FF294" s="1192"/>
      <c r="FG294" s="1193"/>
      <c r="FH294" s="1194"/>
      <c r="FI294" s="1194"/>
      <c r="FJ294" s="1194"/>
      <c r="FK294" s="1194"/>
      <c r="FL294" s="1853"/>
      <c r="FM294" s="1788"/>
      <c r="FN294" s="1788"/>
      <c r="FO294" s="1788"/>
      <c r="FP294" s="1788"/>
      <c r="FQ294" s="1788"/>
      <c r="FR294" s="2120" t="s">
        <v>852</v>
      </c>
      <c r="FS294" s="1195"/>
      <c r="FT294" s="1195"/>
      <c r="FU294" s="1195"/>
      <c r="FV294" s="1195"/>
      <c r="FW294" s="1195"/>
      <c r="FX294" s="1195"/>
      <c r="FY294" s="1195"/>
      <c r="FZ294" s="1195"/>
      <c r="GA294" s="1193"/>
      <c r="GB294"/>
      <c r="GC294"/>
      <c r="GD294"/>
      <c r="GE294"/>
      <c r="GF294"/>
      <c r="GG294"/>
      <c r="GH294" s="1196"/>
      <c r="GI294" s="1196"/>
      <c r="GJ294" s="1196"/>
      <c r="GK294" s="1196"/>
      <c r="GL294" s="1196"/>
      <c r="GM294" s="1196"/>
      <c r="GN294" s="1196"/>
      <c r="GO294" s="1196"/>
      <c r="GP294" s="1196"/>
      <c r="GQ294" s="1196"/>
      <c r="GR294" s="1196"/>
      <c r="GS294" s="1196"/>
      <c r="GT294" s="1196"/>
      <c r="GU294" s="1196"/>
      <c r="GV294" s="1196"/>
      <c r="GW294" s="1196"/>
      <c r="GX294" s="1196"/>
      <c r="GY294" s="1196"/>
      <c r="GZ294" s="1196"/>
      <c r="HA294" s="1196"/>
      <c r="HB294" s="1196"/>
      <c r="HC294" s="1196"/>
      <c r="HD294" s="1196"/>
      <c r="HE294" s="1196"/>
      <c r="HF294" s="1196"/>
      <c r="HG294" s="1196"/>
      <c r="HH294" s="1196"/>
      <c r="HI294" s="1196"/>
      <c r="HJ294" s="1196"/>
      <c r="HK294" s="1196"/>
      <c r="HL294" s="1196"/>
      <c r="HM294" s="1196"/>
      <c r="HN294" s="1196"/>
      <c r="HO294" s="1196"/>
      <c r="HP294" s="1196"/>
      <c r="HQ294" s="1196"/>
      <c r="HR294" s="1196"/>
      <c r="HS294" s="1196"/>
      <c r="HT294" s="1196"/>
      <c r="HU294" s="1196"/>
      <c r="HV294" s="1196"/>
      <c r="HW294" s="1196"/>
      <c r="HX294" s="1196"/>
      <c r="HY294" s="1196"/>
      <c r="HZ294" s="1196"/>
      <c r="IA294" s="1196"/>
      <c r="IB294" s="1196"/>
      <c r="IC294" s="1196"/>
      <c r="ID294" s="1196"/>
      <c r="IE294" s="1196"/>
      <c r="IF294" s="1196"/>
      <c r="IG294" s="1196"/>
      <c r="IH294" s="1196"/>
      <c r="II294" s="1196"/>
      <c r="IJ294" s="1196"/>
      <c r="IK294" s="1196"/>
      <c r="IL294" s="1196"/>
      <c r="IM294" s="1196"/>
      <c r="IN294" s="1196"/>
      <c r="IO294" s="1196"/>
      <c r="IP294" s="1196"/>
      <c r="IQ294" s="1196"/>
      <c r="IR294" s="1196"/>
      <c r="IS294" s="1196"/>
      <c r="IT294" s="1196"/>
      <c r="IU294" s="1196"/>
      <c r="IV294" s="1196"/>
    </row>
    <row r="295" spans="1:256" s="1187" customFormat="1" ht="12.6" customHeight="1" x14ac:dyDescent="0.2">
      <c r="A295" s="271" t="s">
        <v>128</v>
      </c>
      <c r="B295" s="1166"/>
      <c r="C295" s="1166"/>
      <c r="D295" s="1166"/>
      <c r="E295" s="1176"/>
      <c r="F295" s="21"/>
      <c r="G295" s="1166"/>
      <c r="H295" s="1166"/>
      <c r="I295" s="1166"/>
      <c r="J295" s="1176"/>
      <c r="K295" s="21"/>
      <c r="L295" s="1166"/>
      <c r="M295" s="1166"/>
      <c r="N295" s="1166"/>
      <c r="O295" s="1176"/>
      <c r="P295" s="21"/>
      <c r="Q295" s="1166"/>
      <c r="R295" s="1166"/>
      <c r="S295" s="1166"/>
      <c r="T295" s="1176"/>
      <c r="U295" s="21"/>
      <c r="V295" s="1166"/>
      <c r="W295" s="1166"/>
      <c r="X295" s="1166"/>
      <c r="Y295" s="1176"/>
      <c r="Z295" s="21"/>
      <c r="AA295" s="1166"/>
      <c r="AB295" s="1166"/>
      <c r="AC295" s="1166"/>
      <c r="AD295" s="1176"/>
      <c r="AE295" s="21"/>
      <c r="AF295" s="1166"/>
      <c r="AG295" s="1166"/>
      <c r="AH295" s="1166"/>
      <c r="AI295" s="1176"/>
      <c r="AJ295" s="21"/>
      <c r="AK295" s="1166"/>
      <c r="AL295" s="1166"/>
      <c r="AM295" s="1166"/>
      <c r="AN295" s="1176"/>
      <c r="AO295" s="21"/>
      <c r="AP295" s="1166"/>
      <c r="AQ295" s="1166"/>
      <c r="AR295" s="1166"/>
      <c r="AS295" s="1176"/>
      <c r="AT295" s="21">
        <f>-AT294/Model!AT$221</f>
        <v>0.20720358047787063</v>
      </c>
      <c r="AU295" s="1166"/>
      <c r="AV295" s="1166"/>
      <c r="AW295" s="1166"/>
      <c r="AX295" s="1176"/>
      <c r="AY295" s="21">
        <f>-AY294/Model!AY$221</f>
        <v>0.22638524801735302</v>
      </c>
      <c r="AZ295" s="1166"/>
      <c r="BA295" s="1166"/>
      <c r="BB295" s="1166"/>
      <c r="BC295" s="1176"/>
      <c r="BD295" s="21">
        <f>-BD294/Model!BD$221</f>
        <v>0.17554699635624493</v>
      </c>
      <c r="BE295" s="1166"/>
      <c r="BF295" s="1166"/>
      <c r="BG295" s="1166"/>
      <c r="BH295" s="1176"/>
      <c r="BI295" s="21">
        <f>-BI294/Model!BI$221</f>
        <v>0.11868809871732425</v>
      </c>
      <c r="BJ295" s="1166"/>
      <c r="BK295" s="1166"/>
      <c r="BL295" s="1166"/>
      <c r="BM295" s="1176"/>
      <c r="BN295" s="21">
        <f>-BN294/Model!BN$221</f>
        <v>0.12090761750405186</v>
      </c>
      <c r="BO295" s="1166"/>
      <c r="BP295" s="1166"/>
      <c r="BQ295" s="1166"/>
      <c r="BR295" s="1176"/>
      <c r="BS295" s="21">
        <f>-BS294/Model!BS$221</f>
        <v>0.10988835725677831</v>
      </c>
      <c r="BT295" s="1166"/>
      <c r="BU295" s="1166"/>
      <c r="BV295" s="1166"/>
      <c r="BW295" s="1176"/>
      <c r="BX295" s="21">
        <f>-BX294/Model!BX$221</f>
        <v>0.11131725417439703</v>
      </c>
      <c r="BY295" s="1166"/>
      <c r="BZ295" s="1166"/>
      <c r="CA295" s="1166"/>
      <c r="CB295" s="1176"/>
      <c r="CC295" s="21">
        <f>-CC294/Model!CC$221</f>
        <v>0.1423687089715536</v>
      </c>
      <c r="CD295" s="1166"/>
      <c r="CE295" s="1166"/>
      <c r="CF295" s="1166"/>
      <c r="CG295" s="1176"/>
      <c r="CH295" s="21">
        <f>-CH294/Model!CH$221</f>
        <v>0.12098677998111426</v>
      </c>
      <c r="CI295" s="1166"/>
      <c r="CJ295" s="1166"/>
      <c r="CK295" s="1166"/>
      <c r="CL295" s="1176"/>
      <c r="CM295" s="21">
        <f>-CM294/Model!CM$221</f>
        <v>0.12522589560965239</v>
      </c>
      <c r="CN295" s="1166"/>
      <c r="CO295" s="1166"/>
      <c r="CP295" s="1166"/>
      <c r="CQ295" s="1176"/>
      <c r="CR295" s="21">
        <f>-CR294/Model!CR$221</f>
        <v>0.14217557251908397</v>
      </c>
      <c r="CS295" s="1166"/>
      <c r="CT295" s="1166"/>
      <c r="CU295" s="1166"/>
      <c r="CV295" s="1176"/>
      <c r="CW295" s="21">
        <f>-CW294/Model!CW$221</f>
        <v>0.14614013694775349</v>
      </c>
      <c r="CX295" s="1166"/>
      <c r="CY295" s="1166"/>
      <c r="CZ295" s="1166"/>
      <c r="DA295" s="1166"/>
      <c r="DB295" s="21">
        <f>-DB294/Model!DB$221</f>
        <v>0.16300665077174051</v>
      </c>
      <c r="DC295" s="1166"/>
      <c r="DD295" s="1166"/>
      <c r="DE295" s="1166"/>
      <c r="DF295" s="1166"/>
      <c r="DG295" s="21">
        <f>-DG294/Model!DG$221</f>
        <v>0.15447872967981488</v>
      </c>
      <c r="DH295" s="1166"/>
      <c r="DI295" s="1166"/>
      <c r="DJ295" s="1166"/>
      <c r="DK295" s="1166"/>
      <c r="DL295" s="21">
        <f>-DL294/Model!DL$221</f>
        <v>0.1933404940923738</v>
      </c>
      <c r="DM295" s="1166">
        <f>-DM294/Model!DM$221</f>
        <v>0.16529221943348871</v>
      </c>
      <c r="DN295" s="1166">
        <v>0</v>
      </c>
      <c r="DO295" s="1166"/>
      <c r="DP295" s="1166">
        <f>-DP294/Model!DP$221</f>
        <v>0.26788375558867361</v>
      </c>
      <c r="DQ295" s="21">
        <f>-DQ294/Model!DQ$221</f>
        <v>0.20298913043478262</v>
      </c>
      <c r="DR295" s="1166">
        <f>-DR294/Model!DR$221</f>
        <v>0.13842220598977356</v>
      </c>
      <c r="DS295" s="1166">
        <f>-DS294/Model!DS$221</f>
        <v>0.18022840827980013</v>
      </c>
      <c r="DT295" s="1166">
        <f>-DT294/Model!DT$221</f>
        <v>0.2075070821529745</v>
      </c>
      <c r="DU295" s="1166">
        <f>-DU294/Model!DU$221</f>
        <v>0.17389795209996528</v>
      </c>
      <c r="DV295" s="21">
        <f>-DV294/Model!DV$221</f>
        <v>0.175277901289462</v>
      </c>
      <c r="DW295" s="1166">
        <f>-DW294/Model!DW$221</f>
        <v>0.14168835998512458</v>
      </c>
      <c r="DX295" s="1166">
        <f>-DX294/Model!DX$221</f>
        <v>0.14069690992767916</v>
      </c>
      <c r="DY295" s="1166">
        <f>-DY294/Model!DY$221</f>
        <v>0.18855441614290441</v>
      </c>
      <c r="DZ295" s="1166">
        <f>-DZ294/Model!DZ$221</f>
        <v>0.25749128919860625</v>
      </c>
      <c r="EA295" s="21">
        <f>-EA294/Model!EA$221</f>
        <v>0.18220922229869235</v>
      </c>
      <c r="EB295" s="1166">
        <f>-EB294/Model!EB$221</f>
        <v>0.1527074405921309</v>
      </c>
      <c r="EC295" s="1166">
        <f>-EC294/Model!EC$221</f>
        <v>0.18208625138223369</v>
      </c>
      <c r="ED295" s="1166">
        <f>-ED294/Model!ED$221</f>
        <v>0.32841872465904903</v>
      </c>
      <c r="EE295" s="1166">
        <f>-EE294/Model!EE$221</f>
        <v>0.24146147736298651</v>
      </c>
      <c r="EF295" s="21">
        <f>-EF294/Model!EF$221</f>
        <v>0.22690514698886879</v>
      </c>
      <c r="EG295" s="1166">
        <f>-EG294/Model!EG$221</f>
        <v>0.16446280991735537</v>
      </c>
      <c r="EH295" s="1166">
        <f>-EH294/Model!EH$221</f>
        <v>0.2176039119804401</v>
      </c>
      <c r="EI295" s="1166">
        <f>-EI294/Model!EI$221</f>
        <v>0.1473851030110935</v>
      </c>
      <c r="EJ295" s="1166">
        <f>-EJ294/Model!EJ$221</f>
        <v>0.23413654618473895</v>
      </c>
      <c r="EK295" s="21">
        <f>-EK294/Model!EK$221</f>
        <v>0.19083737864077671</v>
      </c>
      <c r="EL295" s="1166">
        <f>-EL294/Model!EL$221</f>
        <v>0.17009708737864077</v>
      </c>
      <c r="EM295" s="1166">
        <f>-EM294/Model!EM$221</f>
        <v>0.16875237011755784</v>
      </c>
      <c r="EN295" s="1166">
        <f>-EN294/Model!EN$221</f>
        <v>0.16179775280898875</v>
      </c>
      <c r="EO295" s="1166">
        <f>-EO294/Model!EO$221</f>
        <v>0.15286624203821655</v>
      </c>
      <c r="EP295" s="21">
        <f>-EP294/Model!EP$221</f>
        <v>0.16330205667709222</v>
      </c>
      <c r="EQ295" s="1177"/>
      <c r="ER295" s="1177"/>
      <c r="ES295" s="1177"/>
      <c r="ET295" s="1177"/>
      <c r="EU295" s="29">
        <v>0.17</v>
      </c>
      <c r="EV295" s="2095"/>
      <c r="EW295" s="2095"/>
      <c r="EX295" s="2095"/>
      <c r="EY295" s="2095"/>
      <c r="EZ295" s="2094">
        <v>0.18</v>
      </c>
      <c r="FA295" s="2095"/>
      <c r="FB295" s="2095"/>
      <c r="FC295" s="2095"/>
      <c r="FD295" s="2095"/>
      <c r="FE295" s="2094">
        <v>0.18</v>
      </c>
      <c r="FF295" s="1183"/>
      <c r="FG295" s="1102"/>
      <c r="FH295" s="1184"/>
      <c r="FI295" s="1184"/>
      <c r="FJ295" s="1184"/>
      <c r="FK295" s="1184"/>
      <c r="FL295" s="1855"/>
      <c r="FM295" s="1186"/>
      <c r="FN295" s="1186"/>
      <c r="FO295" s="1186"/>
      <c r="FP295" s="1186"/>
      <c r="FQ295" s="1186"/>
      <c r="FR295" s="1185"/>
      <c r="FS295" s="1585" t="s">
        <v>833</v>
      </c>
      <c r="FT295" s="1585"/>
      <c r="FU295" s="1195"/>
      <c r="FV295" s="1185"/>
      <c r="FW295" s="1185"/>
      <c r="FX295" s="1185"/>
      <c r="FY295" s="1185"/>
      <c r="FZ295" s="1185"/>
      <c r="GA295" s="1102"/>
      <c r="GB295"/>
      <c r="GC295"/>
      <c r="GD295"/>
      <c r="GE295"/>
      <c r="GF295"/>
      <c r="GG295"/>
      <c r="GH295" s="1186"/>
      <c r="GI295" s="1186"/>
      <c r="GJ295" s="1186"/>
      <c r="GK295" s="1186"/>
      <c r="GL295" s="1186"/>
      <c r="GM295" s="1186"/>
      <c r="GN295" s="1186"/>
      <c r="GO295" s="1186"/>
      <c r="GP295" s="1186"/>
      <c r="GQ295" s="1186"/>
      <c r="GR295" s="1186"/>
      <c r="GS295" s="1186"/>
      <c r="GT295" s="1186"/>
      <c r="GU295" s="1186"/>
      <c r="GV295" s="1186"/>
      <c r="GW295" s="1186"/>
      <c r="GX295" s="1186"/>
      <c r="GY295" s="1186"/>
      <c r="GZ295" s="1186"/>
      <c r="HA295" s="1186"/>
      <c r="HB295" s="1186"/>
      <c r="HC295" s="1186"/>
      <c r="HD295" s="1186"/>
      <c r="HE295" s="1186"/>
      <c r="HF295" s="1186"/>
      <c r="HG295" s="1186"/>
      <c r="HH295" s="1186"/>
      <c r="HI295" s="1186"/>
      <c r="HJ295" s="1186"/>
      <c r="HK295" s="1186"/>
      <c r="HL295" s="1186"/>
      <c r="HM295" s="1186"/>
      <c r="HN295" s="1186"/>
      <c r="HO295" s="1186"/>
      <c r="HP295" s="1186"/>
      <c r="HQ295" s="1186"/>
      <c r="HR295" s="1186"/>
      <c r="HS295" s="1186"/>
      <c r="HT295" s="1186"/>
      <c r="HU295" s="1186"/>
      <c r="HV295" s="1186"/>
      <c r="HW295" s="1186"/>
      <c r="HX295" s="1186"/>
      <c r="HY295" s="1186"/>
      <c r="HZ295" s="1186"/>
      <c r="IA295" s="1186"/>
      <c r="IB295" s="1186"/>
      <c r="IC295" s="1186"/>
      <c r="ID295" s="1186"/>
      <c r="IE295" s="1186"/>
      <c r="IF295" s="1186"/>
      <c r="IG295" s="1186"/>
      <c r="IH295" s="1186"/>
      <c r="II295" s="1186"/>
      <c r="IJ295" s="1186"/>
      <c r="IK295" s="1186"/>
      <c r="IL295" s="1186"/>
      <c r="IM295" s="1186"/>
      <c r="IN295" s="1186"/>
      <c r="IO295" s="1186"/>
      <c r="IP295" s="1186"/>
      <c r="IQ295" s="1186"/>
      <c r="IR295" s="1186"/>
      <c r="IS295" s="1186"/>
      <c r="IT295" s="1186"/>
      <c r="IU295" s="1186"/>
      <c r="IV295" s="1186"/>
    </row>
    <row r="296" spans="1:256" s="164" customFormat="1" ht="12.75" x14ac:dyDescent="0.2">
      <c r="A296" s="161" t="s">
        <v>10</v>
      </c>
      <c r="B296" s="162"/>
      <c r="C296" s="162"/>
      <c r="D296" s="162"/>
      <c r="E296" s="225"/>
      <c r="F296" s="163"/>
      <c r="G296" s="162"/>
      <c r="H296" s="162"/>
      <c r="I296" s="162"/>
      <c r="J296" s="225"/>
      <c r="K296" s="163"/>
      <c r="L296" s="162"/>
      <c r="M296" s="162"/>
      <c r="N296" s="162"/>
      <c r="O296" s="225"/>
      <c r="P296" s="163"/>
      <c r="Q296" s="162"/>
      <c r="R296" s="162"/>
      <c r="S296" s="162"/>
      <c r="T296" s="225"/>
      <c r="U296" s="163"/>
      <c r="V296" s="162"/>
      <c r="W296" s="162"/>
      <c r="X296" s="162"/>
      <c r="Y296" s="225"/>
      <c r="Z296" s="163"/>
      <c r="AA296" s="162"/>
      <c r="AB296" s="162"/>
      <c r="AC296" s="162"/>
      <c r="AD296" s="225"/>
      <c r="AE296" s="163"/>
      <c r="AF296" s="162"/>
      <c r="AG296" s="162"/>
      <c r="AH296" s="162"/>
      <c r="AI296" s="225"/>
      <c r="AJ296" s="163"/>
      <c r="AK296" s="162"/>
      <c r="AL296" s="162"/>
      <c r="AM296" s="162"/>
      <c r="AN296" s="225"/>
      <c r="AO296" s="163"/>
      <c r="AP296" s="162"/>
      <c r="AQ296" s="162"/>
      <c r="AR296" s="162"/>
      <c r="AS296" s="225"/>
      <c r="AT296" s="163">
        <f>AT292-(-AT294)</f>
        <v>271</v>
      </c>
      <c r="AU296" s="162"/>
      <c r="AV296" s="162"/>
      <c r="AW296" s="162"/>
      <c r="AX296" s="225"/>
      <c r="AY296" s="163">
        <f>AY292-(-AY294)</f>
        <v>-64</v>
      </c>
      <c r="AZ296" s="162"/>
      <c r="BA296" s="162"/>
      <c r="BB296" s="162"/>
      <c r="BC296" s="225"/>
      <c r="BD296" s="163">
        <f>BD292-(-BD294)</f>
        <v>-379</v>
      </c>
      <c r="BE296" s="162"/>
      <c r="BF296" s="162"/>
      <c r="BG296" s="162"/>
      <c r="BH296" s="225"/>
      <c r="BI296" s="163">
        <f>BI292-(-BI294)</f>
        <v>611</v>
      </c>
      <c r="BJ296" s="162"/>
      <c r="BK296" s="162"/>
      <c r="BL296" s="162"/>
      <c r="BM296" s="225"/>
      <c r="BN296" s="163">
        <f>BN292-(-BN294)</f>
        <v>-92</v>
      </c>
      <c r="BO296" s="162"/>
      <c r="BP296" s="162"/>
      <c r="BQ296" s="162"/>
      <c r="BR296" s="225"/>
      <c r="BS296" s="163">
        <f>BS292-(-BS294)</f>
        <v>114</v>
      </c>
      <c r="BT296" s="162"/>
      <c r="BU296" s="162"/>
      <c r="BV296" s="162"/>
      <c r="BW296" s="225"/>
      <c r="BX296" s="163">
        <f>BX292-(-BX294)</f>
        <v>334</v>
      </c>
      <c r="BY296" s="162"/>
      <c r="BZ296" s="162"/>
      <c r="CA296" s="162"/>
      <c r="CB296" s="225"/>
      <c r="CC296" s="163">
        <f>CC292-(-CC294)</f>
        <v>620</v>
      </c>
      <c r="CD296" s="162"/>
      <c r="CE296" s="162"/>
      <c r="CF296" s="162"/>
      <c r="CG296" s="225"/>
      <c r="CH296" s="163">
        <f>CH292-(-CH294)</f>
        <v>1080</v>
      </c>
      <c r="CI296" s="162"/>
      <c r="CJ296" s="162"/>
      <c r="CK296" s="162"/>
      <c r="CL296" s="225"/>
      <c r="CM296" s="163">
        <f>CM292-(-CM294)</f>
        <v>1028</v>
      </c>
      <c r="CN296" s="162"/>
      <c r="CO296" s="162"/>
      <c r="CP296" s="162"/>
      <c r="CQ296" s="225"/>
      <c r="CR296" s="163">
        <f>CR292-(-CR294)</f>
        <v>992</v>
      </c>
      <c r="CS296" s="162"/>
      <c r="CT296" s="162"/>
      <c r="CU296" s="162"/>
      <c r="CV296" s="225"/>
      <c r="CW296" s="163">
        <f>CW292-(-CW294)</f>
        <v>1157</v>
      </c>
      <c r="CX296" s="162"/>
      <c r="CY296" s="162"/>
      <c r="CZ296" s="162"/>
      <c r="DA296" s="162"/>
      <c r="DB296" s="163">
        <f>DB292-(-DB294)</f>
        <v>561</v>
      </c>
      <c r="DC296" s="162"/>
      <c r="DD296" s="162"/>
      <c r="DE296" s="162"/>
      <c r="DF296" s="162"/>
      <c r="DG296" s="163">
        <f>DG292-(-DG294)</f>
        <v>1244</v>
      </c>
      <c r="DH296" s="162"/>
      <c r="DI296" s="162"/>
      <c r="DJ296" s="162"/>
      <c r="DK296" s="162"/>
      <c r="DL296" s="163">
        <f>DL292-(-DL294)</f>
        <v>1067</v>
      </c>
      <c r="DM296" s="1165">
        <f>DM292-(-DM294)</f>
        <v>574</v>
      </c>
      <c r="DN296" s="1165">
        <f>DN292-(-DN294)</f>
        <v>121</v>
      </c>
      <c r="DO296" s="1165"/>
      <c r="DP296" s="1165"/>
      <c r="DQ296" s="163">
        <f t="shared" ref="DQ296:DV296" si="1035">DQ292-(-DQ294)</f>
        <v>824</v>
      </c>
      <c r="DR296" s="1165">
        <f t="shared" si="1035"/>
        <v>344</v>
      </c>
      <c r="DS296" s="1165">
        <f t="shared" si="1035"/>
        <v>278</v>
      </c>
      <c r="DT296" s="1165">
        <f t="shared" si="1035"/>
        <v>312</v>
      </c>
      <c r="DU296" s="1165">
        <f t="shared" si="1035"/>
        <v>173</v>
      </c>
      <c r="DV296" s="163">
        <f t="shared" si="1035"/>
        <v>1107</v>
      </c>
      <c r="DW296" s="1165">
        <f t="shared" ref="DW296:EB296" si="1036">DW292-(-DW294)</f>
        <v>207</v>
      </c>
      <c r="DX296" s="1165">
        <f t="shared" si="1036"/>
        <v>421</v>
      </c>
      <c r="DY296" s="1165">
        <f t="shared" si="1036"/>
        <v>339</v>
      </c>
      <c r="DZ296" s="1165">
        <f t="shared" si="1036"/>
        <v>-233</v>
      </c>
      <c r="EA296" s="163">
        <f t="shared" si="1036"/>
        <v>734</v>
      </c>
      <c r="EB296" s="1165">
        <f t="shared" si="1036"/>
        <v>213</v>
      </c>
      <c r="EC296" s="1165">
        <f t="shared" ref="EC296:EH296" si="1037">EC292-(-EC294)</f>
        <v>374</v>
      </c>
      <c r="ED296" s="1165">
        <f t="shared" si="1037"/>
        <v>-156</v>
      </c>
      <c r="EE296" s="1165">
        <f t="shared" si="1037"/>
        <v>92</v>
      </c>
      <c r="EF296" s="163">
        <f t="shared" si="1037"/>
        <v>523</v>
      </c>
      <c r="EG296" s="1165">
        <f t="shared" si="1037"/>
        <v>481</v>
      </c>
      <c r="EH296" s="1165">
        <f t="shared" si="1037"/>
        <v>19</v>
      </c>
      <c r="EI296" s="1165">
        <f>EI292-(-EI294)</f>
        <v>508</v>
      </c>
      <c r="EJ296" s="1165">
        <f t="shared" ref="EJ296" si="1038">EJ292-(-EJ294)</f>
        <v>139</v>
      </c>
      <c r="EK296" s="163">
        <f>EK292-(-EK294)</f>
        <v>1147</v>
      </c>
      <c r="EL296" s="1165">
        <f t="shared" ref="EL296:EM296" si="1039">EL292-(-EL294)</f>
        <v>408</v>
      </c>
      <c r="EM296" s="1165">
        <f t="shared" si="1039"/>
        <v>285</v>
      </c>
      <c r="EN296" s="1165">
        <f>EN292-(-EN294)</f>
        <v>457</v>
      </c>
      <c r="EO296" s="1165">
        <f t="shared" ref="EO296" si="1040">EO292-(-EO294)</f>
        <v>380</v>
      </c>
      <c r="EP296" s="163">
        <f>EP292-(-EP294)</f>
        <v>1530</v>
      </c>
      <c r="EQ296" s="1165"/>
      <c r="ER296" s="1165"/>
      <c r="ES296" s="1165"/>
      <c r="ET296" s="1165"/>
      <c r="EU296" s="163">
        <f>EU292-(-EU294)</f>
        <v>1705.4793997537249</v>
      </c>
      <c r="EV296" s="1165"/>
      <c r="EW296" s="1165"/>
      <c r="EX296" s="1165"/>
      <c r="EY296" s="1165"/>
      <c r="EZ296" s="163">
        <f>EZ292-(-EZ294)</f>
        <v>1652.5872172550589</v>
      </c>
      <c r="FA296" s="1165"/>
      <c r="FB296" s="1165"/>
      <c r="FC296" s="1165"/>
      <c r="FD296" s="1165"/>
      <c r="FE296" s="163">
        <f>FE292-(-FE294)</f>
        <v>1732.6170147018688</v>
      </c>
      <c r="FF296" s="821"/>
      <c r="FG296" s="660"/>
      <c r="FH296" s="1053"/>
      <c r="FI296" s="1053"/>
      <c r="FJ296" s="1053"/>
      <c r="FK296" s="1053"/>
      <c r="FL296" s="1856"/>
      <c r="FM296" s="1013"/>
      <c r="FN296" s="1013"/>
      <c r="FO296" s="1013"/>
      <c r="FP296" s="1013"/>
      <c r="FQ296" s="1013"/>
      <c r="FR296" s="607"/>
      <c r="FS296" s="1585" t="s">
        <v>801</v>
      </c>
      <c r="FT296" s="1585"/>
      <c r="FU296" s="1585"/>
      <c r="FV296" s="607"/>
      <c r="FW296" s="607"/>
      <c r="FX296" s="607"/>
      <c r="FY296" s="607"/>
      <c r="FZ296" s="607"/>
      <c r="GA296" s="660"/>
      <c r="GB296"/>
      <c r="GC296"/>
      <c r="GD296"/>
      <c r="GE296"/>
      <c r="GF296"/>
      <c r="GG296"/>
      <c r="GH296" s="1013"/>
      <c r="GI296" s="1013"/>
      <c r="GJ296" s="1013"/>
      <c r="GK296" s="1013"/>
      <c r="GL296" s="1013"/>
      <c r="GM296" s="1013"/>
      <c r="GN296" s="1013"/>
      <c r="GO296" s="1013"/>
      <c r="GP296" s="1013"/>
      <c r="GQ296" s="1013"/>
      <c r="GR296" s="1013"/>
      <c r="GS296" s="1013"/>
      <c r="GT296" s="1013"/>
      <c r="GU296" s="1013"/>
      <c r="GV296" s="1013"/>
      <c r="GW296" s="1013"/>
      <c r="GX296" s="1013"/>
      <c r="GY296" s="1013"/>
      <c r="GZ296" s="1013"/>
      <c r="HA296" s="1013"/>
      <c r="HB296" s="1013"/>
      <c r="HC296" s="1013"/>
      <c r="HD296" s="1013"/>
      <c r="HE296" s="1013"/>
      <c r="HF296" s="1013"/>
      <c r="HG296" s="1013"/>
      <c r="HH296" s="1013"/>
      <c r="HI296" s="1013"/>
      <c r="HJ296" s="1013"/>
      <c r="HK296" s="1013"/>
      <c r="HL296" s="1013"/>
      <c r="HM296" s="1013"/>
      <c r="HN296" s="1013"/>
      <c r="HO296" s="1013"/>
      <c r="HP296" s="1013"/>
      <c r="HQ296" s="1013"/>
      <c r="HR296" s="1013"/>
      <c r="HS296" s="1013"/>
      <c r="HT296" s="1013"/>
      <c r="HU296" s="1013"/>
      <c r="HV296" s="1013"/>
      <c r="HW296" s="1013"/>
      <c r="HX296" s="1013"/>
      <c r="HY296" s="1013"/>
      <c r="HZ296" s="1013"/>
      <c r="IA296" s="1013"/>
      <c r="IB296" s="1013"/>
      <c r="IC296" s="1013"/>
      <c r="ID296" s="1013"/>
      <c r="IE296" s="1013"/>
      <c r="IF296" s="1013"/>
      <c r="IG296" s="1013"/>
      <c r="IH296" s="1013"/>
      <c r="II296" s="1013"/>
      <c r="IJ296" s="1013"/>
      <c r="IK296" s="1013"/>
      <c r="IL296" s="1013"/>
      <c r="IM296" s="1013"/>
      <c r="IN296" s="1013"/>
      <c r="IO296" s="1013"/>
      <c r="IP296" s="1013"/>
      <c r="IQ296" s="1013"/>
      <c r="IR296" s="1013"/>
      <c r="IS296" s="1013"/>
      <c r="IT296" s="1013"/>
      <c r="IU296" s="1013"/>
      <c r="IV296" s="1013"/>
    </row>
    <row r="297" spans="1:256" s="157" customFormat="1" ht="12.75" x14ac:dyDescent="0.2">
      <c r="A297" s="180" t="s">
        <v>129</v>
      </c>
      <c r="B297" s="158"/>
      <c r="C297" s="158"/>
      <c r="D297" s="158"/>
      <c r="E297" s="223"/>
      <c r="F297" s="159"/>
      <c r="G297" s="158"/>
      <c r="H297" s="158"/>
      <c r="I297" s="158"/>
      <c r="J297" s="223"/>
      <c r="K297" s="159"/>
      <c r="L297" s="158"/>
      <c r="M297" s="158"/>
      <c r="N297" s="158"/>
      <c r="O297" s="223"/>
      <c r="P297" s="159"/>
      <c r="Q297" s="158"/>
      <c r="R297" s="158"/>
      <c r="S297" s="158"/>
      <c r="T297" s="223"/>
      <c r="U297" s="159"/>
      <c r="V297" s="158"/>
      <c r="W297" s="158"/>
      <c r="X297" s="158"/>
      <c r="Y297" s="223"/>
      <c r="Z297" s="159"/>
      <c r="AA297" s="158"/>
      <c r="AB297" s="158"/>
      <c r="AC297" s="158"/>
      <c r="AD297" s="223"/>
      <c r="AE297" s="159"/>
      <c r="AF297" s="158"/>
      <c r="AG297" s="158"/>
      <c r="AH297" s="158"/>
      <c r="AI297" s="223"/>
      <c r="AJ297" s="159"/>
      <c r="AK297" s="158"/>
      <c r="AL297" s="158"/>
      <c r="AM297" s="158"/>
      <c r="AN297" s="223"/>
      <c r="AO297" s="159"/>
      <c r="AP297" s="158"/>
      <c r="AQ297" s="158"/>
      <c r="AR297" s="158"/>
      <c r="AS297" s="223"/>
      <c r="AT297" s="159">
        <f>74-5741-185+217</f>
        <v>-5635</v>
      </c>
      <c r="AU297" s="158"/>
      <c r="AV297" s="158"/>
      <c r="AW297" s="158"/>
      <c r="AX297" s="223"/>
      <c r="AY297" s="159">
        <f>83+207</f>
        <v>290</v>
      </c>
      <c r="AZ297" s="158"/>
      <c r="BA297" s="158"/>
      <c r="BB297" s="158"/>
      <c r="BC297" s="223"/>
      <c r="BD297" s="159">
        <v>104</v>
      </c>
      <c r="BE297" s="158"/>
      <c r="BF297" s="158"/>
      <c r="BG297" s="158"/>
      <c r="BH297" s="223"/>
      <c r="BI297" s="159">
        <v>137</v>
      </c>
      <c r="BJ297" s="158"/>
      <c r="BK297" s="158"/>
      <c r="BL297" s="158"/>
      <c r="BM297" s="223"/>
      <c r="BN297" s="159">
        <v>156</v>
      </c>
      <c r="BO297" s="158"/>
      <c r="BP297" s="158"/>
      <c r="BQ297" s="158"/>
      <c r="BR297" s="223"/>
      <c r="BS297" s="159">
        <v>31</v>
      </c>
      <c r="BT297" s="158"/>
      <c r="BU297" s="158"/>
      <c r="BV297" s="158"/>
      <c r="BW297" s="223"/>
      <c r="BX297" s="159">
        <v>78</v>
      </c>
      <c r="BY297" s="158"/>
      <c r="BZ297" s="158"/>
      <c r="CA297" s="158"/>
      <c r="CB297" s="223"/>
      <c r="CC297" s="159">
        <v>75</v>
      </c>
      <c r="CD297" s="158"/>
      <c r="CE297" s="158"/>
      <c r="CF297" s="158"/>
      <c r="CG297" s="223"/>
      <c r="CH297" s="159">
        <v>110</v>
      </c>
      <c r="CI297" s="158"/>
      <c r="CJ297" s="158"/>
      <c r="CK297" s="158"/>
      <c r="CL297" s="223"/>
      <c r="CM297" s="159">
        <v>119</v>
      </c>
      <c r="CN297" s="158"/>
      <c r="CO297" s="158"/>
      <c r="CP297" s="158"/>
      <c r="CQ297" s="223"/>
      <c r="CR297" s="159">
        <v>124</v>
      </c>
      <c r="CS297" s="158"/>
      <c r="CT297" s="158"/>
      <c r="CU297" s="158"/>
      <c r="CV297" s="223"/>
      <c r="CW297" s="159">
        <v>109</v>
      </c>
      <c r="CX297" s="156"/>
      <c r="CY297" s="156"/>
      <c r="CZ297" s="156"/>
      <c r="DA297" s="158"/>
      <c r="DB297" s="159">
        <v>84</v>
      </c>
      <c r="DC297" s="156"/>
      <c r="DD297" s="156"/>
      <c r="DE297" s="156"/>
      <c r="DF297" s="158"/>
      <c r="DG297" s="159">
        <v>97</v>
      </c>
      <c r="DH297" s="158"/>
      <c r="DI297" s="156"/>
      <c r="DJ297" s="156"/>
      <c r="DK297" s="158"/>
      <c r="DL297" s="48">
        <f>439-135</f>
        <v>304</v>
      </c>
      <c r="DM297" s="20">
        <v>2</v>
      </c>
      <c r="DN297" s="172">
        <f>15-DM297</f>
        <v>13</v>
      </c>
      <c r="DO297" s="172"/>
      <c r="DP297" s="20"/>
      <c r="DQ297" s="48">
        <v>192</v>
      </c>
      <c r="DR297" s="20">
        <v>19</v>
      </c>
      <c r="DS297" s="172">
        <f>68-DR297</f>
        <v>49</v>
      </c>
      <c r="DT297" s="172">
        <f>109-SUM(DR297:DS297)</f>
        <v>41</v>
      </c>
      <c r="DU297" s="20">
        <f>DV297-SUM(DR297:DT297)</f>
        <v>35</v>
      </c>
      <c r="DV297" s="171">
        <v>144</v>
      </c>
      <c r="DW297" s="20">
        <v>22</v>
      </c>
      <c r="DX297" s="20">
        <f>44-DW297</f>
        <v>22</v>
      </c>
      <c r="DY297" s="20">
        <f>69-SUM(DW297:DX297)</f>
        <v>25</v>
      </c>
      <c r="DZ297" s="20">
        <f>EA297-SUM(DW297:DY297)</f>
        <v>45</v>
      </c>
      <c r="EA297" s="171">
        <v>114</v>
      </c>
      <c r="EB297" s="20">
        <v>16</v>
      </c>
      <c r="EC297" s="20">
        <f>32-EB297</f>
        <v>16</v>
      </c>
      <c r="ED297" s="20">
        <f>43-SUM(EB297:EC297)</f>
        <v>11</v>
      </c>
      <c r="EE297" s="20">
        <f>EF297-SUM(EB297:ED297)</f>
        <v>20</v>
      </c>
      <c r="EF297" s="171">
        <v>63</v>
      </c>
      <c r="EG297" s="20">
        <v>12</v>
      </c>
      <c r="EH297" s="20">
        <f>40-EG297</f>
        <v>28</v>
      </c>
      <c r="EI297" s="20">
        <f>87-SUM(EG297:EH297)</f>
        <v>47</v>
      </c>
      <c r="EJ297" s="20">
        <f>EK297-SUM(EG297:EI297)</f>
        <v>43</v>
      </c>
      <c r="EK297" s="171">
        <v>130</v>
      </c>
      <c r="EL297" s="20">
        <v>35</v>
      </c>
      <c r="EM297" s="20">
        <f>60-EL297</f>
        <v>25</v>
      </c>
      <c r="EN297" s="20">
        <f>137-SUM(EL297:EM297)</f>
        <v>77</v>
      </c>
      <c r="EO297" s="20">
        <f>EP297-SUM(EL297:EN297)</f>
        <v>65</v>
      </c>
      <c r="EP297" s="171">
        <v>202</v>
      </c>
      <c r="EQ297" s="1168"/>
      <c r="ER297" s="1168"/>
      <c r="ES297" s="1168"/>
      <c r="ET297" s="1168"/>
      <c r="EU297" s="179">
        <v>0</v>
      </c>
      <c r="EV297" s="1168"/>
      <c r="EW297" s="1168"/>
      <c r="EX297" s="1168"/>
      <c r="EY297" s="1168"/>
      <c r="EZ297" s="179">
        <v>0</v>
      </c>
      <c r="FA297" s="1168"/>
      <c r="FB297" s="1168"/>
      <c r="FC297" s="1168"/>
      <c r="FD297" s="1168"/>
      <c r="FE297" s="179">
        <v>0</v>
      </c>
      <c r="FF297" s="818"/>
      <c r="FG297" s="660"/>
      <c r="FH297" s="1083"/>
      <c r="FI297" s="1083"/>
      <c r="FJ297" s="1083"/>
      <c r="FK297" s="1083"/>
      <c r="FL297" s="1850"/>
      <c r="FM297" s="1785"/>
      <c r="FN297" s="1785"/>
      <c r="FO297" s="1785"/>
      <c r="FP297" s="1785"/>
      <c r="FQ297" s="1785"/>
      <c r="FR297" s="1585"/>
      <c r="FS297" s="1585" t="s">
        <v>727</v>
      </c>
      <c r="FT297" s="605"/>
      <c r="FU297" s="605"/>
      <c r="FV297" s="605"/>
      <c r="FW297" s="605"/>
      <c r="FX297" s="605"/>
      <c r="FY297" s="605"/>
      <c r="FZ297" s="605"/>
      <c r="GA297" s="660"/>
      <c r="GB297"/>
      <c r="GC297"/>
      <c r="GD297"/>
      <c r="GE297"/>
      <c r="GF297"/>
      <c r="GG297"/>
      <c r="GH297" s="1005"/>
      <c r="GI297" s="1005"/>
      <c r="GJ297" s="1005"/>
      <c r="GK297" s="1005"/>
      <c r="GL297" s="1005"/>
      <c r="GM297" s="1005"/>
      <c r="GN297" s="1005"/>
      <c r="GO297" s="1005"/>
      <c r="GP297" s="1005"/>
      <c r="GQ297" s="1005"/>
      <c r="GR297" s="1005"/>
      <c r="GS297" s="1005"/>
      <c r="GT297" s="1005"/>
      <c r="GU297" s="1005"/>
      <c r="GV297" s="1005"/>
      <c r="GW297" s="1005"/>
      <c r="GX297" s="1005"/>
      <c r="GY297" s="1005"/>
      <c r="GZ297" s="1005"/>
      <c r="HA297" s="1005"/>
      <c r="HB297" s="1005"/>
      <c r="HC297" s="1005"/>
      <c r="HD297" s="1005"/>
      <c r="HE297" s="1005"/>
      <c r="HF297" s="1005"/>
      <c r="HG297" s="1005"/>
      <c r="HH297" s="1005"/>
      <c r="HI297" s="1005"/>
      <c r="HJ297" s="1005"/>
      <c r="HK297" s="1005"/>
      <c r="HL297" s="1005"/>
      <c r="HM297" s="1005"/>
      <c r="HN297" s="1005"/>
      <c r="HO297" s="1005"/>
      <c r="HP297" s="1005"/>
      <c r="HQ297" s="1005"/>
      <c r="HR297" s="1005"/>
      <c r="HS297" s="1005"/>
      <c r="HT297" s="1005"/>
      <c r="HU297" s="1005"/>
      <c r="HV297" s="1005"/>
      <c r="HW297" s="1005"/>
      <c r="HX297" s="1005"/>
      <c r="HY297" s="1005"/>
      <c r="HZ297" s="1005"/>
      <c r="IA297" s="1005"/>
      <c r="IB297" s="1005"/>
      <c r="IC297" s="1005"/>
      <c r="ID297" s="1005"/>
      <c r="IE297" s="1005"/>
      <c r="IF297" s="1005"/>
      <c r="IG297" s="1005"/>
      <c r="IH297" s="1005"/>
      <c r="II297" s="1005"/>
      <c r="IJ297" s="1005"/>
      <c r="IK297" s="1005"/>
      <c r="IL297" s="1005"/>
      <c r="IM297" s="1005"/>
      <c r="IN297" s="1005"/>
      <c r="IO297" s="1005"/>
      <c r="IP297" s="1005"/>
      <c r="IQ297" s="1005"/>
      <c r="IR297" s="1005"/>
      <c r="IS297" s="1005"/>
      <c r="IT297" s="1005"/>
      <c r="IU297" s="1005"/>
      <c r="IV297" s="1005"/>
    </row>
    <row r="298" spans="1:256" s="1197" customFormat="1" ht="12.75" x14ac:dyDescent="0.2">
      <c r="A298" s="280" t="s">
        <v>153</v>
      </c>
      <c r="B298" s="20"/>
      <c r="C298" s="20"/>
      <c r="D298" s="20"/>
      <c r="E298" s="205"/>
      <c r="F298" s="48"/>
      <c r="G298" s="20"/>
      <c r="H298" s="20"/>
      <c r="I298" s="20"/>
      <c r="J298" s="205"/>
      <c r="K298" s="48"/>
      <c r="L298" s="20"/>
      <c r="M298" s="20"/>
      <c r="N298" s="20"/>
      <c r="O298" s="205"/>
      <c r="P298" s="48"/>
      <c r="Q298" s="20"/>
      <c r="R298" s="20"/>
      <c r="S298" s="20"/>
      <c r="T298" s="205"/>
      <c r="U298" s="48"/>
      <c r="V298" s="20"/>
      <c r="W298" s="20"/>
      <c r="X298" s="20"/>
      <c r="Y298" s="205"/>
      <c r="Z298" s="48"/>
      <c r="AA298" s="20"/>
      <c r="AB298" s="20"/>
      <c r="AC298" s="20"/>
      <c r="AD298" s="205"/>
      <c r="AE298" s="48"/>
      <c r="AF298" s="20"/>
      <c r="AG298" s="20"/>
      <c r="AH298" s="20"/>
      <c r="AI298" s="205"/>
      <c r="AJ298" s="48"/>
      <c r="AK298" s="20"/>
      <c r="AL298" s="20"/>
      <c r="AM298" s="20"/>
      <c r="AN298" s="205"/>
      <c r="AO298" s="48"/>
      <c r="AP298" s="20"/>
      <c r="AQ298" s="20"/>
      <c r="AR298" s="20"/>
      <c r="AS298" s="205"/>
      <c r="AT298" s="48"/>
      <c r="AU298" s="20"/>
      <c r="AV298" s="20"/>
      <c r="AW298" s="20"/>
      <c r="AX298" s="205"/>
      <c r="AY298" s="48">
        <v>-1</v>
      </c>
      <c r="AZ298" s="20"/>
      <c r="BA298" s="20"/>
      <c r="BB298" s="20"/>
      <c r="BC298" s="205"/>
      <c r="BD298" s="48">
        <f>343-126</f>
        <v>217</v>
      </c>
      <c r="BE298" s="20"/>
      <c r="BF298" s="20"/>
      <c r="BG298" s="20"/>
      <c r="BH298" s="205"/>
      <c r="BI298" s="48">
        <f>-77+90</f>
        <v>13</v>
      </c>
      <c r="BJ298" s="20"/>
      <c r="BK298" s="20"/>
      <c r="BL298" s="20"/>
      <c r="BM298" s="205"/>
      <c r="BN298" s="48">
        <f>-99+88</f>
        <v>-11</v>
      </c>
      <c r="BO298" s="20"/>
      <c r="BP298" s="20"/>
      <c r="BQ298" s="20"/>
      <c r="BR298" s="205"/>
      <c r="BS298" s="48">
        <f>-78+63</f>
        <v>-15</v>
      </c>
      <c r="BT298" s="20"/>
      <c r="BU298" s="20"/>
      <c r="BV298" s="20"/>
      <c r="BW298" s="205"/>
      <c r="BX298" s="48">
        <f>-106+108</f>
        <v>2</v>
      </c>
      <c r="BY298" s="20"/>
      <c r="BZ298" s="20"/>
      <c r="CA298" s="20"/>
      <c r="CB298" s="205"/>
      <c r="CC298" s="48">
        <f>-396+117</f>
        <v>-279</v>
      </c>
      <c r="CD298" s="20"/>
      <c r="CE298" s="20"/>
      <c r="CF298" s="20"/>
      <c r="CG298" s="205"/>
      <c r="CH298" s="48">
        <f>-1822+910</f>
        <v>-912</v>
      </c>
      <c r="CI298" s="20"/>
      <c r="CJ298" s="20"/>
      <c r="CK298" s="20"/>
      <c r="CL298" s="205"/>
      <c r="CM298" s="48">
        <f>-1804+2179</f>
        <v>375</v>
      </c>
      <c r="CN298" s="20"/>
      <c r="CO298" s="20"/>
      <c r="CP298" s="20"/>
      <c r="CQ298" s="205"/>
      <c r="CR298" s="48">
        <f>827-635</f>
        <v>192</v>
      </c>
      <c r="CS298" s="20"/>
      <c r="CT298" s="20"/>
      <c r="CU298" s="20"/>
      <c r="CV298" s="205"/>
      <c r="CW298" s="48">
        <f>307-86</f>
        <v>221</v>
      </c>
      <c r="CX298" s="172"/>
      <c r="CY298" s="172"/>
      <c r="CZ298" s="172"/>
      <c r="DA298" s="20"/>
      <c r="DB298" s="48">
        <f>-266+30</f>
        <v>-236</v>
      </c>
      <c r="DC298" s="172"/>
      <c r="DD298" s="172"/>
      <c r="DE298" s="172"/>
      <c r="DF298" s="20"/>
      <c r="DG298" s="48">
        <f>DG299-DG294-DG297</f>
        <v>-83</v>
      </c>
      <c r="DH298" s="20"/>
      <c r="DI298" s="172"/>
      <c r="DJ298" s="172"/>
      <c r="DK298" s="20"/>
      <c r="DL298" s="48">
        <f>DL299-DL294-DL297</f>
        <v>84</v>
      </c>
      <c r="DM298" s="20">
        <f>DM299-DM294-DM297</f>
        <v>23</v>
      </c>
      <c r="DN298" s="20">
        <f>DN299-DN294-DN297</f>
        <v>-2</v>
      </c>
      <c r="DO298" s="172"/>
      <c r="DP298" s="20"/>
      <c r="DQ298" s="48">
        <f t="shared" ref="DQ298:EA298" si="1041">DQ299-DQ294-DQ297</f>
        <v>55</v>
      </c>
      <c r="DR298" s="20">
        <f t="shared" si="1041"/>
        <v>-6</v>
      </c>
      <c r="DS298" s="172">
        <f t="shared" si="1041"/>
        <v>15</v>
      </c>
      <c r="DT298" s="172">
        <f t="shared" si="1041"/>
        <v>-17</v>
      </c>
      <c r="DU298" s="20">
        <f t="shared" si="1041"/>
        <v>-59</v>
      </c>
      <c r="DV298" s="48">
        <f t="shared" si="1041"/>
        <v>-67</v>
      </c>
      <c r="DW298" s="20">
        <f t="shared" si="1041"/>
        <v>105</v>
      </c>
      <c r="DX298" s="20">
        <f t="shared" si="1041"/>
        <v>13</v>
      </c>
      <c r="DY298" s="20">
        <f t="shared" si="1041"/>
        <v>-62</v>
      </c>
      <c r="DZ298" s="20">
        <f>DZ299-DZ294-DZ297</f>
        <v>-54</v>
      </c>
      <c r="EA298" s="48">
        <f t="shared" si="1041"/>
        <v>2</v>
      </c>
      <c r="EB298" s="20">
        <f t="shared" ref="EB298:EH298" si="1042">EB299-EB294-EB297</f>
        <v>-2</v>
      </c>
      <c r="EC298" s="20">
        <f t="shared" si="1042"/>
        <v>4</v>
      </c>
      <c r="ED298" s="20">
        <f t="shared" si="1042"/>
        <v>25</v>
      </c>
      <c r="EE298" s="20">
        <f t="shared" si="1042"/>
        <v>208</v>
      </c>
      <c r="EF298" s="48">
        <f t="shared" si="1042"/>
        <v>235</v>
      </c>
      <c r="EG298" s="20">
        <f t="shared" si="1042"/>
        <v>-22</v>
      </c>
      <c r="EH298" s="20">
        <f t="shared" si="1042"/>
        <v>2</v>
      </c>
      <c r="EI298" s="20">
        <f>EI299-EI294-EI297</f>
        <v>-93</v>
      </c>
      <c r="EJ298" s="20">
        <f t="shared" ref="EJ298" si="1043">EJ299-EJ294-EJ297</f>
        <v>38</v>
      </c>
      <c r="EK298" s="48">
        <f>EK299-EK294-EK297</f>
        <v>-75</v>
      </c>
      <c r="EL298" s="20">
        <f t="shared" ref="EL298:EM298" si="1044">EL299-EL294-EL297</f>
        <v>-1</v>
      </c>
      <c r="EM298" s="20">
        <f t="shared" si="1044"/>
        <v>0</v>
      </c>
      <c r="EN298" s="20">
        <f>EN299-EN294-EN297</f>
        <v>5</v>
      </c>
      <c r="EO298" s="20">
        <f t="shared" ref="EO298" si="1045">EO299-EO294-EO297</f>
        <v>36</v>
      </c>
      <c r="EP298" s="48">
        <f>EP299-EP294-EP297</f>
        <v>40</v>
      </c>
      <c r="EQ298" s="1168"/>
      <c r="ER298" s="1168"/>
      <c r="ES298" s="1168"/>
      <c r="ET298" s="1168"/>
      <c r="EU298" s="179">
        <v>0</v>
      </c>
      <c r="EV298" s="1168"/>
      <c r="EW298" s="1168"/>
      <c r="EX298" s="1168"/>
      <c r="EY298" s="1168"/>
      <c r="EZ298" s="179">
        <v>0</v>
      </c>
      <c r="FA298" s="1168"/>
      <c r="FB298" s="1168"/>
      <c r="FC298" s="1168"/>
      <c r="FD298" s="1168"/>
      <c r="FE298" s="179">
        <v>0</v>
      </c>
      <c r="FF298" s="1192"/>
      <c r="FG298" s="1193"/>
      <c r="FH298" s="1194"/>
      <c r="FI298" s="1194"/>
      <c r="FJ298" s="1194"/>
      <c r="FK298" s="1194"/>
      <c r="FL298" s="1853"/>
      <c r="FM298" s="1788"/>
      <c r="FN298" s="1788"/>
      <c r="FO298" s="1788"/>
      <c r="FP298" s="1788"/>
      <c r="FQ298" s="1788"/>
      <c r="FR298" s="1195"/>
      <c r="FS298" s="1195"/>
      <c r="FT298" s="1195"/>
      <c r="FU298" s="1195"/>
      <c r="FV298" s="1195"/>
      <c r="FW298" s="1195"/>
      <c r="FX298" s="1195"/>
      <c r="FY298" s="1195"/>
      <c r="FZ298" s="1195"/>
      <c r="GA298" s="1193"/>
      <c r="GB298"/>
      <c r="GC298"/>
      <c r="GD298"/>
      <c r="GE298"/>
      <c r="GF298"/>
      <c r="GG298"/>
      <c r="GH298" s="1196"/>
      <c r="GI298" s="1196"/>
      <c r="GJ298" s="1196"/>
      <c r="GK298" s="1196"/>
      <c r="GL298" s="1196"/>
      <c r="GM298" s="1196"/>
      <c r="GN298" s="1196"/>
      <c r="GO298" s="1196"/>
      <c r="GP298" s="1196"/>
      <c r="GQ298" s="1196"/>
      <c r="GR298" s="1196"/>
      <c r="GS298" s="1196"/>
      <c r="GT298" s="1196"/>
      <c r="GU298" s="1196"/>
      <c r="GV298" s="1196"/>
      <c r="GW298" s="1196"/>
      <c r="GX298" s="1196"/>
      <c r="GY298" s="1196"/>
      <c r="GZ298" s="1196"/>
      <c r="HA298" s="1196"/>
      <c r="HB298" s="1196"/>
      <c r="HC298" s="1196"/>
      <c r="HD298" s="1196"/>
      <c r="HE298" s="1196"/>
      <c r="HF298" s="1196"/>
      <c r="HG298" s="1196"/>
      <c r="HH298" s="1196"/>
      <c r="HI298" s="1196"/>
      <c r="HJ298" s="1196"/>
      <c r="HK298" s="1196"/>
      <c r="HL298" s="1196"/>
      <c r="HM298" s="1196"/>
      <c r="HN298" s="1196"/>
      <c r="HO298" s="1196"/>
      <c r="HP298" s="1196"/>
      <c r="HQ298" s="1196"/>
      <c r="HR298" s="1196"/>
      <c r="HS298" s="1196"/>
      <c r="HT298" s="1196"/>
      <c r="HU298" s="1196"/>
      <c r="HV298" s="1196"/>
      <c r="HW298" s="1196"/>
      <c r="HX298" s="1196"/>
      <c r="HY298" s="1196"/>
      <c r="HZ298" s="1196"/>
      <c r="IA298" s="1196"/>
      <c r="IB298" s="1196"/>
      <c r="IC298" s="1196"/>
      <c r="ID298" s="1196"/>
      <c r="IE298" s="1196"/>
      <c r="IF298" s="1196"/>
      <c r="IG298" s="1196"/>
      <c r="IH298" s="1196"/>
      <c r="II298" s="1196"/>
      <c r="IJ298" s="1196"/>
      <c r="IK298" s="1196"/>
      <c r="IL298" s="1196"/>
      <c r="IM298" s="1196"/>
      <c r="IN298" s="1196"/>
      <c r="IO298" s="1196"/>
      <c r="IP298" s="1196"/>
      <c r="IQ298" s="1196"/>
      <c r="IR298" s="1196"/>
      <c r="IS298" s="1196"/>
      <c r="IT298" s="1196"/>
      <c r="IU298" s="1196"/>
      <c r="IV298" s="1196"/>
    </row>
    <row r="299" spans="1:256" s="1170" customFormat="1" ht="12.75" x14ac:dyDescent="0.2">
      <c r="A299" s="1198" t="s">
        <v>130</v>
      </c>
      <c r="E299" s="1199"/>
      <c r="F299" s="1169"/>
      <c r="J299" s="1199"/>
      <c r="K299" s="1169"/>
      <c r="O299" s="1199"/>
      <c r="P299" s="1169"/>
      <c r="T299" s="1199"/>
      <c r="U299" s="1169"/>
      <c r="Y299" s="1199"/>
      <c r="Z299" s="1169"/>
      <c r="AD299" s="1199"/>
      <c r="AE299" s="1169"/>
      <c r="AI299" s="1199"/>
      <c r="AJ299" s="1169"/>
      <c r="AN299" s="1199"/>
      <c r="AO299" s="1169"/>
      <c r="AS299" s="1199"/>
      <c r="AT299" s="1169">
        <f>AT298+AT294+AT297</f>
        <v>-6510</v>
      </c>
      <c r="AX299" s="1199"/>
      <c r="AY299" s="1169">
        <f>AY298+AY294+AY297</f>
        <v>-667</v>
      </c>
      <c r="BC299" s="1199"/>
      <c r="BD299" s="1169">
        <f>BD298+BD294+BD297</f>
        <v>-591</v>
      </c>
      <c r="BH299" s="1199"/>
      <c r="BI299" s="1169">
        <f>BI298+BI294+BI297</f>
        <v>-581</v>
      </c>
      <c r="BM299" s="1199"/>
      <c r="BN299" s="1169">
        <f>BN298+BN294+BN297</f>
        <v>-601</v>
      </c>
      <c r="BR299" s="1199"/>
      <c r="BS299" s="1169">
        <f>BS298+BS294+BS297</f>
        <v>-673</v>
      </c>
      <c r="BW299" s="1199"/>
      <c r="BX299" s="1169">
        <f>BX298+BX294+BX297</f>
        <v>-640</v>
      </c>
      <c r="CB299" s="1199"/>
      <c r="CC299" s="1169">
        <f>CC298+CC294+CC297</f>
        <v>-1245</v>
      </c>
      <c r="CG299" s="1199"/>
      <c r="CH299" s="1169">
        <f>CH298+CH294+CH297</f>
        <v>-1827</v>
      </c>
      <c r="CL299" s="1199"/>
      <c r="CM299" s="1169">
        <f>CM298+CM294+CM297</f>
        <v>-684</v>
      </c>
      <c r="CQ299" s="1199"/>
      <c r="CR299" s="1169">
        <f>CR298+CR294+CR297</f>
        <v>-1025</v>
      </c>
      <c r="CV299" s="1199"/>
      <c r="CW299" s="1169">
        <f>CW298+CW294+CW297</f>
        <v>-1228</v>
      </c>
      <c r="DB299" s="1169">
        <f>DB298+DB294+DB297</f>
        <v>-1451</v>
      </c>
      <c r="DG299" s="1169">
        <v>-1456</v>
      </c>
      <c r="DL299" s="1169">
        <v>-1772</v>
      </c>
      <c r="DM299" s="1170">
        <v>-436</v>
      </c>
      <c r="DN299" s="1170">
        <f>+-932-DM299</f>
        <v>-496</v>
      </c>
      <c r="DQ299" s="1169">
        <v>-1994</v>
      </c>
      <c r="DR299" s="1170">
        <v>-366</v>
      </c>
      <c r="DS299" s="1170">
        <f>-807-DR299</f>
        <v>-441</v>
      </c>
      <c r="DT299" s="1170">
        <f>+-1369-SUM(DR299:DS299)</f>
        <v>-562</v>
      </c>
      <c r="DU299" s="1170">
        <f>DV299-SUM(DR299:DT299)</f>
        <v>-525</v>
      </c>
      <c r="DV299" s="1169">
        <v>-1894</v>
      </c>
      <c r="DW299" s="1170">
        <v>-254</v>
      </c>
      <c r="DX299" s="1170">
        <f>+-647-DW299</f>
        <v>-393</v>
      </c>
      <c r="DY299" s="1170">
        <f>+-1254-SUM(DW299:DX299)</f>
        <v>-607</v>
      </c>
      <c r="DZ299" s="1170">
        <f>EA299-SUM(DW299:DY299)</f>
        <v>-748</v>
      </c>
      <c r="EA299" s="1169">
        <v>-2002</v>
      </c>
      <c r="EB299" s="1170">
        <v>-378</v>
      </c>
      <c r="EC299" s="1170">
        <f>+-852-EB299</f>
        <v>-474</v>
      </c>
      <c r="ED299" s="1170">
        <f>+-1707-SUM(EB299:EC299)</f>
        <v>-855</v>
      </c>
      <c r="EE299" s="1170">
        <f>EF299-SUM(EB299:ED299)</f>
        <v>-380</v>
      </c>
      <c r="EF299" s="1169">
        <v>-2087</v>
      </c>
      <c r="EG299" s="1170">
        <v>-408</v>
      </c>
      <c r="EH299" s="1170">
        <f>+-912-EG299</f>
        <v>-504</v>
      </c>
      <c r="EI299" s="1170">
        <f>+-1330-SUM(EG299:EH299)</f>
        <v>-418</v>
      </c>
      <c r="EJ299" s="1170">
        <f>EK299-SUM(EG299:EI299)</f>
        <v>-502</v>
      </c>
      <c r="EK299" s="1169">
        <v>-1832</v>
      </c>
      <c r="EL299" s="1170">
        <v>-404</v>
      </c>
      <c r="EM299" s="1170">
        <f>+-824-EL299</f>
        <v>-420</v>
      </c>
      <c r="EN299" s="1170">
        <f>+-1174-SUM(EL299:EM299)</f>
        <v>-350</v>
      </c>
      <c r="EO299" s="1170">
        <f>EP299-SUM(EL299:EN299)</f>
        <v>-307</v>
      </c>
      <c r="EP299" s="1169">
        <v>-1481</v>
      </c>
      <c r="EU299" s="1169">
        <f>EU298+EU294+EU297</f>
        <v>-1903.4836024363417</v>
      </c>
      <c r="EZ299" s="1169">
        <f>EZ298+EZ294+EZ297</f>
        <v>-2089.5199576841214</v>
      </c>
      <c r="FE299" s="1169">
        <f>FE298+FE294+FE297</f>
        <v>-2168.6012431372314</v>
      </c>
      <c r="FF299" s="1200"/>
      <c r="FG299" s="1193"/>
      <c r="FH299" s="1201"/>
      <c r="FI299" s="1201"/>
      <c r="FJ299" s="1201"/>
      <c r="FK299" s="1201"/>
      <c r="FL299" s="1857"/>
      <c r="FM299" s="1203"/>
      <c r="FN299" s="1203"/>
      <c r="FO299" s="1203"/>
      <c r="FP299" s="1203"/>
      <c r="FQ299" s="1203"/>
      <c r="FR299" s="1202"/>
      <c r="FS299" s="1202"/>
      <c r="FT299" s="1202"/>
      <c r="FU299" s="1202"/>
      <c r="FV299" s="1202"/>
      <c r="FW299" s="1202"/>
      <c r="FX299" s="1202"/>
      <c r="FY299" s="1202"/>
      <c r="FZ299" s="1202"/>
      <c r="GA299" s="1193"/>
      <c r="GB299"/>
      <c r="GC299"/>
      <c r="GD299"/>
      <c r="GE299"/>
      <c r="GF299"/>
      <c r="GG299"/>
      <c r="GH299" s="1203"/>
      <c r="GI299" s="1203"/>
      <c r="GJ299" s="1203"/>
      <c r="GK299" s="1203"/>
      <c r="GL299" s="1203"/>
      <c r="GM299" s="1203"/>
      <c r="GN299" s="1203"/>
      <c r="GO299" s="1203"/>
      <c r="GP299" s="1203"/>
      <c r="GQ299" s="1203"/>
      <c r="GR299" s="1203"/>
      <c r="GS299" s="1203"/>
      <c r="GT299" s="1203"/>
      <c r="GU299" s="1203"/>
      <c r="GV299" s="1203"/>
      <c r="GW299" s="1203"/>
      <c r="GX299" s="1203"/>
      <c r="GY299" s="1203"/>
      <c r="GZ299" s="1203"/>
      <c r="HA299" s="1203"/>
      <c r="HB299" s="1203"/>
      <c r="HC299" s="1203"/>
      <c r="HD299" s="1203"/>
      <c r="HE299" s="1203"/>
      <c r="HF299" s="1203"/>
      <c r="HG299" s="1203"/>
      <c r="HH299" s="1203"/>
      <c r="HI299" s="1203"/>
      <c r="HJ299" s="1203"/>
      <c r="HK299" s="1203"/>
      <c r="HL299" s="1203"/>
      <c r="HM299" s="1203"/>
      <c r="HN299" s="1203"/>
      <c r="HO299" s="1203"/>
      <c r="HP299" s="1203"/>
      <c r="HQ299" s="1203"/>
      <c r="HR299" s="1203"/>
      <c r="HS299" s="1203"/>
      <c r="HT299" s="1203"/>
      <c r="HU299" s="1203"/>
      <c r="HV299" s="1203"/>
      <c r="HW299" s="1203"/>
      <c r="HX299" s="1203"/>
      <c r="HY299" s="1203"/>
      <c r="HZ299" s="1203"/>
      <c r="IA299" s="1203"/>
      <c r="IB299" s="1203"/>
      <c r="IC299" s="1203"/>
      <c r="ID299" s="1203"/>
      <c r="IE299" s="1203"/>
      <c r="IF299" s="1203"/>
      <c r="IG299" s="1203"/>
      <c r="IH299" s="1203"/>
      <c r="II299" s="1203"/>
      <c r="IJ299" s="1203"/>
      <c r="IK299" s="1203"/>
      <c r="IL299" s="1203"/>
      <c r="IM299" s="1203"/>
      <c r="IN299" s="1203"/>
      <c r="IO299" s="1203"/>
      <c r="IP299" s="1203"/>
      <c r="IQ299" s="1203"/>
      <c r="IR299" s="1203"/>
      <c r="IS299" s="1203"/>
      <c r="IT299" s="1203"/>
      <c r="IU299" s="1203"/>
      <c r="IV299" s="1203"/>
    </row>
    <row r="300" spans="1:256" s="562" customFormat="1" ht="12.6" customHeight="1" x14ac:dyDescent="0.2">
      <c r="A300" s="557" t="s">
        <v>131</v>
      </c>
      <c r="B300" s="558"/>
      <c r="C300" s="558"/>
      <c r="D300" s="558"/>
      <c r="E300" s="559"/>
      <c r="F300" s="560"/>
      <c r="G300" s="558"/>
      <c r="H300" s="558"/>
      <c r="I300" s="558"/>
      <c r="J300" s="559"/>
      <c r="K300" s="560"/>
      <c r="L300" s="558"/>
      <c r="M300" s="558"/>
      <c r="N300" s="558"/>
      <c r="O300" s="559"/>
      <c r="P300" s="560"/>
      <c r="Q300" s="558"/>
      <c r="R300" s="558"/>
      <c r="S300" s="558"/>
      <c r="T300" s="559"/>
      <c r="U300" s="560"/>
      <c r="V300" s="558"/>
      <c r="W300" s="558"/>
      <c r="X300" s="558"/>
      <c r="Y300" s="559"/>
      <c r="Z300" s="560"/>
      <c r="AA300" s="558"/>
      <c r="AB300" s="558"/>
      <c r="AC300" s="558"/>
      <c r="AD300" s="559"/>
      <c r="AE300" s="560"/>
      <c r="AF300" s="558"/>
      <c r="AG300" s="558"/>
      <c r="AH300" s="558"/>
      <c r="AI300" s="559"/>
      <c r="AJ300" s="560"/>
      <c r="AK300" s="558"/>
      <c r="AL300" s="558"/>
      <c r="AM300" s="558"/>
      <c r="AN300" s="559"/>
      <c r="AO300" s="560"/>
      <c r="AP300" s="558"/>
      <c r="AQ300" s="558"/>
      <c r="AR300" s="558"/>
      <c r="AS300" s="559"/>
      <c r="AT300" s="560"/>
      <c r="AU300" s="558"/>
      <c r="AV300" s="558"/>
      <c r="AW300" s="558"/>
      <c r="AX300" s="559"/>
      <c r="AY300" s="560"/>
      <c r="AZ300" s="558"/>
      <c r="BA300" s="558"/>
      <c r="BB300" s="558"/>
      <c r="BC300" s="559"/>
      <c r="BD300" s="560"/>
      <c r="BE300" s="558"/>
      <c r="BF300" s="558"/>
      <c r="BG300" s="558"/>
      <c r="BH300" s="559"/>
      <c r="BI300" s="560"/>
      <c r="BJ300" s="558"/>
      <c r="BK300" s="558"/>
      <c r="BL300" s="558"/>
      <c r="BM300" s="559"/>
      <c r="BN300" s="560"/>
      <c r="BO300" s="558"/>
      <c r="BP300" s="558"/>
      <c r="BQ300" s="558"/>
      <c r="BR300" s="559"/>
      <c r="BS300" s="560"/>
      <c r="BT300" s="558"/>
      <c r="BU300" s="558"/>
      <c r="BV300" s="558"/>
      <c r="BW300" s="559"/>
      <c r="BX300" s="560"/>
      <c r="BY300" s="558"/>
      <c r="BZ300" s="558"/>
      <c r="CA300" s="558"/>
      <c r="CB300" s="559"/>
      <c r="CC300" s="560"/>
      <c r="CD300" s="558"/>
      <c r="CE300" s="558"/>
      <c r="CF300" s="558"/>
      <c r="CG300" s="559"/>
      <c r="CH300" s="560"/>
      <c r="CI300" s="558"/>
      <c r="CJ300" s="558"/>
      <c r="CK300" s="558"/>
      <c r="CL300" s="559"/>
      <c r="CM300" s="560"/>
      <c r="CN300" s="558"/>
      <c r="CO300" s="558"/>
      <c r="CP300" s="558"/>
      <c r="CQ300" s="559"/>
      <c r="CR300" s="560"/>
      <c r="CS300" s="558"/>
      <c r="CT300" s="558"/>
      <c r="CU300" s="558"/>
      <c r="CV300" s="559"/>
      <c r="CW300" s="560"/>
      <c r="CX300" s="558"/>
      <c r="CY300" s="558"/>
      <c r="CZ300" s="558"/>
      <c r="DA300" s="558"/>
      <c r="DB300" s="560"/>
      <c r="DC300" s="558"/>
      <c r="DD300" s="558"/>
      <c r="DE300" s="558"/>
      <c r="DF300" s="558"/>
      <c r="DG300" s="560"/>
      <c r="DH300" s="558"/>
      <c r="DI300" s="558"/>
      <c r="DJ300" s="558"/>
      <c r="DK300" s="558"/>
      <c r="DL300" s="1171"/>
      <c r="DM300" s="1172"/>
      <c r="DN300" s="1172"/>
      <c r="DO300" s="1172"/>
      <c r="DP300" s="1172"/>
      <c r="DQ300" s="1171"/>
      <c r="DR300" s="1172"/>
      <c r="DS300" s="1172"/>
      <c r="DT300" s="1172"/>
      <c r="DU300" s="1172"/>
      <c r="DV300" s="1171"/>
      <c r="DW300" s="1172"/>
      <c r="DX300" s="1172"/>
      <c r="DY300" s="1172"/>
      <c r="DZ300" s="1172"/>
      <c r="EA300" s="1171"/>
      <c r="EB300" s="1172"/>
      <c r="EC300" s="1172"/>
      <c r="ED300" s="1173"/>
      <c r="EE300" s="1172"/>
      <c r="EF300" s="1171"/>
      <c r="EG300" s="1172"/>
      <c r="EH300" s="1173"/>
      <c r="EI300" s="1173"/>
      <c r="EJ300" s="1172"/>
      <c r="EK300" s="1171"/>
      <c r="EL300" s="1172"/>
      <c r="EM300" s="1173"/>
      <c r="EN300" s="1173"/>
      <c r="EO300" s="1172"/>
      <c r="EP300" s="1171"/>
      <c r="EQ300" s="1173"/>
      <c r="ER300" s="1173"/>
      <c r="ES300" s="1173"/>
      <c r="ET300" s="1173"/>
      <c r="EU300" s="1171"/>
      <c r="EV300" s="1173"/>
      <c r="EW300" s="1173"/>
      <c r="EX300" s="1173"/>
      <c r="EY300" s="1173"/>
      <c r="EZ300" s="1171"/>
      <c r="FA300" s="1173"/>
      <c r="FB300" s="1173"/>
      <c r="FC300" s="1173"/>
      <c r="FD300" s="1173"/>
      <c r="FE300" s="1171"/>
      <c r="FF300" s="817"/>
      <c r="FG300" s="660"/>
      <c r="FH300" s="1051"/>
      <c r="FI300" s="1051"/>
      <c r="FJ300" s="1051"/>
      <c r="FK300" s="1051"/>
      <c r="FL300" s="1849"/>
      <c r="FM300" s="992"/>
      <c r="FN300" s="992"/>
      <c r="FO300" s="992"/>
      <c r="FP300" s="992"/>
      <c r="FQ300" s="992"/>
      <c r="FR300" s="604"/>
      <c r="FS300" s="604"/>
      <c r="FT300" s="604"/>
      <c r="FU300" s="604"/>
      <c r="FV300" s="604"/>
      <c r="FW300" s="604"/>
      <c r="FX300" s="604"/>
      <c r="FY300" s="604"/>
      <c r="FZ300" s="604"/>
      <c r="GA300" s="660"/>
      <c r="GB300"/>
      <c r="GC300"/>
      <c r="GD300"/>
      <c r="GE300"/>
      <c r="GF300"/>
      <c r="GG300"/>
      <c r="GH300" s="992"/>
      <c r="GI300" s="992"/>
      <c r="GJ300" s="992"/>
      <c r="GK300" s="992"/>
      <c r="GL300" s="992"/>
      <c r="GM300" s="992"/>
      <c r="GN300" s="992"/>
      <c r="GO300" s="992"/>
      <c r="GP300" s="992"/>
      <c r="GQ300" s="992"/>
      <c r="GR300" s="992"/>
      <c r="GS300" s="992"/>
      <c r="GT300" s="992"/>
      <c r="GU300" s="992"/>
      <c r="GV300" s="992"/>
      <c r="GW300" s="992"/>
      <c r="GX300" s="992"/>
      <c r="GY300" s="992"/>
      <c r="GZ300" s="992"/>
      <c r="HA300" s="992"/>
      <c r="HB300" s="992"/>
      <c r="HC300" s="992"/>
      <c r="HD300" s="992"/>
      <c r="HE300" s="992"/>
      <c r="HF300" s="992"/>
      <c r="HG300" s="992"/>
      <c r="HH300" s="992"/>
      <c r="HI300" s="992"/>
      <c r="HJ300" s="992"/>
      <c r="HK300" s="992"/>
      <c r="HL300" s="992"/>
      <c r="HM300" s="992"/>
      <c r="HN300" s="992"/>
      <c r="HO300" s="992"/>
      <c r="HP300" s="992"/>
      <c r="HQ300" s="992"/>
      <c r="HR300" s="992"/>
      <c r="HS300" s="992"/>
      <c r="HT300" s="992"/>
      <c r="HU300" s="992"/>
      <c r="HV300" s="992"/>
      <c r="HW300" s="992"/>
      <c r="HX300" s="992"/>
      <c r="HY300" s="992"/>
      <c r="HZ300" s="992"/>
      <c r="IA300" s="992"/>
      <c r="IB300" s="992"/>
      <c r="IC300" s="992"/>
      <c r="ID300" s="992"/>
      <c r="IE300" s="992"/>
      <c r="IF300" s="992"/>
      <c r="IG300" s="992"/>
      <c r="IH300" s="992"/>
      <c r="II300" s="992"/>
      <c r="IJ300" s="992"/>
      <c r="IK300" s="992"/>
      <c r="IL300" s="992"/>
      <c r="IM300" s="992"/>
      <c r="IN300" s="992"/>
      <c r="IO300" s="992"/>
      <c r="IP300" s="992"/>
      <c r="IQ300" s="992"/>
      <c r="IR300" s="992"/>
      <c r="IS300" s="992"/>
      <c r="IT300" s="992"/>
      <c r="IU300" s="992"/>
      <c r="IV300" s="992"/>
    </row>
    <row r="301" spans="1:256" s="1197" customFormat="1" ht="12.75" x14ac:dyDescent="0.2">
      <c r="A301" s="1204" t="s">
        <v>603</v>
      </c>
      <c r="B301" s="20"/>
      <c r="C301" s="20"/>
      <c r="D301" s="20"/>
      <c r="E301" s="205"/>
      <c r="F301" s="48"/>
      <c r="G301" s="20"/>
      <c r="H301" s="20"/>
      <c r="I301" s="20"/>
      <c r="J301" s="205"/>
      <c r="K301" s="48"/>
      <c r="L301" s="20"/>
      <c r="M301" s="20"/>
      <c r="N301" s="20"/>
      <c r="O301" s="205"/>
      <c r="P301" s="48"/>
      <c r="Q301" s="20"/>
      <c r="R301" s="20"/>
      <c r="S301" s="20"/>
      <c r="T301" s="205"/>
      <c r="U301" s="48"/>
      <c r="V301" s="20"/>
      <c r="W301" s="20"/>
      <c r="X301" s="20"/>
      <c r="Y301" s="205"/>
      <c r="Z301" s="48"/>
      <c r="AA301" s="20"/>
      <c r="AB301" s="20"/>
      <c r="AC301" s="20"/>
      <c r="AD301" s="205"/>
      <c r="AE301" s="48"/>
      <c r="AF301" s="20"/>
      <c r="AG301" s="20"/>
      <c r="AH301" s="20"/>
      <c r="AI301" s="205"/>
      <c r="AJ301" s="48"/>
      <c r="AK301" s="20"/>
      <c r="AL301" s="20"/>
      <c r="AM301" s="20"/>
      <c r="AN301" s="205"/>
      <c r="AO301" s="48"/>
      <c r="AP301" s="20"/>
      <c r="AQ301" s="20"/>
      <c r="AR301" s="20"/>
      <c r="AS301" s="205"/>
      <c r="AT301" s="48">
        <v>-301</v>
      </c>
      <c r="AU301" s="20"/>
      <c r="AV301" s="20"/>
      <c r="AW301" s="20"/>
      <c r="AX301" s="205"/>
      <c r="AY301" s="48">
        <v>-303</v>
      </c>
      <c r="AZ301" s="20"/>
      <c r="BA301" s="20"/>
      <c r="BB301" s="20"/>
      <c r="BC301" s="205"/>
      <c r="BD301" s="48">
        <v>-304</v>
      </c>
      <c r="BE301" s="20"/>
      <c r="BF301" s="20"/>
      <c r="BG301" s="20"/>
      <c r="BH301" s="205"/>
      <c r="BI301" s="48">
        <v>-306</v>
      </c>
      <c r="BJ301" s="20"/>
      <c r="BK301" s="20"/>
      <c r="BL301" s="20"/>
      <c r="BM301" s="205"/>
      <c r="BN301" s="48">
        <v>-93</v>
      </c>
      <c r="BO301" s="20"/>
      <c r="BP301" s="20"/>
      <c r="BQ301" s="20"/>
      <c r="BR301" s="205"/>
      <c r="BS301" s="48">
        <v>-101</v>
      </c>
      <c r="BT301" s="20"/>
      <c r="BU301" s="20"/>
      <c r="BV301" s="20"/>
      <c r="BW301" s="205"/>
      <c r="BX301" s="48">
        <v>-117</v>
      </c>
      <c r="BY301" s="20"/>
      <c r="BZ301" s="20"/>
      <c r="CA301" s="20"/>
      <c r="CB301" s="205"/>
      <c r="CC301" s="48">
        <v>-142</v>
      </c>
      <c r="CD301" s="20"/>
      <c r="CE301" s="20"/>
      <c r="CF301" s="20"/>
      <c r="CG301" s="205"/>
      <c r="CH301" s="48">
        <v>-194</v>
      </c>
      <c r="CI301" s="20"/>
      <c r="CJ301" s="20"/>
      <c r="CK301" s="20"/>
      <c r="CL301" s="205"/>
      <c r="CM301" s="48">
        <v>-278</v>
      </c>
      <c r="CN301" s="20"/>
      <c r="CO301" s="20"/>
      <c r="CP301" s="20"/>
      <c r="CQ301" s="205"/>
      <c r="CR301" s="48">
        <v>-377</v>
      </c>
      <c r="CS301" s="20"/>
      <c r="CT301" s="20"/>
      <c r="CU301" s="20"/>
      <c r="CV301" s="205"/>
      <c r="CW301" s="48">
        <v>-456</v>
      </c>
      <c r="CX301" s="172"/>
      <c r="CY301" s="172"/>
      <c r="CZ301" s="172"/>
      <c r="DA301" s="20"/>
      <c r="DB301" s="48">
        <v>-500</v>
      </c>
      <c r="DC301" s="172"/>
      <c r="DD301" s="172"/>
      <c r="DE301" s="172"/>
      <c r="DF301" s="20"/>
      <c r="DG301" s="48">
        <v>-514</v>
      </c>
      <c r="DH301" s="20"/>
      <c r="DI301" s="172"/>
      <c r="DJ301" s="172"/>
      <c r="DK301" s="20"/>
      <c r="DL301" s="48">
        <v>-576</v>
      </c>
      <c r="DM301" s="20">
        <v>-155</v>
      </c>
      <c r="DN301" s="20">
        <f>+-308-DM301</f>
        <v>-153</v>
      </c>
      <c r="DO301" s="20"/>
      <c r="DP301" s="20"/>
      <c r="DQ301" s="48">
        <v>-624</v>
      </c>
      <c r="DR301" s="20">
        <v>-157</v>
      </c>
      <c r="DS301" s="20">
        <f>-315-DR301</f>
        <v>-158</v>
      </c>
      <c r="DT301" s="20">
        <f>+-476-SUM(DR301:DS301)</f>
        <v>-161</v>
      </c>
      <c r="DU301" s="20">
        <f>DV301-SUM(DR301:DT301)</f>
        <v>-161</v>
      </c>
      <c r="DV301" s="48">
        <v>-637</v>
      </c>
      <c r="DW301" s="20">
        <v>-167</v>
      </c>
      <c r="DX301" s="20">
        <f>+-335-DW301</f>
        <v>-168</v>
      </c>
      <c r="DY301" s="20">
        <f>-511-SUM(DW301:DX301)</f>
        <v>-176</v>
      </c>
      <c r="DZ301" s="20">
        <f>EA301-SUM(DW301:DY301)</f>
        <v>-176</v>
      </c>
      <c r="EA301" s="48">
        <v>-687</v>
      </c>
      <c r="EB301" s="20">
        <v>-181</v>
      </c>
      <c r="EC301" s="20">
        <f>+-360-EB301</f>
        <v>-179</v>
      </c>
      <c r="ED301" s="20">
        <f>-537-SUM(EB301:EC301)</f>
        <v>-177</v>
      </c>
      <c r="EE301" s="20">
        <f>EF301-SUM(EB301:ED301)</f>
        <v>-176</v>
      </c>
      <c r="EF301" s="48">
        <v>-713</v>
      </c>
      <c r="EG301" s="20">
        <v>-176</v>
      </c>
      <c r="EH301" s="20">
        <f>+-350-EG301</f>
        <v>-174</v>
      </c>
      <c r="EI301" s="20">
        <f>-523-SUM(EG301:EH301)</f>
        <v>-173</v>
      </c>
      <c r="EJ301" s="20">
        <f>EK301-SUM(EG301:EI301)</f>
        <v>-172</v>
      </c>
      <c r="EK301" s="1591">
        <v>-695</v>
      </c>
      <c r="EL301" s="20">
        <v>-177</v>
      </c>
      <c r="EM301" s="20">
        <f>+-354-EL301</f>
        <v>-177</v>
      </c>
      <c r="EN301" s="20">
        <f>-529-SUM(EL301:EM301)</f>
        <v>-175</v>
      </c>
      <c r="EO301" s="20">
        <f>EP301-SUM(EL301:EN301)</f>
        <v>-174</v>
      </c>
      <c r="EP301" s="1591">
        <v>-703</v>
      </c>
      <c r="EQ301" s="1592"/>
      <c r="ER301" s="1592"/>
      <c r="ES301" s="1592"/>
      <c r="ET301" s="1592"/>
      <c r="EU301" s="1591">
        <f>-EU271*EU257</f>
        <v>-801.7853332820423</v>
      </c>
      <c r="EV301" s="1592"/>
      <c r="EW301" s="1592"/>
      <c r="EX301" s="1592"/>
      <c r="EY301" s="1592"/>
      <c r="EZ301" s="1591">
        <f>-EZ271*EZ257</f>
        <v>-834.49257360341608</v>
      </c>
      <c r="FA301" s="1592"/>
      <c r="FB301" s="1592"/>
      <c r="FC301" s="1592"/>
      <c r="FD301" s="1592"/>
      <c r="FE301" s="1591">
        <f>-FE271*FE257</f>
        <v>-877.68963554218158</v>
      </c>
      <c r="FF301" s="1192"/>
      <c r="FG301" s="1193"/>
      <c r="FH301" s="1194"/>
      <c r="FI301" s="1194"/>
      <c r="FJ301" s="1194"/>
      <c r="FK301" s="1194"/>
      <c r="FL301" s="1853"/>
      <c r="FM301" s="1788"/>
      <c r="FN301" s="1788"/>
      <c r="FO301" s="1788"/>
      <c r="FP301" s="1788"/>
      <c r="FQ301" s="1788"/>
      <c r="FR301" s="1195"/>
      <c r="FS301" s="1195"/>
      <c r="FT301" s="1195"/>
      <c r="FU301" s="1195"/>
      <c r="FV301" s="1195"/>
      <c r="FW301" s="1195"/>
      <c r="FX301" s="1195"/>
      <c r="FY301" s="1195"/>
      <c r="FZ301" s="1195"/>
      <c r="GA301" s="1193"/>
      <c r="GB301"/>
      <c r="GC301"/>
      <c r="GD301"/>
      <c r="GE301"/>
      <c r="GF301"/>
      <c r="GG301"/>
      <c r="GH301" s="1196"/>
      <c r="GI301" s="1196"/>
      <c r="GJ301" s="1196"/>
      <c r="GK301" s="1196"/>
      <c r="GL301" s="1196"/>
      <c r="GM301" s="1196"/>
      <c r="GN301" s="1196"/>
      <c r="GO301" s="1196"/>
      <c r="GP301" s="1196"/>
      <c r="GQ301" s="1196"/>
      <c r="GR301" s="1196"/>
      <c r="GS301" s="1196"/>
      <c r="GT301" s="1196"/>
      <c r="GU301" s="1196"/>
      <c r="GV301" s="1196"/>
      <c r="GW301" s="1196"/>
      <c r="GX301" s="1196"/>
      <c r="GY301" s="1196"/>
      <c r="GZ301" s="1196"/>
      <c r="HA301" s="1196"/>
      <c r="HB301" s="1196"/>
      <c r="HC301" s="1196"/>
      <c r="HD301" s="1196"/>
      <c r="HE301" s="1196"/>
      <c r="HF301" s="1196"/>
      <c r="HG301" s="1196"/>
      <c r="HH301" s="1196"/>
      <c r="HI301" s="1196"/>
      <c r="HJ301" s="1196"/>
      <c r="HK301" s="1196"/>
      <c r="HL301" s="1196"/>
      <c r="HM301" s="1196"/>
      <c r="HN301" s="1196"/>
      <c r="HO301" s="1196"/>
      <c r="HP301" s="1196"/>
      <c r="HQ301" s="1196"/>
      <c r="HR301" s="1196"/>
      <c r="HS301" s="1196"/>
      <c r="HT301" s="1196"/>
      <c r="HU301" s="1196"/>
      <c r="HV301" s="1196"/>
      <c r="HW301" s="1196"/>
      <c r="HX301" s="1196"/>
      <c r="HY301" s="1196"/>
      <c r="HZ301" s="1196"/>
      <c r="IA301" s="1196"/>
      <c r="IB301" s="1196"/>
      <c r="IC301" s="1196"/>
      <c r="ID301" s="1196"/>
      <c r="IE301" s="1196"/>
      <c r="IF301" s="1196"/>
      <c r="IG301" s="1196"/>
      <c r="IH301" s="1196"/>
      <c r="II301" s="1196"/>
      <c r="IJ301" s="1196"/>
      <c r="IK301" s="1196"/>
      <c r="IL301" s="1196"/>
      <c r="IM301" s="1196"/>
      <c r="IN301" s="1196"/>
      <c r="IO301" s="1196"/>
      <c r="IP301" s="1196"/>
      <c r="IQ301" s="1196"/>
      <c r="IR301" s="1196"/>
      <c r="IS301" s="1196"/>
      <c r="IT301" s="1196"/>
      <c r="IU301" s="1196"/>
      <c r="IV301" s="1196"/>
    </row>
    <row r="302" spans="1:256" s="1197" customFormat="1" ht="12.75" x14ac:dyDescent="0.2">
      <c r="A302" s="1204" t="s">
        <v>132</v>
      </c>
      <c r="B302" s="20"/>
      <c r="C302" s="20"/>
      <c r="D302" s="20"/>
      <c r="E302" s="205"/>
      <c r="F302" s="48"/>
      <c r="G302" s="20"/>
      <c r="H302" s="20"/>
      <c r="I302" s="20"/>
      <c r="J302" s="205"/>
      <c r="K302" s="48"/>
      <c r="L302" s="20"/>
      <c r="M302" s="20"/>
      <c r="N302" s="20"/>
      <c r="O302" s="205"/>
      <c r="P302" s="48"/>
      <c r="Q302" s="20"/>
      <c r="R302" s="20"/>
      <c r="S302" s="20"/>
      <c r="T302" s="205"/>
      <c r="U302" s="48"/>
      <c r="V302" s="20"/>
      <c r="W302" s="20"/>
      <c r="X302" s="20"/>
      <c r="Y302" s="205"/>
      <c r="Z302" s="48"/>
      <c r="AA302" s="20"/>
      <c r="AB302" s="20"/>
      <c r="AC302" s="20"/>
      <c r="AD302" s="205"/>
      <c r="AE302" s="48"/>
      <c r="AF302" s="20"/>
      <c r="AG302" s="20"/>
      <c r="AH302" s="20"/>
      <c r="AI302" s="205"/>
      <c r="AJ302" s="48"/>
      <c r="AK302" s="20"/>
      <c r="AL302" s="20"/>
      <c r="AM302" s="20"/>
      <c r="AN302" s="205"/>
      <c r="AO302" s="48"/>
      <c r="AP302" s="20"/>
      <c r="AQ302" s="20"/>
      <c r="AR302" s="20"/>
      <c r="AS302" s="205"/>
      <c r="AT302" s="48">
        <f>24</f>
        <v>24</v>
      </c>
      <c r="AU302" s="20"/>
      <c r="AV302" s="20"/>
      <c r="AW302" s="20"/>
      <c r="AX302" s="205"/>
      <c r="AY302" s="48">
        <v>34</v>
      </c>
      <c r="AZ302" s="20"/>
      <c r="BA302" s="20"/>
      <c r="BB302" s="20"/>
      <c r="BC302" s="205"/>
      <c r="BD302" s="48">
        <v>14</v>
      </c>
      <c r="BE302" s="20"/>
      <c r="BF302" s="20"/>
      <c r="BG302" s="20"/>
      <c r="BH302" s="205"/>
      <c r="BI302" s="48">
        <v>2</v>
      </c>
      <c r="BJ302" s="20"/>
      <c r="BK302" s="20"/>
      <c r="BL302" s="20"/>
      <c r="BM302" s="205"/>
      <c r="BN302" s="48">
        <v>14</v>
      </c>
      <c r="BO302" s="20"/>
      <c r="BP302" s="20"/>
      <c r="BQ302" s="20"/>
      <c r="BR302" s="205"/>
      <c r="BS302" s="48">
        <v>42</v>
      </c>
      <c r="BT302" s="20"/>
      <c r="BU302" s="20"/>
      <c r="BV302" s="20"/>
      <c r="BW302" s="205"/>
      <c r="BX302" s="48">
        <v>13</v>
      </c>
      <c r="BY302" s="20"/>
      <c r="BZ302" s="20"/>
      <c r="CA302" s="20"/>
      <c r="CB302" s="205"/>
      <c r="CC302" s="48">
        <v>162</v>
      </c>
      <c r="CD302" s="20"/>
      <c r="CE302" s="20"/>
      <c r="CF302" s="20"/>
      <c r="CG302" s="205"/>
      <c r="CH302" s="48">
        <v>194</v>
      </c>
      <c r="CI302" s="20"/>
      <c r="CJ302" s="20"/>
      <c r="CK302" s="20"/>
      <c r="CL302" s="205"/>
      <c r="CM302" s="48">
        <f>297-964</f>
        <v>-667</v>
      </c>
      <c r="CN302" s="20"/>
      <c r="CO302" s="20"/>
      <c r="CP302" s="20"/>
      <c r="CQ302" s="205"/>
      <c r="CR302" s="48">
        <f>-1196+183</f>
        <v>-1013</v>
      </c>
      <c r="CS302" s="20"/>
      <c r="CT302" s="20"/>
      <c r="CU302" s="20"/>
      <c r="CV302" s="205"/>
      <c r="CW302" s="48">
        <f>229-1128</f>
        <v>-899</v>
      </c>
      <c r="CX302" s="172"/>
      <c r="CY302" s="172"/>
      <c r="CZ302" s="172"/>
      <c r="DA302" s="20"/>
      <c r="DB302" s="48">
        <v>66</v>
      </c>
      <c r="DC302" s="172"/>
      <c r="DD302" s="172"/>
      <c r="DE302" s="172"/>
      <c r="DF302" s="20"/>
      <c r="DG302" s="48">
        <f>89-863</f>
        <v>-774</v>
      </c>
      <c r="DH302" s="20"/>
      <c r="DI302" s="172"/>
      <c r="DJ302" s="172"/>
      <c r="DK302" s="20"/>
      <c r="DL302" s="48">
        <f>120-2051</f>
        <v>-1931</v>
      </c>
      <c r="DM302" s="947">
        <f>31-400</f>
        <v>-369</v>
      </c>
      <c r="DN302" s="947">
        <f>(47-850)-DM302</f>
        <v>-434</v>
      </c>
      <c r="DO302" s="947">
        <f>(77-1150)-SUM(DM302:DN302)</f>
        <v>-270</v>
      </c>
      <c r="DP302" s="947">
        <f>DQ302-SUM(DM302:DO302)</f>
        <v>-126</v>
      </c>
      <c r="DQ302" s="2104">
        <f>89-1288</f>
        <v>-1199</v>
      </c>
      <c r="DR302" s="947">
        <f>55-33</f>
        <v>22</v>
      </c>
      <c r="DS302" s="947">
        <f>(80-314)-DR302</f>
        <v>-256</v>
      </c>
      <c r="DT302" s="947">
        <f>(92-564)-SUM(DR302:DS302)</f>
        <v>-238</v>
      </c>
      <c r="DU302" s="947">
        <f>DV302-SUM(DR302:DT302)</f>
        <v>-24</v>
      </c>
      <c r="DV302" s="2105">
        <f>131-627</f>
        <v>-496</v>
      </c>
      <c r="DW302" s="947">
        <f>62-50</f>
        <v>12</v>
      </c>
      <c r="DX302" s="947">
        <f>82-100-DW302</f>
        <v>-30</v>
      </c>
      <c r="DY302" s="947">
        <f>+(119-166)-SUM(DW302:DX302)</f>
        <v>-29</v>
      </c>
      <c r="DZ302" s="947">
        <f>EA302-SUM(DW302:DY302)</f>
        <v>-141</v>
      </c>
      <c r="EA302" s="2105">
        <f>130-318</f>
        <v>-188</v>
      </c>
      <c r="EB302" s="947">
        <f>21-415</f>
        <v>-394</v>
      </c>
      <c r="EC302" s="947">
        <f>28-765-EB302</f>
        <v>-343</v>
      </c>
      <c r="ED302" s="947">
        <f>+(1-997)-SUM(EB302:EC302)</f>
        <v>-259</v>
      </c>
      <c r="EE302" s="947">
        <f>EF302-SUM(EB302:ED302)</f>
        <v>-67</v>
      </c>
      <c r="EF302" s="2105">
        <f>12-1075</f>
        <v>-1063</v>
      </c>
      <c r="EG302" s="947">
        <f>+-200-7</f>
        <v>-207</v>
      </c>
      <c r="EH302" s="947">
        <f>1-400-EG302</f>
        <v>-192</v>
      </c>
      <c r="EI302" s="947">
        <f>+(33-603)-SUM(EG302:EH302)</f>
        <v>-171</v>
      </c>
      <c r="EJ302" s="947">
        <f>EK302-SUM(EG302:EI302)</f>
        <v>-176</v>
      </c>
      <c r="EK302" s="2105">
        <f>57-803</f>
        <v>-746</v>
      </c>
      <c r="EL302" s="947">
        <f>+-200+34</f>
        <v>-166</v>
      </c>
      <c r="EM302" s="947">
        <f>42-402-EL302</f>
        <v>-194</v>
      </c>
      <c r="EN302" s="947">
        <f>+(75-712)-SUM(EL302:EM302)</f>
        <v>-277</v>
      </c>
      <c r="EO302" s="947">
        <f>EP302-SUM(EL302:EN302)</f>
        <v>-286</v>
      </c>
      <c r="EP302" s="2105">
        <f>89-1012</f>
        <v>-923</v>
      </c>
      <c r="EQ302" s="947">
        <f>+-300-1</f>
        <v>-301</v>
      </c>
      <c r="ER302" s="1918">
        <f t="shared" ref="ER302:ET302" ca="1" si="1046">(ER257-EQ257)*ER275</f>
        <v>-395.55604593789423</v>
      </c>
      <c r="ES302" s="1918">
        <f t="shared" ca="1" si="1046"/>
        <v>-391.10604042108776</v>
      </c>
      <c r="ET302" s="1918">
        <f t="shared" ca="1" si="1046"/>
        <v>-386.7060974663533</v>
      </c>
      <c r="EU302" s="1593">
        <f ca="1">SUM(EQ302:ET302)</f>
        <v>-1474.3681838253351</v>
      </c>
      <c r="EV302" s="1592"/>
      <c r="EW302" s="1592"/>
      <c r="EX302" s="1592"/>
      <c r="EY302" s="1592"/>
      <c r="EZ302" s="1593">
        <f ca="1">(EZ257-EU257)*EZ275</f>
        <v>-864.2910209417746</v>
      </c>
      <c r="FA302" s="1592"/>
      <c r="FB302" s="1592"/>
      <c r="FC302" s="1592"/>
      <c r="FD302" s="1592"/>
      <c r="FE302" s="1593">
        <f ca="1">(FE257-EZ257)*FE275</f>
        <v>-842.68374541822686</v>
      </c>
      <c r="FF302" s="1192"/>
      <c r="FG302" s="1193"/>
      <c r="FH302" s="2106">
        <f>SUM(EL302:EN302,EG302:EJ302,EB302:EE302,DW302:DZ302,DR302:DU302,DO302)</f>
        <v>-3400</v>
      </c>
      <c r="FI302" s="1194"/>
      <c r="FJ302" s="1194"/>
      <c r="FK302" s="1194"/>
      <c r="FL302" s="1853"/>
      <c r="FM302" s="1788"/>
      <c r="FN302" s="1788"/>
      <c r="FO302" s="1788"/>
      <c r="FP302" s="1788"/>
      <c r="FQ302" s="1788"/>
      <c r="FR302" s="1624" t="s">
        <v>866</v>
      </c>
      <c r="FS302" s="1195"/>
      <c r="FT302" s="1195"/>
      <c r="FU302" s="1195"/>
      <c r="FV302" s="1195"/>
      <c r="FW302" s="1195"/>
      <c r="FX302" s="1195"/>
      <c r="FY302" s="1195"/>
      <c r="FZ302" s="1195"/>
      <c r="GA302" s="1193"/>
      <c r="GB302"/>
      <c r="GC302"/>
      <c r="GD302"/>
      <c r="GE302"/>
      <c r="GF302"/>
      <c r="GG302"/>
      <c r="GH302" s="1196"/>
      <c r="GI302" s="1196"/>
      <c r="GJ302" s="1196"/>
      <c r="GK302" s="1196"/>
      <c r="GL302" s="1196"/>
      <c r="GM302" s="1196"/>
      <c r="GN302" s="1196"/>
      <c r="GO302" s="1196"/>
      <c r="GP302" s="1196"/>
      <c r="GQ302" s="1196"/>
      <c r="GR302" s="1196"/>
      <c r="GS302" s="1196"/>
      <c r="GT302" s="1196"/>
      <c r="GU302" s="1196"/>
      <c r="GV302" s="1196"/>
      <c r="GW302" s="1196"/>
      <c r="GX302" s="1196"/>
      <c r="GY302" s="1196"/>
      <c r="GZ302" s="1196"/>
      <c r="HA302" s="1196"/>
      <c r="HB302" s="1196"/>
      <c r="HC302" s="1196"/>
      <c r="HD302" s="1196"/>
      <c r="HE302" s="1196"/>
      <c r="HF302" s="1196"/>
      <c r="HG302" s="1196"/>
      <c r="HH302" s="1196"/>
      <c r="HI302" s="1196"/>
      <c r="HJ302" s="1196"/>
      <c r="HK302" s="1196"/>
      <c r="HL302" s="1196"/>
      <c r="HM302" s="1196"/>
      <c r="HN302" s="1196"/>
      <c r="HO302" s="1196"/>
      <c r="HP302" s="1196"/>
      <c r="HQ302" s="1196"/>
      <c r="HR302" s="1196"/>
      <c r="HS302" s="1196"/>
      <c r="HT302" s="1196"/>
      <c r="HU302" s="1196"/>
      <c r="HV302" s="1196"/>
      <c r="HW302" s="1196"/>
      <c r="HX302" s="1196"/>
      <c r="HY302" s="1196"/>
      <c r="HZ302" s="1196"/>
      <c r="IA302" s="1196"/>
      <c r="IB302" s="1196"/>
      <c r="IC302" s="1196"/>
      <c r="ID302" s="1196"/>
      <c r="IE302" s="1196"/>
      <c r="IF302" s="1196"/>
      <c r="IG302" s="1196"/>
      <c r="IH302" s="1196"/>
      <c r="II302" s="1196"/>
      <c r="IJ302" s="1196"/>
      <c r="IK302" s="1196"/>
      <c r="IL302" s="1196"/>
      <c r="IM302" s="1196"/>
      <c r="IN302" s="1196"/>
      <c r="IO302" s="1196"/>
      <c r="IP302" s="1196"/>
      <c r="IQ302" s="1196"/>
      <c r="IR302" s="1196"/>
      <c r="IS302" s="1196"/>
      <c r="IT302" s="1196"/>
      <c r="IU302" s="1196"/>
      <c r="IV302" s="1196"/>
    </row>
    <row r="303" spans="1:256" s="1197" customFormat="1" ht="12.75" x14ac:dyDescent="0.2">
      <c r="A303" s="1204" t="s">
        <v>133</v>
      </c>
      <c r="B303" s="172"/>
      <c r="C303" s="172"/>
      <c r="D303" s="172"/>
      <c r="E303" s="228"/>
      <c r="F303" s="171"/>
      <c r="G303" s="172"/>
      <c r="H303" s="172"/>
      <c r="I303" s="172"/>
      <c r="J303" s="228"/>
      <c r="K303" s="171"/>
      <c r="L303" s="172"/>
      <c r="M303" s="172"/>
      <c r="N303" s="172"/>
      <c r="O303" s="228"/>
      <c r="P303" s="171"/>
      <c r="Q303" s="172"/>
      <c r="R303" s="172"/>
      <c r="S303" s="172"/>
      <c r="T303" s="228"/>
      <c r="U303" s="171"/>
      <c r="V303" s="172"/>
      <c r="W303" s="172"/>
      <c r="X303" s="172"/>
      <c r="Y303" s="228"/>
      <c r="Z303" s="171"/>
      <c r="AA303" s="172"/>
      <c r="AB303" s="172"/>
      <c r="AC303" s="172"/>
      <c r="AD303" s="228"/>
      <c r="AE303" s="171"/>
      <c r="AF303" s="172"/>
      <c r="AG303" s="172"/>
      <c r="AH303" s="172"/>
      <c r="AI303" s="228"/>
      <c r="AJ303" s="171"/>
      <c r="AK303" s="172"/>
      <c r="AL303" s="172"/>
      <c r="AM303" s="172"/>
      <c r="AN303" s="228"/>
      <c r="AO303" s="171"/>
      <c r="AP303" s="172"/>
      <c r="AQ303" s="172"/>
      <c r="AR303" s="172"/>
      <c r="AS303" s="228"/>
      <c r="AT303" s="171"/>
      <c r="AU303" s="172"/>
      <c r="AV303" s="172"/>
      <c r="AW303" s="172"/>
      <c r="AX303" s="228"/>
      <c r="AY303" s="171"/>
      <c r="AZ303" s="172"/>
      <c r="BA303" s="172"/>
      <c r="BB303" s="172"/>
      <c r="BC303" s="228"/>
      <c r="BD303" s="171"/>
      <c r="BE303" s="172"/>
      <c r="BF303" s="172"/>
      <c r="BG303" s="172"/>
      <c r="BH303" s="228"/>
      <c r="BI303" s="171"/>
      <c r="BJ303" s="172"/>
      <c r="BK303" s="172"/>
      <c r="BL303" s="172"/>
      <c r="BM303" s="228"/>
      <c r="BN303" s="171"/>
      <c r="BO303" s="172"/>
      <c r="BP303" s="172"/>
      <c r="BQ303" s="172"/>
      <c r="BR303" s="228"/>
      <c r="BS303" s="171"/>
      <c r="BT303" s="172"/>
      <c r="BU303" s="172"/>
      <c r="BV303" s="172"/>
      <c r="BW303" s="228"/>
      <c r="BX303" s="171"/>
      <c r="BY303" s="172"/>
      <c r="BZ303" s="172"/>
      <c r="CA303" s="172"/>
      <c r="CB303" s="228"/>
      <c r="CC303" s="171"/>
      <c r="CD303" s="172"/>
      <c r="CE303" s="172"/>
      <c r="CF303" s="172"/>
      <c r="CG303" s="228"/>
      <c r="CH303" s="171"/>
      <c r="CI303" s="172"/>
      <c r="CJ303" s="172"/>
      <c r="CK303" s="172"/>
      <c r="CL303" s="228"/>
      <c r="CM303" s="171"/>
      <c r="CN303" s="172"/>
      <c r="CO303" s="172"/>
      <c r="CP303" s="172"/>
      <c r="CQ303" s="228"/>
      <c r="CR303" s="171"/>
      <c r="CS303" s="172"/>
      <c r="CT303" s="172"/>
      <c r="CU303" s="172"/>
      <c r="CV303" s="228"/>
      <c r="CW303" s="171"/>
      <c r="CX303" s="172"/>
      <c r="CY303" s="172"/>
      <c r="CZ303" s="172"/>
      <c r="DA303" s="172"/>
      <c r="DB303" s="171"/>
      <c r="DC303" s="172"/>
      <c r="DD303" s="172"/>
      <c r="DE303" s="172"/>
      <c r="DF303" s="172"/>
      <c r="DG303" s="171"/>
      <c r="DH303" s="172"/>
      <c r="DI303" s="172"/>
      <c r="DJ303" s="172"/>
      <c r="DK303" s="172"/>
      <c r="DL303" s="171"/>
      <c r="DM303" s="172"/>
      <c r="DN303" s="172"/>
      <c r="DO303" s="172"/>
      <c r="DP303" s="172"/>
      <c r="DQ303" s="171"/>
      <c r="DR303" s="172"/>
      <c r="DS303" s="172"/>
      <c r="DT303" s="172"/>
      <c r="DU303" s="172"/>
      <c r="DV303" s="1174"/>
      <c r="DW303" s="172"/>
      <c r="DX303" s="172"/>
      <c r="DY303" s="172"/>
      <c r="DZ303" s="172"/>
      <c r="EA303" s="1174"/>
      <c r="EB303" s="172"/>
      <c r="EC303" s="172"/>
      <c r="ED303" s="172"/>
      <c r="EE303" s="172"/>
      <c r="EF303" s="1174"/>
      <c r="EG303" s="172"/>
      <c r="EH303" s="1168"/>
      <c r="EI303" s="172"/>
      <c r="EJ303" s="172"/>
      <c r="EK303" s="1174"/>
      <c r="EL303" s="172"/>
      <c r="EM303" s="1168"/>
      <c r="EO303" s="172"/>
      <c r="EP303" s="1174"/>
      <c r="EQ303" s="1168"/>
      <c r="ER303" s="1168"/>
      <c r="ES303" s="1168"/>
      <c r="ET303" s="1168"/>
      <c r="EU303" s="1174">
        <v>0</v>
      </c>
      <c r="EV303" s="1168"/>
      <c r="EW303" s="1168"/>
      <c r="EX303" s="1168"/>
      <c r="EY303" s="1168"/>
      <c r="EZ303" s="1174">
        <v>0</v>
      </c>
      <c r="FA303" s="1168"/>
      <c r="FB303" s="1168"/>
      <c r="FC303" s="1168"/>
      <c r="FD303" s="1168"/>
      <c r="FE303" s="1174">
        <v>0</v>
      </c>
      <c r="FF303" s="1192"/>
      <c r="FG303" s="1193"/>
      <c r="FH303" s="1194"/>
      <c r="FI303" s="1194"/>
      <c r="FJ303" s="1194"/>
      <c r="FK303" s="1194"/>
      <c r="FL303" s="1853"/>
      <c r="FM303" s="1788"/>
      <c r="FN303" s="1788"/>
      <c r="FO303" s="1788"/>
      <c r="FP303" s="1788"/>
      <c r="FQ303" s="1788"/>
      <c r="FR303" s="1195"/>
      <c r="FS303" s="1586" t="s">
        <v>840</v>
      </c>
      <c r="FT303" s="1586"/>
      <c r="FU303" s="1195"/>
      <c r="FV303" s="1195"/>
      <c r="FW303" s="1195"/>
      <c r="FX303" s="1195"/>
      <c r="FY303" s="1195"/>
      <c r="FZ303" s="1195"/>
      <c r="GA303" s="1193"/>
      <c r="GB303"/>
      <c r="GC303"/>
      <c r="GD303"/>
      <c r="GE303"/>
      <c r="GF303"/>
      <c r="GG303"/>
      <c r="GH303" s="1196"/>
      <c r="GI303" s="1196"/>
      <c r="GJ303" s="1196"/>
      <c r="GK303" s="1196"/>
      <c r="GL303" s="1196"/>
      <c r="GM303" s="1196"/>
      <c r="GN303" s="1196"/>
      <c r="GO303" s="1196"/>
      <c r="GP303" s="1196"/>
      <c r="GQ303" s="1196"/>
      <c r="GR303" s="1196"/>
      <c r="GS303" s="1196"/>
      <c r="GT303" s="1196"/>
      <c r="GU303" s="1196"/>
      <c r="GV303" s="1196"/>
      <c r="GW303" s="1196"/>
      <c r="GX303" s="1196"/>
      <c r="GY303" s="1196"/>
      <c r="GZ303" s="1196"/>
      <c r="HA303" s="1196"/>
      <c r="HB303" s="1196"/>
      <c r="HC303" s="1196"/>
      <c r="HD303" s="1196"/>
      <c r="HE303" s="1196"/>
      <c r="HF303" s="1196"/>
      <c r="HG303" s="1196"/>
      <c r="HH303" s="1196"/>
      <c r="HI303" s="1196"/>
      <c r="HJ303" s="1196"/>
      <c r="HK303" s="1196"/>
      <c r="HL303" s="1196"/>
      <c r="HM303" s="1196"/>
      <c r="HN303" s="1196"/>
      <c r="HO303" s="1196"/>
      <c r="HP303" s="1196"/>
      <c r="HQ303" s="1196"/>
      <c r="HR303" s="1196"/>
      <c r="HS303" s="1196"/>
      <c r="HT303" s="1196"/>
      <c r="HU303" s="1196"/>
      <c r="HV303" s="1196"/>
      <c r="HW303" s="1196"/>
      <c r="HX303" s="1196"/>
      <c r="HY303" s="1196"/>
      <c r="HZ303" s="1196"/>
      <c r="IA303" s="1196"/>
      <c r="IB303" s="1196"/>
      <c r="IC303" s="1196"/>
      <c r="ID303" s="1196"/>
      <c r="IE303" s="1196"/>
      <c r="IF303" s="1196"/>
      <c r="IG303" s="1196"/>
      <c r="IH303" s="1196"/>
      <c r="II303" s="1196"/>
      <c r="IJ303" s="1196"/>
      <c r="IK303" s="1196"/>
      <c r="IL303" s="1196"/>
      <c r="IM303" s="1196"/>
      <c r="IN303" s="1196"/>
      <c r="IO303" s="1196"/>
      <c r="IP303" s="1196"/>
      <c r="IQ303" s="1196"/>
      <c r="IR303" s="1196"/>
      <c r="IS303" s="1196"/>
      <c r="IT303" s="1196"/>
      <c r="IU303" s="1196"/>
      <c r="IV303" s="1196"/>
    </row>
    <row r="304" spans="1:256" s="285" customFormat="1" ht="12.6" customHeight="1" x14ac:dyDescent="0.2">
      <c r="A304" s="280" t="s">
        <v>134</v>
      </c>
      <c r="B304" s="281"/>
      <c r="C304" s="281"/>
      <c r="D304" s="281"/>
      <c r="E304" s="282"/>
      <c r="F304" s="171"/>
      <c r="G304" s="281"/>
      <c r="H304" s="281"/>
      <c r="I304" s="281"/>
      <c r="J304" s="282"/>
      <c r="K304" s="171"/>
      <c r="L304" s="281"/>
      <c r="M304" s="281"/>
      <c r="N304" s="281"/>
      <c r="O304" s="282"/>
      <c r="P304" s="171"/>
      <c r="Q304" s="281"/>
      <c r="R304" s="281"/>
      <c r="S304" s="281"/>
      <c r="T304" s="282"/>
      <c r="U304" s="171"/>
      <c r="V304" s="281"/>
      <c r="W304" s="281"/>
      <c r="X304" s="281"/>
      <c r="Y304" s="282"/>
      <c r="Z304" s="171"/>
      <c r="AA304" s="281"/>
      <c r="AB304" s="281"/>
      <c r="AC304" s="281"/>
      <c r="AD304" s="282"/>
      <c r="AE304" s="171"/>
      <c r="AF304" s="281"/>
      <c r="AG304" s="281"/>
      <c r="AH304" s="281"/>
      <c r="AI304" s="282"/>
      <c r="AJ304" s="171"/>
      <c r="AK304" s="281"/>
      <c r="AL304" s="281"/>
      <c r="AM304" s="281"/>
      <c r="AN304" s="282"/>
      <c r="AO304" s="171"/>
      <c r="AP304" s="281"/>
      <c r="AQ304" s="281"/>
      <c r="AR304" s="281"/>
      <c r="AS304" s="282"/>
      <c r="AT304" s="171">
        <f>AT303+AT301+AT302</f>
        <v>-277</v>
      </c>
      <c r="AU304" s="281"/>
      <c r="AV304" s="281"/>
      <c r="AW304" s="281"/>
      <c r="AX304" s="282"/>
      <c r="AY304" s="171">
        <f>AY303+AY301+AY302</f>
        <v>-269</v>
      </c>
      <c r="AZ304" s="281"/>
      <c r="BA304" s="281"/>
      <c r="BB304" s="281"/>
      <c r="BC304" s="282"/>
      <c r="BD304" s="171">
        <f>BD303+BD301+BD302</f>
        <v>-290</v>
      </c>
      <c r="BE304" s="281"/>
      <c r="BF304" s="281"/>
      <c r="BG304" s="281"/>
      <c r="BH304" s="282"/>
      <c r="BI304" s="171">
        <f>BI303+BI301+BI302</f>
        <v>-304</v>
      </c>
      <c r="BJ304" s="281"/>
      <c r="BK304" s="281"/>
      <c r="BL304" s="281"/>
      <c r="BM304" s="282"/>
      <c r="BN304" s="171">
        <f>BN303+BN301+BN302</f>
        <v>-79</v>
      </c>
      <c r="BO304" s="281"/>
      <c r="BP304" s="281"/>
      <c r="BQ304" s="281"/>
      <c r="BR304" s="282"/>
      <c r="BS304" s="171">
        <f>BS303+BS301+BS302</f>
        <v>-59</v>
      </c>
      <c r="BT304" s="281"/>
      <c r="BU304" s="281"/>
      <c r="BV304" s="281"/>
      <c r="BW304" s="282"/>
      <c r="BX304" s="171">
        <f>BX303+BX301+BX302</f>
        <v>-104</v>
      </c>
      <c r="BY304" s="281"/>
      <c r="BZ304" s="281"/>
      <c r="CA304" s="281"/>
      <c r="CB304" s="282"/>
      <c r="CC304" s="171">
        <f>CC303+CC301+CC302</f>
        <v>20</v>
      </c>
      <c r="CD304" s="281"/>
      <c r="CE304" s="281"/>
      <c r="CF304" s="281"/>
      <c r="CG304" s="282"/>
      <c r="CH304" s="171">
        <f>CH303+CH301+CH302</f>
        <v>0</v>
      </c>
      <c r="CI304" s="281"/>
      <c r="CJ304" s="281"/>
      <c r="CK304" s="281"/>
      <c r="CL304" s="282"/>
      <c r="CM304" s="171">
        <f>SUM(CM301:CM303)</f>
        <v>-945</v>
      </c>
      <c r="CN304" s="281"/>
      <c r="CO304" s="281"/>
      <c r="CP304" s="281"/>
      <c r="CQ304" s="282"/>
      <c r="CR304" s="171">
        <f>SUM(CR301:CR303)</f>
        <v>-1390</v>
      </c>
      <c r="CS304" s="281"/>
      <c r="CT304" s="281"/>
      <c r="CU304" s="281"/>
      <c r="CV304" s="282"/>
      <c r="CW304" s="171">
        <f>SUM(CW301:CW303)</f>
        <v>-1355</v>
      </c>
      <c r="CX304" s="281"/>
      <c r="CY304" s="281"/>
      <c r="CZ304" s="281"/>
      <c r="DA304" s="281"/>
      <c r="DB304" s="171">
        <f>SUM(DB301:DB303)</f>
        <v>-434</v>
      </c>
      <c r="DC304" s="281"/>
      <c r="DD304" s="281"/>
      <c r="DE304" s="281"/>
      <c r="DF304" s="281"/>
      <c r="DG304" s="171">
        <f>SUM(DG301:DG303)</f>
        <v>-1288</v>
      </c>
      <c r="DH304" s="281"/>
      <c r="DI304" s="281"/>
      <c r="DJ304" s="281"/>
      <c r="DK304" s="281"/>
      <c r="DL304" s="171">
        <f>SUM(DL301:DL303)</f>
        <v>-2507</v>
      </c>
      <c r="DM304" s="20">
        <f>SUM(DM301:DM303)</f>
        <v>-524</v>
      </c>
      <c r="DN304" s="20">
        <f>SUM(DN301:DN303)</f>
        <v>-587</v>
      </c>
      <c r="DO304" s="20"/>
      <c r="DP304" s="20"/>
      <c r="DQ304" s="171">
        <f>DQ303+DQ301+DQ302</f>
        <v>-1823</v>
      </c>
      <c r="DR304" s="20">
        <f>SUM(DR301:DR303)</f>
        <v>-135</v>
      </c>
      <c r="DS304" s="20">
        <f>SUM(DS301:DS303)</f>
        <v>-414</v>
      </c>
      <c r="DT304" s="20">
        <f>SUM(DT301:DT303)</f>
        <v>-399</v>
      </c>
      <c r="DU304" s="20">
        <f>SUM(DU301:DU303)</f>
        <v>-185</v>
      </c>
      <c r="DV304" s="171">
        <f>DV303+DV301+DV302</f>
        <v>-1133</v>
      </c>
      <c r="DW304" s="20">
        <f>SUM(DW301:DW303)</f>
        <v>-155</v>
      </c>
      <c r="DX304" s="20">
        <f>SUM(DX301:DX303)</f>
        <v>-198</v>
      </c>
      <c r="DY304" s="20">
        <f>SUM(DY301:DY303)</f>
        <v>-205</v>
      </c>
      <c r="DZ304" s="20">
        <f>SUM(DZ301:DZ303)</f>
        <v>-317</v>
      </c>
      <c r="EA304" s="171">
        <f>EA303+EA301+EA302</f>
        <v>-875</v>
      </c>
      <c r="EB304" s="20">
        <f>SUM(EB301:EB303)</f>
        <v>-575</v>
      </c>
      <c r="EC304" s="20">
        <f>SUM(EC301:EC303)</f>
        <v>-522</v>
      </c>
      <c r="ED304" s="20">
        <f>SUM(ED301:ED303)</f>
        <v>-436</v>
      </c>
      <c r="EE304" s="20">
        <f>SUM(EE301:EE303)</f>
        <v>-243</v>
      </c>
      <c r="EF304" s="171">
        <f>EF303+EF301+EF302</f>
        <v>-1776</v>
      </c>
      <c r="EG304" s="20">
        <f>SUM(EG301:EG303)</f>
        <v>-383</v>
      </c>
      <c r="EH304" s="20">
        <f>SUM(EH301:EH303)</f>
        <v>-366</v>
      </c>
      <c r="EI304" s="20">
        <f>SUM(EI301:EI303)</f>
        <v>-344</v>
      </c>
      <c r="EJ304" s="20">
        <f>SUM(EJ301:EJ303)</f>
        <v>-348</v>
      </c>
      <c r="EK304" s="171">
        <f>EK303+EK301+EK302</f>
        <v>-1441</v>
      </c>
      <c r="EL304" s="20">
        <f>SUM(EL301:EL303)</f>
        <v>-343</v>
      </c>
      <c r="EM304" s="20">
        <f>SUM(EM301:EM303)</f>
        <v>-371</v>
      </c>
      <c r="EN304" s="20">
        <f>SUM(EN301:EN303)</f>
        <v>-452</v>
      </c>
      <c r="EO304" s="20">
        <f>SUM(EO301:EO303)</f>
        <v>-460</v>
      </c>
      <c r="EP304" s="171">
        <f>EP303+EP301+EP302</f>
        <v>-1626</v>
      </c>
      <c r="EQ304" s="281"/>
      <c r="ER304" s="281"/>
      <c r="ES304" s="281"/>
      <c r="ET304" s="281"/>
      <c r="EU304" s="171">
        <f ca="1">EU303+EU301+EU302</f>
        <v>-2276.1535171073774</v>
      </c>
      <c r="EV304" s="281"/>
      <c r="EW304" s="281"/>
      <c r="EX304" s="281"/>
      <c r="EY304" s="281"/>
      <c r="EZ304" s="171">
        <f ca="1">EZ303+EZ301+EZ302</f>
        <v>-1698.7835945451907</v>
      </c>
      <c r="FA304" s="281"/>
      <c r="FB304" s="281"/>
      <c r="FC304" s="281"/>
      <c r="FD304" s="281"/>
      <c r="FE304" s="171">
        <f ca="1">FE303+FE301+FE302</f>
        <v>-1720.3733809604084</v>
      </c>
      <c r="FF304" s="826"/>
      <c r="FG304" s="1193"/>
      <c r="FH304" s="1194"/>
      <c r="FI304" s="1194"/>
      <c r="FJ304" s="1194"/>
      <c r="FK304" s="1194"/>
      <c r="FL304" s="1853"/>
      <c r="FM304" s="1788"/>
      <c r="FN304" s="1788"/>
      <c r="FO304" s="1788"/>
      <c r="FP304" s="1788"/>
      <c r="FQ304" s="1788"/>
      <c r="FR304" s="612"/>
      <c r="FS304" s="1586" t="s">
        <v>821</v>
      </c>
      <c r="FT304" s="612"/>
      <c r="FU304" s="612"/>
      <c r="FV304" s="612"/>
      <c r="FW304" s="612"/>
      <c r="FX304" s="612"/>
      <c r="FY304" s="612"/>
      <c r="FZ304" s="612"/>
      <c r="GA304" s="1193"/>
      <c r="GB304"/>
      <c r="GC304"/>
      <c r="GD304"/>
      <c r="GE304"/>
      <c r="GF304"/>
      <c r="GG304"/>
      <c r="GH304" s="997"/>
      <c r="GI304" s="997"/>
      <c r="GJ304" s="997"/>
      <c r="GK304" s="997"/>
      <c r="GL304" s="997"/>
      <c r="GM304" s="997"/>
      <c r="GN304" s="997"/>
      <c r="GO304" s="997"/>
      <c r="GP304" s="997"/>
      <c r="GQ304" s="997"/>
      <c r="GR304" s="997"/>
      <c r="GS304" s="997"/>
      <c r="GT304" s="997"/>
      <c r="GU304" s="997"/>
      <c r="GV304" s="997"/>
      <c r="GW304" s="997"/>
      <c r="GX304" s="997"/>
      <c r="GY304" s="997"/>
      <c r="GZ304" s="997"/>
      <c r="HA304" s="997"/>
      <c r="HB304" s="997"/>
      <c r="HC304" s="997"/>
      <c r="HD304" s="997"/>
      <c r="HE304" s="997"/>
      <c r="HF304" s="997"/>
      <c r="HG304" s="997"/>
      <c r="HH304" s="997"/>
      <c r="HI304" s="997"/>
      <c r="HJ304" s="997"/>
      <c r="HK304" s="997"/>
      <c r="HL304" s="997"/>
      <c r="HM304" s="997"/>
      <c r="HN304" s="997"/>
      <c r="HO304" s="997"/>
      <c r="HP304" s="997"/>
      <c r="HQ304" s="997"/>
      <c r="HR304" s="997"/>
      <c r="HS304" s="997"/>
      <c r="HT304" s="997"/>
      <c r="HU304" s="997"/>
      <c r="HV304" s="997"/>
      <c r="HW304" s="997"/>
      <c r="HX304" s="997"/>
      <c r="HY304" s="997"/>
      <c r="HZ304" s="997"/>
      <c r="IA304" s="997"/>
      <c r="IB304" s="997"/>
      <c r="IC304" s="997"/>
      <c r="ID304" s="997"/>
      <c r="IE304" s="997"/>
      <c r="IF304" s="997"/>
      <c r="IG304" s="997"/>
      <c r="IH304" s="997"/>
      <c r="II304" s="997"/>
      <c r="IJ304" s="997"/>
      <c r="IK304" s="997"/>
      <c r="IL304" s="997"/>
      <c r="IM304" s="997"/>
      <c r="IN304" s="997"/>
      <c r="IO304" s="997"/>
      <c r="IP304" s="997"/>
      <c r="IQ304" s="997"/>
      <c r="IR304" s="997"/>
      <c r="IS304" s="997"/>
      <c r="IT304" s="997"/>
      <c r="IU304" s="997"/>
      <c r="IV304" s="997"/>
    </row>
    <row r="305" spans="1:256" s="1197" customFormat="1" ht="12.75" x14ac:dyDescent="0.2">
      <c r="A305" s="1204" t="s">
        <v>441</v>
      </c>
      <c r="B305" s="20"/>
      <c r="C305" s="20"/>
      <c r="D305" s="20"/>
      <c r="E305" s="205"/>
      <c r="F305" s="48"/>
      <c r="G305" s="20"/>
      <c r="H305" s="20"/>
      <c r="I305" s="20"/>
      <c r="J305" s="205"/>
      <c r="K305" s="48"/>
      <c r="L305" s="20"/>
      <c r="M305" s="20"/>
      <c r="N305" s="20"/>
      <c r="O305" s="205"/>
      <c r="P305" s="48"/>
      <c r="Q305" s="20"/>
      <c r="R305" s="20"/>
      <c r="S305" s="20"/>
      <c r="T305" s="205"/>
      <c r="U305" s="48"/>
      <c r="V305" s="20"/>
      <c r="W305" s="20"/>
      <c r="X305" s="20"/>
      <c r="Y305" s="205"/>
      <c r="Z305" s="48"/>
      <c r="AA305" s="20"/>
      <c r="AB305" s="20"/>
      <c r="AC305" s="20"/>
      <c r="AD305" s="205"/>
      <c r="AE305" s="48"/>
      <c r="AF305" s="20"/>
      <c r="AG305" s="20"/>
      <c r="AH305" s="20"/>
      <c r="AI305" s="205"/>
      <c r="AJ305" s="48"/>
      <c r="AK305" s="20"/>
      <c r="AL305" s="20"/>
      <c r="AM305" s="20"/>
      <c r="AN305" s="205"/>
      <c r="AO305" s="48"/>
      <c r="AP305" s="20"/>
      <c r="AQ305" s="20"/>
      <c r="AR305" s="20"/>
      <c r="AS305" s="205"/>
      <c r="AT305" s="48">
        <f>1540+4241-245</f>
        <v>5536</v>
      </c>
      <c r="AU305" s="20"/>
      <c r="AV305" s="20"/>
      <c r="AW305" s="20"/>
      <c r="AX305" s="205"/>
      <c r="AY305" s="48">
        <f>129+67-179</f>
        <v>17</v>
      </c>
      <c r="AZ305" s="20"/>
      <c r="BA305" s="20"/>
      <c r="BB305" s="20"/>
      <c r="BC305" s="205"/>
      <c r="BD305" s="48">
        <f>1110-730</f>
        <v>380</v>
      </c>
      <c r="BE305" s="20"/>
      <c r="BF305" s="20"/>
      <c r="BG305" s="20"/>
      <c r="BH305" s="205"/>
      <c r="BI305" s="48">
        <f>1055-1549</f>
        <v>-494</v>
      </c>
      <c r="BJ305" s="20"/>
      <c r="BK305" s="20"/>
      <c r="BL305" s="20"/>
      <c r="BM305" s="205"/>
      <c r="BN305" s="48">
        <f>-1765+1995</f>
        <v>230</v>
      </c>
      <c r="BO305" s="20"/>
      <c r="BP305" s="20"/>
      <c r="BQ305" s="20"/>
      <c r="BR305" s="205"/>
      <c r="BS305" s="48">
        <f>-763+672</f>
        <v>-91</v>
      </c>
      <c r="BT305" s="20"/>
      <c r="BU305" s="20"/>
      <c r="BV305" s="20"/>
      <c r="BW305" s="205"/>
      <c r="BX305" s="48">
        <f>-428+261</f>
        <v>-167</v>
      </c>
      <c r="BY305" s="20"/>
      <c r="BZ305" s="20"/>
      <c r="CA305" s="20"/>
      <c r="CB305" s="205"/>
      <c r="CC305" s="48">
        <f>-455+202</f>
        <v>-253</v>
      </c>
      <c r="CD305" s="20"/>
      <c r="CE305" s="20"/>
      <c r="CF305" s="20"/>
      <c r="CG305" s="205"/>
      <c r="CH305" s="48">
        <f>-889+433</f>
        <v>-456</v>
      </c>
      <c r="CI305" s="20"/>
      <c r="CJ305" s="20"/>
      <c r="CK305" s="20"/>
      <c r="CL305" s="205"/>
      <c r="CM305" s="48">
        <f>-339</f>
        <v>-339</v>
      </c>
      <c r="CN305" s="20"/>
      <c r="CO305" s="20"/>
      <c r="CP305" s="20"/>
      <c r="CQ305" s="205"/>
      <c r="CR305" s="48">
        <f>-489+250</f>
        <v>-239</v>
      </c>
      <c r="CS305" s="20"/>
      <c r="CT305" s="20"/>
      <c r="CU305" s="20"/>
      <c r="CV305" s="205"/>
      <c r="CW305" s="48">
        <f>1425-1145</f>
        <v>280</v>
      </c>
      <c r="CX305" s="172"/>
      <c r="CY305" s="172"/>
      <c r="CZ305" s="172"/>
      <c r="DA305" s="20"/>
      <c r="DB305" s="48">
        <f>1090-687</f>
        <v>403</v>
      </c>
      <c r="DC305" s="172"/>
      <c r="DD305" s="172"/>
      <c r="DE305" s="172"/>
      <c r="DF305" s="20"/>
      <c r="DG305" s="48">
        <f>350-489</f>
        <v>-139</v>
      </c>
      <c r="DH305" s="20"/>
      <c r="DI305" s="172"/>
      <c r="DJ305" s="172"/>
      <c r="DK305" s="20"/>
      <c r="DL305" s="48">
        <f>1101-600</f>
        <v>501</v>
      </c>
      <c r="DM305" s="20">
        <f>696-218</f>
        <v>478</v>
      </c>
      <c r="DN305" s="20">
        <f>696-236-DM305</f>
        <v>-18</v>
      </c>
      <c r="DO305" s="20"/>
      <c r="DP305" s="20"/>
      <c r="DQ305" s="48">
        <f>1491-362</f>
        <v>1129</v>
      </c>
      <c r="DR305" s="20">
        <f>-203</f>
        <v>-203</v>
      </c>
      <c r="DS305" s="20">
        <f>-216-DR305</f>
        <v>-13</v>
      </c>
      <c r="DT305" s="20">
        <f>+(492-248)-SUM(DR305:DS305)</f>
        <v>460</v>
      </c>
      <c r="DU305" s="20">
        <f>DV305-SUM(DR305:DT305)</f>
        <v>495</v>
      </c>
      <c r="DV305" s="48">
        <f>989-250</f>
        <v>739</v>
      </c>
      <c r="DW305" s="20">
        <v>-100</v>
      </c>
      <c r="DX305" s="20">
        <f>+-213-DW305</f>
        <v>-113</v>
      </c>
      <c r="DY305" s="20">
        <f>+(100-645)-SUM(DW305:DX305)</f>
        <v>-332</v>
      </c>
      <c r="DZ305" s="20">
        <f>EA305-SUM(DW305:DY305)</f>
        <v>100</v>
      </c>
      <c r="EA305" s="48">
        <f>200-645</f>
        <v>-445</v>
      </c>
      <c r="EB305" s="20">
        <v>-101</v>
      </c>
      <c r="EC305" s="20">
        <f>494-102-EB305</f>
        <v>493</v>
      </c>
      <c r="ED305" s="20">
        <f>+(594-102)-SUM(EB305:EC305)</f>
        <v>100</v>
      </c>
      <c r="EE305" s="20">
        <f>EF305-SUM(EB305:ED305)</f>
        <v>591</v>
      </c>
      <c r="EF305" s="48">
        <f>1185-102</f>
        <v>1083</v>
      </c>
      <c r="EG305" s="20">
        <v>-600</v>
      </c>
      <c r="EH305" s="947">
        <f>594-600-EG305</f>
        <v>594</v>
      </c>
      <c r="EI305" s="20">
        <f>+(594-600)-SUM(EG305:EH305)</f>
        <v>0</v>
      </c>
      <c r="EJ305" s="20">
        <f>EK305-SUM(EG305:EI305)</f>
        <v>100</v>
      </c>
      <c r="EK305" s="48">
        <f>694-600</f>
        <v>94</v>
      </c>
      <c r="EL305" s="20">
        <v>-100</v>
      </c>
      <c r="EM305" s="947">
        <f>298-650-EL305</f>
        <v>-252</v>
      </c>
      <c r="EN305" s="20">
        <f>+(293-650)-SUM(EL305:EM305)</f>
        <v>-5</v>
      </c>
      <c r="EO305" s="20">
        <f>EP305-SUM(EL305:EN305)</f>
        <v>-55</v>
      </c>
      <c r="EP305" s="48">
        <f>290-702</f>
        <v>-412</v>
      </c>
      <c r="EQ305" s="1168"/>
      <c r="ER305" s="1168"/>
      <c r="ES305" s="1168"/>
      <c r="ET305" s="1168"/>
      <c r="EU305" s="1174">
        <v>500</v>
      </c>
      <c r="EV305" s="1168"/>
      <c r="EW305" s="1168"/>
      <c r="EX305" s="1168"/>
      <c r="EY305" s="1168"/>
      <c r="EZ305" s="1174">
        <v>350</v>
      </c>
      <c r="FA305" s="1168"/>
      <c r="FB305" s="1168"/>
      <c r="FC305" s="1168"/>
      <c r="FD305" s="1168"/>
      <c r="FE305" s="1174">
        <v>400</v>
      </c>
      <c r="FF305" s="1192"/>
      <c r="FG305" s="1193"/>
      <c r="FH305" s="1194"/>
      <c r="FI305" s="1194"/>
      <c r="FJ305" s="1194"/>
      <c r="FK305" s="1194"/>
      <c r="FL305" s="1853"/>
      <c r="FM305" s="1788"/>
      <c r="FN305" s="1788"/>
      <c r="FO305" s="1788"/>
      <c r="FP305" s="1788"/>
      <c r="FQ305" s="1788"/>
      <c r="FR305" s="1625" t="s">
        <v>787</v>
      </c>
      <c r="FS305" s="1195"/>
      <c r="FT305" s="1195"/>
      <c r="FU305" s="1195"/>
      <c r="FV305" s="1195"/>
      <c r="FW305" s="1195"/>
      <c r="FX305" s="1195"/>
      <c r="FY305" s="1195"/>
      <c r="FZ305" s="1195"/>
      <c r="GA305" s="1193"/>
      <c r="GB305"/>
      <c r="GC305"/>
      <c r="GD305"/>
      <c r="GE305"/>
      <c r="GF305"/>
      <c r="GG305"/>
      <c r="GH305" s="1196"/>
      <c r="GI305" s="1196"/>
      <c r="GJ305" s="1196"/>
      <c r="GK305" s="1196"/>
      <c r="GL305" s="1196"/>
      <c r="GM305" s="1196"/>
      <c r="GN305" s="1196"/>
      <c r="GO305" s="1196"/>
      <c r="GP305" s="1196"/>
      <c r="GQ305" s="1196"/>
      <c r="GR305" s="1196"/>
      <c r="GS305" s="1196"/>
      <c r="GT305" s="1196"/>
      <c r="GU305" s="1196"/>
      <c r="GV305" s="1196"/>
      <c r="GW305" s="1196"/>
      <c r="GX305" s="1196"/>
      <c r="GY305" s="1196"/>
      <c r="GZ305" s="1196"/>
      <c r="HA305" s="1196"/>
      <c r="HB305" s="1196"/>
      <c r="HC305" s="1196"/>
      <c r="HD305" s="1196"/>
      <c r="HE305" s="1196"/>
      <c r="HF305" s="1196"/>
      <c r="HG305" s="1196"/>
      <c r="HH305" s="1196"/>
      <c r="HI305" s="1196"/>
      <c r="HJ305" s="1196"/>
      <c r="HK305" s="1196"/>
      <c r="HL305" s="1196"/>
      <c r="HM305" s="1196"/>
      <c r="HN305" s="1196"/>
      <c r="HO305" s="1196"/>
      <c r="HP305" s="1196"/>
      <c r="HQ305" s="1196"/>
      <c r="HR305" s="1196"/>
      <c r="HS305" s="1196"/>
      <c r="HT305" s="1196"/>
      <c r="HU305" s="1196"/>
      <c r="HV305" s="1196"/>
      <c r="HW305" s="1196"/>
      <c r="HX305" s="1196"/>
      <c r="HY305" s="1196"/>
      <c r="HZ305" s="1196"/>
      <c r="IA305" s="1196"/>
      <c r="IB305" s="1196"/>
      <c r="IC305" s="1196"/>
      <c r="ID305" s="1196"/>
      <c r="IE305" s="1196"/>
      <c r="IF305" s="1196"/>
      <c r="IG305" s="1196"/>
      <c r="IH305" s="1196"/>
      <c r="II305" s="1196"/>
      <c r="IJ305" s="1196"/>
      <c r="IK305" s="1196"/>
      <c r="IL305" s="1196"/>
      <c r="IM305" s="1196"/>
      <c r="IN305" s="1196"/>
      <c r="IO305" s="1196"/>
      <c r="IP305" s="1196"/>
      <c r="IQ305" s="1196"/>
      <c r="IR305" s="1196"/>
      <c r="IS305" s="1196"/>
      <c r="IT305" s="1196"/>
      <c r="IU305" s="1196"/>
      <c r="IV305" s="1196"/>
    </row>
    <row r="306" spans="1:256" s="1197" customFormat="1" ht="12.75" x14ac:dyDescent="0.2">
      <c r="A306" s="1204" t="s">
        <v>657</v>
      </c>
      <c r="B306" s="20"/>
      <c r="C306" s="20"/>
      <c r="D306" s="20"/>
      <c r="E306" s="205"/>
      <c r="F306" s="48"/>
      <c r="G306" s="20"/>
      <c r="H306" s="20"/>
      <c r="I306" s="20"/>
      <c r="J306" s="205"/>
      <c r="K306" s="48"/>
      <c r="L306" s="20"/>
      <c r="M306" s="20"/>
      <c r="N306" s="20"/>
      <c r="O306" s="205"/>
      <c r="P306" s="48"/>
      <c r="Q306" s="20"/>
      <c r="R306" s="20"/>
      <c r="S306" s="20"/>
      <c r="T306" s="205"/>
      <c r="U306" s="48"/>
      <c r="V306" s="20"/>
      <c r="W306" s="20"/>
      <c r="X306" s="20"/>
      <c r="Y306" s="205"/>
      <c r="Z306" s="48"/>
      <c r="AA306" s="20"/>
      <c r="AB306" s="20"/>
      <c r="AC306" s="20"/>
      <c r="AD306" s="205"/>
      <c r="AE306" s="48"/>
      <c r="AF306" s="20"/>
      <c r="AG306" s="20"/>
      <c r="AH306" s="20"/>
      <c r="AI306" s="205"/>
      <c r="AJ306" s="48"/>
      <c r="AK306" s="20"/>
      <c r="AL306" s="20"/>
      <c r="AM306" s="20"/>
      <c r="AN306" s="205"/>
      <c r="AO306" s="48"/>
      <c r="AP306" s="20"/>
      <c r="AQ306" s="20"/>
      <c r="AR306" s="20"/>
      <c r="AS306" s="205"/>
      <c r="AT306" s="48"/>
      <c r="AU306" s="20"/>
      <c r="AV306" s="20"/>
      <c r="AW306" s="20"/>
      <c r="AX306" s="205"/>
      <c r="AY306" s="48"/>
      <c r="AZ306" s="20"/>
      <c r="BA306" s="20"/>
      <c r="BB306" s="20"/>
      <c r="BC306" s="205"/>
      <c r="BD306" s="48"/>
      <c r="BE306" s="20"/>
      <c r="BF306" s="20"/>
      <c r="BG306" s="20"/>
      <c r="BH306" s="205"/>
      <c r="BI306" s="48"/>
      <c r="BJ306" s="20"/>
      <c r="BK306" s="20"/>
      <c r="BL306" s="20"/>
      <c r="BM306" s="205"/>
      <c r="BN306" s="48"/>
      <c r="BO306" s="20"/>
      <c r="BP306" s="20"/>
      <c r="BQ306" s="20"/>
      <c r="BR306" s="205"/>
      <c r="BS306" s="48"/>
      <c r="BT306" s="20"/>
      <c r="BU306" s="20"/>
      <c r="BV306" s="20"/>
      <c r="BW306" s="205"/>
      <c r="BX306" s="48"/>
      <c r="BY306" s="20"/>
      <c r="BZ306" s="20"/>
      <c r="CA306" s="20"/>
      <c r="CB306" s="205"/>
      <c r="CC306" s="48"/>
      <c r="CD306" s="20"/>
      <c r="CE306" s="20"/>
      <c r="CF306" s="20"/>
      <c r="CG306" s="205"/>
      <c r="CH306" s="48"/>
      <c r="CI306" s="20"/>
      <c r="CJ306" s="20"/>
      <c r="CK306" s="20"/>
      <c r="CL306" s="205"/>
      <c r="CM306" s="48"/>
      <c r="CN306" s="20"/>
      <c r="CO306" s="20"/>
      <c r="CP306" s="20"/>
      <c r="CQ306" s="205"/>
      <c r="CR306" s="48"/>
      <c r="CS306" s="20"/>
      <c r="CT306" s="20"/>
      <c r="CU306" s="20"/>
      <c r="CV306" s="205"/>
      <c r="CW306" s="48"/>
      <c r="CX306" s="172"/>
      <c r="CY306" s="172"/>
      <c r="CZ306" s="172"/>
      <c r="DA306" s="20"/>
      <c r="DB306" s="48"/>
      <c r="DC306" s="172"/>
      <c r="DD306" s="172"/>
      <c r="DE306" s="172"/>
      <c r="DF306" s="20"/>
      <c r="DG306" s="48"/>
      <c r="DH306" s="20"/>
      <c r="DI306" s="172"/>
      <c r="DJ306" s="172"/>
      <c r="DK306" s="20"/>
      <c r="DL306" s="48"/>
      <c r="DM306" s="20"/>
      <c r="DN306" s="172"/>
      <c r="DO306" s="172"/>
      <c r="DP306" s="20"/>
      <c r="DQ306" s="48">
        <v>0</v>
      </c>
      <c r="DR306" s="20">
        <v>0</v>
      </c>
      <c r="DS306" s="172">
        <v>0</v>
      </c>
      <c r="DT306" s="172">
        <v>0</v>
      </c>
      <c r="DU306" s="20">
        <v>0</v>
      </c>
      <c r="DV306" s="48">
        <v>0</v>
      </c>
      <c r="DW306" s="20">
        <v>0</v>
      </c>
      <c r="DX306" s="20">
        <v>0</v>
      </c>
      <c r="DY306" s="20">
        <v>0</v>
      </c>
      <c r="DZ306" s="20">
        <v>0</v>
      </c>
      <c r="EA306" s="48">
        <v>0</v>
      </c>
      <c r="EB306" s="20">
        <v>0</v>
      </c>
      <c r="EC306" s="20">
        <v>0</v>
      </c>
      <c r="ED306" s="20">
        <v>0</v>
      </c>
      <c r="EE306" s="20">
        <v>0</v>
      </c>
      <c r="EF306" s="48">
        <v>0</v>
      </c>
      <c r="EG306" s="20">
        <v>0</v>
      </c>
      <c r="EH306" s="947">
        <v>0</v>
      </c>
      <c r="EI306" s="20">
        <v>0</v>
      </c>
      <c r="EJ306" s="20">
        <v>0</v>
      </c>
      <c r="EK306" s="48">
        <v>0</v>
      </c>
      <c r="EL306" s="20">
        <v>0</v>
      </c>
      <c r="EM306" s="947">
        <v>0</v>
      </c>
      <c r="EN306" s="20">
        <v>0</v>
      </c>
      <c r="EO306" s="20">
        <v>0</v>
      </c>
      <c r="EP306" s="48">
        <v>0</v>
      </c>
      <c r="EQ306" s="1168"/>
      <c r="ER306" s="1168"/>
      <c r="ES306" s="1168"/>
      <c r="ET306" s="1168"/>
      <c r="EU306" s="1174">
        <v>0</v>
      </c>
      <c r="EV306" s="1168"/>
      <c r="EW306" s="1168"/>
      <c r="EX306" s="1168"/>
      <c r="EY306" s="1168"/>
      <c r="EZ306" s="1174">
        <v>0</v>
      </c>
      <c r="FA306" s="1168"/>
      <c r="FB306" s="1168"/>
      <c r="FC306" s="1168"/>
      <c r="FD306" s="1168"/>
      <c r="FE306" s="1174">
        <v>0</v>
      </c>
      <c r="FF306" s="1192"/>
      <c r="FG306" s="1193"/>
      <c r="FH306" s="1194"/>
      <c r="FI306" s="1194"/>
      <c r="FJ306" s="1194"/>
      <c r="FK306" s="1194"/>
      <c r="FL306" s="1853"/>
      <c r="FM306" s="1788"/>
      <c r="FN306" s="1788"/>
      <c r="FO306" s="1788"/>
      <c r="FP306" s="1788"/>
      <c r="FQ306" s="1788"/>
      <c r="FR306" s="1195"/>
      <c r="FS306" s="1195"/>
      <c r="FT306" s="1195"/>
      <c r="FU306" s="1195"/>
      <c r="FV306" s="1195"/>
      <c r="FW306" s="1195"/>
      <c r="FX306" s="1195"/>
      <c r="FY306" s="1195"/>
      <c r="FZ306" s="1195"/>
      <c r="GA306" s="1193"/>
      <c r="GB306"/>
      <c r="GC306"/>
      <c r="GD306"/>
      <c r="GE306"/>
      <c r="GF306"/>
      <c r="GG306"/>
      <c r="GH306" s="1196"/>
      <c r="GI306" s="1196"/>
      <c r="GJ306" s="1196"/>
      <c r="GK306" s="1196"/>
      <c r="GL306" s="1196"/>
      <c r="GM306" s="1196"/>
      <c r="GN306" s="1196"/>
      <c r="GO306" s="1196"/>
      <c r="GP306" s="1196"/>
      <c r="GQ306" s="1196"/>
      <c r="GR306" s="1196"/>
      <c r="GS306" s="1196"/>
      <c r="GT306" s="1196"/>
      <c r="GU306" s="1196"/>
      <c r="GV306" s="1196"/>
      <c r="GW306" s="1196"/>
      <c r="GX306" s="1196"/>
      <c r="GY306" s="1196"/>
      <c r="GZ306" s="1196"/>
      <c r="HA306" s="1196"/>
      <c r="HB306" s="1196"/>
      <c r="HC306" s="1196"/>
      <c r="HD306" s="1196"/>
      <c r="HE306" s="1196"/>
      <c r="HF306" s="1196"/>
      <c r="HG306" s="1196"/>
      <c r="HH306" s="1196"/>
      <c r="HI306" s="1196"/>
      <c r="HJ306" s="1196"/>
      <c r="HK306" s="1196"/>
      <c r="HL306" s="1196"/>
      <c r="HM306" s="1196"/>
      <c r="HN306" s="1196"/>
      <c r="HO306" s="1196"/>
      <c r="HP306" s="1196"/>
      <c r="HQ306" s="1196"/>
      <c r="HR306" s="1196"/>
      <c r="HS306" s="1196"/>
      <c r="HT306" s="1196"/>
      <c r="HU306" s="1196"/>
      <c r="HV306" s="1196"/>
      <c r="HW306" s="1196"/>
      <c r="HX306" s="1196"/>
      <c r="HY306" s="1196"/>
      <c r="HZ306" s="1196"/>
      <c r="IA306" s="1196"/>
      <c r="IB306" s="1196"/>
      <c r="IC306" s="1196"/>
      <c r="ID306" s="1196"/>
      <c r="IE306" s="1196"/>
      <c r="IF306" s="1196"/>
      <c r="IG306" s="1196"/>
      <c r="IH306" s="1196"/>
      <c r="II306" s="1196"/>
      <c r="IJ306" s="1196"/>
      <c r="IK306" s="1196"/>
      <c r="IL306" s="1196"/>
      <c r="IM306" s="1196"/>
      <c r="IN306" s="1196"/>
      <c r="IO306" s="1196"/>
      <c r="IP306" s="1196"/>
      <c r="IQ306" s="1196"/>
      <c r="IR306" s="1196"/>
      <c r="IS306" s="1196"/>
      <c r="IT306" s="1196"/>
      <c r="IU306" s="1196"/>
      <c r="IV306" s="1196"/>
    </row>
    <row r="307" spans="1:256" s="1197" customFormat="1" ht="12.75" x14ac:dyDescent="0.2">
      <c r="A307" s="280" t="s">
        <v>558</v>
      </c>
      <c r="B307" s="1168"/>
      <c r="C307" s="1168"/>
      <c r="D307" s="1168"/>
      <c r="E307" s="1205"/>
      <c r="F307" s="171"/>
      <c r="G307" s="1168"/>
      <c r="H307" s="1168"/>
      <c r="I307" s="1168"/>
      <c r="J307" s="1205"/>
      <c r="K307" s="171"/>
      <c r="L307" s="1168"/>
      <c r="M307" s="1168"/>
      <c r="N307" s="1168"/>
      <c r="O307" s="1205"/>
      <c r="P307" s="171"/>
      <c r="Q307" s="1168"/>
      <c r="R307" s="1168"/>
      <c r="S307" s="1168"/>
      <c r="T307" s="1205"/>
      <c r="U307" s="171"/>
      <c r="V307" s="1168"/>
      <c r="W307" s="1168"/>
      <c r="X307" s="1168"/>
      <c r="Y307" s="1205"/>
      <c r="Z307" s="171"/>
      <c r="AA307" s="1168"/>
      <c r="AB307" s="1168"/>
      <c r="AC307" s="1168"/>
      <c r="AD307" s="1205"/>
      <c r="AE307" s="171"/>
      <c r="AF307" s="1168"/>
      <c r="AG307" s="1168"/>
      <c r="AH307" s="1168"/>
      <c r="AI307" s="1205"/>
      <c r="AJ307" s="171"/>
      <c r="AK307" s="1168"/>
      <c r="AL307" s="1168"/>
      <c r="AM307" s="1168"/>
      <c r="AN307" s="1205"/>
      <c r="AO307" s="171"/>
      <c r="AP307" s="1168"/>
      <c r="AQ307" s="1168"/>
      <c r="AR307" s="1168"/>
      <c r="AS307" s="1205"/>
      <c r="AT307" s="171">
        <f>SUM(AT305:AT306)</f>
        <v>5536</v>
      </c>
      <c r="AU307" s="1168"/>
      <c r="AV307" s="1168"/>
      <c r="AW307" s="1168"/>
      <c r="AX307" s="1205"/>
      <c r="AY307" s="171">
        <f>SUM(AY305:AY306)</f>
        <v>17</v>
      </c>
      <c r="AZ307" s="1168"/>
      <c r="BA307" s="1168"/>
      <c r="BB307" s="1168"/>
      <c r="BC307" s="1205"/>
      <c r="BD307" s="171">
        <f>SUM(BD305:BD306)</f>
        <v>380</v>
      </c>
      <c r="BE307" s="1168"/>
      <c r="BF307" s="1168"/>
      <c r="BG307" s="1168"/>
      <c r="BH307" s="1205"/>
      <c r="BI307" s="171">
        <f>SUM(BI305:BI306)</f>
        <v>-494</v>
      </c>
      <c r="BJ307" s="1168"/>
      <c r="BK307" s="1168"/>
      <c r="BL307" s="1168"/>
      <c r="BM307" s="1205"/>
      <c r="BN307" s="171">
        <f>SUM(BN305:BN306)</f>
        <v>230</v>
      </c>
      <c r="BO307" s="1168"/>
      <c r="BP307" s="1168"/>
      <c r="BQ307" s="1168"/>
      <c r="BR307" s="1205"/>
      <c r="BS307" s="171">
        <f>SUM(BS305:BS306)</f>
        <v>-91</v>
      </c>
      <c r="BT307" s="1168"/>
      <c r="BU307" s="1168"/>
      <c r="BV307" s="1168"/>
      <c r="BW307" s="1205"/>
      <c r="BX307" s="171">
        <f>SUM(BX305:BX306)</f>
        <v>-167</v>
      </c>
      <c r="BY307" s="1168"/>
      <c r="BZ307" s="1168"/>
      <c r="CA307" s="1168"/>
      <c r="CB307" s="1205"/>
      <c r="CC307" s="171">
        <f>SUM(CC305:CC306)</f>
        <v>-253</v>
      </c>
      <c r="CD307" s="1168"/>
      <c r="CE307" s="1168"/>
      <c r="CF307" s="1168"/>
      <c r="CG307" s="1205"/>
      <c r="CH307" s="171">
        <f>SUM(CH305:CH306)</f>
        <v>-456</v>
      </c>
      <c r="CI307" s="1168"/>
      <c r="CJ307" s="1168"/>
      <c r="CK307" s="1168"/>
      <c r="CL307" s="1205"/>
      <c r="CM307" s="171">
        <f>SUM(CM305:CM306)</f>
        <v>-339</v>
      </c>
      <c r="CN307" s="1168"/>
      <c r="CO307" s="1168"/>
      <c r="CP307" s="1168"/>
      <c r="CQ307" s="1205"/>
      <c r="CR307" s="171">
        <f>SUM(CR305:CR306)</f>
        <v>-239</v>
      </c>
      <c r="CS307" s="1168"/>
      <c r="CT307" s="1168"/>
      <c r="CU307" s="1168"/>
      <c r="CV307" s="1205"/>
      <c r="CW307" s="171">
        <f>SUM(CW305:CW306)</f>
        <v>280</v>
      </c>
      <c r="CX307" s="1168"/>
      <c r="CY307" s="1168"/>
      <c r="CZ307" s="1168"/>
      <c r="DA307" s="1168"/>
      <c r="DB307" s="171">
        <f>SUM(DB305:DB306)</f>
        <v>403</v>
      </c>
      <c r="DC307" s="1168"/>
      <c r="DD307" s="1168"/>
      <c r="DE307" s="1168"/>
      <c r="DF307" s="1168"/>
      <c r="DG307" s="171">
        <f>SUM(DG305:DG306)</f>
        <v>-139</v>
      </c>
      <c r="DH307" s="1168"/>
      <c r="DI307" s="1168"/>
      <c r="DJ307" s="1168"/>
      <c r="DK307" s="1168"/>
      <c r="DL307" s="171">
        <f>SUM(DL305:DL306)</f>
        <v>501</v>
      </c>
      <c r="DM307" s="20">
        <f>SUM(DM305:DM306)</f>
        <v>478</v>
      </c>
      <c r="DN307" s="20">
        <f>SUM(DN305:DN306)</f>
        <v>-18</v>
      </c>
      <c r="DO307" s="20"/>
      <c r="DP307" s="20"/>
      <c r="DQ307" s="171">
        <f t="shared" ref="DQ307:DW307" si="1047">SUM(DQ305:DQ306)</f>
        <v>1129</v>
      </c>
      <c r="DR307" s="20">
        <f t="shared" si="1047"/>
        <v>-203</v>
      </c>
      <c r="DS307" s="20">
        <f t="shared" si="1047"/>
        <v>-13</v>
      </c>
      <c r="DT307" s="20">
        <f t="shared" si="1047"/>
        <v>460</v>
      </c>
      <c r="DU307" s="20">
        <f t="shared" si="1047"/>
        <v>495</v>
      </c>
      <c r="DV307" s="171">
        <f t="shared" si="1047"/>
        <v>739</v>
      </c>
      <c r="DW307" s="20">
        <f t="shared" si="1047"/>
        <v>-100</v>
      </c>
      <c r="DX307" s="20">
        <f t="shared" ref="DX307:EC307" si="1048">SUM(DX305:DX306)</f>
        <v>-113</v>
      </c>
      <c r="DY307" s="20">
        <f t="shared" si="1048"/>
        <v>-332</v>
      </c>
      <c r="DZ307" s="20">
        <f t="shared" si="1048"/>
        <v>100</v>
      </c>
      <c r="EA307" s="171">
        <f t="shared" si="1048"/>
        <v>-445</v>
      </c>
      <c r="EB307" s="20">
        <f t="shared" si="1048"/>
        <v>-101</v>
      </c>
      <c r="EC307" s="20">
        <f t="shared" si="1048"/>
        <v>493</v>
      </c>
      <c r="ED307" s="20">
        <f t="shared" ref="ED307:EI307" si="1049">SUM(ED305:ED306)</f>
        <v>100</v>
      </c>
      <c r="EE307" s="20">
        <f t="shared" si="1049"/>
        <v>591</v>
      </c>
      <c r="EF307" s="171">
        <f t="shared" si="1049"/>
        <v>1083</v>
      </c>
      <c r="EG307" s="20">
        <f t="shared" si="1049"/>
        <v>-600</v>
      </c>
      <c r="EH307" s="20">
        <f t="shared" si="1049"/>
        <v>594</v>
      </c>
      <c r="EI307" s="20">
        <f t="shared" si="1049"/>
        <v>0</v>
      </c>
      <c r="EJ307" s="20">
        <f t="shared" ref="EJ307" si="1050">SUM(EJ305:EJ306)</f>
        <v>100</v>
      </c>
      <c r="EK307" s="171">
        <f>SUM(EK305:EK306)</f>
        <v>94</v>
      </c>
      <c r="EL307" s="20">
        <f t="shared" ref="EL307:EO307" si="1051">SUM(EL305:EL306)</f>
        <v>-100</v>
      </c>
      <c r="EM307" s="20">
        <f t="shared" si="1051"/>
        <v>-252</v>
      </c>
      <c r="EN307" s="20">
        <f t="shared" si="1051"/>
        <v>-5</v>
      </c>
      <c r="EO307" s="20">
        <f t="shared" si="1051"/>
        <v>-55</v>
      </c>
      <c r="EP307" s="171">
        <f>SUM(EP305:EP306)</f>
        <v>-412</v>
      </c>
      <c r="EQ307" s="1168"/>
      <c r="ER307" s="1168"/>
      <c r="ES307" s="1168"/>
      <c r="ET307" s="1168"/>
      <c r="EU307" s="171">
        <f>SUM(EU305:EU306)</f>
        <v>500</v>
      </c>
      <c r="EV307" s="1168"/>
      <c r="EW307" s="1168"/>
      <c r="EX307" s="1168"/>
      <c r="EY307" s="1168"/>
      <c r="EZ307" s="171">
        <f>SUM(EZ305:EZ306)</f>
        <v>350</v>
      </c>
      <c r="FA307" s="1168"/>
      <c r="FB307" s="1168"/>
      <c r="FC307" s="1168"/>
      <c r="FD307" s="1168"/>
      <c r="FE307" s="171">
        <f>SUM(FE305:FE306)</f>
        <v>400</v>
      </c>
      <c r="FF307" s="1192"/>
      <c r="FG307" s="1193"/>
      <c r="FH307" s="1194"/>
      <c r="FI307" s="1194"/>
      <c r="FJ307" s="1194"/>
      <c r="FK307" s="1194"/>
      <c r="FL307" s="1853"/>
      <c r="FM307" s="1788"/>
      <c r="FN307" s="1788"/>
      <c r="FO307" s="1788"/>
      <c r="FP307" s="1788"/>
      <c r="FQ307" s="1788"/>
      <c r="FR307" s="1195"/>
      <c r="FS307" s="1195"/>
      <c r="FT307" s="1195"/>
      <c r="FU307" s="1195"/>
      <c r="FV307" s="1195"/>
      <c r="FW307" s="1195"/>
      <c r="FX307" s="1195"/>
      <c r="FY307" s="1195"/>
      <c r="FZ307" s="1195"/>
      <c r="GA307" s="1193"/>
      <c r="GB307"/>
      <c r="GC307"/>
      <c r="GD307"/>
      <c r="GE307"/>
      <c r="GF307"/>
      <c r="GG307"/>
      <c r="GH307" s="1196"/>
      <c r="GI307" s="1196"/>
      <c r="GJ307" s="1196"/>
      <c r="GK307" s="1196"/>
      <c r="GL307" s="1196"/>
      <c r="GM307" s="1196"/>
      <c r="GN307" s="1196"/>
      <c r="GO307" s="1196"/>
      <c r="GP307" s="1196"/>
      <c r="GQ307" s="1196"/>
      <c r="GR307" s="1196"/>
      <c r="GS307" s="1196"/>
      <c r="GT307" s="1196"/>
      <c r="GU307" s="1196"/>
      <c r="GV307" s="1196"/>
      <c r="GW307" s="1196"/>
      <c r="GX307" s="1196"/>
      <c r="GY307" s="1196"/>
      <c r="GZ307" s="1196"/>
      <c r="HA307" s="1196"/>
      <c r="HB307" s="1196"/>
      <c r="HC307" s="1196"/>
      <c r="HD307" s="1196"/>
      <c r="HE307" s="1196"/>
      <c r="HF307" s="1196"/>
      <c r="HG307" s="1196"/>
      <c r="HH307" s="1196"/>
      <c r="HI307" s="1196"/>
      <c r="HJ307" s="1196"/>
      <c r="HK307" s="1196"/>
      <c r="HL307" s="1196"/>
      <c r="HM307" s="1196"/>
      <c r="HN307" s="1196"/>
      <c r="HO307" s="1196"/>
      <c r="HP307" s="1196"/>
      <c r="HQ307" s="1196"/>
      <c r="HR307" s="1196"/>
      <c r="HS307" s="1196"/>
      <c r="HT307" s="1196"/>
      <c r="HU307" s="1196"/>
      <c r="HV307" s="1196"/>
      <c r="HW307" s="1196"/>
      <c r="HX307" s="1196"/>
      <c r="HY307" s="1196"/>
      <c r="HZ307" s="1196"/>
      <c r="IA307" s="1196"/>
      <c r="IB307" s="1196"/>
      <c r="IC307" s="1196"/>
      <c r="ID307" s="1196"/>
      <c r="IE307" s="1196"/>
      <c r="IF307" s="1196"/>
      <c r="IG307" s="1196"/>
      <c r="IH307" s="1196"/>
      <c r="II307" s="1196"/>
      <c r="IJ307" s="1196"/>
      <c r="IK307" s="1196"/>
      <c r="IL307" s="1196"/>
      <c r="IM307" s="1196"/>
      <c r="IN307" s="1196"/>
      <c r="IO307" s="1196"/>
      <c r="IP307" s="1196"/>
      <c r="IQ307" s="1196"/>
      <c r="IR307" s="1196"/>
      <c r="IS307" s="1196"/>
      <c r="IT307" s="1196"/>
      <c r="IU307" s="1196"/>
      <c r="IV307" s="1196"/>
    </row>
    <row r="308" spans="1:256" s="1197" customFormat="1" ht="12.75" x14ac:dyDescent="0.2">
      <c r="A308" s="280" t="s">
        <v>153</v>
      </c>
      <c r="B308" s="20"/>
      <c r="C308" s="20"/>
      <c r="D308" s="20"/>
      <c r="E308" s="205"/>
      <c r="F308" s="48"/>
      <c r="G308" s="20"/>
      <c r="H308" s="20"/>
      <c r="I308" s="20"/>
      <c r="J308" s="205"/>
      <c r="K308" s="48"/>
      <c r="L308" s="20"/>
      <c r="M308" s="20"/>
      <c r="N308" s="20"/>
      <c r="O308" s="205"/>
      <c r="P308" s="48"/>
      <c r="Q308" s="20"/>
      <c r="R308" s="20"/>
      <c r="S308" s="20"/>
      <c r="T308" s="205"/>
      <c r="U308" s="48"/>
      <c r="V308" s="20"/>
      <c r="W308" s="20"/>
      <c r="X308" s="20"/>
      <c r="Y308" s="205"/>
      <c r="Z308" s="48"/>
      <c r="AA308" s="20"/>
      <c r="AB308" s="20"/>
      <c r="AC308" s="20"/>
      <c r="AD308" s="205"/>
      <c r="AE308" s="48"/>
      <c r="AF308" s="20"/>
      <c r="AG308" s="20"/>
      <c r="AH308" s="20"/>
      <c r="AI308" s="205"/>
      <c r="AJ308" s="48"/>
      <c r="AK308" s="20"/>
      <c r="AL308" s="20"/>
      <c r="AM308" s="20"/>
      <c r="AN308" s="205"/>
      <c r="AO308" s="48"/>
      <c r="AP308" s="20"/>
      <c r="AQ308" s="20"/>
      <c r="AR308" s="20"/>
      <c r="AS308" s="205"/>
      <c r="AT308" s="48">
        <v>-72</v>
      </c>
      <c r="AU308" s="20"/>
      <c r="AV308" s="20"/>
      <c r="AW308" s="20"/>
      <c r="AX308" s="205"/>
      <c r="AY308" s="48">
        <v>0</v>
      </c>
      <c r="AZ308" s="20"/>
      <c r="BA308" s="20"/>
      <c r="BB308" s="20"/>
      <c r="BC308" s="205"/>
      <c r="BD308" s="48">
        <v>0</v>
      </c>
      <c r="BE308" s="20"/>
      <c r="BF308" s="20"/>
      <c r="BG308" s="20"/>
      <c r="BH308" s="205"/>
      <c r="BI308" s="48">
        <v>0</v>
      </c>
      <c r="BJ308" s="20"/>
      <c r="BK308" s="20"/>
      <c r="BL308" s="20"/>
      <c r="BM308" s="205"/>
      <c r="BN308" s="48">
        <v>0</v>
      </c>
      <c r="BO308" s="20"/>
      <c r="BP308" s="20"/>
      <c r="BQ308" s="20"/>
      <c r="BR308" s="205"/>
      <c r="BS308" s="48">
        <v>0</v>
      </c>
      <c r="BT308" s="20"/>
      <c r="BU308" s="20"/>
      <c r="BV308" s="20"/>
      <c r="BW308" s="205"/>
      <c r="BX308" s="48">
        <v>-43</v>
      </c>
      <c r="BY308" s="20"/>
      <c r="BZ308" s="20"/>
      <c r="CA308" s="20"/>
      <c r="CB308" s="205"/>
      <c r="CC308" s="48">
        <v>0</v>
      </c>
      <c r="CD308" s="20"/>
      <c r="CE308" s="20"/>
      <c r="CF308" s="20"/>
      <c r="CG308" s="205"/>
      <c r="CH308" s="48">
        <v>0</v>
      </c>
      <c r="CI308" s="20"/>
      <c r="CJ308" s="20"/>
      <c r="CK308" s="20"/>
      <c r="CL308" s="205"/>
      <c r="CM308" s="48">
        <v>0</v>
      </c>
      <c r="CN308" s="20"/>
      <c r="CO308" s="20"/>
      <c r="CP308" s="20"/>
      <c r="CQ308" s="205"/>
      <c r="CR308" s="48">
        <v>0</v>
      </c>
      <c r="CS308" s="20"/>
      <c r="CT308" s="20"/>
      <c r="CU308" s="20"/>
      <c r="CV308" s="205"/>
      <c r="CW308" s="48">
        <v>0</v>
      </c>
      <c r="CX308" s="172"/>
      <c r="CY308" s="172"/>
      <c r="CZ308" s="172"/>
      <c r="DA308" s="20"/>
      <c r="DB308" s="48">
        <v>0</v>
      </c>
      <c r="DC308" s="172"/>
      <c r="DD308" s="172"/>
      <c r="DE308" s="172"/>
      <c r="DF308" s="20"/>
      <c r="DG308" s="48">
        <v>0</v>
      </c>
      <c r="DH308" s="20"/>
      <c r="DI308" s="172"/>
      <c r="DJ308" s="172"/>
      <c r="DK308" s="20"/>
      <c r="DL308" s="48">
        <v>0</v>
      </c>
      <c r="DM308" s="20">
        <v>0</v>
      </c>
      <c r="DN308" s="20">
        <v>0</v>
      </c>
      <c r="DO308" s="20"/>
      <c r="DP308" s="20"/>
      <c r="DQ308" s="48">
        <v>0</v>
      </c>
      <c r="DR308" s="20">
        <v>0</v>
      </c>
      <c r="DS308" s="20">
        <v>0</v>
      </c>
      <c r="DT308" s="20">
        <v>0</v>
      </c>
      <c r="DU308" s="20">
        <v>0</v>
      </c>
      <c r="DV308" s="48">
        <f>DV309-DV304-DV307</f>
        <v>0</v>
      </c>
      <c r="DW308" s="20">
        <v>0</v>
      </c>
      <c r="DX308" s="20">
        <v>0</v>
      </c>
      <c r="DY308" s="20">
        <v>0</v>
      </c>
      <c r="DZ308" s="20">
        <v>0</v>
      </c>
      <c r="EA308" s="48">
        <f>EA309-EA304-EA307</f>
        <v>0</v>
      </c>
      <c r="EB308" s="20">
        <v>0</v>
      </c>
      <c r="EC308" s="20">
        <v>0</v>
      </c>
      <c r="ED308" s="20">
        <v>0</v>
      </c>
      <c r="EE308" s="20">
        <v>0</v>
      </c>
      <c r="EF308" s="48">
        <f>EF309-EF304-EF307</f>
        <v>0</v>
      </c>
      <c r="EG308" s="20">
        <v>0</v>
      </c>
      <c r="EH308" s="20">
        <v>0</v>
      </c>
      <c r="EI308" s="20">
        <v>0</v>
      </c>
      <c r="EJ308" s="20">
        <v>0</v>
      </c>
      <c r="EK308" s="48">
        <f>EK309-EK304-EK307</f>
        <v>0</v>
      </c>
      <c r="EL308" s="20">
        <v>0</v>
      </c>
      <c r="EM308" s="20">
        <v>0</v>
      </c>
      <c r="EN308" s="20">
        <v>0</v>
      </c>
      <c r="EO308" s="20">
        <v>0</v>
      </c>
      <c r="EP308" s="48">
        <f>EP309-EP304-EP307</f>
        <v>0</v>
      </c>
      <c r="EQ308" s="172"/>
      <c r="ER308" s="172"/>
      <c r="ES308" s="172"/>
      <c r="ET308" s="172"/>
      <c r="EU308" s="1175">
        <v>0</v>
      </c>
      <c r="EV308" s="172"/>
      <c r="EW308" s="172"/>
      <c r="EX308" s="172"/>
      <c r="EY308" s="172"/>
      <c r="EZ308" s="1175">
        <v>0</v>
      </c>
      <c r="FA308" s="172"/>
      <c r="FB308" s="172"/>
      <c r="FC308" s="172"/>
      <c r="FD308" s="172"/>
      <c r="FE308" s="1175">
        <v>0</v>
      </c>
      <c r="FF308" s="1192"/>
      <c r="FG308" s="1193"/>
      <c r="FH308" s="1194"/>
      <c r="FI308" s="1194"/>
      <c r="FJ308" s="1194"/>
      <c r="FK308" s="1194"/>
      <c r="FL308" s="1853"/>
      <c r="FM308" s="1788"/>
      <c r="FN308" s="1788"/>
      <c r="FO308" s="1788"/>
      <c r="FP308" s="1788"/>
      <c r="FQ308" s="1788"/>
      <c r="FR308" s="1195"/>
      <c r="FS308" s="1195"/>
      <c r="FT308" s="1195"/>
      <c r="FU308" s="1195"/>
      <c r="FV308" s="1195"/>
      <c r="FW308" s="1195"/>
      <c r="FX308" s="1195"/>
      <c r="FY308" s="1195"/>
      <c r="FZ308" s="1195"/>
      <c r="GA308" s="1193"/>
      <c r="GB308"/>
      <c r="GC308"/>
      <c r="GD308"/>
      <c r="GE308"/>
      <c r="GF308"/>
      <c r="GG308"/>
      <c r="GH308" s="1196"/>
      <c r="GI308" s="1196"/>
      <c r="GJ308" s="1196"/>
      <c r="GK308" s="1196"/>
      <c r="GL308" s="1196"/>
      <c r="GM308" s="1196"/>
      <c r="GN308" s="1196"/>
      <c r="GO308" s="1196"/>
      <c r="GP308" s="1196"/>
      <c r="GQ308" s="1196"/>
      <c r="GR308" s="1196"/>
      <c r="GS308" s="1196"/>
      <c r="GT308" s="1196"/>
      <c r="GU308" s="1196"/>
      <c r="GV308" s="1196"/>
      <c r="GW308" s="1196"/>
      <c r="GX308" s="1196"/>
      <c r="GY308" s="1196"/>
      <c r="GZ308" s="1196"/>
      <c r="HA308" s="1196"/>
      <c r="HB308" s="1196"/>
      <c r="HC308" s="1196"/>
      <c r="HD308" s="1196"/>
      <c r="HE308" s="1196"/>
      <c r="HF308" s="1196"/>
      <c r="HG308" s="1196"/>
      <c r="HH308" s="1196"/>
      <c r="HI308" s="1196"/>
      <c r="HJ308" s="1196"/>
      <c r="HK308" s="1196"/>
      <c r="HL308" s="1196"/>
      <c r="HM308" s="1196"/>
      <c r="HN308" s="1196"/>
      <c r="HO308" s="1196"/>
      <c r="HP308" s="1196"/>
      <c r="HQ308" s="1196"/>
      <c r="HR308" s="1196"/>
      <c r="HS308" s="1196"/>
      <c r="HT308" s="1196"/>
      <c r="HU308" s="1196"/>
      <c r="HV308" s="1196"/>
      <c r="HW308" s="1196"/>
      <c r="HX308" s="1196"/>
      <c r="HY308" s="1196"/>
      <c r="HZ308" s="1196"/>
      <c r="IA308" s="1196"/>
      <c r="IB308" s="1196"/>
      <c r="IC308" s="1196"/>
      <c r="ID308" s="1196"/>
      <c r="IE308" s="1196"/>
      <c r="IF308" s="1196"/>
      <c r="IG308" s="1196"/>
      <c r="IH308" s="1196"/>
      <c r="II308" s="1196"/>
      <c r="IJ308" s="1196"/>
      <c r="IK308" s="1196"/>
      <c r="IL308" s="1196"/>
      <c r="IM308" s="1196"/>
      <c r="IN308" s="1196"/>
      <c r="IO308" s="1196"/>
      <c r="IP308" s="1196"/>
      <c r="IQ308" s="1196"/>
      <c r="IR308" s="1196"/>
      <c r="IS308" s="1196"/>
      <c r="IT308" s="1196"/>
      <c r="IU308" s="1196"/>
      <c r="IV308" s="1196"/>
    </row>
    <row r="309" spans="1:256" s="1170" customFormat="1" ht="12.75" x14ac:dyDescent="0.2">
      <c r="A309" s="1198" t="s">
        <v>658</v>
      </c>
      <c r="E309" s="1199"/>
      <c r="F309" s="1169"/>
      <c r="J309" s="1199"/>
      <c r="K309" s="1169"/>
      <c r="O309" s="1199"/>
      <c r="P309" s="1169"/>
      <c r="T309" s="1199"/>
      <c r="U309" s="1169"/>
      <c r="Y309" s="1199"/>
      <c r="Z309" s="1169"/>
      <c r="AD309" s="1199"/>
      <c r="AE309" s="1169"/>
      <c r="AI309" s="1199"/>
      <c r="AJ309" s="1169"/>
      <c r="AN309" s="1199"/>
      <c r="AO309" s="1169"/>
      <c r="AS309" s="1199"/>
      <c r="AT309" s="1169">
        <f>AT307+AT304+AT308</f>
        <v>5187</v>
      </c>
      <c r="AX309" s="1199"/>
      <c r="AY309" s="1169">
        <f>AY307+AY304+AY308</f>
        <v>-252</v>
      </c>
      <c r="BC309" s="1199"/>
      <c r="BD309" s="1169">
        <f>BD307+BD304+BD308</f>
        <v>90</v>
      </c>
      <c r="BH309" s="1199"/>
      <c r="BI309" s="1169">
        <f>BI307+BI304+BI308</f>
        <v>-798</v>
      </c>
      <c r="BM309" s="1199"/>
      <c r="BN309" s="1169">
        <f>BN307+BN304+BN308</f>
        <v>151</v>
      </c>
      <c r="BR309" s="1199"/>
      <c r="BS309" s="1169">
        <f>BS307+BS304+BS308</f>
        <v>-150</v>
      </c>
      <c r="BW309" s="1199"/>
      <c r="BX309" s="1169">
        <f>BX307+BX304+BX308</f>
        <v>-314</v>
      </c>
      <c r="CB309" s="1199"/>
      <c r="CC309" s="1169">
        <f>CC307+CC304+CC308</f>
        <v>-233</v>
      </c>
      <c r="CG309" s="1199"/>
      <c r="CH309" s="1169">
        <f>CH307+CH304+CH308</f>
        <v>-456</v>
      </c>
      <c r="CL309" s="1199"/>
      <c r="CM309" s="1169">
        <f>CM307+CM304+CM308</f>
        <v>-1284</v>
      </c>
      <c r="CQ309" s="1199"/>
      <c r="CR309" s="1169">
        <f>CR307+CR304+CR308</f>
        <v>-1629</v>
      </c>
      <c r="CV309" s="1199"/>
      <c r="CW309" s="1169">
        <f>CW307+CW304+CW308</f>
        <v>-1075</v>
      </c>
      <c r="DB309" s="1169">
        <f>DB307+DB304+DB308</f>
        <v>-31</v>
      </c>
      <c r="DG309" s="1169">
        <f>DG307+DG304+DG308</f>
        <v>-1427</v>
      </c>
      <c r="DL309" s="1169">
        <f>DL307+DL304+DL308</f>
        <v>-2006</v>
      </c>
      <c r="DM309" s="1170">
        <v>-46</v>
      </c>
      <c r="DN309" s="1170">
        <f>+-651-DM309</f>
        <v>-605</v>
      </c>
      <c r="DQ309" s="1169">
        <f>DQ307+DQ304+DQ308</f>
        <v>-694</v>
      </c>
      <c r="DR309" s="1170">
        <v>-338</v>
      </c>
      <c r="DS309" s="1170">
        <f>-765-DR309</f>
        <v>-427</v>
      </c>
      <c r="DT309" s="1170">
        <f>+-704-SUM(DR309:DS309)</f>
        <v>61</v>
      </c>
      <c r="DU309" s="1170">
        <f>DV309-SUM(DR309:DT309)</f>
        <v>310</v>
      </c>
      <c r="DV309" s="1169">
        <v>-394</v>
      </c>
      <c r="DW309" s="1170">
        <v>-255</v>
      </c>
      <c r="DX309" s="1170">
        <f>+-566-DW309</f>
        <v>-311</v>
      </c>
      <c r="DY309" s="1170">
        <f>+-1103-SUM(DW309:DX309)</f>
        <v>-537</v>
      </c>
      <c r="DZ309" s="1170">
        <f>EA309-SUM(DW309:DY309)</f>
        <v>-217</v>
      </c>
      <c r="EA309" s="1169">
        <v>-1320</v>
      </c>
      <c r="EB309" s="1170">
        <v>-676</v>
      </c>
      <c r="EC309" s="1170">
        <f>+-705-EB309</f>
        <v>-29</v>
      </c>
      <c r="ED309" s="1170">
        <f>+-1041-SUM(EB309:EC309)</f>
        <v>-336</v>
      </c>
      <c r="EE309" s="1170">
        <f>EF309-SUM(EB309:ED309)</f>
        <v>348</v>
      </c>
      <c r="EF309" s="1169">
        <v>-693</v>
      </c>
      <c r="EG309" s="1170">
        <v>-983</v>
      </c>
      <c r="EH309" s="1170">
        <f>+-755-EG309</f>
        <v>228</v>
      </c>
      <c r="EI309" s="1170">
        <f>+-1099-SUM(EG309:EH309)</f>
        <v>-344</v>
      </c>
      <c r="EJ309" s="1170">
        <f>EK309-SUM(EG309:EI309)</f>
        <v>-248</v>
      </c>
      <c r="EK309" s="1169">
        <v>-1347</v>
      </c>
      <c r="EL309" s="1170">
        <v>-443</v>
      </c>
      <c r="EM309" s="1170">
        <f>+-1066-EL309</f>
        <v>-623</v>
      </c>
      <c r="EN309" s="1170">
        <f>+-1523-SUM(EL309:EM309)</f>
        <v>-457</v>
      </c>
      <c r="EO309" s="1170">
        <f>EP309-SUM(EL309:EN309)</f>
        <v>-515</v>
      </c>
      <c r="EP309" s="1169">
        <v>-2038</v>
      </c>
      <c r="EU309" s="1169">
        <f ca="1">EU307+EU304+EU308</f>
        <v>-1776.1535171073774</v>
      </c>
      <c r="EZ309" s="1169">
        <f ca="1">EZ307+EZ304+EZ308</f>
        <v>-1348.7835945451907</v>
      </c>
      <c r="FE309" s="1169">
        <f ca="1">FE307+FE304+FE308</f>
        <v>-1320.3733809604084</v>
      </c>
      <c r="FF309" s="1200"/>
      <c r="FG309" s="1193"/>
      <c r="FH309" s="1194"/>
      <c r="FI309" s="1194"/>
      <c r="FJ309" s="1194"/>
      <c r="FK309" s="1194"/>
      <c r="FL309" s="1853"/>
      <c r="FM309" s="1788"/>
      <c r="FN309" s="1788"/>
      <c r="FO309" s="1788"/>
      <c r="FP309" s="1788"/>
      <c r="FQ309" s="1788"/>
      <c r="FR309" s="1202"/>
      <c r="FS309" s="1202"/>
      <c r="FT309" s="1202"/>
      <c r="FU309" s="1202"/>
      <c r="FV309" s="1202"/>
      <c r="FW309" s="1202"/>
      <c r="FX309" s="1202"/>
      <c r="FY309" s="1202"/>
      <c r="FZ309" s="1202"/>
      <c r="GA309" s="1193"/>
      <c r="GB309"/>
      <c r="GC309"/>
      <c r="GD309"/>
      <c r="GE309"/>
      <c r="GF309"/>
      <c r="GG309"/>
      <c r="GH309" s="1203"/>
      <c r="GI309" s="1203"/>
      <c r="GJ309" s="1203"/>
      <c r="GK309" s="1203"/>
      <c r="GL309" s="1203"/>
      <c r="GM309" s="1203"/>
      <c r="GN309" s="1203"/>
      <c r="GO309" s="1203"/>
      <c r="GP309" s="1203"/>
      <c r="GQ309" s="1203"/>
      <c r="GR309" s="1203"/>
      <c r="GS309" s="1203"/>
      <c r="GT309" s="1203"/>
      <c r="GU309" s="1203"/>
      <c r="GV309" s="1203"/>
      <c r="GW309" s="1203"/>
      <c r="GX309" s="1203"/>
      <c r="GY309" s="1203"/>
      <c r="GZ309" s="1203"/>
      <c r="HA309" s="1203"/>
      <c r="HB309" s="1203"/>
      <c r="HC309" s="1203"/>
      <c r="HD309" s="1203"/>
      <c r="HE309" s="1203"/>
      <c r="HF309" s="1203"/>
      <c r="HG309" s="1203"/>
      <c r="HH309" s="1203"/>
      <c r="HI309" s="1203"/>
      <c r="HJ309" s="1203"/>
      <c r="HK309" s="1203"/>
      <c r="HL309" s="1203"/>
      <c r="HM309" s="1203"/>
      <c r="HN309" s="1203"/>
      <c r="HO309" s="1203"/>
      <c r="HP309" s="1203"/>
      <c r="HQ309" s="1203"/>
      <c r="HR309" s="1203"/>
      <c r="HS309" s="1203"/>
      <c r="HT309" s="1203"/>
      <c r="HU309" s="1203"/>
      <c r="HV309" s="1203"/>
      <c r="HW309" s="1203"/>
      <c r="HX309" s="1203"/>
      <c r="HY309" s="1203"/>
      <c r="HZ309" s="1203"/>
      <c r="IA309" s="1203"/>
      <c r="IB309" s="1203"/>
      <c r="IC309" s="1203"/>
      <c r="ID309" s="1203"/>
      <c r="IE309" s="1203"/>
      <c r="IF309" s="1203"/>
      <c r="IG309" s="1203"/>
      <c r="IH309" s="1203"/>
      <c r="II309" s="1203"/>
      <c r="IJ309" s="1203"/>
      <c r="IK309" s="1203"/>
      <c r="IL309" s="1203"/>
      <c r="IM309" s="1203"/>
      <c r="IN309" s="1203"/>
      <c r="IO309" s="1203"/>
      <c r="IP309" s="1203"/>
      <c r="IQ309" s="1203"/>
      <c r="IR309" s="1203"/>
      <c r="IS309" s="1203"/>
      <c r="IT309" s="1203"/>
      <c r="IU309" s="1203"/>
      <c r="IV309" s="1203"/>
    </row>
    <row r="310" spans="1:256" s="169" customFormat="1" ht="12.6" customHeight="1" x14ac:dyDescent="0.2">
      <c r="A310" s="166" t="s">
        <v>473</v>
      </c>
      <c r="B310" s="158"/>
      <c r="C310" s="158"/>
      <c r="D310" s="158"/>
      <c r="E310" s="223"/>
      <c r="F310" s="159"/>
      <c r="G310" s="158"/>
      <c r="H310" s="158"/>
      <c r="I310" s="158"/>
      <c r="J310" s="223"/>
      <c r="K310" s="159"/>
      <c r="L310" s="158"/>
      <c r="M310" s="158"/>
      <c r="N310" s="158"/>
      <c r="O310" s="223"/>
      <c r="P310" s="159"/>
      <c r="Q310" s="158"/>
      <c r="R310" s="158"/>
      <c r="S310" s="158"/>
      <c r="T310" s="223"/>
      <c r="U310" s="159"/>
      <c r="V310" s="158"/>
      <c r="W310" s="158"/>
      <c r="X310" s="158"/>
      <c r="Y310" s="223"/>
      <c r="Z310" s="159"/>
      <c r="AA310" s="158"/>
      <c r="AB310" s="158"/>
      <c r="AC310" s="158"/>
      <c r="AD310" s="223"/>
      <c r="AE310" s="159"/>
      <c r="AF310" s="158"/>
      <c r="AG310" s="158"/>
      <c r="AH310" s="158"/>
      <c r="AI310" s="223"/>
      <c r="AJ310" s="159"/>
      <c r="AK310" s="158"/>
      <c r="AL310" s="158"/>
      <c r="AM310" s="158"/>
      <c r="AN310" s="223"/>
      <c r="AO310" s="159"/>
      <c r="AP310" s="158"/>
      <c r="AQ310" s="158"/>
      <c r="AR310" s="158"/>
      <c r="AS310" s="223"/>
      <c r="AT310" s="159">
        <v>4</v>
      </c>
      <c r="AU310" s="158"/>
      <c r="AV310" s="158"/>
      <c r="AW310" s="158"/>
      <c r="AX310" s="223"/>
      <c r="AY310" s="159">
        <v>-2</v>
      </c>
      <c r="AZ310" s="158"/>
      <c r="BA310" s="158"/>
      <c r="BB310" s="158"/>
      <c r="BC310" s="223"/>
      <c r="BD310" s="159"/>
      <c r="BE310" s="158"/>
      <c r="BF310" s="158"/>
      <c r="BG310" s="158"/>
      <c r="BH310" s="223"/>
      <c r="BI310" s="159"/>
      <c r="BJ310" s="158"/>
      <c r="BK310" s="158"/>
      <c r="BL310" s="158"/>
      <c r="BM310" s="223"/>
      <c r="BN310" s="159"/>
      <c r="BO310" s="158"/>
      <c r="BP310" s="158"/>
      <c r="BQ310" s="158"/>
      <c r="BR310" s="223"/>
      <c r="BS310" s="159"/>
      <c r="BT310" s="158"/>
      <c r="BU310" s="158"/>
      <c r="BV310" s="158"/>
      <c r="BW310" s="223"/>
      <c r="BX310" s="159"/>
      <c r="BY310" s="158"/>
      <c r="BZ310" s="158"/>
      <c r="CA310" s="158"/>
      <c r="CB310" s="223"/>
      <c r="CC310" s="159"/>
      <c r="CD310" s="158"/>
      <c r="CE310" s="158"/>
      <c r="CF310" s="158"/>
      <c r="CG310" s="223"/>
      <c r="CH310" s="159"/>
      <c r="CI310" s="158"/>
      <c r="CJ310" s="158"/>
      <c r="CK310" s="158"/>
      <c r="CL310" s="223"/>
      <c r="CM310" s="159"/>
      <c r="CN310" s="158"/>
      <c r="CO310" s="158"/>
      <c r="CP310" s="158"/>
      <c r="CQ310" s="223"/>
      <c r="CR310" s="159"/>
      <c r="CS310" s="158"/>
      <c r="CT310" s="158"/>
      <c r="CU310" s="158"/>
      <c r="CV310" s="223"/>
      <c r="CW310" s="159"/>
      <c r="CX310" s="3"/>
      <c r="CY310" s="3"/>
      <c r="CZ310" s="3"/>
      <c r="DA310" s="158"/>
      <c r="DB310" s="159"/>
      <c r="DC310" s="3"/>
      <c r="DD310" s="3"/>
      <c r="DE310" s="3"/>
      <c r="DF310" s="158"/>
      <c r="DG310" s="159"/>
      <c r="DH310" s="158"/>
      <c r="DI310" s="3"/>
      <c r="DJ310" s="3"/>
      <c r="DK310" s="158"/>
      <c r="DL310" s="159"/>
      <c r="DM310" s="158"/>
      <c r="DN310" s="3"/>
      <c r="DO310" s="3"/>
      <c r="DP310" s="158"/>
      <c r="DQ310" s="171"/>
      <c r="DR310" s="158"/>
      <c r="DS310" s="3"/>
      <c r="DT310" s="3"/>
      <c r="DU310" s="158"/>
      <c r="DV310" s="171"/>
      <c r="DW310" s="158"/>
      <c r="DX310" s="3"/>
      <c r="DY310" s="3"/>
      <c r="DZ310" s="3"/>
      <c r="EA310" s="171"/>
      <c r="EB310" s="158"/>
      <c r="EC310" s="3"/>
      <c r="ED310" s="168"/>
      <c r="EE310" s="3"/>
      <c r="EF310" s="171"/>
      <c r="EG310" s="158"/>
      <c r="EH310" s="168"/>
      <c r="EI310" s="168"/>
      <c r="EJ310" s="168"/>
      <c r="EK310" s="171"/>
      <c r="EL310" s="158"/>
      <c r="EM310" s="168"/>
      <c r="EN310" s="168"/>
      <c r="EO310" s="168"/>
      <c r="EP310" s="171"/>
      <c r="EQ310" s="168"/>
      <c r="ER310" s="168"/>
      <c r="ES310" s="168"/>
      <c r="ET310" s="168"/>
      <c r="EU310" s="171"/>
      <c r="EV310" s="168"/>
      <c r="EW310" s="168"/>
      <c r="EX310" s="168"/>
      <c r="EY310" s="168"/>
      <c r="EZ310" s="171"/>
      <c r="FA310" s="168"/>
      <c r="FB310" s="168"/>
      <c r="FC310" s="168"/>
      <c r="FD310" s="168"/>
      <c r="FE310" s="171"/>
      <c r="FF310" s="822"/>
      <c r="FG310" s="660"/>
      <c r="FH310" s="1085"/>
      <c r="FI310" s="1085"/>
      <c r="FJ310" s="1085"/>
      <c r="FK310" s="1085"/>
      <c r="FL310" s="1858"/>
      <c r="FM310" s="1789"/>
      <c r="FN310" s="1789"/>
      <c r="FO310" s="1789"/>
      <c r="FP310" s="1789"/>
      <c r="FQ310" s="1789"/>
      <c r="FR310" s="608"/>
      <c r="FS310" s="608"/>
      <c r="FT310" s="608"/>
      <c r="FU310" s="608"/>
      <c r="FV310" s="608"/>
      <c r="FW310" s="608"/>
      <c r="FX310" s="608"/>
      <c r="FY310" s="608"/>
      <c r="FZ310" s="608"/>
      <c r="GA310" s="660"/>
      <c r="GB310"/>
      <c r="GC310"/>
      <c r="GD310"/>
      <c r="GE310"/>
      <c r="GF310"/>
      <c r="GG310"/>
      <c r="GH310" s="991"/>
      <c r="GI310" s="991"/>
      <c r="GJ310" s="991"/>
      <c r="GK310" s="991"/>
      <c r="GL310" s="991"/>
      <c r="GM310" s="991"/>
      <c r="GN310" s="991"/>
      <c r="GO310" s="991"/>
      <c r="GP310" s="991"/>
      <c r="GQ310" s="991"/>
      <c r="GR310" s="991"/>
      <c r="GS310" s="991"/>
      <c r="GT310" s="991"/>
      <c r="GU310" s="991"/>
      <c r="GV310" s="991"/>
      <c r="GW310" s="991"/>
      <c r="GX310" s="991"/>
      <c r="GY310" s="991"/>
      <c r="GZ310" s="991"/>
      <c r="HA310" s="991"/>
      <c r="HB310" s="991"/>
      <c r="HC310" s="991"/>
      <c r="HD310" s="991"/>
      <c r="HE310" s="991"/>
      <c r="HF310" s="991"/>
      <c r="HG310" s="991"/>
      <c r="HH310" s="991"/>
      <c r="HI310" s="991"/>
      <c r="HJ310" s="991"/>
      <c r="HK310" s="991"/>
      <c r="HL310" s="991"/>
      <c r="HM310" s="991"/>
      <c r="HN310" s="991"/>
      <c r="HO310" s="991"/>
      <c r="HP310" s="991"/>
      <c r="HQ310" s="991"/>
      <c r="HR310" s="991"/>
      <c r="HS310" s="991"/>
      <c r="HT310" s="991"/>
      <c r="HU310" s="991"/>
      <c r="HV310" s="991"/>
      <c r="HW310" s="991"/>
      <c r="HX310" s="991"/>
      <c r="HY310" s="991"/>
      <c r="HZ310" s="991"/>
      <c r="IA310" s="991"/>
      <c r="IB310" s="991"/>
      <c r="IC310" s="991"/>
      <c r="ID310" s="991"/>
      <c r="IE310" s="991"/>
      <c r="IF310" s="991"/>
      <c r="IG310" s="991"/>
      <c r="IH310" s="991"/>
      <c r="II310" s="991"/>
      <c r="IJ310" s="991"/>
      <c r="IK310" s="991"/>
      <c r="IL310" s="991"/>
      <c r="IM310" s="991"/>
      <c r="IN310" s="991"/>
      <c r="IO310" s="991"/>
      <c r="IP310" s="991"/>
      <c r="IQ310" s="991"/>
      <c r="IR310" s="991"/>
      <c r="IS310" s="991"/>
      <c r="IT310" s="991"/>
      <c r="IU310" s="991"/>
      <c r="IV310" s="991"/>
    </row>
    <row r="311" spans="1:256" s="173" customFormat="1" ht="12.75" x14ac:dyDescent="0.2">
      <c r="A311" s="170" t="s">
        <v>580</v>
      </c>
      <c r="B311" s="168"/>
      <c r="C311" s="168"/>
      <c r="D311" s="168"/>
      <c r="E311" s="227"/>
      <c r="F311" s="171"/>
      <c r="G311" s="168"/>
      <c r="H311" s="168"/>
      <c r="I311" s="168"/>
      <c r="J311" s="227"/>
      <c r="K311" s="171"/>
      <c r="L311" s="168"/>
      <c r="M311" s="168"/>
      <c r="N311" s="168"/>
      <c r="O311" s="227"/>
      <c r="P311" s="171"/>
      <c r="Q311" s="168"/>
      <c r="R311" s="168"/>
      <c r="S311" s="168"/>
      <c r="T311" s="227"/>
      <c r="U311" s="171"/>
      <c r="V311" s="168"/>
      <c r="W311" s="168"/>
      <c r="X311" s="168"/>
      <c r="Y311" s="227"/>
      <c r="Z311" s="171"/>
      <c r="AA311" s="168"/>
      <c r="AB311" s="168"/>
      <c r="AC311" s="168"/>
      <c r="AD311" s="227"/>
      <c r="AE311" s="171"/>
      <c r="AF311" s="168"/>
      <c r="AG311" s="168"/>
      <c r="AH311" s="168"/>
      <c r="AI311" s="227"/>
      <c r="AJ311" s="171"/>
      <c r="AK311" s="168"/>
      <c r="AL311" s="168"/>
      <c r="AM311" s="168"/>
      <c r="AN311" s="227"/>
      <c r="AO311" s="171"/>
      <c r="AP311" s="168"/>
      <c r="AQ311" s="168"/>
      <c r="AR311" s="168"/>
      <c r="AS311" s="227"/>
      <c r="AT311" s="171">
        <f>AT310+AT309+AT299+AT292</f>
        <v>-173</v>
      </c>
      <c r="AU311" s="168"/>
      <c r="AV311" s="168"/>
      <c r="AW311" s="168"/>
      <c r="AX311" s="227"/>
      <c r="AY311" s="171">
        <f>AY310+AY309+AY299+AY292</f>
        <v>-29</v>
      </c>
      <c r="AZ311" s="168"/>
      <c r="BA311" s="168"/>
      <c r="BB311" s="168"/>
      <c r="BC311" s="227"/>
      <c r="BD311" s="171">
        <f>BD310+BD309+BD299+BD292</f>
        <v>32</v>
      </c>
      <c r="BE311" s="168"/>
      <c r="BF311" s="168"/>
      <c r="BG311" s="168"/>
      <c r="BH311" s="227"/>
      <c r="BI311" s="171">
        <f>BI310+BI309+BI299+BI292</f>
        <v>-37</v>
      </c>
      <c r="BJ311" s="168"/>
      <c r="BK311" s="168"/>
      <c r="BL311" s="168"/>
      <c r="BM311" s="227"/>
      <c r="BN311" s="171">
        <f>BN310+BN309+BN299+BN292</f>
        <v>204</v>
      </c>
      <c r="BO311" s="168"/>
      <c r="BP311" s="168"/>
      <c r="BQ311" s="168"/>
      <c r="BR311" s="227"/>
      <c r="BS311" s="171">
        <f>BS310+BS309+BS299+BS292</f>
        <v>-20</v>
      </c>
      <c r="BT311" s="168"/>
      <c r="BU311" s="168"/>
      <c r="BV311" s="168"/>
      <c r="BW311" s="227"/>
      <c r="BX311" s="171">
        <f>BX310+BX309+BX299+BX292</f>
        <v>100</v>
      </c>
      <c r="BY311" s="168"/>
      <c r="BZ311" s="168"/>
      <c r="CA311" s="168"/>
      <c r="CB311" s="227"/>
      <c r="CC311" s="171">
        <f>CC310+CC309+CC299+CC292</f>
        <v>183</v>
      </c>
      <c r="CD311" s="168"/>
      <c r="CE311" s="168"/>
      <c r="CF311" s="168"/>
      <c r="CG311" s="227"/>
      <c r="CH311" s="171">
        <f>CH310+CH309+CH299+CH292</f>
        <v>-178</v>
      </c>
      <c r="CI311" s="168"/>
      <c r="CJ311" s="168"/>
      <c r="CK311" s="168"/>
      <c r="CL311" s="227"/>
      <c r="CM311" s="171">
        <f>CM310+CM309+CM299+CM292</f>
        <v>238</v>
      </c>
      <c r="CN311" s="168"/>
      <c r="CO311" s="168"/>
      <c r="CP311" s="168"/>
      <c r="CQ311" s="227"/>
      <c r="CR311" s="171">
        <f>CR310+CR309+CR299+CR292</f>
        <v>-321</v>
      </c>
      <c r="CS311" s="168"/>
      <c r="CT311" s="168"/>
      <c r="CU311" s="168"/>
      <c r="CV311" s="227"/>
      <c r="CW311" s="171">
        <f>CW310+CW309+CW299+CW292</f>
        <v>412</v>
      </c>
      <c r="CX311" s="168"/>
      <c r="CY311" s="168"/>
      <c r="CZ311" s="168"/>
      <c r="DA311" s="168"/>
      <c r="DB311" s="171">
        <f>DB310+DB309+DB299+DB292</f>
        <v>378</v>
      </c>
      <c r="DC311" s="168"/>
      <c r="DD311" s="168"/>
      <c r="DE311" s="168"/>
      <c r="DF311" s="168"/>
      <c r="DG311" s="171">
        <f>DG310+DG309+DG299+DG292</f>
        <v>-169</v>
      </c>
      <c r="DH311" s="168"/>
      <c r="DI311" s="168"/>
      <c r="DJ311" s="168"/>
      <c r="DK311" s="168"/>
      <c r="DL311" s="171">
        <f>DL310+DL309+DL299+DL292</f>
        <v>-551</v>
      </c>
      <c r="DM311" s="158"/>
      <c r="DN311" s="158"/>
      <c r="DO311" s="158"/>
      <c r="DP311" s="158"/>
      <c r="DQ311" s="171">
        <f>DQ310+DQ309+DQ299+DQ292</f>
        <v>377</v>
      </c>
      <c r="DR311" s="158"/>
      <c r="DS311" s="158"/>
      <c r="DT311" s="158"/>
      <c r="DU311" s="158"/>
      <c r="DV311" s="171">
        <f>DV310+DV309+DV299+DV292</f>
        <v>790</v>
      </c>
      <c r="DW311" s="158"/>
      <c r="DX311" s="158"/>
      <c r="DY311" s="158"/>
      <c r="DZ311" s="158"/>
      <c r="EA311" s="171">
        <f>EA310+EA309+EA299+EA292</f>
        <v>-470</v>
      </c>
      <c r="EB311" s="158"/>
      <c r="EC311" s="158"/>
      <c r="ED311" s="168"/>
      <c r="EE311" s="158"/>
      <c r="EF311" s="171">
        <f>EF310+EF309+EF299+EF292</f>
        <v>128</v>
      </c>
      <c r="EG311" s="158"/>
      <c r="EH311" s="168"/>
      <c r="EI311" s="168"/>
      <c r="EJ311" s="168"/>
      <c r="EK311" s="171">
        <f>EK310+EK309+EK299+EK292</f>
        <v>-145</v>
      </c>
      <c r="EL311" s="158"/>
      <c r="EM311" s="168"/>
      <c r="EN311" s="168"/>
      <c r="EO311" s="168"/>
      <c r="EP311" s="171">
        <f>EP310+EP309+EP299+EP292</f>
        <v>-266</v>
      </c>
      <c r="EQ311" s="168"/>
      <c r="ER311" s="168"/>
      <c r="ES311" s="168"/>
      <c r="ET311" s="168"/>
      <c r="EU311" s="171">
        <f ca="1">EU310+EU309+EU299+EU292</f>
        <v>-70.674117353652491</v>
      </c>
      <c r="EV311" s="168"/>
      <c r="EW311" s="168"/>
      <c r="EX311" s="168"/>
      <c r="EY311" s="168"/>
      <c r="EZ311" s="171">
        <f ca="1">EZ310+EZ309+EZ299+EZ292</f>
        <v>303.80362270986825</v>
      </c>
      <c r="FA311" s="168"/>
      <c r="FB311" s="168"/>
      <c r="FC311" s="168"/>
      <c r="FD311" s="168"/>
      <c r="FE311" s="171">
        <f ca="1">FE310+FE309+FE299+FE292</f>
        <v>412.24363374146014</v>
      </c>
      <c r="FF311" s="823"/>
      <c r="FG311" s="660"/>
      <c r="FH311" s="1085"/>
      <c r="FI311" s="1085"/>
      <c r="FJ311" s="1085"/>
      <c r="FK311" s="1085"/>
      <c r="FL311" s="1858"/>
      <c r="FM311" s="1789"/>
      <c r="FN311" s="1789"/>
      <c r="FO311" s="1789"/>
      <c r="FP311" s="1789"/>
      <c r="FQ311" s="1789"/>
      <c r="FR311" s="609"/>
      <c r="FS311" s="609"/>
      <c r="FT311" s="609"/>
      <c r="FU311" s="609"/>
      <c r="FV311" s="609"/>
      <c r="FW311" s="609"/>
      <c r="FX311" s="609"/>
      <c r="FY311" s="609"/>
      <c r="FZ311" s="609"/>
      <c r="GA311" s="660"/>
      <c r="GB311"/>
      <c r="GC311"/>
      <c r="GD311"/>
      <c r="GE311"/>
      <c r="GF311"/>
      <c r="GG311"/>
      <c r="GH311" s="994"/>
      <c r="GI311" s="994"/>
      <c r="GJ311" s="994"/>
      <c r="GK311" s="994"/>
      <c r="GL311" s="994"/>
      <c r="GM311" s="994"/>
      <c r="GN311" s="994"/>
      <c r="GO311" s="994"/>
      <c r="GP311" s="994"/>
      <c r="GQ311" s="994"/>
      <c r="GR311" s="994"/>
      <c r="GS311" s="994"/>
      <c r="GT311" s="994"/>
      <c r="GU311" s="994"/>
      <c r="GV311" s="994"/>
      <c r="GW311" s="994"/>
      <c r="GX311" s="994"/>
      <c r="GY311" s="994"/>
      <c r="GZ311" s="994"/>
      <c r="HA311" s="994"/>
      <c r="HB311" s="994"/>
      <c r="HC311" s="994"/>
      <c r="HD311" s="994"/>
      <c r="HE311" s="994"/>
      <c r="HF311" s="994"/>
      <c r="HG311" s="994"/>
      <c r="HH311" s="994"/>
      <c r="HI311" s="994"/>
      <c r="HJ311" s="994"/>
      <c r="HK311" s="994"/>
      <c r="HL311" s="994"/>
      <c r="HM311" s="994"/>
      <c r="HN311" s="994"/>
      <c r="HO311" s="994"/>
      <c r="HP311" s="994"/>
      <c r="HQ311" s="994"/>
      <c r="HR311" s="994"/>
      <c r="HS311" s="994"/>
      <c r="HT311" s="994"/>
      <c r="HU311" s="994"/>
      <c r="HV311" s="994"/>
      <c r="HW311" s="994"/>
      <c r="HX311" s="994"/>
      <c r="HY311" s="994"/>
      <c r="HZ311" s="994"/>
      <c r="IA311" s="994"/>
      <c r="IB311" s="994"/>
      <c r="IC311" s="994"/>
      <c r="ID311" s="994"/>
      <c r="IE311" s="994"/>
      <c r="IF311" s="994"/>
      <c r="IG311" s="994"/>
      <c r="IH311" s="994"/>
      <c r="II311" s="994"/>
      <c r="IJ311" s="994"/>
      <c r="IK311" s="994"/>
      <c r="IL311" s="994"/>
      <c r="IM311" s="994"/>
      <c r="IN311" s="994"/>
      <c r="IO311" s="994"/>
      <c r="IP311" s="994"/>
      <c r="IQ311" s="994"/>
      <c r="IR311" s="994"/>
      <c r="IS311" s="994"/>
      <c r="IT311" s="994"/>
      <c r="IU311" s="994"/>
      <c r="IV311" s="994"/>
    </row>
    <row r="312" spans="1:256" s="173" customFormat="1" ht="12.75" x14ac:dyDescent="0.2">
      <c r="A312" s="170" t="s">
        <v>581</v>
      </c>
      <c r="B312" s="165"/>
      <c r="C312" s="165"/>
      <c r="D312" s="165"/>
      <c r="E312" s="226"/>
      <c r="F312" s="155"/>
      <c r="G312" s="165"/>
      <c r="H312" s="165"/>
      <c r="I312" s="165"/>
      <c r="J312" s="226"/>
      <c r="K312" s="155"/>
      <c r="L312" s="165"/>
      <c r="M312" s="165"/>
      <c r="N312" s="165"/>
      <c r="O312" s="226"/>
      <c r="P312" s="155"/>
      <c r="Q312" s="165"/>
      <c r="R312" s="165"/>
      <c r="S312" s="165"/>
      <c r="T312" s="226"/>
      <c r="U312" s="155"/>
      <c r="V312" s="165"/>
      <c r="W312" s="165"/>
      <c r="X312" s="165"/>
      <c r="Y312" s="226"/>
      <c r="Z312" s="155"/>
      <c r="AA312" s="165"/>
      <c r="AB312" s="165"/>
      <c r="AC312" s="165"/>
      <c r="AD312" s="226"/>
      <c r="AE312" s="155"/>
      <c r="AF312" s="165"/>
      <c r="AG312" s="165"/>
      <c r="AH312" s="165"/>
      <c r="AI312" s="226"/>
      <c r="AJ312" s="155"/>
      <c r="AK312" s="165"/>
      <c r="AL312" s="165"/>
      <c r="AM312" s="165"/>
      <c r="AN312" s="226"/>
      <c r="AO312" s="155"/>
      <c r="AP312" s="165"/>
      <c r="AQ312" s="165"/>
      <c r="AR312" s="165"/>
      <c r="AS312" s="226"/>
      <c r="AT312" s="155">
        <v>207</v>
      </c>
      <c r="AU312" s="165"/>
      <c r="AV312" s="165"/>
      <c r="AW312" s="165"/>
      <c r="AX312" s="226"/>
      <c r="AY312" s="155">
        <f>AT313</f>
        <v>34</v>
      </c>
      <c r="AZ312" s="165"/>
      <c r="BA312" s="165"/>
      <c r="BB312" s="165"/>
      <c r="BC312" s="226"/>
      <c r="BD312" s="155">
        <f>AY313</f>
        <v>5</v>
      </c>
      <c r="BE312" s="165"/>
      <c r="BF312" s="165"/>
      <c r="BG312" s="165"/>
      <c r="BH312" s="226"/>
      <c r="BI312" s="155">
        <f>BD313</f>
        <v>37</v>
      </c>
      <c r="BJ312" s="165"/>
      <c r="BK312" s="165"/>
      <c r="BL312" s="165"/>
      <c r="BM312" s="226"/>
      <c r="BN312" s="155">
        <f>BI313</f>
        <v>0</v>
      </c>
      <c r="BO312" s="165"/>
      <c r="BP312" s="165"/>
      <c r="BQ312" s="165"/>
      <c r="BR312" s="226"/>
      <c r="BS312" s="155">
        <f>BN313</f>
        <v>204</v>
      </c>
      <c r="BT312" s="165"/>
      <c r="BU312" s="165"/>
      <c r="BV312" s="165"/>
      <c r="BW312" s="226"/>
      <c r="BX312" s="155">
        <f>BS313</f>
        <v>184</v>
      </c>
      <c r="BY312" s="165"/>
      <c r="BZ312" s="165"/>
      <c r="CA312" s="165"/>
      <c r="CB312" s="226"/>
      <c r="CC312" s="155">
        <f>BX313</f>
        <v>284</v>
      </c>
      <c r="CD312" s="165"/>
      <c r="CE312" s="165"/>
      <c r="CF312" s="165"/>
      <c r="CG312" s="226"/>
      <c r="CH312" s="171">
        <f>CC313</f>
        <v>467</v>
      </c>
      <c r="CI312" s="165"/>
      <c r="CJ312" s="165"/>
      <c r="CK312" s="165"/>
      <c r="CL312" s="226"/>
      <c r="CM312" s="171">
        <f>CH313</f>
        <v>289</v>
      </c>
      <c r="CN312" s="165"/>
      <c r="CO312" s="165"/>
      <c r="CP312" s="165"/>
      <c r="CQ312" s="226"/>
      <c r="CR312" s="171">
        <f>CM313</f>
        <v>527</v>
      </c>
      <c r="CS312" s="165"/>
      <c r="CT312" s="165"/>
      <c r="CU312" s="165"/>
      <c r="CV312" s="226"/>
      <c r="CW312" s="171">
        <f>CR313</f>
        <v>206</v>
      </c>
      <c r="CX312" s="168"/>
      <c r="CY312" s="168"/>
      <c r="CZ312" s="168"/>
      <c r="DA312" s="165"/>
      <c r="DB312" s="171">
        <f>CW313</f>
        <v>618</v>
      </c>
      <c r="DC312" s="168"/>
      <c r="DD312" s="168"/>
      <c r="DE312" s="168"/>
      <c r="DF312" s="165"/>
      <c r="DG312" s="171">
        <f>DB313</f>
        <v>996</v>
      </c>
      <c r="DH312" s="165"/>
      <c r="DI312" s="168"/>
      <c r="DJ312" s="168"/>
      <c r="DK312" s="165"/>
      <c r="DL312" s="171">
        <f>DG313</f>
        <v>827</v>
      </c>
      <c r="DM312" s="158"/>
      <c r="DN312" s="158"/>
      <c r="DO312" s="158"/>
      <c r="DP312" s="158"/>
      <c r="DQ312" s="171">
        <f>DL313</f>
        <v>276</v>
      </c>
      <c r="DR312" s="158"/>
      <c r="DS312" s="158"/>
      <c r="DT312" s="158"/>
      <c r="DU312" s="158"/>
      <c r="DV312" s="171">
        <f>DQ313</f>
        <v>653</v>
      </c>
      <c r="DW312" s="158"/>
      <c r="DX312" s="158"/>
      <c r="DY312" s="158"/>
      <c r="DZ312" s="158"/>
      <c r="EA312" s="171">
        <f>DV313</f>
        <v>1443</v>
      </c>
      <c r="EB312" s="158"/>
      <c r="EC312" s="158"/>
      <c r="ED312" s="168"/>
      <c r="EE312" s="158"/>
      <c r="EF312" s="171">
        <f>EA313</f>
        <v>973</v>
      </c>
      <c r="EG312" s="158"/>
      <c r="EH312" s="168"/>
      <c r="EI312" s="168"/>
      <c r="EJ312" s="168"/>
      <c r="EK312" s="171">
        <f>EF313</f>
        <v>1101</v>
      </c>
      <c r="EL312" s="158"/>
      <c r="EM312" s="168"/>
      <c r="EN312" s="168"/>
      <c r="EO312" s="168"/>
      <c r="EP312" s="171">
        <f>EK313</f>
        <v>956</v>
      </c>
      <c r="EQ312" s="168"/>
      <c r="ER312" s="168"/>
      <c r="ES312" s="168"/>
      <c r="ET312" s="168"/>
      <c r="EU312" s="171">
        <f>EP313</f>
        <v>690</v>
      </c>
      <c r="EV312" s="168"/>
      <c r="EW312" s="168"/>
      <c r="EX312" s="168"/>
      <c r="EY312" s="168"/>
      <c r="EZ312" s="171">
        <f ca="1">EU313</f>
        <v>619.32588264634751</v>
      </c>
      <c r="FA312" s="168"/>
      <c r="FB312" s="168"/>
      <c r="FC312" s="168"/>
      <c r="FD312" s="168"/>
      <c r="FE312" s="171">
        <f ca="1">EZ313</f>
        <v>923.12950535621576</v>
      </c>
      <c r="FF312" s="823"/>
      <c r="FG312" s="660"/>
      <c r="FH312" s="1085"/>
      <c r="FI312" s="1085"/>
      <c r="FJ312" s="1085"/>
      <c r="FK312" s="1085"/>
      <c r="FL312" s="1858"/>
      <c r="FM312" s="1789"/>
      <c r="FN312" s="1789"/>
      <c r="FO312" s="1789"/>
      <c r="FP312" s="1789"/>
      <c r="FQ312" s="1789"/>
      <c r="FR312" s="609"/>
      <c r="FS312" s="609"/>
      <c r="FT312" s="609"/>
      <c r="FU312" s="609"/>
      <c r="FV312" s="609"/>
      <c r="FW312" s="609"/>
      <c r="FX312" s="609"/>
      <c r="FY312" s="609"/>
      <c r="FZ312" s="609"/>
      <c r="GA312" s="660"/>
      <c r="GB312"/>
      <c r="GC312"/>
      <c r="GD312"/>
      <c r="GE312"/>
      <c r="GF312"/>
      <c r="GG312"/>
      <c r="GH312" s="994"/>
      <c r="GI312" s="994"/>
      <c r="GJ312" s="994"/>
      <c r="GK312" s="994"/>
      <c r="GL312" s="994"/>
      <c r="GM312" s="994"/>
      <c r="GN312" s="994"/>
      <c r="GO312" s="994"/>
      <c r="GP312" s="994"/>
      <c r="GQ312" s="994"/>
      <c r="GR312" s="994"/>
      <c r="GS312" s="994"/>
      <c r="GT312" s="994"/>
      <c r="GU312" s="994"/>
      <c r="GV312" s="994"/>
      <c r="GW312" s="994"/>
      <c r="GX312" s="994"/>
      <c r="GY312" s="994"/>
      <c r="GZ312" s="994"/>
      <c r="HA312" s="994"/>
      <c r="HB312" s="994"/>
      <c r="HC312" s="994"/>
      <c r="HD312" s="994"/>
      <c r="HE312" s="994"/>
      <c r="HF312" s="994"/>
      <c r="HG312" s="994"/>
      <c r="HH312" s="994"/>
      <c r="HI312" s="994"/>
      <c r="HJ312" s="994"/>
      <c r="HK312" s="994"/>
      <c r="HL312" s="994"/>
      <c r="HM312" s="994"/>
      <c r="HN312" s="994"/>
      <c r="HO312" s="994"/>
      <c r="HP312" s="994"/>
      <c r="HQ312" s="994"/>
      <c r="HR312" s="994"/>
      <c r="HS312" s="994"/>
      <c r="HT312" s="994"/>
      <c r="HU312" s="994"/>
      <c r="HV312" s="994"/>
      <c r="HW312" s="994"/>
      <c r="HX312" s="994"/>
      <c r="HY312" s="994"/>
      <c r="HZ312" s="994"/>
      <c r="IA312" s="994"/>
      <c r="IB312" s="994"/>
      <c r="IC312" s="994"/>
      <c r="ID312" s="994"/>
      <c r="IE312" s="994"/>
      <c r="IF312" s="994"/>
      <c r="IG312" s="994"/>
      <c r="IH312" s="994"/>
      <c r="II312" s="994"/>
      <c r="IJ312" s="994"/>
      <c r="IK312" s="994"/>
      <c r="IL312" s="994"/>
      <c r="IM312" s="994"/>
      <c r="IN312" s="994"/>
      <c r="IO312" s="994"/>
      <c r="IP312" s="994"/>
      <c r="IQ312" s="994"/>
      <c r="IR312" s="994"/>
      <c r="IS312" s="994"/>
      <c r="IT312" s="994"/>
      <c r="IU312" s="994"/>
      <c r="IV312" s="994"/>
    </row>
    <row r="313" spans="1:256" s="174" customFormat="1" ht="12.75" x14ac:dyDescent="0.2">
      <c r="A313" s="170" t="s">
        <v>598</v>
      </c>
      <c r="B313" s="167"/>
      <c r="C313" s="167"/>
      <c r="D313" s="167"/>
      <c r="E313" s="227"/>
      <c r="F313" s="171"/>
      <c r="G313" s="167"/>
      <c r="H313" s="167"/>
      <c r="I313" s="167"/>
      <c r="J313" s="227"/>
      <c r="K313" s="171"/>
      <c r="L313" s="167"/>
      <c r="M313" s="167"/>
      <c r="N313" s="167"/>
      <c r="O313" s="227"/>
      <c r="P313" s="171"/>
      <c r="Q313" s="167"/>
      <c r="R313" s="167"/>
      <c r="S313" s="167"/>
      <c r="T313" s="227"/>
      <c r="U313" s="171"/>
      <c r="V313" s="167"/>
      <c r="W313" s="167"/>
      <c r="X313" s="167"/>
      <c r="Y313" s="227"/>
      <c r="Z313" s="171"/>
      <c r="AA313" s="167"/>
      <c r="AB313" s="167"/>
      <c r="AC313" s="167"/>
      <c r="AD313" s="227"/>
      <c r="AE313" s="171"/>
      <c r="AF313" s="167"/>
      <c r="AG313" s="167"/>
      <c r="AH313" s="167"/>
      <c r="AI313" s="227"/>
      <c r="AJ313" s="171"/>
      <c r="AK313" s="167"/>
      <c r="AL313" s="167"/>
      <c r="AM313" s="167"/>
      <c r="AN313" s="227"/>
      <c r="AO313" s="171"/>
      <c r="AP313" s="167"/>
      <c r="AQ313" s="167"/>
      <c r="AR313" s="167"/>
      <c r="AS313" s="227"/>
      <c r="AT313" s="171">
        <f>AT311+AT312</f>
        <v>34</v>
      </c>
      <c r="AU313" s="167"/>
      <c r="AV313" s="167"/>
      <c r="AW313" s="167"/>
      <c r="AX313" s="227"/>
      <c r="AY313" s="171">
        <f>AY311+AY312</f>
        <v>5</v>
      </c>
      <c r="AZ313" s="167"/>
      <c r="BA313" s="167"/>
      <c r="BB313" s="167"/>
      <c r="BC313" s="227"/>
      <c r="BD313" s="171">
        <f>BD311+BD312</f>
        <v>37</v>
      </c>
      <c r="BE313" s="167"/>
      <c r="BF313" s="167"/>
      <c r="BG313" s="167"/>
      <c r="BH313" s="227"/>
      <c r="BI313" s="171">
        <f>BI311+BI312</f>
        <v>0</v>
      </c>
      <c r="BJ313" s="167"/>
      <c r="BK313" s="167"/>
      <c r="BL313" s="167"/>
      <c r="BM313" s="227"/>
      <c r="BN313" s="171">
        <f>BN311+BN312</f>
        <v>204</v>
      </c>
      <c r="BO313" s="167"/>
      <c r="BP313" s="167"/>
      <c r="BQ313" s="167"/>
      <c r="BR313" s="227"/>
      <c r="BS313" s="171">
        <f>BS311+BS312</f>
        <v>184</v>
      </c>
      <c r="BT313" s="167"/>
      <c r="BU313" s="167"/>
      <c r="BV313" s="167"/>
      <c r="BW313" s="227"/>
      <c r="BX313" s="171">
        <f>BX311+BX312</f>
        <v>284</v>
      </c>
      <c r="BY313" s="167"/>
      <c r="BZ313" s="167"/>
      <c r="CA313" s="167"/>
      <c r="CB313" s="227"/>
      <c r="CC313" s="171">
        <f>CC311+CC312</f>
        <v>467</v>
      </c>
      <c r="CD313" s="167"/>
      <c r="CE313" s="167"/>
      <c r="CF313" s="167"/>
      <c r="CG313" s="227"/>
      <c r="CH313" s="171">
        <f>CH311+CH312</f>
        <v>289</v>
      </c>
      <c r="CI313" s="167"/>
      <c r="CJ313" s="167"/>
      <c r="CK313" s="167"/>
      <c r="CL313" s="227"/>
      <c r="CM313" s="171">
        <f>CM311+CM312</f>
        <v>527</v>
      </c>
      <c r="CN313" s="167"/>
      <c r="CO313" s="167"/>
      <c r="CP313" s="167"/>
      <c r="CQ313" s="227"/>
      <c r="CR313" s="171">
        <f>CR311+CR312</f>
        <v>206</v>
      </c>
      <c r="CS313" s="167"/>
      <c r="CT313" s="167"/>
      <c r="CU313" s="167"/>
      <c r="CV313" s="227"/>
      <c r="CW313" s="171">
        <f>CW311+CW312</f>
        <v>618</v>
      </c>
      <c r="CX313" s="167"/>
      <c r="CY313" s="167"/>
      <c r="CZ313" s="167"/>
      <c r="DA313" s="167"/>
      <c r="DB313" s="171">
        <f>DB311+DB312</f>
        <v>996</v>
      </c>
      <c r="DC313" s="167"/>
      <c r="DD313" s="167"/>
      <c r="DE313" s="167"/>
      <c r="DF313" s="167"/>
      <c r="DG313" s="171">
        <f>DG311+DG312</f>
        <v>827</v>
      </c>
      <c r="DH313" s="167"/>
      <c r="DI313" s="167"/>
      <c r="DJ313" s="167"/>
      <c r="DK313" s="167"/>
      <c r="DL313" s="171">
        <f>DL311+DL312</f>
        <v>276</v>
      </c>
      <c r="DM313" s="158"/>
      <c r="DN313" s="158"/>
      <c r="DO313" s="158"/>
      <c r="DP313" s="158"/>
      <c r="DQ313" s="171">
        <f>DQ311+DQ312</f>
        <v>653</v>
      </c>
      <c r="DR313" s="158"/>
      <c r="DS313" s="158"/>
      <c r="DT313" s="158"/>
      <c r="DU313" s="158"/>
      <c r="DV313" s="171">
        <f>DV311+DV312</f>
        <v>1443</v>
      </c>
      <c r="DW313" s="158"/>
      <c r="DX313" s="158"/>
      <c r="DY313" s="158"/>
      <c r="DZ313" s="158"/>
      <c r="EA313" s="171">
        <f>EA311+EA312</f>
        <v>973</v>
      </c>
      <c r="EB313" s="158"/>
      <c r="EC313" s="158"/>
      <c r="ED313" s="167"/>
      <c r="EE313" s="158"/>
      <c r="EF313" s="171">
        <f>EF311+EF312</f>
        <v>1101</v>
      </c>
      <c r="EG313" s="158"/>
      <c r="EH313" s="167"/>
      <c r="EI313" s="167"/>
      <c r="EJ313" s="167"/>
      <c r="EK313" s="171">
        <f>EK311+EK312</f>
        <v>956</v>
      </c>
      <c r="EL313" s="158"/>
      <c r="EM313" s="167"/>
      <c r="EN313" s="167"/>
      <c r="EO313" s="167"/>
      <c r="EP313" s="171">
        <f>EP311+EP312</f>
        <v>690</v>
      </c>
      <c r="EQ313" s="167"/>
      <c r="ER313" s="167"/>
      <c r="ES313" s="167"/>
      <c r="ET313" s="167"/>
      <c r="EU313" s="171">
        <f ca="1">EU311+EU312</f>
        <v>619.32588264634751</v>
      </c>
      <c r="EV313" s="167"/>
      <c r="EW313" s="167"/>
      <c r="EX313" s="167"/>
      <c r="EY313" s="167"/>
      <c r="EZ313" s="171">
        <f ca="1">EZ311+EZ312</f>
        <v>923.12950535621576</v>
      </c>
      <c r="FA313" s="167"/>
      <c r="FB313" s="167"/>
      <c r="FC313" s="167"/>
      <c r="FD313" s="167"/>
      <c r="FE313" s="171">
        <f ca="1">FE311+FE312</f>
        <v>1335.3731390976759</v>
      </c>
      <c r="FF313" s="823"/>
      <c r="FG313" s="660"/>
      <c r="FH313" s="1085"/>
      <c r="FI313" s="1085"/>
      <c r="FJ313" s="1085"/>
      <c r="FK313" s="1085"/>
      <c r="FL313" s="1858"/>
      <c r="FM313" s="1789"/>
      <c r="FN313" s="1789"/>
      <c r="FO313" s="1789"/>
      <c r="FP313" s="1789"/>
      <c r="FQ313" s="1789"/>
      <c r="FR313" s="609"/>
      <c r="FS313" s="609"/>
      <c r="FT313" s="609"/>
      <c r="FU313" s="609"/>
      <c r="FV313" s="609"/>
      <c r="FW313" s="609"/>
      <c r="FX313" s="609"/>
      <c r="FY313" s="609"/>
      <c r="FZ313" s="609"/>
      <c r="GA313" s="660"/>
      <c r="GB313"/>
      <c r="GC313"/>
      <c r="GD313"/>
      <c r="GE313"/>
      <c r="GF313"/>
      <c r="GG313"/>
      <c r="GH313" s="994"/>
      <c r="GI313" s="994"/>
      <c r="GJ313" s="994"/>
      <c r="GK313" s="994"/>
      <c r="GL313" s="994"/>
      <c r="GM313" s="994"/>
      <c r="GN313" s="994"/>
      <c r="GO313" s="994"/>
      <c r="GP313" s="994"/>
      <c r="GQ313" s="994"/>
      <c r="GR313" s="994"/>
      <c r="GS313" s="994"/>
      <c r="GT313" s="994"/>
      <c r="GU313" s="994"/>
      <c r="GV313" s="994"/>
      <c r="GW313" s="994"/>
      <c r="GX313" s="994"/>
      <c r="GY313" s="994"/>
      <c r="GZ313" s="994"/>
      <c r="HA313" s="994"/>
      <c r="HB313" s="994"/>
      <c r="HC313" s="994"/>
      <c r="HD313" s="994"/>
      <c r="HE313" s="994"/>
      <c r="HF313" s="994"/>
      <c r="HG313" s="994"/>
      <c r="HH313" s="994"/>
      <c r="HI313" s="994"/>
      <c r="HJ313" s="994"/>
      <c r="HK313" s="994"/>
      <c r="HL313" s="994"/>
      <c r="HM313" s="994"/>
      <c r="HN313" s="994"/>
      <c r="HO313" s="994"/>
      <c r="HP313" s="994"/>
      <c r="HQ313" s="994"/>
      <c r="HR313" s="994"/>
      <c r="HS313" s="994"/>
      <c r="HT313" s="994"/>
      <c r="HU313" s="994"/>
      <c r="HV313" s="994"/>
      <c r="HW313" s="994"/>
      <c r="HX313" s="994"/>
      <c r="HY313" s="994"/>
      <c r="HZ313" s="994"/>
      <c r="IA313" s="994"/>
      <c r="IB313" s="994"/>
      <c r="IC313" s="994"/>
      <c r="ID313" s="994"/>
      <c r="IE313" s="994"/>
      <c r="IF313" s="994"/>
      <c r="IG313" s="994"/>
      <c r="IH313" s="994"/>
      <c r="II313" s="994"/>
      <c r="IJ313" s="994"/>
      <c r="IK313" s="994"/>
      <c r="IL313" s="994"/>
      <c r="IM313" s="994"/>
      <c r="IN313" s="994"/>
      <c r="IO313" s="994"/>
      <c r="IP313" s="994"/>
      <c r="IQ313" s="994"/>
      <c r="IR313" s="994"/>
      <c r="IS313" s="994"/>
      <c r="IT313" s="994"/>
      <c r="IU313" s="994"/>
      <c r="IV313" s="994"/>
    </row>
    <row r="314" spans="1:256" s="169" customFormat="1" ht="12.6" customHeight="1" x14ac:dyDescent="0.2">
      <c r="A314" s="287"/>
      <c r="B314" s="272"/>
      <c r="C314" s="272"/>
      <c r="D314" s="272"/>
      <c r="E314" s="276"/>
      <c r="F314" s="277"/>
      <c r="G314" s="272"/>
      <c r="H314" s="272"/>
      <c r="I314" s="272"/>
      <c r="J314" s="276"/>
      <c r="K314" s="277"/>
      <c r="L314" s="272"/>
      <c r="M314" s="272"/>
      <c r="N314" s="272"/>
      <c r="O314" s="276"/>
      <c r="P314" s="277"/>
      <c r="Q314" s="272"/>
      <c r="R314" s="272"/>
      <c r="S314" s="272"/>
      <c r="T314" s="276"/>
      <c r="U314" s="277"/>
      <c r="V314" s="272"/>
      <c r="W314" s="272"/>
      <c r="X314" s="272"/>
      <c r="Y314" s="276"/>
      <c r="Z314" s="277"/>
      <c r="AA314" s="272"/>
      <c r="AB314" s="272"/>
      <c r="AC314" s="272"/>
      <c r="AD314" s="276"/>
      <c r="AE314" s="277"/>
      <c r="AF314" s="272"/>
      <c r="AG314" s="272"/>
      <c r="AH314" s="272"/>
      <c r="AI314" s="276"/>
      <c r="AJ314" s="277"/>
      <c r="AK314" s="272"/>
      <c r="AL314" s="272"/>
      <c r="AM314" s="272"/>
      <c r="AN314" s="276"/>
      <c r="AO314" s="277"/>
      <c r="AP314" s="272"/>
      <c r="AQ314" s="272"/>
      <c r="AR314" s="272"/>
      <c r="AS314" s="276"/>
      <c r="AT314" s="277"/>
      <c r="AU314" s="272"/>
      <c r="AV314" s="272"/>
      <c r="AW314" s="272"/>
      <c r="AX314" s="276"/>
      <c r="AY314" s="277"/>
      <c r="AZ314" s="272"/>
      <c r="BA314" s="272"/>
      <c r="BB314" s="272"/>
      <c r="BC314" s="276"/>
      <c r="BD314" s="277"/>
      <c r="BE314" s="272"/>
      <c r="BF314" s="272"/>
      <c r="BG314" s="272"/>
      <c r="BH314" s="276"/>
      <c r="BI314" s="277"/>
      <c r="BJ314" s="272"/>
      <c r="BK314" s="272"/>
      <c r="BL314" s="272"/>
      <c r="BM314" s="276"/>
      <c r="BN314" s="277"/>
      <c r="BO314" s="272"/>
      <c r="BP314" s="272"/>
      <c r="BQ314" s="272"/>
      <c r="BR314" s="276"/>
      <c r="BS314" s="277"/>
      <c r="BT314" s="272"/>
      <c r="BU314" s="272"/>
      <c r="BV314" s="272"/>
      <c r="BW314" s="276"/>
      <c r="BX314" s="277"/>
      <c r="BY314" s="272"/>
      <c r="BZ314" s="272"/>
      <c r="CA314" s="272"/>
      <c r="CB314" s="276"/>
      <c r="CC314" s="277"/>
      <c r="CD314" s="272"/>
      <c r="CE314" s="272"/>
      <c r="CF314" s="272"/>
      <c r="CG314" s="276"/>
      <c r="CH314" s="277"/>
      <c r="CI314" s="272"/>
      <c r="CJ314" s="272"/>
      <c r="CK314" s="272"/>
      <c r="CL314" s="276"/>
      <c r="CM314" s="277"/>
      <c r="CN314" s="272"/>
      <c r="CO314" s="272"/>
      <c r="CP314" s="272"/>
      <c r="CQ314" s="276"/>
      <c r="CR314" s="277"/>
      <c r="CS314" s="272"/>
      <c r="CT314" s="272"/>
      <c r="CU314" s="272"/>
      <c r="CV314" s="276"/>
      <c r="CW314" s="277"/>
      <c r="CX314" s="272"/>
      <c r="CY314" s="272"/>
      <c r="CZ314" s="272"/>
      <c r="DA314" s="272"/>
      <c r="DB314" s="277"/>
      <c r="DC314" s="272"/>
      <c r="DD314" s="272"/>
      <c r="DE314" s="272"/>
      <c r="DF314" s="272"/>
      <c r="DG314" s="277"/>
      <c r="DH314" s="272"/>
      <c r="DI314" s="272"/>
      <c r="DJ314" s="272"/>
      <c r="DK314" s="272"/>
      <c r="DL314" s="277"/>
      <c r="DM314" s="272"/>
      <c r="DN314" s="272"/>
      <c r="DO314" s="272"/>
      <c r="DP314" s="272"/>
      <c r="DQ314" s="277"/>
      <c r="DR314" s="272"/>
      <c r="DS314" s="272"/>
      <c r="DT314" s="272"/>
      <c r="DU314" s="272"/>
      <c r="DV314" s="277"/>
      <c r="DW314" s="272"/>
      <c r="DX314" s="272"/>
      <c r="DY314" s="272"/>
      <c r="DZ314" s="272"/>
      <c r="EA314" s="277"/>
      <c r="EB314" s="272"/>
      <c r="EC314" s="272"/>
      <c r="ED314" s="288"/>
      <c r="EE314" s="272"/>
      <c r="EF314" s="277"/>
      <c r="EG314" s="272"/>
      <c r="EH314" s="288"/>
      <c r="EI314" s="288"/>
      <c r="EJ314" s="288"/>
      <c r="EK314" s="277"/>
      <c r="EL314" s="272"/>
      <c r="EM314" s="288"/>
      <c r="EN314" s="288"/>
      <c r="EO314" s="288"/>
      <c r="EP314" s="277"/>
      <c r="EQ314" s="288"/>
      <c r="ER314" s="288"/>
      <c r="ES314" s="288"/>
      <c r="ET314" s="288"/>
      <c r="EU314" s="277"/>
      <c r="EV314" s="288"/>
      <c r="EW314" s="288"/>
      <c r="EX314" s="288"/>
      <c r="EY314" s="288"/>
      <c r="EZ314" s="277"/>
      <c r="FA314" s="288"/>
      <c r="FB314" s="288"/>
      <c r="FC314" s="288"/>
      <c r="FD314" s="288"/>
      <c r="FE314" s="277"/>
      <c r="FF314" s="813"/>
      <c r="FG314" s="660"/>
      <c r="FH314" s="1085"/>
      <c r="FI314" s="1085"/>
      <c r="FJ314" s="1085"/>
      <c r="FK314" s="1085"/>
      <c r="FL314" s="1858"/>
      <c r="FM314" s="1789"/>
      <c r="FN314" s="1789"/>
      <c r="FO314" s="1789"/>
      <c r="FP314" s="1789"/>
      <c r="FQ314" s="1789"/>
      <c r="FR314" s="601"/>
      <c r="FS314" s="601"/>
      <c r="FT314" s="601"/>
      <c r="FU314" s="601"/>
      <c r="FV314" s="601"/>
      <c r="FW314" s="601"/>
      <c r="FX314" s="601"/>
      <c r="FY314" s="601"/>
      <c r="FZ314" s="601"/>
      <c r="GA314" s="660"/>
      <c r="GB314"/>
      <c r="GC314"/>
      <c r="GD314"/>
      <c r="GE314"/>
      <c r="GF314"/>
      <c r="GG314"/>
      <c r="GH314" s="991"/>
      <c r="GI314" s="991"/>
      <c r="GJ314" s="991"/>
      <c r="GK314" s="991"/>
      <c r="GL314" s="991"/>
      <c r="GM314" s="991"/>
      <c r="GN314" s="991"/>
      <c r="GO314" s="991"/>
      <c r="GP314" s="991"/>
      <c r="GQ314" s="991"/>
      <c r="GR314" s="991"/>
      <c r="GS314" s="991"/>
      <c r="GT314" s="991"/>
      <c r="GU314" s="991"/>
      <c r="GV314" s="991"/>
      <c r="GW314" s="991"/>
      <c r="GX314" s="991"/>
      <c r="GY314" s="991"/>
      <c r="GZ314" s="991"/>
      <c r="HA314" s="991"/>
      <c r="HB314" s="991"/>
      <c r="HC314" s="991"/>
      <c r="HD314" s="991"/>
      <c r="HE314" s="991"/>
      <c r="HF314" s="991"/>
      <c r="HG314" s="991"/>
      <c r="HH314" s="991"/>
      <c r="HI314" s="991"/>
      <c r="HJ314" s="991"/>
      <c r="HK314" s="991"/>
      <c r="HL314" s="991"/>
      <c r="HM314" s="991"/>
      <c r="HN314" s="991"/>
      <c r="HO314" s="991"/>
      <c r="HP314" s="991"/>
      <c r="HQ314" s="991"/>
      <c r="HR314" s="991"/>
      <c r="HS314" s="991"/>
      <c r="HT314" s="991"/>
      <c r="HU314" s="991"/>
      <c r="HV314" s="991"/>
      <c r="HW314" s="991"/>
      <c r="HX314" s="991"/>
      <c r="HY314" s="991"/>
      <c r="HZ314" s="991"/>
      <c r="IA314" s="991"/>
      <c r="IB314" s="991"/>
      <c r="IC314" s="991"/>
      <c r="ID314" s="991"/>
      <c r="IE314" s="991"/>
      <c r="IF314" s="991"/>
      <c r="IG314" s="991"/>
      <c r="IH314" s="991"/>
      <c r="II314" s="991"/>
      <c r="IJ314" s="991"/>
      <c r="IK314" s="991"/>
      <c r="IL314" s="991"/>
      <c r="IM314" s="991"/>
      <c r="IN314" s="991"/>
      <c r="IO314" s="991"/>
      <c r="IP314" s="991"/>
      <c r="IQ314" s="991"/>
      <c r="IR314" s="991"/>
      <c r="IS314" s="991"/>
      <c r="IT314" s="991"/>
      <c r="IU314" s="991"/>
      <c r="IV314" s="991"/>
    </row>
    <row r="315" spans="1:256" s="154" customFormat="1" ht="15.75" x14ac:dyDescent="0.25">
      <c r="A315" s="175" t="s">
        <v>196</v>
      </c>
      <c r="B315" s="152"/>
      <c r="C315" s="152"/>
      <c r="D315" s="152"/>
      <c r="E315" s="222"/>
      <c r="F315" s="151"/>
      <c r="G315" s="152"/>
      <c r="H315" s="152"/>
      <c r="I315" s="152"/>
      <c r="J315" s="222"/>
      <c r="K315" s="151"/>
      <c r="L315" s="152"/>
      <c r="M315" s="152"/>
      <c r="N315" s="152"/>
      <c r="O315" s="222"/>
      <c r="P315" s="151"/>
      <c r="Q315" s="152"/>
      <c r="R315" s="152"/>
      <c r="S315" s="152"/>
      <c r="T315" s="222"/>
      <c r="U315" s="151"/>
      <c r="V315" s="152"/>
      <c r="W315" s="152"/>
      <c r="X315" s="152"/>
      <c r="Y315" s="222"/>
      <c r="Z315" s="151"/>
      <c r="AA315" s="152"/>
      <c r="AB315" s="152"/>
      <c r="AC315" s="152"/>
      <c r="AD315" s="222"/>
      <c r="AE315" s="151"/>
      <c r="AF315" s="152"/>
      <c r="AG315" s="152"/>
      <c r="AH315" s="152"/>
      <c r="AI315" s="222"/>
      <c r="AJ315" s="151"/>
      <c r="AK315" s="152"/>
      <c r="AL315" s="152"/>
      <c r="AM315" s="152"/>
      <c r="AN315" s="222"/>
      <c r="AO315" s="151"/>
      <c r="AP315" s="152"/>
      <c r="AQ315" s="152"/>
      <c r="AR315" s="152"/>
      <c r="AS315" s="222"/>
      <c r="AT315" s="151"/>
      <c r="AU315" s="152"/>
      <c r="AV315" s="152"/>
      <c r="AW315" s="152"/>
      <c r="AX315" s="222"/>
      <c r="AY315" s="151"/>
      <c r="AZ315" s="152"/>
      <c r="BA315" s="152"/>
      <c r="BB315" s="152"/>
      <c r="BC315" s="222"/>
      <c r="BD315" s="151"/>
      <c r="BE315" s="152"/>
      <c r="BF315" s="152"/>
      <c r="BG315" s="152"/>
      <c r="BH315" s="222"/>
      <c r="BI315" s="151"/>
      <c r="BJ315" s="152"/>
      <c r="BK315" s="152"/>
      <c r="BL315" s="152"/>
      <c r="BM315" s="222"/>
      <c r="BN315" s="151"/>
      <c r="BO315" s="152"/>
      <c r="BP315" s="152"/>
      <c r="BQ315" s="152"/>
      <c r="BR315" s="222"/>
      <c r="BS315" s="151"/>
      <c r="BT315" s="152"/>
      <c r="BU315" s="152"/>
      <c r="BV315" s="152"/>
      <c r="BW315" s="222"/>
      <c r="BX315" s="151"/>
      <c r="BY315" s="152"/>
      <c r="BZ315" s="152"/>
      <c r="CA315" s="152"/>
      <c r="CB315" s="222"/>
      <c r="CC315" s="151"/>
      <c r="CD315" s="152"/>
      <c r="CE315" s="152"/>
      <c r="CF315" s="152"/>
      <c r="CG315" s="222"/>
      <c r="CH315" s="151"/>
      <c r="CI315" s="152"/>
      <c r="CJ315" s="152"/>
      <c r="CK315" s="152"/>
      <c r="CL315" s="222"/>
      <c r="CM315" s="151"/>
      <c r="CN315" s="152"/>
      <c r="CO315" s="152"/>
      <c r="CP315" s="152"/>
      <c r="CQ315" s="222"/>
      <c r="CR315" s="151"/>
      <c r="CS315" s="152"/>
      <c r="CT315" s="152"/>
      <c r="CU315" s="152"/>
      <c r="CV315" s="222"/>
      <c r="CW315" s="151"/>
      <c r="CX315" s="152"/>
      <c r="CY315" s="152"/>
      <c r="CZ315" s="152"/>
      <c r="DA315" s="152"/>
      <c r="DB315" s="151"/>
      <c r="DC315" s="152"/>
      <c r="DD315" s="152"/>
      <c r="DE315" s="152"/>
      <c r="DF315" s="152"/>
      <c r="DG315" s="151"/>
      <c r="DH315" s="152"/>
      <c r="DI315" s="152"/>
      <c r="DJ315" s="152"/>
      <c r="DK315" s="152"/>
      <c r="DL315" s="151"/>
      <c r="DM315" s="152"/>
      <c r="DN315" s="152"/>
      <c r="DO315" s="152"/>
      <c r="DP315" s="152"/>
      <c r="DQ315" s="151"/>
      <c r="DR315" s="152"/>
      <c r="DS315" s="152"/>
      <c r="DT315" s="152"/>
      <c r="DU315" s="152"/>
      <c r="DV315" s="151"/>
      <c r="DW315" s="152"/>
      <c r="DX315" s="152"/>
      <c r="DY315" s="152"/>
      <c r="DZ315" s="152"/>
      <c r="EA315" s="151"/>
      <c r="EB315" s="152"/>
      <c r="EC315" s="152"/>
      <c r="ED315" s="153"/>
      <c r="EE315" s="152"/>
      <c r="EF315" s="151"/>
      <c r="EG315" s="152"/>
      <c r="EH315" s="153"/>
      <c r="EI315" s="153"/>
      <c r="EJ315" s="153"/>
      <c r="EK315" s="151"/>
      <c r="EL315" s="152"/>
      <c r="EM315" s="153"/>
      <c r="EN315" s="153"/>
      <c r="EO315" s="153"/>
      <c r="EP315" s="151"/>
      <c r="EQ315" s="153"/>
      <c r="ER315" s="153"/>
      <c r="ES315" s="153"/>
      <c r="ET315" s="153"/>
      <c r="EU315" s="151"/>
      <c r="EV315" s="153"/>
      <c r="EW315" s="153"/>
      <c r="EX315" s="153"/>
      <c r="EY315" s="153"/>
      <c r="EZ315" s="151"/>
      <c r="FA315" s="153"/>
      <c r="FB315" s="153"/>
      <c r="FC315" s="153"/>
      <c r="FD315" s="153"/>
      <c r="FE315" s="151"/>
      <c r="FF315" s="816"/>
      <c r="FG315" s="660"/>
      <c r="FH315" s="1085"/>
      <c r="FI315" s="1085"/>
      <c r="FJ315" s="1085"/>
      <c r="FK315" s="1085"/>
      <c r="FL315" s="1858"/>
      <c r="FM315" s="1789"/>
      <c r="FN315" s="1789"/>
      <c r="FO315" s="1789"/>
      <c r="FP315" s="1789"/>
      <c r="FQ315" s="1789"/>
      <c r="FR315" s="601"/>
      <c r="FS315" s="601"/>
      <c r="FT315" s="601"/>
      <c r="FU315" s="601"/>
      <c r="FV315" s="601"/>
      <c r="FW315" s="601"/>
      <c r="FX315" s="601"/>
      <c r="FY315" s="601"/>
      <c r="FZ315" s="601"/>
      <c r="GA315" s="660"/>
      <c r="GB315"/>
      <c r="GC315"/>
      <c r="GD315"/>
      <c r="GE315"/>
      <c r="GF315"/>
      <c r="GG315"/>
      <c r="GH315" s="991"/>
      <c r="GI315" s="991"/>
      <c r="GJ315" s="991"/>
      <c r="GK315" s="991"/>
      <c r="GL315" s="991"/>
      <c r="GM315" s="991"/>
      <c r="GN315" s="991"/>
      <c r="GO315" s="991"/>
      <c r="GP315" s="991"/>
      <c r="GQ315" s="991"/>
      <c r="GR315" s="991"/>
      <c r="GS315" s="991"/>
      <c r="GT315" s="991"/>
      <c r="GU315" s="991"/>
      <c r="GV315" s="991"/>
      <c r="GW315" s="991"/>
      <c r="GX315" s="991"/>
      <c r="GY315" s="991"/>
      <c r="GZ315" s="991"/>
      <c r="HA315" s="991"/>
      <c r="HB315" s="991"/>
      <c r="HC315" s="991"/>
      <c r="HD315" s="991"/>
      <c r="HE315" s="991"/>
      <c r="HF315" s="991"/>
      <c r="HG315" s="991"/>
      <c r="HH315" s="991"/>
      <c r="HI315" s="991"/>
      <c r="HJ315" s="991"/>
      <c r="HK315" s="991"/>
      <c r="HL315" s="991"/>
      <c r="HM315" s="991"/>
      <c r="HN315" s="991"/>
      <c r="HO315" s="991"/>
      <c r="HP315" s="991"/>
      <c r="HQ315" s="991"/>
      <c r="HR315" s="991"/>
      <c r="HS315" s="991"/>
      <c r="HT315" s="991"/>
      <c r="HU315" s="991"/>
      <c r="HV315" s="991"/>
      <c r="HW315" s="991"/>
      <c r="HX315" s="991"/>
      <c r="HY315" s="991"/>
      <c r="HZ315" s="991"/>
      <c r="IA315" s="991"/>
      <c r="IB315" s="991"/>
      <c r="IC315" s="991"/>
      <c r="ID315" s="991"/>
      <c r="IE315" s="991"/>
      <c r="IF315" s="991"/>
      <c r="IG315" s="991"/>
      <c r="IH315" s="991"/>
      <c r="II315" s="991"/>
      <c r="IJ315" s="991"/>
      <c r="IK315" s="991"/>
      <c r="IL315" s="991"/>
      <c r="IM315" s="991"/>
      <c r="IN315" s="991"/>
      <c r="IO315" s="991"/>
      <c r="IP315" s="991"/>
      <c r="IQ315" s="991"/>
      <c r="IR315" s="991"/>
      <c r="IS315" s="991"/>
      <c r="IT315" s="991"/>
      <c r="IU315" s="991"/>
      <c r="IV315" s="991"/>
    </row>
    <row r="316" spans="1:256" s="562" customFormat="1" ht="12.6" customHeight="1" x14ac:dyDescent="0.2">
      <c r="A316" s="557" t="s">
        <v>187</v>
      </c>
      <c r="B316" s="558"/>
      <c r="C316" s="558"/>
      <c r="D316" s="558"/>
      <c r="E316" s="559"/>
      <c r="F316" s="560"/>
      <c r="G316" s="558"/>
      <c r="H316" s="558"/>
      <c r="I316" s="558"/>
      <c r="J316" s="559"/>
      <c r="K316" s="560"/>
      <c r="L316" s="558"/>
      <c r="M316" s="558"/>
      <c r="N316" s="558"/>
      <c r="O316" s="559"/>
      <c r="P316" s="560"/>
      <c r="Q316" s="558"/>
      <c r="R316" s="558"/>
      <c r="S316" s="558"/>
      <c r="T316" s="559"/>
      <c r="U316" s="560"/>
      <c r="V316" s="558"/>
      <c r="W316" s="558"/>
      <c r="X316" s="558"/>
      <c r="Y316" s="559"/>
      <c r="Z316" s="560"/>
      <c r="AA316" s="558"/>
      <c r="AB316" s="558"/>
      <c r="AC316" s="558"/>
      <c r="AD316" s="559"/>
      <c r="AE316" s="560"/>
      <c r="AF316" s="558"/>
      <c r="AG316" s="558"/>
      <c r="AH316" s="558"/>
      <c r="AI316" s="559"/>
      <c r="AJ316" s="560"/>
      <c r="AK316" s="558"/>
      <c r="AL316" s="558"/>
      <c r="AM316" s="558"/>
      <c r="AN316" s="559"/>
      <c r="AO316" s="560"/>
      <c r="AP316" s="558"/>
      <c r="AQ316" s="558"/>
      <c r="AR316" s="558"/>
      <c r="AS316" s="559"/>
      <c r="AT316" s="560"/>
      <c r="AU316" s="558"/>
      <c r="AV316" s="558"/>
      <c r="AW316" s="558"/>
      <c r="AX316" s="559"/>
      <c r="AY316" s="560"/>
      <c r="AZ316" s="558"/>
      <c r="BA316" s="558"/>
      <c r="BB316" s="558"/>
      <c r="BC316" s="559"/>
      <c r="BD316" s="560"/>
      <c r="BE316" s="558"/>
      <c r="BF316" s="558"/>
      <c r="BG316" s="558"/>
      <c r="BH316" s="559"/>
      <c r="BI316" s="560"/>
      <c r="BJ316" s="558"/>
      <c r="BK316" s="558"/>
      <c r="BL316" s="558"/>
      <c r="BM316" s="559"/>
      <c r="BN316" s="560"/>
      <c r="BO316" s="558"/>
      <c r="BP316" s="558"/>
      <c r="BQ316" s="558"/>
      <c r="BR316" s="559"/>
      <c r="BS316" s="560"/>
      <c r="BT316" s="558"/>
      <c r="BU316" s="558"/>
      <c r="BV316" s="558"/>
      <c r="BW316" s="559"/>
      <c r="BX316" s="560"/>
      <c r="BY316" s="558"/>
      <c r="BZ316" s="558"/>
      <c r="CA316" s="558"/>
      <c r="CB316" s="559"/>
      <c r="CC316" s="560"/>
      <c r="CD316" s="558"/>
      <c r="CE316" s="558"/>
      <c r="CF316" s="558"/>
      <c r="CG316" s="559"/>
      <c r="CH316" s="560"/>
      <c r="CI316" s="558"/>
      <c r="CJ316" s="558"/>
      <c r="CK316" s="558"/>
      <c r="CL316" s="559"/>
      <c r="CM316" s="560"/>
      <c r="CN316" s="558"/>
      <c r="CO316" s="558"/>
      <c r="CP316" s="558"/>
      <c r="CQ316" s="559"/>
      <c r="CR316" s="560"/>
      <c r="CS316" s="558"/>
      <c r="CT316" s="558"/>
      <c r="CU316" s="558"/>
      <c r="CV316" s="559"/>
      <c r="CW316" s="560"/>
      <c r="CX316" s="558"/>
      <c r="CY316" s="558"/>
      <c r="CZ316" s="558"/>
      <c r="DA316" s="558"/>
      <c r="DB316" s="560"/>
      <c r="DC316" s="558"/>
      <c r="DD316" s="558"/>
      <c r="DE316" s="558"/>
      <c r="DF316" s="558"/>
      <c r="DG316" s="560"/>
      <c r="DH316" s="558"/>
      <c r="DI316" s="558"/>
      <c r="DJ316" s="558"/>
      <c r="DK316" s="558"/>
      <c r="DL316" s="560"/>
      <c r="DM316" s="558"/>
      <c r="DN316" s="558"/>
      <c r="DO316" s="558"/>
      <c r="DP316" s="558"/>
      <c r="DQ316" s="560"/>
      <c r="DR316" s="558"/>
      <c r="DS316" s="558"/>
      <c r="DT316" s="558"/>
      <c r="DU316" s="558"/>
      <c r="DV316" s="560"/>
      <c r="DW316" s="558"/>
      <c r="DX316" s="558"/>
      <c r="DY316" s="558"/>
      <c r="DZ316" s="558"/>
      <c r="EA316" s="560"/>
      <c r="EB316" s="558"/>
      <c r="EC316" s="558"/>
      <c r="ED316" s="561"/>
      <c r="EE316" s="558"/>
      <c r="EF316" s="560"/>
      <c r="EG316" s="558"/>
      <c r="EH316" s="561"/>
      <c r="EI316" s="561"/>
      <c r="EJ316" s="561"/>
      <c r="EK316" s="560"/>
      <c r="EL316" s="558"/>
      <c r="EM316" s="561"/>
      <c r="EN316" s="561"/>
      <c r="EO316" s="561"/>
      <c r="EP316" s="560"/>
      <c r="EQ316" s="561"/>
      <c r="ER316" s="561"/>
      <c r="ES316" s="561"/>
      <c r="ET316" s="561"/>
      <c r="EU316" s="560"/>
      <c r="EV316" s="561"/>
      <c r="EW316" s="561"/>
      <c r="EX316" s="561"/>
      <c r="EY316" s="561"/>
      <c r="EZ316" s="560"/>
      <c r="FA316" s="561"/>
      <c r="FB316" s="561"/>
      <c r="FC316" s="561"/>
      <c r="FD316" s="561"/>
      <c r="FE316" s="560"/>
      <c r="FF316" s="817"/>
      <c r="FG316" s="660"/>
      <c r="FH316" s="1085"/>
      <c r="FI316" s="1085"/>
      <c r="FJ316" s="1085"/>
      <c r="FK316" s="1085"/>
      <c r="FL316" s="1858"/>
      <c r="FM316" s="1789"/>
      <c r="FN316" s="1789"/>
      <c r="FO316" s="1789"/>
      <c r="FP316" s="1789"/>
      <c r="FQ316" s="1789"/>
      <c r="FR316" s="604"/>
      <c r="FS316" s="604"/>
      <c r="FT316" s="604"/>
      <c r="FU316" s="604"/>
      <c r="FV316" s="604"/>
      <c r="FW316" s="604"/>
      <c r="FX316" s="604"/>
      <c r="FY316" s="604"/>
      <c r="FZ316" s="604"/>
      <c r="GA316" s="660"/>
      <c r="GB316"/>
      <c r="GC316"/>
      <c r="GD316"/>
      <c r="GE316"/>
      <c r="GF316"/>
      <c r="GG316"/>
      <c r="GH316" s="992"/>
      <c r="GI316" s="992"/>
      <c r="GJ316" s="992"/>
      <c r="GK316" s="992"/>
      <c r="GL316" s="992"/>
      <c r="GM316" s="992"/>
      <c r="GN316" s="992"/>
      <c r="GO316" s="992"/>
      <c r="GP316" s="992"/>
      <c r="GQ316" s="992"/>
      <c r="GR316" s="992"/>
      <c r="GS316" s="992"/>
      <c r="GT316" s="992"/>
      <c r="GU316" s="992"/>
      <c r="GV316" s="992"/>
      <c r="GW316" s="992"/>
      <c r="GX316" s="992"/>
      <c r="GY316" s="992"/>
      <c r="GZ316" s="992"/>
      <c r="HA316" s="992"/>
      <c r="HB316" s="992"/>
      <c r="HC316" s="992"/>
      <c r="HD316" s="992"/>
      <c r="HE316" s="992"/>
      <c r="HF316" s="992"/>
      <c r="HG316" s="992"/>
      <c r="HH316" s="992"/>
      <c r="HI316" s="992"/>
      <c r="HJ316" s="992"/>
      <c r="HK316" s="992"/>
      <c r="HL316" s="992"/>
      <c r="HM316" s="992"/>
      <c r="HN316" s="992"/>
      <c r="HO316" s="992"/>
      <c r="HP316" s="992"/>
      <c r="HQ316" s="992"/>
      <c r="HR316" s="992"/>
      <c r="HS316" s="992"/>
      <c r="HT316" s="992"/>
      <c r="HU316" s="992"/>
      <c r="HV316" s="992"/>
      <c r="HW316" s="992"/>
      <c r="HX316" s="992"/>
      <c r="HY316" s="992"/>
      <c r="HZ316" s="992"/>
      <c r="IA316" s="992"/>
      <c r="IB316" s="992"/>
      <c r="IC316" s="992"/>
      <c r="ID316" s="992"/>
      <c r="IE316" s="992"/>
      <c r="IF316" s="992"/>
      <c r="IG316" s="992"/>
      <c r="IH316" s="992"/>
      <c r="II316" s="992"/>
      <c r="IJ316" s="992"/>
      <c r="IK316" s="992"/>
      <c r="IL316" s="992"/>
      <c r="IM316" s="992"/>
      <c r="IN316" s="992"/>
      <c r="IO316" s="992"/>
      <c r="IP316" s="992"/>
      <c r="IQ316" s="992"/>
      <c r="IR316" s="992"/>
      <c r="IS316" s="992"/>
      <c r="IT316" s="992"/>
      <c r="IU316" s="992"/>
      <c r="IV316" s="992"/>
    </row>
    <row r="317" spans="1:256" s="173" customFormat="1" ht="12.75" x14ac:dyDescent="0.2">
      <c r="A317" s="180" t="s">
        <v>188</v>
      </c>
      <c r="B317" s="192"/>
      <c r="C317" s="192"/>
      <c r="D317" s="192"/>
      <c r="E317" s="228"/>
      <c r="F317" s="171"/>
      <c r="G317" s="192"/>
      <c r="H317" s="192"/>
      <c r="I317" s="192"/>
      <c r="J317" s="228"/>
      <c r="K317" s="171"/>
      <c r="L317" s="192"/>
      <c r="M317" s="192"/>
      <c r="N317" s="192"/>
      <c r="O317" s="228"/>
      <c r="P317" s="171"/>
      <c r="Q317" s="192"/>
      <c r="R317" s="192"/>
      <c r="S317" s="192"/>
      <c r="T317" s="228"/>
      <c r="U317" s="171"/>
      <c r="V317" s="192"/>
      <c r="W317" s="192"/>
      <c r="X317" s="192"/>
      <c r="Y317" s="228"/>
      <c r="Z317" s="171"/>
      <c r="AA317" s="192"/>
      <c r="AB317" s="192"/>
      <c r="AC317" s="192"/>
      <c r="AD317" s="228"/>
      <c r="AE317" s="171"/>
      <c r="AF317" s="192"/>
      <c r="AG317" s="192"/>
      <c r="AH317" s="192"/>
      <c r="AI317" s="228"/>
      <c r="AJ317" s="171"/>
      <c r="AK317" s="192"/>
      <c r="AL317" s="192"/>
      <c r="AM317" s="192"/>
      <c r="AN317" s="228"/>
      <c r="AO317" s="171"/>
      <c r="AP317" s="192"/>
      <c r="AQ317" s="192"/>
      <c r="AR317" s="192"/>
      <c r="AS317" s="228">
        <f>AT317</f>
        <v>34</v>
      </c>
      <c r="AT317" s="171">
        <f>AT313</f>
        <v>34</v>
      </c>
      <c r="AU317" s="192">
        <v>176</v>
      </c>
      <c r="AV317" s="192">
        <v>86</v>
      </c>
      <c r="AW317" s="192">
        <v>107</v>
      </c>
      <c r="AX317" s="228">
        <f>AY317</f>
        <v>5</v>
      </c>
      <c r="AY317" s="171">
        <f>AY313</f>
        <v>5</v>
      </c>
      <c r="AZ317" s="192">
        <v>86</v>
      </c>
      <c r="BA317" s="192">
        <v>105</v>
      </c>
      <c r="BB317" s="192">
        <v>41</v>
      </c>
      <c r="BC317" s="228">
        <f>BD317</f>
        <v>37</v>
      </c>
      <c r="BD317" s="171">
        <f>BD313</f>
        <v>37</v>
      </c>
      <c r="BE317" s="192">
        <v>60</v>
      </c>
      <c r="BF317" s="192">
        <v>45</v>
      </c>
      <c r="BG317" s="192">
        <v>151</v>
      </c>
      <c r="BH317" s="228">
        <f>BI317</f>
        <v>0</v>
      </c>
      <c r="BI317" s="171">
        <f>BI313</f>
        <v>0</v>
      </c>
      <c r="BJ317" s="192">
        <v>54</v>
      </c>
      <c r="BK317" s="192">
        <v>47</v>
      </c>
      <c r="BL317" s="192">
        <v>134</v>
      </c>
      <c r="BM317" s="228">
        <f>BN317</f>
        <v>204</v>
      </c>
      <c r="BN317" s="171">
        <f>BN313</f>
        <v>204</v>
      </c>
      <c r="BO317" s="192">
        <v>164</v>
      </c>
      <c r="BP317" s="192">
        <v>94</v>
      </c>
      <c r="BQ317" s="192">
        <v>204</v>
      </c>
      <c r="BR317" s="228">
        <f>BS317</f>
        <v>184</v>
      </c>
      <c r="BS317" s="171">
        <f>BS313</f>
        <v>184</v>
      </c>
      <c r="BT317" s="192">
        <v>128</v>
      </c>
      <c r="BU317" s="192">
        <v>110</v>
      </c>
      <c r="BV317" s="192">
        <v>158</v>
      </c>
      <c r="BW317" s="228">
        <f>BX317</f>
        <v>284</v>
      </c>
      <c r="BX317" s="171">
        <f>BX313</f>
        <v>284</v>
      </c>
      <c r="BY317" s="192">
        <v>107</v>
      </c>
      <c r="BZ317" s="192">
        <v>203</v>
      </c>
      <c r="CA317" s="192">
        <v>475</v>
      </c>
      <c r="CB317" s="228">
        <f>CC317</f>
        <v>467</v>
      </c>
      <c r="CC317" s="171">
        <f>CC313</f>
        <v>467</v>
      </c>
      <c r="CD317" s="192">
        <v>864</v>
      </c>
      <c r="CE317" s="192">
        <v>431</v>
      </c>
      <c r="CF317" s="192">
        <v>309</v>
      </c>
      <c r="CG317" s="228">
        <f>CH317</f>
        <v>289</v>
      </c>
      <c r="CH317" s="171">
        <f>CH313</f>
        <v>289</v>
      </c>
      <c r="CI317" s="192">
        <v>526</v>
      </c>
      <c r="CJ317" s="192">
        <v>257</v>
      </c>
      <c r="CK317" s="192">
        <v>270</v>
      </c>
      <c r="CL317" s="228">
        <f>CM317</f>
        <v>527</v>
      </c>
      <c r="CM317" s="171">
        <f>CM313</f>
        <v>527</v>
      </c>
      <c r="CN317" s="192">
        <v>470</v>
      </c>
      <c r="CO317" s="192">
        <v>399</v>
      </c>
      <c r="CP317" s="192">
        <v>405</v>
      </c>
      <c r="CQ317" s="228">
        <f>CR317</f>
        <v>206</v>
      </c>
      <c r="CR317" s="171">
        <f>CR313</f>
        <v>206</v>
      </c>
      <c r="CS317" s="192">
        <v>364</v>
      </c>
      <c r="CT317" s="192">
        <v>454</v>
      </c>
      <c r="CU317" s="192">
        <v>557</v>
      </c>
      <c r="CV317" s="228">
        <f>CW317</f>
        <v>618</v>
      </c>
      <c r="CW317" s="171">
        <f>CW313</f>
        <v>618</v>
      </c>
      <c r="CX317" s="192">
        <v>884</v>
      </c>
      <c r="CY317" s="192">
        <v>722</v>
      </c>
      <c r="CZ317" s="192">
        <v>999</v>
      </c>
      <c r="DA317" s="172">
        <f>DB317</f>
        <v>996</v>
      </c>
      <c r="DB317" s="171">
        <f>DB313</f>
        <v>996</v>
      </c>
      <c r="DC317" s="192">
        <v>1161</v>
      </c>
      <c r="DD317" s="192">
        <v>855</v>
      </c>
      <c r="DE317" s="192">
        <v>1129</v>
      </c>
      <c r="DF317" s="172">
        <v>827</v>
      </c>
      <c r="DG317" s="171">
        <f>DG313</f>
        <v>827</v>
      </c>
      <c r="DH317" s="172">
        <v>236</v>
      </c>
      <c r="DI317" s="192">
        <v>678</v>
      </c>
      <c r="DJ317" s="192">
        <v>242</v>
      </c>
      <c r="DK317" s="172">
        <v>276</v>
      </c>
      <c r="DL317" s="171">
        <f>DL313</f>
        <v>276</v>
      </c>
      <c r="DM317" s="172">
        <v>829</v>
      </c>
      <c r="DN317" s="192">
        <v>356</v>
      </c>
      <c r="DO317" s="192">
        <v>829</v>
      </c>
      <c r="DP317" s="172">
        <v>653</v>
      </c>
      <c r="DQ317" s="907">
        <f>DQ313</f>
        <v>653</v>
      </c>
      <c r="DR317" s="172">
        <v>672</v>
      </c>
      <c r="DS317" s="172">
        <v>587</v>
      </c>
      <c r="DT317" s="172">
        <v>984</v>
      </c>
      <c r="DU317" s="172">
        <f>DV317</f>
        <v>1443</v>
      </c>
      <c r="DV317" s="907">
        <f>DV313</f>
        <v>1443</v>
      </c>
      <c r="DW317" s="172">
        <v>1522</v>
      </c>
      <c r="DX317" s="172">
        <v>1667</v>
      </c>
      <c r="DY317" s="172">
        <v>1432</v>
      </c>
      <c r="DZ317" s="172">
        <f>EA317</f>
        <v>973</v>
      </c>
      <c r="EA317" s="2021">
        <f>EA313</f>
        <v>973</v>
      </c>
      <c r="EB317" s="2022">
        <v>524</v>
      </c>
      <c r="EC317" s="2022">
        <v>889</v>
      </c>
      <c r="ED317" s="2022">
        <v>433</v>
      </c>
      <c r="EE317" s="2022">
        <f t="shared" ref="EE317:EE330" si="1052">EF317</f>
        <v>1101</v>
      </c>
      <c r="EF317" s="2021">
        <f>EF313</f>
        <v>1101</v>
      </c>
      <c r="EG317" s="2022">
        <v>589</v>
      </c>
      <c r="EH317" s="2022">
        <v>866</v>
      </c>
      <c r="EI317" s="2022">
        <v>984</v>
      </c>
      <c r="EJ317" s="2022">
        <f t="shared" ref="EJ317:EJ330" si="1053">EK317</f>
        <v>956</v>
      </c>
      <c r="EK317" s="2021">
        <f>EK313</f>
        <v>956</v>
      </c>
      <c r="EL317" s="2022">
        <v>955</v>
      </c>
      <c r="EM317" s="2022">
        <v>642</v>
      </c>
      <c r="EN317" s="2022">
        <v>724</v>
      </c>
      <c r="EO317" s="2022">
        <f t="shared" ref="EO317:EO330" si="1054">EP317</f>
        <v>690</v>
      </c>
      <c r="EP317" s="2021">
        <f>EP313</f>
        <v>690</v>
      </c>
      <c r="EQ317" s="2023"/>
      <c r="ER317" s="2023"/>
      <c r="ES317" s="2023"/>
      <c r="ET317" s="2023"/>
      <c r="EU317" s="907">
        <f ca="1">EU313</f>
        <v>619.32588264634751</v>
      </c>
      <c r="EV317" s="908"/>
      <c r="EW317" s="908"/>
      <c r="EX317" s="908"/>
      <c r="EY317" s="908"/>
      <c r="EZ317" s="907">
        <f ca="1">EZ313</f>
        <v>923.12950535621576</v>
      </c>
      <c r="FA317" s="908"/>
      <c r="FB317" s="908"/>
      <c r="FC317" s="908"/>
      <c r="FD317" s="908"/>
      <c r="FE317" s="907">
        <f ca="1">FE313</f>
        <v>1335.3731390976759</v>
      </c>
      <c r="FF317" s="1587"/>
      <c r="FG317" s="660"/>
      <c r="FH317" s="1085"/>
      <c r="FI317" s="1085"/>
      <c r="FJ317" s="1085"/>
      <c r="FK317" s="1085"/>
      <c r="FL317" s="1858"/>
      <c r="FM317" s="1789"/>
      <c r="FN317" s="1789"/>
      <c r="FO317" s="1789"/>
      <c r="FP317" s="1789"/>
      <c r="FQ317" s="1789"/>
      <c r="FR317" s="609"/>
      <c r="FS317" s="609"/>
      <c r="FT317" s="609"/>
      <c r="FU317" s="609"/>
      <c r="FV317" s="609"/>
      <c r="FW317" s="609"/>
      <c r="FX317" s="609"/>
      <c r="FY317" s="609"/>
      <c r="FZ317" s="609"/>
      <c r="GA317" s="660"/>
      <c r="GB317"/>
      <c r="GC317"/>
      <c r="GD317"/>
      <c r="GE317"/>
      <c r="GF317"/>
      <c r="GG317"/>
      <c r="GH317" s="994"/>
      <c r="GI317" s="994"/>
      <c r="GJ317" s="994"/>
      <c r="GK317" s="994"/>
      <c r="GL317" s="994"/>
      <c r="GM317" s="994"/>
      <c r="GN317" s="994"/>
      <c r="GO317" s="994"/>
      <c r="GP317" s="994"/>
      <c r="GQ317" s="994"/>
      <c r="GR317" s="994"/>
      <c r="GS317" s="994"/>
      <c r="GT317" s="994"/>
      <c r="GU317" s="994"/>
      <c r="GV317" s="994"/>
      <c r="GW317" s="994"/>
      <c r="GX317" s="994"/>
      <c r="GY317" s="994"/>
      <c r="GZ317" s="994"/>
      <c r="HA317" s="994"/>
      <c r="HB317" s="994"/>
      <c r="HC317" s="994"/>
      <c r="HD317" s="994"/>
      <c r="HE317" s="994"/>
      <c r="HF317" s="994"/>
      <c r="HG317" s="994"/>
      <c r="HH317" s="994"/>
      <c r="HI317" s="994"/>
      <c r="HJ317" s="994"/>
      <c r="HK317" s="994"/>
      <c r="HL317" s="994"/>
      <c r="HM317" s="994"/>
      <c r="HN317" s="994"/>
      <c r="HO317" s="994"/>
      <c r="HP317" s="994"/>
      <c r="HQ317" s="994"/>
      <c r="HR317" s="994"/>
      <c r="HS317" s="994"/>
      <c r="HT317" s="994"/>
      <c r="HU317" s="994"/>
      <c r="HV317" s="994"/>
      <c r="HW317" s="994"/>
      <c r="HX317" s="994"/>
      <c r="HY317" s="994"/>
      <c r="HZ317" s="994"/>
      <c r="IA317" s="994"/>
      <c r="IB317" s="994"/>
      <c r="IC317" s="994"/>
      <c r="ID317" s="994"/>
      <c r="IE317" s="994"/>
      <c r="IF317" s="994"/>
      <c r="IG317" s="994"/>
      <c r="IH317" s="994"/>
      <c r="II317" s="994"/>
      <c r="IJ317" s="994"/>
      <c r="IK317" s="994"/>
      <c r="IL317" s="994"/>
      <c r="IM317" s="994"/>
      <c r="IN317" s="994"/>
      <c r="IO317" s="994"/>
      <c r="IP317" s="994"/>
      <c r="IQ317" s="994"/>
      <c r="IR317" s="994"/>
      <c r="IS317" s="994"/>
      <c r="IT317" s="994"/>
      <c r="IU317" s="994"/>
      <c r="IV317" s="994"/>
    </row>
    <row r="318" spans="1:256" s="1191" customFormat="1" ht="12.6" customHeight="1" x14ac:dyDescent="0.2">
      <c r="A318" s="271" t="s">
        <v>214</v>
      </c>
      <c r="B318" s="1166"/>
      <c r="C318" s="1166"/>
      <c r="D318" s="1166"/>
      <c r="E318" s="1176"/>
      <c r="F318" s="21"/>
      <c r="G318" s="1166"/>
      <c r="H318" s="1166"/>
      <c r="I318" s="1166"/>
      <c r="J318" s="1176"/>
      <c r="K318" s="21"/>
      <c r="L318" s="1166"/>
      <c r="M318" s="1166"/>
      <c r="N318" s="1166"/>
      <c r="O318" s="1176"/>
      <c r="P318" s="21"/>
      <c r="Q318" s="1166"/>
      <c r="R318" s="1166"/>
      <c r="S318" s="1166"/>
      <c r="T318" s="1176"/>
      <c r="U318" s="21"/>
      <c r="V318" s="1166"/>
      <c r="W318" s="1166"/>
      <c r="X318" s="1166"/>
      <c r="Y318" s="1176"/>
      <c r="Z318" s="21"/>
      <c r="AA318" s="1166"/>
      <c r="AB318" s="1166"/>
      <c r="AC318" s="1166"/>
      <c r="AD318" s="1176"/>
      <c r="AE318" s="21"/>
      <c r="AF318" s="1166"/>
      <c r="AG318" s="1166"/>
      <c r="AH318" s="1166"/>
      <c r="AI318" s="1176"/>
      <c r="AJ318" s="21"/>
      <c r="AK318" s="1166"/>
      <c r="AL318" s="1166"/>
      <c r="AM318" s="1166"/>
      <c r="AN318" s="1176"/>
      <c r="AO318" s="21"/>
      <c r="AP318" s="1166"/>
      <c r="AQ318" s="1166"/>
      <c r="AR318" s="1166"/>
      <c r="AS318" s="1176"/>
      <c r="AT318" s="21">
        <f>AT317/AT$221</f>
        <v>8.0513391271401155E-3</v>
      </c>
      <c r="AU318" s="1166"/>
      <c r="AV318" s="1166"/>
      <c r="AW318" s="1166"/>
      <c r="AX318" s="1176"/>
      <c r="AY318" s="21">
        <f>AY317/AY$221</f>
        <v>1.1840232636890849E-3</v>
      </c>
      <c r="AZ318" s="1166"/>
      <c r="BA318" s="1166"/>
      <c r="BB318" s="1166"/>
      <c r="BC318" s="1176"/>
      <c r="BD318" s="21">
        <f>BD317/BD$221</f>
        <v>7.1219724398915154E-3</v>
      </c>
      <c r="BE318" s="1166"/>
      <c r="BF318" s="1166"/>
      <c r="BG318" s="1166"/>
      <c r="BH318" s="1176"/>
      <c r="BI318" s="21">
        <f>BI317/BI$221</f>
        <v>0</v>
      </c>
      <c r="BJ318" s="1166"/>
      <c r="BK318" s="1166"/>
      <c r="BL318" s="1166"/>
      <c r="BM318" s="1176"/>
      <c r="BN318" s="21">
        <f>BN317/BN$221</f>
        <v>3.3063209076175042E-2</v>
      </c>
      <c r="BO318" s="1166"/>
      <c r="BP318" s="1166"/>
      <c r="BQ318" s="1166"/>
      <c r="BR318" s="1176"/>
      <c r="BS318" s="21">
        <f>BS317/BS$221</f>
        <v>2.9346092503987242E-2</v>
      </c>
      <c r="BT318" s="1166"/>
      <c r="BU318" s="1166"/>
      <c r="BV318" s="1166"/>
      <c r="BW318" s="1176"/>
      <c r="BX318" s="21">
        <f>BX317/BX$221</f>
        <v>4.3908472479901053E-2</v>
      </c>
      <c r="BY318" s="1166"/>
      <c r="BZ318" s="1166"/>
      <c r="CA318" s="1166"/>
      <c r="CB318" s="1176"/>
      <c r="CC318" s="21">
        <f>CC317/CC$221</f>
        <v>6.3867614879649884E-2</v>
      </c>
      <c r="CD318" s="1166"/>
      <c r="CE318" s="1166"/>
      <c r="CF318" s="1166"/>
      <c r="CG318" s="1176"/>
      <c r="CH318" s="21">
        <f>CH317/CH$221</f>
        <v>3.4112370160528802E-2</v>
      </c>
      <c r="CI318" s="1166"/>
      <c r="CJ318" s="1166"/>
      <c r="CK318" s="1166"/>
      <c r="CL318" s="1176"/>
      <c r="CM318" s="21">
        <f>CM317/CM$221</f>
        <v>5.6022111193791857E-2</v>
      </c>
      <c r="CN318" s="1166"/>
      <c r="CO318" s="1166"/>
      <c r="CP318" s="1166"/>
      <c r="CQ318" s="1176"/>
      <c r="CR318" s="21">
        <f>CR317/CR$221</f>
        <v>2.1840542832909246E-2</v>
      </c>
      <c r="CS318" s="1166"/>
      <c r="CT318" s="1166"/>
      <c r="CU318" s="1166"/>
      <c r="CV318" s="1176"/>
      <c r="CW318" s="21">
        <f>CW317/CW$221</f>
        <v>5.796829565706782E-2</v>
      </c>
      <c r="CX318" s="1166"/>
      <c r="CY318" s="1166"/>
      <c r="CZ318" s="1166"/>
      <c r="DA318" s="1166"/>
      <c r="DB318" s="21">
        <f>DB317/DB$221</f>
        <v>0.12498431421759318</v>
      </c>
      <c r="DC318" s="1166"/>
      <c r="DD318" s="1166"/>
      <c r="DE318" s="1166"/>
      <c r="DF318" s="1166"/>
      <c r="DG318" s="21">
        <f>DG317/DG$221</f>
        <v>8.6907421391297215E-2</v>
      </c>
      <c r="DH318" s="1166"/>
      <c r="DI318" s="1166"/>
      <c r="DJ318" s="1166"/>
      <c r="DK318" s="1166"/>
      <c r="DL318" s="21">
        <f>DL317/DL$221</f>
        <v>2.4704618689581095E-2</v>
      </c>
      <c r="DM318" s="1166"/>
      <c r="DN318" s="1166"/>
      <c r="DO318" s="1166"/>
      <c r="DP318" s="1166"/>
      <c r="DQ318" s="21">
        <f>DQ317/DQ$221</f>
        <v>5.9148550724637684E-2</v>
      </c>
      <c r="DR318" s="1166">
        <f>DR317/DR$221/4</f>
        <v>6.1358655953250546E-2</v>
      </c>
      <c r="DS318" s="1166">
        <f>DS317/DS$221/4</f>
        <v>5.2373304782298361E-2</v>
      </c>
      <c r="DT318" s="1166">
        <f>DT317/DT$221/4</f>
        <v>8.7110481586402264E-2</v>
      </c>
      <c r="DU318" s="1166">
        <f t="shared" ref="DU318:DU347" si="1055">DV318</f>
        <v>0.12832369942196531</v>
      </c>
      <c r="DV318" s="21">
        <f>DV317/DV$221</f>
        <v>0.12832369942196531</v>
      </c>
      <c r="DW318" s="1166">
        <f>DW317/DW$221/4</f>
        <v>0.14150241725548532</v>
      </c>
      <c r="DX318" s="1166">
        <f>DX317/DX$221/4</f>
        <v>0.13699868507560814</v>
      </c>
      <c r="DY318" s="1166">
        <f>DY317/DY$221/4</f>
        <v>0.1184254052265961</v>
      </c>
      <c r="DZ318" s="1166">
        <f t="shared" ref="DZ318:DZ347" si="1056">EA318</f>
        <v>8.3706125258086711E-2</v>
      </c>
      <c r="EA318" s="1610">
        <f>EA317/EA$221</f>
        <v>8.3706125258086711E-2</v>
      </c>
      <c r="EB318" s="2024">
        <f>EB317/EB$221/4</f>
        <v>5.1032333463186599E-2</v>
      </c>
      <c r="EC318" s="2024">
        <f>EC317/EC$221/4</f>
        <v>8.1920383339476599E-2</v>
      </c>
      <c r="ED318" s="2024">
        <f>ED317/ED$221/4</f>
        <v>3.9900479174345742E-2</v>
      </c>
      <c r="EE318" s="2024">
        <f t="shared" si="1052"/>
        <v>0.10474740747788032</v>
      </c>
      <c r="EF318" s="1610">
        <f>EF317/EF$221</f>
        <v>0.10474740747788032</v>
      </c>
      <c r="EG318" s="2024">
        <f>EG317/EG$221/4</f>
        <v>6.084710743801653E-2</v>
      </c>
      <c r="EH318" s="2024">
        <f>EH317/EH$221/4</f>
        <v>8.8223308883455587E-2</v>
      </c>
      <c r="EI318" s="2024">
        <f>EI317/EI$221/4</f>
        <v>9.7464342313787644E-2</v>
      </c>
      <c r="EJ318" s="2024">
        <f t="shared" si="1053"/>
        <v>9.6682847896440133E-2</v>
      </c>
      <c r="EK318" s="1610">
        <f>EK317/EK$221</f>
        <v>9.6682847896440133E-2</v>
      </c>
      <c r="EL318" s="2024">
        <f>EL317/EL$221/4</f>
        <v>9.2718446601941742E-2</v>
      </c>
      <c r="EM318" s="2024">
        <f>EM317/EM$221/4</f>
        <v>6.08646188850967E-2</v>
      </c>
      <c r="EN318" s="2024">
        <f>EN317/EN$221/4</f>
        <v>6.7790262172284649E-2</v>
      </c>
      <c r="EO318" s="2024">
        <f t="shared" si="1054"/>
        <v>6.5396644867785042E-2</v>
      </c>
      <c r="EP318" s="1610">
        <f>EP317/EP$221</f>
        <v>6.5396644867785042E-2</v>
      </c>
      <c r="EQ318" s="2024"/>
      <c r="ER318" s="2024"/>
      <c r="ES318" s="2024"/>
      <c r="ET318" s="2024"/>
      <c r="EU318" s="21">
        <f ca="1">EU317/EU$221</f>
        <v>5.5311955361800995E-2</v>
      </c>
      <c r="EV318" s="1166"/>
      <c r="EW318" s="1166"/>
      <c r="EX318" s="1166"/>
      <c r="EY318" s="1166"/>
      <c r="EZ318" s="21">
        <f ca="1">EZ317/EZ$221</f>
        <v>7.9522241629260484E-2</v>
      </c>
      <c r="FA318" s="1166"/>
      <c r="FB318" s="1166"/>
      <c r="FC318" s="1166"/>
      <c r="FD318" s="1166"/>
      <c r="FE318" s="21">
        <f ca="1">FE317/FE$221</f>
        <v>0.1108397248218173</v>
      </c>
      <c r="FF318" s="1188"/>
      <c r="FG318" s="1102"/>
      <c r="FH318" s="1179"/>
      <c r="FI318" s="1179"/>
      <c r="FJ318" s="1179"/>
      <c r="FK318" s="1179"/>
      <c r="FL318" s="1852"/>
      <c r="FM318" s="1787"/>
      <c r="FN318" s="1787"/>
      <c r="FO318" s="1787"/>
      <c r="FP318" s="1787"/>
      <c r="FQ318" s="1787"/>
      <c r="FR318" s="1189"/>
      <c r="FS318" s="1189"/>
      <c r="FT318" s="1189"/>
      <c r="FU318" s="1189"/>
      <c r="FV318" s="1189"/>
      <c r="FW318" s="1189"/>
      <c r="FX318" s="1189"/>
      <c r="FY318" s="1189"/>
      <c r="FZ318" s="1189"/>
      <c r="GA318" s="1102"/>
      <c r="GB318"/>
      <c r="GC318"/>
      <c r="GD318"/>
      <c r="GE318"/>
      <c r="GF318"/>
      <c r="GG318"/>
      <c r="GH318" s="1190"/>
      <c r="GI318" s="1190"/>
      <c r="GJ318" s="1190"/>
      <c r="GK318" s="1190"/>
      <c r="GL318" s="1190"/>
      <c r="GM318" s="1190"/>
      <c r="GN318" s="1190"/>
      <c r="GO318" s="1190"/>
      <c r="GP318" s="1190"/>
      <c r="GQ318" s="1190"/>
      <c r="GR318" s="1190"/>
      <c r="GS318" s="1190"/>
      <c r="GT318" s="1190"/>
      <c r="GU318" s="1190"/>
      <c r="GV318" s="1190"/>
      <c r="GW318" s="1190"/>
      <c r="GX318" s="1190"/>
      <c r="GY318" s="1190"/>
      <c r="GZ318" s="1190"/>
      <c r="HA318" s="1190"/>
      <c r="HB318" s="1190"/>
      <c r="HC318" s="1190"/>
      <c r="HD318" s="1190"/>
      <c r="HE318" s="1190"/>
      <c r="HF318" s="1190"/>
      <c r="HG318" s="1190"/>
      <c r="HH318" s="1190"/>
      <c r="HI318" s="1190"/>
      <c r="HJ318" s="1190"/>
      <c r="HK318" s="1190"/>
      <c r="HL318" s="1190"/>
      <c r="HM318" s="1190"/>
      <c r="HN318" s="1190"/>
      <c r="HO318" s="1190"/>
      <c r="HP318" s="1190"/>
      <c r="HQ318" s="1190"/>
      <c r="HR318" s="1190"/>
      <c r="HS318" s="1190"/>
      <c r="HT318" s="1190"/>
      <c r="HU318" s="1190"/>
      <c r="HV318" s="1190"/>
      <c r="HW318" s="1190"/>
      <c r="HX318" s="1190"/>
      <c r="HY318" s="1190"/>
      <c r="HZ318" s="1190"/>
      <c r="IA318" s="1190"/>
      <c r="IB318" s="1190"/>
      <c r="IC318" s="1190"/>
      <c r="ID318" s="1190"/>
      <c r="IE318" s="1190"/>
      <c r="IF318" s="1190"/>
      <c r="IG318" s="1190"/>
      <c r="IH318" s="1190"/>
      <c r="II318" s="1190"/>
      <c r="IJ318" s="1190"/>
      <c r="IK318" s="1190"/>
      <c r="IL318" s="1190"/>
      <c r="IM318" s="1190"/>
      <c r="IN318" s="1190"/>
      <c r="IO318" s="1190"/>
      <c r="IP318" s="1190"/>
      <c r="IQ318" s="1190"/>
      <c r="IR318" s="1190"/>
      <c r="IS318" s="1190"/>
      <c r="IT318" s="1190"/>
      <c r="IU318" s="1190"/>
      <c r="IV318" s="1190"/>
    </row>
    <row r="319" spans="1:256" s="181" customFormat="1" ht="12.6" customHeight="1" x14ac:dyDescent="0.2">
      <c r="A319" s="180" t="s">
        <v>464</v>
      </c>
      <c r="B319" s="192"/>
      <c r="C319" s="192"/>
      <c r="D319" s="192"/>
      <c r="E319" s="228"/>
      <c r="F319" s="171"/>
      <c r="G319" s="192"/>
      <c r="H319" s="192"/>
      <c r="I319" s="192"/>
      <c r="J319" s="228"/>
      <c r="K319" s="171"/>
      <c r="L319" s="192"/>
      <c r="M319" s="192"/>
      <c r="N319" s="192"/>
      <c r="O319" s="228"/>
      <c r="P319" s="171"/>
      <c r="Q319" s="192"/>
      <c r="R319" s="192"/>
      <c r="S319" s="192"/>
      <c r="T319" s="228"/>
      <c r="U319" s="171"/>
      <c r="V319" s="192"/>
      <c r="W319" s="192"/>
      <c r="X319" s="192"/>
      <c r="Y319" s="228"/>
      <c r="Z319" s="171"/>
      <c r="AA319" s="192"/>
      <c r="AB319" s="192"/>
      <c r="AC319" s="192"/>
      <c r="AD319" s="228"/>
      <c r="AE319" s="171"/>
      <c r="AF319" s="192"/>
      <c r="AG319" s="192"/>
      <c r="AH319" s="192"/>
      <c r="AI319" s="228"/>
      <c r="AJ319" s="171"/>
      <c r="AK319" s="192"/>
      <c r="AL319" s="192"/>
      <c r="AM319" s="192"/>
      <c r="AN319" s="228"/>
      <c r="AO319" s="171"/>
      <c r="AP319" s="192"/>
      <c r="AQ319" s="192"/>
      <c r="AR319" s="192"/>
      <c r="AS319" s="228"/>
      <c r="AT319" s="171">
        <v>125</v>
      </c>
      <c r="AU319" s="192">
        <v>110</v>
      </c>
      <c r="AV319" s="192">
        <v>99</v>
      </c>
      <c r="AW319" s="192">
        <v>84</v>
      </c>
      <c r="AX319" s="228">
        <v>58</v>
      </c>
      <c r="AY319" s="171">
        <v>58</v>
      </c>
      <c r="AZ319" s="192">
        <v>17</v>
      </c>
      <c r="BA319" s="192">
        <v>17</v>
      </c>
      <c r="BB319" s="192">
        <v>15</v>
      </c>
      <c r="BC319" s="228">
        <v>14</v>
      </c>
      <c r="BD319" s="171">
        <v>14</v>
      </c>
      <c r="BE319" s="192">
        <v>12</v>
      </c>
      <c r="BF319" s="192">
        <v>5</v>
      </c>
      <c r="BG319" s="192">
        <v>1</v>
      </c>
      <c r="BH319" s="228"/>
      <c r="BI319" s="171">
        <v>2</v>
      </c>
      <c r="BJ319" s="192"/>
      <c r="BK319" s="192"/>
      <c r="BL319" s="192"/>
      <c r="BM319" s="228"/>
      <c r="BN319" s="171"/>
      <c r="BO319" s="192"/>
      <c r="BP319" s="192"/>
      <c r="BQ319" s="192"/>
      <c r="BR319" s="228"/>
      <c r="BS319" s="171"/>
      <c r="BT319" s="192"/>
      <c r="BU319" s="192"/>
      <c r="BV319" s="192">
        <v>3</v>
      </c>
      <c r="BW319" s="228">
        <v>2</v>
      </c>
      <c r="BX319" s="171">
        <v>2</v>
      </c>
      <c r="BY319" s="192"/>
      <c r="BZ319" s="192"/>
      <c r="CA319" s="192">
        <v>55</v>
      </c>
      <c r="CB319" s="228">
        <v>202</v>
      </c>
      <c r="CC319" s="171">
        <v>202</v>
      </c>
      <c r="CD319" s="192">
        <v>255</v>
      </c>
      <c r="CE319" s="192">
        <v>184</v>
      </c>
      <c r="CF319" s="192">
        <v>741</v>
      </c>
      <c r="CG319" s="228">
        <v>968</v>
      </c>
      <c r="CH319" s="171">
        <v>968</v>
      </c>
      <c r="CI319" s="192">
        <v>1016</v>
      </c>
      <c r="CJ319" s="192">
        <v>1278</v>
      </c>
      <c r="CK319" s="192">
        <v>533</v>
      </c>
      <c r="CL319" s="228">
        <v>391</v>
      </c>
      <c r="CM319" s="171">
        <v>391</v>
      </c>
      <c r="CN319" s="192">
        <v>374</v>
      </c>
      <c r="CO319" s="192">
        <v>93</v>
      </c>
      <c r="CP319" s="192">
        <v>13</v>
      </c>
      <c r="CQ319" s="228"/>
      <c r="CR319" s="171">
        <f>CR315</f>
        <v>0</v>
      </c>
      <c r="CS319" s="192"/>
      <c r="CT319" s="192"/>
      <c r="CU319" s="192"/>
      <c r="CV319" s="228"/>
      <c r="CW319" s="171">
        <f>CW315</f>
        <v>0</v>
      </c>
      <c r="CX319" s="192"/>
      <c r="CY319" s="192"/>
      <c r="CZ319" s="192"/>
      <c r="DA319" s="172"/>
      <c r="DB319" s="171">
        <v>90</v>
      </c>
      <c r="DC319" s="192">
        <v>225</v>
      </c>
      <c r="DD319" s="192">
        <v>205</v>
      </c>
      <c r="DE319" s="192">
        <v>229</v>
      </c>
      <c r="DF319" s="172">
        <v>283</v>
      </c>
      <c r="DG319" s="171">
        <v>283</v>
      </c>
      <c r="DH319" s="172">
        <v>252</v>
      </c>
      <c r="DI319" s="192">
        <v>228</v>
      </c>
      <c r="DJ319" s="192">
        <v>152</v>
      </c>
      <c r="DK319" s="172">
        <v>25</v>
      </c>
      <c r="DL319" s="171">
        <v>25</v>
      </c>
      <c r="DM319" s="172">
        <v>2</v>
      </c>
      <c r="DN319" s="192">
        <v>15</v>
      </c>
      <c r="DO319" s="192">
        <v>2</v>
      </c>
      <c r="DP319" s="172">
        <v>15</v>
      </c>
      <c r="DQ319" s="171">
        <v>15</v>
      </c>
      <c r="DR319" s="158">
        <v>15</v>
      </c>
      <c r="DS319" s="158">
        <v>0</v>
      </c>
      <c r="DT319" s="158">
        <v>20</v>
      </c>
      <c r="DU319" s="172">
        <f t="shared" si="1055"/>
        <v>118</v>
      </c>
      <c r="DV319" s="171">
        <v>118</v>
      </c>
      <c r="DW319" s="158">
        <v>10</v>
      </c>
      <c r="DX319" s="158">
        <v>0</v>
      </c>
      <c r="DY319" s="158">
        <v>0</v>
      </c>
      <c r="DZ319" s="172">
        <f t="shared" si="1056"/>
        <v>0</v>
      </c>
      <c r="EA319" s="2021">
        <v>0</v>
      </c>
      <c r="EB319" s="2025">
        <v>0</v>
      </c>
      <c r="EC319" s="2025">
        <v>0</v>
      </c>
      <c r="ED319" s="2025">
        <v>0</v>
      </c>
      <c r="EE319" s="2022">
        <f t="shared" si="1052"/>
        <v>0</v>
      </c>
      <c r="EF319" s="2021">
        <v>0</v>
      </c>
      <c r="EG319" s="2025">
        <v>0</v>
      </c>
      <c r="EH319" s="2025">
        <v>0</v>
      </c>
      <c r="EI319" s="2025">
        <v>0</v>
      </c>
      <c r="EJ319" s="2022">
        <f t="shared" si="1053"/>
        <v>0</v>
      </c>
      <c r="EK319" s="2021">
        <v>0</v>
      </c>
      <c r="EL319" s="2025">
        <v>0</v>
      </c>
      <c r="EM319" s="2025">
        <v>0</v>
      </c>
      <c r="EN319" s="2025">
        <v>0</v>
      </c>
      <c r="EO319" s="2022">
        <f t="shared" si="1054"/>
        <v>0</v>
      </c>
      <c r="EP319" s="2021">
        <v>0</v>
      </c>
      <c r="EQ319" s="2023"/>
      <c r="ER319" s="2023"/>
      <c r="ES319" s="2023"/>
      <c r="ET319" s="2023"/>
      <c r="EU319" s="171">
        <f>EU320*EU$221</f>
        <v>0</v>
      </c>
      <c r="EV319" s="168"/>
      <c r="EW319" s="168"/>
      <c r="EX319" s="168"/>
      <c r="EY319" s="168"/>
      <c r="EZ319" s="171">
        <f>EZ320*EZ$221</f>
        <v>0</v>
      </c>
      <c r="FA319" s="168"/>
      <c r="FB319" s="168"/>
      <c r="FC319" s="168"/>
      <c r="FD319" s="168"/>
      <c r="FE319" s="171">
        <f>FE320*FE$221</f>
        <v>0</v>
      </c>
      <c r="FF319" s="824"/>
      <c r="FG319" s="660"/>
      <c r="FH319" s="1085"/>
      <c r="FI319" s="1085"/>
      <c r="FJ319" s="1085"/>
      <c r="FK319" s="1085"/>
      <c r="FL319" s="1858"/>
      <c r="FM319" s="1789"/>
      <c r="FN319" s="1789"/>
      <c r="FO319" s="1789"/>
      <c r="FP319" s="1789"/>
      <c r="FQ319" s="1789"/>
      <c r="FR319" s="610"/>
      <c r="FS319" s="610"/>
      <c r="FT319" s="610"/>
      <c r="FU319" s="610"/>
      <c r="FV319" s="610"/>
      <c r="FW319" s="610"/>
      <c r="FX319" s="610"/>
      <c r="FY319" s="610"/>
      <c r="FZ319" s="610"/>
      <c r="GA319" s="660"/>
      <c r="GB319"/>
      <c r="GC319"/>
      <c r="GD319"/>
      <c r="GE319"/>
      <c r="GF319"/>
      <c r="GG319"/>
      <c r="GH319" s="995"/>
      <c r="GI319" s="995"/>
      <c r="GJ319" s="995"/>
      <c r="GK319" s="995"/>
      <c r="GL319" s="995"/>
      <c r="GM319" s="995"/>
      <c r="GN319" s="995"/>
      <c r="GO319" s="995"/>
      <c r="GP319" s="995"/>
      <c r="GQ319" s="995"/>
      <c r="GR319" s="995"/>
      <c r="GS319" s="995"/>
      <c r="GT319" s="995"/>
      <c r="GU319" s="995"/>
      <c r="GV319" s="995"/>
      <c r="GW319" s="995"/>
      <c r="GX319" s="995"/>
      <c r="GY319" s="995"/>
      <c r="GZ319" s="995"/>
      <c r="HA319" s="995"/>
      <c r="HB319" s="995"/>
      <c r="HC319" s="995"/>
      <c r="HD319" s="995"/>
      <c r="HE319" s="995"/>
      <c r="HF319" s="995"/>
      <c r="HG319" s="995"/>
      <c r="HH319" s="995"/>
      <c r="HI319" s="995"/>
      <c r="HJ319" s="995"/>
      <c r="HK319" s="995"/>
      <c r="HL319" s="995"/>
      <c r="HM319" s="995"/>
      <c r="HN319" s="995"/>
      <c r="HO319" s="995"/>
      <c r="HP319" s="995"/>
      <c r="HQ319" s="995"/>
      <c r="HR319" s="995"/>
      <c r="HS319" s="995"/>
      <c r="HT319" s="995"/>
      <c r="HU319" s="995"/>
      <c r="HV319" s="995"/>
      <c r="HW319" s="995"/>
      <c r="HX319" s="995"/>
      <c r="HY319" s="995"/>
      <c r="HZ319" s="995"/>
      <c r="IA319" s="995"/>
      <c r="IB319" s="995"/>
      <c r="IC319" s="995"/>
      <c r="ID319" s="995"/>
      <c r="IE319" s="995"/>
      <c r="IF319" s="995"/>
      <c r="IG319" s="995"/>
      <c r="IH319" s="995"/>
      <c r="II319" s="995"/>
      <c r="IJ319" s="995"/>
      <c r="IK319" s="995"/>
      <c r="IL319" s="995"/>
      <c r="IM319" s="995"/>
      <c r="IN319" s="995"/>
      <c r="IO319" s="995"/>
      <c r="IP319" s="995"/>
      <c r="IQ319" s="995"/>
      <c r="IR319" s="995"/>
      <c r="IS319" s="995"/>
      <c r="IT319" s="995"/>
      <c r="IU319" s="995"/>
      <c r="IV319" s="995"/>
    </row>
    <row r="320" spans="1:256" s="1191" customFormat="1" ht="12.6" customHeight="1" x14ac:dyDescent="0.2">
      <c r="A320" s="271" t="s">
        <v>214</v>
      </c>
      <c r="B320" s="1166"/>
      <c r="C320" s="1166"/>
      <c r="D320" s="1166"/>
      <c r="E320" s="1176"/>
      <c r="F320" s="21"/>
      <c r="G320" s="1166"/>
      <c r="H320" s="1166"/>
      <c r="I320" s="1166"/>
      <c r="J320" s="1176"/>
      <c r="K320" s="21"/>
      <c r="L320" s="1166"/>
      <c r="M320" s="1166"/>
      <c r="N320" s="1166"/>
      <c r="O320" s="1176"/>
      <c r="P320" s="21"/>
      <c r="Q320" s="1166"/>
      <c r="R320" s="1166"/>
      <c r="S320" s="1166"/>
      <c r="T320" s="1176"/>
      <c r="U320" s="21"/>
      <c r="V320" s="1166"/>
      <c r="W320" s="1166"/>
      <c r="X320" s="1166"/>
      <c r="Y320" s="1176"/>
      <c r="Z320" s="21"/>
      <c r="AA320" s="1166"/>
      <c r="AB320" s="1166"/>
      <c r="AC320" s="1166"/>
      <c r="AD320" s="1176"/>
      <c r="AE320" s="21"/>
      <c r="AF320" s="1166"/>
      <c r="AG320" s="1166"/>
      <c r="AH320" s="1166"/>
      <c r="AI320" s="1176"/>
      <c r="AJ320" s="21"/>
      <c r="AK320" s="1166"/>
      <c r="AL320" s="1166"/>
      <c r="AM320" s="1166"/>
      <c r="AN320" s="1176"/>
      <c r="AO320" s="21"/>
      <c r="AP320" s="1166"/>
      <c r="AQ320" s="1166"/>
      <c r="AR320" s="1166"/>
      <c r="AS320" s="1176"/>
      <c r="AT320" s="21">
        <f>AT319/AT221</f>
        <v>2.960051149683866E-2</v>
      </c>
      <c r="AU320" s="1166"/>
      <c r="AV320" s="1166"/>
      <c r="AW320" s="1166"/>
      <c r="AX320" s="1176"/>
      <c r="AY320" s="21">
        <f>AY319/AY221</f>
        <v>1.3734669858793385E-2</v>
      </c>
      <c r="AZ320" s="1166"/>
      <c r="BA320" s="1166"/>
      <c r="BB320" s="1166"/>
      <c r="BC320" s="1176"/>
      <c r="BD320" s="21">
        <f>BD319/BD221</f>
        <v>2.6948003826616543E-3</v>
      </c>
      <c r="BE320" s="1166"/>
      <c r="BF320" s="1166"/>
      <c r="BG320" s="1166"/>
      <c r="BH320" s="1176"/>
      <c r="BI320" s="21">
        <f>BI319/BI221</f>
        <v>3.2472804026627701E-4</v>
      </c>
      <c r="BJ320" s="1166"/>
      <c r="BK320" s="1166"/>
      <c r="BL320" s="1166"/>
      <c r="BM320" s="1176"/>
      <c r="BN320" s="21">
        <f>BN319/BN221</f>
        <v>0</v>
      </c>
      <c r="BO320" s="1166"/>
      <c r="BP320" s="1166"/>
      <c r="BQ320" s="1166"/>
      <c r="BR320" s="1176"/>
      <c r="BS320" s="21">
        <f>BS319/BS221</f>
        <v>0</v>
      </c>
      <c r="BT320" s="1166"/>
      <c r="BU320" s="1166"/>
      <c r="BV320" s="1166"/>
      <c r="BW320" s="1176"/>
      <c r="BX320" s="21">
        <f>BX319/BX221</f>
        <v>3.0921459492888067E-4</v>
      </c>
      <c r="BY320" s="1166"/>
      <c r="BZ320" s="1166"/>
      <c r="CA320" s="1166"/>
      <c r="CB320" s="1176"/>
      <c r="CC320" s="21">
        <f>CC319/CC221</f>
        <v>2.7625820568927789E-2</v>
      </c>
      <c r="CD320" s="1166"/>
      <c r="CE320" s="1166"/>
      <c r="CF320" s="1166"/>
      <c r="CG320" s="1176"/>
      <c r="CH320" s="21">
        <f>CH319/CH221</f>
        <v>0.11425873465533522</v>
      </c>
      <c r="CI320" s="1166"/>
      <c r="CJ320" s="1166"/>
      <c r="CK320" s="1166"/>
      <c r="CL320" s="1176"/>
      <c r="CM320" s="21">
        <f>CM319/CM221</f>
        <v>4.1564792176039117E-2</v>
      </c>
      <c r="CN320" s="1166"/>
      <c r="CO320" s="1166"/>
      <c r="CP320" s="1166"/>
      <c r="CQ320" s="1176"/>
      <c r="CR320" s="21">
        <f>CR319/CR221</f>
        <v>0</v>
      </c>
      <c r="CS320" s="1166"/>
      <c r="CT320" s="1166"/>
      <c r="CU320" s="1166"/>
      <c r="CV320" s="1176"/>
      <c r="CW320" s="21">
        <f>CW319/CW221</f>
        <v>0</v>
      </c>
      <c r="CX320" s="1166"/>
      <c r="CY320" s="1166"/>
      <c r="CZ320" s="1166"/>
      <c r="DA320" s="1166"/>
      <c r="DB320" s="21">
        <f>DB319/DB221</f>
        <v>1.1293763332915046E-2</v>
      </c>
      <c r="DC320" s="1166"/>
      <c r="DD320" s="1166"/>
      <c r="DE320" s="1166"/>
      <c r="DF320" s="1166"/>
      <c r="DG320" s="21">
        <f>DG319/DG221</f>
        <v>2.9739782652644632E-2</v>
      </c>
      <c r="DH320" s="1166"/>
      <c r="DI320" s="1166"/>
      <c r="DJ320" s="1166"/>
      <c r="DK320" s="1166"/>
      <c r="DL320" s="21">
        <f>DL319/DL221</f>
        <v>2.237737200143215E-3</v>
      </c>
      <c r="DM320" s="1166"/>
      <c r="DN320" s="1166"/>
      <c r="DO320" s="1166"/>
      <c r="DP320" s="1166"/>
      <c r="DQ320" s="21">
        <f>DQ319/DQ221</f>
        <v>1.358695652173913E-3</v>
      </c>
      <c r="DR320" s="1166">
        <f>DR319/DR221/4</f>
        <v>1.3696128560993425E-3</v>
      </c>
      <c r="DS320" s="1166">
        <f>DS319/DS221/4</f>
        <v>0</v>
      </c>
      <c r="DT320" s="1166">
        <f>DT319/DT221/4</f>
        <v>1.7705382436260624E-3</v>
      </c>
      <c r="DU320" s="1166">
        <f t="shared" si="1055"/>
        <v>2.6233881725211206E-3</v>
      </c>
      <c r="DV320" s="21">
        <f>DV319/DV221/4</f>
        <v>2.6233881725211206E-3</v>
      </c>
      <c r="DW320" s="1166">
        <f>DW319/DW221/4</f>
        <v>9.2971364819635551E-4</v>
      </c>
      <c r="DX320" s="1166">
        <f>DX319/DX221/4</f>
        <v>0</v>
      </c>
      <c r="DY320" s="1166">
        <f>DY319/DY221/4</f>
        <v>0</v>
      </c>
      <c r="DZ320" s="1166">
        <f t="shared" si="1056"/>
        <v>0</v>
      </c>
      <c r="EA320" s="1610">
        <f>EA319/EA221/4</f>
        <v>0</v>
      </c>
      <c r="EB320" s="2024">
        <f>EB319/EB221/4</f>
        <v>0</v>
      </c>
      <c r="EC320" s="2024">
        <f>EC319/EC221/4</f>
        <v>0</v>
      </c>
      <c r="ED320" s="2024">
        <f>ED319/ED221/4</f>
        <v>0</v>
      </c>
      <c r="EE320" s="2024">
        <f t="shared" si="1052"/>
        <v>0</v>
      </c>
      <c r="EF320" s="1610">
        <f>EF319/EF221/4</f>
        <v>0</v>
      </c>
      <c r="EG320" s="2024">
        <f>EG319/EG221/4</f>
        <v>0</v>
      </c>
      <c r="EH320" s="2024">
        <f>EH319/EH221/4</f>
        <v>0</v>
      </c>
      <c r="EI320" s="2024">
        <f>EI319/EI221/4</f>
        <v>0</v>
      </c>
      <c r="EJ320" s="2024">
        <f t="shared" si="1053"/>
        <v>0</v>
      </c>
      <c r="EK320" s="1610">
        <f>EK319/EK221/4</f>
        <v>0</v>
      </c>
      <c r="EL320" s="2024">
        <f>EL319/EL221/4</f>
        <v>0</v>
      </c>
      <c r="EM320" s="2024">
        <f>EM319/EM221/4</f>
        <v>0</v>
      </c>
      <c r="EN320" s="2024">
        <f>EN319/EN221/4</f>
        <v>0</v>
      </c>
      <c r="EO320" s="2024">
        <f t="shared" si="1054"/>
        <v>0</v>
      </c>
      <c r="EP320" s="1610">
        <f>EP319/EP221/4</f>
        <v>0</v>
      </c>
      <c r="EQ320" s="2024"/>
      <c r="ER320" s="2024"/>
      <c r="ES320" s="2024"/>
      <c r="ET320" s="2024"/>
      <c r="EU320" s="29">
        <f>EP320</f>
        <v>0</v>
      </c>
      <c r="EV320" s="1166"/>
      <c r="EW320" s="1166"/>
      <c r="EX320" s="1166"/>
      <c r="EY320" s="1166"/>
      <c r="EZ320" s="29">
        <f>EU320</f>
        <v>0</v>
      </c>
      <c r="FA320" s="1166"/>
      <c r="FB320" s="1166"/>
      <c r="FC320" s="1166"/>
      <c r="FD320" s="1166"/>
      <c r="FE320" s="29">
        <f>EZ320</f>
        <v>0</v>
      </c>
      <c r="FF320" s="1188"/>
      <c r="FG320" s="1102"/>
      <c r="FH320" s="1179"/>
      <c r="FI320" s="1179"/>
      <c r="FJ320" s="1179"/>
      <c r="FK320" s="1179"/>
      <c r="FL320" s="1852"/>
      <c r="FM320" s="1787"/>
      <c r="FN320" s="1787"/>
      <c r="FO320" s="1787"/>
      <c r="FP320" s="1787"/>
      <c r="FQ320" s="1787"/>
      <c r="FR320" s="1189"/>
      <c r="FS320" s="1189"/>
      <c r="FT320" s="1189"/>
      <c r="FU320" s="1189"/>
      <c r="FV320" s="1189"/>
      <c r="FW320" s="1189"/>
      <c r="FX320" s="1189"/>
      <c r="FY320" s="1189"/>
      <c r="FZ320" s="1189"/>
      <c r="GA320" s="1102"/>
      <c r="GB320"/>
      <c r="GC320"/>
      <c r="GD320"/>
      <c r="GE320"/>
      <c r="GF320"/>
      <c r="GG320"/>
      <c r="GH320" s="1190"/>
      <c r="GI320" s="1190"/>
      <c r="GJ320" s="1190"/>
      <c r="GK320" s="1190"/>
      <c r="GL320" s="1190"/>
      <c r="GM320" s="1190"/>
      <c r="GN320" s="1190"/>
      <c r="GO320" s="1190"/>
      <c r="GP320" s="1190"/>
      <c r="GQ320" s="1190"/>
      <c r="GR320" s="1190"/>
      <c r="GS320" s="1190"/>
      <c r="GT320" s="1190"/>
      <c r="GU320" s="1190"/>
      <c r="GV320" s="1190"/>
      <c r="GW320" s="1190"/>
      <c r="GX320" s="1190"/>
      <c r="GY320" s="1190"/>
      <c r="GZ320" s="1190"/>
      <c r="HA320" s="1190"/>
      <c r="HB320" s="1190"/>
      <c r="HC320" s="1190"/>
      <c r="HD320" s="1190"/>
      <c r="HE320" s="1190"/>
      <c r="HF320" s="1190"/>
      <c r="HG320" s="1190"/>
      <c r="HH320" s="1190"/>
      <c r="HI320" s="1190"/>
      <c r="HJ320" s="1190"/>
      <c r="HK320" s="1190"/>
      <c r="HL320" s="1190"/>
      <c r="HM320" s="1190"/>
      <c r="HN320" s="1190"/>
      <c r="HO320" s="1190"/>
      <c r="HP320" s="1190"/>
      <c r="HQ320" s="1190"/>
      <c r="HR320" s="1190"/>
      <c r="HS320" s="1190"/>
      <c r="HT320" s="1190"/>
      <c r="HU320" s="1190"/>
      <c r="HV320" s="1190"/>
      <c r="HW320" s="1190"/>
      <c r="HX320" s="1190"/>
      <c r="HY320" s="1190"/>
      <c r="HZ320" s="1190"/>
      <c r="IA320" s="1190"/>
      <c r="IB320" s="1190"/>
      <c r="IC320" s="1190"/>
      <c r="ID320" s="1190"/>
      <c r="IE320" s="1190"/>
      <c r="IF320" s="1190"/>
      <c r="IG320" s="1190"/>
      <c r="IH320" s="1190"/>
      <c r="II320" s="1190"/>
      <c r="IJ320" s="1190"/>
      <c r="IK320" s="1190"/>
      <c r="IL320" s="1190"/>
      <c r="IM320" s="1190"/>
      <c r="IN320" s="1190"/>
      <c r="IO320" s="1190"/>
      <c r="IP320" s="1190"/>
      <c r="IQ320" s="1190"/>
      <c r="IR320" s="1190"/>
      <c r="IS320" s="1190"/>
      <c r="IT320" s="1190"/>
      <c r="IU320" s="1190"/>
      <c r="IV320" s="1190"/>
    </row>
    <row r="321" spans="1:256" s="173" customFormat="1" ht="12.75" x14ac:dyDescent="0.2">
      <c r="A321" s="180" t="s">
        <v>157</v>
      </c>
      <c r="B321" s="165"/>
      <c r="C321" s="165"/>
      <c r="D321" s="165"/>
      <c r="E321" s="226"/>
      <c r="F321" s="155"/>
      <c r="G321" s="165"/>
      <c r="H321" s="165"/>
      <c r="I321" s="165"/>
      <c r="J321" s="226"/>
      <c r="K321" s="155"/>
      <c r="L321" s="165"/>
      <c r="M321" s="165"/>
      <c r="N321" s="165"/>
      <c r="O321" s="226"/>
      <c r="P321" s="155"/>
      <c r="Q321" s="165"/>
      <c r="R321" s="165"/>
      <c r="S321" s="165"/>
      <c r="T321" s="226"/>
      <c r="U321" s="155"/>
      <c r="V321" s="165"/>
      <c r="W321" s="165"/>
      <c r="X321" s="165"/>
      <c r="Y321" s="226"/>
      <c r="Z321" s="155"/>
      <c r="AA321" s="165"/>
      <c r="AB321" s="165"/>
      <c r="AC321" s="165"/>
      <c r="AD321" s="226"/>
      <c r="AE321" s="155"/>
      <c r="AF321" s="165"/>
      <c r="AG321" s="165"/>
      <c r="AH321" s="165"/>
      <c r="AI321" s="226"/>
      <c r="AJ321" s="155"/>
      <c r="AK321" s="165"/>
      <c r="AL321" s="165"/>
      <c r="AM321" s="165"/>
      <c r="AN321" s="226"/>
      <c r="AO321" s="155"/>
      <c r="AP321" s="165"/>
      <c r="AQ321" s="165"/>
      <c r="AR321" s="165"/>
      <c r="AS321" s="226"/>
      <c r="AT321" s="155">
        <v>552</v>
      </c>
      <c r="AU321" s="165"/>
      <c r="AV321" s="165"/>
      <c r="AW321" s="165"/>
      <c r="AX321" s="226"/>
      <c r="AY321" s="155">
        <v>519</v>
      </c>
      <c r="AZ321" s="165"/>
      <c r="BA321" s="165"/>
      <c r="BB321" s="165"/>
      <c r="BC321" s="226"/>
      <c r="BD321" s="155">
        <v>857</v>
      </c>
      <c r="BE321" s="165"/>
      <c r="BF321" s="165"/>
      <c r="BG321" s="165"/>
      <c r="BH321" s="226"/>
      <c r="BI321" s="155">
        <v>411</v>
      </c>
      <c r="BJ321" s="165"/>
      <c r="BK321" s="165"/>
      <c r="BL321" s="165"/>
      <c r="BM321" s="226"/>
      <c r="BN321" s="155">
        <v>475</v>
      </c>
      <c r="BO321" s="165"/>
      <c r="BP321" s="165"/>
      <c r="BQ321" s="165"/>
      <c r="BR321" s="226"/>
      <c r="BS321" s="155">
        <v>683</v>
      </c>
      <c r="BT321" s="165"/>
      <c r="BU321" s="165"/>
      <c r="BV321" s="165"/>
      <c r="BW321" s="226"/>
      <c r="BX321" s="155">
        <v>695</v>
      </c>
      <c r="BY321" s="165"/>
      <c r="BZ321" s="165"/>
      <c r="CA321" s="165"/>
      <c r="CB321" s="226"/>
      <c r="CC321" s="155">
        <v>767</v>
      </c>
      <c r="CD321" s="165"/>
      <c r="CE321" s="165"/>
      <c r="CF321" s="165"/>
      <c r="CG321" s="226"/>
      <c r="CH321" s="155">
        <v>931</v>
      </c>
      <c r="CI321" s="165"/>
      <c r="CJ321" s="165"/>
      <c r="CK321" s="165"/>
      <c r="CL321" s="226"/>
      <c r="CM321" s="155">
        <v>992</v>
      </c>
      <c r="CN321" s="165"/>
      <c r="CO321" s="165"/>
      <c r="CP321" s="165"/>
      <c r="CQ321" s="226"/>
      <c r="CR321" s="155">
        <v>942</v>
      </c>
      <c r="CS321" s="165"/>
      <c r="CT321" s="165"/>
      <c r="CU321" s="165"/>
      <c r="CV321" s="226"/>
      <c r="CW321" s="155">
        <v>870</v>
      </c>
      <c r="CX321" s="168"/>
      <c r="CY321" s="168"/>
      <c r="CZ321" s="168"/>
      <c r="DA321" s="165"/>
      <c r="DB321" s="155">
        <v>766</v>
      </c>
      <c r="DC321" s="168"/>
      <c r="DD321" s="168"/>
      <c r="DE321" s="168"/>
      <c r="DF321" s="165"/>
      <c r="DG321" s="155">
        <v>807</v>
      </c>
      <c r="DH321" s="165"/>
      <c r="DI321" s="168"/>
      <c r="DJ321" s="168"/>
      <c r="DK321" s="165"/>
      <c r="DL321" s="155">
        <v>1022</v>
      </c>
      <c r="DM321" s="165"/>
      <c r="DN321" s="168"/>
      <c r="DO321" s="168"/>
      <c r="DP321" s="165"/>
      <c r="DQ321" s="171">
        <v>1109</v>
      </c>
      <c r="DR321" s="158">
        <v>1158</v>
      </c>
      <c r="DS321" s="158">
        <v>1072</v>
      </c>
      <c r="DT321" s="158">
        <v>1083</v>
      </c>
      <c r="DU321" s="156">
        <f t="shared" si="1055"/>
        <v>1024</v>
      </c>
      <c r="DV321" s="171">
        <v>1024</v>
      </c>
      <c r="DW321" s="158">
        <v>1109</v>
      </c>
      <c r="DX321" s="158">
        <v>1122</v>
      </c>
      <c r="DY321" s="158">
        <v>1103</v>
      </c>
      <c r="DZ321" s="156">
        <f t="shared" si="1056"/>
        <v>1055</v>
      </c>
      <c r="EA321" s="2021">
        <v>1055</v>
      </c>
      <c r="EB321" s="2025">
        <v>1032</v>
      </c>
      <c r="EC321" s="2025">
        <v>1055</v>
      </c>
      <c r="ED321" s="2025">
        <v>1103</v>
      </c>
      <c r="EE321" s="2026">
        <f t="shared" si="1052"/>
        <v>946</v>
      </c>
      <c r="EF321" s="2021">
        <v>946</v>
      </c>
      <c r="EG321" s="2025">
        <v>961</v>
      </c>
      <c r="EH321" s="2025">
        <v>985</v>
      </c>
      <c r="EI321" s="2025">
        <v>960</v>
      </c>
      <c r="EJ321" s="2026">
        <f t="shared" si="1053"/>
        <v>945</v>
      </c>
      <c r="EK321" s="2021">
        <v>945</v>
      </c>
      <c r="EL321" s="2025">
        <v>998</v>
      </c>
      <c r="EM321" s="2025">
        <v>926</v>
      </c>
      <c r="EN321" s="2025">
        <v>973</v>
      </c>
      <c r="EO321" s="2026">
        <f t="shared" si="1054"/>
        <v>955</v>
      </c>
      <c r="EP321" s="2021">
        <v>955</v>
      </c>
      <c r="EQ321" s="2023"/>
      <c r="ER321" s="2023"/>
      <c r="ES321" s="2023"/>
      <c r="ET321" s="2023"/>
      <c r="EU321" s="171">
        <f>EU322*EU$221</f>
        <v>1007.7372656683358</v>
      </c>
      <c r="EV321" s="168"/>
      <c r="EW321" s="168"/>
      <c r="EX321" s="168"/>
      <c r="EY321" s="168"/>
      <c r="EZ321" s="171">
        <f>EZ322*EZ$221</f>
        <v>1044.7710229332122</v>
      </c>
      <c r="FA321" s="168"/>
      <c r="FB321" s="168"/>
      <c r="FC321" s="168"/>
      <c r="FD321" s="168"/>
      <c r="FE321" s="171">
        <f>FE322*FE$221</f>
        <v>1084.3120836413816</v>
      </c>
      <c r="FF321" s="823"/>
      <c r="FG321" s="660"/>
      <c r="FH321" s="1085"/>
      <c r="FI321" s="1085"/>
      <c r="FJ321" s="1085"/>
      <c r="FK321" s="1085"/>
      <c r="FL321" s="1858"/>
      <c r="FM321" s="1789"/>
      <c r="FN321" s="1789"/>
      <c r="FO321" s="1789"/>
      <c r="FP321" s="1789"/>
      <c r="FQ321" s="1789"/>
      <c r="FR321" s="609"/>
      <c r="FS321" s="609"/>
      <c r="FT321" s="609"/>
      <c r="FU321" s="609"/>
      <c r="FV321" s="609"/>
      <c r="FW321" s="609"/>
      <c r="FX321" s="609"/>
      <c r="FY321" s="609"/>
      <c r="FZ321" s="609"/>
      <c r="GA321" s="660"/>
      <c r="GB321"/>
      <c r="GC321"/>
      <c r="GD321"/>
      <c r="GE321"/>
      <c r="GF321"/>
      <c r="GG321"/>
      <c r="GH321" s="994"/>
      <c r="GI321" s="994"/>
      <c r="GJ321" s="994"/>
      <c r="GK321" s="994"/>
      <c r="GL321" s="994"/>
      <c r="GM321" s="994"/>
      <c r="GN321" s="994"/>
      <c r="GO321" s="994"/>
      <c r="GP321" s="994"/>
      <c r="GQ321" s="994"/>
      <c r="GR321" s="994"/>
      <c r="GS321" s="994"/>
      <c r="GT321" s="994"/>
      <c r="GU321" s="994"/>
      <c r="GV321" s="994"/>
      <c r="GW321" s="994"/>
      <c r="GX321" s="994"/>
      <c r="GY321" s="994"/>
      <c r="GZ321" s="994"/>
      <c r="HA321" s="994"/>
      <c r="HB321" s="994"/>
      <c r="HC321" s="994"/>
      <c r="HD321" s="994"/>
      <c r="HE321" s="994"/>
      <c r="HF321" s="994"/>
      <c r="HG321" s="994"/>
      <c r="HH321" s="994"/>
      <c r="HI321" s="994"/>
      <c r="HJ321" s="994"/>
      <c r="HK321" s="994"/>
      <c r="HL321" s="994"/>
      <c r="HM321" s="994"/>
      <c r="HN321" s="994"/>
      <c r="HO321" s="994"/>
      <c r="HP321" s="994"/>
      <c r="HQ321" s="994"/>
      <c r="HR321" s="994"/>
      <c r="HS321" s="994"/>
      <c r="HT321" s="994"/>
      <c r="HU321" s="994"/>
      <c r="HV321" s="994"/>
      <c r="HW321" s="994"/>
      <c r="HX321" s="994"/>
      <c r="HY321" s="994"/>
      <c r="HZ321" s="994"/>
      <c r="IA321" s="994"/>
      <c r="IB321" s="994"/>
      <c r="IC321" s="994"/>
      <c r="ID321" s="994"/>
      <c r="IE321" s="994"/>
      <c r="IF321" s="994"/>
      <c r="IG321" s="994"/>
      <c r="IH321" s="994"/>
      <c r="II321" s="994"/>
      <c r="IJ321" s="994"/>
      <c r="IK321" s="994"/>
      <c r="IL321" s="994"/>
      <c r="IM321" s="994"/>
      <c r="IN321" s="994"/>
      <c r="IO321" s="994"/>
      <c r="IP321" s="994"/>
      <c r="IQ321" s="994"/>
      <c r="IR321" s="994"/>
      <c r="IS321" s="994"/>
      <c r="IT321" s="994"/>
      <c r="IU321" s="994"/>
      <c r="IV321" s="994"/>
    </row>
    <row r="322" spans="1:256" s="1191" customFormat="1" ht="12.6" customHeight="1" x14ac:dyDescent="0.2">
      <c r="A322" s="271" t="s">
        <v>214</v>
      </c>
      <c r="B322" s="1166"/>
      <c r="C322" s="1166"/>
      <c r="D322" s="1166"/>
      <c r="E322" s="1176"/>
      <c r="F322" s="21"/>
      <c r="G322" s="1166"/>
      <c r="H322" s="1166"/>
      <c r="I322" s="1166"/>
      <c r="J322" s="1176"/>
      <c r="K322" s="21"/>
      <c r="L322" s="1166"/>
      <c r="M322" s="1166"/>
      <c r="N322" s="1166"/>
      <c r="O322" s="1176"/>
      <c r="P322" s="21"/>
      <c r="Q322" s="1166"/>
      <c r="R322" s="1166"/>
      <c r="S322" s="1166"/>
      <c r="T322" s="1176"/>
      <c r="U322" s="21"/>
      <c r="V322" s="1166"/>
      <c r="W322" s="1166"/>
      <c r="X322" s="1166"/>
      <c r="Y322" s="1176"/>
      <c r="Z322" s="21"/>
      <c r="AA322" s="1166"/>
      <c r="AB322" s="1166"/>
      <c r="AC322" s="1166"/>
      <c r="AD322" s="1176"/>
      <c r="AE322" s="21"/>
      <c r="AF322" s="1166"/>
      <c r="AG322" s="1166"/>
      <c r="AH322" s="1166"/>
      <c r="AI322" s="1176"/>
      <c r="AJ322" s="21"/>
      <c r="AK322" s="1166"/>
      <c r="AL322" s="1166"/>
      <c r="AM322" s="1166"/>
      <c r="AN322" s="1176"/>
      <c r="AO322" s="21"/>
      <c r="AP322" s="1166"/>
      <c r="AQ322" s="1166"/>
      <c r="AR322" s="1166"/>
      <c r="AS322" s="1176"/>
      <c r="AT322" s="21">
        <f>AT321/Model!AT$221</f>
        <v>0.13071585877003952</v>
      </c>
      <c r="AU322" s="1166"/>
      <c r="AV322" s="1166"/>
      <c r="AW322" s="1166"/>
      <c r="AX322" s="1176"/>
      <c r="AY322" s="21">
        <f>AY321/Model!AY$221</f>
        <v>0.12290161477092701</v>
      </c>
      <c r="AZ322" s="1166"/>
      <c r="BA322" s="1166"/>
      <c r="BB322" s="1166"/>
      <c r="BC322" s="1176"/>
      <c r="BD322" s="21">
        <f>BD321/Model!BD$221</f>
        <v>0.16496028056721698</v>
      </c>
      <c r="BE322" s="1166"/>
      <c r="BF322" s="1166"/>
      <c r="BG322" s="1166"/>
      <c r="BH322" s="1176"/>
      <c r="BI322" s="21">
        <f>BI321/Model!BI$221</f>
        <v>6.6731612274719923E-2</v>
      </c>
      <c r="BJ322" s="1166"/>
      <c r="BK322" s="1166"/>
      <c r="BL322" s="1166"/>
      <c r="BM322" s="1176"/>
      <c r="BN322" s="21">
        <f>BN321/Model!BN$221</f>
        <v>7.698541329011345E-2</v>
      </c>
      <c r="BO322" s="1166"/>
      <c r="BP322" s="1166"/>
      <c r="BQ322" s="1166"/>
      <c r="BR322" s="1176"/>
      <c r="BS322" s="21">
        <f>BS321/Model!BS$221</f>
        <v>0.10893141945773525</v>
      </c>
      <c r="BT322" s="1166"/>
      <c r="BU322" s="1166"/>
      <c r="BV322" s="1166"/>
      <c r="BW322" s="1176"/>
      <c r="BX322" s="21">
        <f>BX321/Model!BX$221</f>
        <v>0.10745207173778602</v>
      </c>
      <c r="BY322" s="1166"/>
      <c r="BZ322" s="1166"/>
      <c r="CA322" s="1166"/>
      <c r="CB322" s="1176"/>
      <c r="CC322" s="21">
        <f>CC321/Model!CC$221</f>
        <v>0.10489606126914661</v>
      </c>
      <c r="CD322" s="1166"/>
      <c r="CE322" s="1166"/>
      <c r="CF322" s="1166"/>
      <c r="CG322" s="1176"/>
      <c r="CH322" s="21">
        <f>CH321/Model!CH$221</f>
        <v>0.10989140698772427</v>
      </c>
      <c r="CI322" s="1166"/>
      <c r="CJ322" s="1166"/>
      <c r="CK322" s="1166"/>
      <c r="CL322" s="1176"/>
      <c r="CM322" s="21">
        <f>CM321/Model!CM$221</f>
        <v>0.10545338577654938</v>
      </c>
      <c r="CN322" s="1166"/>
      <c r="CO322" s="1166"/>
      <c r="CP322" s="1166"/>
      <c r="CQ322" s="1176"/>
      <c r="CR322" s="21">
        <f>CR321/Model!CR$221</f>
        <v>9.9872773536895679E-2</v>
      </c>
      <c r="CS322" s="1166"/>
      <c r="CT322" s="1166"/>
      <c r="CU322" s="1166"/>
      <c r="CV322" s="1176"/>
      <c r="CW322" s="21">
        <f>CW321/Model!CW$221</f>
        <v>8.1605853109464402E-2</v>
      </c>
      <c r="CX322" s="1166"/>
      <c r="CY322" s="1166"/>
      <c r="CZ322" s="1166"/>
      <c r="DA322" s="1166"/>
      <c r="DB322" s="21">
        <f>DB321/Model!DB$221</f>
        <v>9.6122474589032503E-2</v>
      </c>
      <c r="DC322" s="1166"/>
      <c r="DD322" s="1166"/>
      <c r="DE322" s="1166"/>
      <c r="DF322" s="1166"/>
      <c r="DG322" s="21">
        <f>DG321/Model!DG$221</f>
        <v>8.480566996708204E-2</v>
      </c>
      <c r="DH322" s="1166"/>
      <c r="DI322" s="1166"/>
      <c r="DJ322" s="1166"/>
      <c r="DK322" s="1166"/>
      <c r="DL322" s="21">
        <f>DL321/Model!DL$221</f>
        <v>9.1478696741854632E-2</v>
      </c>
      <c r="DM322" s="1166"/>
      <c r="DN322" s="1166"/>
      <c r="DO322" s="1166"/>
      <c r="DP322" s="1166"/>
      <c r="DQ322" s="21">
        <f>DQ321/Model!DQ$221</f>
        <v>0.10045289855072463</v>
      </c>
      <c r="DR322" s="1166">
        <f>DR321/Model!DR$221/4</f>
        <v>0.10573411249086925</v>
      </c>
      <c r="DS322" s="1166">
        <f>DS321/Model!DS$221/4</f>
        <v>9.5645967166309784E-2</v>
      </c>
      <c r="DT322" s="1166">
        <f>DT321/Model!DT$221/4</f>
        <v>9.5874645892351271E-2</v>
      </c>
      <c r="DU322" s="1166">
        <f t="shared" si="1055"/>
        <v>9.1062694530902627E-2</v>
      </c>
      <c r="DV322" s="21">
        <f>DV321/Model!DV$221</f>
        <v>9.1062694530902627E-2</v>
      </c>
      <c r="DW322" s="1166">
        <f>DW321/Model!DW$221/4</f>
        <v>0.10310524358497583</v>
      </c>
      <c r="DX322" s="1166">
        <f>DX321/Model!DX$221/4</f>
        <v>9.2209072978303747E-2</v>
      </c>
      <c r="DY322" s="1166">
        <f>DY321/Model!DY$221/4</f>
        <v>9.1217333774396295E-2</v>
      </c>
      <c r="DZ322" s="1166">
        <f t="shared" si="1056"/>
        <v>9.0760495526496898E-2</v>
      </c>
      <c r="EA322" s="1610">
        <f>EA321/Model!EA$221</f>
        <v>9.0760495526496898E-2</v>
      </c>
      <c r="EB322" s="2024">
        <f>EB321/Model!EB$221/4</f>
        <v>0.10050642773665758</v>
      </c>
      <c r="EC322" s="2024">
        <f>EC321/Model!EC$221/4</f>
        <v>9.7217102838186506E-2</v>
      </c>
      <c r="ED322" s="2024">
        <f>ED321/Model!ED$221/4</f>
        <v>0.10164025064504238</v>
      </c>
      <c r="EE322" s="2024">
        <f t="shared" si="1052"/>
        <v>9.0000951384264102E-2</v>
      </c>
      <c r="EF322" s="1610">
        <f>EF321/Model!EF$221</f>
        <v>9.0000951384264102E-2</v>
      </c>
      <c r="EG322" s="2024">
        <f>EG321/Model!EG$221/4</f>
        <v>9.9276859504132231E-2</v>
      </c>
      <c r="EH322" s="2024">
        <f>EH321/Model!EH$221/4</f>
        <v>0.10034637326813366</v>
      </c>
      <c r="EI322" s="2024">
        <f>EI321/Model!EI$221/4</f>
        <v>9.5087163232963554E-2</v>
      </c>
      <c r="EJ322" s="2024">
        <f t="shared" si="1053"/>
        <v>9.0000951384264102E-2</v>
      </c>
      <c r="EK322" s="1610">
        <f>EF322</f>
        <v>9.0000951384264102E-2</v>
      </c>
      <c r="EL322" s="2024">
        <f>EL321/Model!EL$221/4</f>
        <v>9.6893203883495149E-2</v>
      </c>
      <c r="EM322" s="2024">
        <f>EM321/Model!EM$221/4</f>
        <v>8.7789154342055364E-2</v>
      </c>
      <c r="EN322" s="2024">
        <f>EN321/Model!EN$221/4</f>
        <v>9.1104868913857676E-2</v>
      </c>
      <c r="EO322" s="2024">
        <f t="shared" si="1054"/>
        <v>9.0000951384264102E-2</v>
      </c>
      <c r="EP322" s="1610">
        <f>EK322</f>
        <v>9.0000951384264102E-2</v>
      </c>
      <c r="EQ322" s="2024"/>
      <c r="ER322" s="2024"/>
      <c r="ES322" s="2024"/>
      <c r="ET322" s="2024"/>
      <c r="EU322" s="29">
        <f>EP322</f>
        <v>9.0000951384264102E-2</v>
      </c>
      <c r="EV322" s="1166"/>
      <c r="EW322" s="1166"/>
      <c r="EX322" s="1166"/>
      <c r="EY322" s="1166"/>
      <c r="EZ322" s="29">
        <f>EU322</f>
        <v>9.0000951384264102E-2</v>
      </c>
      <c r="FA322" s="1166"/>
      <c r="FB322" s="1166"/>
      <c r="FC322" s="1166"/>
      <c r="FD322" s="1166"/>
      <c r="FE322" s="29">
        <f>EZ322</f>
        <v>9.0000951384264102E-2</v>
      </c>
      <c r="FF322" s="1188"/>
      <c r="FG322" s="1102"/>
      <c r="FH322" s="1179"/>
      <c r="FI322" s="1179"/>
      <c r="FJ322" s="1179"/>
      <c r="FK322" s="1179"/>
      <c r="FL322" s="1852"/>
      <c r="FM322" s="1787"/>
      <c r="FN322" s="1787"/>
      <c r="FO322" s="1787"/>
      <c r="FP322" s="1787"/>
      <c r="FQ322" s="1787"/>
      <c r="FR322" s="1189"/>
      <c r="FS322" s="1189"/>
      <c r="FT322" s="1189"/>
      <c r="FU322" s="1189"/>
      <c r="FV322" s="1189"/>
      <c r="FW322" s="1189"/>
      <c r="FX322" s="1189"/>
      <c r="FY322" s="1189"/>
      <c r="FZ322" s="1189"/>
      <c r="GA322" s="1102"/>
      <c r="GB322"/>
      <c r="GC322"/>
      <c r="GD322"/>
      <c r="GE322"/>
      <c r="GF322"/>
      <c r="GG322"/>
      <c r="GH322" s="1190"/>
      <c r="GI322" s="1190"/>
      <c r="GJ322" s="1190"/>
      <c r="GK322" s="1190"/>
      <c r="GL322" s="1190"/>
      <c r="GM322" s="1190"/>
      <c r="GN322" s="1190"/>
      <c r="GO322" s="1190"/>
      <c r="GP322" s="1190"/>
      <c r="GQ322" s="1190"/>
      <c r="GR322" s="1190"/>
      <c r="GS322" s="1190"/>
      <c r="GT322" s="1190"/>
      <c r="GU322" s="1190"/>
      <c r="GV322" s="1190"/>
      <c r="GW322" s="1190"/>
      <c r="GX322" s="1190"/>
      <c r="GY322" s="1190"/>
      <c r="GZ322" s="1190"/>
      <c r="HA322" s="1190"/>
      <c r="HB322" s="1190"/>
      <c r="HC322" s="1190"/>
      <c r="HD322" s="1190"/>
      <c r="HE322" s="1190"/>
      <c r="HF322" s="1190"/>
      <c r="HG322" s="1190"/>
      <c r="HH322" s="1190"/>
      <c r="HI322" s="1190"/>
      <c r="HJ322" s="1190"/>
      <c r="HK322" s="1190"/>
      <c r="HL322" s="1190"/>
      <c r="HM322" s="1190"/>
      <c r="HN322" s="1190"/>
      <c r="HO322" s="1190"/>
      <c r="HP322" s="1190"/>
      <c r="HQ322" s="1190"/>
      <c r="HR322" s="1190"/>
      <c r="HS322" s="1190"/>
      <c r="HT322" s="1190"/>
      <c r="HU322" s="1190"/>
      <c r="HV322" s="1190"/>
      <c r="HW322" s="1190"/>
      <c r="HX322" s="1190"/>
      <c r="HY322" s="1190"/>
      <c r="HZ322" s="1190"/>
      <c r="IA322" s="1190"/>
      <c r="IB322" s="1190"/>
      <c r="IC322" s="1190"/>
      <c r="ID322" s="1190"/>
      <c r="IE322" s="1190"/>
      <c r="IF322" s="1190"/>
      <c r="IG322" s="1190"/>
      <c r="IH322" s="1190"/>
      <c r="II322" s="1190"/>
      <c r="IJ322" s="1190"/>
      <c r="IK322" s="1190"/>
      <c r="IL322" s="1190"/>
      <c r="IM322" s="1190"/>
      <c r="IN322" s="1190"/>
      <c r="IO322" s="1190"/>
      <c r="IP322" s="1190"/>
      <c r="IQ322" s="1190"/>
      <c r="IR322" s="1190"/>
      <c r="IS322" s="1190"/>
      <c r="IT322" s="1190"/>
      <c r="IU322" s="1190"/>
      <c r="IV322" s="1190"/>
    </row>
    <row r="323" spans="1:256" s="173" customFormat="1" ht="12.75" x14ac:dyDescent="0.2">
      <c r="A323" s="180" t="s">
        <v>483</v>
      </c>
      <c r="B323" s="165"/>
      <c r="C323" s="165"/>
      <c r="D323" s="165"/>
      <c r="E323" s="226"/>
      <c r="F323" s="155"/>
      <c r="G323" s="165"/>
      <c r="H323" s="165"/>
      <c r="I323" s="165"/>
      <c r="J323" s="226"/>
      <c r="K323" s="155"/>
      <c r="L323" s="165"/>
      <c r="M323" s="165"/>
      <c r="N323" s="165"/>
      <c r="O323" s="226"/>
      <c r="P323" s="155"/>
      <c r="Q323" s="165"/>
      <c r="R323" s="165"/>
      <c r="S323" s="165"/>
      <c r="T323" s="226"/>
      <c r="U323" s="155"/>
      <c r="V323" s="165"/>
      <c r="W323" s="165"/>
      <c r="X323" s="165"/>
      <c r="Y323" s="226"/>
      <c r="Z323" s="155"/>
      <c r="AA323" s="165"/>
      <c r="AB323" s="165"/>
      <c r="AC323" s="165"/>
      <c r="AD323" s="226"/>
      <c r="AE323" s="155"/>
      <c r="AF323" s="165"/>
      <c r="AG323" s="165"/>
      <c r="AH323" s="165"/>
      <c r="AI323" s="226"/>
      <c r="AJ323" s="155"/>
      <c r="AK323" s="165"/>
      <c r="AL323" s="165"/>
      <c r="AM323" s="165"/>
      <c r="AN323" s="226"/>
      <c r="AO323" s="155"/>
      <c r="AP323" s="165"/>
      <c r="AQ323" s="165"/>
      <c r="AR323" s="165"/>
      <c r="AS323" s="226"/>
      <c r="AT323" s="155">
        <v>58</v>
      </c>
      <c r="AU323" s="165"/>
      <c r="AV323" s="165"/>
      <c r="AW323" s="165"/>
      <c r="AX323" s="226"/>
      <c r="AY323" s="155">
        <v>59</v>
      </c>
      <c r="AZ323" s="165"/>
      <c r="BA323" s="165"/>
      <c r="BB323" s="165"/>
      <c r="BC323" s="226"/>
      <c r="BD323" s="155">
        <v>100</v>
      </c>
      <c r="BE323" s="165"/>
      <c r="BF323" s="165"/>
      <c r="BG323" s="165"/>
      <c r="BH323" s="226"/>
      <c r="BI323" s="155">
        <v>91</v>
      </c>
      <c r="BJ323" s="165"/>
      <c r="BK323" s="165"/>
      <c r="BL323" s="165"/>
      <c r="BM323" s="226"/>
      <c r="BN323" s="155">
        <v>90</v>
      </c>
      <c r="BO323" s="165"/>
      <c r="BP323" s="165"/>
      <c r="BQ323" s="165"/>
      <c r="BR323" s="226"/>
      <c r="BS323" s="155">
        <v>97</v>
      </c>
      <c r="BT323" s="165"/>
      <c r="BU323" s="165"/>
      <c r="BV323" s="165"/>
      <c r="BW323" s="226"/>
      <c r="BX323" s="155">
        <v>92</v>
      </c>
      <c r="BY323" s="165"/>
      <c r="BZ323" s="165"/>
      <c r="CA323" s="165"/>
      <c r="CB323" s="226"/>
      <c r="CC323" s="155">
        <v>104</v>
      </c>
      <c r="CD323" s="165"/>
      <c r="CE323" s="165"/>
      <c r="CF323" s="165"/>
      <c r="CG323" s="226"/>
      <c r="CH323" s="155">
        <v>132</v>
      </c>
      <c r="CI323" s="165"/>
      <c r="CJ323" s="165"/>
      <c r="CK323" s="165"/>
      <c r="CL323" s="226"/>
      <c r="CM323" s="155">
        <v>151</v>
      </c>
      <c r="CN323" s="165"/>
      <c r="CO323" s="165"/>
      <c r="CP323" s="165"/>
      <c r="CQ323" s="226"/>
      <c r="CR323" s="155">
        <v>176</v>
      </c>
      <c r="CS323" s="165"/>
      <c r="CT323" s="165"/>
      <c r="CU323" s="165"/>
      <c r="CV323" s="226"/>
      <c r="CW323" s="155">
        <v>194</v>
      </c>
      <c r="CX323" s="168"/>
      <c r="CY323" s="168"/>
      <c r="CZ323" s="168"/>
      <c r="DA323" s="165"/>
      <c r="DB323" s="155">
        <v>164</v>
      </c>
      <c r="DC323" s="168"/>
      <c r="DD323" s="168"/>
      <c r="DE323" s="168"/>
      <c r="DF323" s="165"/>
      <c r="DG323" s="155">
        <v>169</v>
      </c>
      <c r="DH323" s="165"/>
      <c r="DI323" s="168"/>
      <c r="DJ323" s="168"/>
      <c r="DK323" s="165"/>
      <c r="DL323" s="155">
        <v>143</v>
      </c>
      <c r="DM323" s="165"/>
      <c r="DN323" s="168"/>
      <c r="DO323" s="168"/>
      <c r="DP323" s="165"/>
      <c r="DQ323" s="171">
        <v>216</v>
      </c>
      <c r="DR323" s="158">
        <v>246</v>
      </c>
      <c r="DS323" s="158">
        <v>228</v>
      </c>
      <c r="DT323" s="158">
        <v>224</v>
      </c>
      <c r="DU323" s="156">
        <f t="shared" si="1055"/>
        <v>223</v>
      </c>
      <c r="DV323" s="171">
        <v>223</v>
      </c>
      <c r="DW323" s="158">
        <v>240</v>
      </c>
      <c r="DX323" s="158">
        <v>251</v>
      </c>
      <c r="DY323" s="158">
        <v>249</v>
      </c>
      <c r="DZ323" s="156">
        <f t="shared" si="1056"/>
        <v>236</v>
      </c>
      <c r="EA323" s="2021">
        <v>236</v>
      </c>
      <c r="EB323" s="2025">
        <v>268</v>
      </c>
      <c r="EC323" s="2025">
        <v>277</v>
      </c>
      <c r="ED323" s="2025">
        <v>288</v>
      </c>
      <c r="EE323" s="2026">
        <f t="shared" si="1052"/>
        <v>271</v>
      </c>
      <c r="EF323" s="2021">
        <v>271</v>
      </c>
      <c r="EG323" s="2025">
        <v>315</v>
      </c>
      <c r="EH323" s="2025">
        <v>306</v>
      </c>
      <c r="EI323" s="2025">
        <v>301</v>
      </c>
      <c r="EJ323" s="2026">
        <f t="shared" si="1053"/>
        <v>257</v>
      </c>
      <c r="EK323" s="2021">
        <v>257</v>
      </c>
      <c r="EL323" s="2025">
        <v>281</v>
      </c>
      <c r="EM323" s="2025">
        <v>289</v>
      </c>
      <c r="EN323" s="2025">
        <v>245</v>
      </c>
      <c r="EO323" s="2026">
        <f t="shared" si="1054"/>
        <v>222</v>
      </c>
      <c r="EP323" s="2021">
        <v>222</v>
      </c>
      <c r="EQ323" s="2023"/>
      <c r="ER323" s="2023"/>
      <c r="ES323" s="2023"/>
      <c r="ET323" s="2023"/>
      <c r="EU323" s="171">
        <f>EU324*EU$221</f>
        <v>288.6858340339524</v>
      </c>
      <c r="EV323" s="168"/>
      <c r="EW323" s="168"/>
      <c r="EX323" s="168"/>
      <c r="EY323" s="168"/>
      <c r="EZ323" s="171">
        <f>EZ324*EZ$221</f>
        <v>299.29487020602591</v>
      </c>
      <c r="FA323" s="168"/>
      <c r="FB323" s="168"/>
      <c r="FC323" s="168"/>
      <c r="FD323" s="168"/>
      <c r="FE323" s="171">
        <f>FE324*FE$221</f>
        <v>310.62217195223508</v>
      </c>
      <c r="FF323" s="823"/>
      <c r="FG323" s="660"/>
      <c r="FH323" s="1085"/>
      <c r="FI323" s="1085"/>
      <c r="FJ323" s="1085"/>
      <c r="FK323" s="1085"/>
      <c r="FL323" s="1858"/>
      <c r="FM323" s="1789"/>
      <c r="FN323" s="1789"/>
      <c r="FO323" s="1789"/>
      <c r="FP323" s="1789"/>
      <c r="FQ323" s="1789"/>
      <c r="FR323" s="609"/>
      <c r="FS323" s="609"/>
      <c r="FT323" s="609"/>
      <c r="FU323" s="609"/>
      <c r="FV323" s="609"/>
      <c r="FW323" s="609"/>
      <c r="FX323" s="609"/>
      <c r="FY323" s="609"/>
      <c r="FZ323" s="609"/>
      <c r="GA323" s="660"/>
      <c r="GB323"/>
      <c r="GC323"/>
      <c r="GD323"/>
      <c r="GE323"/>
      <c r="GF323"/>
      <c r="GG323"/>
      <c r="GH323" s="994"/>
      <c r="GI323" s="994"/>
      <c r="GJ323" s="994"/>
      <c r="GK323" s="994"/>
      <c r="GL323" s="994"/>
      <c r="GM323" s="994"/>
      <c r="GN323" s="994"/>
      <c r="GO323" s="994"/>
      <c r="GP323" s="994"/>
      <c r="GQ323" s="994"/>
      <c r="GR323" s="994"/>
      <c r="GS323" s="994"/>
      <c r="GT323" s="994"/>
      <c r="GU323" s="994"/>
      <c r="GV323" s="994"/>
      <c r="GW323" s="994"/>
      <c r="GX323" s="994"/>
      <c r="GY323" s="994"/>
      <c r="GZ323" s="994"/>
      <c r="HA323" s="994"/>
      <c r="HB323" s="994"/>
      <c r="HC323" s="994"/>
      <c r="HD323" s="994"/>
      <c r="HE323" s="994"/>
      <c r="HF323" s="994"/>
      <c r="HG323" s="994"/>
      <c r="HH323" s="994"/>
      <c r="HI323" s="994"/>
      <c r="HJ323" s="994"/>
      <c r="HK323" s="994"/>
      <c r="HL323" s="994"/>
      <c r="HM323" s="994"/>
      <c r="HN323" s="994"/>
      <c r="HO323" s="994"/>
      <c r="HP323" s="994"/>
      <c r="HQ323" s="994"/>
      <c r="HR323" s="994"/>
      <c r="HS323" s="994"/>
      <c r="HT323" s="994"/>
      <c r="HU323" s="994"/>
      <c r="HV323" s="994"/>
      <c r="HW323" s="994"/>
      <c r="HX323" s="994"/>
      <c r="HY323" s="994"/>
      <c r="HZ323" s="994"/>
      <c r="IA323" s="994"/>
      <c r="IB323" s="994"/>
      <c r="IC323" s="994"/>
      <c r="ID323" s="994"/>
      <c r="IE323" s="994"/>
      <c r="IF323" s="994"/>
      <c r="IG323" s="994"/>
      <c r="IH323" s="994"/>
      <c r="II323" s="994"/>
      <c r="IJ323" s="994"/>
      <c r="IK323" s="994"/>
      <c r="IL323" s="994"/>
      <c r="IM323" s="994"/>
      <c r="IN323" s="994"/>
      <c r="IO323" s="994"/>
      <c r="IP323" s="994"/>
      <c r="IQ323" s="994"/>
      <c r="IR323" s="994"/>
      <c r="IS323" s="994"/>
      <c r="IT323" s="994"/>
      <c r="IU323" s="994"/>
      <c r="IV323" s="994"/>
    </row>
    <row r="324" spans="1:256" s="1191" customFormat="1" ht="12.6" customHeight="1" x14ac:dyDescent="0.2">
      <c r="A324" s="271" t="s">
        <v>214</v>
      </c>
      <c r="B324" s="1166"/>
      <c r="C324" s="1166"/>
      <c r="D324" s="1166"/>
      <c r="E324" s="1176"/>
      <c r="F324" s="21"/>
      <c r="G324" s="1166"/>
      <c r="H324" s="1166"/>
      <c r="I324" s="1166"/>
      <c r="J324" s="1176"/>
      <c r="K324" s="21"/>
      <c r="L324" s="1166"/>
      <c r="M324" s="1166"/>
      <c r="N324" s="1166"/>
      <c r="O324" s="1176"/>
      <c r="P324" s="21"/>
      <c r="Q324" s="1166"/>
      <c r="R324" s="1166"/>
      <c r="S324" s="1166"/>
      <c r="T324" s="1176"/>
      <c r="U324" s="21"/>
      <c r="V324" s="1166"/>
      <c r="W324" s="1166"/>
      <c r="X324" s="1166"/>
      <c r="Y324" s="1176"/>
      <c r="Z324" s="21"/>
      <c r="AA324" s="1166"/>
      <c r="AB324" s="1166"/>
      <c r="AC324" s="1166"/>
      <c r="AD324" s="1176"/>
      <c r="AE324" s="21"/>
      <c r="AF324" s="1166"/>
      <c r="AG324" s="1166"/>
      <c r="AH324" s="1166"/>
      <c r="AI324" s="1176"/>
      <c r="AJ324" s="21"/>
      <c r="AK324" s="1166"/>
      <c r="AL324" s="1166"/>
      <c r="AM324" s="1166"/>
      <c r="AN324" s="1176"/>
      <c r="AO324" s="21"/>
      <c r="AP324" s="1166"/>
      <c r="AQ324" s="1166"/>
      <c r="AR324" s="1166"/>
      <c r="AS324" s="1176"/>
      <c r="AT324" s="21">
        <f>AT323/Model!AT$221</f>
        <v>1.3734637334533138E-2</v>
      </c>
      <c r="AU324" s="1166"/>
      <c r="AV324" s="1166"/>
      <c r="AW324" s="1166"/>
      <c r="AX324" s="1176"/>
      <c r="AY324" s="21">
        <f>AY323/Model!AY$221</f>
        <v>1.3971474511531202E-2</v>
      </c>
      <c r="AZ324" s="1166"/>
      <c r="BA324" s="1166"/>
      <c r="BB324" s="1166"/>
      <c r="BC324" s="1176"/>
      <c r="BD324" s="21">
        <f>BD323/Model!BD$221</f>
        <v>1.924857416186896E-2</v>
      </c>
      <c r="BE324" s="1166"/>
      <c r="BF324" s="1166"/>
      <c r="BG324" s="1166"/>
      <c r="BH324" s="1176"/>
      <c r="BI324" s="21">
        <f>BI323/Model!BI$221</f>
        <v>1.4775125832115604E-2</v>
      </c>
      <c r="BJ324" s="1166"/>
      <c r="BK324" s="1166"/>
      <c r="BL324" s="1166"/>
      <c r="BM324" s="1176"/>
      <c r="BN324" s="21">
        <f>BN323/Model!BN$221</f>
        <v>1.4586709886547812E-2</v>
      </c>
      <c r="BO324" s="1166"/>
      <c r="BP324" s="1166"/>
      <c r="BQ324" s="1166"/>
      <c r="BR324" s="1176"/>
      <c r="BS324" s="21">
        <f>BS323/Model!BS$221</f>
        <v>1.5470494417862839E-2</v>
      </c>
      <c r="BT324" s="1166"/>
      <c r="BU324" s="1166"/>
      <c r="BV324" s="1166"/>
      <c r="BW324" s="1176"/>
      <c r="BX324" s="21">
        <f>BX323/Model!BX$221</f>
        <v>1.4223871366728509E-2</v>
      </c>
      <c r="BY324" s="1166"/>
      <c r="BZ324" s="1166"/>
      <c r="CA324" s="1166"/>
      <c r="CB324" s="1176"/>
      <c r="CC324" s="21">
        <f>CC323/Model!CC$221</f>
        <v>1.4223194748358862E-2</v>
      </c>
      <c r="CD324" s="1166"/>
      <c r="CE324" s="1166"/>
      <c r="CF324" s="1166"/>
      <c r="CG324" s="1176"/>
      <c r="CH324" s="21">
        <f>CH323/Model!CH$221</f>
        <v>1.5580736543909348E-2</v>
      </c>
      <c r="CI324" s="1166"/>
      <c r="CJ324" s="1166"/>
      <c r="CK324" s="1166"/>
      <c r="CL324" s="1176"/>
      <c r="CM324" s="21">
        <f>CM323/Model!CM$221</f>
        <v>1.6051876262357819E-2</v>
      </c>
      <c r="CN324" s="1166"/>
      <c r="CO324" s="1166"/>
      <c r="CP324" s="1166"/>
      <c r="CQ324" s="1176"/>
      <c r="CR324" s="21">
        <f>CR323/Model!CR$221</f>
        <v>1.8659881255301103E-2</v>
      </c>
      <c r="CS324" s="1166"/>
      <c r="CT324" s="1166"/>
      <c r="CU324" s="1166"/>
      <c r="CV324" s="1176"/>
      <c r="CW324" s="21">
        <f>CW323/Model!CW$221</f>
        <v>1.8197167245098959E-2</v>
      </c>
      <c r="CX324" s="1166"/>
      <c r="CY324" s="1166"/>
      <c r="CZ324" s="1166"/>
      <c r="DA324" s="1166"/>
      <c r="DB324" s="21">
        <f>DB323/Model!DB$221</f>
        <v>2.0579746517756306E-2</v>
      </c>
      <c r="DC324" s="1166"/>
      <c r="DD324" s="1166"/>
      <c r="DE324" s="1166"/>
      <c r="DF324" s="1166"/>
      <c r="DG324" s="21">
        <f>DG323/Model!DG$221</f>
        <v>1.7759799534618172E-2</v>
      </c>
      <c r="DH324" s="1166"/>
      <c r="DI324" s="1166"/>
      <c r="DJ324" s="1166"/>
      <c r="DK324" s="1166"/>
      <c r="DL324" s="21">
        <f>DL323/Model!DL$221</f>
        <v>1.2799856784819191E-2</v>
      </c>
      <c r="DM324" s="1166"/>
      <c r="DN324" s="1166"/>
      <c r="DO324" s="1166"/>
      <c r="DP324" s="1166"/>
      <c r="DQ324" s="21">
        <f>DQ323/Model!DQ$221</f>
        <v>1.9565217391304349E-2</v>
      </c>
      <c r="DR324" s="1166">
        <f>DR323/Model!DR$221/4</f>
        <v>2.2461650840029219E-2</v>
      </c>
      <c r="DS324" s="1166">
        <f>DS323/Model!DS$221/4</f>
        <v>2.0342612419700215E-2</v>
      </c>
      <c r="DT324" s="1166">
        <f>DT323/Model!DT$221/4</f>
        <v>1.9830028328611898E-2</v>
      </c>
      <c r="DU324" s="1166">
        <f t="shared" si="1055"/>
        <v>1.9831036016007116E-2</v>
      </c>
      <c r="DV324" s="21">
        <f>DV323/Model!DV$221</f>
        <v>1.9831036016007116E-2</v>
      </c>
      <c r="DW324" s="1166">
        <f>DW323/Model!DW$221/4</f>
        <v>2.2313127556712532E-2</v>
      </c>
      <c r="DX324" s="1166">
        <f>DX323/Model!DX$221/4</f>
        <v>2.0627876397107166E-2</v>
      </c>
      <c r="DY324" s="1166">
        <f>DY323/Model!DY$221/4</f>
        <v>2.0592127026132979E-2</v>
      </c>
      <c r="DZ324" s="1166">
        <f t="shared" si="1056"/>
        <v>2.0302821748107363E-2</v>
      </c>
      <c r="EA324" s="1610">
        <f>EA323/Model!EA$221</f>
        <v>2.0302821748107363E-2</v>
      </c>
      <c r="EB324" s="2024">
        <f>EB323/Model!EB$221/4</f>
        <v>2.6100506427736658E-2</v>
      </c>
      <c r="EC324" s="2024">
        <f>EC323/Model!EC$221/4</f>
        <v>2.5525248802064134E-2</v>
      </c>
      <c r="ED324" s="2024">
        <f>ED323/Model!ED$221/4</f>
        <v>2.6538886841135274E-2</v>
      </c>
      <c r="EE324" s="2024">
        <f t="shared" si="1052"/>
        <v>2.5782513557225762E-2</v>
      </c>
      <c r="EF324" s="1610">
        <f>EF323/Model!EF$221</f>
        <v>2.5782513557225762E-2</v>
      </c>
      <c r="EG324" s="2024">
        <f>EG323/Model!EG$221/4</f>
        <v>3.2541322314049589E-2</v>
      </c>
      <c r="EH324" s="2024">
        <f>EH323/Model!EH$221/4</f>
        <v>3.1173594132029341E-2</v>
      </c>
      <c r="EI324" s="2024">
        <f>EI323/Model!EI$221/4</f>
        <v>2.9813787638668779E-2</v>
      </c>
      <c r="EJ324" s="2024">
        <f t="shared" si="1053"/>
        <v>2.5782513557225762E-2</v>
      </c>
      <c r="EK324" s="1610">
        <f>EF324</f>
        <v>2.5782513557225762E-2</v>
      </c>
      <c r="EL324" s="2024">
        <f>EL323/Model!EL$221/4</f>
        <v>2.7281553398058253E-2</v>
      </c>
      <c r="EM324" s="2024">
        <f>EM323/Model!EM$221/4</f>
        <v>2.739855896852484E-2</v>
      </c>
      <c r="EN324" s="2024">
        <f>EN323/Model!EN$221/4</f>
        <v>2.2940074906367042E-2</v>
      </c>
      <c r="EO324" s="2024">
        <f t="shared" si="1054"/>
        <v>2.5782513557225762E-2</v>
      </c>
      <c r="EP324" s="1610">
        <f>EK324</f>
        <v>2.5782513557225762E-2</v>
      </c>
      <c r="EQ324" s="2024"/>
      <c r="ER324" s="2024"/>
      <c r="ES324" s="2024"/>
      <c r="ET324" s="2024"/>
      <c r="EU324" s="29">
        <f>EP324</f>
        <v>2.5782513557225762E-2</v>
      </c>
      <c r="EV324" s="1166"/>
      <c r="EW324" s="1166"/>
      <c r="EX324" s="1166"/>
      <c r="EY324" s="1166"/>
      <c r="EZ324" s="29">
        <f>EU324</f>
        <v>2.5782513557225762E-2</v>
      </c>
      <c r="FA324" s="1166"/>
      <c r="FB324" s="1166"/>
      <c r="FC324" s="1166"/>
      <c r="FD324" s="1166"/>
      <c r="FE324" s="29">
        <f>EZ324</f>
        <v>2.5782513557225762E-2</v>
      </c>
      <c r="FF324" s="1188"/>
      <c r="FG324" s="1102"/>
      <c r="FH324" s="1179"/>
      <c r="FI324" s="1179"/>
      <c r="FJ324" s="1179"/>
      <c r="FK324" s="1179"/>
      <c r="FL324" s="1852"/>
      <c r="FM324" s="1787"/>
      <c r="FN324" s="1787"/>
      <c r="FO324" s="1787"/>
      <c r="FP324" s="1787"/>
      <c r="FQ324" s="1787"/>
      <c r="FR324" s="1189"/>
      <c r="FS324" s="1189"/>
      <c r="FT324" s="1189"/>
      <c r="FU324" s="1189"/>
      <c r="FV324" s="1189"/>
      <c r="FW324" s="1189"/>
      <c r="FX324" s="1189"/>
      <c r="FY324" s="1189"/>
      <c r="FZ324" s="1189"/>
      <c r="GA324" s="1102"/>
      <c r="GB324"/>
      <c r="GC324"/>
      <c r="GD324"/>
      <c r="GE324"/>
      <c r="GF324"/>
      <c r="GG324"/>
      <c r="GH324" s="1190"/>
      <c r="GI324" s="1190"/>
      <c r="GJ324" s="1190"/>
      <c r="GK324" s="1190"/>
      <c r="GL324" s="1190"/>
      <c r="GM324" s="1190"/>
      <c r="GN324" s="1190"/>
      <c r="GO324" s="1190"/>
      <c r="GP324" s="1190"/>
      <c r="GQ324" s="1190"/>
      <c r="GR324" s="1190"/>
      <c r="GS324" s="1190"/>
      <c r="GT324" s="1190"/>
      <c r="GU324" s="1190"/>
      <c r="GV324" s="1190"/>
      <c r="GW324" s="1190"/>
      <c r="GX324" s="1190"/>
      <c r="GY324" s="1190"/>
      <c r="GZ324" s="1190"/>
      <c r="HA324" s="1190"/>
      <c r="HB324" s="1190"/>
      <c r="HC324" s="1190"/>
      <c r="HD324" s="1190"/>
      <c r="HE324" s="1190"/>
      <c r="HF324" s="1190"/>
      <c r="HG324" s="1190"/>
      <c r="HH324" s="1190"/>
      <c r="HI324" s="1190"/>
      <c r="HJ324" s="1190"/>
      <c r="HK324" s="1190"/>
      <c r="HL324" s="1190"/>
      <c r="HM324" s="1190"/>
      <c r="HN324" s="1190"/>
      <c r="HO324" s="1190"/>
      <c r="HP324" s="1190"/>
      <c r="HQ324" s="1190"/>
      <c r="HR324" s="1190"/>
      <c r="HS324" s="1190"/>
      <c r="HT324" s="1190"/>
      <c r="HU324" s="1190"/>
      <c r="HV324" s="1190"/>
      <c r="HW324" s="1190"/>
      <c r="HX324" s="1190"/>
      <c r="HY324" s="1190"/>
      <c r="HZ324" s="1190"/>
      <c r="IA324" s="1190"/>
      <c r="IB324" s="1190"/>
      <c r="IC324" s="1190"/>
      <c r="ID324" s="1190"/>
      <c r="IE324" s="1190"/>
      <c r="IF324" s="1190"/>
      <c r="IG324" s="1190"/>
      <c r="IH324" s="1190"/>
      <c r="II324" s="1190"/>
      <c r="IJ324" s="1190"/>
      <c r="IK324" s="1190"/>
      <c r="IL324" s="1190"/>
      <c r="IM324" s="1190"/>
      <c r="IN324" s="1190"/>
      <c r="IO324" s="1190"/>
      <c r="IP324" s="1190"/>
      <c r="IQ324" s="1190"/>
      <c r="IR324" s="1190"/>
      <c r="IS324" s="1190"/>
      <c r="IT324" s="1190"/>
      <c r="IU324" s="1190"/>
      <c r="IV324" s="1190"/>
    </row>
    <row r="325" spans="1:256" s="181" customFormat="1" ht="12.6" customHeight="1" x14ac:dyDescent="0.2">
      <c r="A325" s="180" t="s">
        <v>451</v>
      </c>
      <c r="B325" s="168"/>
      <c r="C325" s="168"/>
      <c r="D325" s="168"/>
      <c r="E325" s="227"/>
      <c r="F325" s="171"/>
      <c r="G325" s="168"/>
      <c r="H325" s="168"/>
      <c r="I325" s="168"/>
      <c r="J325" s="227"/>
      <c r="K325" s="171"/>
      <c r="L325" s="168"/>
      <c r="M325" s="168"/>
      <c r="N325" s="168"/>
      <c r="O325" s="227"/>
      <c r="P325" s="171"/>
      <c r="Q325" s="168"/>
      <c r="R325" s="168"/>
      <c r="S325" s="168"/>
      <c r="T325" s="227"/>
      <c r="U325" s="171"/>
      <c r="V325" s="168"/>
      <c r="W325" s="168"/>
      <c r="X325" s="168"/>
      <c r="Y325" s="227"/>
      <c r="Z325" s="171"/>
      <c r="AA325" s="168"/>
      <c r="AB325" s="168"/>
      <c r="AC325" s="168"/>
      <c r="AD325" s="227"/>
      <c r="AE325" s="171"/>
      <c r="AF325" s="168"/>
      <c r="AG325" s="168"/>
      <c r="AH325" s="168"/>
      <c r="AI325" s="227"/>
      <c r="AJ325" s="171"/>
      <c r="AK325" s="168"/>
      <c r="AL325" s="168"/>
      <c r="AM325" s="168"/>
      <c r="AN325" s="227"/>
      <c r="AO325" s="171"/>
      <c r="AP325" s="168"/>
      <c r="AQ325" s="168"/>
      <c r="AR325" s="168"/>
      <c r="AS325" s="227"/>
      <c r="AT325" s="171">
        <f>AT327-AT319-AT321-AT323-AT317</f>
        <v>334</v>
      </c>
      <c r="AU325" s="168"/>
      <c r="AV325" s="168"/>
      <c r="AW325" s="168"/>
      <c r="AX325" s="227"/>
      <c r="AY325" s="171">
        <f>AY327-AY319-AY321-AY323-AY317</f>
        <v>272</v>
      </c>
      <c r="AZ325" s="168"/>
      <c r="BA325" s="168"/>
      <c r="BB325" s="168"/>
      <c r="BC325" s="227"/>
      <c r="BD325" s="171">
        <f>BD327-BD319-BD321-BD323-BD317</f>
        <v>363</v>
      </c>
      <c r="BE325" s="168"/>
      <c r="BF325" s="168"/>
      <c r="BG325" s="168"/>
      <c r="BH325" s="227"/>
      <c r="BI325" s="171">
        <f>BI327-BI319-BI321-BI323-BI317</f>
        <v>345</v>
      </c>
      <c r="BJ325" s="168"/>
      <c r="BK325" s="168"/>
      <c r="BL325" s="168"/>
      <c r="BM325" s="227"/>
      <c r="BN325" s="171">
        <f>BN327-BN319-BN321-BN323-BN317</f>
        <v>278</v>
      </c>
      <c r="BO325" s="168"/>
      <c r="BP325" s="168"/>
      <c r="BQ325" s="168"/>
      <c r="BR325" s="227"/>
      <c r="BS325" s="171">
        <f>BS327-BS319-BS321-BS323-BS317</f>
        <v>335</v>
      </c>
      <c r="BT325" s="168"/>
      <c r="BU325" s="168"/>
      <c r="BV325" s="168"/>
      <c r="BW325" s="227"/>
      <c r="BX325" s="171">
        <f>BX327-BX319-BX321-BX323-BX317</f>
        <v>352</v>
      </c>
      <c r="BY325" s="168"/>
      <c r="BZ325" s="168"/>
      <c r="CA325" s="168"/>
      <c r="CB325" s="227"/>
      <c r="CC325" s="171">
        <f>CC327-CC319-CC321-CC323-CC317</f>
        <v>427</v>
      </c>
      <c r="CD325" s="168"/>
      <c r="CE325" s="168"/>
      <c r="CF325" s="168"/>
      <c r="CG325" s="227"/>
      <c r="CH325" s="171">
        <f>CH327-CH319-CH321-CH323-CH317</f>
        <v>330</v>
      </c>
      <c r="CI325" s="168"/>
      <c r="CJ325" s="168"/>
      <c r="CK325" s="168"/>
      <c r="CL325" s="227"/>
      <c r="CM325" s="171">
        <f>CM327-CM319-CM321-CM323-CM317</f>
        <v>339</v>
      </c>
      <c r="CN325" s="168"/>
      <c r="CO325" s="168"/>
      <c r="CP325" s="168"/>
      <c r="CQ325" s="227"/>
      <c r="CR325" s="171">
        <f>CR327-CR319-CR321-CR323-CR317</f>
        <v>351</v>
      </c>
      <c r="CS325" s="168"/>
      <c r="CT325" s="168"/>
      <c r="CU325" s="168"/>
      <c r="CV325" s="227"/>
      <c r="CW325" s="171">
        <f>CW327-CW319-CW321-CW323-CW317</f>
        <v>317</v>
      </c>
      <c r="CX325" s="168"/>
      <c r="CY325" s="168"/>
      <c r="CZ325" s="168"/>
      <c r="DA325" s="168"/>
      <c r="DB325" s="171">
        <f>DB327-DB319-DB321-DB323-DB317</f>
        <v>230</v>
      </c>
      <c r="DC325" s="168"/>
      <c r="DD325" s="168"/>
      <c r="DE325" s="168"/>
      <c r="DF325" s="168"/>
      <c r="DG325" s="171">
        <f>DG327-DG319-DG321-DG323-DG317</f>
        <v>385</v>
      </c>
      <c r="DH325" s="168"/>
      <c r="DI325" s="168"/>
      <c r="DJ325" s="168"/>
      <c r="DK325" s="168"/>
      <c r="DL325" s="171">
        <f>DL327-DL319-DL321-DL323-DL317</f>
        <v>285</v>
      </c>
      <c r="DM325" s="168"/>
      <c r="DN325" s="168"/>
      <c r="DO325" s="168"/>
      <c r="DP325" s="168"/>
      <c r="DQ325" s="171">
        <f>DQ327-DQ319-DQ321-DQ323-DQ317</f>
        <v>249</v>
      </c>
      <c r="DR325" s="158">
        <f>DR327-DR319-DR321-DR323-DR317</f>
        <v>232</v>
      </c>
      <c r="DS325" s="158">
        <f>DS327-DS319-DS321-DS323-DS317</f>
        <v>191</v>
      </c>
      <c r="DT325" s="158">
        <f>DT327-DT319-DT321-DT323-DT317</f>
        <v>183</v>
      </c>
      <c r="DU325" s="158">
        <f t="shared" si="1055"/>
        <v>267</v>
      </c>
      <c r="DV325" s="171">
        <f>DV327-DV319-DV321-DV323-DV317</f>
        <v>267</v>
      </c>
      <c r="DW325" s="158">
        <f>DW327-DW319-DW321-DW323-DW317</f>
        <v>249</v>
      </c>
      <c r="DX325" s="158">
        <f>DX327-DX319-DX321-DX323-DX317</f>
        <v>226</v>
      </c>
      <c r="DY325" s="158">
        <f>DY327-DY319-DY321-DY323-DY317</f>
        <v>228</v>
      </c>
      <c r="DZ325" s="158">
        <f t="shared" si="1056"/>
        <v>514</v>
      </c>
      <c r="EA325" s="2021">
        <f>EA327-EA319-EA321-EA323-EA317</f>
        <v>514</v>
      </c>
      <c r="EB325" s="2025">
        <f>EB327-EB319-EB321-EB323-EB317</f>
        <v>291</v>
      </c>
      <c r="EC325" s="2025">
        <f>EC327-EC319-EC321-EC323-EC317</f>
        <v>192</v>
      </c>
      <c r="ED325" s="2025">
        <v>55</v>
      </c>
      <c r="EE325" s="2025">
        <f t="shared" si="1052"/>
        <v>194</v>
      </c>
      <c r="EF325" s="2021">
        <f>EF327-EF319-EF321-EF323-EF317</f>
        <v>194</v>
      </c>
      <c r="EG325" s="2025">
        <f>EG327-EG319-EG321-EG323-EG317</f>
        <v>101</v>
      </c>
      <c r="EH325" s="2025">
        <f>EH327-EH319-EH321-EH323-EH317</f>
        <v>82</v>
      </c>
      <c r="EI325" s="2025">
        <f>EI327-EI319-EI321-EI323-EI317</f>
        <v>72</v>
      </c>
      <c r="EJ325" s="2025">
        <f t="shared" si="1053"/>
        <v>133</v>
      </c>
      <c r="EK325" s="2021">
        <f>EK327-EK319-EK321-EK323-EK317</f>
        <v>133</v>
      </c>
      <c r="EL325" s="2025">
        <f>EL327-EL319-EL321-EL323-EL317</f>
        <v>93</v>
      </c>
      <c r="EM325" s="2025">
        <f>EM327-EM319-EM321-EM323-EM317</f>
        <v>79</v>
      </c>
      <c r="EN325" s="2025">
        <f>EN327-EN319-EN321-EN323-EN317</f>
        <v>57</v>
      </c>
      <c r="EO325" s="2025">
        <f t="shared" si="1054"/>
        <v>282</v>
      </c>
      <c r="EP325" s="2021">
        <f>EP327-EP319-EP321-EP323-EP317</f>
        <v>282</v>
      </c>
      <c r="EQ325" s="2023"/>
      <c r="ER325" s="2023"/>
      <c r="ES325" s="2023"/>
      <c r="ET325" s="2023"/>
      <c r="EU325" s="171">
        <f>EU326*EU$221</f>
        <v>299.26484575593526</v>
      </c>
      <c r="EV325" s="168"/>
      <c r="EW325" s="168"/>
      <c r="EX325" s="168"/>
      <c r="EY325" s="168"/>
      <c r="EZ325" s="171">
        <f>EZ326*EZ$221</f>
        <v>310.26265444398229</v>
      </c>
      <c r="FA325" s="168"/>
      <c r="FB325" s="168"/>
      <c r="FC325" s="168"/>
      <c r="FD325" s="168"/>
      <c r="FE325" s="171">
        <f>FE326*FE$221</f>
        <v>322.00504984503806</v>
      </c>
      <c r="FF325" s="824"/>
      <c r="FG325" s="660"/>
      <c r="FH325" s="1085"/>
      <c r="FI325" s="1085"/>
      <c r="FJ325" s="1085"/>
      <c r="FK325" s="1085"/>
      <c r="FL325" s="1858"/>
      <c r="FM325" s="1789"/>
      <c r="FN325" s="1789"/>
      <c r="FO325" s="1789"/>
      <c r="FP325" s="1789"/>
      <c r="FQ325" s="1789"/>
      <c r="FR325" s="610"/>
      <c r="FS325" s="610"/>
      <c r="FT325" s="610"/>
      <c r="FU325" s="610"/>
      <c r="FV325" s="610"/>
      <c r="FW325" s="610"/>
      <c r="FX325" s="610"/>
      <c r="FY325" s="610"/>
      <c r="FZ325" s="610"/>
      <c r="GA325" s="660"/>
      <c r="GB325"/>
      <c r="GC325"/>
      <c r="GD325"/>
      <c r="GE325"/>
      <c r="GF325"/>
      <c r="GG325"/>
      <c r="GH325" s="995"/>
      <c r="GI325" s="995"/>
      <c r="GJ325" s="995"/>
      <c r="GK325" s="995"/>
      <c r="GL325" s="995"/>
      <c r="GM325" s="995"/>
      <c r="GN325" s="995"/>
      <c r="GO325" s="995"/>
      <c r="GP325" s="995"/>
      <c r="GQ325" s="995"/>
      <c r="GR325" s="995"/>
      <c r="GS325" s="995"/>
      <c r="GT325" s="995"/>
      <c r="GU325" s="995"/>
      <c r="GV325" s="995"/>
      <c r="GW325" s="995"/>
      <c r="GX325" s="995"/>
      <c r="GY325" s="995"/>
      <c r="GZ325" s="995"/>
      <c r="HA325" s="995"/>
      <c r="HB325" s="995"/>
      <c r="HC325" s="995"/>
      <c r="HD325" s="995"/>
      <c r="HE325" s="995"/>
      <c r="HF325" s="995"/>
      <c r="HG325" s="995"/>
      <c r="HH325" s="995"/>
      <c r="HI325" s="995"/>
      <c r="HJ325" s="995"/>
      <c r="HK325" s="995"/>
      <c r="HL325" s="995"/>
      <c r="HM325" s="995"/>
      <c r="HN325" s="995"/>
      <c r="HO325" s="995"/>
      <c r="HP325" s="995"/>
      <c r="HQ325" s="995"/>
      <c r="HR325" s="995"/>
      <c r="HS325" s="995"/>
      <c r="HT325" s="995"/>
      <c r="HU325" s="995"/>
      <c r="HV325" s="995"/>
      <c r="HW325" s="995"/>
      <c r="HX325" s="995"/>
      <c r="HY325" s="995"/>
      <c r="HZ325" s="995"/>
      <c r="IA325" s="995"/>
      <c r="IB325" s="995"/>
      <c r="IC325" s="995"/>
      <c r="ID325" s="995"/>
      <c r="IE325" s="995"/>
      <c r="IF325" s="995"/>
      <c r="IG325" s="995"/>
      <c r="IH325" s="995"/>
      <c r="II325" s="995"/>
      <c r="IJ325" s="995"/>
      <c r="IK325" s="995"/>
      <c r="IL325" s="995"/>
      <c r="IM325" s="995"/>
      <c r="IN325" s="995"/>
      <c r="IO325" s="995"/>
      <c r="IP325" s="995"/>
      <c r="IQ325" s="995"/>
      <c r="IR325" s="995"/>
      <c r="IS325" s="995"/>
      <c r="IT325" s="995"/>
      <c r="IU325" s="995"/>
      <c r="IV325" s="995"/>
    </row>
    <row r="326" spans="1:256" s="1191" customFormat="1" ht="12.6" customHeight="1" x14ac:dyDescent="0.2">
      <c r="A326" s="271" t="s">
        <v>214</v>
      </c>
      <c r="B326" s="1166"/>
      <c r="C326" s="1166"/>
      <c r="D326" s="1166"/>
      <c r="E326" s="1176"/>
      <c r="F326" s="21"/>
      <c r="G326" s="1166"/>
      <c r="H326" s="1166"/>
      <c r="I326" s="1166"/>
      <c r="J326" s="1176"/>
      <c r="K326" s="21"/>
      <c r="L326" s="1166"/>
      <c r="M326" s="1166"/>
      <c r="N326" s="1166"/>
      <c r="O326" s="1176"/>
      <c r="P326" s="21"/>
      <c r="Q326" s="1166"/>
      <c r="R326" s="1166"/>
      <c r="S326" s="1166"/>
      <c r="T326" s="1176"/>
      <c r="U326" s="21"/>
      <c r="V326" s="1166"/>
      <c r="W326" s="1166"/>
      <c r="X326" s="1166"/>
      <c r="Y326" s="1176"/>
      <c r="Z326" s="21"/>
      <c r="AA326" s="1166"/>
      <c r="AB326" s="1166"/>
      <c r="AC326" s="1166"/>
      <c r="AD326" s="1176"/>
      <c r="AE326" s="21"/>
      <c r="AF326" s="1166"/>
      <c r="AG326" s="1166"/>
      <c r="AH326" s="1166"/>
      <c r="AI326" s="1176"/>
      <c r="AJ326" s="21"/>
      <c r="AK326" s="1166"/>
      <c r="AL326" s="1166"/>
      <c r="AM326" s="1166"/>
      <c r="AN326" s="1176"/>
      <c r="AO326" s="21"/>
      <c r="AP326" s="1166"/>
      <c r="AQ326" s="1166"/>
      <c r="AR326" s="1166"/>
      <c r="AS326" s="1176"/>
      <c r="AT326" s="21">
        <f>AT325/Model!AT$221</f>
        <v>7.9092566719552906E-2</v>
      </c>
      <c r="AU326" s="1166"/>
      <c r="AV326" s="1166"/>
      <c r="AW326" s="1166"/>
      <c r="AX326" s="1176"/>
      <c r="AY326" s="21">
        <f>AY325/Model!AY$221</f>
        <v>6.4410865544686211E-2</v>
      </c>
      <c r="AZ326" s="1166"/>
      <c r="BA326" s="1166"/>
      <c r="BB326" s="1166"/>
      <c r="BC326" s="1176"/>
      <c r="BD326" s="21">
        <f>BD325/Model!BD$221</f>
        <v>6.9872324207584324E-2</v>
      </c>
      <c r="BE326" s="1166"/>
      <c r="BF326" s="1166"/>
      <c r="BG326" s="1166"/>
      <c r="BH326" s="1176"/>
      <c r="BI326" s="21">
        <f>BI325/Model!BI$221</f>
        <v>5.6015586945932783E-2</v>
      </c>
      <c r="BJ326" s="1166"/>
      <c r="BK326" s="1166"/>
      <c r="BL326" s="1166"/>
      <c r="BM326" s="1176"/>
      <c r="BN326" s="21">
        <f>BN325/Model!BN$221</f>
        <v>4.5056726094003241E-2</v>
      </c>
      <c r="BO326" s="1166"/>
      <c r="BP326" s="1166"/>
      <c r="BQ326" s="1166"/>
      <c r="BR326" s="1176"/>
      <c r="BS326" s="21">
        <f>BS325/Model!BS$221</f>
        <v>5.3429027113237638E-2</v>
      </c>
      <c r="BT326" s="1166"/>
      <c r="BU326" s="1166"/>
      <c r="BV326" s="1166"/>
      <c r="BW326" s="1176"/>
      <c r="BX326" s="21">
        <f>BX325/Model!BX$221</f>
        <v>5.4421768707482991E-2</v>
      </c>
      <c r="BY326" s="1166"/>
      <c r="BZ326" s="1166"/>
      <c r="CA326" s="1166"/>
      <c r="CB326" s="1176"/>
      <c r="CC326" s="21">
        <f>CC325/Model!CC$221</f>
        <v>5.8397155361050328E-2</v>
      </c>
      <c r="CD326" s="1166"/>
      <c r="CE326" s="1166"/>
      <c r="CF326" s="1166"/>
      <c r="CG326" s="1176"/>
      <c r="CH326" s="21">
        <f>CH325/Model!CH$221</f>
        <v>3.8951841359773372E-2</v>
      </c>
      <c r="CI326" s="1166"/>
      <c r="CJ326" s="1166"/>
      <c r="CK326" s="1166"/>
      <c r="CL326" s="1176"/>
      <c r="CM326" s="21">
        <f>CM325/Model!CM$221</f>
        <v>3.603699372807484E-2</v>
      </c>
      <c r="CN326" s="1166"/>
      <c r="CO326" s="1166"/>
      <c r="CP326" s="1166"/>
      <c r="CQ326" s="1176"/>
      <c r="CR326" s="21">
        <f>CR325/Model!CR$221</f>
        <v>3.7213740458015267E-2</v>
      </c>
      <c r="CS326" s="1166"/>
      <c r="CT326" s="1166"/>
      <c r="CU326" s="1166"/>
      <c r="CV326" s="1176"/>
      <c r="CW326" s="21">
        <f>CW325/Model!CW$221</f>
        <v>2.9734546477816339E-2</v>
      </c>
      <c r="CX326" s="1166"/>
      <c r="CY326" s="1166"/>
      <c r="CZ326" s="1166"/>
      <c r="DA326" s="1166"/>
      <c r="DB326" s="21">
        <f>DB325/Model!DB$221</f>
        <v>2.8861839628560673E-2</v>
      </c>
      <c r="DC326" s="1166"/>
      <c r="DD326" s="1166"/>
      <c r="DE326" s="1166"/>
      <c r="DF326" s="1166"/>
      <c r="DG326" s="21">
        <f>DG325/Model!DG$221</f>
        <v>4.0458714916141988E-2</v>
      </c>
      <c r="DH326" s="1166"/>
      <c r="DI326" s="1166"/>
      <c r="DJ326" s="1166"/>
      <c r="DK326" s="1166"/>
      <c r="DL326" s="21">
        <f>DL325/Model!DL$221</f>
        <v>2.5510204081632654E-2</v>
      </c>
      <c r="DM326" s="1166"/>
      <c r="DN326" s="1166"/>
      <c r="DO326" s="1166"/>
      <c r="DP326" s="1166"/>
      <c r="DQ326" s="21">
        <f>DQ325/Model!DQ$221</f>
        <v>2.2554347826086958E-2</v>
      </c>
      <c r="DR326" s="1166">
        <f>DR325/Model!DR$221/4</f>
        <v>2.1183345507669833E-2</v>
      </c>
      <c r="DS326" s="1166">
        <f>DS325/Model!DS$221/4</f>
        <v>1.7041399000713775E-2</v>
      </c>
      <c r="DT326" s="1166">
        <f>DT325/Model!DT$221/4</f>
        <v>1.6200424929178472E-2</v>
      </c>
      <c r="DU326" s="1166">
        <f t="shared" si="1055"/>
        <v>2.3743886171631836E-2</v>
      </c>
      <c r="DV326" s="21">
        <f>DV325/Model!DV$221</f>
        <v>2.3743886171631836E-2</v>
      </c>
      <c r="DW326" s="1166">
        <f>DW325/Model!DW$221/4</f>
        <v>2.3149869840089252E-2</v>
      </c>
      <c r="DX326" s="1166">
        <f>DX325/Model!DX$221/4</f>
        <v>1.8573307034845495E-2</v>
      </c>
      <c r="DY326" s="1166">
        <f>DY325/Model!DY$221/4</f>
        <v>1.8855441614290439E-2</v>
      </c>
      <c r="DZ326" s="1166">
        <f t="shared" si="1056"/>
        <v>4.4218857536132139E-2</v>
      </c>
      <c r="EA326" s="1610">
        <f>EA325/Model!EA$221</f>
        <v>4.4218857536132139E-2</v>
      </c>
      <c r="EB326" s="2024">
        <f>EB325/Model!EB$221/4</f>
        <v>2.8340475262952865E-2</v>
      </c>
      <c r="EC326" s="2024">
        <f>EC325/Model!EC$221/4</f>
        <v>1.7692591227423518E-2</v>
      </c>
      <c r="ED326" s="2024">
        <f>ED325/Model!ED$221/4</f>
        <v>5.0681901953556945E-3</v>
      </c>
      <c r="EE326" s="2024">
        <f t="shared" si="1052"/>
        <v>1.8456854723622872E-2</v>
      </c>
      <c r="EF326" s="1610">
        <f>EF325/Model!EF$221</f>
        <v>1.8456854723622872E-2</v>
      </c>
      <c r="EG326" s="2024">
        <f>EG325/Model!EG$221/4</f>
        <v>1.0433884297520662E-2</v>
      </c>
      <c r="EH326" s="2024">
        <f>EH325/Model!EH$221/4</f>
        <v>8.353708231458843E-3</v>
      </c>
      <c r="EI326" s="2024">
        <f>EI325/Model!EI$221/4</f>
        <v>7.1315372424722665E-3</v>
      </c>
      <c r="EJ326" s="2024">
        <f t="shared" si="1053"/>
        <v>1.3450647249190938E-2</v>
      </c>
      <c r="EK326" s="1610">
        <f>EK325/Model!EK$221</f>
        <v>1.3450647249190938E-2</v>
      </c>
      <c r="EL326" s="2024">
        <f>EL325/Model!EL$221/4</f>
        <v>9.0291262135922326E-3</v>
      </c>
      <c r="EM326" s="2024">
        <f>EM325/Model!EM$221/4</f>
        <v>7.4895714827455445E-3</v>
      </c>
      <c r="EN326" s="2024">
        <f>EN325/Model!EN$221/4</f>
        <v>5.3370786516853935E-3</v>
      </c>
      <c r="EO326" s="2024">
        <f t="shared" si="1054"/>
        <v>2.6727324424225193E-2</v>
      </c>
      <c r="EP326" s="1610">
        <f>EP325/Model!EP$221</f>
        <v>2.6727324424225193E-2</v>
      </c>
      <c r="EQ326" s="2024"/>
      <c r="ER326" s="2024"/>
      <c r="ES326" s="2024"/>
      <c r="ET326" s="2024"/>
      <c r="EU326" s="29">
        <f>EP326</f>
        <v>2.6727324424225193E-2</v>
      </c>
      <c r="EV326" s="1166"/>
      <c r="EW326" s="1166"/>
      <c r="EX326" s="1166"/>
      <c r="EY326" s="1166"/>
      <c r="EZ326" s="29">
        <f>EU326</f>
        <v>2.6727324424225193E-2</v>
      </c>
      <c r="FA326" s="1166"/>
      <c r="FB326" s="1166"/>
      <c r="FC326" s="1166"/>
      <c r="FD326" s="1166"/>
      <c r="FE326" s="29">
        <f>EZ326</f>
        <v>2.6727324424225193E-2</v>
      </c>
      <c r="FF326" s="1188"/>
      <c r="FG326" s="1102"/>
      <c r="FH326" s="1179"/>
      <c r="FI326" s="1179"/>
      <c r="FJ326" s="1179"/>
      <c r="FK326" s="1179"/>
      <c r="FL326" s="1852"/>
      <c r="FM326" s="1787"/>
      <c r="FN326" s="1787"/>
      <c r="FO326" s="1787"/>
      <c r="FP326" s="1787"/>
      <c r="FQ326" s="1787"/>
      <c r="FR326" s="1189"/>
      <c r="FS326" s="1189"/>
      <c r="FT326" s="1189"/>
      <c r="FU326" s="1189"/>
      <c r="FV326" s="1189"/>
      <c r="FW326" s="1189"/>
      <c r="FX326" s="1189"/>
      <c r="FY326" s="1189"/>
      <c r="FZ326" s="1189"/>
      <c r="GA326" s="1102"/>
      <c r="GB326"/>
      <c r="GC326"/>
      <c r="GD326"/>
      <c r="GE326"/>
      <c r="GF326"/>
      <c r="GG326"/>
      <c r="GH326" s="1190"/>
      <c r="GI326" s="1190"/>
      <c r="GJ326" s="1190"/>
      <c r="GK326" s="1190"/>
      <c r="GL326" s="1190"/>
      <c r="GM326" s="1190"/>
      <c r="GN326" s="1190"/>
      <c r="GO326" s="1190"/>
      <c r="GP326" s="1190"/>
      <c r="GQ326" s="1190"/>
      <c r="GR326" s="1190"/>
      <c r="GS326" s="1190"/>
      <c r="GT326" s="1190"/>
      <c r="GU326" s="1190"/>
      <c r="GV326" s="1190"/>
      <c r="GW326" s="1190"/>
      <c r="GX326" s="1190"/>
      <c r="GY326" s="1190"/>
      <c r="GZ326" s="1190"/>
      <c r="HA326" s="1190"/>
      <c r="HB326" s="1190"/>
      <c r="HC326" s="1190"/>
      <c r="HD326" s="1190"/>
      <c r="HE326" s="1190"/>
      <c r="HF326" s="1190"/>
      <c r="HG326" s="1190"/>
      <c r="HH326" s="1190"/>
      <c r="HI326" s="1190"/>
      <c r="HJ326" s="1190"/>
      <c r="HK326" s="1190"/>
      <c r="HL326" s="1190"/>
      <c r="HM326" s="1190"/>
      <c r="HN326" s="1190"/>
      <c r="HO326" s="1190"/>
      <c r="HP326" s="1190"/>
      <c r="HQ326" s="1190"/>
      <c r="HR326" s="1190"/>
      <c r="HS326" s="1190"/>
      <c r="HT326" s="1190"/>
      <c r="HU326" s="1190"/>
      <c r="HV326" s="1190"/>
      <c r="HW326" s="1190"/>
      <c r="HX326" s="1190"/>
      <c r="HY326" s="1190"/>
      <c r="HZ326" s="1190"/>
      <c r="IA326" s="1190"/>
      <c r="IB326" s="1190"/>
      <c r="IC326" s="1190"/>
      <c r="ID326" s="1190"/>
      <c r="IE326" s="1190"/>
      <c r="IF326" s="1190"/>
      <c r="IG326" s="1190"/>
      <c r="IH326" s="1190"/>
      <c r="II326" s="1190"/>
      <c r="IJ326" s="1190"/>
      <c r="IK326" s="1190"/>
      <c r="IL326" s="1190"/>
      <c r="IM326" s="1190"/>
      <c r="IN326" s="1190"/>
      <c r="IO326" s="1190"/>
      <c r="IP326" s="1190"/>
      <c r="IQ326" s="1190"/>
      <c r="IR326" s="1190"/>
      <c r="IS326" s="1190"/>
      <c r="IT326" s="1190"/>
      <c r="IU326" s="1190"/>
      <c r="IV326" s="1190"/>
    </row>
    <row r="327" spans="1:256" s="173" customFormat="1" ht="12.75" x14ac:dyDescent="0.2">
      <c r="A327" s="176" t="s">
        <v>201</v>
      </c>
      <c r="B327" s="178"/>
      <c r="C327" s="178"/>
      <c r="D327" s="178"/>
      <c r="E327" s="229"/>
      <c r="F327" s="177"/>
      <c r="G327" s="178"/>
      <c r="H327" s="178"/>
      <c r="I327" s="178"/>
      <c r="J327" s="229"/>
      <c r="K327" s="177"/>
      <c r="L327" s="178"/>
      <c r="M327" s="178"/>
      <c r="N327" s="178"/>
      <c r="O327" s="229"/>
      <c r="P327" s="177"/>
      <c r="Q327" s="178"/>
      <c r="R327" s="178"/>
      <c r="S327" s="178"/>
      <c r="T327" s="229"/>
      <c r="U327" s="177"/>
      <c r="V327" s="178"/>
      <c r="W327" s="178"/>
      <c r="X327" s="178"/>
      <c r="Y327" s="229"/>
      <c r="Z327" s="177"/>
      <c r="AA327" s="178"/>
      <c r="AB327" s="178"/>
      <c r="AC327" s="178"/>
      <c r="AD327" s="229"/>
      <c r="AE327" s="177"/>
      <c r="AF327" s="178"/>
      <c r="AG327" s="178"/>
      <c r="AH327" s="178"/>
      <c r="AI327" s="229"/>
      <c r="AJ327" s="177"/>
      <c r="AK327" s="178"/>
      <c r="AL327" s="178"/>
      <c r="AM327" s="178"/>
      <c r="AN327" s="229"/>
      <c r="AO327" s="177"/>
      <c r="AP327" s="178"/>
      <c r="AQ327" s="178"/>
      <c r="AR327" s="178"/>
      <c r="AS327" s="229"/>
      <c r="AT327" s="177">
        <v>1103</v>
      </c>
      <c r="AU327" s="178"/>
      <c r="AV327" s="178"/>
      <c r="AW327" s="178"/>
      <c r="AX327" s="229"/>
      <c r="AY327" s="177">
        <v>913</v>
      </c>
      <c r="AZ327" s="178"/>
      <c r="BA327" s="178"/>
      <c r="BB327" s="178"/>
      <c r="BC327" s="229"/>
      <c r="BD327" s="177">
        <v>1371</v>
      </c>
      <c r="BE327" s="178"/>
      <c r="BF327" s="178"/>
      <c r="BG327" s="178"/>
      <c r="BH327" s="229"/>
      <c r="BI327" s="177">
        <v>849</v>
      </c>
      <c r="BJ327" s="178"/>
      <c r="BK327" s="178"/>
      <c r="BL327" s="178"/>
      <c r="BM327" s="229"/>
      <c r="BN327" s="177">
        <v>1047</v>
      </c>
      <c r="BO327" s="178"/>
      <c r="BP327" s="178"/>
      <c r="BQ327" s="178"/>
      <c r="BR327" s="229"/>
      <c r="BS327" s="177">
        <v>1299</v>
      </c>
      <c r="BT327" s="178"/>
      <c r="BU327" s="178"/>
      <c r="BV327" s="178"/>
      <c r="BW327" s="229"/>
      <c r="BX327" s="177">
        <v>1425</v>
      </c>
      <c r="BY327" s="178"/>
      <c r="BZ327" s="178"/>
      <c r="CA327" s="178"/>
      <c r="CB327" s="229"/>
      <c r="CC327" s="177">
        <v>1967</v>
      </c>
      <c r="CD327" s="178"/>
      <c r="CE327" s="178"/>
      <c r="CF327" s="178"/>
      <c r="CG327" s="229"/>
      <c r="CH327" s="177">
        <v>2650</v>
      </c>
      <c r="CI327" s="178"/>
      <c r="CJ327" s="178"/>
      <c r="CK327" s="178"/>
      <c r="CL327" s="229"/>
      <c r="CM327" s="177">
        <v>2400</v>
      </c>
      <c r="CN327" s="178"/>
      <c r="CO327" s="178"/>
      <c r="CP327" s="178"/>
      <c r="CQ327" s="229"/>
      <c r="CR327" s="177">
        <v>1675</v>
      </c>
      <c r="CS327" s="178"/>
      <c r="CT327" s="178"/>
      <c r="CU327" s="178"/>
      <c r="CV327" s="229"/>
      <c r="CW327" s="177">
        <v>1999</v>
      </c>
      <c r="CX327" s="168"/>
      <c r="CY327" s="168"/>
      <c r="CZ327" s="168"/>
      <c r="DA327" s="178"/>
      <c r="DB327" s="177">
        <v>2246</v>
      </c>
      <c r="DC327" s="168"/>
      <c r="DD327" s="168"/>
      <c r="DE327" s="168"/>
      <c r="DF327" s="178"/>
      <c r="DG327" s="177">
        <v>2471</v>
      </c>
      <c r="DH327" s="178"/>
      <c r="DI327" s="168"/>
      <c r="DJ327" s="168"/>
      <c r="DK327" s="178"/>
      <c r="DL327" s="177">
        <v>1751</v>
      </c>
      <c r="DM327" s="178"/>
      <c r="DN327" s="168"/>
      <c r="DO327" s="168"/>
      <c r="DP327" s="178"/>
      <c r="DQ327" s="177">
        <v>2242</v>
      </c>
      <c r="DR327" s="178">
        <v>2323</v>
      </c>
      <c r="DS327" s="178">
        <v>2078</v>
      </c>
      <c r="DT327" s="178">
        <v>2494</v>
      </c>
      <c r="DU327" s="1410">
        <f t="shared" si="1055"/>
        <v>3075</v>
      </c>
      <c r="DV327" s="177">
        <v>3075</v>
      </c>
      <c r="DW327" s="178">
        <v>3130</v>
      </c>
      <c r="DX327" s="178">
        <v>3266</v>
      </c>
      <c r="DY327" s="178">
        <v>3012</v>
      </c>
      <c r="DZ327" s="1410">
        <f t="shared" si="1056"/>
        <v>2778</v>
      </c>
      <c r="EA327" s="2027">
        <v>2778</v>
      </c>
      <c r="EB327" s="2028">
        <v>2115</v>
      </c>
      <c r="EC327" s="2028">
        <v>2413</v>
      </c>
      <c r="ED327" s="2028">
        <v>2002</v>
      </c>
      <c r="EE327" s="2029">
        <f t="shared" si="1052"/>
        <v>2512</v>
      </c>
      <c r="EF327" s="2027">
        <v>2512</v>
      </c>
      <c r="EG327" s="2028">
        <v>1966</v>
      </c>
      <c r="EH327" s="2028">
        <v>2239</v>
      </c>
      <c r="EI327" s="2028">
        <v>2317</v>
      </c>
      <c r="EJ327" s="2029">
        <f t="shared" si="1053"/>
        <v>2291</v>
      </c>
      <c r="EK327" s="2027">
        <v>2291</v>
      </c>
      <c r="EL327" s="2028">
        <v>2327</v>
      </c>
      <c r="EM327" s="2028">
        <v>1936</v>
      </c>
      <c r="EN327" s="2028">
        <v>1999</v>
      </c>
      <c r="EO327" s="2029">
        <f t="shared" si="1054"/>
        <v>2149</v>
      </c>
      <c r="EP327" s="2027">
        <v>2149</v>
      </c>
      <c r="EQ327" s="2023"/>
      <c r="ER327" s="2023"/>
      <c r="ES327" s="2023"/>
      <c r="ET327" s="2023"/>
      <c r="EU327" s="177">
        <f ca="1">EU319+EU321+EU323+EU325+EU317</f>
        <v>2215.0138281045711</v>
      </c>
      <c r="EV327" s="168"/>
      <c r="EW327" s="168"/>
      <c r="EX327" s="168"/>
      <c r="EY327" s="168"/>
      <c r="EZ327" s="177">
        <f ca="1">EZ319+EZ321+EZ323+EZ325+EZ317</f>
        <v>2577.4580529394361</v>
      </c>
      <c r="FA327" s="168"/>
      <c r="FB327" s="168"/>
      <c r="FC327" s="168"/>
      <c r="FD327" s="168"/>
      <c r="FE327" s="177">
        <f ca="1">FE319+FE321+FE323+FE325+FE317</f>
        <v>3052.3124445363305</v>
      </c>
      <c r="FF327" s="823"/>
      <c r="FG327" s="660"/>
      <c r="FH327" s="1085"/>
      <c r="FI327" s="1085"/>
      <c r="FJ327" s="1085"/>
      <c r="FK327" s="1085"/>
      <c r="FL327" s="1858"/>
      <c r="FM327" s="1789"/>
      <c r="FN327" s="1789"/>
      <c r="FO327" s="1789"/>
      <c r="FP327" s="1789"/>
      <c r="FQ327" s="1789"/>
      <c r="FR327" s="609"/>
      <c r="FS327" s="609"/>
      <c r="FT327" s="609"/>
      <c r="FU327" s="609"/>
      <c r="FV327" s="609"/>
      <c r="FW327" s="609"/>
      <c r="FX327" s="609"/>
      <c r="FY327" s="609"/>
      <c r="FZ327" s="609"/>
      <c r="GA327" s="660"/>
      <c r="GB327"/>
      <c r="GC327"/>
      <c r="GD327"/>
      <c r="GE327"/>
      <c r="GF327"/>
      <c r="GG327"/>
      <c r="GH327" s="994"/>
      <c r="GI327" s="994"/>
      <c r="GJ327" s="994"/>
      <c r="GK327" s="994"/>
      <c r="GL327" s="994"/>
      <c r="GM327" s="994"/>
      <c r="GN327" s="994"/>
      <c r="GO327" s="994"/>
      <c r="GP327" s="994"/>
      <c r="GQ327" s="994"/>
      <c r="GR327" s="994"/>
      <c r="GS327" s="994"/>
      <c r="GT327" s="994"/>
      <c r="GU327" s="994"/>
      <c r="GV327" s="994"/>
      <c r="GW327" s="994"/>
      <c r="GX327" s="994"/>
      <c r="GY327" s="994"/>
      <c r="GZ327" s="994"/>
      <c r="HA327" s="994"/>
      <c r="HB327" s="994"/>
      <c r="HC327" s="994"/>
      <c r="HD327" s="994"/>
      <c r="HE327" s="994"/>
      <c r="HF327" s="994"/>
      <c r="HG327" s="994"/>
      <c r="HH327" s="994"/>
      <c r="HI327" s="994"/>
      <c r="HJ327" s="994"/>
      <c r="HK327" s="994"/>
      <c r="HL327" s="994"/>
      <c r="HM327" s="994"/>
      <c r="HN327" s="994"/>
      <c r="HO327" s="994"/>
      <c r="HP327" s="994"/>
      <c r="HQ327" s="994"/>
      <c r="HR327" s="994"/>
      <c r="HS327" s="994"/>
      <c r="HT327" s="994"/>
      <c r="HU327" s="994"/>
      <c r="HV327" s="994"/>
      <c r="HW327" s="994"/>
      <c r="HX327" s="994"/>
      <c r="HY327" s="994"/>
      <c r="HZ327" s="994"/>
      <c r="IA327" s="994"/>
      <c r="IB327" s="994"/>
      <c r="IC327" s="994"/>
      <c r="ID327" s="994"/>
      <c r="IE327" s="994"/>
      <c r="IF327" s="994"/>
      <c r="IG327" s="994"/>
      <c r="IH327" s="994"/>
      <c r="II327" s="994"/>
      <c r="IJ327" s="994"/>
      <c r="IK327" s="994"/>
      <c r="IL327" s="994"/>
      <c r="IM327" s="994"/>
      <c r="IN327" s="994"/>
      <c r="IO327" s="994"/>
      <c r="IP327" s="994"/>
      <c r="IQ327" s="994"/>
      <c r="IR327" s="994"/>
      <c r="IS327" s="994"/>
      <c r="IT327" s="994"/>
      <c r="IU327" s="994"/>
      <c r="IV327" s="994"/>
    </row>
    <row r="328" spans="1:256" s="173" customFormat="1" ht="12.75" x14ac:dyDescent="0.2">
      <c r="A328" s="180" t="s">
        <v>474</v>
      </c>
      <c r="B328" s="165"/>
      <c r="C328" s="165"/>
      <c r="D328" s="165"/>
      <c r="E328" s="226"/>
      <c r="F328" s="155"/>
      <c r="G328" s="165"/>
      <c r="H328" s="165"/>
      <c r="I328" s="165"/>
      <c r="J328" s="226"/>
      <c r="K328" s="155"/>
      <c r="L328" s="165"/>
      <c r="M328" s="165"/>
      <c r="N328" s="165"/>
      <c r="O328" s="226"/>
      <c r="P328" s="155"/>
      <c r="Q328" s="165"/>
      <c r="R328" s="165"/>
      <c r="S328" s="165"/>
      <c r="T328" s="226"/>
      <c r="U328" s="155"/>
      <c r="V328" s="165"/>
      <c r="W328" s="165"/>
      <c r="X328" s="165"/>
      <c r="Y328" s="226"/>
      <c r="Z328" s="155"/>
      <c r="AA328" s="165"/>
      <c r="AB328" s="165"/>
      <c r="AC328" s="165"/>
      <c r="AD328" s="226"/>
      <c r="AE328" s="155"/>
      <c r="AF328" s="165"/>
      <c r="AG328" s="165"/>
      <c r="AH328" s="165"/>
      <c r="AI328" s="226"/>
      <c r="AJ328" s="155"/>
      <c r="AK328" s="165"/>
      <c r="AL328" s="165"/>
      <c r="AM328" s="165"/>
      <c r="AN328" s="226"/>
      <c r="AO328" s="155"/>
      <c r="AP328" s="165"/>
      <c r="AQ328" s="165"/>
      <c r="AR328" s="165"/>
      <c r="AS328" s="226"/>
      <c r="AT328" s="155">
        <v>9904</v>
      </c>
      <c r="AU328" s="165"/>
      <c r="AV328" s="165"/>
      <c r="AW328" s="165"/>
      <c r="AX328" s="226"/>
      <c r="AY328" s="155">
        <v>10477</v>
      </c>
      <c r="AZ328" s="165"/>
      <c r="BA328" s="165"/>
      <c r="BB328" s="165"/>
      <c r="BC328" s="226"/>
      <c r="BD328" s="155">
        <v>10956</v>
      </c>
      <c r="BE328" s="165"/>
      <c r="BF328" s="165"/>
      <c r="BG328" s="165"/>
      <c r="BH328" s="226"/>
      <c r="BI328" s="155">
        <v>11105</v>
      </c>
      <c r="BJ328" s="165"/>
      <c r="BK328" s="165"/>
      <c r="BL328" s="165"/>
      <c r="BM328" s="226"/>
      <c r="BN328" s="155">
        <v>11208</v>
      </c>
      <c r="BO328" s="165"/>
      <c r="BP328" s="165"/>
      <c r="BQ328" s="165"/>
      <c r="BR328" s="226"/>
      <c r="BS328" s="155">
        <v>11370</v>
      </c>
      <c r="BT328" s="165"/>
      <c r="BU328" s="165"/>
      <c r="BV328" s="165"/>
      <c r="BW328" s="226"/>
      <c r="BX328" s="155">
        <v>11779</v>
      </c>
      <c r="BY328" s="165"/>
      <c r="BZ328" s="165"/>
      <c r="CA328" s="165"/>
      <c r="CB328" s="226"/>
      <c r="CC328" s="155">
        <v>20526</v>
      </c>
      <c r="CD328" s="165"/>
      <c r="CE328" s="165"/>
      <c r="CF328" s="165"/>
      <c r="CG328" s="226"/>
      <c r="CH328" s="155">
        <v>20735</v>
      </c>
      <c r="CI328" s="165"/>
      <c r="CJ328" s="165"/>
      <c r="CK328" s="165"/>
      <c r="CL328" s="226"/>
      <c r="CM328" s="155">
        <v>21098</v>
      </c>
      <c r="CN328" s="165"/>
      <c r="CO328" s="165"/>
      <c r="CP328" s="165"/>
      <c r="CQ328" s="226"/>
      <c r="CR328" s="155">
        <v>21583</v>
      </c>
      <c r="CS328" s="165"/>
      <c r="CT328" s="165"/>
      <c r="CU328" s="165"/>
      <c r="CV328" s="226"/>
      <c r="CW328" s="155">
        <v>22247</v>
      </c>
      <c r="CX328" s="168"/>
      <c r="CY328" s="168"/>
      <c r="CZ328" s="168"/>
      <c r="DA328" s="165"/>
      <c r="DB328" s="155">
        <v>22643</v>
      </c>
      <c r="DC328" s="168"/>
      <c r="DD328" s="168"/>
      <c r="DE328" s="168"/>
      <c r="DF328" s="165"/>
      <c r="DG328" s="155">
        <v>23231</v>
      </c>
      <c r="DH328" s="165"/>
      <c r="DI328" s="168"/>
      <c r="DJ328" s="168"/>
      <c r="DK328" s="165"/>
      <c r="DL328" s="155">
        <v>24469</v>
      </c>
      <c r="DM328" s="165"/>
      <c r="DN328" s="168"/>
      <c r="DO328" s="168"/>
      <c r="DP328" s="165"/>
      <c r="DQ328" s="171">
        <v>25736</v>
      </c>
      <c r="DR328" s="158">
        <v>25870</v>
      </c>
      <c r="DS328" s="158">
        <v>26098</v>
      </c>
      <c r="DT328" s="158">
        <v>26413</v>
      </c>
      <c r="DU328" s="156">
        <f t="shared" si="1055"/>
        <v>26645</v>
      </c>
      <c r="DV328" s="171">
        <v>26645</v>
      </c>
      <c r="DW328" s="158">
        <v>26769</v>
      </c>
      <c r="DX328" s="158">
        <v>26927</v>
      </c>
      <c r="DY328" s="158">
        <v>27230</v>
      </c>
      <c r="DZ328" s="156">
        <f t="shared" si="1056"/>
        <v>27694</v>
      </c>
      <c r="EA328" s="2021">
        <v>27694</v>
      </c>
      <c r="EB328" s="2025">
        <v>27829</v>
      </c>
      <c r="EC328" s="2025">
        <v>28075</v>
      </c>
      <c r="ED328" s="2025">
        <v>28682</v>
      </c>
      <c r="EE328" s="2026">
        <f t="shared" si="1052"/>
        <v>28992</v>
      </c>
      <c r="EF328" s="2021">
        <v>28992</v>
      </c>
      <c r="EG328" s="2025">
        <v>29135</v>
      </c>
      <c r="EH328" s="2025">
        <v>29387</v>
      </c>
      <c r="EI328" s="2025">
        <v>29467</v>
      </c>
      <c r="EJ328" s="2026">
        <f t="shared" si="1053"/>
        <v>29751</v>
      </c>
      <c r="EK328" s="2021">
        <v>29751</v>
      </c>
      <c r="EL328" s="2025">
        <v>29927</v>
      </c>
      <c r="EM328" s="2025">
        <v>30033</v>
      </c>
      <c r="EN328" s="2025">
        <v>30163</v>
      </c>
      <c r="EO328" s="2026">
        <f t="shared" si="1054"/>
        <v>30330</v>
      </c>
      <c r="EP328" s="2021">
        <v>30330</v>
      </c>
      <c r="EQ328" s="2023"/>
      <c r="ER328" s="2023"/>
      <c r="ES328" s="2023"/>
      <c r="ET328" s="2023"/>
      <c r="EU328" s="171">
        <f>EP328-EU294-EU298-EU287-EU297</f>
        <v>31133.483602436343</v>
      </c>
      <c r="EV328" s="168"/>
      <c r="EW328" s="168"/>
      <c r="EX328" s="168"/>
      <c r="EY328" s="168"/>
      <c r="EZ328" s="171">
        <f>EU328-EZ294-EZ298-EZ287-EZ297</f>
        <v>32084.503560120465</v>
      </c>
      <c r="FA328" s="168"/>
      <c r="FB328" s="168"/>
      <c r="FC328" s="168"/>
      <c r="FD328" s="168"/>
      <c r="FE328" s="171">
        <f>EZ328-FE294-FE298-FE287-FE297</f>
        <v>33074.757303257691</v>
      </c>
      <c r="FF328" s="823"/>
      <c r="FG328" s="660"/>
      <c r="FH328" s="1085"/>
      <c r="FI328" s="1085"/>
      <c r="FJ328" s="1085"/>
      <c r="FK328" s="1085"/>
      <c r="FL328" s="1858"/>
      <c r="FM328" s="1789"/>
      <c r="FN328" s="1789"/>
      <c r="FO328" s="1789"/>
      <c r="FP328" s="1789"/>
      <c r="FQ328" s="1789"/>
      <c r="FR328" s="609"/>
      <c r="FS328" s="609"/>
      <c r="FT328" s="609"/>
      <c r="FU328" s="609"/>
      <c r="FV328" s="609"/>
      <c r="FW328" s="609"/>
      <c r="FX328" s="609"/>
      <c r="FY328" s="609"/>
      <c r="FZ328" s="609"/>
      <c r="GA328" s="660"/>
      <c r="GB328"/>
      <c r="GC328"/>
      <c r="GD328"/>
      <c r="GE328"/>
      <c r="GF328"/>
      <c r="GG328"/>
      <c r="GH328" s="994"/>
      <c r="GI328" s="994"/>
      <c r="GJ328" s="994"/>
      <c r="GK328" s="994"/>
      <c r="GL328" s="994"/>
      <c r="GM328" s="994"/>
      <c r="GN328" s="994"/>
      <c r="GO328" s="994"/>
      <c r="GP328" s="994"/>
      <c r="GQ328" s="994"/>
      <c r="GR328" s="994"/>
      <c r="GS328" s="994"/>
      <c r="GT328" s="994"/>
      <c r="GU328" s="994"/>
      <c r="GV328" s="994"/>
      <c r="GW328" s="994"/>
      <c r="GX328" s="994"/>
      <c r="GY328" s="994"/>
      <c r="GZ328" s="994"/>
      <c r="HA328" s="994"/>
      <c r="HB328" s="994"/>
      <c r="HC328" s="994"/>
      <c r="HD328" s="994"/>
      <c r="HE328" s="994"/>
      <c r="HF328" s="994"/>
      <c r="HG328" s="994"/>
      <c r="HH328" s="994"/>
      <c r="HI328" s="994"/>
      <c r="HJ328" s="994"/>
      <c r="HK328" s="994"/>
      <c r="HL328" s="994"/>
      <c r="HM328" s="994"/>
      <c r="HN328" s="994"/>
      <c r="HO328" s="994"/>
      <c r="HP328" s="994"/>
      <c r="HQ328" s="994"/>
      <c r="HR328" s="994"/>
      <c r="HS328" s="994"/>
      <c r="HT328" s="994"/>
      <c r="HU328" s="994"/>
      <c r="HV328" s="994"/>
      <c r="HW328" s="994"/>
      <c r="HX328" s="994"/>
      <c r="HY328" s="994"/>
      <c r="HZ328" s="994"/>
      <c r="IA328" s="994"/>
      <c r="IB328" s="994"/>
      <c r="IC328" s="994"/>
      <c r="ID328" s="994"/>
      <c r="IE328" s="994"/>
      <c r="IF328" s="994"/>
      <c r="IG328" s="994"/>
      <c r="IH328" s="994"/>
      <c r="II328" s="994"/>
      <c r="IJ328" s="994"/>
      <c r="IK328" s="994"/>
      <c r="IL328" s="994"/>
      <c r="IM328" s="994"/>
      <c r="IN328" s="994"/>
      <c r="IO328" s="994"/>
      <c r="IP328" s="994"/>
      <c r="IQ328" s="994"/>
      <c r="IR328" s="994"/>
      <c r="IS328" s="994"/>
      <c r="IT328" s="994"/>
      <c r="IU328" s="994"/>
      <c r="IV328" s="994"/>
    </row>
    <row r="329" spans="1:256" s="181" customFormat="1" ht="12.6" customHeight="1" x14ac:dyDescent="0.2">
      <c r="A329" s="180" t="s">
        <v>475</v>
      </c>
      <c r="B329" s="45"/>
      <c r="C329" s="45"/>
      <c r="D329" s="45"/>
      <c r="E329" s="230"/>
      <c r="F329" s="48"/>
      <c r="G329" s="45"/>
      <c r="H329" s="45"/>
      <c r="I329" s="45"/>
      <c r="J329" s="230"/>
      <c r="K329" s="48"/>
      <c r="L329" s="45"/>
      <c r="M329" s="45"/>
      <c r="N329" s="45"/>
      <c r="O329" s="230"/>
      <c r="P329" s="48"/>
      <c r="Q329" s="45"/>
      <c r="R329" s="45"/>
      <c r="S329" s="45"/>
      <c r="T329" s="230"/>
      <c r="U329" s="48"/>
      <c r="V329" s="45"/>
      <c r="W329" s="45"/>
      <c r="X329" s="45"/>
      <c r="Y329" s="230"/>
      <c r="Z329" s="48"/>
      <c r="AA329" s="45"/>
      <c r="AB329" s="45"/>
      <c r="AC329" s="45"/>
      <c r="AD329" s="230"/>
      <c r="AE329" s="48"/>
      <c r="AF329" s="45"/>
      <c r="AG329" s="45"/>
      <c r="AH329" s="45"/>
      <c r="AI329" s="230"/>
      <c r="AJ329" s="48"/>
      <c r="AK329" s="45"/>
      <c r="AL329" s="45"/>
      <c r="AM329" s="45"/>
      <c r="AN329" s="230"/>
      <c r="AO329" s="48"/>
      <c r="AP329" s="45"/>
      <c r="AQ329" s="45"/>
      <c r="AR329" s="45"/>
      <c r="AS329" s="230"/>
      <c r="AT329" s="48">
        <v>6343</v>
      </c>
      <c r="AU329" s="45"/>
      <c r="AV329" s="45"/>
      <c r="AW329" s="45"/>
      <c r="AX329" s="230"/>
      <c r="AY329" s="48">
        <v>6790</v>
      </c>
      <c r="AZ329" s="45"/>
      <c r="BA329" s="45"/>
      <c r="BB329" s="45"/>
      <c r="BC329" s="230"/>
      <c r="BD329" s="48">
        <v>6923</v>
      </c>
      <c r="BE329" s="45"/>
      <c r="BF329" s="45"/>
      <c r="BG329" s="45"/>
      <c r="BH329" s="230"/>
      <c r="BI329" s="48">
        <v>7022</v>
      </c>
      <c r="BJ329" s="45"/>
      <c r="BK329" s="45"/>
      <c r="BL329" s="45"/>
      <c r="BM329" s="230"/>
      <c r="BN329" s="48">
        <v>7163</v>
      </c>
      <c r="BO329" s="45"/>
      <c r="BP329" s="45"/>
      <c r="BQ329" s="45"/>
      <c r="BR329" s="230"/>
      <c r="BS329" s="48">
        <v>7287</v>
      </c>
      <c r="BT329" s="45"/>
      <c r="BU329" s="45"/>
      <c r="BV329" s="45"/>
      <c r="BW329" s="230"/>
      <c r="BX329" s="48">
        <v>7392</v>
      </c>
      <c r="BY329" s="45"/>
      <c r="BZ329" s="45"/>
      <c r="CA329" s="45"/>
      <c r="CB329" s="230"/>
      <c r="CC329" s="48">
        <v>2257</v>
      </c>
      <c r="CD329" s="45"/>
      <c r="CE329" s="45"/>
      <c r="CF329" s="45"/>
      <c r="CG329" s="230"/>
      <c r="CH329" s="48">
        <v>2474</v>
      </c>
      <c r="CI329" s="45"/>
      <c r="CJ329" s="45"/>
      <c r="CK329" s="45"/>
      <c r="CL329" s="230"/>
      <c r="CM329" s="48">
        <v>2530</v>
      </c>
      <c r="CN329" s="45"/>
      <c r="CO329" s="45"/>
      <c r="CP329" s="45"/>
      <c r="CQ329" s="230"/>
      <c r="CR329" s="48">
        <v>2886</v>
      </c>
      <c r="CS329" s="45"/>
      <c r="CT329" s="45"/>
      <c r="CU329" s="45"/>
      <c r="CV329" s="230"/>
      <c r="CW329" s="48">
        <v>2051</v>
      </c>
      <c r="CX329" s="272"/>
      <c r="CY329" s="272"/>
      <c r="CZ329" s="272"/>
      <c r="DA329" s="45"/>
      <c r="DB329" s="48">
        <f>2164+316</f>
        <v>2480</v>
      </c>
      <c r="DC329" s="272"/>
      <c r="DD329" s="272"/>
      <c r="DE329" s="272"/>
      <c r="DF329" s="45"/>
      <c r="DG329" s="48">
        <f>2193+304</f>
        <v>2497</v>
      </c>
      <c r="DH329" s="45"/>
      <c r="DI329" s="272"/>
      <c r="DJ329" s="272"/>
      <c r="DK329" s="45"/>
      <c r="DL329" s="48">
        <f>DL330-DL327-DL328</f>
        <v>2318</v>
      </c>
      <c r="DM329" s="45"/>
      <c r="DN329" s="272"/>
      <c r="DO329" s="272"/>
      <c r="DP329" s="45"/>
      <c r="DQ329" s="48">
        <f>DQ330-DQ327-DQ328</f>
        <v>2364</v>
      </c>
      <c r="DR329" s="158">
        <f>DR330-DR327-DR328</f>
        <v>2406</v>
      </c>
      <c r="DS329" s="158">
        <f>DS330-DS327-DS328</f>
        <v>2429</v>
      </c>
      <c r="DT329" s="158">
        <f>DT330-DT327-DT328</f>
        <v>2458</v>
      </c>
      <c r="DU329" s="158">
        <f t="shared" si="1055"/>
        <v>2763</v>
      </c>
      <c r="DV329" s="48">
        <f>DV330-DV327-DV328</f>
        <v>2763</v>
      </c>
      <c r="DW329" s="158">
        <f>DW330-DW327-DW328</f>
        <v>2801</v>
      </c>
      <c r="DX329" s="158">
        <f>DX330-DX327-DX328</f>
        <v>2847</v>
      </c>
      <c r="DY329" s="158">
        <f>DY330-DY327-DY328</f>
        <v>2964</v>
      </c>
      <c r="DZ329" s="158">
        <f t="shared" si="1056"/>
        <v>2728</v>
      </c>
      <c r="EA329" s="2030">
        <f>EA330-EA327-EA328</f>
        <v>2728</v>
      </c>
      <c r="EB329" s="2025">
        <f>EB330-EB327-EB328</f>
        <v>2831</v>
      </c>
      <c r="EC329" s="2025">
        <f>EC330-EC327-EC328</f>
        <v>2822</v>
      </c>
      <c r="ED329" s="2025">
        <f>ED330-ED327-ED328</f>
        <v>2843</v>
      </c>
      <c r="EE329" s="2025">
        <f t="shared" si="1052"/>
        <v>2635</v>
      </c>
      <c r="EF329" s="2030">
        <f>EF330-EF327-EF328</f>
        <v>2635</v>
      </c>
      <c r="EG329" s="2025">
        <f>EG330-EG327-EG328</f>
        <v>2684</v>
      </c>
      <c r="EH329" s="2025">
        <f>EH330-EH327-EH328</f>
        <v>2708</v>
      </c>
      <c r="EI329" s="2025">
        <f>EI330-EI327-EI328</f>
        <v>2848</v>
      </c>
      <c r="EJ329" s="2025">
        <f t="shared" si="1053"/>
        <v>2850</v>
      </c>
      <c r="EK329" s="2030">
        <f>EK330-EK327-EK328</f>
        <v>2850</v>
      </c>
      <c r="EL329" s="2025">
        <f>EL330-EL327-EL328</f>
        <v>2891</v>
      </c>
      <c r="EM329" s="2025">
        <f>EM330-EM327-EM328</f>
        <v>2953</v>
      </c>
      <c r="EN329" s="2025">
        <f>EN330-EN327-EN328</f>
        <v>2991</v>
      </c>
      <c r="EO329" s="2025">
        <f t="shared" si="1054"/>
        <v>3232</v>
      </c>
      <c r="EP329" s="2030">
        <f>EP330-EP327-EP328</f>
        <v>3232</v>
      </c>
      <c r="EQ329" s="2023"/>
      <c r="ER329" s="2023"/>
      <c r="ES329" s="2023"/>
      <c r="ET329" s="2023"/>
      <c r="EU329" s="907">
        <f>EP329+Pension!N61+OPEB!N61</f>
        <v>3207.5440624096186</v>
      </c>
      <c r="EV329" s="908"/>
      <c r="EW329" s="908"/>
      <c r="EX329" s="908"/>
      <c r="EY329" s="908"/>
      <c r="EZ329" s="907">
        <f>EU329+Pension!O61+OPEB!O61</f>
        <v>3178.9886398457161</v>
      </c>
      <c r="FA329" s="908"/>
      <c r="FB329" s="908"/>
      <c r="FC329" s="908"/>
      <c r="FD329" s="908"/>
      <c r="FE329" s="907">
        <f>EZ329+Pension!P61+OPEB!P61</f>
        <v>3145.6951380128498</v>
      </c>
      <c r="FF329" s="824"/>
      <c r="FG329" s="660"/>
      <c r="FH329" s="1085"/>
      <c r="FI329" s="1085"/>
      <c r="FJ329" s="1085"/>
      <c r="FK329" s="1085"/>
      <c r="FL329" s="1858"/>
      <c r="FM329" s="1789"/>
      <c r="FN329" s="1789"/>
      <c r="FO329" s="1789"/>
      <c r="FP329" s="1789"/>
      <c r="FQ329" s="1789"/>
      <c r="FR329" s="610"/>
      <c r="FS329" s="610"/>
      <c r="FT329" s="610"/>
      <c r="FU329" s="610"/>
      <c r="FV329" s="610"/>
      <c r="FW329" s="610"/>
      <c r="FX329" s="610"/>
      <c r="FY329" s="610"/>
      <c r="FZ329" s="610"/>
      <c r="GA329" s="660"/>
      <c r="GB329"/>
      <c r="GC329"/>
      <c r="GD329"/>
      <c r="GE329"/>
      <c r="GF329"/>
      <c r="GG329"/>
      <c r="GH329" s="995"/>
      <c r="GI329" s="995"/>
      <c r="GJ329" s="995"/>
      <c r="GK329" s="995"/>
      <c r="GL329" s="995"/>
      <c r="GM329" s="995"/>
      <c r="GN329" s="995"/>
      <c r="GO329" s="995"/>
      <c r="GP329" s="995"/>
      <c r="GQ329" s="995"/>
      <c r="GR329" s="995"/>
      <c r="GS329" s="995"/>
      <c r="GT329" s="995"/>
      <c r="GU329" s="995"/>
      <c r="GV329" s="995"/>
      <c r="GW329" s="995"/>
      <c r="GX329" s="995"/>
      <c r="GY329" s="995"/>
      <c r="GZ329" s="995"/>
      <c r="HA329" s="995"/>
      <c r="HB329" s="995"/>
      <c r="HC329" s="995"/>
      <c r="HD329" s="995"/>
      <c r="HE329" s="995"/>
      <c r="HF329" s="995"/>
      <c r="HG329" s="995"/>
      <c r="HH329" s="995"/>
      <c r="HI329" s="995"/>
      <c r="HJ329" s="995"/>
      <c r="HK329" s="995"/>
      <c r="HL329" s="995"/>
      <c r="HM329" s="995"/>
      <c r="HN329" s="995"/>
      <c r="HO329" s="995"/>
      <c r="HP329" s="995"/>
      <c r="HQ329" s="995"/>
      <c r="HR329" s="995"/>
      <c r="HS329" s="995"/>
      <c r="HT329" s="995"/>
      <c r="HU329" s="995"/>
      <c r="HV329" s="995"/>
      <c r="HW329" s="995"/>
      <c r="HX329" s="995"/>
      <c r="HY329" s="995"/>
      <c r="HZ329" s="995"/>
      <c r="IA329" s="995"/>
      <c r="IB329" s="995"/>
      <c r="IC329" s="995"/>
      <c r="ID329" s="995"/>
      <c r="IE329" s="995"/>
      <c r="IF329" s="995"/>
      <c r="IG329" s="995"/>
      <c r="IH329" s="995"/>
      <c r="II329" s="995"/>
      <c r="IJ329" s="995"/>
      <c r="IK329" s="995"/>
      <c r="IL329" s="995"/>
      <c r="IM329" s="995"/>
      <c r="IN329" s="995"/>
      <c r="IO329" s="995"/>
      <c r="IP329" s="995"/>
      <c r="IQ329" s="995"/>
      <c r="IR329" s="995"/>
      <c r="IS329" s="995"/>
      <c r="IT329" s="995"/>
      <c r="IU329" s="995"/>
      <c r="IV329" s="995"/>
    </row>
    <row r="330" spans="1:256" s="275" customFormat="1" ht="12.6" customHeight="1" x14ac:dyDescent="0.2">
      <c r="A330" s="273" t="s">
        <v>202</v>
      </c>
      <c r="B330" s="240"/>
      <c r="C330" s="240"/>
      <c r="D330" s="240"/>
      <c r="E330" s="274"/>
      <c r="F330" s="177"/>
      <c r="G330" s="240"/>
      <c r="H330" s="240"/>
      <c r="I330" s="240"/>
      <c r="J330" s="274"/>
      <c r="K330" s="177"/>
      <c r="L330" s="240"/>
      <c r="M330" s="240"/>
      <c r="N330" s="240"/>
      <c r="O330" s="274"/>
      <c r="P330" s="177"/>
      <c r="Q330" s="240"/>
      <c r="R330" s="240"/>
      <c r="S330" s="240"/>
      <c r="T330" s="274"/>
      <c r="U330" s="177"/>
      <c r="V330" s="240"/>
      <c r="W330" s="240"/>
      <c r="X330" s="240"/>
      <c r="Y330" s="274"/>
      <c r="Z330" s="177"/>
      <c r="AA330" s="240"/>
      <c r="AB330" s="240"/>
      <c r="AC330" s="240"/>
      <c r="AD330" s="274"/>
      <c r="AE330" s="177"/>
      <c r="AF330" s="240"/>
      <c r="AG330" s="240"/>
      <c r="AH330" s="240"/>
      <c r="AI330" s="274"/>
      <c r="AJ330" s="177"/>
      <c r="AK330" s="240"/>
      <c r="AL330" s="240"/>
      <c r="AM330" s="240"/>
      <c r="AN330" s="274"/>
      <c r="AO330" s="177"/>
      <c r="AP330" s="240"/>
      <c r="AQ330" s="240"/>
      <c r="AR330" s="240"/>
      <c r="AS330" s="274"/>
      <c r="AT330" s="177">
        <f>AT324+AT326+AT327+AT328+AT329</f>
        <v>17350.092827204055</v>
      </c>
      <c r="AU330" s="240"/>
      <c r="AV330" s="240"/>
      <c r="AW330" s="240"/>
      <c r="AX330" s="274"/>
      <c r="AY330" s="177">
        <f>AY324+AY326+AY327+AY328+AY329</f>
        <v>18180.078382340056</v>
      </c>
      <c r="AZ330" s="240"/>
      <c r="BA330" s="240"/>
      <c r="BB330" s="240"/>
      <c r="BC330" s="274"/>
      <c r="BD330" s="177">
        <f>BD324+BD326+BD327+BD328+BD329</f>
        <v>19250.08912089837</v>
      </c>
      <c r="BE330" s="240"/>
      <c r="BF330" s="240"/>
      <c r="BG330" s="240"/>
      <c r="BH330" s="274"/>
      <c r="BI330" s="177">
        <f>BI324+BI326+BI327+BI328+BI329</f>
        <v>18976.07079071278</v>
      </c>
      <c r="BJ330" s="240"/>
      <c r="BK330" s="240"/>
      <c r="BL330" s="240"/>
      <c r="BM330" s="274"/>
      <c r="BN330" s="177">
        <f>BN324+BN326+BN327+BN328+BN329</f>
        <v>19418.059643435983</v>
      </c>
      <c r="BO330" s="240"/>
      <c r="BP330" s="240"/>
      <c r="BQ330" s="240"/>
      <c r="BR330" s="274"/>
      <c r="BS330" s="177">
        <f>BS324+BS326+BS327+BS328+BS329</f>
        <v>19956.068899521531</v>
      </c>
      <c r="BT330" s="240"/>
      <c r="BU330" s="240"/>
      <c r="BV330" s="240"/>
      <c r="BW330" s="274"/>
      <c r="BX330" s="177">
        <f>BX324+BX326+BX327+BX328+BX329</f>
        <v>20596.068645640073</v>
      </c>
      <c r="BY330" s="240"/>
      <c r="BZ330" s="240"/>
      <c r="CA330" s="240"/>
      <c r="CB330" s="274"/>
      <c r="CC330" s="177">
        <f>CC324+CC326+CC327+CC328+CC329</f>
        <v>24750.072620350111</v>
      </c>
      <c r="CD330" s="240"/>
      <c r="CE330" s="240"/>
      <c r="CF330" s="240"/>
      <c r="CG330" s="274"/>
      <c r="CH330" s="177">
        <f>CH324+CH326+CH327+CH328+CH329</f>
        <v>25859.054532577902</v>
      </c>
      <c r="CI330" s="240"/>
      <c r="CJ330" s="240"/>
      <c r="CK330" s="240"/>
      <c r="CL330" s="274"/>
      <c r="CM330" s="177">
        <f>CM324+CM326+CM327+CM328+CM329</f>
        <v>26028.05208886999</v>
      </c>
      <c r="CN330" s="240"/>
      <c r="CO330" s="240"/>
      <c r="CP330" s="240"/>
      <c r="CQ330" s="274"/>
      <c r="CR330" s="177">
        <f>CR324+CR326+CR327+CR328+CR329</f>
        <v>26144.055873621714</v>
      </c>
      <c r="CS330" s="240"/>
      <c r="CT330" s="240"/>
      <c r="CU330" s="240"/>
      <c r="CV330" s="274"/>
      <c r="CW330" s="177">
        <f>CW324+CW326+CW327+CW328+CW329</f>
        <v>26297.047931713721</v>
      </c>
      <c r="CX330" s="240"/>
      <c r="CY330" s="240"/>
      <c r="CZ330" s="240"/>
      <c r="DA330" s="240"/>
      <c r="DB330" s="177">
        <f>DB324+DB326+DB327+DB328+DB329</f>
        <v>27369.049441586147</v>
      </c>
      <c r="DC330" s="240"/>
      <c r="DD330" s="240"/>
      <c r="DE330" s="240"/>
      <c r="DF330" s="240"/>
      <c r="DG330" s="177">
        <f>DG324+DG326+DG327+DG328+DG329</f>
        <v>28199.058218514452</v>
      </c>
      <c r="DH330" s="240"/>
      <c r="DI330" s="240"/>
      <c r="DJ330" s="240"/>
      <c r="DK330" s="240"/>
      <c r="DL330" s="177">
        <v>28538</v>
      </c>
      <c r="DM330" s="240"/>
      <c r="DN330" s="240"/>
      <c r="DO330" s="240"/>
      <c r="DP330" s="240"/>
      <c r="DQ330" s="177">
        <v>30342</v>
      </c>
      <c r="DR330" s="1167">
        <v>30599</v>
      </c>
      <c r="DS330" s="1167">
        <v>30605</v>
      </c>
      <c r="DT330" s="1167">
        <v>31365</v>
      </c>
      <c r="DU330" s="1284">
        <f t="shared" si="1055"/>
        <v>32483</v>
      </c>
      <c r="DV330" s="177">
        <v>32483</v>
      </c>
      <c r="DW330" s="1167">
        <v>32700</v>
      </c>
      <c r="DX330" s="1167">
        <v>33040</v>
      </c>
      <c r="DY330" s="1167">
        <v>33206</v>
      </c>
      <c r="DZ330" s="1284">
        <f t="shared" si="1056"/>
        <v>33200</v>
      </c>
      <c r="EA330" s="2027">
        <v>33200</v>
      </c>
      <c r="EB330" s="2031">
        <v>32775</v>
      </c>
      <c r="EC330" s="2031">
        <v>33310</v>
      </c>
      <c r="ED330" s="2031">
        <v>33527</v>
      </c>
      <c r="EE330" s="2032">
        <f t="shared" si="1052"/>
        <v>34139</v>
      </c>
      <c r="EF330" s="2027">
        <v>34139</v>
      </c>
      <c r="EG330" s="2031">
        <v>33785</v>
      </c>
      <c r="EH330" s="2031">
        <v>34334</v>
      </c>
      <c r="EI330" s="2031">
        <v>34632</v>
      </c>
      <c r="EJ330" s="2032">
        <f t="shared" si="1053"/>
        <v>34892</v>
      </c>
      <c r="EK330" s="2027">
        <v>34892</v>
      </c>
      <c r="EL330" s="2031">
        <v>35145</v>
      </c>
      <c r="EM330" s="2031">
        <v>34922</v>
      </c>
      <c r="EN330" s="2031">
        <v>35153</v>
      </c>
      <c r="EO330" s="2032">
        <f t="shared" si="1054"/>
        <v>35711</v>
      </c>
      <c r="EP330" s="2027">
        <v>35711</v>
      </c>
      <c r="EQ330" s="2033"/>
      <c r="ER330" s="2033"/>
      <c r="ES330" s="2033"/>
      <c r="ET330" s="2033"/>
      <c r="EU330" s="177">
        <f ca="1">EU329+EU328+EU327</f>
        <v>36556.041492950535</v>
      </c>
      <c r="EV330" s="167"/>
      <c r="EW330" s="167"/>
      <c r="EX330" s="167"/>
      <c r="EY330" s="167"/>
      <c r="EZ330" s="177">
        <f ca="1">EZ329+EZ328+EZ327</f>
        <v>37840.950252905619</v>
      </c>
      <c r="FA330" s="167"/>
      <c r="FB330" s="167"/>
      <c r="FC330" s="167"/>
      <c r="FD330" s="167"/>
      <c r="FE330" s="177">
        <f ca="1">FE329+FE328+FE327</f>
        <v>39272.764885806871</v>
      </c>
      <c r="FF330" s="825"/>
      <c r="FG330" s="660"/>
      <c r="FH330" s="1085"/>
      <c r="FI330" s="1085"/>
      <c r="FJ330" s="1085"/>
      <c r="FK330" s="1085"/>
      <c r="FL330" s="1858"/>
      <c r="FM330" s="1789"/>
      <c r="FN330" s="1789"/>
      <c r="FO330" s="1789"/>
      <c r="FP330" s="1789"/>
      <c r="FQ330" s="1789"/>
      <c r="FR330" s="611"/>
      <c r="FS330" s="611"/>
      <c r="FT330" s="611"/>
      <c r="FU330" s="611"/>
      <c r="FV330" s="611"/>
      <c r="FW330" s="611"/>
      <c r="FX330" s="611"/>
      <c r="FY330" s="611"/>
      <c r="FZ330" s="611"/>
      <c r="GA330" s="660"/>
      <c r="GB330"/>
      <c r="GC330"/>
      <c r="GD330"/>
      <c r="GE330"/>
      <c r="GF330"/>
      <c r="GG330"/>
      <c r="GH330" s="996"/>
      <c r="GI330" s="996"/>
      <c r="GJ330" s="996"/>
      <c r="GK330" s="996"/>
      <c r="GL330" s="996"/>
      <c r="GM330" s="996"/>
      <c r="GN330" s="996"/>
      <c r="GO330" s="996"/>
      <c r="GP330" s="996"/>
      <c r="GQ330" s="996"/>
      <c r="GR330" s="996"/>
      <c r="GS330" s="996"/>
      <c r="GT330" s="996"/>
      <c r="GU330" s="996"/>
      <c r="GV330" s="996"/>
      <c r="GW330" s="996"/>
      <c r="GX330" s="996"/>
      <c r="GY330" s="996"/>
      <c r="GZ330" s="996"/>
      <c r="HA330" s="996"/>
      <c r="HB330" s="996"/>
      <c r="HC330" s="996"/>
      <c r="HD330" s="996"/>
      <c r="HE330" s="996"/>
      <c r="HF330" s="996"/>
      <c r="HG330" s="996"/>
      <c r="HH330" s="996"/>
      <c r="HI330" s="996"/>
      <c r="HJ330" s="996"/>
      <c r="HK330" s="996"/>
      <c r="HL330" s="996"/>
      <c r="HM330" s="996"/>
      <c r="HN330" s="996"/>
      <c r="HO330" s="996"/>
      <c r="HP330" s="996"/>
      <c r="HQ330" s="996"/>
      <c r="HR330" s="996"/>
      <c r="HS330" s="996"/>
      <c r="HT330" s="996"/>
      <c r="HU330" s="996"/>
      <c r="HV330" s="996"/>
      <c r="HW330" s="996"/>
      <c r="HX330" s="996"/>
      <c r="HY330" s="996"/>
      <c r="HZ330" s="996"/>
      <c r="IA330" s="996"/>
      <c r="IB330" s="996"/>
      <c r="IC330" s="996"/>
      <c r="ID330" s="996"/>
      <c r="IE330" s="996"/>
      <c r="IF330" s="996"/>
      <c r="IG330" s="996"/>
      <c r="IH330" s="996"/>
      <c r="II330" s="996"/>
      <c r="IJ330" s="996"/>
      <c r="IK330" s="996"/>
      <c r="IL330" s="996"/>
      <c r="IM330" s="996"/>
      <c r="IN330" s="996"/>
      <c r="IO330" s="996"/>
      <c r="IP330" s="996"/>
      <c r="IQ330" s="996"/>
      <c r="IR330" s="996"/>
      <c r="IS330" s="996"/>
      <c r="IT330" s="996"/>
      <c r="IU330" s="996"/>
      <c r="IV330" s="996"/>
    </row>
    <row r="331" spans="1:256" s="562" customFormat="1" ht="12.6" customHeight="1" x14ac:dyDescent="0.2">
      <c r="A331" s="557" t="s">
        <v>311</v>
      </c>
      <c r="B331" s="558"/>
      <c r="C331" s="558"/>
      <c r="D331" s="558"/>
      <c r="E331" s="559"/>
      <c r="F331" s="560"/>
      <c r="G331" s="558"/>
      <c r="H331" s="558"/>
      <c r="I331" s="558"/>
      <c r="J331" s="559"/>
      <c r="K331" s="560"/>
      <c r="L331" s="558"/>
      <c r="M331" s="558"/>
      <c r="N331" s="558"/>
      <c r="O331" s="559"/>
      <c r="P331" s="560"/>
      <c r="Q331" s="558"/>
      <c r="R331" s="558"/>
      <c r="S331" s="558"/>
      <c r="T331" s="559"/>
      <c r="U331" s="560"/>
      <c r="V331" s="558"/>
      <c r="W331" s="558"/>
      <c r="X331" s="558"/>
      <c r="Y331" s="559"/>
      <c r="Z331" s="560"/>
      <c r="AA331" s="558"/>
      <c r="AB331" s="558"/>
      <c r="AC331" s="558"/>
      <c r="AD331" s="559"/>
      <c r="AE331" s="560"/>
      <c r="AF331" s="558"/>
      <c r="AG331" s="558"/>
      <c r="AH331" s="558"/>
      <c r="AI331" s="559"/>
      <c r="AJ331" s="560"/>
      <c r="AK331" s="558"/>
      <c r="AL331" s="558"/>
      <c r="AM331" s="558"/>
      <c r="AN331" s="559"/>
      <c r="AO331" s="560"/>
      <c r="AP331" s="558"/>
      <c r="AQ331" s="558"/>
      <c r="AR331" s="558"/>
      <c r="AS331" s="559"/>
      <c r="AT331" s="560"/>
      <c r="AU331" s="558"/>
      <c r="AV331" s="558"/>
      <c r="AW331" s="558"/>
      <c r="AX331" s="559"/>
      <c r="AY331" s="560"/>
      <c r="AZ331" s="558"/>
      <c r="BA331" s="558"/>
      <c r="BB331" s="558"/>
      <c r="BC331" s="559"/>
      <c r="BD331" s="560"/>
      <c r="BE331" s="558"/>
      <c r="BF331" s="558"/>
      <c r="BG331" s="558"/>
      <c r="BH331" s="559"/>
      <c r="BI331" s="560"/>
      <c r="BJ331" s="558"/>
      <c r="BK331" s="558"/>
      <c r="BL331" s="558"/>
      <c r="BM331" s="559"/>
      <c r="BN331" s="560"/>
      <c r="BO331" s="558"/>
      <c r="BP331" s="558"/>
      <c r="BQ331" s="558"/>
      <c r="BR331" s="559"/>
      <c r="BS331" s="560"/>
      <c r="BT331" s="558"/>
      <c r="BU331" s="558"/>
      <c r="BV331" s="558"/>
      <c r="BW331" s="559"/>
      <c r="BX331" s="560"/>
      <c r="BY331" s="558"/>
      <c r="BZ331" s="558"/>
      <c r="CA331" s="558"/>
      <c r="CB331" s="559"/>
      <c r="CC331" s="560"/>
      <c r="CD331" s="558"/>
      <c r="CE331" s="558"/>
      <c r="CF331" s="558"/>
      <c r="CG331" s="559"/>
      <c r="CH331" s="560"/>
      <c r="CI331" s="558"/>
      <c r="CJ331" s="558"/>
      <c r="CK331" s="558"/>
      <c r="CL331" s="559"/>
      <c r="CM331" s="560"/>
      <c r="CN331" s="558"/>
      <c r="CO331" s="558"/>
      <c r="CP331" s="558"/>
      <c r="CQ331" s="559"/>
      <c r="CR331" s="560"/>
      <c r="CS331" s="558"/>
      <c r="CT331" s="558"/>
      <c r="CU331" s="558"/>
      <c r="CV331" s="559"/>
      <c r="CW331" s="560"/>
      <c r="CX331" s="558"/>
      <c r="CY331" s="558"/>
      <c r="CZ331" s="558"/>
      <c r="DA331" s="558"/>
      <c r="DB331" s="560"/>
      <c r="DC331" s="558"/>
      <c r="DD331" s="558"/>
      <c r="DE331" s="558"/>
      <c r="DF331" s="558"/>
      <c r="DG331" s="560"/>
      <c r="DH331" s="558"/>
      <c r="DI331" s="558"/>
      <c r="DJ331" s="558"/>
      <c r="DK331" s="558"/>
      <c r="DL331" s="560"/>
      <c r="DM331" s="558"/>
      <c r="DN331" s="558"/>
      <c r="DO331" s="558"/>
      <c r="DP331" s="558"/>
      <c r="DQ331" s="560"/>
      <c r="DR331" s="558"/>
      <c r="DS331" s="558"/>
      <c r="DT331" s="558"/>
      <c r="DU331" s="558"/>
      <c r="DV331" s="560"/>
      <c r="DW331" s="558"/>
      <c r="DX331" s="558"/>
      <c r="DY331" s="558"/>
      <c r="DZ331" s="558"/>
      <c r="EA331" s="560"/>
      <c r="EB331" s="558"/>
      <c r="EC331" s="558"/>
      <c r="ED331" s="561"/>
      <c r="EE331" s="558"/>
      <c r="EF331" s="560"/>
      <c r="EG331" s="558"/>
      <c r="EH331" s="561"/>
      <c r="EI331" s="561"/>
      <c r="EJ331" s="558"/>
      <c r="EK331" s="560"/>
      <c r="EL331" s="558"/>
      <c r="EM331" s="561"/>
      <c r="EN331" s="561"/>
      <c r="EO331" s="558"/>
      <c r="EP331" s="560"/>
      <c r="EQ331" s="561"/>
      <c r="ER331" s="561"/>
      <c r="ES331" s="561"/>
      <c r="ET331" s="561"/>
      <c r="EU331" s="560"/>
      <c r="EV331" s="561"/>
      <c r="EW331" s="561"/>
      <c r="EX331" s="561"/>
      <c r="EY331" s="561"/>
      <c r="EZ331" s="560"/>
      <c r="FA331" s="561"/>
      <c r="FB331" s="561"/>
      <c r="FC331" s="561"/>
      <c r="FD331" s="561"/>
      <c r="FE331" s="560"/>
      <c r="FF331" s="817"/>
      <c r="FG331" s="660"/>
      <c r="FH331" s="1085"/>
      <c r="FI331" s="1085"/>
      <c r="FJ331" s="1085"/>
      <c r="FK331" s="1085"/>
      <c r="FL331" s="1858"/>
      <c r="FM331" s="1789"/>
      <c r="FN331" s="1789"/>
      <c r="FO331" s="1789"/>
      <c r="FP331" s="1789"/>
      <c r="FQ331" s="1789"/>
      <c r="FR331" s="604"/>
      <c r="FS331" s="604"/>
      <c r="FT331" s="604"/>
      <c r="FU331" s="604"/>
      <c r="FV331" s="604"/>
      <c r="FW331" s="604"/>
      <c r="FX331" s="604"/>
      <c r="FY331" s="604"/>
      <c r="FZ331" s="604"/>
      <c r="GA331" s="660"/>
      <c r="GB331"/>
      <c r="GC331"/>
      <c r="GD331"/>
      <c r="GE331"/>
      <c r="GF331"/>
      <c r="GG331"/>
      <c r="GH331" s="992"/>
      <c r="GI331" s="992"/>
      <c r="GJ331" s="992"/>
      <c r="GK331" s="992"/>
      <c r="GL331" s="992"/>
      <c r="GM331" s="992"/>
      <c r="GN331" s="992"/>
      <c r="GO331" s="992"/>
      <c r="GP331" s="992"/>
      <c r="GQ331" s="992"/>
      <c r="GR331" s="992"/>
      <c r="GS331" s="992"/>
      <c r="GT331" s="992"/>
      <c r="GU331" s="992"/>
      <c r="GV331" s="992"/>
      <c r="GW331" s="992"/>
      <c r="GX331" s="992"/>
      <c r="GY331" s="992"/>
      <c r="GZ331" s="992"/>
      <c r="HA331" s="992"/>
      <c r="HB331" s="992"/>
      <c r="HC331" s="992"/>
      <c r="HD331" s="992"/>
      <c r="HE331" s="992"/>
      <c r="HF331" s="992"/>
      <c r="HG331" s="992"/>
      <c r="HH331" s="992"/>
      <c r="HI331" s="992"/>
      <c r="HJ331" s="992"/>
      <c r="HK331" s="992"/>
      <c r="HL331" s="992"/>
      <c r="HM331" s="992"/>
      <c r="HN331" s="992"/>
      <c r="HO331" s="992"/>
      <c r="HP331" s="992"/>
      <c r="HQ331" s="992"/>
      <c r="HR331" s="992"/>
      <c r="HS331" s="992"/>
      <c r="HT331" s="992"/>
      <c r="HU331" s="992"/>
      <c r="HV331" s="992"/>
      <c r="HW331" s="992"/>
      <c r="HX331" s="992"/>
      <c r="HY331" s="992"/>
      <c r="HZ331" s="992"/>
      <c r="IA331" s="992"/>
      <c r="IB331" s="992"/>
      <c r="IC331" s="992"/>
      <c r="ID331" s="992"/>
      <c r="IE331" s="992"/>
      <c r="IF331" s="992"/>
      <c r="IG331" s="992"/>
      <c r="IH331" s="992"/>
      <c r="II331" s="992"/>
      <c r="IJ331" s="992"/>
      <c r="IK331" s="992"/>
      <c r="IL331" s="992"/>
      <c r="IM331" s="992"/>
      <c r="IN331" s="992"/>
      <c r="IO331" s="992"/>
      <c r="IP331" s="992"/>
      <c r="IQ331" s="992"/>
      <c r="IR331" s="992"/>
      <c r="IS331" s="992"/>
      <c r="IT331" s="992"/>
      <c r="IU331" s="992"/>
      <c r="IV331" s="992"/>
    </row>
    <row r="332" spans="1:256" s="181" customFormat="1" ht="12.6" customHeight="1" x14ac:dyDescent="0.2">
      <c r="A332" s="180" t="s">
        <v>358</v>
      </c>
      <c r="B332" s="165"/>
      <c r="C332" s="165"/>
      <c r="D332" s="165"/>
      <c r="E332" s="226"/>
      <c r="F332" s="155"/>
      <c r="G332" s="165"/>
      <c r="H332" s="165"/>
      <c r="I332" s="165"/>
      <c r="J332" s="226"/>
      <c r="K332" s="155"/>
      <c r="L332" s="165"/>
      <c r="M332" s="165"/>
      <c r="N332" s="165"/>
      <c r="O332" s="226"/>
      <c r="P332" s="155"/>
      <c r="Q332" s="165"/>
      <c r="R332" s="165"/>
      <c r="S332" s="165"/>
      <c r="T332" s="226"/>
      <c r="U332" s="155"/>
      <c r="V332" s="165"/>
      <c r="W332" s="165"/>
      <c r="X332" s="165"/>
      <c r="Y332" s="226"/>
      <c r="Z332" s="155"/>
      <c r="AA332" s="165"/>
      <c r="AB332" s="165"/>
      <c r="AC332" s="165"/>
      <c r="AD332" s="226"/>
      <c r="AE332" s="155"/>
      <c r="AF332" s="165"/>
      <c r="AG332" s="165"/>
      <c r="AH332" s="165"/>
      <c r="AI332" s="226"/>
      <c r="AJ332" s="155"/>
      <c r="AK332" s="165"/>
      <c r="AL332" s="165"/>
      <c r="AM332" s="165"/>
      <c r="AN332" s="226"/>
      <c r="AO332" s="155"/>
      <c r="AP332" s="165"/>
      <c r="AQ332" s="165"/>
      <c r="AR332" s="165"/>
      <c r="AS332" s="226"/>
      <c r="AT332" s="155">
        <f>27+61</f>
        <v>88</v>
      </c>
      <c r="AU332" s="165"/>
      <c r="AV332" s="165"/>
      <c r="AW332" s="165"/>
      <c r="AX332" s="226"/>
      <c r="AY332" s="155">
        <v>141</v>
      </c>
      <c r="AZ332" s="165"/>
      <c r="BA332" s="165"/>
      <c r="BB332" s="165"/>
      <c r="BC332" s="226"/>
      <c r="BD332" s="155">
        <v>503</v>
      </c>
      <c r="BE332" s="165"/>
      <c r="BF332" s="165"/>
      <c r="BG332" s="165"/>
      <c r="BH332" s="226"/>
      <c r="BI332" s="155">
        <v>297</v>
      </c>
      <c r="BJ332" s="165"/>
      <c r="BK332" s="165"/>
      <c r="BL332" s="165"/>
      <c r="BM332" s="226"/>
      <c r="BN332" s="155">
        <v>605</v>
      </c>
      <c r="BO332" s="165"/>
      <c r="BP332" s="165"/>
      <c r="BQ332" s="165"/>
      <c r="BR332" s="226"/>
      <c r="BS332" s="155">
        <v>358</v>
      </c>
      <c r="BT332" s="165"/>
      <c r="BU332" s="165"/>
      <c r="BV332" s="165"/>
      <c r="BW332" s="226"/>
      <c r="BX332" s="155">
        <v>360</v>
      </c>
      <c r="BY332" s="165"/>
      <c r="BZ332" s="165"/>
      <c r="CA332" s="165"/>
      <c r="CB332" s="226"/>
      <c r="CC332" s="155">
        <v>662</v>
      </c>
      <c r="CD332" s="165"/>
      <c r="CE332" s="165"/>
      <c r="CF332" s="165"/>
      <c r="CG332" s="226"/>
      <c r="CH332" s="155">
        <v>314</v>
      </c>
      <c r="CI332" s="165"/>
      <c r="CJ332" s="165"/>
      <c r="CK332" s="165"/>
      <c r="CL332" s="226"/>
      <c r="CM332" s="155">
        <v>491</v>
      </c>
      <c r="CN332" s="165"/>
      <c r="CO332" s="165"/>
      <c r="CP332" s="165"/>
      <c r="CQ332" s="226"/>
      <c r="CR332" s="155">
        <v>369</v>
      </c>
      <c r="CS332" s="165"/>
      <c r="CT332" s="165"/>
      <c r="CU332" s="165"/>
      <c r="CV332" s="226"/>
      <c r="CW332" s="155">
        <v>484</v>
      </c>
      <c r="CX332" s="360">
        <v>468</v>
      </c>
      <c r="CY332" s="360">
        <v>394</v>
      </c>
      <c r="CZ332" s="360">
        <v>380</v>
      </c>
      <c r="DA332" s="156">
        <v>474</v>
      </c>
      <c r="DB332" s="155">
        <f>374+100</f>
        <v>474</v>
      </c>
      <c r="DC332" s="360">
        <v>648</v>
      </c>
      <c r="DD332" s="360">
        <v>363</v>
      </c>
      <c r="DE332" s="360">
        <v>458</v>
      </c>
      <c r="DF332" s="156">
        <v>458</v>
      </c>
      <c r="DG332" s="155">
        <f>358+100</f>
        <v>458</v>
      </c>
      <c r="DH332" s="156">
        <v>102</v>
      </c>
      <c r="DI332" s="360">
        <v>55</v>
      </c>
      <c r="DJ332" s="360">
        <v>55</v>
      </c>
      <c r="DK332" s="156">
        <v>100</v>
      </c>
      <c r="DL332" s="155">
        <v>100</v>
      </c>
      <c r="DM332" s="156">
        <v>0</v>
      </c>
      <c r="DN332" s="360">
        <v>0</v>
      </c>
      <c r="DO332" s="360">
        <v>0</v>
      </c>
      <c r="DP332" s="156">
        <v>200</v>
      </c>
      <c r="DQ332" s="155">
        <v>250</v>
      </c>
      <c r="DR332" s="156">
        <v>0</v>
      </c>
      <c r="DS332" s="156">
        <v>0</v>
      </c>
      <c r="DT332" s="156">
        <v>0</v>
      </c>
      <c r="DU332" s="156">
        <f t="shared" si="1055"/>
        <v>100</v>
      </c>
      <c r="DV332" s="155">
        <v>100</v>
      </c>
      <c r="DW332" s="156">
        <v>0</v>
      </c>
      <c r="DX332" s="156">
        <v>0</v>
      </c>
      <c r="DY332" s="156">
        <v>0</v>
      </c>
      <c r="DZ332" s="156">
        <f t="shared" si="1056"/>
        <v>100</v>
      </c>
      <c r="EA332" s="155">
        <v>100</v>
      </c>
      <c r="EB332" s="156">
        <v>0</v>
      </c>
      <c r="EC332" s="156">
        <v>0</v>
      </c>
      <c r="ED332" s="156">
        <v>100</v>
      </c>
      <c r="EE332" s="156">
        <f t="shared" ref="EE332:EE341" si="1057">EF332</f>
        <v>200</v>
      </c>
      <c r="EF332" s="155">
        <v>200</v>
      </c>
      <c r="EG332" s="156">
        <v>0</v>
      </c>
      <c r="EH332" s="156">
        <v>0</v>
      </c>
      <c r="EI332" s="156">
        <v>0</v>
      </c>
      <c r="EJ332" s="156">
        <f t="shared" ref="EJ332:EJ341" si="1058">EK332</f>
        <v>100</v>
      </c>
      <c r="EK332" s="155">
        <v>100</v>
      </c>
      <c r="EL332" s="156">
        <v>0</v>
      </c>
      <c r="EM332" s="156">
        <v>0</v>
      </c>
      <c r="EN332" s="156">
        <v>0</v>
      </c>
      <c r="EO332" s="156">
        <f t="shared" ref="EO332:EO341" si="1059">EP332</f>
        <v>100</v>
      </c>
      <c r="EP332" s="155">
        <v>100</v>
      </c>
      <c r="EQ332" s="156">
        <v>50</v>
      </c>
      <c r="ER332" s="168"/>
      <c r="ES332" s="168"/>
      <c r="ET332" s="168"/>
      <c r="EU332" s="179">
        <f>EP332</f>
        <v>100</v>
      </c>
      <c r="EV332" s="168"/>
      <c r="EW332" s="168"/>
      <c r="EX332" s="168"/>
      <c r="EY332" s="168"/>
      <c r="EZ332" s="179">
        <f>EU332</f>
        <v>100</v>
      </c>
      <c r="FA332" s="168"/>
      <c r="FB332" s="168"/>
      <c r="FC332" s="168"/>
      <c r="FD332" s="168"/>
      <c r="FE332" s="179">
        <f>EZ332</f>
        <v>100</v>
      </c>
      <c r="FF332" s="824"/>
      <c r="FG332" s="660"/>
      <c r="FH332" s="1085"/>
      <c r="FI332" s="1085"/>
      <c r="FJ332" s="1085"/>
      <c r="FK332" s="1085"/>
      <c r="FL332" s="1858"/>
      <c r="FM332" s="1789"/>
      <c r="FN332" s="1789"/>
      <c r="FO332" s="1789"/>
      <c r="FP332" s="1789"/>
      <c r="FQ332" s="1789"/>
      <c r="FR332" s="610"/>
      <c r="FS332" s="610"/>
      <c r="FT332" s="610"/>
      <c r="FU332" s="610"/>
      <c r="FV332" s="610"/>
      <c r="FW332" s="610"/>
      <c r="FX332" s="610"/>
      <c r="FY332" s="610"/>
      <c r="FZ332" s="610"/>
      <c r="GA332" s="660"/>
      <c r="GB332"/>
      <c r="GC332"/>
      <c r="GD332"/>
      <c r="GE332"/>
      <c r="GF332"/>
      <c r="GG332"/>
      <c r="GH332" s="995"/>
      <c r="GI332" s="995"/>
      <c r="GJ332" s="995"/>
      <c r="GK332" s="995"/>
      <c r="GL332" s="995"/>
      <c r="GM332" s="995"/>
      <c r="GN332" s="995"/>
      <c r="GO332" s="995"/>
      <c r="GP332" s="995"/>
      <c r="GQ332" s="995"/>
      <c r="GR332" s="995"/>
      <c r="GS332" s="995"/>
      <c r="GT332" s="995"/>
      <c r="GU332" s="995"/>
      <c r="GV332" s="995"/>
      <c r="GW332" s="995"/>
      <c r="GX332" s="995"/>
      <c r="GY332" s="995"/>
      <c r="GZ332" s="995"/>
      <c r="HA332" s="995"/>
      <c r="HB332" s="995"/>
      <c r="HC332" s="995"/>
      <c r="HD332" s="995"/>
      <c r="HE332" s="995"/>
      <c r="HF332" s="995"/>
      <c r="HG332" s="995"/>
      <c r="HH332" s="995"/>
      <c r="HI332" s="995"/>
      <c r="HJ332" s="995"/>
      <c r="HK332" s="995"/>
      <c r="HL332" s="995"/>
      <c r="HM332" s="995"/>
      <c r="HN332" s="995"/>
      <c r="HO332" s="995"/>
      <c r="HP332" s="995"/>
      <c r="HQ332" s="995"/>
      <c r="HR332" s="995"/>
      <c r="HS332" s="995"/>
      <c r="HT332" s="995"/>
      <c r="HU332" s="995"/>
      <c r="HV332" s="995"/>
      <c r="HW332" s="995"/>
      <c r="HX332" s="995"/>
      <c r="HY332" s="995"/>
      <c r="HZ332" s="995"/>
      <c r="IA332" s="995"/>
      <c r="IB332" s="995"/>
      <c r="IC332" s="995"/>
      <c r="ID332" s="995"/>
      <c r="IE332" s="995"/>
      <c r="IF332" s="995"/>
      <c r="IG332" s="995"/>
      <c r="IH332" s="995"/>
      <c r="II332" s="995"/>
      <c r="IJ332" s="995"/>
      <c r="IK332" s="995"/>
      <c r="IL332" s="995"/>
      <c r="IM332" s="995"/>
      <c r="IN332" s="995"/>
      <c r="IO332" s="995"/>
      <c r="IP332" s="995"/>
      <c r="IQ332" s="995"/>
      <c r="IR332" s="995"/>
      <c r="IS332" s="995"/>
      <c r="IT332" s="995"/>
      <c r="IU332" s="995"/>
      <c r="IV332" s="995"/>
    </row>
    <row r="333" spans="1:256" s="181" customFormat="1" ht="12.6" customHeight="1" x14ac:dyDescent="0.2">
      <c r="A333" s="180" t="s">
        <v>659</v>
      </c>
      <c r="B333" s="165"/>
      <c r="C333" s="165"/>
      <c r="D333" s="165"/>
      <c r="E333" s="226"/>
      <c r="F333" s="155"/>
      <c r="G333" s="165"/>
      <c r="H333" s="165"/>
      <c r="I333" s="165"/>
      <c r="J333" s="226"/>
      <c r="K333" s="155"/>
      <c r="L333" s="165"/>
      <c r="M333" s="165"/>
      <c r="N333" s="165"/>
      <c r="O333" s="226"/>
      <c r="P333" s="155"/>
      <c r="Q333" s="165"/>
      <c r="R333" s="165"/>
      <c r="S333" s="165"/>
      <c r="T333" s="226"/>
      <c r="U333" s="155"/>
      <c r="V333" s="165"/>
      <c r="W333" s="165"/>
      <c r="X333" s="165"/>
      <c r="Y333" s="226"/>
      <c r="Z333" s="155"/>
      <c r="AA333" s="165"/>
      <c r="AB333" s="165"/>
      <c r="AC333" s="165"/>
      <c r="AD333" s="226"/>
      <c r="AE333" s="155"/>
      <c r="AF333" s="165"/>
      <c r="AG333" s="165"/>
      <c r="AH333" s="165"/>
      <c r="AI333" s="226"/>
      <c r="AJ333" s="155"/>
      <c r="AK333" s="165"/>
      <c r="AL333" s="165"/>
      <c r="AM333" s="165"/>
      <c r="AN333" s="226"/>
      <c r="AO333" s="155"/>
      <c r="AP333" s="165"/>
      <c r="AQ333" s="165"/>
      <c r="AR333" s="165"/>
      <c r="AS333" s="226"/>
      <c r="AT333" s="155">
        <v>624</v>
      </c>
      <c r="AU333" s="165"/>
      <c r="AV333" s="165"/>
      <c r="AW333" s="165"/>
      <c r="AX333" s="226"/>
      <c r="AY333" s="155">
        <v>600</v>
      </c>
      <c r="AZ333" s="165"/>
      <c r="BA333" s="165"/>
      <c r="BB333" s="165"/>
      <c r="BC333" s="226"/>
      <c r="BD333" s="155">
        <v>818</v>
      </c>
      <c r="BE333" s="165"/>
      <c r="BF333" s="165"/>
      <c r="BG333" s="165"/>
      <c r="BH333" s="226"/>
      <c r="BI333" s="155">
        <v>925</v>
      </c>
      <c r="BJ333" s="165"/>
      <c r="BK333" s="165"/>
      <c r="BL333" s="165"/>
      <c r="BM333" s="226"/>
      <c r="BN333" s="155">
        <v>848</v>
      </c>
      <c r="BO333" s="165"/>
      <c r="BP333" s="165"/>
      <c r="BQ333" s="165"/>
      <c r="BR333" s="226"/>
      <c r="BS333" s="155">
        <v>908</v>
      </c>
      <c r="BT333" s="165"/>
      <c r="BU333" s="165"/>
      <c r="BV333" s="165"/>
      <c r="BW333" s="226"/>
      <c r="BX333" s="155">
        <v>948</v>
      </c>
      <c r="BY333" s="165"/>
      <c r="BZ333" s="165"/>
      <c r="CA333" s="165"/>
      <c r="CB333" s="226"/>
      <c r="CC333" s="155">
        <v>1012</v>
      </c>
      <c r="CD333" s="165"/>
      <c r="CE333" s="165"/>
      <c r="CF333" s="165"/>
      <c r="CG333" s="226"/>
      <c r="CH333" s="155">
        <v>1163</v>
      </c>
      <c r="CI333" s="165"/>
      <c r="CJ333" s="165"/>
      <c r="CK333" s="165"/>
      <c r="CL333" s="226"/>
      <c r="CM333" s="155">
        <v>1181</v>
      </c>
      <c r="CN333" s="165"/>
      <c r="CO333" s="165"/>
      <c r="CP333" s="165"/>
      <c r="CQ333" s="226"/>
      <c r="CR333" s="155">
        <v>1139</v>
      </c>
      <c r="CS333" s="165"/>
      <c r="CT333" s="165"/>
      <c r="CU333" s="165"/>
      <c r="CV333" s="226"/>
      <c r="CW333" s="155">
        <v>1140</v>
      </c>
      <c r="CX333" s="168"/>
      <c r="CY333" s="168"/>
      <c r="CZ333" s="168"/>
      <c r="DA333" s="165"/>
      <c r="DB333" s="155">
        <v>974</v>
      </c>
      <c r="DC333" s="168"/>
      <c r="DD333" s="168"/>
      <c r="DE333" s="168"/>
      <c r="DF333" s="165"/>
      <c r="DG333" s="155">
        <v>1181</v>
      </c>
      <c r="DH333" s="165"/>
      <c r="DI333" s="168"/>
      <c r="DJ333" s="168"/>
      <c r="DK333" s="165"/>
      <c r="DL333" s="155">
        <v>1092</v>
      </c>
      <c r="DM333" s="165"/>
      <c r="DN333" s="168"/>
      <c r="DO333" s="168"/>
      <c r="DP333" s="165"/>
      <c r="DQ333" s="171">
        <v>1362</v>
      </c>
      <c r="DR333" s="158">
        <v>1188</v>
      </c>
      <c r="DS333" s="158">
        <v>1180</v>
      </c>
      <c r="DT333" s="158">
        <v>1267</v>
      </c>
      <c r="DU333" s="156">
        <f t="shared" si="1055"/>
        <v>1265</v>
      </c>
      <c r="DV333" s="171">
        <v>1265</v>
      </c>
      <c r="DW333" s="158">
        <v>1194</v>
      </c>
      <c r="DX333" s="158">
        <v>1245</v>
      </c>
      <c r="DY333" s="158">
        <v>1387</v>
      </c>
      <c r="DZ333" s="156">
        <f t="shared" si="1056"/>
        <v>1233</v>
      </c>
      <c r="EA333" s="171">
        <v>1233</v>
      </c>
      <c r="EB333" s="158">
        <v>1094</v>
      </c>
      <c r="EC333" s="158">
        <v>1144</v>
      </c>
      <c r="ED333" s="158">
        <v>1160</v>
      </c>
      <c r="EE333" s="156">
        <f t="shared" si="1057"/>
        <v>1091</v>
      </c>
      <c r="EF333" s="171">
        <v>1091</v>
      </c>
      <c r="EG333" s="158">
        <v>1119</v>
      </c>
      <c r="EH333" s="158">
        <v>1085</v>
      </c>
      <c r="EI333" s="158">
        <v>1131</v>
      </c>
      <c r="EJ333" s="156">
        <f t="shared" si="1058"/>
        <v>1215</v>
      </c>
      <c r="EK333" s="171">
        <v>1215</v>
      </c>
      <c r="EL333" s="158">
        <v>1211</v>
      </c>
      <c r="EM333" s="158">
        <v>1223</v>
      </c>
      <c r="EN333" s="158">
        <v>1287</v>
      </c>
      <c r="EO333" s="156">
        <f t="shared" si="1059"/>
        <v>1401</v>
      </c>
      <c r="EP333" s="171">
        <v>1401</v>
      </c>
      <c r="EQ333" s="158"/>
      <c r="ER333" s="168"/>
      <c r="ES333" s="168"/>
      <c r="ET333" s="168"/>
      <c r="EU333" s="171">
        <f>EU334*EU223</f>
        <v>1495.812695003772</v>
      </c>
      <c r="EV333" s="168"/>
      <c r="EW333" s="168"/>
      <c r="EX333" s="168"/>
      <c r="EY333" s="168"/>
      <c r="EZ333" s="171">
        <f>EZ334*EZ223</f>
        <v>1546.1343766254126</v>
      </c>
      <c r="FA333" s="168"/>
      <c r="FB333" s="168"/>
      <c r="FC333" s="168"/>
      <c r="FD333" s="168"/>
      <c r="FE333" s="171">
        <f>FE334*FE223</f>
        <v>1595.1412773456684</v>
      </c>
      <c r="FF333" s="824"/>
      <c r="FG333" s="660"/>
      <c r="FH333" s="1085"/>
      <c r="FI333" s="1085"/>
      <c r="FJ333" s="1085"/>
      <c r="FK333" s="1085"/>
      <c r="FL333" s="1858"/>
      <c r="FM333" s="1789"/>
      <c r="FN333" s="1789"/>
      <c r="FO333" s="1789"/>
      <c r="FP333" s="1789"/>
      <c r="FQ333" s="1789"/>
      <c r="FR333" s="610"/>
      <c r="FS333" s="610"/>
      <c r="FT333" s="610"/>
      <c r="FU333" s="610"/>
      <c r="FV333" s="610"/>
      <c r="FW333" s="610"/>
      <c r="FX333" s="610"/>
      <c r="FY333" s="610"/>
      <c r="FZ333" s="610"/>
      <c r="GA333" s="660"/>
      <c r="GB333"/>
      <c r="GC333"/>
      <c r="GD333"/>
      <c r="GE333"/>
      <c r="GF333"/>
      <c r="GG333"/>
      <c r="GH333" s="995"/>
      <c r="GI333" s="995"/>
      <c r="GJ333" s="995"/>
      <c r="GK333" s="995"/>
      <c r="GL333" s="995"/>
      <c r="GM333" s="995"/>
      <c r="GN333" s="995"/>
      <c r="GO333" s="995"/>
      <c r="GP333" s="995"/>
      <c r="GQ333" s="995"/>
      <c r="GR333" s="995"/>
      <c r="GS333" s="995"/>
      <c r="GT333" s="995"/>
      <c r="GU333" s="995"/>
      <c r="GV333" s="995"/>
      <c r="GW333" s="995"/>
      <c r="GX333" s="995"/>
      <c r="GY333" s="995"/>
      <c r="GZ333" s="995"/>
      <c r="HA333" s="995"/>
      <c r="HB333" s="995"/>
      <c r="HC333" s="995"/>
      <c r="HD333" s="995"/>
      <c r="HE333" s="995"/>
      <c r="HF333" s="995"/>
      <c r="HG333" s="995"/>
      <c r="HH333" s="995"/>
      <c r="HI333" s="995"/>
      <c r="HJ333" s="995"/>
      <c r="HK333" s="995"/>
      <c r="HL333" s="995"/>
      <c r="HM333" s="995"/>
      <c r="HN333" s="995"/>
      <c r="HO333" s="995"/>
      <c r="HP333" s="995"/>
      <c r="HQ333" s="995"/>
      <c r="HR333" s="995"/>
      <c r="HS333" s="995"/>
      <c r="HT333" s="995"/>
      <c r="HU333" s="995"/>
      <c r="HV333" s="995"/>
      <c r="HW333" s="995"/>
      <c r="HX333" s="995"/>
      <c r="HY333" s="995"/>
      <c r="HZ333" s="995"/>
      <c r="IA333" s="995"/>
      <c r="IB333" s="995"/>
      <c r="IC333" s="995"/>
      <c r="ID333" s="995"/>
      <c r="IE333" s="995"/>
      <c r="IF333" s="995"/>
      <c r="IG333" s="995"/>
      <c r="IH333" s="995"/>
      <c r="II333" s="995"/>
      <c r="IJ333" s="995"/>
      <c r="IK333" s="995"/>
      <c r="IL333" s="995"/>
      <c r="IM333" s="995"/>
      <c r="IN333" s="995"/>
      <c r="IO333" s="995"/>
      <c r="IP333" s="995"/>
      <c r="IQ333" s="995"/>
      <c r="IR333" s="995"/>
      <c r="IS333" s="995"/>
      <c r="IT333" s="995"/>
      <c r="IU333" s="995"/>
      <c r="IV333" s="995"/>
    </row>
    <row r="334" spans="1:256" s="1187" customFormat="1" ht="12.6" customHeight="1" x14ac:dyDescent="0.2">
      <c r="A334" s="271" t="s">
        <v>215</v>
      </c>
      <c r="B334" s="272"/>
      <c r="C334" s="272"/>
      <c r="D334" s="272"/>
      <c r="E334" s="276"/>
      <c r="F334" s="277"/>
      <c r="G334" s="272"/>
      <c r="H334" s="272"/>
      <c r="I334" s="272"/>
      <c r="J334" s="276"/>
      <c r="K334" s="277"/>
      <c r="L334" s="272"/>
      <c r="M334" s="272"/>
      <c r="N334" s="272"/>
      <c r="O334" s="276"/>
      <c r="P334" s="277"/>
      <c r="Q334" s="272"/>
      <c r="R334" s="272"/>
      <c r="S334" s="272"/>
      <c r="T334" s="276"/>
      <c r="U334" s="277"/>
      <c r="V334" s="272"/>
      <c r="W334" s="272"/>
      <c r="X334" s="272"/>
      <c r="Y334" s="276"/>
      <c r="Z334" s="277"/>
      <c r="AA334" s="272"/>
      <c r="AB334" s="272"/>
      <c r="AC334" s="272"/>
      <c r="AD334" s="276"/>
      <c r="AE334" s="277"/>
      <c r="AF334" s="272"/>
      <c r="AG334" s="272"/>
      <c r="AH334" s="272"/>
      <c r="AI334" s="276"/>
      <c r="AJ334" s="277"/>
      <c r="AK334" s="272"/>
      <c r="AL334" s="272"/>
      <c r="AM334" s="272"/>
      <c r="AN334" s="276"/>
      <c r="AO334" s="277"/>
      <c r="AP334" s="272"/>
      <c r="AQ334" s="272"/>
      <c r="AR334" s="272"/>
      <c r="AS334" s="276"/>
      <c r="AT334" s="277">
        <f>AT333/AT$223</f>
        <v>0.20732274569738851</v>
      </c>
      <c r="AU334" s="272"/>
      <c r="AV334" s="272"/>
      <c r="AW334" s="272"/>
      <c r="AX334" s="276"/>
      <c r="AY334" s="277">
        <f>AY333/AY$223</f>
        <v>0.1893102795481795</v>
      </c>
      <c r="AZ334" s="272"/>
      <c r="BA334" s="272"/>
      <c r="BB334" s="272"/>
      <c r="BC334" s="276"/>
      <c r="BD334" s="277">
        <f>BD333/BD$223</f>
        <v>0.1827116372570918</v>
      </c>
      <c r="BE334" s="272"/>
      <c r="BF334" s="272"/>
      <c r="BG334" s="272"/>
      <c r="BH334" s="276"/>
      <c r="BI334" s="277">
        <f>BI333/BI$223</f>
        <v>0.17254243611266554</v>
      </c>
      <c r="BJ334" s="272"/>
      <c r="BK334" s="272"/>
      <c r="BL334" s="272"/>
      <c r="BM334" s="276"/>
      <c r="BN334" s="277">
        <f>BN333/BN$223</f>
        <v>0.16424559364710439</v>
      </c>
      <c r="BO334" s="272"/>
      <c r="BP334" s="272"/>
      <c r="BQ334" s="272"/>
      <c r="BR334" s="276"/>
      <c r="BS334" s="277">
        <f>BS333/BS$223</f>
        <v>0.17762128325508608</v>
      </c>
      <c r="BT334" s="272"/>
      <c r="BU334" s="272"/>
      <c r="BV334" s="272"/>
      <c r="BW334" s="276"/>
      <c r="BX334" s="277">
        <f>BX333/BX$223</f>
        <v>0.17896922786482916</v>
      </c>
      <c r="BY334" s="272"/>
      <c r="BZ334" s="272"/>
      <c r="CA334" s="272"/>
      <c r="CB334" s="276"/>
      <c r="CC334" s="277">
        <f>CC333/CC$223</f>
        <v>0.1803921568627451</v>
      </c>
      <c r="CD334" s="272"/>
      <c r="CE334" s="272"/>
      <c r="CF334" s="272"/>
      <c r="CG334" s="276"/>
      <c r="CH334" s="277">
        <f>CH333/CH$223</f>
        <v>0.18203161684144623</v>
      </c>
      <c r="CI334" s="272"/>
      <c r="CJ334" s="272"/>
      <c r="CK334" s="272"/>
      <c r="CL334" s="276"/>
      <c r="CM334" s="277">
        <f>CM333/CM$223</f>
        <v>0.1724087591240876</v>
      </c>
      <c r="CN334" s="272"/>
      <c r="CO334" s="272"/>
      <c r="CP334" s="272"/>
      <c r="CQ334" s="276"/>
      <c r="CR334" s="277">
        <f>CR333/CR$223</f>
        <v>0.16635022637651525</v>
      </c>
      <c r="CS334" s="272"/>
      <c r="CT334" s="272"/>
      <c r="CU334" s="272"/>
      <c r="CV334" s="276"/>
      <c r="CW334" s="277">
        <f>CW333/CW$223</f>
        <v>0.15071390798519302</v>
      </c>
      <c r="CX334" s="272"/>
      <c r="CY334" s="272"/>
      <c r="CZ334" s="272"/>
      <c r="DA334" s="272"/>
      <c r="DB334" s="277">
        <f>DB333/DB$223</f>
        <v>0.16214416514066923</v>
      </c>
      <c r="DC334" s="272"/>
      <c r="DD334" s="272"/>
      <c r="DE334" s="272"/>
      <c r="DF334" s="272"/>
      <c r="DG334" s="277">
        <f>DG333/DG$223</f>
        <v>0.17266081871345029</v>
      </c>
      <c r="DH334" s="272"/>
      <c r="DI334" s="272"/>
      <c r="DJ334" s="272"/>
      <c r="DK334" s="272"/>
      <c r="DL334" s="277">
        <f>DL333/DL$223</f>
        <v>0.13821035311985824</v>
      </c>
      <c r="DM334" s="272"/>
      <c r="DN334" s="272"/>
      <c r="DO334" s="272"/>
      <c r="DP334" s="272"/>
      <c r="DQ334" s="277">
        <f>DQ333/DQ$223</f>
        <v>0.17205659423951492</v>
      </c>
      <c r="DR334" s="272">
        <f>DR333/DR$223/4</f>
        <v>0.14509037616023449</v>
      </c>
      <c r="DS334" s="272">
        <f>DS333/DS$223/4</f>
        <v>0.15005086469989828</v>
      </c>
      <c r="DT334" s="272">
        <f>DT333/DT$223/4</f>
        <v>0.16037974683544304</v>
      </c>
      <c r="DU334" s="1280">
        <f t="shared" si="1055"/>
        <v>0.15836254381572359</v>
      </c>
      <c r="DV334" s="277">
        <f>DV333/DV$223</f>
        <v>0.15836254381572359</v>
      </c>
      <c r="DW334" s="272">
        <f>DW333/DW$223/4</f>
        <v>0.14762611275964391</v>
      </c>
      <c r="DX334" s="272">
        <f>DX333/DX$223/4</f>
        <v>0.15385565991102323</v>
      </c>
      <c r="DY334" s="272">
        <f>DY333/DY$223/4</f>
        <v>0.17124302434688132</v>
      </c>
      <c r="DZ334" s="1280">
        <f t="shared" si="1056"/>
        <v>0.15318863447179118</v>
      </c>
      <c r="EA334" s="277">
        <f>EA333/EA$223</f>
        <v>0.15318863447179118</v>
      </c>
      <c r="EB334" s="272">
        <f>EB333/EB$223/4</f>
        <v>0.13946965833758287</v>
      </c>
      <c r="EC334" s="272">
        <f>EC333/EC$223/4</f>
        <v>0.15060558188520273</v>
      </c>
      <c r="ED334" s="272">
        <f>ED333/ED$223/4</f>
        <v>0.15335801163405605</v>
      </c>
      <c r="EE334" s="1280">
        <f t="shared" si="1057"/>
        <v>0.14304444735807001</v>
      </c>
      <c r="EF334" s="277">
        <f>EF333/EF$223</f>
        <v>0.14304444735807001</v>
      </c>
      <c r="EG334" s="272">
        <f>EG333/EG$223/4</f>
        <v>0.16484973482616383</v>
      </c>
      <c r="EH334" s="272">
        <f>EH333/EH$223/4</f>
        <v>0.16107482185273159</v>
      </c>
      <c r="EI334" s="272">
        <f>EI333/EI$223/4</f>
        <v>0.16593309859154928</v>
      </c>
      <c r="EJ334" s="1280">
        <f t="shared" si="1058"/>
        <v>0.17830936307601997</v>
      </c>
      <c r="EK334" s="277">
        <f>EK333/EK$223</f>
        <v>0.17830936307601997</v>
      </c>
      <c r="EL334" s="272">
        <f>EL333/EL$223/4</f>
        <v>0.16652915291529152</v>
      </c>
      <c r="EM334" s="272">
        <f>EM333/EM$223/4</f>
        <v>0.17322946175637394</v>
      </c>
      <c r="EN334" s="272">
        <f>EN333/EN$223/4</f>
        <v>0.18126760563380281</v>
      </c>
      <c r="EO334" s="1280">
        <f t="shared" si="1059"/>
        <v>0.19512534818941504</v>
      </c>
      <c r="EP334" s="277">
        <f>EP333/EP$223</f>
        <v>0.19512534818941504</v>
      </c>
      <c r="EQ334" s="272"/>
      <c r="ER334" s="279"/>
      <c r="ES334" s="279"/>
      <c r="ET334" s="279"/>
      <c r="EU334" s="278">
        <f>EP334</f>
        <v>0.19512534818941504</v>
      </c>
      <c r="EV334" s="279"/>
      <c r="EW334" s="279"/>
      <c r="EX334" s="279"/>
      <c r="EY334" s="279"/>
      <c r="EZ334" s="278">
        <f>EU334</f>
        <v>0.19512534818941504</v>
      </c>
      <c r="FA334" s="279"/>
      <c r="FB334" s="279"/>
      <c r="FC334" s="279"/>
      <c r="FD334" s="279"/>
      <c r="FE334" s="278">
        <f>EZ334</f>
        <v>0.19512534818941504</v>
      </c>
      <c r="FF334" s="1183"/>
      <c r="FG334" s="1102"/>
      <c r="FH334" s="1179"/>
      <c r="FI334" s="1179"/>
      <c r="FJ334" s="1179"/>
      <c r="FK334" s="1179"/>
      <c r="FL334" s="1852"/>
      <c r="FM334" s="1787"/>
      <c r="FN334" s="1787"/>
      <c r="FO334" s="1787"/>
      <c r="FP334" s="1787"/>
      <c r="FQ334" s="1787"/>
      <c r="FR334" s="1185"/>
      <c r="FS334" s="1185"/>
      <c r="FT334" s="1185"/>
      <c r="FU334" s="1185"/>
      <c r="FV334" s="1185"/>
      <c r="FW334" s="1185"/>
      <c r="FX334" s="1185"/>
      <c r="FY334" s="1185"/>
      <c r="FZ334" s="1185"/>
      <c r="GA334" s="1102"/>
      <c r="GB334"/>
      <c r="GC334"/>
      <c r="GD334"/>
      <c r="GE334"/>
      <c r="GF334"/>
      <c r="GG334"/>
      <c r="GH334" s="1186"/>
      <c r="GI334" s="1186"/>
      <c r="GJ334" s="1186"/>
      <c r="GK334" s="1186"/>
      <c r="GL334" s="1186"/>
      <c r="GM334" s="1186"/>
      <c r="GN334" s="1186"/>
      <c r="GO334" s="1186"/>
      <c r="GP334" s="1186"/>
      <c r="GQ334" s="1186"/>
      <c r="GR334" s="1186"/>
      <c r="GS334" s="1186"/>
      <c r="GT334" s="1186"/>
      <c r="GU334" s="1186"/>
      <c r="GV334" s="1186"/>
      <c r="GW334" s="1186"/>
      <c r="GX334" s="1186"/>
      <c r="GY334" s="1186"/>
      <c r="GZ334" s="1186"/>
      <c r="HA334" s="1186"/>
      <c r="HB334" s="1186"/>
      <c r="HC334" s="1186"/>
      <c r="HD334" s="1186"/>
      <c r="HE334" s="1186"/>
      <c r="HF334" s="1186"/>
      <c r="HG334" s="1186"/>
      <c r="HH334" s="1186"/>
      <c r="HI334" s="1186"/>
      <c r="HJ334" s="1186"/>
      <c r="HK334" s="1186"/>
      <c r="HL334" s="1186"/>
      <c r="HM334" s="1186"/>
      <c r="HN334" s="1186"/>
      <c r="HO334" s="1186"/>
      <c r="HP334" s="1186"/>
      <c r="HQ334" s="1186"/>
      <c r="HR334" s="1186"/>
      <c r="HS334" s="1186"/>
      <c r="HT334" s="1186"/>
      <c r="HU334" s="1186"/>
      <c r="HV334" s="1186"/>
      <c r="HW334" s="1186"/>
      <c r="HX334" s="1186"/>
      <c r="HY334" s="1186"/>
      <c r="HZ334" s="1186"/>
      <c r="IA334" s="1186"/>
      <c r="IB334" s="1186"/>
      <c r="IC334" s="1186"/>
      <c r="ID334" s="1186"/>
      <c r="IE334" s="1186"/>
      <c r="IF334" s="1186"/>
      <c r="IG334" s="1186"/>
      <c r="IH334" s="1186"/>
      <c r="II334" s="1186"/>
      <c r="IJ334" s="1186"/>
      <c r="IK334" s="1186"/>
      <c r="IL334" s="1186"/>
      <c r="IM334" s="1186"/>
      <c r="IN334" s="1186"/>
      <c r="IO334" s="1186"/>
      <c r="IP334" s="1186"/>
      <c r="IQ334" s="1186"/>
      <c r="IR334" s="1186"/>
      <c r="IS334" s="1186"/>
      <c r="IT334" s="1186"/>
      <c r="IU334" s="1186"/>
      <c r="IV334" s="1186"/>
    </row>
    <row r="335" spans="1:256" s="275" customFormat="1" ht="12.6" customHeight="1" x14ac:dyDescent="0.2">
      <c r="A335" s="280" t="s">
        <v>177</v>
      </c>
      <c r="B335" s="281"/>
      <c r="C335" s="281"/>
      <c r="D335" s="281"/>
      <c r="E335" s="282"/>
      <c r="F335" s="283"/>
      <c r="G335" s="281"/>
      <c r="H335" s="281"/>
      <c r="I335" s="281"/>
      <c r="J335" s="282"/>
      <c r="K335" s="283"/>
      <c r="L335" s="281"/>
      <c r="M335" s="281"/>
      <c r="N335" s="281"/>
      <c r="O335" s="282"/>
      <c r="P335" s="283"/>
      <c r="Q335" s="281"/>
      <c r="R335" s="281"/>
      <c r="S335" s="281"/>
      <c r="T335" s="282"/>
      <c r="U335" s="283"/>
      <c r="V335" s="281"/>
      <c r="W335" s="281"/>
      <c r="X335" s="281"/>
      <c r="Y335" s="282"/>
      <c r="Z335" s="283"/>
      <c r="AA335" s="281"/>
      <c r="AB335" s="281"/>
      <c r="AC335" s="281"/>
      <c r="AD335" s="282"/>
      <c r="AE335" s="283"/>
      <c r="AF335" s="281"/>
      <c r="AG335" s="281"/>
      <c r="AH335" s="281"/>
      <c r="AI335" s="282"/>
      <c r="AJ335" s="283"/>
      <c r="AK335" s="281"/>
      <c r="AL335" s="281"/>
      <c r="AM335" s="281"/>
      <c r="AN335" s="282"/>
      <c r="AO335" s="283"/>
      <c r="AP335" s="281"/>
      <c r="AQ335" s="281"/>
      <c r="AR335" s="281"/>
      <c r="AS335" s="282"/>
      <c r="AT335" s="283">
        <f>AT337-AT332-AT333</f>
        <v>381</v>
      </c>
      <c r="AU335" s="281"/>
      <c r="AV335" s="281"/>
      <c r="AW335" s="281"/>
      <c r="AX335" s="282"/>
      <c r="AY335" s="283">
        <f>AY337-AY332-AY333</f>
        <v>376</v>
      </c>
      <c r="AZ335" s="281"/>
      <c r="BA335" s="281"/>
      <c r="BB335" s="281"/>
      <c r="BC335" s="282"/>
      <c r="BD335" s="283">
        <f>BD337-BD332-BD333</f>
        <v>603</v>
      </c>
      <c r="BE335" s="281"/>
      <c r="BF335" s="281"/>
      <c r="BG335" s="281"/>
      <c r="BH335" s="282"/>
      <c r="BI335" s="283">
        <f>BI337-BI332-BI333</f>
        <v>665</v>
      </c>
      <c r="BJ335" s="281"/>
      <c r="BK335" s="281"/>
      <c r="BL335" s="281"/>
      <c r="BM335" s="282"/>
      <c r="BN335" s="283">
        <f>BN337-BN332-BN333</f>
        <v>933</v>
      </c>
      <c r="BO335" s="281"/>
      <c r="BP335" s="281"/>
      <c r="BQ335" s="281"/>
      <c r="BR335" s="282"/>
      <c r="BS335" s="283">
        <f>BS337-BS332-BS333</f>
        <v>587</v>
      </c>
      <c r="BT335" s="281"/>
      <c r="BU335" s="281"/>
      <c r="BV335" s="281"/>
      <c r="BW335" s="282"/>
      <c r="BX335" s="283">
        <f>BX337-BX332-BX333</f>
        <v>493</v>
      </c>
      <c r="BY335" s="281"/>
      <c r="BZ335" s="281"/>
      <c r="CA335" s="281"/>
      <c r="CB335" s="282"/>
      <c r="CC335" s="283">
        <f>CC337-CC332-CC333</f>
        <v>527</v>
      </c>
      <c r="CD335" s="281"/>
      <c r="CE335" s="281"/>
      <c r="CF335" s="281"/>
      <c r="CG335" s="282"/>
      <c r="CH335" s="283">
        <f>CH337-CH332-CH333</f>
        <v>444</v>
      </c>
      <c r="CI335" s="281"/>
      <c r="CJ335" s="281"/>
      <c r="CK335" s="281"/>
      <c r="CL335" s="282"/>
      <c r="CM335" s="283">
        <f>CM337-CM332-CM333</f>
        <v>421</v>
      </c>
      <c r="CN335" s="281"/>
      <c r="CO335" s="281"/>
      <c r="CP335" s="281"/>
      <c r="CQ335" s="282"/>
      <c r="CR335" s="283">
        <f>CR337-CR332-CR333</f>
        <v>440</v>
      </c>
      <c r="CS335" s="281"/>
      <c r="CT335" s="281"/>
      <c r="CU335" s="281"/>
      <c r="CV335" s="282"/>
      <c r="CW335" s="283">
        <f>CW337-CW332-CW333</f>
        <v>481</v>
      </c>
      <c r="CX335" s="281"/>
      <c r="CY335" s="281"/>
      <c r="CZ335" s="281"/>
      <c r="DA335" s="281"/>
      <c r="DB335" s="283">
        <f>DB337-DB332-DB333</f>
        <v>341</v>
      </c>
      <c r="DC335" s="281"/>
      <c r="DD335" s="281"/>
      <c r="DE335" s="281"/>
      <c r="DF335" s="281"/>
      <c r="DG335" s="283">
        <f>DG337-DG332-DG333</f>
        <v>443</v>
      </c>
      <c r="DH335" s="281"/>
      <c r="DI335" s="281"/>
      <c r="DJ335" s="281"/>
      <c r="DK335" s="281"/>
      <c r="DL335" s="283">
        <f>DL337-DL332-DL333</f>
        <v>509</v>
      </c>
      <c r="DM335" s="281"/>
      <c r="DN335" s="281"/>
      <c r="DO335" s="281"/>
      <c r="DP335" s="281"/>
      <c r="DQ335" s="283">
        <f>DQ337-DQ332-DQ333</f>
        <v>469</v>
      </c>
      <c r="DR335" s="158">
        <f>DR337-DR332-DR333</f>
        <v>716</v>
      </c>
      <c r="DS335" s="158">
        <f>DS337-DS332-DS333</f>
        <v>635</v>
      </c>
      <c r="DT335" s="158">
        <f>DT337-DT332-DT333</f>
        <v>1065</v>
      </c>
      <c r="DU335" s="1281">
        <f t="shared" si="1055"/>
        <v>940</v>
      </c>
      <c r="DV335" s="283">
        <f>DV337-DV332-DV333</f>
        <v>940</v>
      </c>
      <c r="DW335" s="158">
        <f>DW337-DW332-DW333</f>
        <v>1127</v>
      </c>
      <c r="DX335" s="158">
        <f>DX337-DX332-DX333</f>
        <v>1123</v>
      </c>
      <c r="DY335" s="158">
        <f>DY337-DY332-DY333</f>
        <v>695</v>
      </c>
      <c r="DZ335" s="1281">
        <f t="shared" si="1056"/>
        <v>447</v>
      </c>
      <c r="EA335" s="283">
        <f>EA337-EA332-EA333</f>
        <v>447</v>
      </c>
      <c r="EB335" s="158">
        <f>EB337-EB332-EB333</f>
        <v>1009</v>
      </c>
      <c r="EC335" s="158">
        <f>EC337-EC332-EC333</f>
        <v>1059</v>
      </c>
      <c r="ED335" s="158">
        <f>ED337-ED332-ED333</f>
        <v>1107</v>
      </c>
      <c r="EE335" s="1281">
        <f t="shared" si="1057"/>
        <v>940</v>
      </c>
      <c r="EF335" s="283">
        <f>EF337-EF332-EF333</f>
        <v>940</v>
      </c>
      <c r="EG335" s="158">
        <f>EG337-EG332-EG333</f>
        <v>712</v>
      </c>
      <c r="EH335" s="158">
        <f>EH337-EH332-EH333</f>
        <v>1022</v>
      </c>
      <c r="EI335" s="158">
        <f>EI337-EI332-EI333</f>
        <v>1101</v>
      </c>
      <c r="EJ335" s="1281">
        <f t="shared" si="1058"/>
        <v>1024</v>
      </c>
      <c r="EK335" s="283">
        <f>EK337-EK332-EK333</f>
        <v>1024</v>
      </c>
      <c r="EL335" s="158">
        <f>EL337-EL332-EL333</f>
        <v>1232</v>
      </c>
      <c r="EM335" s="158">
        <f>EM337-EM332-EM333</f>
        <v>1120</v>
      </c>
      <c r="EN335" s="158">
        <f>EN337-EN332-EN333</f>
        <v>1126</v>
      </c>
      <c r="EO335" s="1281">
        <f t="shared" si="1059"/>
        <v>1044</v>
      </c>
      <c r="EP335" s="283">
        <f>EP337-EP332-EP333</f>
        <v>1044</v>
      </c>
      <c r="EQ335" s="158"/>
      <c r="ER335" s="284"/>
      <c r="ES335" s="284"/>
      <c r="ET335" s="284"/>
      <c r="EU335" s="283">
        <f>EU336*EU$223</f>
        <v>1114.6527149064509</v>
      </c>
      <c r="EV335" s="284"/>
      <c r="EW335" s="284"/>
      <c r="EX335" s="284"/>
      <c r="EY335" s="284"/>
      <c r="EZ335" s="283">
        <f>EZ336*EZ$223</f>
        <v>1152.1515269071597</v>
      </c>
      <c r="FA335" s="284"/>
      <c r="FB335" s="284"/>
      <c r="FC335" s="284"/>
      <c r="FD335" s="284"/>
      <c r="FE335" s="283">
        <f>FE336*FE$223</f>
        <v>1188.6705878293203</v>
      </c>
      <c r="FF335" s="825"/>
      <c r="FG335" s="660"/>
      <c r="FH335" s="1085"/>
      <c r="FI335" s="1085"/>
      <c r="FJ335" s="1085"/>
      <c r="FK335" s="1085"/>
      <c r="FL335" s="1858"/>
      <c r="FM335" s="1789"/>
      <c r="FN335" s="1789"/>
      <c r="FO335" s="1789"/>
      <c r="FP335" s="1789"/>
      <c r="FQ335" s="1789"/>
      <c r="FR335" s="611"/>
      <c r="FS335" s="611"/>
      <c r="FT335" s="611"/>
      <c r="FU335" s="611"/>
      <c r="FV335" s="611"/>
      <c r="FW335" s="611"/>
      <c r="FX335" s="611"/>
      <c r="FY335" s="611"/>
      <c r="FZ335" s="611"/>
      <c r="GA335" s="660"/>
      <c r="GB335"/>
      <c r="GC335"/>
      <c r="GD335"/>
      <c r="GE335"/>
      <c r="GF335"/>
      <c r="GG335"/>
      <c r="GH335" s="996"/>
      <c r="GI335" s="996"/>
      <c r="GJ335" s="996"/>
      <c r="GK335" s="996"/>
      <c r="GL335" s="996"/>
      <c r="GM335" s="996"/>
      <c r="GN335" s="996"/>
      <c r="GO335" s="996"/>
      <c r="GP335" s="996"/>
      <c r="GQ335" s="996"/>
      <c r="GR335" s="996"/>
      <c r="GS335" s="996"/>
      <c r="GT335" s="996"/>
      <c r="GU335" s="996"/>
      <c r="GV335" s="996"/>
      <c r="GW335" s="996"/>
      <c r="GX335" s="996"/>
      <c r="GY335" s="996"/>
      <c r="GZ335" s="996"/>
      <c r="HA335" s="996"/>
      <c r="HB335" s="996"/>
      <c r="HC335" s="996"/>
      <c r="HD335" s="996"/>
      <c r="HE335" s="996"/>
      <c r="HF335" s="996"/>
      <c r="HG335" s="996"/>
      <c r="HH335" s="996"/>
      <c r="HI335" s="996"/>
      <c r="HJ335" s="996"/>
      <c r="HK335" s="996"/>
      <c r="HL335" s="996"/>
      <c r="HM335" s="996"/>
      <c r="HN335" s="996"/>
      <c r="HO335" s="996"/>
      <c r="HP335" s="996"/>
      <c r="HQ335" s="996"/>
      <c r="HR335" s="996"/>
      <c r="HS335" s="996"/>
      <c r="HT335" s="996"/>
      <c r="HU335" s="996"/>
      <c r="HV335" s="996"/>
      <c r="HW335" s="996"/>
      <c r="HX335" s="996"/>
      <c r="HY335" s="996"/>
      <c r="HZ335" s="996"/>
      <c r="IA335" s="996"/>
      <c r="IB335" s="996"/>
      <c r="IC335" s="996"/>
      <c r="ID335" s="996"/>
      <c r="IE335" s="996"/>
      <c r="IF335" s="996"/>
      <c r="IG335" s="996"/>
      <c r="IH335" s="996"/>
      <c r="II335" s="996"/>
      <c r="IJ335" s="996"/>
      <c r="IK335" s="996"/>
      <c r="IL335" s="996"/>
      <c r="IM335" s="996"/>
      <c r="IN335" s="996"/>
      <c r="IO335" s="996"/>
      <c r="IP335" s="996"/>
      <c r="IQ335" s="996"/>
      <c r="IR335" s="996"/>
      <c r="IS335" s="996"/>
      <c r="IT335" s="996"/>
      <c r="IU335" s="996"/>
      <c r="IV335" s="996"/>
    </row>
    <row r="336" spans="1:256" s="1187" customFormat="1" ht="12.6" customHeight="1" x14ac:dyDescent="0.2">
      <c r="A336" s="271" t="s">
        <v>215</v>
      </c>
      <c r="B336" s="272"/>
      <c r="C336" s="272"/>
      <c r="D336" s="272"/>
      <c r="E336" s="276"/>
      <c r="F336" s="277"/>
      <c r="G336" s="272"/>
      <c r="H336" s="272"/>
      <c r="I336" s="272"/>
      <c r="J336" s="276"/>
      <c r="K336" s="277"/>
      <c r="L336" s="272"/>
      <c r="M336" s="272"/>
      <c r="N336" s="272"/>
      <c r="O336" s="276"/>
      <c r="P336" s="277"/>
      <c r="Q336" s="272"/>
      <c r="R336" s="272"/>
      <c r="S336" s="272"/>
      <c r="T336" s="276"/>
      <c r="U336" s="277"/>
      <c r="V336" s="272"/>
      <c r="W336" s="272"/>
      <c r="X336" s="272"/>
      <c r="Y336" s="276"/>
      <c r="Z336" s="277"/>
      <c r="AA336" s="272"/>
      <c r="AB336" s="272"/>
      <c r="AC336" s="272"/>
      <c r="AD336" s="276"/>
      <c r="AE336" s="277"/>
      <c r="AF336" s="272"/>
      <c r="AG336" s="272"/>
      <c r="AH336" s="272"/>
      <c r="AI336" s="276"/>
      <c r="AJ336" s="277"/>
      <c r="AK336" s="272"/>
      <c r="AL336" s="272"/>
      <c r="AM336" s="272"/>
      <c r="AN336" s="276"/>
      <c r="AO336" s="277"/>
      <c r="AP336" s="272"/>
      <c r="AQ336" s="272"/>
      <c r="AR336" s="272"/>
      <c r="AS336" s="276"/>
      <c r="AT336" s="277">
        <f>AT335/AT$223</f>
        <v>0.12658648415177087</v>
      </c>
      <c r="AU336" s="272"/>
      <c r="AV336" s="272"/>
      <c r="AW336" s="272"/>
      <c r="AX336" s="276"/>
      <c r="AY336" s="277">
        <f>AY335/AY$223</f>
        <v>0.11863444185019248</v>
      </c>
      <c r="AZ336" s="272"/>
      <c r="BA336" s="272"/>
      <c r="BB336" s="272"/>
      <c r="BC336" s="276"/>
      <c r="BD336" s="277">
        <f>BD335/BD$223</f>
        <v>0.13468840741568014</v>
      </c>
      <c r="BE336" s="272"/>
      <c r="BF336" s="272"/>
      <c r="BG336" s="272"/>
      <c r="BH336" s="276"/>
      <c r="BI336" s="277">
        <f>BI335/BI$223</f>
        <v>0.12404402163775415</v>
      </c>
      <c r="BJ336" s="272"/>
      <c r="BK336" s="272"/>
      <c r="BL336" s="272"/>
      <c r="BM336" s="276"/>
      <c r="BN336" s="277">
        <f>BN335/BN$223</f>
        <v>0.18070889018012784</v>
      </c>
      <c r="BO336" s="272"/>
      <c r="BP336" s="272"/>
      <c r="BQ336" s="272"/>
      <c r="BR336" s="276"/>
      <c r="BS336" s="277">
        <f>BS335/BS$223</f>
        <v>0.11482785602503913</v>
      </c>
      <c r="BT336" s="272"/>
      <c r="BU336" s="272"/>
      <c r="BV336" s="272"/>
      <c r="BW336" s="276"/>
      <c r="BX336" s="277">
        <f>BX335/BX$223</f>
        <v>9.3071549933924858E-2</v>
      </c>
      <c r="BY336" s="272"/>
      <c r="BZ336" s="272"/>
      <c r="CA336" s="272"/>
      <c r="CB336" s="276"/>
      <c r="CC336" s="277">
        <f>CC335/CC$223</f>
        <v>9.3939393939393934E-2</v>
      </c>
      <c r="CD336" s="272"/>
      <c r="CE336" s="272"/>
      <c r="CF336" s="272"/>
      <c r="CG336" s="276"/>
      <c r="CH336" s="277">
        <f>CH335/CH$223</f>
        <v>6.9494443574894343E-2</v>
      </c>
      <c r="CI336" s="272"/>
      <c r="CJ336" s="272"/>
      <c r="CK336" s="272"/>
      <c r="CL336" s="276"/>
      <c r="CM336" s="277">
        <f>CM335/CM$223</f>
        <v>6.1459854014598539E-2</v>
      </c>
      <c r="CN336" s="272"/>
      <c r="CO336" s="272"/>
      <c r="CP336" s="272"/>
      <c r="CQ336" s="276"/>
      <c r="CR336" s="277">
        <f>CR335/CR$223</f>
        <v>6.4261720461515986E-2</v>
      </c>
      <c r="CS336" s="272"/>
      <c r="CT336" s="272"/>
      <c r="CU336" s="272"/>
      <c r="CV336" s="276"/>
      <c r="CW336" s="277">
        <f>CW335/CW$223</f>
        <v>6.3590692755155998E-2</v>
      </c>
      <c r="CX336" s="272"/>
      <c r="CY336" s="272"/>
      <c r="CZ336" s="272"/>
      <c r="DA336" s="272"/>
      <c r="DB336" s="277">
        <f>DB335/DB$223</f>
        <v>5.6767105044115196E-2</v>
      </c>
      <c r="DC336" s="272"/>
      <c r="DD336" s="272"/>
      <c r="DE336" s="272"/>
      <c r="DF336" s="272"/>
      <c r="DG336" s="277">
        <f>DG335/DG$223</f>
        <v>6.4766081871345027E-2</v>
      </c>
      <c r="DH336" s="272"/>
      <c r="DI336" s="272"/>
      <c r="DJ336" s="272"/>
      <c r="DK336" s="272"/>
      <c r="DL336" s="277">
        <f>DL335/DL$223</f>
        <v>6.4422225034805727E-2</v>
      </c>
      <c r="DM336" s="272"/>
      <c r="DN336" s="272"/>
      <c r="DO336" s="272"/>
      <c r="DP336" s="272"/>
      <c r="DQ336" s="277">
        <f>DQ335/DQ$223</f>
        <v>5.9247094492167758E-2</v>
      </c>
      <c r="DR336" s="272">
        <f>DR335/DR$223/4</f>
        <v>8.7445041524181727E-2</v>
      </c>
      <c r="DS336" s="272">
        <f>DS335/DS$223/4</f>
        <v>8.0747711088504578E-2</v>
      </c>
      <c r="DT336" s="272">
        <f>DT335/DT$223/4</f>
        <v>0.13481012658227848</v>
      </c>
      <c r="DU336" s="1280">
        <f t="shared" si="1055"/>
        <v>0.11767651477215824</v>
      </c>
      <c r="DV336" s="277">
        <f>DV335/DV$223</f>
        <v>0.11767651477215824</v>
      </c>
      <c r="DW336" s="272">
        <f>DW335/DW$223/4</f>
        <v>0.13934223541048466</v>
      </c>
      <c r="DX336" s="272">
        <f>DX335/DX$223/4</f>
        <v>0.13877904102817598</v>
      </c>
      <c r="DY336" s="272">
        <f>DY335/DY$223/4</f>
        <v>8.5806706504024888E-2</v>
      </c>
      <c r="DZ336" s="1280">
        <f t="shared" si="1056"/>
        <v>5.5535539017753981E-2</v>
      </c>
      <c r="EA336" s="277">
        <f>EA335/EA$223</f>
        <v>5.5535539017753981E-2</v>
      </c>
      <c r="EB336" s="272">
        <f>EB335/EB$223/4</f>
        <v>0.12863335033146353</v>
      </c>
      <c r="EC336" s="272">
        <f>EC335/EC$223/4</f>
        <v>0.13941548183254343</v>
      </c>
      <c r="ED336" s="272">
        <f>ED335/ED$223/4</f>
        <v>0.146351136964569</v>
      </c>
      <c r="EE336" s="1280">
        <f t="shared" si="1057"/>
        <v>0.12324636161006949</v>
      </c>
      <c r="EF336" s="277">
        <f>EF335/EF$223</f>
        <v>0.12324636161006949</v>
      </c>
      <c r="EG336" s="272">
        <f>EG335/EG$223/4</f>
        <v>0.10489098408956983</v>
      </c>
      <c r="EH336" s="272">
        <f>EH335/EH$223/4</f>
        <v>0.15172209026128267</v>
      </c>
      <c r="EI336" s="272">
        <f>EI335/EI$223/4</f>
        <v>0.16153169014084506</v>
      </c>
      <c r="EJ336" s="1280">
        <f t="shared" si="1058"/>
        <v>0.15027883768711475</v>
      </c>
      <c r="EK336" s="277">
        <f>EK335/EK$223</f>
        <v>0.15027883768711475</v>
      </c>
      <c r="EL336" s="272">
        <f>EL335/EL$223/4</f>
        <v>0.1694169416941694</v>
      </c>
      <c r="EM336" s="272">
        <f>EM335/EM$223/4</f>
        <v>0.15864022662889518</v>
      </c>
      <c r="EN336" s="272">
        <f>EN335/EN$223/4</f>
        <v>0.15859154929577465</v>
      </c>
      <c r="EO336" s="1280">
        <f t="shared" si="1059"/>
        <v>0.14540389972144846</v>
      </c>
      <c r="EP336" s="277">
        <f>EP335/EP$223</f>
        <v>0.14540389972144846</v>
      </c>
      <c r="EQ336" s="272"/>
      <c r="ER336" s="279"/>
      <c r="ES336" s="279"/>
      <c r="ET336" s="279"/>
      <c r="EU336" s="278">
        <f>EP336</f>
        <v>0.14540389972144846</v>
      </c>
      <c r="EV336" s="279"/>
      <c r="EW336" s="279"/>
      <c r="EX336" s="279"/>
      <c r="EY336" s="279"/>
      <c r="EZ336" s="278">
        <f>EU336</f>
        <v>0.14540389972144846</v>
      </c>
      <c r="FA336" s="279"/>
      <c r="FB336" s="279"/>
      <c r="FC336" s="279"/>
      <c r="FD336" s="279"/>
      <c r="FE336" s="278">
        <f>EZ336</f>
        <v>0.14540389972144846</v>
      </c>
      <c r="FF336" s="1183"/>
      <c r="FG336" s="1102"/>
      <c r="FH336" s="1179"/>
      <c r="FI336" s="1179"/>
      <c r="FJ336" s="1179"/>
      <c r="FK336" s="1179"/>
      <c r="FL336" s="1852"/>
      <c r="FM336" s="1787"/>
      <c r="FN336" s="1787"/>
      <c r="FO336" s="1787"/>
      <c r="FP336" s="1787"/>
      <c r="FQ336" s="1787"/>
      <c r="FR336" s="1185"/>
      <c r="FS336" s="1185"/>
      <c r="FT336" s="1185"/>
      <c r="FU336" s="1185"/>
      <c r="FV336" s="1185"/>
      <c r="FW336" s="1185"/>
      <c r="FX336" s="1185"/>
      <c r="FY336" s="1185"/>
      <c r="FZ336" s="1185"/>
      <c r="GA336" s="1102"/>
      <c r="GB336"/>
      <c r="GC336"/>
      <c r="GD336"/>
      <c r="GE336"/>
      <c r="GF336"/>
      <c r="GG336"/>
      <c r="GH336" s="1186"/>
      <c r="GI336" s="1186"/>
      <c r="GJ336" s="1186"/>
      <c r="GK336" s="1186"/>
      <c r="GL336" s="1186"/>
      <c r="GM336" s="1186"/>
      <c r="GN336" s="1186"/>
      <c r="GO336" s="1186"/>
      <c r="GP336" s="1186"/>
      <c r="GQ336" s="1186"/>
      <c r="GR336" s="1186"/>
      <c r="GS336" s="1186"/>
      <c r="GT336" s="1186"/>
      <c r="GU336" s="1186"/>
      <c r="GV336" s="1186"/>
      <c r="GW336" s="1186"/>
      <c r="GX336" s="1186"/>
      <c r="GY336" s="1186"/>
      <c r="GZ336" s="1186"/>
      <c r="HA336" s="1186"/>
      <c r="HB336" s="1186"/>
      <c r="HC336" s="1186"/>
      <c r="HD336" s="1186"/>
      <c r="HE336" s="1186"/>
      <c r="HF336" s="1186"/>
      <c r="HG336" s="1186"/>
      <c r="HH336" s="1186"/>
      <c r="HI336" s="1186"/>
      <c r="HJ336" s="1186"/>
      <c r="HK336" s="1186"/>
      <c r="HL336" s="1186"/>
      <c r="HM336" s="1186"/>
      <c r="HN336" s="1186"/>
      <c r="HO336" s="1186"/>
      <c r="HP336" s="1186"/>
      <c r="HQ336" s="1186"/>
      <c r="HR336" s="1186"/>
      <c r="HS336" s="1186"/>
      <c r="HT336" s="1186"/>
      <c r="HU336" s="1186"/>
      <c r="HV336" s="1186"/>
      <c r="HW336" s="1186"/>
      <c r="HX336" s="1186"/>
      <c r="HY336" s="1186"/>
      <c r="HZ336" s="1186"/>
      <c r="IA336" s="1186"/>
      <c r="IB336" s="1186"/>
      <c r="IC336" s="1186"/>
      <c r="ID336" s="1186"/>
      <c r="IE336" s="1186"/>
      <c r="IF336" s="1186"/>
      <c r="IG336" s="1186"/>
      <c r="IH336" s="1186"/>
      <c r="II336" s="1186"/>
      <c r="IJ336" s="1186"/>
      <c r="IK336" s="1186"/>
      <c r="IL336" s="1186"/>
      <c r="IM336" s="1186"/>
      <c r="IN336" s="1186"/>
      <c r="IO336" s="1186"/>
      <c r="IP336" s="1186"/>
      <c r="IQ336" s="1186"/>
      <c r="IR336" s="1186"/>
      <c r="IS336" s="1186"/>
      <c r="IT336" s="1186"/>
      <c r="IU336" s="1186"/>
      <c r="IV336" s="1186"/>
    </row>
    <row r="337" spans="1:256" s="173" customFormat="1" ht="12.75" x14ac:dyDescent="0.2">
      <c r="A337" s="176" t="s">
        <v>154</v>
      </c>
      <c r="B337" s="165"/>
      <c r="C337" s="165"/>
      <c r="D337" s="165"/>
      <c r="E337" s="226"/>
      <c r="F337" s="155"/>
      <c r="G337" s="165"/>
      <c r="H337" s="165"/>
      <c r="I337" s="165"/>
      <c r="J337" s="226"/>
      <c r="K337" s="155"/>
      <c r="L337" s="165"/>
      <c r="M337" s="165"/>
      <c r="N337" s="165"/>
      <c r="O337" s="226"/>
      <c r="P337" s="155"/>
      <c r="Q337" s="165"/>
      <c r="R337" s="165"/>
      <c r="S337" s="165"/>
      <c r="T337" s="226"/>
      <c r="U337" s="155"/>
      <c r="V337" s="165"/>
      <c r="W337" s="165"/>
      <c r="X337" s="165"/>
      <c r="Y337" s="226"/>
      <c r="Z337" s="155"/>
      <c r="AA337" s="165"/>
      <c r="AB337" s="165"/>
      <c r="AC337" s="165"/>
      <c r="AD337" s="226"/>
      <c r="AE337" s="155"/>
      <c r="AF337" s="165"/>
      <c r="AG337" s="165"/>
      <c r="AH337" s="165"/>
      <c r="AI337" s="226"/>
      <c r="AJ337" s="155"/>
      <c r="AK337" s="165"/>
      <c r="AL337" s="165"/>
      <c r="AM337" s="165"/>
      <c r="AN337" s="226"/>
      <c r="AO337" s="155"/>
      <c r="AP337" s="165"/>
      <c r="AQ337" s="165"/>
      <c r="AR337" s="165"/>
      <c r="AS337" s="226"/>
      <c r="AT337" s="155">
        <v>1093</v>
      </c>
      <c r="AU337" s="165"/>
      <c r="AV337" s="165"/>
      <c r="AW337" s="165"/>
      <c r="AX337" s="226"/>
      <c r="AY337" s="155">
        <v>1117</v>
      </c>
      <c r="AZ337" s="165"/>
      <c r="BA337" s="165"/>
      <c r="BB337" s="165"/>
      <c r="BC337" s="226"/>
      <c r="BD337" s="155">
        <v>1924</v>
      </c>
      <c r="BE337" s="165"/>
      <c r="BF337" s="165"/>
      <c r="BG337" s="165"/>
      <c r="BH337" s="226"/>
      <c r="BI337" s="155">
        <v>1887</v>
      </c>
      <c r="BJ337" s="165"/>
      <c r="BK337" s="165"/>
      <c r="BL337" s="165"/>
      <c r="BM337" s="226"/>
      <c r="BN337" s="155">
        <v>2386</v>
      </c>
      <c r="BO337" s="165"/>
      <c r="BP337" s="165"/>
      <c r="BQ337" s="165"/>
      <c r="BR337" s="226"/>
      <c r="BS337" s="155">
        <v>1853</v>
      </c>
      <c r="BT337" s="165"/>
      <c r="BU337" s="165"/>
      <c r="BV337" s="165"/>
      <c r="BW337" s="226"/>
      <c r="BX337" s="155">
        <v>1801</v>
      </c>
      <c r="BY337" s="165"/>
      <c r="BZ337" s="165"/>
      <c r="CA337" s="165"/>
      <c r="CB337" s="226"/>
      <c r="CC337" s="155">
        <v>2201</v>
      </c>
      <c r="CD337" s="165"/>
      <c r="CE337" s="165"/>
      <c r="CF337" s="165"/>
      <c r="CG337" s="226"/>
      <c r="CH337" s="155">
        <v>1921</v>
      </c>
      <c r="CI337" s="165"/>
      <c r="CJ337" s="165"/>
      <c r="CK337" s="165"/>
      <c r="CL337" s="226"/>
      <c r="CM337" s="155">
        <v>2093</v>
      </c>
      <c r="CN337" s="165"/>
      <c r="CO337" s="165"/>
      <c r="CP337" s="165"/>
      <c r="CQ337" s="226"/>
      <c r="CR337" s="155">
        <v>1948</v>
      </c>
      <c r="CS337" s="165"/>
      <c r="CT337" s="165"/>
      <c r="CU337" s="165"/>
      <c r="CV337" s="226"/>
      <c r="CW337" s="155">
        <v>2105</v>
      </c>
      <c r="CX337" s="168"/>
      <c r="CY337" s="168"/>
      <c r="CZ337" s="168"/>
      <c r="DA337" s="165"/>
      <c r="DB337" s="155">
        <v>1789</v>
      </c>
      <c r="DC337" s="168"/>
      <c r="DD337" s="168"/>
      <c r="DE337" s="168"/>
      <c r="DF337" s="165"/>
      <c r="DG337" s="425">
        <v>2082</v>
      </c>
      <c r="DH337" s="165"/>
      <c r="DI337" s="168"/>
      <c r="DJ337" s="168"/>
      <c r="DK337" s="165"/>
      <c r="DL337" s="425">
        <v>1701</v>
      </c>
      <c r="DM337" s="165"/>
      <c r="DN337" s="168"/>
      <c r="DO337" s="168"/>
      <c r="DP337" s="165"/>
      <c r="DQ337" s="177">
        <v>2081</v>
      </c>
      <c r="DR337" s="1167">
        <v>1904</v>
      </c>
      <c r="DS337" s="1167">
        <v>1815</v>
      </c>
      <c r="DT337" s="1167">
        <v>2332</v>
      </c>
      <c r="DU337" s="1285">
        <f t="shared" si="1055"/>
        <v>2305</v>
      </c>
      <c r="DV337" s="177">
        <v>2305</v>
      </c>
      <c r="DW337" s="1167">
        <v>2321</v>
      </c>
      <c r="DX337" s="1167">
        <v>2368</v>
      </c>
      <c r="DY337" s="1167">
        <v>2082</v>
      </c>
      <c r="DZ337" s="1285">
        <f t="shared" si="1056"/>
        <v>1780</v>
      </c>
      <c r="EA337" s="177">
        <v>1780</v>
      </c>
      <c r="EB337" s="1167">
        <v>2103</v>
      </c>
      <c r="EC337" s="1167">
        <v>2203</v>
      </c>
      <c r="ED337" s="1167">
        <v>2367</v>
      </c>
      <c r="EE337" s="1285">
        <f t="shared" si="1057"/>
        <v>2231</v>
      </c>
      <c r="EF337" s="177">
        <v>2231</v>
      </c>
      <c r="EG337" s="1167">
        <v>1831</v>
      </c>
      <c r="EH337" s="1167">
        <v>2107</v>
      </c>
      <c r="EI337" s="1167">
        <v>2232</v>
      </c>
      <c r="EJ337" s="1285">
        <f t="shared" si="1058"/>
        <v>2339</v>
      </c>
      <c r="EK337" s="177">
        <v>2339</v>
      </c>
      <c r="EL337" s="1167">
        <v>2443</v>
      </c>
      <c r="EM337" s="1167">
        <v>2343</v>
      </c>
      <c r="EN337" s="1167">
        <v>2413</v>
      </c>
      <c r="EO337" s="1285">
        <f t="shared" si="1059"/>
        <v>2545</v>
      </c>
      <c r="EP337" s="177">
        <v>2545</v>
      </c>
      <c r="EQ337" s="1167"/>
      <c r="ER337" s="168"/>
      <c r="ES337" s="168"/>
      <c r="ET337" s="168"/>
      <c r="EU337" s="177">
        <f>EU335+EU332+EU333</f>
        <v>2710.4654099102227</v>
      </c>
      <c r="EV337" s="168"/>
      <c r="EW337" s="168"/>
      <c r="EX337" s="168"/>
      <c r="EY337" s="168"/>
      <c r="EZ337" s="177">
        <f>EZ335+EZ332+EZ333</f>
        <v>2798.2859035325723</v>
      </c>
      <c r="FA337" s="168"/>
      <c r="FB337" s="168"/>
      <c r="FC337" s="168"/>
      <c r="FD337" s="168"/>
      <c r="FE337" s="177">
        <f>FE335+FE332+FE333</f>
        <v>2883.8118651749887</v>
      </c>
      <c r="FF337" s="823"/>
      <c r="FG337" s="660"/>
      <c r="FH337" s="1085"/>
      <c r="FI337" s="1085"/>
      <c r="FJ337" s="1085"/>
      <c r="FK337" s="1085"/>
      <c r="FL337" s="1858"/>
      <c r="FM337" s="1789"/>
      <c r="FN337" s="1789"/>
      <c r="FO337" s="1789"/>
      <c r="FP337" s="1789"/>
      <c r="FQ337" s="1789"/>
      <c r="FR337" s="609"/>
      <c r="FS337" s="609"/>
      <c r="FT337" s="609"/>
      <c r="FU337" s="609"/>
      <c r="FV337" s="609"/>
      <c r="FW337" s="609"/>
      <c r="FX337" s="609"/>
      <c r="FY337" s="609"/>
      <c r="FZ337" s="609"/>
      <c r="GA337" s="660"/>
      <c r="GB337"/>
      <c r="GC337"/>
      <c r="GD337"/>
      <c r="GE337"/>
      <c r="GF337"/>
      <c r="GG337"/>
      <c r="GH337" s="994"/>
      <c r="GI337" s="994"/>
      <c r="GJ337" s="994"/>
      <c r="GK337" s="994"/>
      <c r="GL337" s="994"/>
      <c r="GM337" s="994"/>
      <c r="GN337" s="994"/>
      <c r="GO337" s="994"/>
      <c r="GP337" s="994"/>
      <c r="GQ337" s="994"/>
      <c r="GR337" s="994"/>
      <c r="GS337" s="994"/>
      <c r="GT337" s="994"/>
      <c r="GU337" s="994"/>
      <c r="GV337" s="994"/>
      <c r="GW337" s="994"/>
      <c r="GX337" s="994"/>
      <c r="GY337" s="994"/>
      <c r="GZ337" s="994"/>
      <c r="HA337" s="994"/>
      <c r="HB337" s="994"/>
      <c r="HC337" s="994"/>
      <c r="HD337" s="994"/>
      <c r="HE337" s="994"/>
      <c r="HF337" s="994"/>
      <c r="HG337" s="994"/>
      <c r="HH337" s="994"/>
      <c r="HI337" s="994"/>
      <c r="HJ337" s="994"/>
      <c r="HK337" s="994"/>
      <c r="HL337" s="994"/>
      <c r="HM337" s="994"/>
      <c r="HN337" s="994"/>
      <c r="HO337" s="994"/>
      <c r="HP337" s="994"/>
      <c r="HQ337" s="994"/>
      <c r="HR337" s="994"/>
      <c r="HS337" s="994"/>
      <c r="HT337" s="994"/>
      <c r="HU337" s="994"/>
      <c r="HV337" s="994"/>
      <c r="HW337" s="994"/>
      <c r="HX337" s="994"/>
      <c r="HY337" s="994"/>
      <c r="HZ337" s="994"/>
      <c r="IA337" s="994"/>
      <c r="IB337" s="994"/>
      <c r="IC337" s="994"/>
      <c r="ID337" s="994"/>
      <c r="IE337" s="994"/>
      <c r="IF337" s="994"/>
      <c r="IG337" s="994"/>
      <c r="IH337" s="994"/>
      <c r="II337" s="994"/>
      <c r="IJ337" s="994"/>
      <c r="IK337" s="994"/>
      <c r="IL337" s="994"/>
      <c r="IM337" s="994"/>
      <c r="IN337" s="994"/>
      <c r="IO337" s="994"/>
      <c r="IP337" s="994"/>
      <c r="IQ337" s="994"/>
      <c r="IR337" s="994"/>
      <c r="IS337" s="994"/>
      <c r="IT337" s="994"/>
      <c r="IU337" s="994"/>
      <c r="IV337" s="994"/>
    </row>
    <row r="338" spans="1:256" s="173" customFormat="1" ht="12.75" x14ac:dyDescent="0.2">
      <c r="A338" s="182" t="s">
        <v>155</v>
      </c>
      <c r="B338" s="165"/>
      <c r="C338" s="165"/>
      <c r="D338" s="165"/>
      <c r="E338" s="226"/>
      <c r="F338" s="155"/>
      <c r="G338" s="165"/>
      <c r="H338" s="165"/>
      <c r="I338" s="165"/>
      <c r="J338" s="226"/>
      <c r="K338" s="155"/>
      <c r="L338" s="165"/>
      <c r="M338" s="165"/>
      <c r="N338" s="165"/>
      <c r="O338" s="226"/>
      <c r="P338" s="155"/>
      <c r="Q338" s="165"/>
      <c r="R338" s="165"/>
      <c r="S338" s="165"/>
      <c r="T338" s="226"/>
      <c r="U338" s="155"/>
      <c r="V338" s="165"/>
      <c r="W338" s="165"/>
      <c r="X338" s="165"/>
      <c r="Y338" s="226"/>
      <c r="Z338" s="155"/>
      <c r="AA338" s="165"/>
      <c r="AB338" s="165"/>
      <c r="AC338" s="165"/>
      <c r="AD338" s="226"/>
      <c r="AE338" s="155"/>
      <c r="AF338" s="165"/>
      <c r="AG338" s="165"/>
      <c r="AH338" s="165"/>
      <c r="AI338" s="226"/>
      <c r="AJ338" s="155"/>
      <c r="AK338" s="165"/>
      <c r="AL338" s="165"/>
      <c r="AM338" s="165"/>
      <c r="AN338" s="226"/>
      <c r="AO338" s="155"/>
      <c r="AP338" s="165"/>
      <c r="AQ338" s="165"/>
      <c r="AR338" s="165"/>
      <c r="AS338" s="226"/>
      <c r="AT338" s="155">
        <v>7398</v>
      </c>
      <c r="AU338" s="165"/>
      <c r="AV338" s="165"/>
      <c r="AW338" s="165"/>
      <c r="AX338" s="226"/>
      <c r="AY338" s="155">
        <v>7483</v>
      </c>
      <c r="AZ338" s="165"/>
      <c r="BA338" s="165"/>
      <c r="BB338" s="165"/>
      <c r="BC338" s="226"/>
      <c r="BD338" s="155">
        <v>7556</v>
      </c>
      <c r="BE338" s="165"/>
      <c r="BF338" s="165"/>
      <c r="BG338" s="165"/>
      <c r="BH338" s="226"/>
      <c r="BI338" s="155">
        <v>7339</v>
      </c>
      <c r="BJ338" s="165"/>
      <c r="BK338" s="165"/>
      <c r="BL338" s="165"/>
      <c r="BM338" s="226"/>
      <c r="BN338" s="155">
        <v>7027</v>
      </c>
      <c r="BO338" s="165"/>
      <c r="BP338" s="165"/>
      <c r="BQ338" s="165"/>
      <c r="BR338" s="226"/>
      <c r="BS338" s="155">
        <v>7006</v>
      </c>
      <c r="BT338" s="165"/>
      <c r="BU338" s="165"/>
      <c r="BV338" s="165"/>
      <c r="BW338" s="226"/>
      <c r="BX338" s="155">
        <v>6800</v>
      </c>
      <c r="BY338" s="165"/>
      <c r="BZ338" s="165"/>
      <c r="CA338" s="165"/>
      <c r="CB338" s="226"/>
      <c r="CC338" s="155">
        <v>6863</v>
      </c>
      <c r="CD338" s="165"/>
      <c r="CE338" s="165"/>
      <c r="CF338" s="165"/>
      <c r="CG338" s="226"/>
      <c r="CH338" s="155">
        <v>6616</v>
      </c>
      <c r="CI338" s="165"/>
      <c r="CJ338" s="165"/>
      <c r="CK338" s="165"/>
      <c r="CL338" s="226"/>
      <c r="CM338" s="155">
        <v>6109</v>
      </c>
      <c r="CN338" s="165"/>
      <c r="CO338" s="165"/>
      <c r="CP338" s="165"/>
      <c r="CQ338" s="226"/>
      <c r="CR338" s="155">
        <v>5999</v>
      </c>
      <c r="CS338" s="165"/>
      <c r="CT338" s="165"/>
      <c r="CU338" s="165"/>
      <c r="CV338" s="226"/>
      <c r="CW338" s="155">
        <v>6183</v>
      </c>
      <c r="CX338" s="156">
        <v>6467</v>
      </c>
      <c r="CY338" s="156">
        <v>6688</v>
      </c>
      <c r="CZ338" s="156">
        <v>6685</v>
      </c>
      <c r="DA338" s="156">
        <v>6679</v>
      </c>
      <c r="DB338" s="155">
        <v>6679</v>
      </c>
      <c r="DC338" s="156">
        <v>6379</v>
      </c>
      <c r="DD338" s="156">
        <v>6326</v>
      </c>
      <c r="DE338" s="156">
        <v>6574</v>
      </c>
      <c r="DF338" s="156">
        <v>6567</v>
      </c>
      <c r="DG338" s="155">
        <v>6567</v>
      </c>
      <c r="DH338" s="156">
        <v>6554</v>
      </c>
      <c r="DI338" s="156">
        <v>6931</v>
      </c>
      <c r="DJ338" s="156">
        <v>6782</v>
      </c>
      <c r="DK338" s="156">
        <f>DL338</f>
        <v>7390</v>
      </c>
      <c r="DL338" s="155">
        <v>7390</v>
      </c>
      <c r="DM338" s="156">
        <v>7985</v>
      </c>
      <c r="DN338" s="156">
        <v>7972</v>
      </c>
      <c r="DO338" s="156">
        <v>7985</v>
      </c>
      <c r="DP338" s="156">
        <v>8432</v>
      </c>
      <c r="DQ338" s="171">
        <v>8432</v>
      </c>
      <c r="DR338" s="156">
        <v>8438</v>
      </c>
      <c r="DS338" s="156">
        <v>8430</v>
      </c>
      <c r="DT338" s="156">
        <v>8499</v>
      </c>
      <c r="DU338" s="156">
        <f t="shared" si="1055"/>
        <v>8903</v>
      </c>
      <c r="DV338" s="171">
        <v>8903</v>
      </c>
      <c r="DW338" s="156">
        <v>8909</v>
      </c>
      <c r="DX338" s="156">
        <v>8814</v>
      </c>
      <c r="DY338" s="156">
        <v>8919</v>
      </c>
      <c r="DZ338" s="156">
        <f t="shared" si="1056"/>
        <v>8883</v>
      </c>
      <c r="EA338" s="171">
        <v>8883</v>
      </c>
      <c r="EB338" s="156">
        <v>8429</v>
      </c>
      <c r="EC338" s="156">
        <v>8890</v>
      </c>
      <c r="ED338" s="156">
        <v>8896</v>
      </c>
      <c r="EE338" s="156">
        <f t="shared" si="1057"/>
        <v>9393</v>
      </c>
      <c r="EF338" s="171">
        <v>9393</v>
      </c>
      <c r="EG338" s="156">
        <v>9398</v>
      </c>
      <c r="EH338" s="156">
        <v>9549</v>
      </c>
      <c r="EI338" s="156">
        <v>9555</v>
      </c>
      <c r="EJ338" s="156">
        <f t="shared" si="1058"/>
        <v>9562</v>
      </c>
      <c r="EK338" s="171">
        <v>9562</v>
      </c>
      <c r="EL338" s="156">
        <v>9569</v>
      </c>
      <c r="EM338" s="156">
        <v>9273</v>
      </c>
      <c r="EN338" s="156">
        <v>9280</v>
      </c>
      <c r="EO338" s="156">
        <f t="shared" si="1059"/>
        <v>9136</v>
      </c>
      <c r="EP338" s="171">
        <v>9136</v>
      </c>
      <c r="EQ338" s="156">
        <v>9637</v>
      </c>
      <c r="ER338" s="168"/>
      <c r="ES338" s="168"/>
      <c r="ET338" s="168"/>
      <c r="EU338" s="171">
        <f>EP338+EU307</f>
        <v>9636</v>
      </c>
      <c r="EV338" s="168"/>
      <c r="EW338" s="168"/>
      <c r="EX338" s="168"/>
      <c r="EY338" s="168"/>
      <c r="EZ338" s="171">
        <f>EU338+EZ307</f>
        <v>9986</v>
      </c>
      <c r="FA338" s="168"/>
      <c r="FB338" s="168"/>
      <c r="FC338" s="168"/>
      <c r="FD338" s="168"/>
      <c r="FE338" s="171">
        <f>EZ338+FE307</f>
        <v>10386</v>
      </c>
      <c r="FF338" s="823"/>
      <c r="FG338" s="660"/>
      <c r="FH338" s="1085"/>
      <c r="FI338" s="1085"/>
      <c r="FJ338" s="1085"/>
      <c r="FK338" s="1085"/>
      <c r="FL338" s="1858"/>
      <c r="FM338" s="1789"/>
      <c r="FN338" s="1789"/>
      <c r="FO338" s="1789"/>
      <c r="FP338" s="1789"/>
      <c r="FQ338" s="1789"/>
      <c r="FR338" s="609"/>
      <c r="FS338" s="609"/>
      <c r="FT338" s="609"/>
      <c r="FU338" s="609"/>
      <c r="FV338" s="609"/>
      <c r="FW338" s="609"/>
      <c r="FX338" s="609"/>
      <c r="FY338" s="609"/>
      <c r="FZ338" s="609"/>
      <c r="GA338" s="660"/>
      <c r="GB338"/>
      <c r="GC338"/>
      <c r="GD338"/>
      <c r="GE338"/>
      <c r="GF338"/>
      <c r="GG338"/>
      <c r="GH338" s="994"/>
      <c r="GI338" s="994"/>
      <c r="GJ338" s="994"/>
      <c r="GK338" s="994"/>
      <c r="GL338" s="994"/>
      <c r="GM338" s="994"/>
      <c r="GN338" s="994"/>
      <c r="GO338" s="994"/>
      <c r="GP338" s="994"/>
      <c r="GQ338" s="994"/>
      <c r="GR338" s="994"/>
      <c r="GS338" s="994"/>
      <c r="GT338" s="994"/>
      <c r="GU338" s="994"/>
      <c r="GV338" s="994"/>
      <c r="GW338" s="994"/>
      <c r="GX338" s="994"/>
      <c r="GY338" s="994"/>
      <c r="GZ338" s="994"/>
      <c r="HA338" s="994"/>
      <c r="HB338" s="994"/>
      <c r="HC338" s="994"/>
      <c r="HD338" s="994"/>
      <c r="HE338" s="994"/>
      <c r="HF338" s="994"/>
      <c r="HG338" s="994"/>
      <c r="HH338" s="994"/>
      <c r="HI338" s="994"/>
      <c r="HJ338" s="994"/>
      <c r="HK338" s="994"/>
      <c r="HL338" s="994"/>
      <c r="HM338" s="994"/>
      <c r="HN338" s="994"/>
      <c r="HO338" s="994"/>
      <c r="HP338" s="994"/>
      <c r="HQ338" s="994"/>
      <c r="HR338" s="994"/>
      <c r="HS338" s="994"/>
      <c r="HT338" s="994"/>
      <c r="HU338" s="994"/>
      <c r="HV338" s="994"/>
      <c r="HW338" s="994"/>
      <c r="HX338" s="994"/>
      <c r="HY338" s="994"/>
      <c r="HZ338" s="994"/>
      <c r="IA338" s="994"/>
      <c r="IB338" s="994"/>
      <c r="IC338" s="994"/>
      <c r="ID338" s="994"/>
      <c r="IE338" s="994"/>
      <c r="IF338" s="994"/>
      <c r="IG338" s="994"/>
      <c r="IH338" s="994"/>
      <c r="II338" s="994"/>
      <c r="IJ338" s="994"/>
      <c r="IK338" s="994"/>
      <c r="IL338" s="994"/>
      <c r="IM338" s="994"/>
      <c r="IN338" s="994"/>
      <c r="IO338" s="994"/>
      <c r="IP338" s="994"/>
      <c r="IQ338" s="994"/>
      <c r="IR338" s="994"/>
      <c r="IS338" s="994"/>
      <c r="IT338" s="994"/>
      <c r="IU338" s="994"/>
      <c r="IV338" s="994"/>
    </row>
    <row r="339" spans="1:256" s="173" customFormat="1" ht="12.75" x14ac:dyDescent="0.2">
      <c r="A339" s="182" t="s">
        <v>633</v>
      </c>
      <c r="B339" s="165"/>
      <c r="C339" s="165"/>
      <c r="D339" s="165"/>
      <c r="E339" s="226"/>
      <c r="F339" s="155"/>
      <c r="G339" s="165"/>
      <c r="H339" s="165"/>
      <c r="I339" s="165"/>
      <c r="J339" s="226"/>
      <c r="K339" s="155"/>
      <c r="L339" s="165"/>
      <c r="M339" s="165"/>
      <c r="N339" s="165"/>
      <c r="O339" s="226"/>
      <c r="P339" s="155"/>
      <c r="Q339" s="165"/>
      <c r="R339" s="165"/>
      <c r="S339" s="165"/>
      <c r="T339" s="226"/>
      <c r="U339" s="155"/>
      <c r="V339" s="165"/>
      <c r="W339" s="165"/>
      <c r="X339" s="165"/>
      <c r="Y339" s="226"/>
      <c r="Z339" s="155"/>
      <c r="AA339" s="165"/>
      <c r="AB339" s="165"/>
      <c r="AC339" s="165"/>
      <c r="AD339" s="226"/>
      <c r="AE339" s="155"/>
      <c r="AF339" s="165"/>
      <c r="AG339" s="165"/>
      <c r="AH339" s="165"/>
      <c r="AI339" s="226"/>
      <c r="AJ339" s="155"/>
      <c r="AK339" s="165"/>
      <c r="AL339" s="165"/>
      <c r="AM339" s="165"/>
      <c r="AN339" s="226"/>
      <c r="AO339" s="155"/>
      <c r="AP339" s="165"/>
      <c r="AQ339" s="165"/>
      <c r="AR339" s="165"/>
      <c r="AS339" s="226"/>
      <c r="AT339" s="155">
        <v>2480</v>
      </c>
      <c r="AU339" s="165"/>
      <c r="AV339" s="165"/>
      <c r="AW339" s="165"/>
      <c r="AX339" s="226"/>
      <c r="AY339" s="155">
        <v>2545</v>
      </c>
      <c r="AZ339" s="165"/>
      <c r="BA339" s="165"/>
      <c r="BB339" s="165"/>
      <c r="BC339" s="226"/>
      <c r="BD339" s="155">
        <v>2687</v>
      </c>
      <c r="BE339" s="165"/>
      <c r="BF339" s="165"/>
      <c r="BG339" s="165"/>
      <c r="BH339" s="226"/>
      <c r="BI339" s="155">
        <v>2745</v>
      </c>
      <c r="BJ339" s="165"/>
      <c r="BK339" s="165"/>
      <c r="BL339" s="165"/>
      <c r="BM339" s="226"/>
      <c r="BN339" s="155">
        <v>2781</v>
      </c>
      <c r="BO339" s="165"/>
      <c r="BP339" s="165"/>
      <c r="BQ339" s="165"/>
      <c r="BR339" s="226"/>
      <c r="BS339" s="155">
        <v>3010</v>
      </c>
      <c r="BT339" s="165"/>
      <c r="BU339" s="165"/>
      <c r="BV339" s="165"/>
      <c r="BW339" s="226"/>
      <c r="BX339" s="155">
        <v>3223</v>
      </c>
      <c r="BY339" s="165"/>
      <c r="BZ339" s="165"/>
      <c r="CA339" s="165"/>
      <c r="CB339" s="226"/>
      <c r="CC339" s="155">
        <v>6550</v>
      </c>
      <c r="CD339" s="165"/>
      <c r="CE339" s="165"/>
      <c r="CF339" s="165"/>
      <c r="CG339" s="226"/>
      <c r="CH339" s="155">
        <v>6631</v>
      </c>
      <c r="CI339" s="165"/>
      <c r="CJ339" s="165"/>
      <c r="CK339" s="165"/>
      <c r="CL339" s="226"/>
      <c r="CM339" s="155">
        <v>6444</v>
      </c>
      <c r="CN339" s="165"/>
      <c r="CO339" s="165"/>
      <c r="CP339" s="165"/>
      <c r="CQ339" s="226"/>
      <c r="CR339" s="155">
        <v>6431</v>
      </c>
      <c r="CS339" s="165"/>
      <c r="CT339" s="165"/>
      <c r="CU339" s="165"/>
      <c r="CV339" s="226"/>
      <c r="CW339" s="155">
        <v>6372</v>
      </c>
      <c r="CX339" s="168"/>
      <c r="CY339" s="168"/>
      <c r="CZ339" s="168"/>
      <c r="DA339" s="165"/>
      <c r="DB339" s="155">
        <v>6747</v>
      </c>
      <c r="DC339" s="168"/>
      <c r="DD339" s="168"/>
      <c r="DE339" s="168"/>
      <c r="DF339" s="165"/>
      <c r="DG339" s="155">
        <v>7088</v>
      </c>
      <c r="DH339" s="165"/>
      <c r="DI339" s="168"/>
      <c r="DJ339" s="168"/>
      <c r="DK339" s="165"/>
      <c r="DL339" s="155">
        <v>7486</v>
      </c>
      <c r="DM339" s="165"/>
      <c r="DN339" s="168"/>
      <c r="DO339" s="168"/>
      <c r="DP339" s="165"/>
      <c r="DQ339" s="171">
        <v>7832</v>
      </c>
      <c r="DR339" s="158">
        <v>7921</v>
      </c>
      <c r="DS339" s="158">
        <v>7974</v>
      </c>
      <c r="DT339" s="158">
        <v>8074</v>
      </c>
      <c r="DU339" s="156">
        <f t="shared" si="1055"/>
        <v>8542</v>
      </c>
      <c r="DV339" s="171">
        <v>8542</v>
      </c>
      <c r="DW339" s="158">
        <v>8647</v>
      </c>
      <c r="DX339" s="158">
        <v>8659</v>
      </c>
      <c r="DY339" s="158">
        <v>8682</v>
      </c>
      <c r="DZ339" s="156">
        <f t="shared" si="1056"/>
        <v>8817</v>
      </c>
      <c r="EA339" s="171">
        <v>8817</v>
      </c>
      <c r="EB339" s="158">
        <v>8783</v>
      </c>
      <c r="EC339" s="158">
        <v>8818</v>
      </c>
      <c r="ED339" s="158">
        <v>8840</v>
      </c>
      <c r="EE339" s="156">
        <f t="shared" si="1057"/>
        <v>8942</v>
      </c>
      <c r="EF339" s="171">
        <v>8942</v>
      </c>
      <c r="EG339" s="158">
        <v>8989</v>
      </c>
      <c r="EH339" s="158">
        <v>9047</v>
      </c>
      <c r="EI339" s="158">
        <v>9127</v>
      </c>
      <c r="EJ339" s="156">
        <f t="shared" si="1058"/>
        <v>9140</v>
      </c>
      <c r="EK339" s="171">
        <v>9140</v>
      </c>
      <c r="EL339" s="158">
        <v>9199</v>
      </c>
      <c r="EM339" s="158">
        <v>9259</v>
      </c>
      <c r="EN339" s="158">
        <v>9367</v>
      </c>
      <c r="EO339" s="156">
        <f t="shared" si="1059"/>
        <v>6324</v>
      </c>
      <c r="EP339" s="171">
        <v>6324</v>
      </c>
      <c r="EQ339" s="158"/>
      <c r="ER339" s="168"/>
      <c r="ES339" s="168"/>
      <c r="ET339" s="168"/>
      <c r="EU339" s="171">
        <f>EP339+EU288</f>
        <v>6470.5447324729976</v>
      </c>
      <c r="EV339" s="168"/>
      <c r="EW339" s="168"/>
      <c r="EX339" s="168"/>
      <c r="EY339" s="168"/>
      <c r="EZ339" s="171">
        <f>EU339+EZ288</f>
        <v>6623.8975314327445</v>
      </c>
      <c r="FA339" s="168"/>
      <c r="FB339" s="168"/>
      <c r="FC339" s="168"/>
      <c r="FD339" s="168"/>
      <c r="FE339" s="171">
        <f>EZ339+FE288</f>
        <v>6785.2301854824655</v>
      </c>
      <c r="FF339" s="823"/>
      <c r="FG339" s="660"/>
      <c r="FH339" s="1085"/>
      <c r="FI339" s="1085"/>
      <c r="FJ339" s="1085"/>
      <c r="FK339" s="1085"/>
      <c r="FL339" s="1858"/>
      <c r="FM339" s="1789"/>
      <c r="FN339" s="1789"/>
      <c r="FO339" s="1789"/>
      <c r="FP339" s="1789"/>
      <c r="FQ339" s="1789"/>
      <c r="FR339" s="609"/>
      <c r="FS339" s="609"/>
      <c r="FT339" s="609"/>
      <c r="FU339" s="609"/>
      <c r="FV339" s="609"/>
      <c r="FW339" s="609"/>
      <c r="FX339" s="609"/>
      <c r="FY339" s="609"/>
      <c r="FZ339" s="609"/>
      <c r="GA339" s="660"/>
      <c r="GB339"/>
      <c r="GC339"/>
      <c r="GD339"/>
      <c r="GE339"/>
      <c r="GF339"/>
      <c r="GG339"/>
      <c r="GH339" s="994"/>
      <c r="GI339" s="994"/>
      <c r="GJ339" s="994"/>
      <c r="GK339" s="994"/>
      <c r="GL339" s="994"/>
      <c r="GM339" s="994"/>
      <c r="GN339" s="994"/>
      <c r="GO339" s="994"/>
      <c r="GP339" s="994"/>
      <c r="GQ339" s="994"/>
      <c r="GR339" s="994"/>
      <c r="GS339" s="994"/>
      <c r="GT339" s="994"/>
      <c r="GU339" s="994"/>
      <c r="GV339" s="994"/>
      <c r="GW339" s="994"/>
      <c r="GX339" s="994"/>
      <c r="GY339" s="994"/>
      <c r="GZ339" s="994"/>
      <c r="HA339" s="994"/>
      <c r="HB339" s="994"/>
      <c r="HC339" s="994"/>
      <c r="HD339" s="994"/>
      <c r="HE339" s="994"/>
      <c r="HF339" s="994"/>
      <c r="HG339" s="994"/>
      <c r="HH339" s="994"/>
      <c r="HI339" s="994"/>
      <c r="HJ339" s="994"/>
      <c r="HK339" s="994"/>
      <c r="HL339" s="994"/>
      <c r="HM339" s="994"/>
      <c r="HN339" s="994"/>
      <c r="HO339" s="994"/>
      <c r="HP339" s="994"/>
      <c r="HQ339" s="994"/>
      <c r="HR339" s="994"/>
      <c r="HS339" s="994"/>
      <c r="HT339" s="994"/>
      <c r="HU339" s="994"/>
      <c r="HV339" s="994"/>
      <c r="HW339" s="994"/>
      <c r="HX339" s="994"/>
      <c r="HY339" s="994"/>
      <c r="HZ339" s="994"/>
      <c r="IA339" s="994"/>
      <c r="IB339" s="994"/>
      <c r="IC339" s="994"/>
      <c r="ID339" s="994"/>
      <c r="IE339" s="994"/>
      <c r="IF339" s="994"/>
      <c r="IG339" s="994"/>
      <c r="IH339" s="994"/>
      <c r="II339" s="994"/>
      <c r="IJ339" s="994"/>
      <c r="IK339" s="994"/>
      <c r="IL339" s="994"/>
      <c r="IM339" s="994"/>
      <c r="IN339" s="994"/>
      <c r="IO339" s="994"/>
      <c r="IP339" s="994"/>
      <c r="IQ339" s="994"/>
      <c r="IR339" s="994"/>
      <c r="IS339" s="994"/>
      <c r="IT339" s="994"/>
      <c r="IU339" s="994"/>
      <c r="IV339" s="994"/>
    </row>
    <row r="340" spans="1:256" s="285" customFormat="1" ht="12.6" customHeight="1" x14ac:dyDescent="0.2">
      <c r="A340" s="280" t="s">
        <v>178</v>
      </c>
      <c r="B340" s="281"/>
      <c r="C340" s="281"/>
      <c r="D340" s="281"/>
      <c r="E340" s="282"/>
      <c r="F340" s="283"/>
      <c r="G340" s="281"/>
      <c r="H340" s="281"/>
      <c r="I340" s="281"/>
      <c r="J340" s="282"/>
      <c r="K340" s="283"/>
      <c r="L340" s="281"/>
      <c r="M340" s="281"/>
      <c r="N340" s="281"/>
      <c r="O340" s="282"/>
      <c r="P340" s="283"/>
      <c r="Q340" s="281"/>
      <c r="R340" s="281"/>
      <c r="S340" s="281"/>
      <c r="T340" s="282"/>
      <c r="U340" s="283"/>
      <c r="V340" s="281"/>
      <c r="W340" s="281"/>
      <c r="X340" s="281"/>
      <c r="Y340" s="282"/>
      <c r="Z340" s="283"/>
      <c r="AA340" s="281"/>
      <c r="AB340" s="281"/>
      <c r="AC340" s="281"/>
      <c r="AD340" s="282"/>
      <c r="AE340" s="283"/>
      <c r="AF340" s="281"/>
      <c r="AG340" s="281"/>
      <c r="AH340" s="281"/>
      <c r="AI340" s="282"/>
      <c r="AJ340" s="283"/>
      <c r="AK340" s="281"/>
      <c r="AL340" s="281"/>
      <c r="AM340" s="281"/>
      <c r="AN340" s="282"/>
      <c r="AO340" s="283"/>
      <c r="AP340" s="281"/>
      <c r="AQ340" s="281"/>
      <c r="AR340" s="281"/>
      <c r="AS340" s="282"/>
      <c r="AT340" s="283">
        <v>934</v>
      </c>
      <c r="AU340" s="281"/>
      <c r="AV340" s="281"/>
      <c r="AW340" s="281"/>
      <c r="AX340" s="282"/>
      <c r="AY340" s="283">
        <v>1114</v>
      </c>
      <c r="AZ340" s="281"/>
      <c r="BA340" s="281"/>
      <c r="BB340" s="281"/>
      <c r="BC340" s="282"/>
      <c r="BD340" s="283">
        <v>1151</v>
      </c>
      <c r="BE340" s="281"/>
      <c r="BF340" s="281"/>
      <c r="BG340" s="281"/>
      <c r="BH340" s="282"/>
      <c r="BI340" s="283">
        <v>1181</v>
      </c>
      <c r="BJ340" s="281"/>
      <c r="BK340" s="281"/>
      <c r="BL340" s="281"/>
      <c r="BM340" s="282"/>
      <c r="BN340" s="283">
        <v>1134</v>
      </c>
      <c r="BO340" s="281"/>
      <c r="BP340" s="281"/>
      <c r="BQ340" s="281"/>
      <c r="BR340" s="282"/>
      <c r="BS340" s="283">
        <v>1587</v>
      </c>
      <c r="BT340" s="281"/>
      <c r="BU340" s="281"/>
      <c r="BV340" s="281"/>
      <c r="BW340" s="282"/>
      <c r="BX340" s="283">
        <v>1796</v>
      </c>
      <c r="BY340" s="281"/>
      <c r="BZ340" s="281"/>
      <c r="CA340" s="281"/>
      <c r="CB340" s="282"/>
      <c r="CC340" s="283">
        <v>1146</v>
      </c>
      <c r="CD340" s="281"/>
      <c r="CE340" s="281"/>
      <c r="CF340" s="281"/>
      <c r="CG340" s="282"/>
      <c r="CH340" s="283">
        <v>1415</v>
      </c>
      <c r="CI340" s="281"/>
      <c r="CJ340" s="281"/>
      <c r="CK340" s="281"/>
      <c r="CL340" s="282"/>
      <c r="CM340" s="283">
        <v>1767</v>
      </c>
      <c r="CN340" s="281"/>
      <c r="CO340" s="281"/>
      <c r="CP340" s="281"/>
      <c r="CQ340" s="282"/>
      <c r="CR340" s="283">
        <v>2039</v>
      </c>
      <c r="CS340" s="281"/>
      <c r="CT340" s="281"/>
      <c r="CU340" s="281"/>
      <c r="CV340" s="282"/>
      <c r="CW340" s="283">
        <v>2030</v>
      </c>
      <c r="CX340" s="281"/>
      <c r="CY340" s="281"/>
      <c r="CZ340" s="281"/>
      <c r="DA340" s="281"/>
      <c r="DB340" s="283">
        <v>1801</v>
      </c>
      <c r="DC340" s="281"/>
      <c r="DD340" s="281"/>
      <c r="DE340" s="281"/>
      <c r="DF340" s="281"/>
      <c r="DG340" s="283">
        <v>1793</v>
      </c>
      <c r="DH340" s="281"/>
      <c r="DI340" s="281"/>
      <c r="DJ340" s="281"/>
      <c r="DK340" s="281"/>
      <c r="DL340" s="283">
        <f>DL341-DL339-DL338-DL337</f>
        <v>2050</v>
      </c>
      <c r="DM340" s="281"/>
      <c r="DN340" s="281"/>
      <c r="DO340" s="281"/>
      <c r="DP340" s="281"/>
      <c r="DQ340" s="283">
        <f>DQ341-DQ339-DQ338-DQ337</f>
        <v>2237</v>
      </c>
      <c r="DR340" s="1212">
        <f>DR341-DR339-DR338-DR337</f>
        <v>2226</v>
      </c>
      <c r="DS340" s="1212">
        <f>DS341-DS339-DS338-DS337</f>
        <v>2198</v>
      </c>
      <c r="DT340" s="1212">
        <f>DT341-DT339-DT338-DT337</f>
        <v>2166</v>
      </c>
      <c r="DU340" s="1281">
        <f t="shared" si="1055"/>
        <v>1444</v>
      </c>
      <c r="DV340" s="283">
        <f>DV341-DV339-DV338-DV337</f>
        <v>1444</v>
      </c>
      <c r="DW340" s="1212">
        <f>DW341-DW339-DW338-DW337</f>
        <v>1130</v>
      </c>
      <c r="DX340" s="1212">
        <f>DX341-DX339-DX338-DX337</f>
        <v>1122</v>
      </c>
      <c r="DY340" s="1212">
        <f>DY341-DY339-DY338-DY337</f>
        <v>1084</v>
      </c>
      <c r="DZ340" s="1281">
        <f t="shared" si="1056"/>
        <v>1312</v>
      </c>
      <c r="EA340" s="283">
        <f>EA341-EA339-EA338-EA337</f>
        <v>1312</v>
      </c>
      <c r="EB340" s="1212">
        <f>EB341-EB339-EB338-EB337</f>
        <v>1302</v>
      </c>
      <c r="EC340" s="1212">
        <f>EC341-EC339-EC338-EC337</f>
        <v>1322</v>
      </c>
      <c r="ED340" s="1212">
        <f>ED341-ED339-ED338-ED337</f>
        <v>1295</v>
      </c>
      <c r="EE340" s="1281">
        <f t="shared" si="1057"/>
        <v>1385</v>
      </c>
      <c r="EF340" s="283">
        <f>EF341-EF339-EF338-EF337</f>
        <v>1385</v>
      </c>
      <c r="EG340" s="1212">
        <f>EG341-EG339-EG338-EG337</f>
        <v>1344</v>
      </c>
      <c r="EH340" s="1212">
        <f>EH341-EH339-EH338-EH337</f>
        <v>1358</v>
      </c>
      <c r="EI340" s="1212">
        <f>EI341-EI339-EI338-EI337</f>
        <v>1322</v>
      </c>
      <c r="EJ340" s="1281">
        <f t="shared" si="1058"/>
        <v>1442</v>
      </c>
      <c r="EK340" s="283">
        <f>EK341-EK339-EK338-EK337</f>
        <v>1442</v>
      </c>
      <c r="EL340" s="1212">
        <v>1407</v>
      </c>
      <c r="EM340" s="1212">
        <f>EM341-EM339-EM338-EM337</f>
        <v>1385</v>
      </c>
      <c r="EN340" s="1212">
        <f>EN341-EN339-EN338-EN337</f>
        <v>1366</v>
      </c>
      <c r="EO340" s="1281">
        <f t="shared" si="1059"/>
        <v>1347</v>
      </c>
      <c r="EP340" s="283">
        <f>EP341-EP339-EP338-EP337</f>
        <v>1347</v>
      </c>
      <c r="EQ340" s="1212"/>
      <c r="ER340" s="1408"/>
      <c r="ES340" s="1408"/>
      <c r="ET340" s="1408"/>
      <c r="EU340" s="1407">
        <f>EP340+Pension!N66+OPEB!N66</f>
        <v>1277.6767652846249</v>
      </c>
      <c r="EV340" s="1408"/>
      <c r="EW340" s="1408"/>
      <c r="EX340" s="1408"/>
      <c r="EY340" s="1408"/>
      <c r="EZ340" s="1407">
        <f>EU340+Pension!O66+OPEB!O66</f>
        <v>1196.0898436734756</v>
      </c>
      <c r="FA340" s="1408"/>
      <c r="FB340" s="1408"/>
      <c r="FC340" s="1408"/>
      <c r="FD340" s="1408"/>
      <c r="FE340" s="1407">
        <f>EZ340+Pension!P66+OPEB!P66</f>
        <v>1100.9655527224297</v>
      </c>
      <c r="FF340" s="826"/>
      <c r="FG340" s="660"/>
      <c r="FH340" s="1085"/>
      <c r="FI340" s="1085"/>
      <c r="FJ340" s="1085"/>
      <c r="FK340" s="1085"/>
      <c r="FL340" s="1858"/>
      <c r="FM340" s="1789"/>
      <c r="FN340" s="1789"/>
      <c r="FO340" s="1789"/>
      <c r="FP340" s="1789"/>
      <c r="FQ340" s="1789"/>
      <c r="FR340" s="612"/>
      <c r="FS340" s="612"/>
      <c r="FT340" s="612"/>
      <c r="FU340" s="612"/>
      <c r="FV340" s="612"/>
      <c r="FW340" s="612"/>
      <c r="FX340" s="612"/>
      <c r="FY340" s="612"/>
      <c r="FZ340" s="612"/>
      <c r="GA340" s="660"/>
      <c r="GB340"/>
      <c r="GC340"/>
      <c r="GD340"/>
      <c r="GE340"/>
      <c r="GF340"/>
      <c r="GG340"/>
      <c r="GH340" s="997"/>
      <c r="GI340" s="997"/>
      <c r="GJ340" s="997"/>
      <c r="GK340" s="997"/>
      <c r="GL340" s="997"/>
      <c r="GM340" s="997"/>
      <c r="GN340" s="997"/>
      <c r="GO340" s="997"/>
      <c r="GP340" s="997"/>
      <c r="GQ340" s="997"/>
      <c r="GR340" s="997"/>
      <c r="GS340" s="997"/>
      <c r="GT340" s="997"/>
      <c r="GU340" s="997"/>
      <c r="GV340" s="997"/>
      <c r="GW340" s="997"/>
      <c r="GX340" s="997"/>
      <c r="GY340" s="997"/>
      <c r="GZ340" s="997"/>
      <c r="HA340" s="997"/>
      <c r="HB340" s="997"/>
      <c r="HC340" s="997"/>
      <c r="HD340" s="997"/>
      <c r="HE340" s="997"/>
      <c r="HF340" s="997"/>
      <c r="HG340" s="997"/>
      <c r="HH340" s="997"/>
      <c r="HI340" s="997"/>
      <c r="HJ340" s="997"/>
      <c r="HK340" s="997"/>
      <c r="HL340" s="997"/>
      <c r="HM340" s="997"/>
      <c r="HN340" s="997"/>
      <c r="HO340" s="997"/>
      <c r="HP340" s="997"/>
      <c r="HQ340" s="997"/>
      <c r="HR340" s="997"/>
      <c r="HS340" s="997"/>
      <c r="HT340" s="997"/>
      <c r="HU340" s="997"/>
      <c r="HV340" s="997"/>
      <c r="HW340" s="997"/>
      <c r="HX340" s="997"/>
      <c r="HY340" s="997"/>
      <c r="HZ340" s="997"/>
      <c r="IA340" s="997"/>
      <c r="IB340" s="997"/>
      <c r="IC340" s="997"/>
      <c r="ID340" s="997"/>
      <c r="IE340" s="997"/>
      <c r="IF340" s="997"/>
      <c r="IG340" s="997"/>
      <c r="IH340" s="997"/>
      <c r="II340" s="997"/>
      <c r="IJ340" s="997"/>
      <c r="IK340" s="997"/>
      <c r="IL340" s="997"/>
      <c r="IM340" s="997"/>
      <c r="IN340" s="997"/>
      <c r="IO340" s="997"/>
      <c r="IP340" s="997"/>
      <c r="IQ340" s="997"/>
      <c r="IR340" s="997"/>
      <c r="IS340" s="997"/>
      <c r="IT340" s="997"/>
      <c r="IU340" s="997"/>
      <c r="IV340" s="997"/>
    </row>
    <row r="341" spans="1:256" s="169" customFormat="1" ht="12.6" customHeight="1" x14ac:dyDescent="0.2">
      <c r="A341" s="286" t="s">
        <v>649</v>
      </c>
      <c r="B341" s="167"/>
      <c r="C341" s="167"/>
      <c r="D341" s="167"/>
      <c r="E341" s="227"/>
      <c r="F341" s="177"/>
      <c r="G341" s="167"/>
      <c r="H341" s="167"/>
      <c r="I341" s="167"/>
      <c r="J341" s="227"/>
      <c r="K341" s="177"/>
      <c r="L341" s="167"/>
      <c r="M341" s="167"/>
      <c r="N341" s="167"/>
      <c r="O341" s="227"/>
      <c r="P341" s="177"/>
      <c r="Q341" s="167"/>
      <c r="R341" s="167"/>
      <c r="S341" s="167"/>
      <c r="T341" s="227"/>
      <c r="U341" s="177"/>
      <c r="V341" s="167"/>
      <c r="W341" s="167"/>
      <c r="X341" s="167"/>
      <c r="Y341" s="227"/>
      <c r="Z341" s="177"/>
      <c r="AA341" s="167"/>
      <c r="AB341" s="167"/>
      <c r="AC341" s="167"/>
      <c r="AD341" s="227"/>
      <c r="AE341" s="177"/>
      <c r="AF341" s="167"/>
      <c r="AG341" s="167"/>
      <c r="AH341" s="167"/>
      <c r="AI341" s="227"/>
      <c r="AJ341" s="177"/>
      <c r="AK341" s="167"/>
      <c r="AL341" s="167"/>
      <c r="AM341" s="167"/>
      <c r="AN341" s="227"/>
      <c r="AO341" s="177"/>
      <c r="AP341" s="167"/>
      <c r="AQ341" s="167"/>
      <c r="AR341" s="167"/>
      <c r="AS341" s="227"/>
      <c r="AT341" s="177">
        <f>AT340+AT339+AT338+AT337</f>
        <v>11905</v>
      </c>
      <c r="AU341" s="167"/>
      <c r="AV341" s="167"/>
      <c r="AW341" s="167"/>
      <c r="AX341" s="227"/>
      <c r="AY341" s="177">
        <f>AY340+AY339+AY338+AY337</f>
        <v>12259</v>
      </c>
      <c r="AZ341" s="167"/>
      <c r="BA341" s="167"/>
      <c r="BB341" s="167"/>
      <c r="BC341" s="227"/>
      <c r="BD341" s="177">
        <f>BD340+BD339+BD338+BD337</f>
        <v>13318</v>
      </c>
      <c r="BE341" s="167"/>
      <c r="BF341" s="167"/>
      <c r="BG341" s="167"/>
      <c r="BH341" s="227"/>
      <c r="BI341" s="177">
        <f>BI340+BI339+BI338+BI337</f>
        <v>13152</v>
      </c>
      <c r="BJ341" s="167"/>
      <c r="BK341" s="167"/>
      <c r="BL341" s="167"/>
      <c r="BM341" s="227"/>
      <c r="BN341" s="177">
        <f>BN340+BN339+BN338+BN337</f>
        <v>13328</v>
      </c>
      <c r="BO341" s="167"/>
      <c r="BP341" s="167"/>
      <c r="BQ341" s="167"/>
      <c r="BR341" s="227"/>
      <c r="BS341" s="177">
        <f>BS340+BS339+BS338+BS337</f>
        <v>13456</v>
      </c>
      <c r="BT341" s="167"/>
      <c r="BU341" s="167"/>
      <c r="BV341" s="167"/>
      <c r="BW341" s="227"/>
      <c r="BX341" s="177">
        <f>BX340+BX339+BX338+BX337</f>
        <v>13620</v>
      </c>
      <c r="BY341" s="167"/>
      <c r="BZ341" s="167"/>
      <c r="CA341" s="167"/>
      <c r="CB341" s="227"/>
      <c r="CC341" s="177">
        <f>CC340+CC339+CC338+CC337</f>
        <v>16760</v>
      </c>
      <c r="CD341" s="167"/>
      <c r="CE341" s="167"/>
      <c r="CF341" s="167"/>
      <c r="CG341" s="227"/>
      <c r="CH341" s="177">
        <f>CH340+CH339+CH338+CH337</f>
        <v>16583</v>
      </c>
      <c r="CI341" s="167"/>
      <c r="CJ341" s="167"/>
      <c r="CK341" s="167"/>
      <c r="CL341" s="227"/>
      <c r="CM341" s="177">
        <f>CM340+CM339+CM338+CM337</f>
        <v>16413</v>
      </c>
      <c r="CN341" s="167"/>
      <c r="CO341" s="167"/>
      <c r="CP341" s="167"/>
      <c r="CQ341" s="227"/>
      <c r="CR341" s="177">
        <f>CR340+CR339+CR338+CR337</f>
        <v>16417</v>
      </c>
      <c r="CS341" s="167"/>
      <c r="CT341" s="167"/>
      <c r="CU341" s="167"/>
      <c r="CV341" s="227"/>
      <c r="CW341" s="177">
        <f>CW340+CW339+CW338+CW337</f>
        <v>16690</v>
      </c>
      <c r="CX341" s="272"/>
      <c r="CY341" s="272"/>
      <c r="CZ341" s="272"/>
      <c r="DA341" s="167"/>
      <c r="DB341" s="177">
        <f>DB340+DB339+DB338+DB337</f>
        <v>17016</v>
      </c>
      <c r="DC341" s="272"/>
      <c r="DD341" s="272"/>
      <c r="DE341" s="272"/>
      <c r="DF341" s="167"/>
      <c r="DG341" s="177">
        <f>DG340+DG339+DG338+DG337</f>
        <v>17530</v>
      </c>
      <c r="DH341" s="167"/>
      <c r="DI341" s="272"/>
      <c r="DJ341" s="272"/>
      <c r="DK341" s="167"/>
      <c r="DL341" s="177">
        <v>18627</v>
      </c>
      <c r="DM341" s="167"/>
      <c r="DN341" s="272"/>
      <c r="DO341" s="272"/>
      <c r="DP341" s="167"/>
      <c r="DQ341" s="177">
        <v>20582</v>
      </c>
      <c r="DR341" s="1167">
        <v>20489</v>
      </c>
      <c r="DS341" s="1167">
        <v>20417</v>
      </c>
      <c r="DT341" s="1167">
        <v>21071</v>
      </c>
      <c r="DU341" s="1285">
        <f t="shared" si="1055"/>
        <v>21194</v>
      </c>
      <c r="DV341" s="177">
        <v>21194</v>
      </c>
      <c r="DW341" s="1167">
        <v>21007</v>
      </c>
      <c r="DX341" s="1167">
        <v>20963</v>
      </c>
      <c r="DY341" s="1167">
        <v>20767</v>
      </c>
      <c r="DZ341" s="1285">
        <f t="shared" si="1056"/>
        <v>20792</v>
      </c>
      <c r="EA341" s="177">
        <v>20792</v>
      </c>
      <c r="EB341" s="1167">
        <v>20617</v>
      </c>
      <c r="EC341" s="1167">
        <v>21233</v>
      </c>
      <c r="ED341" s="1167">
        <v>21398</v>
      </c>
      <c r="EE341" s="1285">
        <f t="shared" si="1057"/>
        <v>21951</v>
      </c>
      <c r="EF341" s="177">
        <v>21951</v>
      </c>
      <c r="EG341" s="1167">
        <v>21562</v>
      </c>
      <c r="EH341" s="1167">
        <v>22061</v>
      </c>
      <c r="EI341" s="1167">
        <v>22236</v>
      </c>
      <c r="EJ341" s="1285">
        <f t="shared" si="1058"/>
        <v>22483</v>
      </c>
      <c r="EK341" s="177">
        <v>22483</v>
      </c>
      <c r="EL341" s="1167">
        <v>22618</v>
      </c>
      <c r="EM341" s="1167">
        <v>22260</v>
      </c>
      <c r="EN341" s="1167">
        <v>22426</v>
      </c>
      <c r="EO341" s="1285">
        <f t="shared" si="1059"/>
        <v>19352</v>
      </c>
      <c r="EP341" s="177">
        <v>19352</v>
      </c>
      <c r="EQ341" s="1167"/>
      <c r="ER341" s="167"/>
      <c r="ES341" s="167"/>
      <c r="ET341" s="167"/>
      <c r="EU341" s="177">
        <f>EU340+EU339+EU338+EU337</f>
        <v>20094.686907667845</v>
      </c>
      <c r="EV341" s="167"/>
      <c r="EW341" s="167"/>
      <c r="EX341" s="167"/>
      <c r="EY341" s="167"/>
      <c r="EZ341" s="177">
        <f>EZ340+EZ339+EZ338+EZ337</f>
        <v>20604.27327863879</v>
      </c>
      <c r="FA341" s="167"/>
      <c r="FB341" s="167"/>
      <c r="FC341" s="167"/>
      <c r="FD341" s="167"/>
      <c r="FE341" s="177">
        <f>FE340+FE339+FE338+FE337</f>
        <v>21156.007603379883</v>
      </c>
      <c r="FF341" s="813"/>
      <c r="FG341" s="660"/>
      <c r="FH341" s="1086"/>
      <c r="FI341" s="1086"/>
      <c r="FJ341" s="1086"/>
      <c r="FK341" s="1086"/>
      <c r="FL341" s="1858"/>
      <c r="FM341" s="1790"/>
      <c r="FN341" s="1790"/>
      <c r="FO341" s="1790"/>
      <c r="FP341" s="1790"/>
      <c r="FQ341" s="1790"/>
      <c r="FR341" s="601"/>
      <c r="FS341" s="601"/>
      <c r="FT341" s="601"/>
      <c r="FU341" s="601"/>
      <c r="FV341" s="601"/>
      <c r="FW341" s="601"/>
      <c r="FX341" s="601"/>
      <c r="FY341" s="601"/>
      <c r="FZ341" s="601"/>
      <c r="GA341" s="660"/>
      <c r="GB341"/>
      <c r="GC341"/>
      <c r="GD341"/>
      <c r="GE341"/>
      <c r="GF341"/>
      <c r="GG341"/>
      <c r="GH341" s="991"/>
      <c r="GI341" s="991"/>
      <c r="GJ341" s="991"/>
      <c r="GK341" s="991"/>
      <c r="GL341" s="991"/>
      <c r="GM341" s="991"/>
      <c r="GN341" s="991"/>
      <c r="GO341" s="991"/>
      <c r="GP341" s="991"/>
      <c r="GQ341" s="991"/>
      <c r="GR341" s="991"/>
      <c r="GS341" s="991"/>
      <c r="GT341" s="991"/>
      <c r="GU341" s="991"/>
      <c r="GV341" s="991"/>
      <c r="GW341" s="991"/>
      <c r="GX341" s="991"/>
      <c r="GY341" s="991"/>
      <c r="GZ341" s="991"/>
      <c r="HA341" s="991"/>
      <c r="HB341" s="991"/>
      <c r="HC341" s="991"/>
      <c r="HD341" s="991"/>
      <c r="HE341" s="991"/>
      <c r="HF341" s="991"/>
      <c r="HG341" s="991"/>
      <c r="HH341" s="991"/>
      <c r="HI341" s="991"/>
      <c r="HJ341" s="991"/>
      <c r="HK341" s="991"/>
      <c r="HL341" s="991"/>
      <c r="HM341" s="991"/>
      <c r="HN341" s="991"/>
      <c r="HO341" s="991"/>
      <c r="HP341" s="991"/>
      <c r="HQ341" s="991"/>
      <c r="HR341" s="991"/>
      <c r="HS341" s="991"/>
      <c r="HT341" s="991"/>
      <c r="HU341" s="991"/>
      <c r="HV341" s="991"/>
      <c r="HW341" s="991"/>
      <c r="HX341" s="991"/>
      <c r="HY341" s="991"/>
      <c r="HZ341" s="991"/>
      <c r="IA341" s="991"/>
      <c r="IB341" s="991"/>
      <c r="IC341" s="991"/>
      <c r="ID341" s="991"/>
      <c r="IE341" s="991"/>
      <c r="IF341" s="991"/>
      <c r="IG341" s="991"/>
      <c r="IH341" s="991"/>
      <c r="II341" s="991"/>
      <c r="IJ341" s="991"/>
      <c r="IK341" s="991"/>
      <c r="IL341" s="991"/>
      <c r="IM341" s="991"/>
      <c r="IN341" s="991"/>
      <c r="IO341" s="991"/>
      <c r="IP341" s="991"/>
      <c r="IQ341" s="991"/>
      <c r="IR341" s="991"/>
      <c r="IS341" s="991"/>
      <c r="IT341" s="991"/>
      <c r="IU341" s="991"/>
      <c r="IV341" s="991"/>
    </row>
    <row r="342" spans="1:256" s="562" customFormat="1" ht="12.6" customHeight="1" x14ac:dyDescent="0.2">
      <c r="A342" s="557" t="s">
        <v>596</v>
      </c>
      <c r="B342" s="558"/>
      <c r="C342" s="558"/>
      <c r="D342" s="558"/>
      <c r="E342" s="559"/>
      <c r="F342" s="560"/>
      <c r="G342" s="558"/>
      <c r="H342" s="558"/>
      <c r="I342" s="558"/>
      <c r="J342" s="559"/>
      <c r="K342" s="560"/>
      <c r="L342" s="558"/>
      <c r="M342" s="558"/>
      <c r="N342" s="558"/>
      <c r="O342" s="559"/>
      <c r="P342" s="560"/>
      <c r="Q342" s="558"/>
      <c r="R342" s="558"/>
      <c r="S342" s="558"/>
      <c r="T342" s="559"/>
      <c r="U342" s="560"/>
      <c r="V342" s="558"/>
      <c r="W342" s="558"/>
      <c r="X342" s="558"/>
      <c r="Y342" s="559"/>
      <c r="Z342" s="560"/>
      <c r="AA342" s="558"/>
      <c r="AB342" s="558"/>
      <c r="AC342" s="558"/>
      <c r="AD342" s="559"/>
      <c r="AE342" s="560"/>
      <c r="AF342" s="558"/>
      <c r="AG342" s="558"/>
      <c r="AH342" s="558"/>
      <c r="AI342" s="559"/>
      <c r="AJ342" s="560"/>
      <c r="AK342" s="558"/>
      <c r="AL342" s="558"/>
      <c r="AM342" s="558"/>
      <c r="AN342" s="559"/>
      <c r="AO342" s="560"/>
      <c r="AP342" s="558"/>
      <c r="AQ342" s="558"/>
      <c r="AR342" s="558"/>
      <c r="AS342" s="559"/>
      <c r="AT342" s="560"/>
      <c r="AU342" s="558"/>
      <c r="AV342" s="558"/>
      <c r="AW342" s="558"/>
      <c r="AX342" s="559"/>
      <c r="AY342" s="560"/>
      <c r="AZ342" s="558"/>
      <c r="BA342" s="558"/>
      <c r="BB342" s="558"/>
      <c r="BC342" s="559"/>
      <c r="BD342" s="560"/>
      <c r="BE342" s="558"/>
      <c r="BF342" s="558"/>
      <c r="BG342" s="558"/>
      <c r="BH342" s="559"/>
      <c r="BI342" s="560"/>
      <c r="BJ342" s="558"/>
      <c r="BK342" s="558"/>
      <c r="BL342" s="558"/>
      <c r="BM342" s="559"/>
      <c r="BN342" s="560"/>
      <c r="BO342" s="558"/>
      <c r="BP342" s="558"/>
      <c r="BQ342" s="558"/>
      <c r="BR342" s="559"/>
      <c r="BS342" s="560"/>
      <c r="BT342" s="558"/>
      <c r="BU342" s="558"/>
      <c r="BV342" s="558"/>
      <c r="BW342" s="559"/>
      <c r="BX342" s="560"/>
      <c r="BY342" s="558"/>
      <c r="BZ342" s="558"/>
      <c r="CA342" s="558"/>
      <c r="CB342" s="559"/>
      <c r="CC342" s="560"/>
      <c r="CD342" s="558"/>
      <c r="CE342" s="558"/>
      <c r="CF342" s="558"/>
      <c r="CG342" s="559"/>
      <c r="CH342" s="560"/>
      <c r="CI342" s="558"/>
      <c r="CJ342" s="558"/>
      <c r="CK342" s="558"/>
      <c r="CL342" s="559"/>
      <c r="CM342" s="560"/>
      <c r="CN342" s="558"/>
      <c r="CO342" s="558"/>
      <c r="CP342" s="558"/>
      <c r="CQ342" s="559"/>
      <c r="CR342" s="560"/>
      <c r="CS342" s="558"/>
      <c r="CT342" s="558"/>
      <c r="CU342" s="558"/>
      <c r="CV342" s="559"/>
      <c r="CW342" s="560"/>
      <c r="CX342" s="558"/>
      <c r="CY342" s="558"/>
      <c r="CZ342" s="558"/>
      <c r="DA342" s="558"/>
      <c r="DB342" s="560"/>
      <c r="DC342" s="558"/>
      <c r="DD342" s="558"/>
      <c r="DE342" s="558"/>
      <c r="DF342" s="558"/>
      <c r="DG342" s="560"/>
      <c r="DH342" s="558"/>
      <c r="DI342" s="558"/>
      <c r="DJ342" s="558"/>
      <c r="DK342" s="558"/>
      <c r="DL342" s="560"/>
      <c r="DM342" s="558"/>
      <c r="DN342" s="558"/>
      <c r="DO342" s="558"/>
      <c r="DP342" s="558"/>
      <c r="DQ342" s="560"/>
      <c r="DR342" s="558"/>
      <c r="DS342" s="558"/>
      <c r="DT342" s="558"/>
      <c r="DU342" s="1282"/>
      <c r="DV342" s="560"/>
      <c r="DW342" s="558"/>
      <c r="DX342" s="558"/>
      <c r="DY342" s="558"/>
      <c r="DZ342" s="1282"/>
      <c r="EA342" s="560"/>
      <c r="EB342" s="558"/>
      <c r="EC342" s="558"/>
      <c r="ED342" s="561"/>
      <c r="EE342" s="1282"/>
      <c r="EF342" s="560"/>
      <c r="EG342" s="558"/>
      <c r="EH342" s="561"/>
      <c r="EI342" s="561"/>
      <c r="EJ342" s="1282"/>
      <c r="EK342" s="560"/>
      <c r="EL342" s="558"/>
      <c r="EM342" s="561"/>
      <c r="EN342" s="561"/>
      <c r="EO342" s="1282"/>
      <c r="EP342" s="560"/>
      <c r="EQ342" s="561"/>
      <c r="ER342" s="561"/>
      <c r="ES342" s="561"/>
      <c r="ET342" s="561"/>
      <c r="EU342" s="560"/>
      <c r="EV342" s="561"/>
      <c r="EW342" s="561"/>
      <c r="EX342" s="561"/>
      <c r="EY342" s="561"/>
      <c r="EZ342" s="560"/>
      <c r="FA342" s="561"/>
      <c r="FB342" s="561"/>
      <c r="FC342" s="561"/>
      <c r="FD342" s="561"/>
      <c r="FE342" s="560"/>
      <c r="FF342" s="817"/>
      <c r="FG342" s="660"/>
      <c r="FH342" s="1086"/>
      <c r="FI342" s="1086"/>
      <c r="FJ342" s="1086"/>
      <c r="FK342" s="1086"/>
      <c r="FL342" s="1858"/>
      <c r="FM342" s="1790"/>
      <c r="FN342" s="1790"/>
      <c r="FO342" s="1790"/>
      <c r="FP342" s="1790"/>
      <c r="FQ342" s="1790"/>
      <c r="FR342" s="604"/>
      <c r="FS342" s="604"/>
      <c r="FT342" s="604"/>
      <c r="FU342" s="604"/>
      <c r="FV342" s="604"/>
      <c r="FW342" s="604"/>
      <c r="FX342" s="604"/>
      <c r="FY342" s="604"/>
      <c r="FZ342" s="604"/>
      <c r="GA342" s="660"/>
      <c r="GB342"/>
      <c r="GC342"/>
      <c r="GD342"/>
      <c r="GE342"/>
      <c r="GF342"/>
      <c r="GG342"/>
      <c r="GH342" s="992"/>
      <c r="GI342" s="992"/>
      <c r="GJ342" s="992"/>
      <c r="GK342" s="992"/>
      <c r="GL342" s="992"/>
      <c r="GM342" s="992"/>
      <c r="GN342" s="992"/>
      <c r="GO342" s="992"/>
      <c r="GP342" s="992"/>
      <c r="GQ342" s="992"/>
      <c r="GR342" s="992"/>
      <c r="GS342" s="992"/>
      <c r="GT342" s="992"/>
      <c r="GU342" s="992"/>
      <c r="GV342" s="992"/>
      <c r="GW342" s="992"/>
      <c r="GX342" s="992"/>
      <c r="GY342" s="992"/>
      <c r="GZ342" s="992"/>
      <c r="HA342" s="992"/>
      <c r="HB342" s="992"/>
      <c r="HC342" s="992"/>
      <c r="HD342" s="992"/>
      <c r="HE342" s="992"/>
      <c r="HF342" s="992"/>
      <c r="HG342" s="992"/>
      <c r="HH342" s="992"/>
      <c r="HI342" s="992"/>
      <c r="HJ342" s="992"/>
      <c r="HK342" s="992"/>
      <c r="HL342" s="992"/>
      <c r="HM342" s="992"/>
      <c r="HN342" s="992"/>
      <c r="HO342" s="992"/>
      <c r="HP342" s="992"/>
      <c r="HQ342" s="992"/>
      <c r="HR342" s="992"/>
      <c r="HS342" s="992"/>
      <c r="HT342" s="992"/>
      <c r="HU342" s="992"/>
      <c r="HV342" s="992"/>
      <c r="HW342" s="992"/>
      <c r="HX342" s="992"/>
      <c r="HY342" s="992"/>
      <c r="HZ342" s="992"/>
      <c r="IA342" s="992"/>
      <c r="IB342" s="992"/>
      <c r="IC342" s="992"/>
      <c r="ID342" s="992"/>
      <c r="IE342" s="992"/>
      <c r="IF342" s="992"/>
      <c r="IG342" s="992"/>
      <c r="IH342" s="992"/>
      <c r="II342" s="992"/>
      <c r="IJ342" s="992"/>
      <c r="IK342" s="992"/>
      <c r="IL342" s="992"/>
      <c r="IM342" s="992"/>
      <c r="IN342" s="992"/>
      <c r="IO342" s="992"/>
      <c r="IP342" s="992"/>
      <c r="IQ342" s="992"/>
      <c r="IR342" s="992"/>
      <c r="IS342" s="992"/>
      <c r="IT342" s="992"/>
      <c r="IU342" s="992"/>
      <c r="IV342" s="992"/>
    </row>
    <row r="343" spans="1:256" s="275" customFormat="1" ht="12.6" customHeight="1" x14ac:dyDescent="0.2">
      <c r="A343" s="337" t="s">
        <v>597</v>
      </c>
      <c r="B343" s="165"/>
      <c r="C343" s="165"/>
      <c r="D343" s="165"/>
      <c r="E343" s="226"/>
      <c r="F343" s="155"/>
      <c r="G343" s="165"/>
      <c r="H343" s="165"/>
      <c r="I343" s="165"/>
      <c r="J343" s="226"/>
      <c r="K343" s="155"/>
      <c r="L343" s="165"/>
      <c r="M343" s="165"/>
      <c r="N343" s="165"/>
      <c r="O343" s="226"/>
      <c r="P343" s="155"/>
      <c r="Q343" s="165"/>
      <c r="R343" s="165"/>
      <c r="S343" s="165"/>
      <c r="T343" s="226"/>
      <c r="U343" s="155"/>
      <c r="V343" s="165"/>
      <c r="W343" s="165"/>
      <c r="X343" s="165"/>
      <c r="Y343" s="226"/>
      <c r="Z343" s="155"/>
      <c r="AA343" s="165"/>
      <c r="AB343" s="165"/>
      <c r="AC343" s="165"/>
      <c r="AD343" s="226"/>
      <c r="AE343" s="155"/>
      <c r="AF343" s="165"/>
      <c r="AG343" s="165"/>
      <c r="AH343" s="165"/>
      <c r="AI343" s="226"/>
      <c r="AJ343" s="155"/>
      <c r="AK343" s="165"/>
      <c r="AL343" s="165"/>
      <c r="AM343" s="165"/>
      <c r="AN343" s="226"/>
      <c r="AO343" s="155"/>
      <c r="AP343" s="165"/>
      <c r="AQ343" s="165"/>
      <c r="AR343" s="165"/>
      <c r="AS343" s="226"/>
      <c r="AT343" s="155">
        <v>640</v>
      </c>
      <c r="AU343" s="165"/>
      <c r="AV343" s="165"/>
      <c r="AW343" s="165"/>
      <c r="AX343" s="226"/>
      <c r="AY343" s="155">
        <v>697</v>
      </c>
      <c r="AZ343" s="165"/>
      <c r="BA343" s="165"/>
      <c r="BB343" s="165"/>
      <c r="BC343" s="226"/>
      <c r="BD343" s="155">
        <v>776</v>
      </c>
      <c r="BE343" s="165"/>
      <c r="BF343" s="165"/>
      <c r="BG343" s="165"/>
      <c r="BH343" s="226"/>
      <c r="BI343" s="155">
        <v>797</v>
      </c>
      <c r="BJ343" s="165"/>
      <c r="BK343" s="165"/>
      <c r="BL343" s="165"/>
      <c r="BM343" s="226"/>
      <c r="BN343" s="155">
        <v>830</v>
      </c>
      <c r="BO343" s="165"/>
      <c r="BP343" s="165"/>
      <c r="BQ343" s="165"/>
      <c r="BR343" s="226"/>
      <c r="BS343" s="155">
        <v>891</v>
      </c>
      <c r="BT343" s="165"/>
      <c r="BU343" s="165"/>
      <c r="BV343" s="165"/>
      <c r="BW343" s="226"/>
      <c r="BX343" s="155">
        <v>933</v>
      </c>
      <c r="BY343" s="165"/>
      <c r="BZ343" s="165"/>
      <c r="CA343" s="165"/>
      <c r="CB343" s="226"/>
      <c r="CC343" s="155">
        <v>1141</v>
      </c>
      <c r="CD343" s="165"/>
      <c r="CE343" s="165"/>
      <c r="CF343" s="165"/>
      <c r="CG343" s="226"/>
      <c r="CH343" s="155">
        <v>1406</v>
      </c>
      <c r="CI343" s="165"/>
      <c r="CJ343" s="165"/>
      <c r="CK343" s="165"/>
      <c r="CL343" s="226"/>
      <c r="CM343" s="155">
        <v>1721</v>
      </c>
      <c r="CN343" s="165"/>
      <c r="CO343" s="165"/>
      <c r="CP343" s="165"/>
      <c r="CQ343" s="226"/>
      <c r="CR343" s="155">
        <v>1866</v>
      </c>
      <c r="CS343" s="165"/>
      <c r="CT343" s="165"/>
      <c r="CU343" s="165"/>
      <c r="CV343" s="226"/>
      <c r="CW343" s="155">
        <v>2048</v>
      </c>
      <c r="CX343" s="281"/>
      <c r="CY343" s="281"/>
      <c r="CZ343" s="281"/>
      <c r="DA343" s="165"/>
      <c r="DB343" s="155">
        <f>370+1809</f>
        <v>2179</v>
      </c>
      <c r="DC343" s="281"/>
      <c r="DD343" s="281"/>
      <c r="DE343" s="281"/>
      <c r="DF343" s="165"/>
      <c r="DG343" s="155">
        <f>358+1892</f>
        <v>2250</v>
      </c>
      <c r="DH343" s="165"/>
      <c r="DI343" s="281"/>
      <c r="DJ343" s="281"/>
      <c r="DK343" s="165"/>
      <c r="DL343" s="155">
        <f>332+1912</f>
        <v>2244</v>
      </c>
      <c r="DM343" s="165"/>
      <c r="DN343" s="281"/>
      <c r="DO343" s="281"/>
      <c r="DP343" s="165"/>
      <c r="DQ343" s="283">
        <f>315+1911</f>
        <v>2226</v>
      </c>
      <c r="DR343" s="158">
        <f>316+1976</f>
        <v>2292</v>
      </c>
      <c r="DS343" s="158">
        <f>313+1984</f>
        <v>2297</v>
      </c>
      <c r="DT343" s="158">
        <f>310+1979</f>
        <v>2289</v>
      </c>
      <c r="DU343" s="156">
        <f t="shared" si="1055"/>
        <v>2331</v>
      </c>
      <c r="DV343" s="283">
        <f>310+2021</f>
        <v>2331</v>
      </c>
      <c r="DW343" s="158">
        <f>311+2085</f>
        <v>2396</v>
      </c>
      <c r="DX343" s="158">
        <f>311+2113</f>
        <v>2424</v>
      </c>
      <c r="DY343" s="158">
        <f>311+2150</f>
        <v>2461</v>
      </c>
      <c r="DZ343" s="156">
        <f t="shared" si="1056"/>
        <v>2458</v>
      </c>
      <c r="EA343" s="283">
        <f>310+2148</f>
        <v>2458</v>
      </c>
      <c r="EB343" s="158">
        <f>306+2160</f>
        <v>2466</v>
      </c>
      <c r="EC343" s="158">
        <f>303+2146</f>
        <v>2449</v>
      </c>
      <c r="ED343" s="158">
        <f>300+2132</f>
        <v>2432</v>
      </c>
      <c r="EE343" s="156">
        <f>EF343</f>
        <v>2442</v>
      </c>
      <c r="EF343" s="283">
        <f>299+2143</f>
        <v>2442</v>
      </c>
      <c r="EG343" s="158">
        <f>297+2147</f>
        <v>2444</v>
      </c>
      <c r="EH343" s="158">
        <f>295+2146</f>
        <v>2441</v>
      </c>
      <c r="EI343" s="158">
        <f>293+2169</f>
        <v>2462</v>
      </c>
      <c r="EJ343" s="156">
        <f>EK343</f>
        <v>2471</v>
      </c>
      <c r="EK343" s="283">
        <f>292+2179</f>
        <v>2471</v>
      </c>
      <c r="EL343" s="158">
        <f>2228+291</f>
        <v>2519</v>
      </c>
      <c r="EM343" s="158">
        <f>290+2228</f>
        <v>2518</v>
      </c>
      <c r="EN343" s="158">
        <f>288+2249</f>
        <v>2537</v>
      </c>
      <c r="EO343" s="156">
        <f>EP343</f>
        <v>2539</v>
      </c>
      <c r="EP343" s="283">
        <f>285+2254</f>
        <v>2539</v>
      </c>
      <c r="EQ343" s="284"/>
      <c r="ER343" s="284"/>
      <c r="ES343" s="284"/>
      <c r="ET343" s="284"/>
      <c r="EU343" s="283">
        <f>EP343</f>
        <v>2539</v>
      </c>
      <c r="EV343" s="284"/>
      <c r="EW343" s="284"/>
      <c r="EX343" s="284"/>
      <c r="EY343" s="284"/>
      <c r="EZ343" s="283">
        <f>EU343</f>
        <v>2539</v>
      </c>
      <c r="FA343" s="284"/>
      <c r="FB343" s="284"/>
      <c r="FC343" s="284"/>
      <c r="FD343" s="284"/>
      <c r="FE343" s="283">
        <f>EZ343</f>
        <v>2539</v>
      </c>
      <c r="FF343" s="825"/>
      <c r="FG343" s="660"/>
      <c r="FH343" s="1086"/>
      <c r="FI343" s="1086"/>
      <c r="FJ343" s="1086"/>
      <c r="FK343" s="1086"/>
      <c r="FL343" s="1858"/>
      <c r="FM343" s="1790"/>
      <c r="FN343" s="1790"/>
      <c r="FO343" s="1790"/>
      <c r="FP343" s="1790"/>
      <c r="FQ343" s="1790"/>
      <c r="FR343" s="611"/>
      <c r="FS343" s="611"/>
      <c r="FT343" s="611"/>
      <c r="FU343" s="611"/>
      <c r="FV343" s="611"/>
      <c r="FW343" s="611"/>
      <c r="FX343" s="611"/>
      <c r="FY343" s="611"/>
      <c r="FZ343" s="611"/>
      <c r="GA343" s="660"/>
      <c r="GB343"/>
      <c r="GC343"/>
      <c r="GD343"/>
      <c r="GE343"/>
      <c r="GF343"/>
      <c r="GG343"/>
      <c r="GH343" s="996"/>
      <c r="GI343" s="996"/>
      <c r="GJ343" s="996"/>
      <c r="GK343" s="996"/>
      <c r="GL343" s="996"/>
      <c r="GM343" s="996"/>
      <c r="GN343" s="996"/>
      <c r="GO343" s="996"/>
      <c r="GP343" s="996"/>
      <c r="GQ343" s="996"/>
      <c r="GR343" s="996"/>
      <c r="GS343" s="996"/>
      <c r="GT343" s="996"/>
      <c r="GU343" s="996"/>
      <c r="GV343" s="996"/>
      <c r="GW343" s="996"/>
      <c r="GX343" s="996"/>
      <c r="GY343" s="996"/>
      <c r="GZ343" s="996"/>
      <c r="HA343" s="996"/>
      <c r="HB343" s="996"/>
      <c r="HC343" s="996"/>
      <c r="HD343" s="996"/>
      <c r="HE343" s="996"/>
      <c r="HF343" s="996"/>
      <c r="HG343" s="996"/>
      <c r="HH343" s="996"/>
      <c r="HI343" s="996"/>
      <c r="HJ343" s="996"/>
      <c r="HK343" s="996"/>
      <c r="HL343" s="996"/>
      <c r="HM343" s="996"/>
      <c r="HN343" s="996"/>
      <c r="HO343" s="996"/>
      <c r="HP343" s="996"/>
      <c r="HQ343" s="996"/>
      <c r="HR343" s="996"/>
      <c r="HS343" s="996"/>
      <c r="HT343" s="996"/>
      <c r="HU343" s="996"/>
      <c r="HV343" s="996"/>
      <c r="HW343" s="996"/>
      <c r="HX343" s="996"/>
      <c r="HY343" s="996"/>
      <c r="HZ343" s="996"/>
      <c r="IA343" s="996"/>
      <c r="IB343" s="996"/>
      <c r="IC343" s="996"/>
      <c r="ID343" s="996"/>
      <c r="IE343" s="996"/>
      <c r="IF343" s="996"/>
      <c r="IG343" s="996"/>
      <c r="IH343" s="996"/>
      <c r="II343" s="996"/>
      <c r="IJ343" s="996"/>
      <c r="IK343" s="996"/>
      <c r="IL343" s="996"/>
      <c r="IM343" s="996"/>
      <c r="IN343" s="996"/>
      <c r="IO343" s="996"/>
      <c r="IP343" s="996"/>
      <c r="IQ343" s="996"/>
      <c r="IR343" s="996"/>
      <c r="IS343" s="996"/>
      <c r="IT343" s="996"/>
      <c r="IU343" s="996"/>
      <c r="IV343" s="996"/>
    </row>
    <row r="344" spans="1:256" s="275" customFormat="1" ht="12.6" customHeight="1" x14ac:dyDescent="0.2">
      <c r="A344" s="352" t="s">
        <v>394</v>
      </c>
      <c r="B344" s="165"/>
      <c r="C344" s="165"/>
      <c r="D344" s="165"/>
      <c r="E344" s="226"/>
      <c r="F344" s="155"/>
      <c r="G344" s="165"/>
      <c r="H344" s="165"/>
      <c r="I344" s="165"/>
      <c r="J344" s="226"/>
      <c r="K344" s="155"/>
      <c r="L344" s="165"/>
      <c r="M344" s="165"/>
      <c r="N344" s="165"/>
      <c r="O344" s="226"/>
      <c r="P344" s="155"/>
      <c r="Q344" s="165"/>
      <c r="R344" s="165"/>
      <c r="S344" s="165"/>
      <c r="T344" s="226"/>
      <c r="U344" s="155"/>
      <c r="V344" s="165"/>
      <c r="W344" s="165"/>
      <c r="X344" s="165"/>
      <c r="Y344" s="226"/>
      <c r="Z344" s="155"/>
      <c r="AA344" s="165"/>
      <c r="AB344" s="165"/>
      <c r="AC344" s="165"/>
      <c r="AD344" s="226"/>
      <c r="AE344" s="155"/>
      <c r="AF344" s="165"/>
      <c r="AG344" s="165"/>
      <c r="AH344" s="165"/>
      <c r="AI344" s="226"/>
      <c r="AJ344" s="155"/>
      <c r="AK344" s="165"/>
      <c r="AL344" s="165"/>
      <c r="AM344" s="165"/>
      <c r="AN344" s="226"/>
      <c r="AO344" s="155"/>
      <c r="AP344" s="165"/>
      <c r="AQ344" s="165"/>
      <c r="AR344" s="165"/>
      <c r="AS344" s="226"/>
      <c r="AT344" s="155">
        <v>4821</v>
      </c>
      <c r="AU344" s="165"/>
      <c r="AV344" s="165"/>
      <c r="AW344" s="165"/>
      <c r="AX344" s="226"/>
      <c r="AY344" s="155">
        <v>5252</v>
      </c>
      <c r="AZ344" s="165"/>
      <c r="BA344" s="165"/>
      <c r="BB344" s="165"/>
      <c r="BC344" s="226"/>
      <c r="BD344" s="155">
        <v>5187</v>
      </c>
      <c r="BE344" s="165"/>
      <c r="BF344" s="165"/>
      <c r="BG344" s="165"/>
      <c r="BH344" s="226"/>
      <c r="BI344" s="155">
        <v>5053</v>
      </c>
      <c r="BJ344" s="165"/>
      <c r="BK344" s="165"/>
      <c r="BL344" s="165"/>
      <c r="BM344" s="226"/>
      <c r="BN344" s="155">
        <v>5335</v>
      </c>
      <c r="BO344" s="165"/>
      <c r="BP344" s="165"/>
      <c r="BQ344" s="165"/>
      <c r="BR344" s="226"/>
      <c r="BS344" s="155">
        <v>5694</v>
      </c>
      <c r="BT344" s="165"/>
      <c r="BU344" s="165"/>
      <c r="BV344" s="165"/>
      <c r="BW344" s="226"/>
      <c r="BX344" s="155">
        <v>6112</v>
      </c>
      <c r="BY344" s="165"/>
      <c r="BZ344" s="165"/>
      <c r="CA344" s="165"/>
      <c r="CB344" s="226"/>
      <c r="CC344" s="155">
        <v>6893</v>
      </c>
      <c r="CD344" s="165"/>
      <c r="CE344" s="165"/>
      <c r="CF344" s="165"/>
      <c r="CG344" s="226"/>
      <c r="CH344" s="155">
        <v>7967</v>
      </c>
      <c r="CI344" s="165"/>
      <c r="CJ344" s="165"/>
      <c r="CK344" s="165"/>
      <c r="CL344" s="226"/>
      <c r="CM344" s="155">
        <v>8283</v>
      </c>
      <c r="CN344" s="165"/>
      <c r="CO344" s="165"/>
      <c r="CP344" s="165"/>
      <c r="CQ344" s="226"/>
      <c r="CR344" s="155">
        <v>8280</v>
      </c>
      <c r="CS344" s="165"/>
      <c r="CT344" s="165"/>
      <c r="CU344" s="165"/>
      <c r="CV344" s="226"/>
      <c r="CW344" s="155">
        <v>8501</v>
      </c>
      <c r="CX344" s="281"/>
      <c r="CY344" s="281"/>
      <c r="CZ344" s="281"/>
      <c r="DA344" s="165"/>
      <c r="DB344" s="155">
        <v>9027</v>
      </c>
      <c r="DC344" s="281"/>
      <c r="DD344" s="281"/>
      <c r="DE344" s="281"/>
      <c r="DF344" s="165"/>
      <c r="DG344" s="155">
        <v>9224</v>
      </c>
      <c r="DH344" s="165"/>
      <c r="DI344" s="281"/>
      <c r="DJ344" s="281"/>
      <c r="DK344" s="165"/>
      <c r="DL344" s="155">
        <v>8693</v>
      </c>
      <c r="DM344" s="165"/>
      <c r="DN344" s="281"/>
      <c r="DO344" s="281"/>
      <c r="DP344" s="165"/>
      <c r="DQ344" s="283">
        <v>8643</v>
      </c>
      <c r="DR344" s="158">
        <v>8904</v>
      </c>
      <c r="DS344" s="158">
        <v>8954</v>
      </c>
      <c r="DT344" s="158">
        <v>9045</v>
      </c>
      <c r="DU344" s="156">
        <f t="shared" si="1055"/>
        <v>9339</v>
      </c>
      <c r="DV344" s="283">
        <v>9339</v>
      </c>
      <c r="DW344" s="158">
        <v>9490</v>
      </c>
      <c r="DX344" s="158">
        <v>9836</v>
      </c>
      <c r="DY344" s="158">
        <v>10156</v>
      </c>
      <c r="DZ344" s="156">
        <f t="shared" si="1056"/>
        <v>10348</v>
      </c>
      <c r="EA344" s="283">
        <v>10348</v>
      </c>
      <c r="EB344" s="158">
        <v>10087</v>
      </c>
      <c r="EC344" s="158">
        <v>10017</v>
      </c>
      <c r="ED344" s="158">
        <v>10079</v>
      </c>
      <c r="EE344" s="156">
        <f>EF344</f>
        <v>10191</v>
      </c>
      <c r="EF344" s="283">
        <v>10191</v>
      </c>
      <c r="EG344" s="158">
        <v>10221</v>
      </c>
      <c r="EH344" s="158">
        <v>10269</v>
      </c>
      <c r="EI344" s="158">
        <v>10367</v>
      </c>
      <c r="EJ344" s="156">
        <f>EK344</f>
        <v>10425</v>
      </c>
      <c r="EK344" s="283">
        <v>10425</v>
      </c>
      <c r="EL344" s="158">
        <v>10493</v>
      </c>
      <c r="EM344" s="158">
        <v>10624</v>
      </c>
      <c r="EN344" s="158">
        <v>10665</v>
      </c>
      <c r="EO344" s="156">
        <f>EP344</f>
        <v>14176</v>
      </c>
      <c r="EP344" s="283">
        <v>14176</v>
      </c>
      <c r="EQ344" s="284"/>
      <c r="ER344" s="284"/>
      <c r="ES344" s="284"/>
      <c r="ET344" s="284"/>
      <c r="EU344" s="283">
        <f>EP344+EU284+EU301</f>
        <v>15706.546769108023</v>
      </c>
      <c r="EV344" s="284"/>
      <c r="EW344" s="284"/>
      <c r="EX344" s="284"/>
      <c r="EY344" s="284"/>
      <c r="EZ344" s="283">
        <f>EU344+EZ284+EZ301</f>
        <v>17300.140179033933</v>
      </c>
      <c r="FA344" s="284"/>
      <c r="FB344" s="284"/>
      <c r="FC344" s="284"/>
      <c r="FD344" s="284"/>
      <c r="FE344" s="283">
        <f>EZ344+FE284+FE301</f>
        <v>18976.88423261233</v>
      </c>
      <c r="FF344" s="825"/>
      <c r="FG344" s="660"/>
      <c r="FH344" s="1086"/>
      <c r="FI344" s="1086"/>
      <c r="FJ344" s="1086"/>
      <c r="FK344" s="1086"/>
      <c r="FL344" s="1858"/>
      <c r="FM344" s="1790"/>
      <c r="FN344" s="1790"/>
      <c r="FO344" s="1790"/>
      <c r="FP344" s="1790"/>
      <c r="FQ344" s="1790"/>
      <c r="FR344" s="611"/>
      <c r="FS344" s="611"/>
      <c r="FT344" s="611"/>
      <c r="FU344" s="611"/>
      <c r="FV344" s="611"/>
      <c r="FW344" s="611"/>
      <c r="FX344" s="611"/>
      <c r="FY344" s="611"/>
      <c r="FZ344" s="611"/>
      <c r="GA344" s="660"/>
      <c r="GB344"/>
      <c r="GC344"/>
      <c r="GD344"/>
      <c r="GE344"/>
      <c r="GF344"/>
      <c r="GG344"/>
      <c r="GH344" s="996"/>
      <c r="GI344" s="996"/>
      <c r="GJ344" s="996"/>
      <c r="GK344" s="996"/>
      <c r="GL344" s="996"/>
      <c r="GM344" s="996"/>
      <c r="GN344" s="996"/>
      <c r="GO344" s="996"/>
      <c r="GP344" s="996"/>
      <c r="GQ344" s="996"/>
      <c r="GR344" s="996"/>
      <c r="GS344" s="996"/>
      <c r="GT344" s="996"/>
      <c r="GU344" s="996"/>
      <c r="GV344" s="996"/>
      <c r="GW344" s="996"/>
      <c r="GX344" s="996"/>
      <c r="GY344" s="996"/>
      <c r="GZ344" s="996"/>
      <c r="HA344" s="996"/>
      <c r="HB344" s="996"/>
      <c r="HC344" s="996"/>
      <c r="HD344" s="996"/>
      <c r="HE344" s="996"/>
      <c r="HF344" s="996"/>
      <c r="HG344" s="996"/>
      <c r="HH344" s="996"/>
      <c r="HI344" s="996"/>
      <c r="HJ344" s="996"/>
      <c r="HK344" s="996"/>
      <c r="HL344" s="996"/>
      <c r="HM344" s="996"/>
      <c r="HN344" s="996"/>
      <c r="HO344" s="996"/>
      <c r="HP344" s="996"/>
      <c r="HQ344" s="996"/>
      <c r="HR344" s="996"/>
      <c r="HS344" s="996"/>
      <c r="HT344" s="996"/>
      <c r="HU344" s="996"/>
      <c r="HV344" s="996"/>
      <c r="HW344" s="996"/>
      <c r="HX344" s="996"/>
      <c r="HY344" s="996"/>
      <c r="HZ344" s="996"/>
      <c r="IA344" s="996"/>
      <c r="IB344" s="996"/>
      <c r="IC344" s="996"/>
      <c r="ID344" s="996"/>
      <c r="IE344" s="996"/>
      <c r="IF344" s="996"/>
      <c r="IG344" s="996"/>
      <c r="IH344" s="996"/>
      <c r="II344" s="996"/>
      <c r="IJ344" s="996"/>
      <c r="IK344" s="996"/>
      <c r="IL344" s="996"/>
      <c r="IM344" s="996"/>
      <c r="IN344" s="996"/>
      <c r="IO344" s="996"/>
      <c r="IP344" s="996"/>
      <c r="IQ344" s="996"/>
      <c r="IR344" s="996"/>
      <c r="IS344" s="996"/>
      <c r="IT344" s="996"/>
      <c r="IU344" s="996"/>
      <c r="IV344" s="996"/>
    </row>
    <row r="345" spans="1:256" s="275" customFormat="1" ht="12.6" customHeight="1" x14ac:dyDescent="0.2">
      <c r="A345" s="352" t="s">
        <v>153</v>
      </c>
      <c r="B345" s="281"/>
      <c r="C345" s="281"/>
      <c r="D345" s="281"/>
      <c r="E345" s="282"/>
      <c r="F345" s="283"/>
      <c r="G345" s="281"/>
      <c r="H345" s="281"/>
      <c r="I345" s="281"/>
      <c r="J345" s="282"/>
      <c r="K345" s="283"/>
      <c r="L345" s="281"/>
      <c r="M345" s="281"/>
      <c r="N345" s="281"/>
      <c r="O345" s="282"/>
      <c r="P345" s="283"/>
      <c r="Q345" s="281"/>
      <c r="R345" s="281"/>
      <c r="S345" s="281"/>
      <c r="T345" s="282"/>
      <c r="U345" s="283"/>
      <c r="V345" s="281"/>
      <c r="W345" s="281"/>
      <c r="X345" s="281"/>
      <c r="Y345" s="282"/>
      <c r="Z345" s="283"/>
      <c r="AA345" s="281"/>
      <c r="AB345" s="281"/>
      <c r="AC345" s="281"/>
      <c r="AD345" s="282"/>
      <c r="AE345" s="283"/>
      <c r="AF345" s="281"/>
      <c r="AG345" s="281"/>
      <c r="AH345" s="281"/>
      <c r="AI345" s="282"/>
      <c r="AJ345" s="283"/>
      <c r="AK345" s="281"/>
      <c r="AL345" s="281"/>
      <c r="AM345" s="281"/>
      <c r="AN345" s="282"/>
      <c r="AO345" s="283"/>
      <c r="AP345" s="281"/>
      <c r="AQ345" s="281"/>
      <c r="AR345" s="281"/>
      <c r="AS345" s="282"/>
      <c r="AT345" s="283">
        <f>AT346-AT344-AT343</f>
        <v>-16</v>
      </c>
      <c r="AU345" s="281"/>
      <c r="AV345" s="281"/>
      <c r="AW345" s="281"/>
      <c r="AX345" s="282"/>
      <c r="AY345" s="283">
        <f>AY346-AY344-AY343</f>
        <v>-28</v>
      </c>
      <c r="AZ345" s="281"/>
      <c r="BA345" s="281"/>
      <c r="BB345" s="281"/>
      <c r="BC345" s="282"/>
      <c r="BD345" s="283">
        <f>BD346-BD344-BD343</f>
        <v>-31</v>
      </c>
      <c r="BE345" s="281"/>
      <c r="BF345" s="281"/>
      <c r="BG345" s="281"/>
      <c r="BH345" s="282"/>
      <c r="BI345" s="283">
        <f>BI346-BI344-BI343</f>
        <v>-26</v>
      </c>
      <c r="BJ345" s="281"/>
      <c r="BK345" s="281"/>
      <c r="BL345" s="281"/>
      <c r="BM345" s="282"/>
      <c r="BN345" s="283">
        <f>BN346-BN344-BN343</f>
        <v>-75</v>
      </c>
      <c r="BO345" s="281"/>
      <c r="BP345" s="281"/>
      <c r="BQ345" s="281"/>
      <c r="BR345" s="282"/>
      <c r="BS345" s="283">
        <f>BS346-BS344-BS343</f>
        <v>-85</v>
      </c>
      <c r="BT345" s="281"/>
      <c r="BU345" s="281"/>
      <c r="BV345" s="281"/>
      <c r="BW345" s="282"/>
      <c r="BX345" s="283">
        <f>BX346-BX344-BX343</f>
        <v>-69</v>
      </c>
      <c r="BY345" s="281"/>
      <c r="BZ345" s="281"/>
      <c r="CA345" s="281"/>
      <c r="CB345" s="282"/>
      <c r="CC345" s="283">
        <f>CC346-CC344-CC343</f>
        <v>-44</v>
      </c>
      <c r="CD345" s="281"/>
      <c r="CE345" s="281"/>
      <c r="CF345" s="281"/>
      <c r="CG345" s="282"/>
      <c r="CH345" s="283">
        <f>CH346-CH344-CH343</f>
        <v>-97</v>
      </c>
      <c r="CI345" s="281"/>
      <c r="CJ345" s="281"/>
      <c r="CK345" s="281"/>
      <c r="CL345" s="282"/>
      <c r="CM345" s="283">
        <f>CM346-CM344-CM343</f>
        <v>-389</v>
      </c>
      <c r="CN345" s="281"/>
      <c r="CO345" s="281"/>
      <c r="CP345" s="281"/>
      <c r="CQ345" s="282"/>
      <c r="CR345" s="283">
        <f>CR346-CR344-CR343</f>
        <v>-419</v>
      </c>
      <c r="CS345" s="281"/>
      <c r="CT345" s="281"/>
      <c r="CU345" s="281"/>
      <c r="CV345" s="282"/>
      <c r="CW345" s="283">
        <f>CW346-CW344-CW343</f>
        <v>-942</v>
      </c>
      <c r="CX345" s="281"/>
      <c r="CY345" s="281"/>
      <c r="CZ345" s="281"/>
      <c r="DA345" s="281"/>
      <c r="DB345" s="283">
        <f>DB346-DB344-DB343</f>
        <v>-853</v>
      </c>
      <c r="DC345" s="281"/>
      <c r="DD345" s="281"/>
      <c r="DE345" s="281"/>
      <c r="DF345" s="281"/>
      <c r="DG345" s="283">
        <f>DG346-DG344-DG343</f>
        <v>-805</v>
      </c>
      <c r="DH345" s="281"/>
      <c r="DI345" s="281"/>
      <c r="DJ345" s="281"/>
      <c r="DK345" s="281"/>
      <c r="DL345" s="283">
        <f>DL346-DL344-DL343</f>
        <v>-1026</v>
      </c>
      <c r="DM345" s="281"/>
      <c r="DN345" s="281"/>
      <c r="DO345" s="281"/>
      <c r="DP345" s="281"/>
      <c r="DQ345" s="283">
        <f>DQ346-DQ344-DQ343</f>
        <v>-1109</v>
      </c>
      <c r="DR345" s="20">
        <f>DR346-DR344-DR343</f>
        <v>-1086</v>
      </c>
      <c r="DS345" s="20">
        <f>DS346-DS344-DS343</f>
        <v>-1063</v>
      </c>
      <c r="DT345" s="20">
        <f>DT346-DT344-DT343</f>
        <v>-1040</v>
      </c>
      <c r="DU345" s="1281">
        <f t="shared" si="1055"/>
        <v>-381</v>
      </c>
      <c r="DV345" s="283">
        <f>DV346-DV344-DV343</f>
        <v>-381</v>
      </c>
      <c r="DW345" s="110">
        <f>DW346-DW344-DW343</f>
        <v>-193</v>
      </c>
      <c r="DX345" s="110">
        <f>DX346-DX344-DX343</f>
        <v>-183</v>
      </c>
      <c r="DY345" s="110">
        <f>DY346-DY344-DY343</f>
        <v>-178</v>
      </c>
      <c r="DZ345" s="1281">
        <f t="shared" si="1056"/>
        <v>-398</v>
      </c>
      <c r="EA345" s="283">
        <f>EA346-EA344-EA343</f>
        <v>-398</v>
      </c>
      <c r="EB345" s="20">
        <f>EB346-EB344-EB343</f>
        <v>-395</v>
      </c>
      <c r="EC345" s="110">
        <f>EC346-EC344-EC343</f>
        <v>-389</v>
      </c>
      <c r="ED345" s="110">
        <f>ED346-ED344-ED343</f>
        <v>-382</v>
      </c>
      <c r="EE345" s="1281">
        <f>EF345</f>
        <v>-445</v>
      </c>
      <c r="EF345" s="283">
        <f>EF346-EF344-EF343</f>
        <v>-445</v>
      </c>
      <c r="EG345" s="20">
        <f>EG346-EG344-EG343</f>
        <v>-442</v>
      </c>
      <c r="EH345" s="110">
        <f>EH346-EH344-EH343</f>
        <v>-437</v>
      </c>
      <c r="EI345" s="110">
        <f>EI346-EI344-EI343</f>
        <v>-433</v>
      </c>
      <c r="EJ345" s="1281">
        <f>EK345</f>
        <v>-487</v>
      </c>
      <c r="EK345" s="283">
        <f>EK346-EK344-EK343</f>
        <v>-487</v>
      </c>
      <c r="EL345" s="20">
        <f>EL346-EL344-EL343</f>
        <v>-485</v>
      </c>
      <c r="EM345" s="110">
        <f>EM346-EM344-EM343</f>
        <v>-480</v>
      </c>
      <c r="EN345" s="110">
        <f>EN346-EN344-EN343</f>
        <v>-475</v>
      </c>
      <c r="EO345" s="1281">
        <f>EP345</f>
        <v>-356</v>
      </c>
      <c r="EP345" s="283">
        <f>EP346-EP344-EP343</f>
        <v>-356</v>
      </c>
      <c r="EQ345" s="1409"/>
      <c r="ER345" s="1409"/>
      <c r="ES345" s="1409"/>
      <c r="ET345" s="1409"/>
      <c r="EU345" s="1407">
        <f ca="1">EP345+EU303+EU308+EU302+Pension!N67+OPEB!N67</f>
        <v>-1784.192183825335</v>
      </c>
      <c r="EV345" s="1409"/>
      <c r="EW345" s="1409"/>
      <c r="EX345" s="1409"/>
      <c r="EY345" s="1409"/>
      <c r="EZ345" s="1407">
        <f ca="1">EU345+EZ303+EZ308+EZ302+Pension!O67+OPEB!O67</f>
        <v>-2602.4632047671098</v>
      </c>
      <c r="FA345" s="1409"/>
      <c r="FB345" s="1409"/>
      <c r="FC345" s="1409"/>
      <c r="FD345" s="1409"/>
      <c r="FE345" s="1407">
        <f ca="1">EZ345+FE303+FE308+FE302+Pension!P67+OPEB!P67</f>
        <v>-3399.1269501853367</v>
      </c>
      <c r="FF345" s="825"/>
      <c r="FG345" s="660"/>
      <c r="FH345" s="1086"/>
      <c r="FI345" s="1086"/>
      <c r="FJ345" s="1086"/>
      <c r="FK345" s="1086"/>
      <c r="FL345" s="1858"/>
      <c r="FM345" s="1790"/>
      <c r="FN345" s="1790"/>
      <c r="FO345" s="1790"/>
      <c r="FP345" s="1790"/>
      <c r="FQ345" s="1790"/>
      <c r="FR345" s="611"/>
      <c r="FS345" s="611"/>
      <c r="FT345" s="611"/>
      <c r="FU345" s="611"/>
      <c r="FV345" s="611"/>
      <c r="FW345" s="611"/>
      <c r="FX345" s="611"/>
      <c r="FY345" s="611"/>
      <c r="FZ345" s="611"/>
      <c r="GA345" s="660"/>
      <c r="GB345"/>
      <c r="GC345"/>
      <c r="GD345"/>
      <c r="GE345"/>
      <c r="GF345"/>
      <c r="GG345"/>
      <c r="GH345" s="996"/>
      <c r="GI345" s="996"/>
      <c r="GJ345" s="996"/>
      <c r="GK345" s="996"/>
      <c r="GL345" s="996"/>
      <c r="GM345" s="996"/>
      <c r="GN345" s="996"/>
      <c r="GO345" s="996"/>
      <c r="GP345" s="996"/>
      <c r="GQ345" s="996"/>
      <c r="GR345" s="996"/>
      <c r="GS345" s="996"/>
      <c r="GT345" s="996"/>
      <c r="GU345" s="996"/>
      <c r="GV345" s="996"/>
      <c r="GW345" s="996"/>
      <c r="GX345" s="996"/>
      <c r="GY345" s="996"/>
      <c r="GZ345" s="996"/>
      <c r="HA345" s="996"/>
      <c r="HB345" s="996"/>
      <c r="HC345" s="996"/>
      <c r="HD345" s="996"/>
      <c r="HE345" s="996"/>
      <c r="HF345" s="996"/>
      <c r="HG345" s="996"/>
      <c r="HH345" s="996"/>
      <c r="HI345" s="996"/>
      <c r="HJ345" s="996"/>
      <c r="HK345" s="996"/>
      <c r="HL345" s="996"/>
      <c r="HM345" s="996"/>
      <c r="HN345" s="996"/>
      <c r="HO345" s="996"/>
      <c r="HP345" s="996"/>
      <c r="HQ345" s="996"/>
      <c r="HR345" s="996"/>
      <c r="HS345" s="996"/>
      <c r="HT345" s="996"/>
      <c r="HU345" s="996"/>
      <c r="HV345" s="996"/>
      <c r="HW345" s="996"/>
      <c r="HX345" s="996"/>
      <c r="HY345" s="996"/>
      <c r="HZ345" s="996"/>
      <c r="IA345" s="996"/>
      <c r="IB345" s="996"/>
      <c r="IC345" s="996"/>
      <c r="ID345" s="996"/>
      <c r="IE345" s="996"/>
      <c r="IF345" s="996"/>
      <c r="IG345" s="996"/>
      <c r="IH345" s="996"/>
      <c r="II345" s="996"/>
      <c r="IJ345" s="996"/>
      <c r="IK345" s="996"/>
      <c r="IL345" s="996"/>
      <c r="IM345" s="996"/>
      <c r="IN345" s="996"/>
      <c r="IO345" s="996"/>
      <c r="IP345" s="996"/>
      <c r="IQ345" s="996"/>
      <c r="IR345" s="996"/>
      <c r="IS345" s="996"/>
      <c r="IT345" s="996"/>
      <c r="IU345" s="996"/>
      <c r="IV345" s="996"/>
    </row>
    <row r="346" spans="1:256" s="275" customFormat="1" ht="12.6" customHeight="1" x14ac:dyDescent="0.2">
      <c r="A346" s="353" t="s">
        <v>221</v>
      </c>
      <c r="B346" s="240"/>
      <c r="C346" s="240"/>
      <c r="D346" s="240"/>
      <c r="E346" s="274"/>
      <c r="F346" s="177"/>
      <c r="G346" s="240"/>
      <c r="H346" s="240"/>
      <c r="I346" s="240"/>
      <c r="J346" s="274"/>
      <c r="K346" s="177"/>
      <c r="L346" s="240"/>
      <c r="M346" s="240"/>
      <c r="N346" s="240"/>
      <c r="O346" s="274"/>
      <c r="P346" s="177"/>
      <c r="Q346" s="240"/>
      <c r="R346" s="240"/>
      <c r="S346" s="240"/>
      <c r="T346" s="274"/>
      <c r="U346" s="177"/>
      <c r="V346" s="240"/>
      <c r="W346" s="240"/>
      <c r="X346" s="240"/>
      <c r="Y346" s="274"/>
      <c r="Z346" s="177"/>
      <c r="AA346" s="240"/>
      <c r="AB346" s="240"/>
      <c r="AC346" s="240"/>
      <c r="AD346" s="274"/>
      <c r="AE346" s="177"/>
      <c r="AF346" s="240"/>
      <c r="AG346" s="240"/>
      <c r="AH346" s="240"/>
      <c r="AI346" s="274"/>
      <c r="AJ346" s="177"/>
      <c r="AK346" s="240"/>
      <c r="AL346" s="240"/>
      <c r="AM346" s="240"/>
      <c r="AN346" s="274"/>
      <c r="AO346" s="177"/>
      <c r="AP346" s="240"/>
      <c r="AQ346" s="240"/>
      <c r="AR346" s="240"/>
      <c r="AS346" s="274"/>
      <c r="AT346" s="177">
        <v>5445</v>
      </c>
      <c r="AU346" s="240"/>
      <c r="AV346" s="240"/>
      <c r="AW346" s="240"/>
      <c r="AX346" s="274"/>
      <c r="AY346" s="177">
        <v>5921</v>
      </c>
      <c r="AZ346" s="240"/>
      <c r="BA346" s="240"/>
      <c r="BB346" s="240"/>
      <c r="BC346" s="274"/>
      <c r="BD346" s="177">
        <v>5932</v>
      </c>
      <c r="BE346" s="240"/>
      <c r="BF346" s="240"/>
      <c r="BG346" s="240"/>
      <c r="BH346" s="274"/>
      <c r="BI346" s="177">
        <v>5824</v>
      </c>
      <c r="BJ346" s="240"/>
      <c r="BK346" s="240"/>
      <c r="BL346" s="240"/>
      <c r="BM346" s="274"/>
      <c r="BN346" s="177">
        <v>6090</v>
      </c>
      <c r="BO346" s="240"/>
      <c r="BP346" s="240"/>
      <c r="BQ346" s="240"/>
      <c r="BR346" s="274"/>
      <c r="BS346" s="177">
        <v>6500</v>
      </c>
      <c r="BT346" s="240"/>
      <c r="BU346" s="240"/>
      <c r="BV346" s="240"/>
      <c r="BW346" s="274"/>
      <c r="BX346" s="177">
        <v>6976</v>
      </c>
      <c r="BY346" s="240"/>
      <c r="BZ346" s="240"/>
      <c r="CA346" s="240"/>
      <c r="CB346" s="274"/>
      <c r="CC346" s="177">
        <v>7990</v>
      </c>
      <c r="CD346" s="240"/>
      <c r="CE346" s="240"/>
      <c r="CF346" s="240"/>
      <c r="CG346" s="274"/>
      <c r="CH346" s="177">
        <v>9276</v>
      </c>
      <c r="CI346" s="240"/>
      <c r="CJ346" s="240"/>
      <c r="CK346" s="240"/>
      <c r="CL346" s="274"/>
      <c r="CM346" s="177">
        <v>9615</v>
      </c>
      <c r="CN346" s="240"/>
      <c r="CO346" s="240"/>
      <c r="CP346" s="240"/>
      <c r="CQ346" s="274"/>
      <c r="CR346" s="177">
        <v>9727</v>
      </c>
      <c r="CS346" s="240"/>
      <c r="CT346" s="240"/>
      <c r="CU346" s="240"/>
      <c r="CV346" s="274"/>
      <c r="CW346" s="177">
        <v>9607</v>
      </c>
      <c r="CX346" s="281"/>
      <c r="CY346" s="281"/>
      <c r="CZ346" s="281"/>
      <c r="DA346" s="240"/>
      <c r="DB346" s="177">
        <v>10353</v>
      </c>
      <c r="DC346" s="281"/>
      <c r="DD346" s="281"/>
      <c r="DE346" s="281"/>
      <c r="DF346" s="240"/>
      <c r="DG346" s="177">
        <v>10669</v>
      </c>
      <c r="DH346" s="240"/>
      <c r="DI346" s="281"/>
      <c r="DJ346" s="281"/>
      <c r="DK346" s="240"/>
      <c r="DL346" s="177">
        <v>9911</v>
      </c>
      <c r="DM346" s="240"/>
      <c r="DN346" s="281"/>
      <c r="DO346" s="281"/>
      <c r="DP346" s="240"/>
      <c r="DQ346" s="177">
        <v>9760</v>
      </c>
      <c r="DR346" s="1167">
        <v>10110</v>
      </c>
      <c r="DS346" s="1167">
        <v>10188</v>
      </c>
      <c r="DT346" s="1167">
        <v>10294</v>
      </c>
      <c r="DU346" s="1285">
        <f t="shared" si="1055"/>
        <v>11289</v>
      </c>
      <c r="DV346" s="177">
        <v>11289</v>
      </c>
      <c r="DW346" s="1167">
        <v>11693</v>
      </c>
      <c r="DX346" s="1167">
        <v>12077</v>
      </c>
      <c r="DY346" s="1167">
        <v>12439</v>
      </c>
      <c r="DZ346" s="1285">
        <f t="shared" si="1056"/>
        <v>12408</v>
      </c>
      <c r="EA346" s="177">
        <v>12408</v>
      </c>
      <c r="EB346" s="1167">
        <v>12158</v>
      </c>
      <c r="EC346" s="1167">
        <v>12077</v>
      </c>
      <c r="ED346" s="1167">
        <v>12129</v>
      </c>
      <c r="EE346" s="1285">
        <f>EF346</f>
        <v>12188</v>
      </c>
      <c r="EF346" s="177">
        <v>12188</v>
      </c>
      <c r="EG346" s="1167">
        <v>12223</v>
      </c>
      <c r="EH346" s="1167">
        <v>12273</v>
      </c>
      <c r="EI346" s="1167">
        <v>12396</v>
      </c>
      <c r="EJ346" s="1285">
        <f>EK346</f>
        <v>12409</v>
      </c>
      <c r="EK346" s="177">
        <v>12409</v>
      </c>
      <c r="EL346" s="1167">
        <v>12527</v>
      </c>
      <c r="EM346" s="1167">
        <v>12662</v>
      </c>
      <c r="EN346" s="1167">
        <v>12727</v>
      </c>
      <c r="EO346" s="1285">
        <f>EP346</f>
        <v>16359</v>
      </c>
      <c r="EP346" s="177">
        <v>16359</v>
      </c>
      <c r="EQ346" s="167"/>
      <c r="ER346" s="167"/>
      <c r="ES346" s="167"/>
      <c r="ET346" s="167"/>
      <c r="EU346" s="177">
        <f ca="1">EU343+EU344+EU345</f>
        <v>16461.354585282686</v>
      </c>
      <c r="EV346" s="167"/>
      <c r="EW346" s="167"/>
      <c r="EX346" s="167"/>
      <c r="EY346" s="167"/>
      <c r="EZ346" s="177">
        <f ca="1">EZ343+EZ344+EZ345</f>
        <v>17236.676974266822</v>
      </c>
      <c r="FA346" s="167"/>
      <c r="FB346" s="167"/>
      <c r="FC346" s="167"/>
      <c r="FD346" s="167"/>
      <c r="FE346" s="177">
        <f ca="1">FE343+FE344+FE345</f>
        <v>18116.757282426996</v>
      </c>
      <c r="FF346" s="825"/>
      <c r="FG346" s="660"/>
      <c r="FH346" s="1086"/>
      <c r="FI346" s="1086"/>
      <c r="FJ346" s="1086"/>
      <c r="FK346" s="1086"/>
      <c r="FL346" s="1858"/>
      <c r="FM346" s="1790"/>
      <c r="FN346" s="1790"/>
      <c r="FO346" s="1790"/>
      <c r="FP346" s="1790"/>
      <c r="FQ346" s="1790"/>
      <c r="FR346" s="611"/>
      <c r="FS346" s="611"/>
      <c r="FT346" s="611"/>
      <c r="FU346" s="611"/>
      <c r="FV346" s="611"/>
      <c r="FW346" s="611"/>
      <c r="FX346" s="611"/>
      <c r="FY346" s="611"/>
      <c r="FZ346" s="611"/>
      <c r="GA346" s="660"/>
      <c r="GB346"/>
      <c r="GC346"/>
      <c r="GD346"/>
      <c r="GE346"/>
      <c r="GF346"/>
      <c r="GG346"/>
      <c r="GH346" s="996"/>
      <c r="GI346" s="996"/>
      <c r="GJ346" s="996"/>
      <c r="GK346" s="996"/>
      <c r="GL346" s="996"/>
      <c r="GM346" s="996"/>
      <c r="GN346" s="996"/>
      <c r="GO346" s="996"/>
      <c r="GP346" s="996"/>
      <c r="GQ346" s="996"/>
      <c r="GR346" s="996"/>
      <c r="GS346" s="996"/>
      <c r="GT346" s="996"/>
      <c r="GU346" s="996"/>
      <c r="GV346" s="996"/>
      <c r="GW346" s="996"/>
      <c r="GX346" s="996"/>
      <c r="GY346" s="996"/>
      <c r="GZ346" s="996"/>
      <c r="HA346" s="996"/>
      <c r="HB346" s="996"/>
      <c r="HC346" s="996"/>
      <c r="HD346" s="996"/>
      <c r="HE346" s="996"/>
      <c r="HF346" s="996"/>
      <c r="HG346" s="996"/>
      <c r="HH346" s="996"/>
      <c r="HI346" s="996"/>
      <c r="HJ346" s="996"/>
      <c r="HK346" s="996"/>
      <c r="HL346" s="996"/>
      <c r="HM346" s="996"/>
      <c r="HN346" s="996"/>
      <c r="HO346" s="996"/>
      <c r="HP346" s="996"/>
      <c r="HQ346" s="996"/>
      <c r="HR346" s="996"/>
      <c r="HS346" s="996"/>
      <c r="HT346" s="996"/>
      <c r="HU346" s="996"/>
      <c r="HV346" s="996"/>
      <c r="HW346" s="996"/>
      <c r="HX346" s="996"/>
      <c r="HY346" s="996"/>
      <c r="HZ346" s="996"/>
      <c r="IA346" s="996"/>
      <c r="IB346" s="996"/>
      <c r="IC346" s="996"/>
      <c r="ID346" s="996"/>
      <c r="IE346" s="996"/>
      <c r="IF346" s="996"/>
      <c r="IG346" s="996"/>
      <c r="IH346" s="996"/>
      <c r="II346" s="996"/>
      <c r="IJ346" s="996"/>
      <c r="IK346" s="996"/>
      <c r="IL346" s="996"/>
      <c r="IM346" s="996"/>
      <c r="IN346" s="996"/>
      <c r="IO346" s="996"/>
      <c r="IP346" s="996"/>
      <c r="IQ346" s="996"/>
      <c r="IR346" s="996"/>
      <c r="IS346" s="996"/>
      <c r="IT346" s="996"/>
      <c r="IU346" s="996"/>
      <c r="IV346" s="996"/>
    </row>
    <row r="347" spans="1:256" s="174" customFormat="1" ht="12.75" x14ac:dyDescent="0.2">
      <c r="A347" s="176" t="s">
        <v>244</v>
      </c>
      <c r="B347" s="167"/>
      <c r="C347" s="167"/>
      <c r="D347" s="167"/>
      <c r="E347" s="227"/>
      <c r="F347" s="177"/>
      <c r="G347" s="167"/>
      <c r="H347" s="167"/>
      <c r="I347" s="167"/>
      <c r="J347" s="227"/>
      <c r="K347" s="177"/>
      <c r="L347" s="167"/>
      <c r="M347" s="167"/>
      <c r="N347" s="167"/>
      <c r="O347" s="227"/>
      <c r="P347" s="177"/>
      <c r="Q347" s="167"/>
      <c r="R347" s="167"/>
      <c r="S347" s="167"/>
      <c r="T347" s="227"/>
      <c r="U347" s="177"/>
      <c r="V347" s="167"/>
      <c r="W347" s="167"/>
      <c r="X347" s="167"/>
      <c r="Y347" s="227"/>
      <c r="Z347" s="177"/>
      <c r="AA347" s="167"/>
      <c r="AB347" s="167"/>
      <c r="AC347" s="167"/>
      <c r="AD347" s="227"/>
      <c r="AE347" s="177"/>
      <c r="AF347" s="167"/>
      <c r="AG347" s="167"/>
      <c r="AH347" s="167"/>
      <c r="AI347" s="227"/>
      <c r="AJ347" s="177"/>
      <c r="AK347" s="167"/>
      <c r="AL347" s="167"/>
      <c r="AM347" s="167"/>
      <c r="AN347" s="227"/>
      <c r="AO347" s="177"/>
      <c r="AP347" s="167"/>
      <c r="AQ347" s="167"/>
      <c r="AR347" s="167"/>
      <c r="AS347" s="227"/>
      <c r="AT347" s="177">
        <f>AT346+AT341</f>
        <v>17350</v>
      </c>
      <c r="AU347" s="167"/>
      <c r="AV347" s="167"/>
      <c r="AW347" s="167"/>
      <c r="AX347" s="227"/>
      <c r="AY347" s="177">
        <f>AY346+AY341</f>
        <v>18180</v>
      </c>
      <c r="AZ347" s="167"/>
      <c r="BA347" s="167"/>
      <c r="BB347" s="167"/>
      <c r="BC347" s="227"/>
      <c r="BD347" s="177">
        <f>BD346+BD341</f>
        <v>19250</v>
      </c>
      <c r="BE347" s="167"/>
      <c r="BF347" s="167"/>
      <c r="BG347" s="167"/>
      <c r="BH347" s="227"/>
      <c r="BI347" s="177">
        <f>BI346+BI341</f>
        <v>18976</v>
      </c>
      <c r="BJ347" s="167"/>
      <c r="BK347" s="167"/>
      <c r="BL347" s="167"/>
      <c r="BM347" s="227"/>
      <c r="BN347" s="177">
        <f>BN346+BN341</f>
        <v>19418</v>
      </c>
      <c r="BO347" s="167"/>
      <c r="BP347" s="167"/>
      <c r="BQ347" s="167"/>
      <c r="BR347" s="227"/>
      <c r="BS347" s="177">
        <f>BS346+BS341</f>
        <v>19956</v>
      </c>
      <c r="BT347" s="167"/>
      <c r="BU347" s="167"/>
      <c r="BV347" s="167"/>
      <c r="BW347" s="227"/>
      <c r="BX347" s="177">
        <f>BX346+BX341</f>
        <v>20596</v>
      </c>
      <c r="BY347" s="167"/>
      <c r="BZ347" s="167"/>
      <c r="CA347" s="167"/>
      <c r="CB347" s="227"/>
      <c r="CC347" s="177">
        <f>CC346+CC341</f>
        <v>24750</v>
      </c>
      <c r="CD347" s="167"/>
      <c r="CE347" s="167"/>
      <c r="CF347" s="167"/>
      <c r="CG347" s="227"/>
      <c r="CH347" s="177">
        <f>CH346+CH341</f>
        <v>25859</v>
      </c>
      <c r="CI347" s="167"/>
      <c r="CJ347" s="167"/>
      <c r="CK347" s="167"/>
      <c r="CL347" s="227"/>
      <c r="CM347" s="177">
        <f>CM346+CM341</f>
        <v>26028</v>
      </c>
      <c r="CN347" s="167"/>
      <c r="CO347" s="167"/>
      <c r="CP347" s="167"/>
      <c r="CQ347" s="227"/>
      <c r="CR347" s="177">
        <f>CR346+CR341</f>
        <v>26144</v>
      </c>
      <c r="CS347" s="167"/>
      <c r="CT347" s="167"/>
      <c r="CU347" s="167"/>
      <c r="CV347" s="227"/>
      <c r="CW347" s="177">
        <f>CW346+CW341</f>
        <v>26297</v>
      </c>
      <c r="CX347" s="167"/>
      <c r="CY347" s="167"/>
      <c r="CZ347" s="167"/>
      <c r="DA347" s="167"/>
      <c r="DB347" s="177">
        <f>DB346+DB341</f>
        <v>27369</v>
      </c>
      <c r="DC347" s="167"/>
      <c r="DD347" s="167"/>
      <c r="DE347" s="167"/>
      <c r="DF347" s="167"/>
      <c r="DG347" s="177">
        <f>DG346+DG341</f>
        <v>28199</v>
      </c>
      <c r="DH347" s="167"/>
      <c r="DI347" s="167"/>
      <c r="DJ347" s="167"/>
      <c r="DK347" s="167"/>
      <c r="DL347" s="177">
        <f>DL346+DL341</f>
        <v>28538</v>
      </c>
      <c r="DM347" s="167"/>
      <c r="DN347" s="167"/>
      <c r="DO347" s="167"/>
      <c r="DP347" s="167"/>
      <c r="DQ347" s="177">
        <f>DQ346+DQ341</f>
        <v>30342</v>
      </c>
      <c r="DR347" s="1167">
        <f>DR346+DR341</f>
        <v>30599</v>
      </c>
      <c r="DS347" s="1167">
        <f>DS346+DS341</f>
        <v>30605</v>
      </c>
      <c r="DT347" s="1167">
        <f>DT346+DT341</f>
        <v>31365</v>
      </c>
      <c r="DU347" s="1285">
        <f t="shared" si="1055"/>
        <v>32483</v>
      </c>
      <c r="DV347" s="177">
        <f>DV346+DV341</f>
        <v>32483</v>
      </c>
      <c r="DW347" s="1167">
        <f>DW346+DW341</f>
        <v>32700</v>
      </c>
      <c r="DX347" s="1167">
        <f>DX346+DX341</f>
        <v>33040</v>
      </c>
      <c r="DY347" s="1167">
        <f>DY346+DY341</f>
        <v>33206</v>
      </c>
      <c r="DZ347" s="1285">
        <f t="shared" si="1056"/>
        <v>33200</v>
      </c>
      <c r="EA347" s="177">
        <f>EA346+EA341</f>
        <v>33200</v>
      </c>
      <c r="EB347" s="1167">
        <f>EB346+EB341</f>
        <v>32775</v>
      </c>
      <c r="EC347" s="1167">
        <f>EC346+EC341</f>
        <v>33310</v>
      </c>
      <c r="ED347" s="1167">
        <f>ED346+ED341</f>
        <v>33527</v>
      </c>
      <c r="EE347" s="1285">
        <f>EF347</f>
        <v>34139</v>
      </c>
      <c r="EF347" s="177">
        <f>EF346+EF341</f>
        <v>34139</v>
      </c>
      <c r="EG347" s="1167">
        <f>EG346+EG341</f>
        <v>33785</v>
      </c>
      <c r="EH347" s="1167">
        <f>EH346+EH341</f>
        <v>34334</v>
      </c>
      <c r="EI347" s="1167">
        <f>EI346+EI341</f>
        <v>34632</v>
      </c>
      <c r="EJ347" s="1285">
        <f>EK347</f>
        <v>34892</v>
      </c>
      <c r="EK347" s="177">
        <f>EK346+EK341</f>
        <v>34892</v>
      </c>
      <c r="EL347" s="1167">
        <f>EL346+EL341</f>
        <v>35145</v>
      </c>
      <c r="EM347" s="1167">
        <f>EM346+EM341</f>
        <v>34922</v>
      </c>
      <c r="EN347" s="1167">
        <f>EN346+EN341</f>
        <v>35153</v>
      </c>
      <c r="EO347" s="1285">
        <f>EP347</f>
        <v>35711</v>
      </c>
      <c r="EP347" s="177">
        <f>EP346+EP341</f>
        <v>35711</v>
      </c>
      <c r="EQ347" s="167"/>
      <c r="ER347" s="167"/>
      <c r="ES347" s="167"/>
      <c r="ET347" s="167"/>
      <c r="EU347" s="177">
        <f ca="1">EU346+EU341</f>
        <v>36556.041492950535</v>
      </c>
      <c r="EV347" s="167"/>
      <c r="EW347" s="167"/>
      <c r="EX347" s="167"/>
      <c r="EY347" s="167"/>
      <c r="EZ347" s="177">
        <f ca="1">EZ346+EZ341</f>
        <v>37840.950252905612</v>
      </c>
      <c r="FA347" s="167"/>
      <c r="FB347" s="167"/>
      <c r="FC347" s="167"/>
      <c r="FD347" s="167"/>
      <c r="FE347" s="177">
        <f ca="1">FE346+FE341</f>
        <v>39272.764885806879</v>
      </c>
      <c r="FF347" s="823"/>
      <c r="FG347" s="660"/>
      <c r="FH347" s="1086"/>
      <c r="FI347" s="1086"/>
      <c r="FJ347" s="1086"/>
      <c r="FK347" s="1086"/>
      <c r="FL347" s="1858"/>
      <c r="FM347" s="1790"/>
      <c r="FN347" s="1790"/>
      <c r="FO347" s="1790"/>
      <c r="FP347" s="1790"/>
      <c r="FQ347" s="1790"/>
      <c r="FR347" s="609"/>
      <c r="FS347" s="609"/>
      <c r="FT347" s="609"/>
      <c r="FU347" s="609"/>
      <c r="FV347" s="609"/>
      <c r="FW347" s="609"/>
      <c r="FX347" s="609"/>
      <c r="FY347" s="609"/>
      <c r="FZ347" s="609"/>
      <c r="GA347" s="660"/>
      <c r="GB347"/>
      <c r="GC347"/>
      <c r="GD347"/>
      <c r="GE347"/>
      <c r="GF347"/>
      <c r="GG347"/>
      <c r="GH347" s="994"/>
      <c r="GI347" s="994"/>
      <c r="GJ347" s="994"/>
      <c r="GK347" s="994"/>
      <c r="GL347" s="994"/>
      <c r="GM347" s="994"/>
      <c r="GN347" s="994"/>
      <c r="GO347" s="994"/>
      <c r="GP347" s="994"/>
      <c r="GQ347" s="994"/>
      <c r="GR347" s="994"/>
      <c r="GS347" s="994"/>
      <c r="GT347" s="994"/>
      <c r="GU347" s="994"/>
      <c r="GV347" s="994"/>
      <c r="GW347" s="994"/>
      <c r="GX347" s="994"/>
      <c r="GY347" s="994"/>
      <c r="GZ347" s="994"/>
      <c r="HA347" s="994"/>
      <c r="HB347" s="994"/>
      <c r="HC347" s="994"/>
      <c r="HD347" s="994"/>
      <c r="HE347" s="994"/>
      <c r="HF347" s="994"/>
      <c r="HG347" s="994"/>
      <c r="HH347" s="994"/>
      <c r="HI347" s="994"/>
      <c r="HJ347" s="994"/>
      <c r="HK347" s="994"/>
      <c r="HL347" s="994"/>
      <c r="HM347" s="994"/>
      <c r="HN347" s="994"/>
      <c r="HO347" s="994"/>
      <c r="HP347" s="994"/>
      <c r="HQ347" s="994"/>
      <c r="HR347" s="994"/>
      <c r="HS347" s="994"/>
      <c r="HT347" s="994"/>
      <c r="HU347" s="994"/>
      <c r="HV347" s="994"/>
      <c r="HW347" s="994"/>
      <c r="HX347" s="994"/>
      <c r="HY347" s="994"/>
      <c r="HZ347" s="994"/>
      <c r="IA347" s="994"/>
      <c r="IB347" s="994"/>
      <c r="IC347" s="994"/>
      <c r="ID347" s="994"/>
      <c r="IE347" s="994"/>
      <c r="IF347" s="994"/>
      <c r="IG347" s="994"/>
      <c r="IH347" s="994"/>
      <c r="II347" s="994"/>
      <c r="IJ347" s="994"/>
      <c r="IK347" s="994"/>
      <c r="IL347" s="994"/>
      <c r="IM347" s="994"/>
      <c r="IN347" s="994"/>
      <c r="IO347" s="994"/>
      <c r="IP347" s="994"/>
      <c r="IQ347" s="994"/>
      <c r="IR347" s="994"/>
      <c r="IS347" s="994"/>
      <c r="IT347" s="994"/>
      <c r="IU347" s="994"/>
      <c r="IV347" s="994"/>
    </row>
    <row r="348" spans="1:256" s="169" customFormat="1" ht="12.6" customHeight="1" x14ac:dyDescent="0.2">
      <c r="A348" s="354" t="s">
        <v>376</v>
      </c>
      <c r="B348" s="272"/>
      <c r="C348" s="272"/>
      <c r="D348" s="272"/>
      <c r="E348" s="276"/>
      <c r="F348" s="277"/>
      <c r="G348" s="272"/>
      <c r="H348" s="272"/>
      <c r="I348" s="272"/>
      <c r="J348" s="276"/>
      <c r="K348" s="277"/>
      <c r="L348" s="272"/>
      <c r="M348" s="272"/>
      <c r="N348" s="272"/>
      <c r="O348" s="276"/>
      <c r="P348" s="277"/>
      <c r="Q348" s="272"/>
      <c r="R348" s="272"/>
      <c r="S348" s="272"/>
      <c r="T348" s="276"/>
      <c r="U348" s="277"/>
      <c r="V348" s="272"/>
      <c r="W348" s="272"/>
      <c r="X348" s="272"/>
      <c r="Y348" s="276"/>
      <c r="Z348" s="277"/>
      <c r="AA348" s="272"/>
      <c r="AB348" s="272"/>
      <c r="AC348" s="272"/>
      <c r="AD348" s="276"/>
      <c r="AE348" s="277"/>
      <c r="AF348" s="272"/>
      <c r="AG348" s="272"/>
      <c r="AH348" s="272"/>
      <c r="AI348" s="276"/>
      <c r="AJ348" s="277"/>
      <c r="AK348" s="272"/>
      <c r="AL348" s="272"/>
      <c r="AM348" s="272"/>
      <c r="AN348" s="276"/>
      <c r="AO348" s="277"/>
      <c r="AP348" s="272"/>
      <c r="AQ348" s="272"/>
      <c r="AR348" s="272"/>
      <c r="AS348" s="276"/>
      <c r="AT348" s="277" t="str">
        <f>IF(ROUND(AT347,0)=ROUND(AT330,0),"","ERROR")</f>
        <v/>
      </c>
      <c r="AU348" s="272"/>
      <c r="AV348" s="272"/>
      <c r="AW348" s="272"/>
      <c r="AX348" s="276"/>
      <c r="AY348" s="277" t="str">
        <f>IF(ROUND(AY347,0)=ROUND(AY330,0),"","ERROR")</f>
        <v/>
      </c>
      <c r="AZ348" s="272"/>
      <c r="BA348" s="272"/>
      <c r="BB348" s="272"/>
      <c r="BC348" s="276"/>
      <c r="BD348" s="277" t="str">
        <f>IF(ROUND(BD347,0)=ROUND(BD330,0),"","ERROR")</f>
        <v/>
      </c>
      <c r="BE348" s="272"/>
      <c r="BF348" s="272"/>
      <c r="BG348" s="272"/>
      <c r="BH348" s="276"/>
      <c r="BI348" s="277" t="str">
        <f>IF(ROUND(BI347,0)=ROUND(BI330,0),"","ERROR")</f>
        <v/>
      </c>
      <c r="BJ348" s="272"/>
      <c r="BK348" s="272"/>
      <c r="BL348" s="272"/>
      <c r="BM348" s="276"/>
      <c r="BN348" s="277" t="str">
        <f>IF(ROUND(BN347,0)=ROUND(BN330,0),"","ERROR")</f>
        <v/>
      </c>
      <c r="BO348" s="272"/>
      <c r="BP348" s="272"/>
      <c r="BQ348" s="272"/>
      <c r="BR348" s="276"/>
      <c r="BS348" s="277" t="str">
        <f>IF(ROUND(BS347,0)=ROUND(BS330,0),"","ERROR")</f>
        <v/>
      </c>
      <c r="BT348" s="272"/>
      <c r="BU348" s="272"/>
      <c r="BV348" s="272"/>
      <c r="BW348" s="276"/>
      <c r="BX348" s="277" t="str">
        <f>IF(ROUND(BX347,0)=ROUND(BX330,0),"","ERROR")</f>
        <v/>
      </c>
      <c r="BY348" s="272"/>
      <c r="BZ348" s="272"/>
      <c r="CA348" s="272"/>
      <c r="CB348" s="276"/>
      <c r="CC348" s="277" t="str">
        <f>IF(ROUND(CC347,0)=ROUND(CC330,0),"","ERROR")</f>
        <v/>
      </c>
      <c r="CD348" s="272"/>
      <c r="CE348" s="272"/>
      <c r="CF348" s="272"/>
      <c r="CG348" s="276"/>
      <c r="CH348" s="277" t="str">
        <f>IF(ROUND(CH347,0)=ROUND(CH330,0),"","ERROR")</f>
        <v/>
      </c>
      <c r="CI348" s="272"/>
      <c r="CJ348" s="272"/>
      <c r="CK348" s="272"/>
      <c r="CL348" s="276"/>
      <c r="CM348" s="277" t="str">
        <f>IF(ROUND(CM347,0)=ROUND(CM330,0),"","ERROR")</f>
        <v/>
      </c>
      <c r="CN348" s="272"/>
      <c r="CO348" s="272"/>
      <c r="CP348" s="272"/>
      <c r="CQ348" s="276"/>
      <c r="CR348" s="277" t="str">
        <f>IF(ROUND(CR347,0)=ROUND(CR330,0),"","ERROR")</f>
        <v/>
      </c>
      <c r="CS348" s="272"/>
      <c r="CT348" s="272"/>
      <c r="CU348" s="272"/>
      <c r="CV348" s="276"/>
      <c r="CW348" s="277" t="str">
        <f>IF(ROUND(CW347,0)=ROUND(CW330,0),"","ERROR")</f>
        <v/>
      </c>
      <c r="CX348" s="272"/>
      <c r="CY348" s="272"/>
      <c r="CZ348" s="272"/>
      <c r="DA348" s="272"/>
      <c r="DB348" s="277" t="str">
        <f>IF(ROUND(DB347,0)=ROUND(DB330,0),"","ERROR")</f>
        <v/>
      </c>
      <c r="DC348" s="272"/>
      <c r="DD348" s="272"/>
      <c r="DE348" s="272"/>
      <c r="DF348" s="272"/>
      <c r="DG348" s="277" t="str">
        <f>IF(ROUND(DG347,0)=ROUND(DG330,0),"","ERROR")</f>
        <v/>
      </c>
      <c r="DH348" s="272"/>
      <c r="DI348" s="272"/>
      <c r="DJ348" s="272"/>
      <c r="DK348" s="272"/>
      <c r="DL348" s="277" t="str">
        <f>IF(ROUND(DL347,0)=ROUND(DL330,0),"","ERROR")</f>
        <v/>
      </c>
      <c r="DM348" s="272"/>
      <c r="DN348" s="272"/>
      <c r="DO348" s="272"/>
      <c r="DP348" s="272"/>
      <c r="DQ348" s="277" t="str">
        <f>IF(ROUND(DQ347,0)=ROUND(DQ330,0),"","ERROR")</f>
        <v/>
      </c>
      <c r="DR348" s="272"/>
      <c r="DS348" s="272"/>
      <c r="DT348" s="355"/>
      <c r="DU348" s="272"/>
      <c r="DV348" s="277" t="str">
        <f>IF(ROUND(DV347,0)=ROUND(DV330,0),"","ERROR")</f>
        <v/>
      </c>
      <c r="DW348" s="272"/>
      <c r="DX348" s="355"/>
      <c r="DY348" s="355"/>
      <c r="DZ348" s="355"/>
      <c r="EA348" s="277" t="str">
        <f>IF(ROUND(EA347,0)=ROUND(EA330,0),"","ERROR")</f>
        <v/>
      </c>
      <c r="EB348" s="272"/>
      <c r="EC348" s="355"/>
      <c r="ED348" s="288"/>
      <c r="EE348" s="288"/>
      <c r="EF348" s="277" t="str">
        <f>IF(ROUND(EF347,0)=ROUND(EF330,0),"","ERROR")</f>
        <v/>
      </c>
      <c r="EG348" s="288"/>
      <c r="EH348" s="288"/>
      <c r="EI348" s="288"/>
      <c r="EJ348" s="288"/>
      <c r="EK348" s="277" t="str">
        <f>IF(ROUND(EK347,0)=ROUND(EK330,0),"","ERROR")</f>
        <v/>
      </c>
      <c r="EL348" s="288"/>
      <c r="EM348" s="288"/>
      <c r="EN348" s="288"/>
      <c r="EO348" s="288"/>
      <c r="EP348" s="277" t="str">
        <f>IF(ROUND(EP347,0)=ROUND(EP330,0),"","ERROR")</f>
        <v/>
      </c>
      <c r="EQ348" s="288"/>
      <c r="ER348" s="288"/>
      <c r="ES348" s="288"/>
      <c r="ET348" s="288"/>
      <c r="EU348" s="895" t="str">
        <f ca="1">IF(ROUND(EU347,0)=ROUND(EU330,0),"","ERROR")</f>
        <v/>
      </c>
      <c r="EV348" s="288"/>
      <c r="EW348" s="288"/>
      <c r="EX348" s="288"/>
      <c r="EY348" s="288"/>
      <c r="EZ348" s="895" t="str">
        <f ca="1">IF(ROUND(EZ347,0)=ROUND(EZ330,0),"","ERROR")</f>
        <v/>
      </c>
      <c r="FA348" s="288"/>
      <c r="FB348" s="288"/>
      <c r="FC348" s="288"/>
      <c r="FD348" s="288"/>
      <c r="FE348" s="895" t="str">
        <f ca="1">IF(ROUND(FE347,0)=ROUND(FE330,0),"","ERROR")</f>
        <v/>
      </c>
      <c r="FF348" s="827"/>
      <c r="FG348" s="660"/>
      <c r="FH348" s="1086"/>
      <c r="FI348" s="1086"/>
      <c r="FJ348" s="1086"/>
      <c r="FK348" s="1086"/>
      <c r="FL348" s="1858"/>
      <c r="FM348" s="1790"/>
      <c r="FN348" s="1790"/>
      <c r="FO348" s="1790"/>
      <c r="FP348" s="1790"/>
      <c r="FQ348" s="1790"/>
      <c r="FR348" s="601"/>
      <c r="FS348" s="601"/>
      <c r="FT348" s="601"/>
      <c r="FU348" s="601"/>
      <c r="FV348" s="601"/>
      <c r="FW348" s="601"/>
      <c r="FX348" s="601"/>
      <c r="FY348" s="601"/>
      <c r="FZ348" s="601"/>
      <c r="GA348" s="660"/>
      <c r="GB348"/>
      <c r="GC348"/>
      <c r="GD348"/>
      <c r="GE348"/>
      <c r="GF348"/>
      <c r="GG348"/>
      <c r="GH348" s="991"/>
      <c r="GI348" s="991"/>
      <c r="GJ348" s="991"/>
      <c r="GK348" s="991"/>
      <c r="GL348" s="991"/>
      <c r="GM348" s="991"/>
      <c r="GN348" s="991"/>
      <c r="GO348" s="991"/>
      <c r="GP348" s="991"/>
      <c r="GQ348" s="991"/>
      <c r="GR348" s="991"/>
      <c r="GS348" s="991"/>
      <c r="GT348" s="991"/>
      <c r="GU348" s="991"/>
      <c r="GV348" s="991"/>
      <c r="GW348" s="991"/>
      <c r="GX348" s="991"/>
      <c r="GY348" s="991"/>
      <c r="GZ348" s="991"/>
      <c r="HA348" s="991"/>
      <c r="HB348" s="991"/>
      <c r="HC348" s="991"/>
      <c r="HD348" s="991"/>
      <c r="HE348" s="991"/>
      <c r="HF348" s="991"/>
      <c r="HG348" s="991"/>
      <c r="HH348" s="991"/>
      <c r="HI348" s="991"/>
      <c r="HJ348" s="991"/>
      <c r="HK348" s="991"/>
      <c r="HL348" s="991"/>
      <c r="HM348" s="991"/>
      <c r="HN348" s="991"/>
      <c r="HO348" s="991"/>
      <c r="HP348" s="991"/>
      <c r="HQ348" s="991"/>
      <c r="HR348" s="991"/>
      <c r="HS348" s="991"/>
      <c r="HT348" s="991"/>
      <c r="HU348" s="991"/>
      <c r="HV348" s="991"/>
      <c r="HW348" s="991"/>
      <c r="HX348" s="991"/>
      <c r="HY348" s="991"/>
      <c r="HZ348" s="991"/>
      <c r="IA348" s="991"/>
      <c r="IB348" s="991"/>
      <c r="IC348" s="991"/>
      <c r="ID348" s="991"/>
      <c r="IE348" s="991"/>
      <c r="IF348" s="991"/>
      <c r="IG348" s="991"/>
      <c r="IH348" s="991"/>
      <c r="II348" s="991"/>
      <c r="IJ348" s="991"/>
      <c r="IK348" s="991"/>
      <c r="IL348" s="991"/>
      <c r="IM348" s="991"/>
      <c r="IN348" s="991"/>
      <c r="IO348" s="991"/>
      <c r="IP348" s="991"/>
      <c r="IQ348" s="991"/>
      <c r="IR348" s="991"/>
      <c r="IS348" s="991"/>
      <c r="IT348" s="991"/>
      <c r="IU348" s="991"/>
      <c r="IV348" s="991"/>
    </row>
    <row r="349" spans="1:256" s="56" customFormat="1" ht="12.75" x14ac:dyDescent="0.2">
      <c r="A349" s="183"/>
      <c r="B349" s="22"/>
      <c r="C349" s="184"/>
      <c r="D349" s="22"/>
      <c r="E349" s="197"/>
      <c r="F349" s="21"/>
      <c r="G349" s="22"/>
      <c r="H349" s="184"/>
      <c r="I349" s="22"/>
      <c r="J349" s="197"/>
      <c r="K349" s="21"/>
      <c r="L349" s="22"/>
      <c r="M349" s="184"/>
      <c r="N349" s="22"/>
      <c r="O349" s="197"/>
      <c r="P349" s="21"/>
      <c r="Q349" s="22"/>
      <c r="R349" s="184"/>
      <c r="S349" s="22"/>
      <c r="T349" s="197"/>
      <c r="U349" s="21"/>
      <c r="V349" s="22"/>
      <c r="W349" s="184"/>
      <c r="X349" s="22"/>
      <c r="Y349" s="197"/>
      <c r="Z349" s="21"/>
      <c r="AA349" s="22"/>
      <c r="AB349" s="184"/>
      <c r="AC349" s="22"/>
      <c r="AD349" s="197"/>
      <c r="AE349" s="21"/>
      <c r="AF349" s="22"/>
      <c r="AG349" s="184"/>
      <c r="AH349" s="22"/>
      <c r="AI349" s="197"/>
      <c r="AJ349" s="21"/>
      <c r="AK349" s="22"/>
      <c r="AL349" s="184"/>
      <c r="AM349" s="22"/>
      <c r="AN349" s="197"/>
      <c r="AO349" s="21"/>
      <c r="AP349" s="22"/>
      <c r="AQ349" s="184"/>
      <c r="AR349" s="22"/>
      <c r="AS349" s="197"/>
      <c r="AT349" s="21"/>
      <c r="AU349" s="22"/>
      <c r="AV349" s="184"/>
      <c r="AW349" s="22"/>
      <c r="AX349" s="197"/>
      <c r="AY349" s="21"/>
      <c r="AZ349" s="22"/>
      <c r="BA349" s="184"/>
      <c r="BB349" s="22"/>
      <c r="BC349" s="197"/>
      <c r="BD349" s="21"/>
      <c r="BE349" s="22"/>
      <c r="BF349" s="184"/>
      <c r="BG349" s="22"/>
      <c r="BH349" s="197"/>
      <c r="BI349" s="21"/>
      <c r="BJ349" s="22"/>
      <c r="BK349" s="184"/>
      <c r="BL349" s="22"/>
      <c r="BM349" s="197"/>
      <c r="BN349" s="21"/>
      <c r="BO349" s="22"/>
      <c r="BP349" s="184"/>
      <c r="BQ349" s="22"/>
      <c r="BR349" s="197"/>
      <c r="BS349" s="21"/>
      <c r="BT349" s="22"/>
      <c r="BU349" s="184"/>
      <c r="BV349" s="22"/>
      <c r="BW349" s="197"/>
      <c r="BX349" s="21"/>
      <c r="BY349" s="22"/>
      <c r="BZ349" s="184"/>
      <c r="CA349" s="22"/>
      <c r="CB349" s="197"/>
      <c r="CC349" s="21"/>
      <c r="CD349" s="22"/>
      <c r="CE349" s="184"/>
      <c r="CF349" s="22"/>
      <c r="CG349" s="197"/>
      <c r="CH349" s="21"/>
      <c r="CI349" s="22"/>
      <c r="CJ349" s="184"/>
      <c r="CK349" s="22"/>
      <c r="CL349" s="197"/>
      <c r="CM349" s="21"/>
      <c r="CN349" s="22"/>
      <c r="CO349" s="184"/>
      <c r="CP349" s="22"/>
      <c r="CQ349" s="197"/>
      <c r="CR349" s="21"/>
      <c r="CS349" s="22"/>
      <c r="CT349" s="184"/>
      <c r="CU349" s="22"/>
      <c r="CV349" s="197"/>
      <c r="CW349" s="21"/>
      <c r="CX349" s="22"/>
      <c r="CY349" s="184"/>
      <c r="CZ349" s="184"/>
      <c r="DA349" s="22"/>
      <c r="DB349" s="21"/>
      <c r="DC349" s="22"/>
      <c r="DD349" s="184"/>
      <c r="DE349" s="184"/>
      <c r="DF349" s="22"/>
      <c r="DG349" s="21"/>
      <c r="DH349" s="22"/>
      <c r="DI349" s="184"/>
      <c r="DJ349" s="184"/>
      <c r="DK349" s="22"/>
      <c r="DL349" s="21"/>
      <c r="DM349" s="22"/>
      <c r="DN349" s="184"/>
      <c r="DO349" s="184"/>
      <c r="DP349" s="22"/>
      <c r="DQ349" s="21"/>
      <c r="DR349" s="22"/>
      <c r="DS349" s="184"/>
      <c r="DT349" s="22"/>
      <c r="DU349" s="22"/>
      <c r="DV349" s="21"/>
      <c r="DW349" s="22"/>
      <c r="DX349" s="22"/>
      <c r="DY349" s="22"/>
      <c r="DZ349" s="22"/>
      <c r="EA349" s="21"/>
      <c r="EB349" s="22"/>
      <c r="EC349" s="22"/>
      <c r="ED349" s="68"/>
      <c r="EE349" s="68"/>
      <c r="EF349" s="21"/>
      <c r="EG349" s="68"/>
      <c r="EH349" s="68"/>
      <c r="EI349" s="68"/>
      <c r="EJ349" s="68"/>
      <c r="EK349" s="21"/>
      <c r="EL349" s="68"/>
      <c r="EM349" s="68"/>
      <c r="EN349" s="68"/>
      <c r="EO349" s="68"/>
      <c r="EP349" s="21"/>
      <c r="EQ349" s="68"/>
      <c r="ER349" s="68"/>
      <c r="ES349" s="68"/>
      <c r="ET349" s="68"/>
      <c r="EU349" s="844"/>
      <c r="EV349" s="68"/>
      <c r="EW349" s="68"/>
      <c r="EX349" s="68"/>
      <c r="EY349" s="68"/>
      <c r="EZ349" s="844"/>
      <c r="FA349" s="68"/>
      <c r="FB349" s="68"/>
      <c r="FC349" s="68"/>
      <c r="FD349" s="68"/>
      <c r="FE349" s="844"/>
      <c r="FF349" s="828"/>
      <c r="FG349" s="660"/>
      <c r="FH349" s="1086"/>
      <c r="FI349" s="1086"/>
      <c r="FJ349" s="1086"/>
      <c r="FK349" s="1086"/>
      <c r="FL349" s="1858"/>
      <c r="FM349" s="1790"/>
      <c r="FN349" s="1790"/>
      <c r="FO349" s="1790"/>
      <c r="FP349" s="1790"/>
      <c r="FQ349" s="1790"/>
      <c r="FR349" s="613"/>
      <c r="FS349" s="613"/>
      <c r="FT349" s="613"/>
      <c r="FU349" s="613"/>
      <c r="FV349" s="613"/>
      <c r="FW349" s="613"/>
      <c r="FX349" s="613"/>
      <c r="FY349" s="613"/>
      <c r="FZ349" s="613"/>
      <c r="GA349" s="660"/>
      <c r="GB349"/>
      <c r="GC349"/>
      <c r="GD349"/>
      <c r="GE349"/>
      <c r="GF349"/>
      <c r="GG349"/>
      <c r="GH349" s="964"/>
      <c r="GI349" s="964"/>
      <c r="GJ349" s="964"/>
      <c r="GK349" s="964"/>
      <c r="GL349" s="964"/>
      <c r="GM349" s="964"/>
      <c r="GN349" s="964"/>
      <c r="GO349" s="964"/>
      <c r="GP349" s="964"/>
      <c r="GQ349" s="964"/>
      <c r="GR349" s="964"/>
      <c r="GS349" s="964"/>
      <c r="GT349" s="964"/>
      <c r="GU349" s="964"/>
      <c r="GV349" s="964"/>
      <c r="GW349" s="964"/>
      <c r="GX349" s="964"/>
      <c r="GY349" s="964"/>
      <c r="GZ349" s="964"/>
      <c r="HA349" s="964"/>
      <c r="HB349" s="964"/>
      <c r="HC349" s="964"/>
      <c r="HD349" s="964"/>
      <c r="HE349" s="964"/>
      <c r="HF349" s="964"/>
      <c r="HG349" s="964"/>
      <c r="HH349" s="964"/>
      <c r="HI349" s="964"/>
      <c r="HJ349" s="964"/>
      <c r="HK349" s="964"/>
      <c r="HL349" s="964"/>
      <c r="HM349" s="964"/>
      <c r="HN349" s="964"/>
      <c r="HO349" s="964"/>
      <c r="HP349" s="964"/>
      <c r="HQ349" s="964"/>
      <c r="HR349" s="964"/>
      <c r="HS349" s="964"/>
      <c r="HT349" s="964"/>
      <c r="HU349" s="964"/>
      <c r="HV349" s="964"/>
      <c r="HW349" s="964"/>
      <c r="HX349" s="964"/>
      <c r="HY349" s="964"/>
      <c r="HZ349" s="964"/>
      <c r="IA349" s="964"/>
      <c r="IB349" s="964"/>
      <c r="IC349" s="964"/>
      <c r="ID349" s="964"/>
      <c r="IE349" s="964"/>
      <c r="IF349" s="964"/>
      <c r="IG349" s="964"/>
      <c r="IH349" s="964"/>
      <c r="II349" s="964"/>
      <c r="IJ349" s="964"/>
      <c r="IK349" s="964"/>
      <c r="IL349" s="964"/>
      <c r="IM349" s="964"/>
      <c r="IN349" s="964"/>
      <c r="IO349" s="964"/>
      <c r="IP349" s="964"/>
      <c r="IQ349" s="964"/>
      <c r="IR349" s="964"/>
      <c r="IS349" s="964"/>
      <c r="IT349" s="964"/>
      <c r="IU349" s="964"/>
      <c r="IV349" s="964"/>
    </row>
    <row r="350" spans="1:256" s="1218" customFormat="1" ht="15.75" x14ac:dyDescent="0.25">
      <c r="A350" s="175" t="s">
        <v>443</v>
      </c>
      <c r="B350" s="1213"/>
      <c r="C350" s="1213"/>
      <c r="D350" s="1213"/>
      <c r="E350" s="1213"/>
      <c r="F350" s="1214"/>
      <c r="G350" s="1215"/>
      <c r="H350" s="1215"/>
      <c r="I350" s="1215"/>
      <c r="J350" s="1215"/>
      <c r="K350" s="1214"/>
      <c r="L350" s="1215"/>
      <c r="M350" s="1215"/>
      <c r="N350" s="1215"/>
      <c r="O350" s="1215"/>
      <c r="P350" s="1214"/>
      <c r="Q350" s="1215"/>
      <c r="R350" s="1215"/>
      <c r="S350" s="1215"/>
      <c r="T350" s="1215"/>
      <c r="U350" s="1214"/>
      <c r="V350" s="1215"/>
      <c r="W350" s="1215"/>
      <c r="X350" s="1215"/>
      <c r="Y350" s="1215"/>
      <c r="Z350" s="1214"/>
      <c r="AA350" s="1215"/>
      <c r="AB350" s="1215"/>
      <c r="AC350" s="1215"/>
      <c r="AD350" s="1215"/>
      <c r="AE350" s="1214"/>
      <c r="AF350" s="1215"/>
      <c r="AG350" s="1215"/>
      <c r="AH350" s="1215"/>
      <c r="AI350" s="1216"/>
      <c r="AJ350" s="1214"/>
      <c r="AK350" s="1216"/>
      <c r="AL350" s="1216"/>
      <c r="AM350" s="1216"/>
      <c r="AN350" s="1216"/>
      <c r="AO350" s="1214"/>
      <c r="AP350" s="1216"/>
      <c r="AQ350" s="1216"/>
      <c r="AR350" s="1216"/>
      <c r="AS350" s="1216"/>
      <c r="AT350" s="1214"/>
      <c r="AU350" s="1216"/>
      <c r="AV350" s="1216"/>
      <c r="AW350" s="1216"/>
      <c r="AX350" s="1216"/>
      <c r="AY350" s="1214"/>
      <c r="AZ350" s="1216"/>
      <c r="BA350" s="1216"/>
      <c r="BB350" s="1216"/>
      <c r="BC350" s="1216"/>
      <c r="BD350" s="1214"/>
      <c r="BE350" s="1216"/>
      <c r="BF350" s="1216"/>
      <c r="BG350" s="1216"/>
      <c r="BH350" s="1216"/>
      <c r="BI350" s="1214"/>
      <c r="BJ350" s="1216"/>
      <c r="BK350" s="1216"/>
      <c r="BL350" s="1216"/>
      <c r="BM350" s="1216"/>
      <c r="BN350" s="1214"/>
      <c r="BO350" s="1216"/>
      <c r="BP350" s="1216"/>
      <c r="BQ350" s="1216"/>
      <c r="BR350" s="1216"/>
      <c r="BS350" s="1214"/>
      <c r="BT350" s="1216"/>
      <c r="BU350" s="1216"/>
      <c r="BV350" s="1216"/>
      <c r="BW350" s="1216"/>
      <c r="BX350" s="1214"/>
      <c r="BY350" s="1216"/>
      <c r="BZ350" s="1216"/>
      <c r="CA350" s="1216"/>
      <c r="CB350" s="1216"/>
      <c r="CC350" s="1214"/>
      <c r="CD350" s="1216"/>
      <c r="CE350" s="1216"/>
      <c r="CF350" s="1216"/>
      <c r="CG350" s="1216"/>
      <c r="CH350" s="1214"/>
      <c r="CI350" s="1216"/>
      <c r="CJ350" s="1216"/>
      <c r="CK350" s="1216"/>
      <c r="CL350" s="1216"/>
      <c r="CM350" s="1214"/>
      <c r="CN350" s="1216"/>
      <c r="CO350" s="1216"/>
      <c r="CP350" s="1216"/>
      <c r="CQ350" s="1216"/>
      <c r="CR350" s="1214"/>
      <c r="CS350" s="1217"/>
      <c r="CT350" s="1217"/>
      <c r="CU350" s="1217"/>
      <c r="CV350" s="1217"/>
      <c r="CW350" s="1214"/>
      <c r="CX350" s="1217"/>
      <c r="CY350" s="1217"/>
      <c r="CZ350" s="1217"/>
      <c r="DA350" s="1217"/>
      <c r="DB350" s="1214"/>
      <c r="DC350" s="1217"/>
      <c r="DD350" s="1217"/>
      <c r="DE350" s="1217"/>
      <c r="DF350" s="1217"/>
      <c r="DG350" s="1214"/>
      <c r="DH350" s="1217"/>
      <c r="DI350" s="1217"/>
      <c r="DJ350" s="1217"/>
      <c r="DK350" s="1217"/>
      <c r="DL350" s="1214"/>
      <c r="DM350" s="1217"/>
      <c r="DN350" s="1217"/>
      <c r="DO350" s="1217"/>
      <c r="DP350" s="1217"/>
      <c r="DQ350" s="1214"/>
      <c r="DR350" s="1217"/>
      <c r="DS350" s="1217"/>
      <c r="DT350" s="1217"/>
      <c r="DU350" s="1217"/>
      <c r="DV350" s="1214"/>
      <c r="DW350" s="1217"/>
      <c r="DX350" s="1217"/>
      <c r="DY350" s="1217"/>
      <c r="DZ350" s="1217"/>
      <c r="EA350" s="1214"/>
      <c r="EB350" s="1217"/>
      <c r="EC350" s="1217"/>
      <c r="ED350" s="1217"/>
      <c r="EE350" s="1217"/>
      <c r="EF350" s="1214"/>
      <c r="EG350" s="1217"/>
      <c r="EH350" s="1217"/>
      <c r="EI350" s="1217"/>
      <c r="EJ350" s="1217"/>
      <c r="EK350" s="1214"/>
      <c r="EL350" s="1217"/>
      <c r="EM350" s="1217"/>
      <c r="EN350" s="1217"/>
      <c r="EO350" s="1217"/>
      <c r="EP350" s="1214"/>
      <c r="EQ350" s="1217"/>
      <c r="ER350" s="1217"/>
      <c r="ES350" s="1217"/>
      <c r="ET350" s="1217"/>
      <c r="EU350" s="1214"/>
      <c r="EV350" s="1006"/>
      <c r="EW350" s="1006"/>
      <c r="EX350" s="1006"/>
      <c r="EY350" s="1006"/>
      <c r="EZ350" s="1214"/>
      <c r="FA350" s="1006"/>
      <c r="FB350" s="1006"/>
      <c r="FC350" s="1006"/>
      <c r="FD350" s="1006"/>
      <c r="FE350" s="1214"/>
      <c r="FF350" s="1230"/>
      <c r="FG350" s="660"/>
      <c r="FH350" s="1258"/>
      <c r="FI350" s="1258"/>
      <c r="FJ350" s="1258"/>
      <c r="FK350" s="1259"/>
      <c r="FL350" s="1859"/>
      <c r="FM350" s="1230"/>
      <c r="FN350" s="1230"/>
      <c r="FO350" s="1230"/>
      <c r="FP350" s="1230"/>
      <c r="FQ350" s="1230"/>
      <c r="FR350" s="232"/>
      <c r="FS350" s="232"/>
      <c r="FT350" s="232"/>
      <c r="FU350" s="232"/>
      <c r="FV350" s="232"/>
      <c r="FW350" s="232"/>
      <c r="FX350" s="232"/>
      <c r="FY350" s="232"/>
      <c r="FZ350" s="232"/>
      <c r="GA350" s="66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row>
    <row r="351" spans="1:256" s="1225" customFormat="1" ht="12.75" x14ac:dyDescent="0.2">
      <c r="A351" s="1219" t="s">
        <v>202</v>
      </c>
      <c r="B351" s="1220"/>
      <c r="C351" s="1220"/>
      <c r="D351" s="1220"/>
      <c r="E351" s="1220"/>
      <c r="F351" s="1221"/>
      <c r="G351" s="1220"/>
      <c r="H351" s="1220"/>
      <c r="I351" s="1220"/>
      <c r="J351" s="1220"/>
      <c r="K351" s="1221"/>
      <c r="L351" s="1220"/>
      <c r="M351" s="1220"/>
      <c r="N351" s="1220"/>
      <c r="O351" s="1220"/>
      <c r="P351" s="1222"/>
      <c r="Q351" s="1220"/>
      <c r="R351" s="1220"/>
      <c r="S351" s="1220"/>
      <c r="T351" s="1220"/>
      <c r="U351" s="1222"/>
      <c r="V351" s="1223"/>
      <c r="W351" s="1223"/>
      <c r="X351" s="1223"/>
      <c r="Y351" s="1223"/>
      <c r="Z351" s="1222"/>
      <c r="AA351" s="1223"/>
      <c r="AB351" s="1223"/>
      <c r="AC351" s="1223"/>
      <c r="AD351" s="1223"/>
      <c r="AE351" s="1222"/>
      <c r="AF351" s="1223"/>
      <c r="AG351" s="1223"/>
      <c r="AH351" s="1223"/>
      <c r="AI351" s="1223"/>
      <c r="AJ351" s="1222"/>
      <c r="AK351" s="1223"/>
      <c r="AL351" s="1223"/>
      <c r="AM351" s="1223"/>
      <c r="AN351" s="1223"/>
      <c r="AO351" s="1222"/>
      <c r="AP351" s="1223"/>
      <c r="AQ351" s="1223"/>
      <c r="AR351" s="1223"/>
      <c r="AS351" s="1223"/>
      <c r="AT351" s="1222"/>
      <c r="AU351" s="1224"/>
      <c r="AV351" s="1224"/>
      <c r="AW351" s="1224"/>
      <c r="AX351" s="1224"/>
      <c r="AY351" s="1222">
        <f>+AY330</f>
        <v>18180.078382340056</v>
      </c>
      <c r="AZ351" s="1224"/>
      <c r="BA351" s="1224"/>
      <c r="BB351" s="1224"/>
      <c r="BC351" s="1224"/>
      <c r="BD351" s="1222">
        <f>+BD330</f>
        <v>19250.08912089837</v>
      </c>
      <c r="BE351" s="1224"/>
      <c r="BF351" s="1224"/>
      <c r="BG351" s="1224"/>
      <c r="BH351" s="1224"/>
      <c r="BI351" s="1222">
        <f>+BI330</f>
        <v>18976.07079071278</v>
      </c>
      <c r="BJ351" s="1224"/>
      <c r="BK351" s="1224"/>
      <c r="BL351" s="1224"/>
      <c r="BM351" s="1224"/>
      <c r="BN351" s="1222">
        <f>+BN330</f>
        <v>19418.059643435983</v>
      </c>
      <c r="BO351" s="1224"/>
      <c r="BP351" s="1224"/>
      <c r="BQ351" s="1224"/>
      <c r="BR351" s="1224"/>
      <c r="BS351" s="1222">
        <f>+BS330</f>
        <v>19956.068899521531</v>
      </c>
      <c r="BT351" s="1224"/>
      <c r="BU351" s="1224"/>
      <c r="BV351" s="1224"/>
      <c r="BW351" s="1224"/>
      <c r="BX351" s="1222">
        <f>+BX330</f>
        <v>20596.068645640073</v>
      </c>
      <c r="BY351" s="1224"/>
      <c r="BZ351" s="1224"/>
      <c r="CA351" s="1224"/>
      <c r="CB351" s="1224"/>
      <c r="CC351" s="1222">
        <f>+CC330</f>
        <v>24750.072620350111</v>
      </c>
      <c r="CD351" s="1224"/>
      <c r="CE351" s="1224"/>
      <c r="CF351" s="1224"/>
      <c r="CG351" s="1224"/>
      <c r="CH351" s="1222">
        <f>+CH330</f>
        <v>25859.054532577902</v>
      </c>
      <c r="CI351" s="1224"/>
      <c r="CJ351" s="1224"/>
      <c r="CK351" s="1224"/>
      <c r="CL351" s="1224"/>
      <c r="CM351" s="1222">
        <f>+CM330</f>
        <v>26028.05208886999</v>
      </c>
      <c r="CN351" s="1224"/>
      <c r="CO351" s="1224"/>
      <c r="CP351" s="1224"/>
      <c r="CQ351" s="1224"/>
      <c r="CR351" s="1222">
        <f>+CR330</f>
        <v>26144.055873621714</v>
      </c>
      <c r="CS351" s="1224"/>
      <c r="CT351" s="1224"/>
      <c r="CU351" s="1224"/>
      <c r="CV351" s="1224"/>
      <c r="CW351" s="1222">
        <f>+CW330</f>
        <v>26297.047931713721</v>
      </c>
      <c r="CX351" s="1224"/>
      <c r="CY351" s="1224"/>
      <c r="CZ351" s="1224"/>
      <c r="DA351" s="1224"/>
      <c r="DB351" s="1222">
        <f>+DB330</f>
        <v>27369.049441586147</v>
      </c>
      <c r="DC351" s="1224"/>
      <c r="DD351" s="1224"/>
      <c r="DE351" s="1224"/>
      <c r="DF351" s="1224"/>
      <c r="DG351" s="1222">
        <f>+DG330</f>
        <v>28199.058218514452</v>
      </c>
      <c r="DH351" s="1224"/>
      <c r="DI351" s="1224"/>
      <c r="DJ351" s="1224"/>
      <c r="DK351" s="1224"/>
      <c r="DL351" s="1222">
        <f>+DL330</f>
        <v>28538</v>
      </c>
      <c r="DM351" s="1224"/>
      <c r="DN351" s="1224"/>
      <c r="DO351" s="1224"/>
      <c r="DP351" s="1224"/>
      <c r="DQ351" s="1222">
        <f>+DQ330</f>
        <v>30342</v>
      </c>
      <c r="DR351" s="1224"/>
      <c r="DS351" s="1224"/>
      <c r="DT351" s="1224"/>
      <c r="DU351" s="1224"/>
      <c r="DV351" s="1222">
        <f>+DV330</f>
        <v>32483</v>
      </c>
      <c r="DW351" s="1224"/>
      <c r="DX351" s="1224"/>
      <c r="DY351" s="1224"/>
      <c r="DZ351" s="1224"/>
      <c r="EA351" s="1222">
        <f>+EA330</f>
        <v>33200</v>
      </c>
      <c r="EB351" s="1224"/>
      <c r="EC351" s="1224"/>
      <c r="ED351" s="1224"/>
      <c r="EE351" s="1224"/>
      <c r="EF351" s="1222">
        <f>+EF330</f>
        <v>34139</v>
      </c>
      <c r="EG351" s="1224"/>
      <c r="EH351" s="1224"/>
      <c r="EI351" s="1224"/>
      <c r="EJ351" s="1224"/>
      <c r="EK351" s="1222">
        <f>+EK330</f>
        <v>34892</v>
      </c>
      <c r="EL351" s="1224"/>
      <c r="EM351" s="1224"/>
      <c r="EN351" s="1224"/>
      <c r="EO351" s="1224"/>
      <c r="EP351" s="1222">
        <f>+EP330</f>
        <v>35711</v>
      </c>
      <c r="EQ351" s="1224"/>
      <c r="ER351" s="1224"/>
      <c r="ES351" s="1224"/>
      <c r="ET351" s="1224"/>
      <c r="EU351" s="1222">
        <f ca="1">+EU330</f>
        <v>36556.041492950535</v>
      </c>
      <c r="EV351" s="1006"/>
      <c r="EW351" s="1006"/>
      <c r="EX351" s="1006"/>
      <c r="EY351" s="1006"/>
      <c r="EZ351" s="1222">
        <f ca="1">+EZ330</f>
        <v>37840.950252905619</v>
      </c>
      <c r="FA351" s="1006"/>
      <c r="FB351" s="1006"/>
      <c r="FC351" s="1006"/>
      <c r="FD351" s="1006"/>
      <c r="FE351" s="1222">
        <f ca="1">+FE330</f>
        <v>39272.764885806871</v>
      </c>
      <c r="FF351" s="1230"/>
      <c r="FG351" s="660"/>
      <c r="FH351" s="1258"/>
      <c r="FI351" s="1258"/>
      <c r="FJ351" s="1258"/>
      <c r="FK351" s="1259"/>
      <c r="FL351" s="1859"/>
      <c r="FM351" s="1230"/>
      <c r="FN351" s="1230"/>
      <c r="FO351" s="1230"/>
      <c r="FP351" s="1230"/>
      <c r="FQ351" s="1230"/>
      <c r="FR351" s="232"/>
      <c r="FS351" s="232"/>
      <c r="FT351" s="232"/>
      <c r="FU351" s="232"/>
      <c r="FV351" s="232"/>
      <c r="FW351" s="232"/>
      <c r="FX351" s="232"/>
      <c r="FY351" s="232"/>
      <c r="FZ351" s="232"/>
      <c r="GA351" s="660"/>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row>
    <row r="352" spans="1:256" s="1225" customFormat="1" ht="12.75" x14ac:dyDescent="0.2">
      <c r="A352" s="1219" t="s">
        <v>45</v>
      </c>
      <c r="B352" s="1220"/>
      <c r="C352" s="1220"/>
      <c r="D352" s="1220"/>
      <c r="E352" s="1220"/>
      <c r="F352" s="1221"/>
      <c r="G352" s="1220"/>
      <c r="H352" s="1220"/>
      <c r="I352" s="1220"/>
      <c r="J352" s="1220"/>
      <c r="K352" s="1221"/>
      <c r="L352" s="1220"/>
      <c r="M352" s="1220"/>
      <c r="N352" s="1220"/>
      <c r="O352" s="1220"/>
      <c r="P352" s="1222"/>
      <c r="Q352" s="1220"/>
      <c r="R352" s="1220"/>
      <c r="S352" s="1220"/>
      <c r="T352" s="1220"/>
      <c r="U352" s="1222"/>
      <c r="V352" s="1223"/>
      <c r="W352" s="1223"/>
      <c r="X352" s="1223"/>
      <c r="Y352" s="1223"/>
      <c r="Z352" s="1222"/>
      <c r="AA352" s="1223"/>
      <c r="AB352" s="1223"/>
      <c r="AC352" s="1223"/>
      <c r="AD352" s="1223"/>
      <c r="AE352" s="1222"/>
      <c r="AF352" s="1223"/>
      <c r="AG352" s="1223"/>
      <c r="AH352" s="1223"/>
      <c r="AI352" s="1223"/>
      <c r="AJ352" s="1222"/>
      <c r="AK352" s="1223"/>
      <c r="AL352" s="1223"/>
      <c r="AM352" s="1223"/>
      <c r="AN352" s="1223"/>
      <c r="AO352" s="1222"/>
      <c r="AP352" s="1223"/>
      <c r="AQ352" s="1223"/>
      <c r="AR352" s="1223"/>
      <c r="AS352" s="1223"/>
      <c r="AT352" s="1222"/>
      <c r="AU352" s="1224"/>
      <c r="AV352" s="1224"/>
      <c r="AW352" s="1224"/>
      <c r="AX352" s="1224"/>
      <c r="AY352" s="1222">
        <f>+AY332+AY338</f>
        <v>7624</v>
      </c>
      <c r="AZ352" s="1224"/>
      <c r="BA352" s="1224"/>
      <c r="BB352" s="1224"/>
      <c r="BC352" s="1224"/>
      <c r="BD352" s="1222">
        <f>+BD332+BD338</f>
        <v>8059</v>
      </c>
      <c r="BE352" s="1224"/>
      <c r="BF352" s="1224"/>
      <c r="BG352" s="1224"/>
      <c r="BH352" s="1224"/>
      <c r="BI352" s="1222">
        <f>+BI332+BI338</f>
        <v>7636</v>
      </c>
      <c r="BJ352" s="1224"/>
      <c r="BK352" s="1224"/>
      <c r="BL352" s="1224"/>
      <c r="BM352" s="1224"/>
      <c r="BN352" s="1222">
        <f>+BN332+BN338</f>
        <v>7632</v>
      </c>
      <c r="BO352" s="1224"/>
      <c r="BP352" s="1224"/>
      <c r="BQ352" s="1224"/>
      <c r="BR352" s="1224"/>
      <c r="BS352" s="1222">
        <f>+BS332+BS338</f>
        <v>7364</v>
      </c>
      <c r="BT352" s="1224"/>
      <c r="BU352" s="1224"/>
      <c r="BV352" s="1224"/>
      <c r="BW352" s="1224"/>
      <c r="BX352" s="1222">
        <f>+BX332+BX338</f>
        <v>7160</v>
      </c>
      <c r="BY352" s="1224"/>
      <c r="BZ352" s="1224"/>
      <c r="CA352" s="1224"/>
      <c r="CB352" s="1224"/>
      <c r="CC352" s="1222">
        <f>+CC332+CC338</f>
        <v>7525</v>
      </c>
      <c r="CD352" s="1224"/>
      <c r="CE352" s="1224"/>
      <c r="CF352" s="1224"/>
      <c r="CG352" s="1224"/>
      <c r="CH352" s="1222">
        <f>+CH332+CH338</f>
        <v>6930</v>
      </c>
      <c r="CI352" s="1224"/>
      <c r="CJ352" s="1224"/>
      <c r="CK352" s="1224"/>
      <c r="CL352" s="1224"/>
      <c r="CM352" s="1222">
        <f>+CM332+CM338</f>
        <v>6600</v>
      </c>
      <c r="CN352" s="1224"/>
      <c r="CO352" s="1224"/>
      <c r="CP352" s="1224"/>
      <c r="CQ352" s="1224"/>
      <c r="CR352" s="1222">
        <f>+CR332+CR338</f>
        <v>6368</v>
      </c>
      <c r="CS352" s="1224"/>
      <c r="CT352" s="1224"/>
      <c r="CU352" s="1224"/>
      <c r="CV352" s="1224"/>
      <c r="CW352" s="1222">
        <f>+CW332+CW338</f>
        <v>6667</v>
      </c>
      <c r="CX352" s="1224"/>
      <c r="CY352" s="1224"/>
      <c r="CZ352" s="1224"/>
      <c r="DA352" s="1224"/>
      <c r="DB352" s="1222">
        <f>+DB332+DB338</f>
        <v>7153</v>
      </c>
      <c r="DC352" s="1224"/>
      <c r="DD352" s="1224"/>
      <c r="DE352" s="1224"/>
      <c r="DF352" s="1224"/>
      <c r="DG352" s="1222">
        <f>+DG332+DG338</f>
        <v>7025</v>
      </c>
      <c r="DH352" s="1224"/>
      <c r="DI352" s="1224"/>
      <c r="DJ352" s="1224"/>
      <c r="DK352" s="1224"/>
      <c r="DL352" s="1222">
        <f>+DL332+DL338</f>
        <v>7490</v>
      </c>
      <c r="DM352" s="1224"/>
      <c r="DN352" s="1224"/>
      <c r="DO352" s="1224"/>
      <c r="DP352" s="1224"/>
      <c r="DQ352" s="1222">
        <f>+DQ332+DQ338</f>
        <v>8682</v>
      </c>
      <c r="DR352" s="1224"/>
      <c r="DS352" s="1224"/>
      <c r="DT352" s="1224"/>
      <c r="DU352" s="1224"/>
      <c r="DV352" s="1222">
        <f>+DV332+DV338</f>
        <v>9003</v>
      </c>
      <c r="DW352" s="1224"/>
      <c r="DX352" s="1224"/>
      <c r="DY352" s="1224"/>
      <c r="DZ352" s="1224"/>
      <c r="EA352" s="1222">
        <f>+EA332+EA338</f>
        <v>8983</v>
      </c>
      <c r="EB352" s="1224"/>
      <c r="EC352" s="1224"/>
      <c r="ED352" s="1224"/>
      <c r="EE352" s="1224"/>
      <c r="EF352" s="1222">
        <f>+EF332+EF338</f>
        <v>9593</v>
      </c>
      <c r="EG352" s="1224"/>
      <c r="EH352" s="1224"/>
      <c r="EI352" s="1224"/>
      <c r="EJ352" s="1224"/>
      <c r="EK352" s="1222">
        <f>+EK332+EK338</f>
        <v>9662</v>
      </c>
      <c r="EL352" s="1224"/>
      <c r="EM352" s="1224"/>
      <c r="EN352" s="1224"/>
      <c r="EO352" s="1224"/>
      <c r="EP352" s="1222">
        <f>+EP332+EP338</f>
        <v>9236</v>
      </c>
      <c r="EQ352" s="1224"/>
      <c r="ER352" s="1224"/>
      <c r="ES352" s="1224"/>
      <c r="ET352" s="1224"/>
      <c r="EU352" s="1222">
        <f>+EU332+EU338</f>
        <v>9736</v>
      </c>
      <c r="EV352" s="1006"/>
      <c r="EW352" s="1006"/>
      <c r="EX352" s="1006"/>
      <c r="EY352" s="1006"/>
      <c r="EZ352" s="1222">
        <f>+EZ332+EZ338</f>
        <v>10086</v>
      </c>
      <c r="FA352" s="1006"/>
      <c r="FB352" s="1006"/>
      <c r="FC352" s="1006"/>
      <c r="FD352" s="1006"/>
      <c r="FE352" s="1222">
        <f>+FE332+FE338</f>
        <v>10486</v>
      </c>
      <c r="FF352" s="1230"/>
      <c r="FG352" s="660"/>
      <c r="FH352" s="1258">
        <f ca="1">+EU352/EU354</f>
        <v>0.37164057799444949</v>
      </c>
      <c r="FI352" s="1258"/>
      <c r="FJ352" s="1258"/>
      <c r="FK352" s="1259"/>
      <c r="FL352" s="1859"/>
      <c r="FM352" s="1230"/>
      <c r="FN352" s="1230"/>
      <c r="FO352" s="1230"/>
      <c r="FP352" s="1230"/>
      <c r="FQ352" s="1230"/>
      <c r="FR352" s="232"/>
      <c r="FS352" s="232"/>
      <c r="FT352" s="232"/>
      <c r="FU352" s="232"/>
      <c r="FV352" s="232"/>
      <c r="FW352" s="232"/>
      <c r="FX352" s="232"/>
      <c r="FY352" s="232"/>
      <c r="FZ352" s="232"/>
      <c r="GA352" s="660"/>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row>
    <row r="353" spans="1:256" s="1225" customFormat="1" ht="12.75" x14ac:dyDescent="0.2">
      <c r="A353" s="1219" t="s">
        <v>444</v>
      </c>
      <c r="B353" s="1220"/>
      <c r="C353" s="1220"/>
      <c r="D353" s="1220"/>
      <c r="E353" s="1220"/>
      <c r="F353" s="1221"/>
      <c r="G353" s="1220"/>
      <c r="H353" s="1220"/>
      <c r="I353" s="1220"/>
      <c r="J353" s="1220"/>
      <c r="K353" s="1221"/>
      <c r="L353" s="1220"/>
      <c r="M353" s="1220"/>
      <c r="N353" s="1220"/>
      <c r="O353" s="1220"/>
      <c r="P353" s="1222"/>
      <c r="Q353" s="1220"/>
      <c r="R353" s="1220"/>
      <c r="S353" s="1220"/>
      <c r="T353" s="1220"/>
      <c r="U353" s="1222"/>
      <c r="V353" s="1223"/>
      <c r="W353" s="1223"/>
      <c r="X353" s="1223"/>
      <c r="Y353" s="1223"/>
      <c r="Z353" s="1222"/>
      <c r="AA353" s="1223"/>
      <c r="AB353" s="1223"/>
      <c r="AC353" s="1223"/>
      <c r="AD353" s="1223"/>
      <c r="AE353" s="1222"/>
      <c r="AF353" s="1223"/>
      <c r="AG353" s="1223"/>
      <c r="AH353" s="1223"/>
      <c r="AI353" s="1223"/>
      <c r="AJ353" s="1222"/>
      <c r="AK353" s="1223"/>
      <c r="AL353" s="1223"/>
      <c r="AM353" s="1223"/>
      <c r="AN353" s="1223"/>
      <c r="AO353" s="1222"/>
      <c r="AP353" s="1223"/>
      <c r="AQ353" s="1223"/>
      <c r="AR353" s="1223"/>
      <c r="AS353" s="1223"/>
      <c r="AT353" s="1222"/>
      <c r="AU353" s="1224"/>
      <c r="AV353" s="1224"/>
      <c r="AW353" s="1224"/>
      <c r="AX353" s="1224"/>
      <c r="AY353" s="1222">
        <f>+AY346</f>
        <v>5921</v>
      </c>
      <c r="AZ353" s="1224"/>
      <c r="BA353" s="1224"/>
      <c r="BB353" s="1224"/>
      <c r="BC353" s="1224"/>
      <c r="BD353" s="1222">
        <f>+BD346</f>
        <v>5932</v>
      </c>
      <c r="BE353" s="1224"/>
      <c r="BF353" s="1224"/>
      <c r="BG353" s="1224"/>
      <c r="BH353" s="1224"/>
      <c r="BI353" s="1222">
        <f>+BI346</f>
        <v>5824</v>
      </c>
      <c r="BJ353" s="1224"/>
      <c r="BK353" s="1224"/>
      <c r="BL353" s="1224"/>
      <c r="BM353" s="1224"/>
      <c r="BN353" s="1222">
        <f>+BN346</f>
        <v>6090</v>
      </c>
      <c r="BO353" s="1224"/>
      <c r="BP353" s="1224"/>
      <c r="BQ353" s="1224"/>
      <c r="BR353" s="1224"/>
      <c r="BS353" s="1222">
        <f>+BS346</f>
        <v>6500</v>
      </c>
      <c r="BT353" s="1224"/>
      <c r="BU353" s="1224"/>
      <c r="BV353" s="1224"/>
      <c r="BW353" s="1224"/>
      <c r="BX353" s="1222">
        <f>+BX346</f>
        <v>6976</v>
      </c>
      <c r="BY353" s="1224"/>
      <c r="BZ353" s="1224"/>
      <c r="CA353" s="1224"/>
      <c r="CB353" s="1224"/>
      <c r="CC353" s="1222">
        <f>+CC346</f>
        <v>7990</v>
      </c>
      <c r="CD353" s="1224"/>
      <c r="CE353" s="1224"/>
      <c r="CF353" s="1224"/>
      <c r="CG353" s="1224"/>
      <c r="CH353" s="1222">
        <f>+CH346</f>
        <v>9276</v>
      </c>
      <c r="CI353" s="1224"/>
      <c r="CJ353" s="1224"/>
      <c r="CK353" s="1224"/>
      <c r="CL353" s="1224"/>
      <c r="CM353" s="1222">
        <f>+CM346</f>
        <v>9615</v>
      </c>
      <c r="CN353" s="1224"/>
      <c r="CO353" s="1224"/>
      <c r="CP353" s="1224"/>
      <c r="CQ353" s="1224"/>
      <c r="CR353" s="1222">
        <f>+CR346</f>
        <v>9727</v>
      </c>
      <c r="CS353" s="1224"/>
      <c r="CT353" s="1224"/>
      <c r="CU353" s="1224"/>
      <c r="CV353" s="1224"/>
      <c r="CW353" s="1222">
        <f>+CW346</f>
        <v>9607</v>
      </c>
      <c r="CX353" s="1224"/>
      <c r="CY353" s="1224"/>
      <c r="CZ353" s="1224"/>
      <c r="DA353" s="1224"/>
      <c r="DB353" s="1222">
        <f>+DB346</f>
        <v>10353</v>
      </c>
      <c r="DC353" s="1224"/>
      <c r="DD353" s="1224"/>
      <c r="DE353" s="1224"/>
      <c r="DF353" s="1224"/>
      <c r="DG353" s="1222">
        <f>+DG346</f>
        <v>10669</v>
      </c>
      <c r="DH353" s="1224"/>
      <c r="DI353" s="1224"/>
      <c r="DJ353" s="1224"/>
      <c r="DK353" s="1224"/>
      <c r="DL353" s="1222">
        <f>+DL346</f>
        <v>9911</v>
      </c>
      <c r="DM353" s="1224"/>
      <c r="DN353" s="1224"/>
      <c r="DO353" s="1224"/>
      <c r="DP353" s="1224"/>
      <c r="DQ353" s="1222">
        <f>+DQ346</f>
        <v>9760</v>
      </c>
      <c r="DR353" s="1224"/>
      <c r="DS353" s="1224"/>
      <c r="DT353" s="1224"/>
      <c r="DU353" s="1224"/>
      <c r="DV353" s="1222">
        <f>+DV346</f>
        <v>11289</v>
      </c>
      <c r="DW353" s="1224"/>
      <c r="DX353" s="1224"/>
      <c r="DY353" s="1224"/>
      <c r="DZ353" s="1224"/>
      <c r="EA353" s="1222">
        <f>+EA346</f>
        <v>12408</v>
      </c>
      <c r="EB353" s="1224"/>
      <c r="EC353" s="1224"/>
      <c r="ED353" s="1224"/>
      <c r="EE353" s="1224"/>
      <c r="EF353" s="1222">
        <f>+EF346</f>
        <v>12188</v>
      </c>
      <c r="EG353" s="1224"/>
      <c r="EH353" s="1224"/>
      <c r="EI353" s="1224"/>
      <c r="EJ353" s="1224"/>
      <c r="EK353" s="1222">
        <f>+EK346</f>
        <v>12409</v>
      </c>
      <c r="EL353" s="1224"/>
      <c r="EM353" s="1224"/>
      <c r="EN353" s="1224"/>
      <c r="EO353" s="1224"/>
      <c r="EP353" s="1222">
        <f>+EP346</f>
        <v>16359</v>
      </c>
      <c r="EQ353" s="1224"/>
      <c r="ER353" s="1224"/>
      <c r="ES353" s="1224"/>
      <c r="ET353" s="1224"/>
      <c r="EU353" s="1222">
        <f ca="1">+EU346</f>
        <v>16461.354585282686</v>
      </c>
      <c r="EV353" s="1006"/>
      <c r="EW353" s="1006"/>
      <c r="EX353" s="1006"/>
      <c r="EY353" s="1006"/>
      <c r="EZ353" s="1222">
        <f ca="1">+EZ346</f>
        <v>17236.676974266822</v>
      </c>
      <c r="FA353" s="1006"/>
      <c r="FB353" s="1006"/>
      <c r="FC353" s="1006"/>
      <c r="FD353" s="1006"/>
      <c r="FE353" s="1222">
        <f ca="1">+FE346</f>
        <v>18116.757282426996</v>
      </c>
      <c r="FF353" s="1230"/>
      <c r="FG353" s="660"/>
      <c r="FH353" s="1258"/>
      <c r="FI353" s="1258"/>
      <c r="FJ353" s="1258"/>
      <c r="FK353" s="1259"/>
      <c r="FL353" s="1859"/>
      <c r="FM353" s="1230"/>
      <c r="FN353" s="1230"/>
      <c r="FO353" s="1230"/>
      <c r="FP353" s="1230"/>
      <c r="FQ353" s="1230"/>
      <c r="FR353" s="232"/>
      <c r="FS353" s="232"/>
      <c r="FT353" s="232"/>
      <c r="FU353" s="232"/>
      <c r="FV353" s="232"/>
      <c r="FW353" s="232"/>
      <c r="FX353" s="232"/>
      <c r="FY353" s="232"/>
      <c r="FZ353" s="232"/>
      <c r="GA353" s="660"/>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row>
    <row r="354" spans="1:256" s="1225" customFormat="1" ht="12.75" x14ac:dyDescent="0.2">
      <c r="A354" s="1219" t="s">
        <v>445</v>
      </c>
      <c r="B354" s="1220"/>
      <c r="C354" s="1220"/>
      <c r="D354" s="1220"/>
      <c r="E354" s="1220"/>
      <c r="F354" s="1221"/>
      <c r="G354" s="1220"/>
      <c r="H354" s="1220"/>
      <c r="I354" s="1220"/>
      <c r="J354" s="1220"/>
      <c r="K354" s="1221"/>
      <c r="L354" s="1220"/>
      <c r="M354" s="1220"/>
      <c r="N354" s="1220"/>
      <c r="O354" s="1220"/>
      <c r="P354" s="1222"/>
      <c r="Q354" s="1220"/>
      <c r="R354" s="1220"/>
      <c r="S354" s="1220"/>
      <c r="T354" s="1220"/>
      <c r="U354" s="1222"/>
      <c r="V354" s="1223"/>
      <c r="W354" s="1223"/>
      <c r="X354" s="1223"/>
      <c r="Y354" s="1223"/>
      <c r="Z354" s="1222"/>
      <c r="AA354" s="1223"/>
      <c r="AB354" s="1223"/>
      <c r="AC354" s="1223"/>
      <c r="AD354" s="1223"/>
      <c r="AE354" s="1222"/>
      <c r="AF354" s="1223"/>
      <c r="AG354" s="1223"/>
      <c r="AH354" s="1223"/>
      <c r="AI354" s="1223"/>
      <c r="AJ354" s="1222"/>
      <c r="AK354" s="1223"/>
      <c r="AL354" s="1223"/>
      <c r="AM354" s="1223"/>
      <c r="AN354" s="1223"/>
      <c r="AO354" s="1222"/>
      <c r="AP354" s="1223"/>
      <c r="AQ354" s="1223"/>
      <c r="AR354" s="1223"/>
      <c r="AS354" s="1223"/>
      <c r="AT354" s="1222"/>
      <c r="AU354" s="1224"/>
      <c r="AV354" s="1224"/>
      <c r="AW354" s="1224"/>
      <c r="AX354" s="1224"/>
      <c r="AY354" s="1222">
        <f>+AY352+AY353</f>
        <v>13545</v>
      </c>
      <c r="AZ354" s="1224"/>
      <c r="BA354" s="1224"/>
      <c r="BB354" s="1224"/>
      <c r="BC354" s="1224"/>
      <c r="BD354" s="1222">
        <f>+BD352+BD353</f>
        <v>13991</v>
      </c>
      <c r="BE354" s="1224"/>
      <c r="BF354" s="1224"/>
      <c r="BG354" s="1224"/>
      <c r="BH354" s="1224"/>
      <c r="BI354" s="1222">
        <f>+BI352+BI353</f>
        <v>13460</v>
      </c>
      <c r="BJ354" s="1224"/>
      <c r="BK354" s="1224"/>
      <c r="BL354" s="1224"/>
      <c r="BM354" s="1224"/>
      <c r="BN354" s="1222">
        <f>+BN352+BN353</f>
        <v>13722</v>
      </c>
      <c r="BO354" s="1224"/>
      <c r="BP354" s="1224"/>
      <c r="BQ354" s="1224"/>
      <c r="BR354" s="1224"/>
      <c r="BS354" s="1222">
        <f>+BS352+BS353</f>
        <v>13864</v>
      </c>
      <c r="BT354" s="1224"/>
      <c r="BU354" s="1224"/>
      <c r="BV354" s="1224"/>
      <c r="BW354" s="1224"/>
      <c r="BX354" s="1222">
        <f>+BX352+BX353</f>
        <v>14136</v>
      </c>
      <c r="BY354" s="1224"/>
      <c r="BZ354" s="1224"/>
      <c r="CA354" s="1224"/>
      <c r="CB354" s="1224"/>
      <c r="CC354" s="1222">
        <f>+CC352+CC353</f>
        <v>15515</v>
      </c>
      <c r="CD354" s="1224"/>
      <c r="CE354" s="1224"/>
      <c r="CF354" s="1224"/>
      <c r="CG354" s="1224"/>
      <c r="CH354" s="1222">
        <f>+CH352+CH353</f>
        <v>16206</v>
      </c>
      <c r="CI354" s="1224"/>
      <c r="CJ354" s="1224"/>
      <c r="CK354" s="1224"/>
      <c r="CL354" s="1224"/>
      <c r="CM354" s="1222">
        <f>+CM352+CM353</f>
        <v>16215</v>
      </c>
      <c r="CN354" s="1224"/>
      <c r="CO354" s="1224"/>
      <c r="CP354" s="1224"/>
      <c r="CQ354" s="1224"/>
      <c r="CR354" s="1222">
        <f>+CR352+CR353</f>
        <v>16095</v>
      </c>
      <c r="CS354" s="1224"/>
      <c r="CT354" s="1224"/>
      <c r="CU354" s="1224"/>
      <c r="CV354" s="1224"/>
      <c r="CW354" s="1222">
        <f>+CW352+CW353</f>
        <v>16274</v>
      </c>
      <c r="CX354" s="1224"/>
      <c r="CY354" s="1224"/>
      <c r="CZ354" s="1224"/>
      <c r="DA354" s="1224"/>
      <c r="DB354" s="1222">
        <f>+DB352+DB353</f>
        <v>17506</v>
      </c>
      <c r="DC354" s="1224"/>
      <c r="DD354" s="1224"/>
      <c r="DE354" s="1224"/>
      <c r="DF354" s="1224"/>
      <c r="DG354" s="1222">
        <f>+DG352+DG353</f>
        <v>17694</v>
      </c>
      <c r="DH354" s="1224"/>
      <c r="DI354" s="1224"/>
      <c r="DJ354" s="1224"/>
      <c r="DK354" s="1224"/>
      <c r="DL354" s="1222">
        <f>+DL352+DL353</f>
        <v>17401</v>
      </c>
      <c r="DM354" s="1224"/>
      <c r="DN354" s="1224"/>
      <c r="DO354" s="1224"/>
      <c r="DP354" s="1224"/>
      <c r="DQ354" s="1222">
        <f>+DQ352+DQ353</f>
        <v>18442</v>
      </c>
      <c r="DR354" s="1224"/>
      <c r="DS354" s="1224"/>
      <c r="DT354" s="1224"/>
      <c r="DU354" s="1224"/>
      <c r="DV354" s="1222">
        <f>+DV352+DV353</f>
        <v>20292</v>
      </c>
      <c r="DW354" s="1224"/>
      <c r="DX354" s="1224"/>
      <c r="DY354" s="1224"/>
      <c r="DZ354" s="1224"/>
      <c r="EA354" s="1222">
        <f>+EA352+EA353</f>
        <v>21391</v>
      </c>
      <c r="EB354" s="1224"/>
      <c r="EC354" s="1224"/>
      <c r="ED354" s="1224"/>
      <c r="EE354" s="1224"/>
      <c r="EF354" s="1222">
        <f>+EF352+EF353</f>
        <v>21781</v>
      </c>
      <c r="EG354" s="1224"/>
      <c r="EH354" s="1224"/>
      <c r="EI354" s="1224"/>
      <c r="EJ354" s="1224"/>
      <c r="EK354" s="1222">
        <f>+EK352+EK353</f>
        <v>22071</v>
      </c>
      <c r="EL354" s="1224"/>
      <c r="EM354" s="1224"/>
      <c r="EN354" s="1224"/>
      <c r="EO354" s="1224"/>
      <c r="EP354" s="1222">
        <f>+EP352+EP353</f>
        <v>25595</v>
      </c>
      <c r="EQ354" s="1224"/>
      <c r="ER354" s="1224"/>
      <c r="ES354" s="1224"/>
      <c r="ET354" s="1224"/>
      <c r="EU354" s="1222">
        <f ca="1">+EU352+EU353</f>
        <v>26197.354585282686</v>
      </c>
      <c r="EV354" s="1006"/>
      <c r="EW354" s="1006"/>
      <c r="EX354" s="1006"/>
      <c r="EY354" s="1006"/>
      <c r="EZ354" s="1222">
        <f ca="1">+EZ352+EZ353</f>
        <v>27322.676974266822</v>
      </c>
      <c r="FA354" s="1006"/>
      <c r="FB354" s="1006"/>
      <c r="FC354" s="1006"/>
      <c r="FD354" s="1006"/>
      <c r="FE354" s="1222">
        <f ca="1">+FE352+FE353</f>
        <v>28602.757282426996</v>
      </c>
      <c r="FF354" s="1230"/>
      <c r="FG354" s="660"/>
      <c r="FH354" s="1258"/>
      <c r="FI354" s="1258"/>
      <c r="FJ354" s="1258"/>
      <c r="FK354" s="1259"/>
      <c r="FL354" s="1859"/>
      <c r="FM354" s="1230"/>
      <c r="FN354" s="1230"/>
      <c r="FO354" s="1230"/>
      <c r="FP354" s="1230"/>
      <c r="FQ354" s="1230"/>
      <c r="FR354" s="232"/>
      <c r="FS354" s="232"/>
      <c r="FT354" s="232"/>
      <c r="FU354" s="232"/>
      <c r="FV354" s="232"/>
      <c r="FW354" s="232"/>
      <c r="FX354" s="232"/>
      <c r="FY354" s="232"/>
      <c r="FZ354" s="232"/>
      <c r="GA354" s="660"/>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row>
    <row r="355" spans="1:256" s="1225" customFormat="1" ht="12.75" x14ac:dyDescent="0.2">
      <c r="A355" s="1219" t="s">
        <v>446</v>
      </c>
      <c r="B355" s="1220"/>
      <c r="C355" s="1220"/>
      <c r="D355" s="1220"/>
      <c r="E355" s="1220"/>
      <c r="F355" s="1221"/>
      <c r="G355" s="1220"/>
      <c r="H355" s="1220"/>
      <c r="I355" s="1220"/>
      <c r="J355" s="1220"/>
      <c r="K355" s="1221"/>
      <c r="L355" s="1220"/>
      <c r="M355" s="1220"/>
      <c r="N355" s="1220"/>
      <c r="O355" s="1220"/>
      <c r="P355" s="1222"/>
      <c r="Q355" s="1220"/>
      <c r="R355" s="1220"/>
      <c r="S355" s="1220"/>
      <c r="T355" s="1220"/>
      <c r="U355" s="1222"/>
      <c r="V355" s="1223"/>
      <c r="W355" s="1223"/>
      <c r="X355" s="1223"/>
      <c r="Y355" s="1223"/>
      <c r="Z355" s="1222"/>
      <c r="AA355" s="1223"/>
      <c r="AB355" s="1223"/>
      <c r="AC355" s="1223"/>
      <c r="AD355" s="1223"/>
      <c r="AE355" s="1222"/>
      <c r="AF355" s="1223"/>
      <c r="AG355" s="1223"/>
      <c r="AH355" s="1223"/>
      <c r="AI355" s="1223"/>
      <c r="AJ355" s="1222"/>
      <c r="AK355" s="1223"/>
      <c r="AL355" s="1223"/>
      <c r="AM355" s="1223"/>
      <c r="AN355" s="1223"/>
      <c r="AO355" s="1222"/>
      <c r="AP355" s="1223"/>
      <c r="AQ355" s="1223"/>
      <c r="AR355" s="1223"/>
      <c r="AS355" s="1223"/>
      <c r="AT355" s="1222"/>
      <c r="AU355" s="1224"/>
      <c r="AV355" s="1224"/>
      <c r="AW355" s="1224"/>
      <c r="AX355" s="1224"/>
      <c r="AY355" s="1222">
        <f>+AY352-AY317</f>
        <v>7619</v>
      </c>
      <c r="AZ355" s="1224"/>
      <c r="BA355" s="1224"/>
      <c r="BB355" s="1224"/>
      <c r="BC355" s="1224"/>
      <c r="BD355" s="1222">
        <f>+BD352-BD317</f>
        <v>8022</v>
      </c>
      <c r="BE355" s="1224"/>
      <c r="BF355" s="1224"/>
      <c r="BG355" s="1224"/>
      <c r="BH355" s="1224"/>
      <c r="BI355" s="1222">
        <f>+BI352-BI317</f>
        <v>7636</v>
      </c>
      <c r="BJ355" s="1224"/>
      <c r="BK355" s="1224"/>
      <c r="BL355" s="1224"/>
      <c r="BM355" s="1224"/>
      <c r="BN355" s="1222">
        <f>+BN352-BN317</f>
        <v>7428</v>
      </c>
      <c r="BO355" s="1224"/>
      <c r="BP355" s="1224"/>
      <c r="BQ355" s="1224"/>
      <c r="BR355" s="1224"/>
      <c r="BS355" s="1222">
        <f>+BS352-BS317</f>
        <v>7180</v>
      </c>
      <c r="BT355" s="1224"/>
      <c r="BU355" s="1224"/>
      <c r="BV355" s="1224"/>
      <c r="BW355" s="1224"/>
      <c r="BX355" s="1222">
        <f>+BX352-BX317</f>
        <v>6876</v>
      </c>
      <c r="BY355" s="1224"/>
      <c r="BZ355" s="1224"/>
      <c r="CA355" s="1224"/>
      <c r="CB355" s="1224"/>
      <c r="CC355" s="1222">
        <f>+CC352-CC317</f>
        <v>7058</v>
      </c>
      <c r="CD355" s="1224"/>
      <c r="CE355" s="1224"/>
      <c r="CF355" s="1224"/>
      <c r="CG355" s="1224"/>
      <c r="CH355" s="1222">
        <f>+CH352-CH317</f>
        <v>6641</v>
      </c>
      <c r="CI355" s="1224"/>
      <c r="CJ355" s="1224"/>
      <c r="CK355" s="1224"/>
      <c r="CL355" s="1224"/>
      <c r="CM355" s="1222">
        <f>+CM352-CM317</f>
        <v>6073</v>
      </c>
      <c r="CN355" s="1224"/>
      <c r="CO355" s="1224"/>
      <c r="CP355" s="1224"/>
      <c r="CQ355" s="1224"/>
      <c r="CR355" s="1222">
        <f>+CR352-CR317</f>
        <v>6162</v>
      </c>
      <c r="CS355" s="1224"/>
      <c r="CT355" s="1224"/>
      <c r="CU355" s="1224"/>
      <c r="CV355" s="1224"/>
      <c r="CW355" s="1222">
        <f>+CW352-CW317</f>
        <v>6049</v>
      </c>
      <c r="CX355" s="1224"/>
      <c r="CY355" s="1224"/>
      <c r="CZ355" s="1224"/>
      <c r="DA355" s="1224"/>
      <c r="DB355" s="1222">
        <f>+DB352-DB317</f>
        <v>6157</v>
      </c>
      <c r="DC355" s="1224"/>
      <c r="DD355" s="1224"/>
      <c r="DE355" s="1224"/>
      <c r="DF355" s="1224"/>
      <c r="DG355" s="1222">
        <f>+DG352-DG317</f>
        <v>6198</v>
      </c>
      <c r="DH355" s="1224"/>
      <c r="DI355" s="1224"/>
      <c r="DJ355" s="1224"/>
      <c r="DK355" s="1224"/>
      <c r="DL355" s="1222">
        <f>+DL352-DL317</f>
        <v>7214</v>
      </c>
      <c r="DM355" s="1224"/>
      <c r="DN355" s="1224"/>
      <c r="DO355" s="1224"/>
      <c r="DP355" s="1224"/>
      <c r="DQ355" s="1222">
        <f>+DQ352-DQ317</f>
        <v>8029</v>
      </c>
      <c r="DR355" s="1224"/>
      <c r="DS355" s="1224"/>
      <c r="DT355" s="1224"/>
      <c r="DU355" s="1224"/>
      <c r="DV355" s="1222">
        <f>+DV352-DV317</f>
        <v>7560</v>
      </c>
      <c r="DW355" s="1224"/>
      <c r="DX355" s="1224"/>
      <c r="DY355" s="1224"/>
      <c r="DZ355" s="1224"/>
      <c r="EA355" s="1222">
        <f>+EA352-EA317</f>
        <v>8010</v>
      </c>
      <c r="EB355" s="1224"/>
      <c r="EC355" s="1224"/>
      <c r="ED355" s="1224"/>
      <c r="EE355" s="1224"/>
      <c r="EF355" s="1222">
        <f>+EF352-EF317</f>
        <v>8492</v>
      </c>
      <c r="EG355" s="1224"/>
      <c r="EH355" s="1224"/>
      <c r="EI355" s="1224"/>
      <c r="EJ355" s="1224"/>
      <c r="EK355" s="1222">
        <f>+EK352-EK317</f>
        <v>8706</v>
      </c>
      <c r="EL355" s="1224"/>
      <c r="EM355" s="1224"/>
      <c r="EN355" s="1224"/>
      <c r="EO355" s="1224"/>
      <c r="EP355" s="1222">
        <f>+EP352-EP317</f>
        <v>8546</v>
      </c>
      <c r="EQ355" s="1224"/>
      <c r="ER355" s="1224"/>
      <c r="ES355" s="1224"/>
      <c r="ET355" s="1224"/>
      <c r="EU355" s="1222">
        <f ca="1">+EU352-EU317</f>
        <v>9116.674117353652</v>
      </c>
      <c r="EV355" s="1006"/>
      <c r="EW355" s="1006"/>
      <c r="EX355" s="1006"/>
      <c r="EY355" s="1006"/>
      <c r="EZ355" s="1222">
        <f ca="1">+EZ352-EZ317</f>
        <v>9162.8704946437847</v>
      </c>
      <c r="FA355" s="1006"/>
      <c r="FB355" s="1006"/>
      <c r="FC355" s="1006"/>
      <c r="FD355" s="1006"/>
      <c r="FE355" s="1222">
        <f ca="1">+FE352-FE317</f>
        <v>9150.6268609023246</v>
      </c>
      <c r="FF355" s="1230"/>
      <c r="FG355" s="660"/>
      <c r="FH355" s="1258"/>
      <c r="FI355" s="1258"/>
      <c r="FJ355" s="1258"/>
      <c r="FK355" s="1259"/>
      <c r="FL355" s="1859"/>
      <c r="FM355" s="1230"/>
      <c r="FN355" s="1230"/>
      <c r="FO355" s="1230"/>
      <c r="FP355" s="1230"/>
      <c r="FQ355" s="1230"/>
      <c r="FR355" s="232"/>
      <c r="FS355" s="232"/>
      <c r="FT355" s="232"/>
      <c r="FU355" s="232"/>
      <c r="FV355" s="232"/>
      <c r="FW355" s="232"/>
      <c r="FX355" s="232"/>
      <c r="FY355" s="232"/>
      <c r="FZ355" s="232"/>
      <c r="GA355" s="660"/>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row>
    <row r="356" spans="1:256" s="1225" customFormat="1" ht="12.75" x14ac:dyDescent="0.2">
      <c r="A356" s="1219" t="s">
        <v>447</v>
      </c>
      <c r="B356" s="1220"/>
      <c r="C356" s="1220"/>
      <c r="D356" s="1220"/>
      <c r="E356" s="1220"/>
      <c r="F356" s="1221"/>
      <c r="G356" s="1220"/>
      <c r="H356" s="1220"/>
      <c r="I356" s="1220"/>
      <c r="J356" s="1220"/>
      <c r="K356" s="1221"/>
      <c r="L356" s="1220"/>
      <c r="M356" s="1220"/>
      <c r="N356" s="1220"/>
      <c r="O356" s="1220"/>
      <c r="P356" s="1222"/>
      <c r="Q356" s="1220"/>
      <c r="R356" s="1220"/>
      <c r="S356" s="1220"/>
      <c r="T356" s="1220"/>
      <c r="U356" s="1222"/>
      <c r="V356" s="1223"/>
      <c r="W356" s="1223"/>
      <c r="X356" s="1223"/>
      <c r="Y356" s="1223"/>
      <c r="Z356" s="1222"/>
      <c r="AA356" s="1223"/>
      <c r="AB356" s="1223"/>
      <c r="AC356" s="1223"/>
      <c r="AD356" s="1223"/>
      <c r="AE356" s="1222"/>
      <c r="AF356" s="1223"/>
      <c r="AG356" s="1223"/>
      <c r="AH356" s="1223"/>
      <c r="AI356" s="1223"/>
      <c r="AJ356" s="1222"/>
      <c r="AK356" s="1223"/>
      <c r="AL356" s="1223"/>
      <c r="AM356" s="1223"/>
      <c r="AN356" s="1223"/>
      <c r="AO356" s="1222"/>
      <c r="AP356" s="1223"/>
      <c r="AQ356" s="1223"/>
      <c r="AR356" s="1223"/>
      <c r="AS356" s="1223"/>
      <c r="AT356" s="1222"/>
      <c r="AU356" s="1224"/>
      <c r="AV356" s="1224"/>
      <c r="AW356" s="1224"/>
      <c r="AX356" s="1224"/>
      <c r="AY356" s="1222">
        <f>+AY221</f>
        <v>4222.8900000000003</v>
      </c>
      <c r="AZ356" s="1224"/>
      <c r="BA356" s="1224"/>
      <c r="BB356" s="1224"/>
      <c r="BC356" s="1224"/>
      <c r="BD356" s="1222">
        <f>+BD221</f>
        <v>5195.1899999999996</v>
      </c>
      <c r="BE356" s="1224"/>
      <c r="BF356" s="1224"/>
      <c r="BG356" s="1224"/>
      <c r="BH356" s="1224"/>
      <c r="BI356" s="1222">
        <f>+BI221</f>
        <v>6159</v>
      </c>
      <c r="BJ356" s="1224"/>
      <c r="BK356" s="1224"/>
      <c r="BL356" s="1224"/>
      <c r="BM356" s="1224"/>
      <c r="BN356" s="1222">
        <f>+BN221</f>
        <v>6170</v>
      </c>
      <c r="BO356" s="1224"/>
      <c r="BP356" s="1224"/>
      <c r="BQ356" s="1224"/>
      <c r="BR356" s="1224"/>
      <c r="BS356" s="1222">
        <f>+BS221</f>
        <v>6270</v>
      </c>
      <c r="BT356" s="1224"/>
      <c r="BU356" s="1224"/>
      <c r="BV356" s="1224"/>
      <c r="BW356" s="1224"/>
      <c r="BX356" s="1222">
        <f>+BX221</f>
        <v>6468</v>
      </c>
      <c r="BY356" s="1224"/>
      <c r="BZ356" s="1224"/>
      <c r="CA356" s="1224"/>
      <c r="CB356" s="1224"/>
      <c r="CC356" s="1222">
        <f>+CC221</f>
        <v>7312</v>
      </c>
      <c r="CD356" s="1224"/>
      <c r="CE356" s="1224"/>
      <c r="CF356" s="1224"/>
      <c r="CG356" s="1224"/>
      <c r="CH356" s="1222">
        <f>+CH221</f>
        <v>8472</v>
      </c>
      <c r="CI356" s="1224"/>
      <c r="CJ356" s="1224"/>
      <c r="CK356" s="1224"/>
      <c r="CL356" s="1224"/>
      <c r="CM356" s="1222">
        <f>+CM221</f>
        <v>9407</v>
      </c>
      <c r="CN356" s="1224"/>
      <c r="CO356" s="1224"/>
      <c r="CP356" s="1224"/>
      <c r="CQ356" s="1224"/>
      <c r="CR356" s="1222">
        <f>+CR221</f>
        <v>9432</v>
      </c>
      <c r="CS356" s="1224"/>
      <c r="CT356" s="1224"/>
      <c r="CU356" s="1224"/>
      <c r="CV356" s="1224"/>
      <c r="CW356" s="1222">
        <f>+CW221</f>
        <v>10661</v>
      </c>
      <c r="CX356" s="1224"/>
      <c r="CY356" s="1224"/>
      <c r="CZ356" s="1224"/>
      <c r="DA356" s="1224"/>
      <c r="DB356" s="1222">
        <f>+DB221</f>
        <v>7969</v>
      </c>
      <c r="DC356" s="1224"/>
      <c r="DD356" s="1224"/>
      <c r="DE356" s="1224"/>
      <c r="DF356" s="1224"/>
      <c r="DG356" s="1222">
        <f>+DG221</f>
        <v>9515.8731758530193</v>
      </c>
      <c r="DH356" s="1224"/>
      <c r="DI356" s="1224"/>
      <c r="DJ356" s="1224"/>
      <c r="DK356" s="1224"/>
      <c r="DL356" s="1222">
        <f>+DL221</f>
        <v>11172</v>
      </c>
      <c r="DM356" s="1224"/>
      <c r="DN356" s="1224"/>
      <c r="DO356" s="1224"/>
      <c r="DP356" s="1224"/>
      <c r="DQ356" s="1222">
        <f>+DQ221</f>
        <v>11040</v>
      </c>
      <c r="DR356" s="1224"/>
      <c r="DS356" s="1224"/>
      <c r="DT356" s="1224"/>
      <c r="DU356" s="1224"/>
      <c r="DV356" s="1222">
        <f>+DV221</f>
        <v>11245</v>
      </c>
      <c r="DW356" s="1224"/>
      <c r="DX356" s="1224"/>
      <c r="DY356" s="1224"/>
      <c r="DZ356" s="1224"/>
      <c r="EA356" s="1222">
        <f>+EA221</f>
        <v>11624</v>
      </c>
      <c r="EB356" s="1224"/>
      <c r="EC356" s="1224"/>
      <c r="ED356" s="1224"/>
      <c r="EE356" s="1224"/>
      <c r="EF356" s="1222">
        <f>+EF221</f>
        <v>10511</v>
      </c>
      <c r="EG356" s="1224"/>
      <c r="EH356" s="1224"/>
      <c r="EI356" s="1224"/>
      <c r="EJ356" s="1224"/>
      <c r="EK356" s="1222">
        <f>+EK221</f>
        <v>9888</v>
      </c>
      <c r="EL356" s="1224"/>
      <c r="EM356" s="1224"/>
      <c r="EN356" s="1224"/>
      <c r="EO356" s="1224"/>
      <c r="EP356" s="1222">
        <f>+EP221</f>
        <v>10551</v>
      </c>
      <c r="EQ356" s="1224"/>
      <c r="ER356" s="1224"/>
      <c r="ES356" s="1224"/>
      <c r="ET356" s="1224"/>
      <c r="EU356" s="1222">
        <f>+EU221</f>
        <v>11196.962367272597</v>
      </c>
      <c r="EV356" s="1006"/>
      <c r="EW356" s="1006"/>
      <c r="EX356" s="1006"/>
      <c r="EY356" s="1006"/>
      <c r="EZ356" s="1222">
        <f>+EZ221</f>
        <v>11608.44420935623</v>
      </c>
      <c r="FA356" s="1006"/>
      <c r="FB356" s="1006"/>
      <c r="FC356" s="1006"/>
      <c r="FD356" s="1006"/>
      <c r="FE356" s="1222">
        <f>+FE221</f>
        <v>12047.784684095732</v>
      </c>
      <c r="FF356" s="1230"/>
      <c r="FG356" s="660"/>
      <c r="FH356" s="1258"/>
      <c r="FI356" s="1258"/>
      <c r="FJ356" s="1258"/>
      <c r="FK356" s="1259"/>
      <c r="FL356" s="1859"/>
      <c r="FM356" s="1230"/>
      <c r="FN356" s="1230"/>
      <c r="FO356" s="1230"/>
      <c r="FP356" s="1230"/>
      <c r="FQ356" s="1230"/>
      <c r="FR356" s="232"/>
      <c r="FS356" s="232"/>
      <c r="FT356" s="232"/>
      <c r="FU356" s="232"/>
      <c r="FV356" s="232"/>
      <c r="FW356" s="232"/>
      <c r="FX356" s="232"/>
      <c r="FY356" s="232"/>
      <c r="FZ356" s="232"/>
      <c r="GA356" s="660"/>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row>
    <row r="357" spans="1:256" s="1225" customFormat="1" ht="12.75" x14ac:dyDescent="0.2">
      <c r="A357" s="1219" t="s">
        <v>135</v>
      </c>
      <c r="B357" s="1220"/>
      <c r="C357" s="1220"/>
      <c r="D357" s="1220"/>
      <c r="E357" s="1220"/>
      <c r="F357" s="1221"/>
      <c r="G357" s="1220"/>
      <c r="H357" s="1220"/>
      <c r="I357" s="1220"/>
      <c r="J357" s="1220"/>
      <c r="K357" s="1221"/>
      <c r="L357" s="1220"/>
      <c r="M357" s="1220"/>
      <c r="N357" s="1220"/>
      <c r="O357" s="1220"/>
      <c r="P357" s="1222"/>
      <c r="Q357" s="1220"/>
      <c r="R357" s="1220"/>
      <c r="S357" s="1220"/>
      <c r="T357" s="1220"/>
      <c r="U357" s="1222"/>
      <c r="V357" s="1223"/>
      <c r="W357" s="1223"/>
      <c r="X357" s="1223"/>
      <c r="Y357" s="1223"/>
      <c r="Z357" s="1222"/>
      <c r="AA357" s="1223"/>
      <c r="AB357" s="1223"/>
      <c r="AC357" s="1223"/>
      <c r="AD357" s="1223"/>
      <c r="AE357" s="1222"/>
      <c r="AF357" s="1223"/>
      <c r="AG357" s="1223"/>
      <c r="AH357" s="1223"/>
      <c r="AI357" s="1223"/>
      <c r="AJ357" s="1222"/>
      <c r="AK357" s="1223"/>
      <c r="AL357" s="1223"/>
      <c r="AM357" s="1223"/>
      <c r="AN357" s="1223"/>
      <c r="AO357" s="1222"/>
      <c r="AP357" s="1223"/>
      <c r="AQ357" s="1223"/>
      <c r="AR357" s="1223"/>
      <c r="AS357" s="1223"/>
      <c r="AT357" s="1222"/>
      <c r="AU357" s="1224"/>
      <c r="AV357" s="1224"/>
      <c r="AW357" s="1224"/>
      <c r="AX357" s="1224"/>
      <c r="AY357" s="1222">
        <f>+AY234</f>
        <v>1053.4900000000007</v>
      </c>
      <c r="AZ357" s="1224"/>
      <c r="BA357" s="1224"/>
      <c r="BB357" s="1224"/>
      <c r="BC357" s="1224"/>
      <c r="BD357" s="1222">
        <f>+BD234</f>
        <v>718.1899999999996</v>
      </c>
      <c r="BE357" s="1224"/>
      <c r="BF357" s="1224"/>
      <c r="BG357" s="1224"/>
      <c r="BH357" s="1224"/>
      <c r="BI357" s="1222">
        <f>+BI234</f>
        <v>798</v>
      </c>
      <c r="BJ357" s="1224"/>
      <c r="BK357" s="1224"/>
      <c r="BL357" s="1224"/>
      <c r="BM357" s="1224"/>
      <c r="BN357" s="1222">
        <f>+BN234</f>
        <v>1007</v>
      </c>
      <c r="BO357" s="1224"/>
      <c r="BP357" s="1224"/>
      <c r="BQ357" s="1224"/>
      <c r="BR357" s="1224"/>
      <c r="BS357" s="1222">
        <f>+BS234</f>
        <v>1158</v>
      </c>
      <c r="BT357" s="1224"/>
      <c r="BU357" s="1224"/>
      <c r="BV357" s="1224"/>
      <c r="BW357" s="1224"/>
      <c r="BX357" s="1222">
        <f>+BX234</f>
        <v>1171</v>
      </c>
      <c r="BY357" s="1224"/>
      <c r="BZ357" s="1224"/>
      <c r="CA357" s="1224"/>
      <c r="CB357" s="1224"/>
      <c r="CC357" s="1222">
        <f>+CC234</f>
        <v>1702</v>
      </c>
      <c r="CD357" s="1224"/>
      <c r="CE357" s="1224"/>
      <c r="CF357" s="1224"/>
      <c r="CG357" s="1224"/>
      <c r="CH357" s="1222">
        <f>+CH234</f>
        <v>2083</v>
      </c>
      <c r="CI357" s="1224"/>
      <c r="CJ357" s="1224"/>
      <c r="CK357" s="1224"/>
      <c r="CL357" s="1224"/>
      <c r="CM357" s="1222">
        <f>+CM234</f>
        <v>2557</v>
      </c>
      <c r="CN357" s="1224"/>
      <c r="CO357" s="1224"/>
      <c r="CP357" s="1224"/>
      <c r="CQ357" s="1224"/>
      <c r="CR357" s="1222">
        <f>+CR234</f>
        <v>2585</v>
      </c>
      <c r="CS357" s="1224"/>
      <c r="CT357" s="1224"/>
      <c r="CU357" s="1224"/>
      <c r="CV357" s="1224"/>
      <c r="CW357" s="1222">
        <f>+CW234</f>
        <v>3097</v>
      </c>
      <c r="CX357" s="1224"/>
      <c r="CY357" s="1224"/>
      <c r="CZ357" s="1224"/>
      <c r="DA357" s="1224"/>
      <c r="DB357" s="1222">
        <f>+DB234</f>
        <v>1962</v>
      </c>
      <c r="DC357" s="1224"/>
      <c r="DD357" s="1224"/>
      <c r="DE357" s="1224"/>
      <c r="DF357" s="1224"/>
      <c r="DG357" s="1222">
        <f>+DG234</f>
        <v>2675.8731758530193</v>
      </c>
      <c r="DH357" s="1224"/>
      <c r="DI357" s="1224"/>
      <c r="DJ357" s="1224"/>
      <c r="DK357" s="1224"/>
      <c r="DL357" s="1222">
        <f>+DL234</f>
        <v>3271</v>
      </c>
      <c r="DM357" s="1224"/>
      <c r="DN357" s="1224"/>
      <c r="DO357" s="1224"/>
      <c r="DP357" s="1224"/>
      <c r="DQ357" s="1222">
        <f>+DQ234</f>
        <v>3124</v>
      </c>
      <c r="DR357" s="1224"/>
      <c r="DS357" s="1224"/>
      <c r="DT357" s="1224"/>
      <c r="DU357" s="1224"/>
      <c r="DV357" s="1222">
        <f>+DV234</f>
        <v>3257</v>
      </c>
      <c r="DW357" s="1224"/>
      <c r="DX357" s="1224"/>
      <c r="DY357" s="1224"/>
      <c r="DZ357" s="1224"/>
      <c r="EA357" s="1222">
        <f>+EA234</f>
        <v>3575.1000000000004</v>
      </c>
      <c r="EB357" s="1224"/>
      <c r="EC357" s="1224"/>
      <c r="ED357" s="1224"/>
      <c r="EE357" s="1224"/>
      <c r="EF357" s="1222">
        <f>+EF234</f>
        <v>2884</v>
      </c>
      <c r="EG357" s="1224"/>
      <c r="EH357" s="1224"/>
      <c r="EI357" s="1224"/>
      <c r="EJ357" s="1224"/>
      <c r="EK357" s="1222">
        <f>+EK234</f>
        <v>3074</v>
      </c>
      <c r="EL357" s="1224"/>
      <c r="EM357" s="1224"/>
      <c r="EN357" s="1224"/>
      <c r="EO357" s="1224"/>
      <c r="EP357" s="1222">
        <f>+EP234</f>
        <v>3371</v>
      </c>
      <c r="EQ357" s="1224"/>
      <c r="ER357" s="1224"/>
      <c r="ES357" s="1224"/>
      <c r="ET357" s="1224"/>
      <c r="EU357" s="1222">
        <f>+EU234</f>
        <v>3531.0557647550513</v>
      </c>
      <c r="EV357" s="1006"/>
      <c r="EW357" s="1006"/>
      <c r="EX357" s="1006"/>
      <c r="EY357" s="1006"/>
      <c r="EZ357" s="1222">
        <f>+EZ234</f>
        <v>3684.6434783280629</v>
      </c>
      <c r="FA357" s="1006"/>
      <c r="FB357" s="1006"/>
      <c r="FC357" s="1006"/>
      <c r="FD357" s="1006"/>
      <c r="FE357" s="1222">
        <f>+FE234</f>
        <v>3872.8279593691805</v>
      </c>
      <c r="FF357" s="1230"/>
      <c r="FG357" s="660"/>
      <c r="FH357" s="1258"/>
      <c r="FI357" s="1258"/>
      <c r="FJ357" s="1258"/>
      <c r="FK357" s="1259"/>
      <c r="FL357" s="1859"/>
      <c r="FM357" s="1230"/>
      <c r="FN357" s="1230"/>
      <c r="FO357" s="1230"/>
      <c r="FP357" s="1230"/>
      <c r="FQ357" s="1230"/>
      <c r="FR357" s="232"/>
      <c r="FS357" s="232"/>
      <c r="FT357" s="232"/>
      <c r="FU357" s="232"/>
      <c r="FV357" s="232"/>
      <c r="FW357" s="232"/>
      <c r="FX357" s="232"/>
      <c r="FY357" s="232"/>
      <c r="FZ357" s="232"/>
      <c r="GA357" s="660"/>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row>
    <row r="358" spans="1:256" s="1225" customFormat="1" ht="12.75" x14ac:dyDescent="0.2">
      <c r="A358" s="1219" t="s">
        <v>136</v>
      </c>
      <c r="B358" s="1220"/>
      <c r="C358" s="1220"/>
      <c r="D358" s="1220"/>
      <c r="E358" s="1220"/>
      <c r="F358" s="1221"/>
      <c r="G358" s="1220"/>
      <c r="H358" s="1220"/>
      <c r="I358" s="1220"/>
      <c r="J358" s="1220"/>
      <c r="K358" s="1221"/>
      <c r="L358" s="1220"/>
      <c r="M358" s="1220"/>
      <c r="N358" s="1220"/>
      <c r="O358" s="1220"/>
      <c r="P358" s="1222"/>
      <c r="Q358" s="1220"/>
      <c r="R358" s="1220"/>
      <c r="S358" s="1220"/>
      <c r="T358" s="1220"/>
      <c r="U358" s="1222"/>
      <c r="V358" s="1223"/>
      <c r="W358" s="1223"/>
      <c r="X358" s="1223"/>
      <c r="Y358" s="1223"/>
      <c r="Z358" s="1222"/>
      <c r="AA358" s="1223"/>
      <c r="AB358" s="1223"/>
      <c r="AC358" s="1223"/>
      <c r="AD358" s="1223"/>
      <c r="AE358" s="1222"/>
      <c r="AF358" s="1223"/>
      <c r="AG358" s="1223"/>
      <c r="AH358" s="1223"/>
      <c r="AI358" s="1223"/>
      <c r="AJ358" s="1222"/>
      <c r="AK358" s="1223"/>
      <c r="AL358" s="1223"/>
      <c r="AM358" s="1223"/>
      <c r="AN358" s="1223"/>
      <c r="AO358" s="1222"/>
      <c r="AP358" s="1223"/>
      <c r="AQ358" s="1223"/>
      <c r="AR358" s="1223"/>
      <c r="AS358" s="1223"/>
      <c r="AT358" s="1222"/>
      <c r="AU358" s="1224"/>
      <c r="AV358" s="1224"/>
      <c r="AW358" s="1224"/>
      <c r="AX358" s="1224"/>
      <c r="AY358" s="1222">
        <f>+AY247</f>
        <v>1080.6562754303598</v>
      </c>
      <c r="AZ358" s="1224"/>
      <c r="BA358" s="1224"/>
      <c r="BB358" s="1224"/>
      <c r="BC358" s="1224"/>
      <c r="BD358" s="1222">
        <f>+BD247</f>
        <v>481.58663461538464</v>
      </c>
      <c r="BE358" s="1224"/>
      <c r="BF358" s="1224"/>
      <c r="BG358" s="1224"/>
      <c r="BH358" s="1224"/>
      <c r="BI358" s="1222">
        <f>+BI247</f>
        <v>318</v>
      </c>
      <c r="BJ358" s="1224"/>
      <c r="BK358" s="1224"/>
      <c r="BL358" s="1224"/>
      <c r="BM358" s="1224"/>
      <c r="BN358" s="1222">
        <f>+BN247</f>
        <v>534.1</v>
      </c>
      <c r="BO358" s="1224"/>
      <c r="BP358" s="1224"/>
      <c r="BQ358" s="1224"/>
      <c r="BR358" s="1224"/>
      <c r="BS358" s="1222">
        <f>+BS247</f>
        <v>706</v>
      </c>
      <c r="BT358" s="1224"/>
      <c r="BU358" s="1224"/>
      <c r="BV358" s="1224"/>
      <c r="BW358" s="1224"/>
      <c r="BX358" s="1222">
        <f>+BX247</f>
        <v>777</v>
      </c>
      <c r="BY358" s="1224"/>
      <c r="BZ358" s="1224"/>
      <c r="CA358" s="1224"/>
      <c r="CB358" s="1224"/>
      <c r="CC358" s="1222">
        <f>+CC247</f>
        <v>1249</v>
      </c>
      <c r="CD358" s="1224"/>
      <c r="CE358" s="1224"/>
      <c r="CF358" s="1224"/>
      <c r="CG358" s="1224"/>
      <c r="CH358" s="1222">
        <f>+CH247</f>
        <v>1663</v>
      </c>
      <c r="CI358" s="1224"/>
      <c r="CJ358" s="1224"/>
      <c r="CK358" s="1224"/>
      <c r="CL358" s="1224"/>
      <c r="CM358" s="1222">
        <f>+CM247</f>
        <v>2230.1</v>
      </c>
      <c r="CN358" s="1224"/>
      <c r="CO358" s="1224"/>
      <c r="CP358" s="1224"/>
      <c r="CQ358" s="1224"/>
      <c r="CR358" s="1222">
        <f>+CR247</f>
        <v>2237</v>
      </c>
      <c r="CS358" s="1224"/>
      <c r="CT358" s="1224"/>
      <c r="CU358" s="1224"/>
      <c r="CV358" s="1224"/>
      <c r="CW358" s="1222">
        <f>+CW247</f>
        <v>2763</v>
      </c>
      <c r="CX358" s="1224"/>
      <c r="CY358" s="1224"/>
      <c r="CZ358" s="1224"/>
      <c r="DA358" s="1224"/>
      <c r="DB358" s="1222">
        <f>+DB247</f>
        <v>1622</v>
      </c>
      <c r="DC358" s="1224"/>
      <c r="DD358" s="1224"/>
      <c r="DE358" s="1224"/>
      <c r="DF358" s="1224"/>
      <c r="DG358" s="1222">
        <f>+DG247</f>
        <v>2366.8731758530184</v>
      </c>
      <c r="DH358" s="1224"/>
      <c r="DI358" s="1224"/>
      <c r="DJ358" s="1224"/>
      <c r="DK358" s="1224"/>
      <c r="DL358" s="1222">
        <f>+DL247</f>
        <v>2976</v>
      </c>
      <c r="DM358" s="1224"/>
      <c r="DN358" s="1224"/>
      <c r="DO358" s="1224"/>
      <c r="DP358" s="1224"/>
      <c r="DQ358" s="1222">
        <f>+DQ247</f>
        <v>2758</v>
      </c>
      <c r="DR358" s="1224"/>
      <c r="DS358" s="1224"/>
      <c r="DT358" s="1224"/>
      <c r="DU358" s="1224"/>
      <c r="DV358" s="1222">
        <f>+DV247</f>
        <v>2867.6</v>
      </c>
      <c r="DW358" s="1224"/>
      <c r="DX358" s="1224"/>
      <c r="DY358" s="1224"/>
      <c r="DZ358" s="1224"/>
      <c r="EA358" s="1222">
        <f>+EA247</f>
        <v>3134.1</v>
      </c>
      <c r="EB358" s="1224"/>
      <c r="EC358" s="1224"/>
      <c r="ED358" s="1224"/>
      <c r="EE358" s="1224"/>
      <c r="EF358" s="1222">
        <f>+EF247</f>
        <v>2441.6</v>
      </c>
      <c r="EG358" s="1224"/>
      <c r="EH358" s="1224"/>
      <c r="EI358" s="1224"/>
      <c r="EJ358" s="1224"/>
      <c r="EK358" s="1222">
        <f>+EK247</f>
        <v>2582</v>
      </c>
      <c r="EL358" s="1224"/>
      <c r="EM358" s="1224"/>
      <c r="EN358" s="1224"/>
      <c r="EO358" s="1224"/>
      <c r="EP358" s="1222">
        <f>+EP247</f>
        <v>2977</v>
      </c>
      <c r="EQ358" s="1224"/>
      <c r="ER358" s="1224"/>
      <c r="ES358" s="1224"/>
      <c r="ET358" s="1224"/>
      <c r="EU358" s="1222">
        <f>+EU247</f>
        <v>3065.0557647550513</v>
      </c>
      <c r="EV358" s="1006"/>
      <c r="EW358" s="1006"/>
      <c r="EX358" s="1006"/>
      <c r="EY358" s="1006"/>
      <c r="EZ358" s="1222">
        <f>+EZ247</f>
        <v>3194.8499783280631</v>
      </c>
      <c r="FA358" s="1006"/>
      <c r="FB358" s="1006"/>
      <c r="FC358" s="1006"/>
      <c r="FD358" s="1006"/>
      <c r="FE358" s="1222">
        <f>+FE247</f>
        <v>3361.0969593691807</v>
      </c>
      <c r="FF358" s="1230"/>
      <c r="FG358" s="660"/>
      <c r="FH358" s="1258"/>
      <c r="FI358" s="1258"/>
      <c r="FJ358" s="1258"/>
      <c r="FK358" s="1259"/>
      <c r="FL358" s="1859"/>
      <c r="FM358" s="1230"/>
      <c r="FN358" s="1230"/>
      <c r="FO358" s="1230"/>
      <c r="FP358" s="1230"/>
      <c r="FQ358" s="1230"/>
      <c r="FR358" s="232"/>
      <c r="FS358" s="232"/>
      <c r="FT358" s="232"/>
      <c r="FU358" s="232"/>
      <c r="FV358" s="232"/>
      <c r="FW358" s="232"/>
      <c r="FX358" s="232"/>
      <c r="FY358" s="232"/>
      <c r="FZ358" s="232"/>
      <c r="GA358" s="660"/>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row>
    <row r="359" spans="1:256" s="1225" customFormat="1" ht="12.75" x14ac:dyDescent="0.2">
      <c r="A359" s="1219" t="s">
        <v>137</v>
      </c>
      <c r="B359" s="1220"/>
      <c r="C359" s="1220"/>
      <c r="D359" s="1220"/>
      <c r="E359" s="1220"/>
      <c r="F359" s="1221"/>
      <c r="G359" s="1220"/>
      <c r="H359" s="1220"/>
      <c r="I359" s="1220"/>
      <c r="J359" s="1220"/>
      <c r="K359" s="1221"/>
      <c r="L359" s="1220"/>
      <c r="M359" s="1220"/>
      <c r="N359" s="1220"/>
      <c r="O359" s="1220"/>
      <c r="P359" s="1222"/>
      <c r="Q359" s="1220"/>
      <c r="R359" s="1220"/>
      <c r="S359" s="1220"/>
      <c r="T359" s="1220"/>
      <c r="U359" s="1222"/>
      <c r="V359" s="1223"/>
      <c r="W359" s="1223"/>
      <c r="X359" s="1223"/>
      <c r="Y359" s="1223"/>
      <c r="Z359" s="1222"/>
      <c r="AA359" s="1223"/>
      <c r="AB359" s="1223"/>
      <c r="AC359" s="1223"/>
      <c r="AD359" s="1223"/>
      <c r="AE359" s="1222"/>
      <c r="AF359" s="1223"/>
      <c r="AG359" s="1223"/>
      <c r="AH359" s="1223"/>
      <c r="AI359" s="1223"/>
      <c r="AJ359" s="1222"/>
      <c r="AK359" s="1223"/>
      <c r="AL359" s="1223"/>
      <c r="AM359" s="1223"/>
      <c r="AN359" s="1223"/>
      <c r="AO359" s="1222"/>
      <c r="AP359" s="1223"/>
      <c r="AQ359" s="1223"/>
      <c r="AR359" s="1223"/>
      <c r="AS359" s="1223"/>
      <c r="AT359" s="1222"/>
      <c r="AU359" s="1224"/>
      <c r="AV359" s="1224"/>
      <c r="AW359" s="1224"/>
      <c r="AX359" s="1224"/>
      <c r="AY359" s="1222">
        <f>+AY250</f>
        <v>691.35770000000002</v>
      </c>
      <c r="AZ359" s="1224"/>
      <c r="BA359" s="1224"/>
      <c r="BB359" s="1224"/>
      <c r="BC359" s="1224"/>
      <c r="BD359" s="1222">
        <f>+BD250</f>
        <v>314.10762499999998</v>
      </c>
      <c r="BE359" s="1224"/>
      <c r="BF359" s="1224"/>
      <c r="BG359" s="1224"/>
      <c r="BH359" s="1224"/>
      <c r="BI359" s="1222">
        <f>+BI250</f>
        <v>208.15628598848366</v>
      </c>
      <c r="BJ359" s="1224"/>
      <c r="BK359" s="1224"/>
      <c r="BL359" s="1224"/>
      <c r="BM359" s="1224"/>
      <c r="BN359" s="1222">
        <f>+BN250</f>
        <v>351.3</v>
      </c>
      <c r="BO359" s="1224"/>
      <c r="BP359" s="1224"/>
      <c r="BQ359" s="1224"/>
      <c r="BR359" s="1224"/>
      <c r="BS359" s="1222">
        <f>+BS250</f>
        <v>460</v>
      </c>
      <c r="BT359" s="1224"/>
      <c r="BU359" s="1224"/>
      <c r="BV359" s="1224"/>
      <c r="BW359" s="1224"/>
      <c r="BX359" s="1222">
        <f>+BX250</f>
        <v>529</v>
      </c>
      <c r="BY359" s="1224"/>
      <c r="BZ359" s="1224"/>
      <c r="CA359" s="1224"/>
      <c r="CB359" s="1224"/>
      <c r="CC359" s="1222">
        <f>+CC250</f>
        <v>870</v>
      </c>
      <c r="CD359" s="1224"/>
      <c r="CE359" s="1224"/>
      <c r="CF359" s="1224"/>
      <c r="CG359" s="1224"/>
      <c r="CH359" s="1222">
        <f>+CH250</f>
        <v>1162.5</v>
      </c>
      <c r="CI359" s="1224"/>
      <c r="CJ359" s="1224"/>
      <c r="CK359" s="1224"/>
      <c r="CL359" s="1224"/>
      <c r="CM359" s="1222">
        <f>+CM250</f>
        <v>1481.1</v>
      </c>
      <c r="CN359" s="1224"/>
      <c r="CO359" s="1224"/>
      <c r="CP359" s="1224"/>
      <c r="CQ359" s="1224"/>
      <c r="CR359" s="1222">
        <f>+CR250</f>
        <v>1483</v>
      </c>
      <c r="CS359" s="1224"/>
      <c r="CT359" s="1224"/>
      <c r="CU359" s="1224"/>
      <c r="CV359" s="1224"/>
      <c r="CW359" s="1222">
        <f>+CW250</f>
        <v>1723.9474789915967</v>
      </c>
      <c r="CX359" s="1224"/>
      <c r="CY359" s="1224"/>
      <c r="CZ359" s="1224"/>
      <c r="DA359" s="1224"/>
      <c r="DB359" s="1222">
        <f>+DB250</f>
        <v>1034</v>
      </c>
      <c r="DC359" s="1224"/>
      <c r="DD359" s="1224"/>
      <c r="DE359" s="1224"/>
      <c r="DF359" s="1224"/>
      <c r="DG359" s="1222">
        <f>+DG250</f>
        <v>1486.8731758530184</v>
      </c>
      <c r="DH359" s="1224"/>
      <c r="DI359" s="1224"/>
      <c r="DJ359" s="1224"/>
      <c r="DK359" s="1224"/>
      <c r="DL359" s="1222">
        <f>+DL250</f>
        <v>1878</v>
      </c>
      <c r="DM359" s="1224"/>
      <c r="DN359" s="1224"/>
      <c r="DO359" s="1224"/>
      <c r="DP359" s="1224"/>
      <c r="DQ359" s="1222">
        <f>+DQ250</f>
        <v>1749</v>
      </c>
      <c r="DR359" s="1224"/>
      <c r="DS359" s="1224"/>
      <c r="DT359" s="1224"/>
      <c r="DU359" s="1224"/>
      <c r="DV359" s="1222">
        <f>+DV250</f>
        <v>1849.1</v>
      </c>
      <c r="DW359" s="1224"/>
      <c r="DX359" s="1224"/>
      <c r="DY359" s="1224"/>
      <c r="DZ359" s="1224"/>
      <c r="EA359" s="1222">
        <f>+EA250</f>
        <v>1999.6</v>
      </c>
      <c r="EB359" s="1224"/>
      <c r="EC359" s="1224"/>
      <c r="ED359" s="1224"/>
      <c r="EE359" s="1224"/>
      <c r="EF359" s="1222">
        <f>+EF250</f>
        <v>1555.6</v>
      </c>
      <c r="EG359" s="1224"/>
      <c r="EH359" s="1224"/>
      <c r="EI359" s="1224"/>
      <c r="EJ359" s="1224"/>
      <c r="EK359" s="1222">
        <f>+EK250</f>
        <v>1667.4</v>
      </c>
      <c r="EL359" s="1224"/>
      <c r="EM359" s="1224"/>
      <c r="EN359" s="1224"/>
      <c r="EO359" s="1224"/>
      <c r="EP359" s="1222">
        <f>+EP250</f>
        <v>1922</v>
      </c>
      <c r="EQ359" s="1224"/>
      <c r="ER359" s="1224"/>
      <c r="ES359" s="1224"/>
      <c r="ET359" s="1224"/>
      <c r="EU359" s="1222">
        <f>+EU250</f>
        <v>2332.3321023900635</v>
      </c>
      <c r="EV359" s="1006"/>
      <c r="EW359" s="1006"/>
      <c r="EX359" s="1006"/>
      <c r="EY359" s="1006"/>
      <c r="EZ359" s="1222">
        <f>+EZ250</f>
        <v>2428.0859835293281</v>
      </c>
      <c r="FA359" s="1006"/>
      <c r="FB359" s="1006"/>
      <c r="FC359" s="1006"/>
      <c r="FD359" s="1006"/>
      <c r="FE359" s="1222">
        <f>+FE250</f>
        <v>2554.4336891205776</v>
      </c>
      <c r="FF359" s="1230"/>
      <c r="FG359" s="660"/>
      <c r="FH359" s="1258"/>
      <c r="FI359" s="1258"/>
      <c r="FJ359" s="1258"/>
      <c r="FK359" s="1259"/>
      <c r="FL359" s="1859"/>
      <c r="FM359" s="1230"/>
      <c r="FN359" s="1230"/>
      <c r="FO359" s="1230"/>
      <c r="FP359" s="1230"/>
      <c r="FQ359" s="1230"/>
      <c r="FR359" s="232"/>
      <c r="FS359" s="232"/>
      <c r="FT359" s="232"/>
      <c r="FU359" s="232"/>
      <c r="FV359" s="232"/>
      <c r="FW359" s="232"/>
      <c r="FX359" s="232"/>
      <c r="FY359" s="232"/>
      <c r="FZ359" s="232"/>
      <c r="GA359" s="660"/>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row>
    <row r="360" spans="1:256" s="1225" customFormat="1" ht="12.75" x14ac:dyDescent="0.2">
      <c r="A360" s="1219" t="s">
        <v>138</v>
      </c>
      <c r="B360" s="1220"/>
      <c r="C360" s="1220"/>
      <c r="D360" s="1220"/>
      <c r="E360" s="1220"/>
      <c r="F360" s="1221"/>
      <c r="G360" s="1220"/>
      <c r="H360" s="1220"/>
      <c r="I360" s="1220"/>
      <c r="J360" s="1220"/>
      <c r="K360" s="1221"/>
      <c r="L360" s="1220"/>
      <c r="M360" s="1220"/>
      <c r="N360" s="1220"/>
      <c r="O360" s="1220"/>
      <c r="P360" s="1222"/>
      <c r="Q360" s="1220"/>
      <c r="R360" s="1220"/>
      <c r="S360" s="1220"/>
      <c r="T360" s="1220"/>
      <c r="U360" s="1222"/>
      <c r="V360" s="1223"/>
      <c r="W360" s="1223"/>
      <c r="X360" s="1223"/>
      <c r="Y360" s="1223"/>
      <c r="Z360" s="1222"/>
      <c r="AA360" s="1223"/>
      <c r="AB360" s="1223"/>
      <c r="AC360" s="1223"/>
      <c r="AD360" s="1223"/>
      <c r="AE360" s="1222"/>
      <c r="AF360" s="1223"/>
      <c r="AG360" s="1223"/>
      <c r="AH360" s="1223"/>
      <c r="AI360" s="1223"/>
      <c r="AJ360" s="1222"/>
      <c r="AK360" s="1223"/>
      <c r="AL360" s="1223"/>
      <c r="AM360" s="1223"/>
      <c r="AN360" s="1223"/>
      <c r="AO360" s="1222"/>
      <c r="AP360" s="1223"/>
      <c r="AQ360" s="1223"/>
      <c r="AR360" s="1223"/>
      <c r="AS360" s="1223"/>
      <c r="AT360" s="1222"/>
      <c r="AU360" s="1224"/>
      <c r="AV360" s="1224"/>
      <c r="AW360" s="1224"/>
      <c r="AX360" s="1224"/>
      <c r="AY360" s="1222">
        <f>+AY236</f>
        <v>1490.4899999999998</v>
      </c>
      <c r="AZ360" s="1224"/>
      <c r="BA360" s="1224"/>
      <c r="BB360" s="1224"/>
      <c r="BC360" s="1224"/>
      <c r="BD360" s="1222">
        <f>+BD236</f>
        <v>1193.19</v>
      </c>
      <c r="BE360" s="1224"/>
      <c r="BF360" s="1224"/>
      <c r="BG360" s="1224"/>
      <c r="BH360" s="1224"/>
      <c r="BI360" s="1222">
        <f>+BI236</f>
        <v>1301</v>
      </c>
      <c r="BJ360" s="1224"/>
      <c r="BK360" s="1224"/>
      <c r="BL360" s="1224"/>
      <c r="BM360" s="1224"/>
      <c r="BN360" s="1222">
        <f>+BN236</f>
        <v>1521</v>
      </c>
      <c r="BO360" s="1224"/>
      <c r="BP360" s="1224"/>
      <c r="BQ360" s="1224"/>
      <c r="BR360" s="1224"/>
      <c r="BS360" s="1222">
        <f>+BS236</f>
        <v>1673</v>
      </c>
      <c r="BT360" s="1224"/>
      <c r="BU360" s="1224"/>
      <c r="BV360" s="1224"/>
      <c r="BW360" s="1224"/>
      <c r="BX360" s="1222">
        <f>+BX236</f>
        <v>1684</v>
      </c>
      <c r="BY360" s="1224"/>
      <c r="BZ360" s="1224"/>
      <c r="CA360" s="1224"/>
      <c r="CB360" s="1224"/>
      <c r="CC360" s="1222">
        <f>+CC236</f>
        <v>2300</v>
      </c>
      <c r="CD360" s="1224"/>
      <c r="CE360" s="1224"/>
      <c r="CF360" s="1224"/>
      <c r="CG360" s="1224"/>
      <c r="CH360" s="1222">
        <f>+CH236</f>
        <v>2857</v>
      </c>
      <c r="CI360" s="1224"/>
      <c r="CJ360" s="1224"/>
      <c r="CK360" s="1224"/>
      <c r="CL360" s="1224"/>
      <c r="CM360" s="1222">
        <f>+CM236</f>
        <v>3295</v>
      </c>
      <c r="CN360" s="1224"/>
      <c r="CO360" s="1224"/>
      <c r="CP360" s="1224"/>
      <c r="CQ360" s="1224"/>
      <c r="CR360" s="1222">
        <f>+CR236</f>
        <v>3360</v>
      </c>
      <c r="CS360" s="1224"/>
      <c r="CT360" s="1224"/>
      <c r="CU360" s="1224"/>
      <c r="CV360" s="1224"/>
      <c r="CW360" s="1222">
        <f>+CW236</f>
        <v>3901</v>
      </c>
      <c r="CX360" s="1224"/>
      <c r="CY360" s="1224"/>
      <c r="CZ360" s="1224"/>
      <c r="DA360" s="1224"/>
      <c r="DB360" s="1222">
        <f>+DB236</f>
        <v>2799</v>
      </c>
      <c r="DC360" s="1224"/>
      <c r="DD360" s="1224"/>
      <c r="DE360" s="1224"/>
      <c r="DF360" s="1224"/>
      <c r="DG360" s="1222">
        <f>+DG236</f>
        <v>3494.8731758530184</v>
      </c>
      <c r="DH360" s="1224"/>
      <c r="DI360" s="1224"/>
      <c r="DJ360" s="1224"/>
      <c r="DK360" s="1224"/>
      <c r="DL360" s="1222">
        <f>+DL236</f>
        <v>4133</v>
      </c>
      <c r="DM360" s="1224"/>
      <c r="DN360" s="1224"/>
      <c r="DO360" s="1224"/>
      <c r="DP360" s="1224"/>
      <c r="DQ360" s="1222">
        <f>+DQ236</f>
        <v>4040</v>
      </c>
      <c r="DR360" s="1224"/>
      <c r="DS360" s="1224"/>
      <c r="DT360" s="1224"/>
      <c r="DU360" s="1224"/>
      <c r="DV360" s="1222">
        <f>+DV236</f>
        <v>4173</v>
      </c>
      <c r="DW360" s="1224"/>
      <c r="DX360" s="1224"/>
      <c r="DY360" s="1224"/>
      <c r="DZ360" s="1224"/>
      <c r="EA360" s="1222">
        <f>+EA236</f>
        <v>4526.1000000000004</v>
      </c>
      <c r="EB360" s="1224"/>
      <c r="EC360" s="1224"/>
      <c r="ED360" s="1224"/>
      <c r="EE360" s="1224"/>
      <c r="EF360" s="1222">
        <f>+EF236</f>
        <v>3938</v>
      </c>
      <c r="EG360" s="1224"/>
      <c r="EH360" s="1224"/>
      <c r="EI360" s="1224"/>
      <c r="EJ360" s="1224"/>
      <c r="EK360" s="1222">
        <f>+EK236</f>
        <v>4100</v>
      </c>
      <c r="EL360" s="1224"/>
      <c r="EM360" s="1224"/>
      <c r="EN360" s="1224"/>
      <c r="EO360" s="1224"/>
      <c r="EP360" s="1222">
        <f>+EP236</f>
        <v>4426</v>
      </c>
      <c r="EQ360" s="1224"/>
      <c r="ER360" s="1224"/>
      <c r="ES360" s="1224"/>
      <c r="ET360" s="1224"/>
      <c r="EU360" s="1222">
        <f>+EU236</f>
        <v>4631.0557647550513</v>
      </c>
      <c r="EV360" s="1006"/>
      <c r="EW360" s="1006"/>
      <c r="EX360" s="1006"/>
      <c r="EY360" s="1006"/>
      <c r="EZ360" s="1222">
        <f>+EZ236</f>
        <v>4823.1434783280629</v>
      </c>
      <c r="FA360" s="1006"/>
      <c r="FB360" s="1006"/>
      <c r="FC360" s="1006"/>
      <c r="FD360" s="1006"/>
      <c r="FE360" s="1222">
        <f>+FE236</f>
        <v>5051.1754593691803</v>
      </c>
      <c r="FF360" s="1230"/>
      <c r="FG360" s="660"/>
      <c r="FH360" s="1258"/>
      <c r="FI360" s="1258"/>
      <c r="FJ360" s="1258"/>
      <c r="FK360" s="1259"/>
      <c r="FL360" s="1859"/>
      <c r="FM360" s="1230"/>
      <c r="FN360" s="1230"/>
      <c r="FO360" s="1230"/>
      <c r="FP360" s="1230"/>
      <c r="FQ360" s="1230"/>
      <c r="FR360" s="232"/>
      <c r="FS360" s="232"/>
      <c r="FT360" s="232"/>
      <c r="FU360" s="232"/>
      <c r="FV360" s="232"/>
      <c r="FW360" s="232"/>
      <c r="FX360" s="232"/>
      <c r="FY360" s="232"/>
      <c r="FZ360" s="232"/>
      <c r="GA360" s="6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row>
    <row r="361" spans="1:256" s="1230" customFormat="1" ht="12.75" customHeight="1" x14ac:dyDescent="0.2">
      <c r="A361" s="1226" t="s">
        <v>139</v>
      </c>
      <c r="B361" s="1227"/>
      <c r="C361" s="1227"/>
      <c r="D361" s="1227"/>
      <c r="E361" s="1227"/>
      <c r="F361" s="1228"/>
      <c r="G361" s="1227"/>
      <c r="H361" s="1227"/>
      <c r="I361" s="1227"/>
      <c r="J361" s="1227"/>
      <c r="K361" s="1228"/>
      <c r="L361" s="1229"/>
      <c r="M361" s="1229"/>
      <c r="N361" s="1229"/>
      <c r="O361" s="1229"/>
      <c r="P361" s="1228"/>
      <c r="Q361" s="1229"/>
      <c r="R361" s="1229"/>
      <c r="S361" s="1229"/>
      <c r="T361" s="1229"/>
      <c r="U361" s="1228"/>
      <c r="V361" s="1229"/>
      <c r="W361" s="1229"/>
      <c r="X361" s="1229"/>
      <c r="Y361" s="1229"/>
      <c r="Z361" s="1228"/>
      <c r="AA361" s="1229"/>
      <c r="AB361" s="1229"/>
      <c r="AC361" s="1229"/>
      <c r="AD361" s="1229"/>
      <c r="AE361" s="1228"/>
      <c r="AF361" s="1229"/>
      <c r="AG361" s="1229"/>
      <c r="AH361" s="1229"/>
      <c r="AI361" s="1229"/>
      <c r="AJ361" s="1228"/>
      <c r="AK361" s="1229"/>
      <c r="AL361" s="1229"/>
      <c r="AM361" s="1229"/>
      <c r="AN361" s="1229"/>
      <c r="AO361" s="1228"/>
      <c r="AP361" s="1229"/>
      <c r="AQ361" s="1229"/>
      <c r="AR361" s="1229"/>
      <c r="AS361" s="1229"/>
      <c r="AT361" s="1228"/>
      <c r="AU361" s="1227"/>
      <c r="AV361" s="1227"/>
      <c r="AW361" s="1227"/>
      <c r="AX361" s="1227"/>
      <c r="AY361" s="1228"/>
      <c r="AZ361" s="1227"/>
      <c r="BA361" s="1227"/>
      <c r="BB361" s="1227"/>
      <c r="BC361" s="1227"/>
      <c r="BD361" s="1228"/>
      <c r="BE361" s="1227"/>
      <c r="BF361" s="1227"/>
      <c r="BG361" s="1227"/>
      <c r="BH361" s="1227"/>
      <c r="BI361" s="1228"/>
      <c r="BJ361" s="1227"/>
      <c r="BK361" s="1227"/>
      <c r="BL361" s="1227"/>
      <c r="BM361" s="1227"/>
      <c r="BN361" s="1228"/>
      <c r="BO361" s="1227"/>
      <c r="BP361" s="1227"/>
      <c r="BQ361" s="1227"/>
      <c r="BR361" s="1227"/>
      <c r="BS361" s="1228"/>
      <c r="BT361" s="1227"/>
      <c r="BU361" s="1227"/>
      <c r="BV361" s="1227"/>
      <c r="BW361" s="1227"/>
      <c r="BX361" s="1228"/>
      <c r="BY361" s="1227"/>
      <c r="BZ361" s="1227"/>
      <c r="CA361" s="1227"/>
      <c r="CB361" s="1227"/>
      <c r="CC361" s="1228"/>
      <c r="CD361" s="1227"/>
      <c r="CE361" s="1227"/>
      <c r="CF361" s="1227"/>
      <c r="CG361" s="1227"/>
      <c r="CH361" s="1228"/>
      <c r="CI361" s="1227"/>
      <c r="CJ361" s="1227"/>
      <c r="CK361" s="1227"/>
      <c r="CL361" s="1227"/>
      <c r="CM361" s="1228"/>
      <c r="CN361" s="1227"/>
      <c r="CO361" s="1227"/>
      <c r="CP361" s="1227"/>
      <c r="CQ361" s="1227"/>
      <c r="CR361" s="1228"/>
      <c r="CS361" s="1227"/>
      <c r="CT361" s="1227"/>
      <c r="CU361" s="1227"/>
      <c r="CV361" s="1227"/>
      <c r="CW361" s="1228"/>
      <c r="CX361" s="1227"/>
      <c r="CY361" s="1227"/>
      <c r="CZ361" s="1227"/>
      <c r="DA361" s="1227"/>
      <c r="DB361" s="1228"/>
      <c r="DC361" s="1227"/>
      <c r="DD361" s="1227"/>
      <c r="DE361" s="1227"/>
      <c r="DF361" s="1227"/>
      <c r="DG361" s="1228"/>
      <c r="DH361" s="1227"/>
      <c r="DI361" s="1227"/>
      <c r="DJ361" s="1227"/>
      <c r="DK361" s="1227"/>
      <c r="DL361" s="1228"/>
      <c r="DM361" s="1227"/>
      <c r="DN361" s="1227"/>
      <c r="DO361" s="1227"/>
      <c r="DP361" s="1227"/>
      <c r="DQ361" s="1228"/>
      <c r="DR361" s="1227"/>
      <c r="DS361" s="1227"/>
      <c r="DT361" s="1227"/>
      <c r="DU361" s="1227"/>
      <c r="DV361" s="1228"/>
      <c r="DW361" s="1227"/>
      <c r="DX361" s="1227"/>
      <c r="DY361" s="1227"/>
      <c r="DZ361" s="1227"/>
      <c r="EA361" s="1228"/>
      <c r="EB361" s="1227"/>
      <c r="EC361" s="1227"/>
      <c r="ED361" s="1227"/>
      <c r="EE361" s="1227"/>
      <c r="EF361" s="1228"/>
      <c r="EG361" s="1227"/>
      <c r="EH361" s="1227"/>
      <c r="EI361" s="1227"/>
      <c r="EJ361" s="1227"/>
      <c r="EK361" s="1228"/>
      <c r="EL361" s="1227"/>
      <c r="EM361" s="1227"/>
      <c r="EN361" s="1227"/>
      <c r="EO361" s="1227"/>
      <c r="EP361" s="1228"/>
      <c r="EQ361" s="1227"/>
      <c r="ER361" s="1227"/>
      <c r="ES361" s="1227"/>
      <c r="ET361" s="1227"/>
      <c r="EU361" s="1228"/>
      <c r="EV361" s="1006"/>
      <c r="EW361" s="1006"/>
      <c r="EX361" s="1006"/>
      <c r="EY361" s="1006"/>
      <c r="EZ361" s="1228"/>
      <c r="FA361" s="1006"/>
      <c r="FB361" s="1006"/>
      <c r="FC361" s="1006"/>
      <c r="FD361" s="1006"/>
      <c r="FE361" s="1228"/>
      <c r="FG361" s="660"/>
      <c r="FH361" s="1258"/>
      <c r="FI361" s="1258"/>
      <c r="FJ361" s="1258"/>
      <c r="FK361" s="1259"/>
      <c r="FL361" s="1859"/>
      <c r="FR361" s="232"/>
      <c r="FS361" s="232"/>
      <c r="FT361" s="232"/>
      <c r="FU361" s="232"/>
      <c r="FV361" s="232"/>
      <c r="FW361" s="232"/>
      <c r="FX361" s="232"/>
      <c r="FY361" s="232"/>
      <c r="FZ361" s="232"/>
      <c r="GA361" s="660"/>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row>
    <row r="362" spans="1:256" s="1238" customFormat="1" ht="12.6" customHeight="1" x14ac:dyDescent="0.2">
      <c r="A362" s="1231" t="s">
        <v>140</v>
      </c>
      <c r="B362" s="1232"/>
      <c r="C362" s="1232"/>
      <c r="D362" s="1232"/>
      <c r="E362" s="1232"/>
      <c r="F362" s="1233"/>
      <c r="G362" s="1232"/>
      <c r="H362" s="1232"/>
      <c r="I362" s="1232"/>
      <c r="J362" s="1232"/>
      <c r="K362" s="1233"/>
      <c r="L362" s="1232"/>
      <c r="M362" s="1232"/>
      <c r="N362" s="1232"/>
      <c r="O362" s="1232"/>
      <c r="P362" s="1234"/>
      <c r="Q362" s="1232"/>
      <c r="R362" s="1232"/>
      <c r="S362" s="1232"/>
      <c r="T362" s="1232"/>
      <c r="U362" s="1234"/>
      <c r="V362" s="1235"/>
      <c r="W362" s="1235"/>
      <c r="X362" s="1235"/>
      <c r="Y362" s="1235"/>
      <c r="Z362" s="1234"/>
      <c r="AA362" s="1235"/>
      <c r="AB362" s="1235"/>
      <c r="AC362" s="1235"/>
      <c r="AD362" s="1235"/>
      <c r="AE362" s="1234"/>
      <c r="AF362" s="1235"/>
      <c r="AG362" s="1235"/>
      <c r="AH362" s="1235"/>
      <c r="AI362" s="1235"/>
      <c r="AJ362" s="1234"/>
      <c r="AK362" s="1235"/>
      <c r="AL362" s="1235"/>
      <c r="AM362" s="1235"/>
      <c r="AN362" s="1235"/>
      <c r="AO362" s="1234"/>
      <c r="AP362" s="1235"/>
      <c r="AQ362" s="1235"/>
      <c r="AR362" s="1235"/>
      <c r="AS362" s="1235"/>
      <c r="AT362" s="1234"/>
      <c r="AU362" s="1236"/>
      <c r="AV362" s="1236"/>
      <c r="AW362" s="1236"/>
      <c r="AX362" s="1236"/>
      <c r="AY362" s="1234">
        <f>AY356/AVERAGE(AY351,AT351)</f>
        <v>0.23228117674685456</v>
      </c>
      <c r="AZ362" s="1236"/>
      <c r="BA362" s="1236"/>
      <c r="BB362" s="1236"/>
      <c r="BC362" s="1236"/>
      <c r="BD362" s="1234">
        <f>BD356/AVERAGE(BD351,AY351)</f>
        <v>0.27759373502939932</v>
      </c>
      <c r="BE362" s="1236"/>
      <c r="BF362" s="1236"/>
      <c r="BG362" s="1236"/>
      <c r="BH362" s="1236"/>
      <c r="BI362" s="1234">
        <f>BI356/AVERAGE(BI351,BD351)</f>
        <v>0.32224005833916952</v>
      </c>
      <c r="BJ362" s="1236"/>
      <c r="BK362" s="1236"/>
      <c r="BL362" s="1236"/>
      <c r="BM362" s="1236"/>
      <c r="BN362" s="1234">
        <f>BN356/AVERAGE(BN351,BI351)</f>
        <v>0.32140329421354663</v>
      </c>
      <c r="BO362" s="1236"/>
      <c r="BP362" s="1236"/>
      <c r="BQ362" s="1236"/>
      <c r="BR362" s="1236"/>
      <c r="BS362" s="1234">
        <f>BS356/AVERAGE(BS351,BN351)</f>
        <v>0.31848323922442501</v>
      </c>
      <c r="BT362" s="1236"/>
      <c r="BU362" s="1236"/>
      <c r="BV362" s="1236"/>
      <c r="BW362" s="1236"/>
      <c r="BX362" s="1234">
        <f>BX356/AVERAGE(BX351,BS351)</f>
        <v>0.31899674796657995</v>
      </c>
      <c r="BY362" s="1236"/>
      <c r="BZ362" s="1236"/>
      <c r="CA362" s="1236"/>
      <c r="CB362" s="1236"/>
      <c r="CC362" s="1234">
        <f>CC356/AVERAGE(CC351,BX351)</f>
        <v>0.32249712085134064</v>
      </c>
      <c r="CD362" s="1236"/>
      <c r="CE362" s="1236"/>
      <c r="CF362" s="1236"/>
      <c r="CG362" s="1236"/>
      <c r="CH362" s="1234">
        <f>CH356/AVERAGE(CH351,CC351)</f>
        <v>0.33480126912285024</v>
      </c>
      <c r="CI362" s="1236"/>
      <c r="CJ362" s="1236"/>
      <c r="CK362" s="1236"/>
      <c r="CL362" s="1236"/>
      <c r="CM362" s="1234">
        <f>CM356/AVERAGE(CM351,CH351)</f>
        <v>0.36259489543830342</v>
      </c>
      <c r="CN362" s="1236"/>
      <c r="CO362" s="1236"/>
      <c r="CP362" s="1236"/>
      <c r="CQ362" s="1236"/>
      <c r="CR362" s="1234">
        <f>CR356/AVERAGE(CR351,CM351)</f>
        <v>0.36157250946352348</v>
      </c>
      <c r="CS362" s="1236"/>
      <c r="CT362" s="1236"/>
      <c r="CU362" s="1236"/>
      <c r="CV362" s="1236"/>
      <c r="CW362" s="1234">
        <f>CW356/AVERAGE(CW351,CR351)</f>
        <v>0.40658945851232575</v>
      </c>
      <c r="CX362" s="1236"/>
      <c r="CY362" s="1236"/>
      <c r="CZ362" s="1236"/>
      <c r="DA362" s="1236"/>
      <c r="DB362" s="1234">
        <f>DB356/AVERAGE(DB351,CW351)</f>
        <v>0.29698451685681032</v>
      </c>
      <c r="DC362" s="1236"/>
      <c r="DD362" s="1236"/>
      <c r="DE362" s="1236"/>
      <c r="DF362" s="1236"/>
      <c r="DG362" s="1234">
        <f>DG356/AVERAGE(DG351,DB351)</f>
        <v>0.34249405195007832</v>
      </c>
      <c r="DH362" s="1236"/>
      <c r="DI362" s="1236"/>
      <c r="DJ362" s="1236"/>
      <c r="DK362" s="1236"/>
      <c r="DL362" s="1234">
        <f>DL356/AVERAGE(DL351,DG351)</f>
        <v>0.39381668175225731</v>
      </c>
      <c r="DM362" s="1236"/>
      <c r="DN362" s="1236"/>
      <c r="DO362" s="1236"/>
      <c r="DP362" s="1236"/>
      <c r="DQ362" s="1234">
        <f>DQ356/AVERAGE(DQ351,DL351)</f>
        <v>0.375</v>
      </c>
      <c r="DR362" s="1236"/>
      <c r="DS362" s="1236"/>
      <c r="DT362" s="1236"/>
      <c r="DU362" s="1236"/>
      <c r="DV362" s="1234">
        <f>DV356/AVERAGE(DV351,DQ351)</f>
        <v>0.35797851173895739</v>
      </c>
      <c r="DW362" s="1236"/>
      <c r="DX362" s="1236"/>
      <c r="DY362" s="1236"/>
      <c r="DZ362" s="1236"/>
      <c r="EA362" s="1234">
        <f>EA356/AVERAGE(EA351,DV351)</f>
        <v>0.35394242041319673</v>
      </c>
      <c r="EB362" s="1236"/>
      <c r="EC362" s="1236"/>
      <c r="ED362" s="1236"/>
      <c r="EE362" s="1236"/>
      <c r="EF362" s="1234">
        <f>EF356/AVERAGE(EF351,EA351)</f>
        <v>0.31218164807912208</v>
      </c>
      <c r="EG362" s="1236"/>
      <c r="EH362" s="1236"/>
      <c r="EI362" s="1236"/>
      <c r="EJ362" s="1236"/>
      <c r="EK362" s="1234">
        <f>EK356/AVERAGE(EK351,EF351)</f>
        <v>0.28647998725210411</v>
      </c>
      <c r="EL362" s="1236"/>
      <c r="EM362" s="1236"/>
      <c r="EN362" s="1236"/>
      <c r="EO362" s="1236"/>
      <c r="EP362" s="1234">
        <f>EP356/AVERAGE(EP351,EK351)</f>
        <v>0.29888248374714954</v>
      </c>
      <c r="EQ362" s="1236"/>
      <c r="ER362" s="1236"/>
      <c r="ES362" s="1236"/>
      <c r="ET362" s="1236"/>
      <c r="EU362" s="1234">
        <f ca="1">EU356/AVERAGE(EU351,EP351)</f>
        <v>0.30987742506007615</v>
      </c>
      <c r="EV362" s="1237"/>
      <c r="EW362" s="1237"/>
      <c r="EX362" s="1237"/>
      <c r="EY362" s="1237"/>
      <c r="EZ362" s="1234">
        <f ca="1">EZ356/AVERAGE(EZ351,EU351)</f>
        <v>0.31206756985581502</v>
      </c>
      <c r="FA362" s="1237"/>
      <c r="FB362" s="1237"/>
      <c r="FC362" s="1237"/>
      <c r="FD362" s="1237"/>
      <c r="FE362" s="1234">
        <f ca="1">FE356/AVERAGE(FE351,EZ351)</f>
        <v>0.31246801330798613</v>
      </c>
      <c r="FF362" s="1230"/>
      <c r="FG362" s="660"/>
      <c r="FH362" s="1258"/>
      <c r="FI362" s="1258"/>
      <c r="FJ362" s="1258"/>
      <c r="FK362" s="1259"/>
      <c r="FL362" s="1859"/>
      <c r="FM362" s="1230"/>
      <c r="FN362" s="1230"/>
      <c r="FO362" s="1230"/>
      <c r="FP362" s="1230"/>
      <c r="FQ362" s="1230"/>
      <c r="FR362" s="232"/>
      <c r="FS362" s="232"/>
      <c r="FT362" s="232"/>
      <c r="FU362" s="232"/>
      <c r="FV362" s="232"/>
      <c r="FW362" s="232"/>
      <c r="FX362" s="232"/>
      <c r="FY362" s="232"/>
      <c r="FZ362" s="232"/>
      <c r="GA362" s="660"/>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row>
    <row r="363" spans="1:256" s="1242" customFormat="1" ht="12.6" customHeight="1" x14ac:dyDescent="0.2">
      <c r="A363" s="1239" t="s">
        <v>141</v>
      </c>
      <c r="B363" s="1240"/>
      <c r="C363" s="1240"/>
      <c r="D363" s="1240"/>
      <c r="E363" s="1240"/>
      <c r="F363" s="359"/>
      <c r="G363" s="1240"/>
      <c r="H363" s="1240"/>
      <c r="I363" s="1240"/>
      <c r="J363" s="1240"/>
      <c r="K363" s="359"/>
      <c r="L363" s="1240"/>
      <c r="M363" s="1240"/>
      <c r="N363" s="1240"/>
      <c r="O363" s="1240"/>
      <c r="P363" s="21"/>
      <c r="Q363" s="1240"/>
      <c r="R363" s="1240"/>
      <c r="S363" s="1240"/>
      <c r="T363" s="1240"/>
      <c r="U363" s="21"/>
      <c r="V363" s="357"/>
      <c r="W363" s="357"/>
      <c r="X363" s="357"/>
      <c r="Y363" s="357"/>
      <c r="Z363" s="21"/>
      <c r="AA363" s="357"/>
      <c r="AB363" s="357"/>
      <c r="AC363" s="357"/>
      <c r="AD363" s="357"/>
      <c r="AE363" s="21"/>
      <c r="AF363" s="357"/>
      <c r="AG363" s="357"/>
      <c r="AH363" s="357"/>
      <c r="AI363" s="357"/>
      <c r="AJ363" s="21"/>
      <c r="AK363" s="357"/>
      <c r="AL363" s="357"/>
      <c r="AM363" s="357"/>
      <c r="AN363" s="357"/>
      <c r="AO363" s="21"/>
      <c r="AP363" s="357"/>
      <c r="AQ363" s="357"/>
      <c r="AR363" s="357"/>
      <c r="AS363" s="357"/>
      <c r="AT363" s="21"/>
      <c r="AU363" s="1241"/>
      <c r="AV363" s="1241"/>
      <c r="AW363" s="1241"/>
      <c r="AX363" s="1241"/>
      <c r="AY363" s="21">
        <f>AY359/AY356</f>
        <v>0.16371672006611585</v>
      </c>
      <c r="AZ363" s="1241"/>
      <c r="BA363" s="1241"/>
      <c r="BB363" s="1241"/>
      <c r="BC363" s="1241"/>
      <c r="BD363" s="21">
        <f>BD359/BD356</f>
        <v>6.0461239146210245E-2</v>
      </c>
      <c r="BE363" s="1241"/>
      <c r="BF363" s="1241"/>
      <c r="BG363" s="1241"/>
      <c r="BH363" s="1241"/>
      <c r="BI363" s="21">
        <f>BI359/BI356</f>
        <v>3.3797091409073499E-2</v>
      </c>
      <c r="BJ363" s="1241"/>
      <c r="BK363" s="1241"/>
      <c r="BL363" s="1241"/>
      <c r="BM363" s="1241"/>
      <c r="BN363" s="21">
        <f>BN359/BN356</f>
        <v>5.6936790923824962E-2</v>
      </c>
      <c r="BO363" s="1241"/>
      <c r="BP363" s="1241"/>
      <c r="BQ363" s="1241"/>
      <c r="BR363" s="1241"/>
      <c r="BS363" s="21">
        <f>BS359/BS356</f>
        <v>7.3365231259968106E-2</v>
      </c>
      <c r="BT363" s="1241"/>
      <c r="BU363" s="1241"/>
      <c r="BV363" s="1241"/>
      <c r="BW363" s="1241"/>
      <c r="BX363" s="21">
        <f>BX359/BX356</f>
        <v>8.1787260358688926E-2</v>
      </c>
      <c r="BY363" s="1241"/>
      <c r="BZ363" s="1241"/>
      <c r="CA363" s="1241"/>
      <c r="CB363" s="1241"/>
      <c r="CC363" s="21">
        <f>CC359/CC356</f>
        <v>0.11898249452954048</v>
      </c>
      <c r="CD363" s="1241"/>
      <c r="CE363" s="1241"/>
      <c r="CF363" s="1241"/>
      <c r="CG363" s="1241"/>
      <c r="CH363" s="21">
        <f>CH359/CH356</f>
        <v>0.13721671388101983</v>
      </c>
      <c r="CI363" s="1241"/>
      <c r="CJ363" s="1241"/>
      <c r="CK363" s="1241"/>
      <c r="CL363" s="1241"/>
      <c r="CM363" s="21">
        <f>CM359/CM356</f>
        <v>0.15744658233230571</v>
      </c>
      <c r="CN363" s="1241"/>
      <c r="CO363" s="1241"/>
      <c r="CP363" s="1241"/>
      <c r="CQ363" s="1241"/>
      <c r="CR363" s="21">
        <f>CR359/CR356</f>
        <v>0.15723070398642919</v>
      </c>
      <c r="CS363" s="1241"/>
      <c r="CT363" s="1241"/>
      <c r="CU363" s="1241"/>
      <c r="CV363" s="1241"/>
      <c r="CW363" s="21">
        <f>CW359/CW356</f>
        <v>0.16170598245864334</v>
      </c>
      <c r="CX363" s="1241"/>
      <c r="CY363" s="1241"/>
      <c r="CZ363" s="1241"/>
      <c r="DA363" s="1241"/>
      <c r="DB363" s="21">
        <f>DB359/DB356</f>
        <v>0.1297527920692684</v>
      </c>
      <c r="DC363" s="1241"/>
      <c r="DD363" s="1241"/>
      <c r="DE363" s="1241"/>
      <c r="DF363" s="1241"/>
      <c r="DG363" s="21">
        <f>DG359/DG356</f>
        <v>0.15625189074882059</v>
      </c>
      <c r="DH363" s="1241"/>
      <c r="DI363" s="1241"/>
      <c r="DJ363" s="1241"/>
      <c r="DK363" s="1241"/>
      <c r="DL363" s="21">
        <f>DL359/DL356</f>
        <v>0.16809881847475833</v>
      </c>
      <c r="DM363" s="1241"/>
      <c r="DN363" s="1241"/>
      <c r="DO363" s="1241"/>
      <c r="DP363" s="1241"/>
      <c r="DQ363" s="21">
        <f>DQ359/DQ356</f>
        <v>0.15842391304347825</v>
      </c>
      <c r="DR363" s="1241"/>
      <c r="DS363" s="1241"/>
      <c r="DT363" s="1241"/>
      <c r="DU363" s="1241"/>
      <c r="DV363" s="21">
        <f>DV359/DV356</f>
        <v>0.16443752779012893</v>
      </c>
      <c r="DW363" s="1241"/>
      <c r="DX363" s="1241"/>
      <c r="DY363" s="1241"/>
      <c r="DZ363" s="1241"/>
      <c r="EA363" s="21">
        <f>EA359/EA356</f>
        <v>0.17202339986235374</v>
      </c>
      <c r="EB363" s="1241"/>
      <c r="EC363" s="1241"/>
      <c r="ED363" s="1241"/>
      <c r="EE363" s="1241"/>
      <c r="EF363" s="21">
        <f>EF359/EF356</f>
        <v>0.14799733612406049</v>
      </c>
      <c r="EG363" s="1241"/>
      <c r="EH363" s="1241"/>
      <c r="EI363" s="1241"/>
      <c r="EJ363" s="1241"/>
      <c r="EK363" s="21">
        <f>EK359/EK356</f>
        <v>0.16862864077669903</v>
      </c>
      <c r="EL363" s="1241"/>
      <c r="EM363" s="1241"/>
      <c r="EN363" s="1241"/>
      <c r="EO363" s="1241"/>
      <c r="EP363" s="21">
        <f>EP359/EP356</f>
        <v>0.18216282816794616</v>
      </c>
      <c r="EQ363" s="1241"/>
      <c r="ER363" s="1241"/>
      <c r="ES363" s="1241"/>
      <c r="ET363" s="1241"/>
      <c r="EU363" s="21">
        <f>EU359/EU356</f>
        <v>0.20830043237505161</v>
      </c>
      <c r="EV363" s="1006"/>
      <c r="EW363" s="1006"/>
      <c r="EX363" s="1006"/>
      <c r="EY363" s="1006"/>
      <c r="EZ363" s="21">
        <f>EZ359/EZ356</f>
        <v>0.20916549537037252</v>
      </c>
      <c r="FA363" s="1006"/>
      <c r="FB363" s="1006"/>
      <c r="FC363" s="1006"/>
      <c r="FD363" s="1006"/>
      <c r="FE363" s="21">
        <f>FE359/FE356</f>
        <v>0.2120251777484605</v>
      </c>
      <c r="FF363" s="1230"/>
      <c r="FG363" s="660"/>
      <c r="FH363" s="1258"/>
      <c r="FI363" s="1258"/>
      <c r="FJ363" s="1258"/>
      <c r="FK363" s="1259"/>
      <c r="FL363" s="1859"/>
      <c r="FM363" s="1230"/>
      <c r="FN363" s="1230"/>
      <c r="FO363" s="1230"/>
      <c r="FP363" s="1230"/>
      <c r="FQ363" s="1230"/>
      <c r="FR363" s="232"/>
      <c r="FS363" s="232"/>
      <c r="FT363" s="232"/>
      <c r="FU363" s="232"/>
      <c r="FV363" s="232"/>
      <c r="FW363" s="232"/>
      <c r="FX363" s="232"/>
      <c r="FY363" s="232"/>
      <c r="FZ363" s="232"/>
      <c r="GA363" s="660"/>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row>
    <row r="364" spans="1:256" s="1242" customFormat="1" ht="12.6" customHeight="1" x14ac:dyDescent="0.2">
      <c r="A364" s="1239" t="s">
        <v>142</v>
      </c>
      <c r="B364" s="1240"/>
      <c r="C364" s="1240"/>
      <c r="D364" s="1240"/>
      <c r="E364" s="1240"/>
      <c r="F364" s="359"/>
      <c r="G364" s="1240"/>
      <c r="H364" s="1240"/>
      <c r="I364" s="1240"/>
      <c r="J364" s="1240"/>
      <c r="K364" s="359"/>
      <c r="L364" s="1240"/>
      <c r="M364" s="1240"/>
      <c r="N364" s="1240"/>
      <c r="O364" s="1240"/>
      <c r="P364" s="21"/>
      <c r="Q364" s="1240"/>
      <c r="R364" s="1240"/>
      <c r="S364" s="1240"/>
      <c r="T364" s="1240"/>
      <c r="U364" s="21"/>
      <c r="V364" s="357"/>
      <c r="W364" s="357"/>
      <c r="X364" s="357"/>
      <c r="Y364" s="357"/>
      <c r="Z364" s="21"/>
      <c r="AA364" s="357"/>
      <c r="AB364" s="357"/>
      <c r="AC364" s="357"/>
      <c r="AD364" s="357"/>
      <c r="AE364" s="21"/>
      <c r="AF364" s="357"/>
      <c r="AG364" s="357"/>
      <c r="AH364" s="357"/>
      <c r="AI364" s="357"/>
      <c r="AJ364" s="21"/>
      <c r="AK364" s="357"/>
      <c r="AL364" s="357"/>
      <c r="AM364" s="357"/>
      <c r="AN364" s="357"/>
      <c r="AO364" s="21"/>
      <c r="AP364" s="357"/>
      <c r="AQ364" s="357"/>
      <c r="AR364" s="357"/>
      <c r="AS364" s="357"/>
      <c r="AT364" s="21"/>
      <c r="AU364" s="1241"/>
      <c r="AV364" s="1241"/>
      <c r="AW364" s="1241"/>
      <c r="AX364" s="1241"/>
      <c r="AY364" s="21">
        <f>AY363*AY362</f>
        <v>3.8028312390092765E-2</v>
      </c>
      <c r="AZ364" s="1241"/>
      <c r="BA364" s="1241"/>
      <c r="BB364" s="1241"/>
      <c r="BC364" s="1241"/>
      <c r="BD364" s="21">
        <f>BD363*BD362</f>
        <v>1.6783661199102233E-2</v>
      </c>
      <c r="BE364" s="1241"/>
      <c r="BF364" s="1241"/>
      <c r="BG364" s="1241"/>
      <c r="BH364" s="1241"/>
      <c r="BI364" s="21">
        <f>BI363*BI362</f>
        <v>1.089077670735409E-2</v>
      </c>
      <c r="BJ364" s="1241"/>
      <c r="BK364" s="1241"/>
      <c r="BL364" s="1241"/>
      <c r="BM364" s="1241"/>
      <c r="BN364" s="21">
        <f>BN363*BN362</f>
        <v>1.8299672164865305E-2</v>
      </c>
      <c r="BO364" s="1241"/>
      <c r="BP364" s="1241"/>
      <c r="BQ364" s="1241"/>
      <c r="BR364" s="1241"/>
      <c r="BS364" s="21">
        <f>BS363*BS362</f>
        <v>2.3365596498123687E-2</v>
      </c>
      <c r="BT364" s="1241"/>
      <c r="BU364" s="1241"/>
      <c r="BV364" s="1241"/>
      <c r="BW364" s="1241"/>
      <c r="BX364" s="21">
        <f>BX363*BX362</f>
        <v>2.6089870079517748E-2</v>
      </c>
      <c r="BY364" s="1241"/>
      <c r="BZ364" s="1241"/>
      <c r="CA364" s="1241"/>
      <c r="CB364" s="1241"/>
      <c r="CC364" s="21">
        <f>CC363*CC362</f>
        <v>3.8371511917487187E-2</v>
      </c>
      <c r="CD364" s="1241"/>
      <c r="CE364" s="1241"/>
      <c r="CF364" s="1241"/>
      <c r="CG364" s="1241"/>
      <c r="CH364" s="21">
        <f>CH363*CH362</f>
        <v>4.5940329952232462E-2</v>
      </c>
      <c r="CI364" s="1241"/>
      <c r="CJ364" s="1241"/>
      <c r="CK364" s="1241"/>
      <c r="CL364" s="1241"/>
      <c r="CM364" s="21">
        <f>CM363*CM362</f>
        <v>5.7089327057900624E-2</v>
      </c>
      <c r="CN364" s="1241"/>
      <c r="CO364" s="1241"/>
      <c r="CP364" s="1241"/>
      <c r="CQ364" s="1241"/>
      <c r="CR364" s="21">
        <f>CR363*CR362</f>
        <v>5.6850300205089625E-2</v>
      </c>
      <c r="CS364" s="1241"/>
      <c r="CT364" s="1241"/>
      <c r="CU364" s="1241"/>
      <c r="CV364" s="1241"/>
      <c r="CW364" s="21">
        <f>CW363*CW362</f>
        <v>6.5747947846063443E-2</v>
      </c>
      <c r="CX364" s="1241"/>
      <c r="CY364" s="1241"/>
      <c r="CZ364" s="1241"/>
      <c r="DA364" s="1241"/>
      <c r="DB364" s="21">
        <f>DB363*DB362</f>
        <v>3.8534570263513847E-2</v>
      </c>
      <c r="DC364" s="1241"/>
      <c r="DD364" s="1241"/>
      <c r="DE364" s="1241"/>
      <c r="DF364" s="1241"/>
      <c r="DG364" s="21">
        <f>DG363*DG362</f>
        <v>5.351534318742452E-2</v>
      </c>
      <c r="DH364" s="1241"/>
      <c r="DI364" s="1241"/>
      <c r="DJ364" s="1241"/>
      <c r="DK364" s="1241"/>
      <c r="DL364" s="21">
        <f>DL363*DL362</f>
        <v>6.6200118898204374E-2</v>
      </c>
      <c r="DM364" s="1241"/>
      <c r="DN364" s="1241"/>
      <c r="DO364" s="1241"/>
      <c r="DP364" s="1241"/>
      <c r="DQ364" s="21">
        <f>DQ363*DQ362</f>
        <v>5.9408967391304343E-2</v>
      </c>
      <c r="DR364" s="1241"/>
      <c r="DS364" s="1241"/>
      <c r="DT364" s="1241"/>
      <c r="DU364" s="1241"/>
      <c r="DV364" s="21">
        <f>DV363*DV362</f>
        <v>5.8865101472343806E-2</v>
      </c>
      <c r="DW364" s="1241"/>
      <c r="DX364" s="1241"/>
      <c r="DY364" s="1241"/>
      <c r="DZ364" s="1241"/>
      <c r="EA364" s="21">
        <f>EA363*EA362</f>
        <v>6.0886378514988654E-2</v>
      </c>
      <c r="EB364" s="1241"/>
      <c r="EC364" s="1241"/>
      <c r="ED364" s="1241"/>
      <c r="EE364" s="1241"/>
      <c r="EF364" s="21">
        <f>EF363*EF362</f>
        <v>4.6202052302528995E-2</v>
      </c>
      <c r="EG364" s="1241"/>
      <c r="EH364" s="1241"/>
      <c r="EI364" s="1241"/>
      <c r="EJ364" s="1241"/>
      <c r="EK364" s="21">
        <f>EK363*EK362</f>
        <v>4.8308730860048381E-2</v>
      </c>
      <c r="EL364" s="1241"/>
      <c r="EM364" s="1241"/>
      <c r="EN364" s="1241"/>
      <c r="EO364" s="1241"/>
      <c r="EP364" s="21">
        <f>EP363*EP362</f>
        <v>5.4445278529240963E-2</v>
      </c>
      <c r="EQ364" s="1241"/>
      <c r="ER364" s="1241"/>
      <c r="ES364" s="1241"/>
      <c r="ET364" s="1241"/>
      <c r="EU364" s="21">
        <f ca="1">EU363*EU362</f>
        <v>6.454760162328152E-2</v>
      </c>
      <c r="EV364" s="1006"/>
      <c r="EW364" s="1006"/>
      <c r="EX364" s="1006"/>
      <c r="EY364" s="1006"/>
      <c r="EZ364" s="21">
        <f ca="1">EZ363*EZ362</f>
        <v>6.5273767837919883E-2</v>
      </c>
      <c r="FA364" s="1006"/>
      <c r="FB364" s="1006"/>
      <c r="FC364" s="1006"/>
      <c r="FD364" s="1006"/>
      <c r="FE364" s="21">
        <f ca="1">FE363*FE362</f>
        <v>6.6251086062334083E-2</v>
      </c>
      <c r="FF364" s="1230"/>
      <c r="FG364" s="660"/>
      <c r="FH364" s="1258"/>
      <c r="FI364" s="1258"/>
      <c r="FJ364" s="1258"/>
      <c r="FK364" s="1259"/>
      <c r="FL364" s="1859"/>
      <c r="FM364" s="1230"/>
      <c r="FN364" s="1230"/>
      <c r="FO364" s="1230"/>
      <c r="FP364" s="1230"/>
      <c r="FQ364" s="1230"/>
      <c r="FR364" s="232"/>
      <c r="FS364" s="232"/>
      <c r="FT364" s="232"/>
      <c r="FU364" s="232"/>
      <c r="FV364" s="232"/>
      <c r="FW364" s="232"/>
      <c r="FX364" s="232"/>
      <c r="FY364" s="232"/>
      <c r="FZ364" s="232"/>
      <c r="GA364" s="660"/>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row>
    <row r="365" spans="1:256" s="1250" customFormat="1" ht="12.6" customHeight="1" x14ac:dyDescent="0.2">
      <c r="A365" s="1243" t="s">
        <v>143</v>
      </c>
      <c r="B365" s="1244"/>
      <c r="C365" s="1244"/>
      <c r="D365" s="1244"/>
      <c r="E365" s="1244"/>
      <c r="F365" s="1245"/>
      <c r="G365" s="1244"/>
      <c r="H365" s="1244"/>
      <c r="I365" s="1244"/>
      <c r="J365" s="1244"/>
      <c r="K365" s="1245"/>
      <c r="L365" s="1244"/>
      <c r="M365" s="1244"/>
      <c r="N365" s="1244"/>
      <c r="O365" s="1244"/>
      <c r="P365" s="1246"/>
      <c r="Q365" s="1244"/>
      <c r="R365" s="1244"/>
      <c r="S365" s="1244"/>
      <c r="T365" s="1244"/>
      <c r="U365" s="1246"/>
      <c r="V365" s="1247"/>
      <c r="W365" s="1247"/>
      <c r="X365" s="1247"/>
      <c r="Y365" s="1247"/>
      <c r="Z365" s="1246"/>
      <c r="AA365" s="1247"/>
      <c r="AB365" s="1247"/>
      <c r="AC365" s="1247"/>
      <c r="AD365" s="1247"/>
      <c r="AE365" s="1246"/>
      <c r="AF365" s="1247"/>
      <c r="AG365" s="1247"/>
      <c r="AH365" s="1247"/>
      <c r="AI365" s="1247"/>
      <c r="AJ365" s="1246"/>
      <c r="AK365" s="1247"/>
      <c r="AL365" s="1247"/>
      <c r="AM365" s="1247"/>
      <c r="AN365" s="1247"/>
      <c r="AO365" s="1246"/>
      <c r="AP365" s="1247"/>
      <c r="AQ365" s="1247"/>
      <c r="AR365" s="1247"/>
      <c r="AS365" s="1247"/>
      <c r="AT365" s="1246"/>
      <c r="AU365" s="1248"/>
      <c r="AV365" s="1248"/>
      <c r="AW365" s="1248"/>
      <c r="AX365" s="1248"/>
      <c r="AY365" s="1246">
        <f>AY351/AY353</f>
        <v>3.0704405307110378</v>
      </c>
      <c r="AZ365" s="1248"/>
      <c r="BA365" s="1248"/>
      <c r="BB365" s="1248"/>
      <c r="BC365" s="1248"/>
      <c r="BD365" s="1246">
        <f>BD351/BD353</f>
        <v>3.2451262847097726</v>
      </c>
      <c r="BE365" s="1248"/>
      <c r="BF365" s="1248"/>
      <c r="BG365" s="1248"/>
      <c r="BH365" s="1248"/>
      <c r="BI365" s="1246">
        <f>BI351/BI353</f>
        <v>3.2582539132405186</v>
      </c>
      <c r="BJ365" s="1248"/>
      <c r="BK365" s="1248"/>
      <c r="BL365" s="1248"/>
      <c r="BM365" s="1248"/>
      <c r="BN365" s="1246">
        <f>BN351/BN353</f>
        <v>3.1885155407940857</v>
      </c>
      <c r="BO365" s="1248"/>
      <c r="BP365" s="1248"/>
      <c r="BQ365" s="1248"/>
      <c r="BR365" s="1248"/>
      <c r="BS365" s="1246">
        <f>BS351/BS353</f>
        <v>3.0701644460802355</v>
      </c>
      <c r="BT365" s="1248"/>
      <c r="BU365" s="1248"/>
      <c r="BV365" s="1248"/>
      <c r="BW365" s="1248"/>
      <c r="BX365" s="1246">
        <f>BX351/BX353</f>
        <v>2.9524180971387719</v>
      </c>
      <c r="BY365" s="1248"/>
      <c r="BZ365" s="1248"/>
      <c r="CA365" s="1248"/>
      <c r="CB365" s="1248"/>
      <c r="CC365" s="1246">
        <f>CC351/CC353</f>
        <v>3.0976311164393131</v>
      </c>
      <c r="CD365" s="1248"/>
      <c r="CE365" s="1248"/>
      <c r="CF365" s="1248"/>
      <c r="CG365" s="1248"/>
      <c r="CH365" s="1246">
        <f>CH351/CH353</f>
        <v>2.7877376598294417</v>
      </c>
      <c r="CI365" s="1248"/>
      <c r="CJ365" s="1248"/>
      <c r="CK365" s="1248"/>
      <c r="CL365" s="1248"/>
      <c r="CM365" s="1246">
        <f>CM351/CM353</f>
        <v>2.7070256982704097</v>
      </c>
      <c r="CN365" s="1248"/>
      <c r="CO365" s="1248"/>
      <c r="CP365" s="1248"/>
      <c r="CQ365" s="1248"/>
      <c r="CR365" s="1246">
        <f>CR351/CR353</f>
        <v>2.6877820369714933</v>
      </c>
      <c r="CS365" s="1248"/>
      <c r="CT365" s="1248"/>
      <c r="CU365" s="1248"/>
      <c r="CV365" s="1248"/>
      <c r="CW365" s="1246">
        <f>CW351/CW353</f>
        <v>2.7372798929648923</v>
      </c>
      <c r="CX365" s="1248"/>
      <c r="CY365" s="1248"/>
      <c r="CZ365" s="1248"/>
      <c r="DA365" s="1248"/>
      <c r="DB365" s="1246">
        <f>DB351/DB353</f>
        <v>2.6435863461398772</v>
      </c>
      <c r="DC365" s="1248"/>
      <c r="DD365" s="1248"/>
      <c r="DE365" s="1248"/>
      <c r="DF365" s="1248"/>
      <c r="DG365" s="1246">
        <f>DG351/DG353</f>
        <v>2.6430835334627849</v>
      </c>
      <c r="DH365" s="1248"/>
      <c r="DI365" s="1248"/>
      <c r="DJ365" s="1248"/>
      <c r="DK365" s="1248"/>
      <c r="DL365" s="1246">
        <f>DL351/DL353</f>
        <v>2.8794268994047019</v>
      </c>
      <c r="DM365" s="1248"/>
      <c r="DN365" s="1248"/>
      <c r="DO365" s="1248"/>
      <c r="DP365" s="1248"/>
      <c r="DQ365" s="1246">
        <f>DQ351/DQ353</f>
        <v>3.1088114754098362</v>
      </c>
      <c r="DR365" s="1248"/>
      <c r="DS365" s="1248"/>
      <c r="DT365" s="1248"/>
      <c r="DU365" s="1248"/>
      <c r="DV365" s="1246">
        <f>DV351/DV353</f>
        <v>2.8774027814686862</v>
      </c>
      <c r="DW365" s="1248"/>
      <c r="DX365" s="1248"/>
      <c r="DY365" s="1248"/>
      <c r="DZ365" s="1248"/>
      <c r="EA365" s="1246">
        <f>EA351/EA353</f>
        <v>2.6756931012250162</v>
      </c>
      <c r="EB365" s="1248"/>
      <c r="EC365" s="1248"/>
      <c r="ED365" s="1248"/>
      <c r="EE365" s="1248"/>
      <c r="EF365" s="1246">
        <f>EF351/EF353</f>
        <v>2.8010338037413849</v>
      </c>
      <c r="EG365" s="1248"/>
      <c r="EH365" s="1248"/>
      <c r="EI365" s="1248"/>
      <c r="EJ365" s="1248"/>
      <c r="EK365" s="1246">
        <f>EK351/EK353</f>
        <v>2.8118301232976064</v>
      </c>
      <c r="EL365" s="1248"/>
      <c r="EM365" s="1248"/>
      <c r="EN365" s="1248"/>
      <c r="EO365" s="1248"/>
      <c r="EP365" s="1246">
        <f>EP351/EP353</f>
        <v>2.1829573934837092</v>
      </c>
      <c r="EQ365" s="1248"/>
      <c r="ER365" s="1248"/>
      <c r="ES365" s="1248"/>
      <c r="ET365" s="1248"/>
      <c r="EU365" s="1246">
        <f ca="1">EU351/EU353</f>
        <v>2.2207189149326481</v>
      </c>
      <c r="EV365" s="1249"/>
      <c r="EW365" s="1249"/>
      <c r="EX365" s="1249"/>
      <c r="EY365" s="1249"/>
      <c r="EZ365" s="1246">
        <f ca="1">EZ351/EZ353</f>
        <v>2.1953738710425199</v>
      </c>
      <c r="FA365" s="1249"/>
      <c r="FB365" s="1249"/>
      <c r="FC365" s="1249"/>
      <c r="FD365" s="1249"/>
      <c r="FE365" s="1246">
        <f ca="1">FE351/FE353</f>
        <v>2.1677590682246932</v>
      </c>
      <c r="FF365" s="1230"/>
      <c r="FG365" s="660"/>
      <c r="FH365" s="1258"/>
      <c r="FI365" s="1258"/>
      <c r="FJ365" s="1258"/>
      <c r="FK365" s="1259"/>
      <c r="FL365" s="1859"/>
      <c r="FM365" s="1230"/>
      <c r="FN365" s="1230"/>
      <c r="FO365" s="1230"/>
      <c r="FP365" s="1230"/>
      <c r="FQ365" s="1230"/>
      <c r="FR365" s="232"/>
      <c r="FS365" s="232"/>
      <c r="FT365" s="232"/>
      <c r="FU365" s="232"/>
      <c r="FV365" s="232"/>
      <c r="FW365" s="232"/>
      <c r="FX365" s="232"/>
      <c r="FY365" s="232"/>
      <c r="FZ365" s="232"/>
      <c r="GA365" s="660"/>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row>
    <row r="366" spans="1:256" s="1250" customFormat="1" ht="12.6" customHeight="1" x14ac:dyDescent="0.2">
      <c r="A366" s="1243" t="s">
        <v>144</v>
      </c>
      <c r="B366" s="1244"/>
      <c r="C366" s="1244"/>
      <c r="D366" s="1244"/>
      <c r="E366" s="1244"/>
      <c r="F366" s="1245"/>
      <c r="G366" s="1244"/>
      <c r="H366" s="1244"/>
      <c r="I366" s="1244"/>
      <c r="J366" s="1244"/>
      <c r="K366" s="1245"/>
      <c r="L366" s="1244"/>
      <c r="M366" s="1244"/>
      <c r="N366" s="1244"/>
      <c r="O366" s="1244"/>
      <c r="P366" s="1246"/>
      <c r="Q366" s="1244"/>
      <c r="R366" s="1244"/>
      <c r="S366" s="1244"/>
      <c r="T366" s="1244"/>
      <c r="U366" s="1246"/>
      <c r="V366" s="1247"/>
      <c r="W366" s="1247"/>
      <c r="X366" s="1247"/>
      <c r="Y366" s="1247"/>
      <c r="Z366" s="1246"/>
      <c r="AA366" s="1247"/>
      <c r="AB366" s="1247"/>
      <c r="AC366" s="1247"/>
      <c r="AD366" s="1247"/>
      <c r="AE366" s="1246"/>
      <c r="AF366" s="1247"/>
      <c r="AG366" s="1247"/>
      <c r="AH366" s="1247"/>
      <c r="AI366" s="1247"/>
      <c r="AJ366" s="1246"/>
      <c r="AK366" s="1247"/>
      <c r="AL366" s="1247"/>
      <c r="AM366" s="1247"/>
      <c r="AN366" s="1247"/>
      <c r="AO366" s="1246"/>
      <c r="AP366" s="1247"/>
      <c r="AQ366" s="1247"/>
      <c r="AR366" s="1247"/>
      <c r="AS366" s="1247"/>
      <c r="AT366" s="1246"/>
      <c r="AU366" s="1248"/>
      <c r="AV366" s="1248"/>
      <c r="AW366" s="1248"/>
      <c r="AX366" s="1248"/>
      <c r="AY366" s="1246">
        <f>+AY355/AY360</f>
        <v>5.1117417761944068</v>
      </c>
      <c r="AZ366" s="1248"/>
      <c r="BA366" s="1248"/>
      <c r="BB366" s="1248"/>
      <c r="BC366" s="1248"/>
      <c r="BD366" s="1246">
        <f>+BD355/BD360</f>
        <v>6.7231538983732682</v>
      </c>
      <c r="BE366" s="1248"/>
      <c r="BF366" s="1248"/>
      <c r="BG366" s="1248"/>
      <c r="BH366" s="1248"/>
      <c r="BI366" s="1246">
        <f>+BI355/BI360</f>
        <v>5.8693312836279787</v>
      </c>
      <c r="BJ366" s="1248"/>
      <c r="BK366" s="1248"/>
      <c r="BL366" s="1248"/>
      <c r="BM366" s="1248"/>
      <c r="BN366" s="1246">
        <f>+BN355/BN360</f>
        <v>4.8836291913214991</v>
      </c>
      <c r="BO366" s="1248"/>
      <c r="BP366" s="1248"/>
      <c r="BQ366" s="1248"/>
      <c r="BR366" s="1248"/>
      <c r="BS366" s="1246">
        <f>+BS355/BS360</f>
        <v>4.2916915720263002</v>
      </c>
      <c r="BT366" s="1248"/>
      <c r="BU366" s="1248"/>
      <c r="BV366" s="1248"/>
      <c r="BW366" s="1248"/>
      <c r="BX366" s="1246">
        <f>+BX355/BX360</f>
        <v>4.0831353919239906</v>
      </c>
      <c r="BY366" s="1248"/>
      <c r="BZ366" s="1248"/>
      <c r="CA366" s="1248"/>
      <c r="CB366" s="1248"/>
      <c r="CC366" s="1246">
        <f>+CC355/CC360</f>
        <v>3.068695652173913</v>
      </c>
      <c r="CD366" s="1248"/>
      <c r="CE366" s="1248"/>
      <c r="CF366" s="1248"/>
      <c r="CG366" s="1248"/>
      <c r="CH366" s="1246">
        <f>+CH355/CH360</f>
        <v>2.3244662233111657</v>
      </c>
      <c r="CI366" s="1248"/>
      <c r="CJ366" s="1248"/>
      <c r="CK366" s="1248"/>
      <c r="CL366" s="1248"/>
      <c r="CM366" s="1246">
        <f>+CM355/CM360</f>
        <v>1.8430955993930198</v>
      </c>
      <c r="CN366" s="1248"/>
      <c r="CO366" s="1248"/>
      <c r="CP366" s="1248"/>
      <c r="CQ366" s="1248"/>
      <c r="CR366" s="1246">
        <f>+CR355/CR360</f>
        <v>1.8339285714285714</v>
      </c>
      <c r="CS366" s="1248"/>
      <c r="CT366" s="1248"/>
      <c r="CU366" s="1248"/>
      <c r="CV366" s="1248"/>
      <c r="CW366" s="1246">
        <f>+CW355/CW360</f>
        <v>1.5506280440912588</v>
      </c>
      <c r="CX366" s="1248"/>
      <c r="CY366" s="1248"/>
      <c r="CZ366" s="1248"/>
      <c r="DA366" s="1248"/>
      <c r="DB366" s="1246">
        <f>+DB355/DB360</f>
        <v>2.1997141836370133</v>
      </c>
      <c r="DC366" s="1248"/>
      <c r="DD366" s="1248"/>
      <c r="DE366" s="1248"/>
      <c r="DF366" s="1248"/>
      <c r="DG366" s="1246">
        <f>+DG355/DG360</f>
        <v>1.7734549118473262</v>
      </c>
      <c r="DH366" s="1248"/>
      <c r="DI366" s="1248"/>
      <c r="DJ366" s="1248"/>
      <c r="DK366" s="1248"/>
      <c r="DL366" s="1246">
        <f>+DL355/DL360</f>
        <v>1.7454633438180498</v>
      </c>
      <c r="DM366" s="1248"/>
      <c r="DN366" s="1248"/>
      <c r="DO366" s="1248"/>
      <c r="DP366" s="1248"/>
      <c r="DQ366" s="1246">
        <f>+DQ355/DQ360</f>
        <v>1.9873762376237625</v>
      </c>
      <c r="DR366" s="1248"/>
      <c r="DS366" s="1248"/>
      <c r="DT366" s="1248"/>
      <c r="DU366" s="1248"/>
      <c r="DV366" s="1246">
        <f>+DV355/DV360</f>
        <v>1.811646297627606</v>
      </c>
      <c r="DW366" s="1248"/>
      <c r="DX366" s="1248"/>
      <c r="DY366" s="1248"/>
      <c r="DZ366" s="1248"/>
      <c r="EA366" s="1246">
        <f>+EA355/EA360</f>
        <v>1.7697355339033605</v>
      </c>
      <c r="EB366" s="1248"/>
      <c r="EC366" s="1248"/>
      <c r="ED366" s="1248"/>
      <c r="EE366" s="1248"/>
      <c r="EF366" s="1246">
        <f>+EF355/EF360</f>
        <v>2.1564245810055866</v>
      </c>
      <c r="EG366" s="1248"/>
      <c r="EH366" s="1248"/>
      <c r="EI366" s="1248"/>
      <c r="EJ366" s="1248"/>
      <c r="EK366" s="1246">
        <f>+EK355/EK360</f>
        <v>2.1234146341463416</v>
      </c>
      <c r="EL366" s="1248"/>
      <c r="EM366" s="1248"/>
      <c r="EN366" s="1248"/>
      <c r="EO366" s="1248"/>
      <c r="EP366" s="1246">
        <f>+EP355/EP360</f>
        <v>1.9308630817894261</v>
      </c>
      <c r="EQ366" s="1248"/>
      <c r="ER366" s="1248"/>
      <c r="ES366" s="1248"/>
      <c r="ET366" s="1248"/>
      <c r="EU366" s="1246">
        <f ca="1">+EU355/EU360</f>
        <v>1.9685951930738319</v>
      </c>
      <c r="EV366" s="1249"/>
      <c r="EW366" s="1249"/>
      <c r="EX366" s="1249"/>
      <c r="EY366" s="1249"/>
      <c r="EZ366" s="1246">
        <f ca="1">+EZ355/EZ360</f>
        <v>1.8997714946311495</v>
      </c>
      <c r="FA366" s="1249"/>
      <c r="FB366" s="1249"/>
      <c r="FC366" s="1249"/>
      <c r="FD366" s="1249"/>
      <c r="FE366" s="1246">
        <f ca="1">+FE355/FE360</f>
        <v>1.8115836471151028</v>
      </c>
      <c r="FF366" s="1230"/>
      <c r="FG366" s="660"/>
      <c r="FH366" s="1258"/>
      <c r="FI366" s="1258"/>
      <c r="FJ366" s="1258"/>
      <c r="FK366" s="1259"/>
      <c r="FL366" s="1859"/>
      <c r="FM366" s="1230"/>
      <c r="FN366" s="1230"/>
      <c r="FO366" s="1230"/>
      <c r="FP366" s="1230"/>
      <c r="FQ366" s="1230"/>
      <c r="FR366" s="232"/>
      <c r="FS366" s="232"/>
      <c r="FT366" s="232"/>
      <c r="FU366" s="232"/>
      <c r="FV366" s="232"/>
      <c r="FW366" s="232"/>
      <c r="FX366" s="232"/>
      <c r="FY366" s="232"/>
      <c r="FZ366" s="232"/>
      <c r="GA366" s="660"/>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row>
    <row r="367" spans="1:256" s="1242" customFormat="1" ht="12.6" customHeight="1" x14ac:dyDescent="0.2">
      <c r="A367" s="1251" t="s">
        <v>145</v>
      </c>
      <c r="B367" s="1252"/>
      <c r="C367" s="1252"/>
      <c r="D367" s="1252"/>
      <c r="E367" s="1252"/>
      <c r="F367" s="1253"/>
      <c r="G367" s="1252"/>
      <c r="H367" s="1252"/>
      <c r="I367" s="1252"/>
      <c r="J367" s="1252"/>
      <c r="K367" s="1253"/>
      <c r="L367" s="1252"/>
      <c r="M367" s="1252"/>
      <c r="N367" s="1252"/>
      <c r="O367" s="1252"/>
      <c r="P367" s="917"/>
      <c r="Q367" s="1252"/>
      <c r="R367" s="1252"/>
      <c r="S367" s="1252"/>
      <c r="T367" s="1252"/>
      <c r="U367" s="917"/>
      <c r="V367" s="1254"/>
      <c r="W367" s="1254"/>
      <c r="X367" s="1254"/>
      <c r="Y367" s="1254"/>
      <c r="Z367" s="917"/>
      <c r="AA367" s="1254"/>
      <c r="AB367" s="1254"/>
      <c r="AC367" s="1254"/>
      <c r="AD367" s="1254"/>
      <c r="AE367" s="917"/>
      <c r="AF367" s="1254"/>
      <c r="AG367" s="1254"/>
      <c r="AH367" s="1254"/>
      <c r="AI367" s="1254"/>
      <c r="AJ367" s="917"/>
      <c r="AK367" s="1254"/>
      <c r="AL367" s="1254"/>
      <c r="AM367" s="1254"/>
      <c r="AN367" s="1254"/>
      <c r="AO367" s="917"/>
      <c r="AP367" s="1254"/>
      <c r="AQ367" s="1254"/>
      <c r="AR367" s="1254"/>
      <c r="AS367" s="1254"/>
      <c r="AT367" s="917"/>
      <c r="AU367" s="399"/>
      <c r="AV367" s="399"/>
      <c r="AW367" s="399"/>
      <c r="AX367" s="399"/>
      <c r="AY367" s="917">
        <f>AY364*AY365</f>
        <v>0.11676367167708157</v>
      </c>
      <c r="AZ367" s="399"/>
      <c r="BA367" s="399"/>
      <c r="BB367" s="399"/>
      <c r="BC367" s="399"/>
      <c r="BD367" s="917">
        <f>BD364*BD365</f>
        <v>5.4465100110870197E-2</v>
      </c>
      <c r="BE367" s="399"/>
      <c r="BF367" s="399"/>
      <c r="BG367" s="399"/>
      <c r="BH367" s="399"/>
      <c r="BI367" s="917">
        <f>BI364*BI365</f>
        <v>3.5484915824965151E-2</v>
      </c>
      <c r="BJ367" s="399"/>
      <c r="BK367" s="399"/>
      <c r="BL367" s="399"/>
      <c r="BM367" s="399"/>
      <c r="BN367" s="917">
        <f>BN364*BN365</f>
        <v>5.8348789089109974E-2</v>
      </c>
      <c r="BO367" s="399"/>
      <c r="BP367" s="399"/>
      <c r="BQ367" s="399"/>
      <c r="BR367" s="399"/>
      <c r="BS367" s="917">
        <f>BS364*BS365</f>
        <v>7.1736223629996196E-2</v>
      </c>
      <c r="BT367" s="399"/>
      <c r="BU367" s="399"/>
      <c r="BV367" s="399"/>
      <c r="BW367" s="399"/>
      <c r="BX367" s="917">
        <f>BX364*BX365</f>
        <v>7.702820457476757E-2</v>
      </c>
      <c r="BY367" s="399"/>
      <c r="BZ367" s="399"/>
      <c r="CA367" s="399"/>
      <c r="CB367" s="399"/>
      <c r="CC367" s="917">
        <f>CC364*CC365</f>
        <v>0.11886078930043024</v>
      </c>
      <c r="CD367" s="399"/>
      <c r="CE367" s="399"/>
      <c r="CF367" s="399"/>
      <c r="CG367" s="399"/>
      <c r="CH367" s="917">
        <f>CH364*CH365</f>
        <v>0.12806958791282894</v>
      </c>
      <c r="CI367" s="399"/>
      <c r="CJ367" s="399"/>
      <c r="CK367" s="399"/>
      <c r="CL367" s="399"/>
      <c r="CM367" s="917">
        <f>CM364*CM365</f>
        <v>0.15454227544270124</v>
      </c>
      <c r="CN367" s="399"/>
      <c r="CO367" s="399"/>
      <c r="CP367" s="399"/>
      <c r="CQ367" s="399"/>
      <c r="CR367" s="917">
        <f>CR364*CR365</f>
        <v>0.15280121568767668</v>
      </c>
      <c r="CS367" s="399"/>
      <c r="CT367" s="399"/>
      <c r="CU367" s="399"/>
      <c r="CV367" s="399"/>
      <c r="CW367" s="917">
        <f>CW364*CW365</f>
        <v>0.17997053564273385</v>
      </c>
      <c r="CX367" s="399"/>
      <c r="CY367" s="399"/>
      <c r="CZ367" s="399"/>
      <c r="DA367" s="399"/>
      <c r="DB367" s="917">
        <f>DB364*DB365</f>
        <v>0.10186946380299293</v>
      </c>
      <c r="DC367" s="399"/>
      <c r="DD367" s="399"/>
      <c r="DE367" s="399"/>
      <c r="DF367" s="399"/>
      <c r="DG367" s="917">
        <f>DG364*DG365</f>
        <v>0.14144552236629157</v>
      </c>
      <c r="DH367" s="399"/>
      <c r="DI367" s="399"/>
      <c r="DJ367" s="399"/>
      <c r="DK367" s="399"/>
      <c r="DL367" s="917">
        <f>DL364*DL365</f>
        <v>0.19061840309927924</v>
      </c>
      <c r="DM367" s="399"/>
      <c r="DN367" s="399"/>
      <c r="DO367" s="399"/>
      <c r="DP367" s="399"/>
      <c r="DQ367" s="917">
        <f>DQ364*DQ365</f>
        <v>0.1846912795683357</v>
      </c>
      <c r="DR367" s="399"/>
      <c r="DS367" s="399"/>
      <c r="DT367" s="399"/>
      <c r="DU367" s="399"/>
      <c r="DV367" s="917">
        <f>DV364*DV365</f>
        <v>0.16937860670795851</v>
      </c>
      <c r="DW367" s="399"/>
      <c r="DX367" s="399"/>
      <c r="DY367" s="399"/>
      <c r="DZ367" s="399"/>
      <c r="EA367" s="917">
        <f>EA364*EA365</f>
        <v>0.16291326295113018</v>
      </c>
      <c r="EB367" s="399"/>
      <c r="EC367" s="399"/>
      <c r="ED367" s="399"/>
      <c r="EE367" s="399"/>
      <c r="EF367" s="917">
        <f>EF364*EF365</f>
        <v>0.12941351030161119</v>
      </c>
      <c r="EG367" s="399"/>
      <c r="EH367" s="399"/>
      <c r="EI367" s="399"/>
      <c r="EJ367" s="399"/>
      <c r="EK367" s="917">
        <f>EK364*EK365</f>
        <v>0.13583594465056073</v>
      </c>
      <c r="EL367" s="399"/>
      <c r="EM367" s="399"/>
      <c r="EN367" s="399"/>
      <c r="EO367" s="399"/>
      <c r="EP367" s="917">
        <f>EP364*EP365</f>
        <v>0.11885172330568641</v>
      </c>
      <c r="EQ367" s="399"/>
      <c r="ER367" s="399"/>
      <c r="ES367" s="399"/>
      <c r="ET367" s="399"/>
      <c r="EU367" s="917">
        <f ca="1">EU364*EU365</f>
        <v>0.14334207983835856</v>
      </c>
      <c r="EV367" s="1006"/>
      <c r="EW367" s="1006"/>
      <c r="EX367" s="1006"/>
      <c r="EY367" s="1006"/>
      <c r="EZ367" s="917">
        <f ca="1">EZ364*EZ365</f>
        <v>0.1433003243758649</v>
      </c>
      <c r="FA367" s="1006"/>
      <c r="FB367" s="1006"/>
      <c r="FC367" s="1006"/>
      <c r="FD367" s="1006"/>
      <c r="FE367" s="917">
        <f ca="1">FE364*FE365</f>
        <v>0.1436163925913593</v>
      </c>
      <c r="FF367" s="1230"/>
      <c r="FG367" s="660"/>
      <c r="FH367" s="1258"/>
      <c r="FI367" s="1258"/>
      <c r="FJ367" s="1258"/>
      <c r="FK367" s="1259"/>
      <c r="FL367" s="1859"/>
      <c r="FM367" s="1230"/>
      <c r="FN367" s="1230"/>
      <c r="FO367" s="1230"/>
      <c r="FP367" s="1230"/>
      <c r="FQ367" s="1230"/>
      <c r="FR367" s="232"/>
      <c r="FS367" s="232"/>
      <c r="FT367" s="232"/>
      <c r="FU367" s="232"/>
      <c r="FV367" s="232"/>
      <c r="FW367" s="232"/>
      <c r="FX367" s="232"/>
      <c r="FY367" s="232"/>
      <c r="FZ367" s="232"/>
      <c r="GA367" s="660"/>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row>
    <row r="368" spans="1:256" s="1242" customFormat="1" ht="12.6" customHeight="1" x14ac:dyDescent="0.2">
      <c r="A368" s="1251" t="s">
        <v>146</v>
      </c>
      <c r="B368" s="1252"/>
      <c r="C368" s="1252"/>
      <c r="D368" s="1252"/>
      <c r="E368" s="1252"/>
      <c r="F368" s="1253"/>
      <c r="G368" s="1252"/>
      <c r="H368" s="1252"/>
      <c r="I368" s="1252"/>
      <c r="J368" s="1252"/>
      <c r="K368" s="1253"/>
      <c r="L368" s="1252"/>
      <c r="M368" s="1252"/>
      <c r="N368" s="1252"/>
      <c r="O368" s="1252"/>
      <c r="P368" s="917"/>
      <c r="Q368" s="1252"/>
      <c r="R368" s="1252"/>
      <c r="S368" s="1252"/>
      <c r="T368" s="1252"/>
      <c r="U368" s="917"/>
      <c r="V368" s="1254"/>
      <c r="W368" s="1254"/>
      <c r="X368" s="1254"/>
      <c r="Y368" s="1254"/>
      <c r="Z368" s="917"/>
      <c r="AA368" s="1254"/>
      <c r="AB368" s="1254"/>
      <c r="AC368" s="1254"/>
      <c r="AD368" s="1254"/>
      <c r="AE368" s="917"/>
      <c r="AF368" s="1254"/>
      <c r="AG368" s="1254"/>
      <c r="AH368" s="1254"/>
      <c r="AI368" s="1254"/>
      <c r="AJ368" s="917"/>
      <c r="AK368" s="1254"/>
      <c r="AL368" s="1254"/>
      <c r="AM368" s="1254"/>
      <c r="AN368" s="1254"/>
      <c r="AO368" s="917"/>
      <c r="AP368" s="1254"/>
      <c r="AQ368" s="1254"/>
      <c r="AR368" s="1254"/>
      <c r="AS368" s="1254"/>
      <c r="AT368" s="917"/>
      <c r="AU368" s="399"/>
      <c r="AV368" s="399"/>
      <c r="AW368" s="399"/>
      <c r="AX368" s="399"/>
      <c r="AY368" s="917">
        <f>(AY357*(1-AY248)/AVERAGE(AY354,AT354))</f>
        <v>4.9758425840549091E-2</v>
      </c>
      <c r="AZ368" s="399"/>
      <c r="BA368" s="399"/>
      <c r="BB368" s="399"/>
      <c r="BC368" s="399"/>
      <c r="BD368" s="917">
        <f>(BD357*(1-BD248)/AVERAGE(BD354,AY354))</f>
        <v>3.4022995678386743E-2</v>
      </c>
      <c r="BE368" s="399"/>
      <c r="BF368" s="399"/>
      <c r="BG368" s="399"/>
      <c r="BH368" s="399"/>
      <c r="BI368" s="917">
        <f>(BI357*(1-BI248)/AVERAGE(BI354,BD354))</f>
        <v>3.8057225858312657E-2</v>
      </c>
      <c r="BJ368" s="399"/>
      <c r="BK368" s="399"/>
      <c r="BL368" s="399"/>
      <c r="BM368" s="399"/>
      <c r="BN368" s="917">
        <f>(BN357*(1-BN248)/AVERAGE(BN354,BI354))</f>
        <v>4.8734176282252052E-2</v>
      </c>
      <c r="BO368" s="399"/>
      <c r="BP368" s="399"/>
      <c r="BQ368" s="399"/>
      <c r="BR368" s="399"/>
      <c r="BS368" s="917">
        <f>(BS357*(1-BS248)/AVERAGE(BS354,BN354))</f>
        <v>5.4701968338416923E-2</v>
      </c>
      <c r="BT368" s="399"/>
      <c r="BU368" s="399"/>
      <c r="BV368" s="399"/>
      <c r="BW368" s="399"/>
      <c r="BX368" s="917">
        <f>(BX357*(1-BX248)/AVERAGE(BX354,BS354))</f>
        <v>5.69460378746093E-2</v>
      </c>
      <c r="BY368" s="399"/>
      <c r="BZ368" s="399"/>
      <c r="CA368" s="399"/>
      <c r="CB368" s="399"/>
      <c r="CC368" s="917">
        <f>(CC357*(1-CC248)/AVERAGE(CC354,BX354))</f>
        <v>7.9966303486956714E-2</v>
      </c>
      <c r="CD368" s="399"/>
      <c r="CE368" s="399"/>
      <c r="CF368" s="399"/>
      <c r="CG368" s="399"/>
      <c r="CH368" s="917">
        <f>(CH357*(1-CH248)/AVERAGE(CH354,CC354))</f>
        <v>9.1806431764711663E-2</v>
      </c>
      <c r="CI368" s="399"/>
      <c r="CJ368" s="399"/>
      <c r="CK368" s="399"/>
      <c r="CL368" s="399"/>
      <c r="CM368" s="917">
        <f>(CM357*(1-CM248)/AVERAGE(CM354,CH354))</f>
        <v>0.10475972790273599</v>
      </c>
      <c r="CN368" s="399"/>
      <c r="CO368" s="399"/>
      <c r="CP368" s="399"/>
      <c r="CQ368" s="399"/>
      <c r="CR368" s="917">
        <f>(CR357*(1-CR248)/AVERAGE(CR354,CM354))</f>
        <v>0.10607883756860886</v>
      </c>
      <c r="CS368" s="399"/>
      <c r="CT368" s="399"/>
      <c r="CU368" s="399"/>
      <c r="CV368" s="399"/>
      <c r="CW368" s="917">
        <f>(CW357*(1-CW248)/AVERAGE(CW354,CR354))</f>
        <v>0.11939470426534038</v>
      </c>
      <c r="CX368" s="399"/>
      <c r="CY368" s="399"/>
      <c r="CZ368" s="399"/>
      <c r="DA368" s="399"/>
      <c r="DB368" s="917">
        <f>(DB357*(1-DB248)/AVERAGE(DB354,CW354))</f>
        <v>7.4052383632688179E-2</v>
      </c>
      <c r="DC368" s="399"/>
      <c r="DD368" s="399"/>
      <c r="DE368" s="399"/>
      <c r="DF368" s="399"/>
      <c r="DG368" s="917">
        <f>(DG357*(1-DG248)/AVERAGE(DG354,DB354))</f>
        <v>9.5510649195300196E-2</v>
      </c>
      <c r="DH368" s="399"/>
      <c r="DI368" s="399"/>
      <c r="DJ368" s="399"/>
      <c r="DK368" s="399"/>
      <c r="DL368" s="917">
        <f>(DL357*(1-DL248)/AVERAGE(DL354,DG354))</f>
        <v>0.1176326698500384</v>
      </c>
      <c r="DM368" s="399"/>
      <c r="DN368" s="399"/>
      <c r="DO368" s="399"/>
      <c r="DP368" s="399"/>
      <c r="DQ368" s="917">
        <f>(DQ357*(1-DQ248)/AVERAGE(DQ354,DL354))</f>
        <v>0.11054324680855275</v>
      </c>
      <c r="DR368" s="399"/>
      <c r="DS368" s="399"/>
      <c r="DT368" s="399"/>
      <c r="DU368" s="399"/>
      <c r="DV368" s="917">
        <f>(DV357*(1-DV248)/AVERAGE(DV354,DQ354))</f>
        <v>0.10844192863712453</v>
      </c>
      <c r="DW368" s="399"/>
      <c r="DX368" s="399"/>
      <c r="DY368" s="399"/>
      <c r="DZ368" s="399"/>
      <c r="EA368" s="917">
        <f>(EA357*(1-EA248)/AVERAGE(EA354,DV354))</f>
        <v>0.10944338072562566</v>
      </c>
      <c r="EB368" s="399"/>
      <c r="EC368" s="399"/>
      <c r="ED368" s="399"/>
      <c r="EE368" s="399"/>
      <c r="EF368" s="917">
        <f>(EF357*(1-EF248)/AVERAGE(EF354,EA354))</f>
        <v>8.512291775930203E-2</v>
      </c>
      <c r="EG368" s="399"/>
      <c r="EH368" s="399"/>
      <c r="EI368" s="399"/>
      <c r="EJ368" s="399"/>
      <c r="EK368" s="917">
        <f>(EK357*(1-EK248)/AVERAGE(EK354,EF354))</f>
        <v>9.0537398769595601E-2</v>
      </c>
      <c r="EL368" s="399"/>
      <c r="EM368" s="399"/>
      <c r="EN368" s="399"/>
      <c r="EO368" s="399"/>
      <c r="EP368" s="917">
        <f>(EP357*(1-EP248)/AVERAGE(EP354,EK354))</f>
        <v>9.1317620886269699E-2</v>
      </c>
      <c r="EQ368" s="399"/>
      <c r="ER368" s="399"/>
      <c r="ES368" s="399"/>
      <c r="ET368" s="399"/>
      <c r="EU368" s="917">
        <f ca="1">(EU357*(1-EU248)/AVERAGE(EU354,EP354))</f>
        <v>0.10375784096583547</v>
      </c>
      <c r="EV368" s="1006"/>
      <c r="EW368" s="1006"/>
      <c r="EX368" s="1006"/>
      <c r="EY368" s="1006"/>
      <c r="EZ368" s="917">
        <f ca="1">(EZ357*(1-EZ248)/AVERAGE(EZ354,EU354))</f>
        <v>0.1046460161524202</v>
      </c>
      <c r="FA368" s="1006"/>
      <c r="FB368" s="1006"/>
      <c r="FC368" s="1006"/>
      <c r="FD368" s="1006"/>
      <c r="FE368" s="917">
        <f ca="1">(FE357*(1-FE248)/AVERAGE(FE354,EZ354))</f>
        <v>0.10525977270416215</v>
      </c>
      <c r="FF368" s="1230"/>
      <c r="FG368" s="660"/>
      <c r="FH368" s="1258"/>
      <c r="FI368" s="1258"/>
      <c r="FJ368" s="1258"/>
      <c r="FK368" s="1259"/>
      <c r="FL368" s="1859"/>
      <c r="FM368" s="1230"/>
      <c r="FN368" s="1230"/>
      <c r="FO368" s="1230"/>
      <c r="FP368" s="1230"/>
      <c r="FQ368" s="1230"/>
      <c r="FR368" s="232"/>
      <c r="FS368" s="232"/>
      <c r="FT368" s="232"/>
      <c r="FU368" s="232"/>
      <c r="FV368" s="232"/>
      <c r="FW368" s="232"/>
      <c r="FX368" s="232"/>
      <c r="FY368" s="232"/>
      <c r="FZ368" s="232"/>
      <c r="GA368" s="660"/>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row>
    <row r="369" spans="1:256" s="1230" customFormat="1" ht="12.75" customHeight="1" x14ac:dyDescent="0.2">
      <c r="A369" s="1226" t="s">
        <v>147</v>
      </c>
      <c r="B369" s="1227"/>
      <c r="C369" s="1227"/>
      <c r="D369" s="1227"/>
      <c r="E369" s="1227"/>
      <c r="F369" s="1228"/>
      <c r="G369" s="1227"/>
      <c r="H369" s="1227"/>
      <c r="I369" s="1227"/>
      <c r="J369" s="1227"/>
      <c r="K369" s="1228"/>
      <c r="L369" s="1229"/>
      <c r="M369" s="1229"/>
      <c r="N369" s="1229"/>
      <c r="O369" s="1229"/>
      <c r="P369" s="1228"/>
      <c r="Q369" s="1229"/>
      <c r="R369" s="1229"/>
      <c r="S369" s="1229"/>
      <c r="T369" s="1229"/>
      <c r="U369" s="1228"/>
      <c r="V369" s="1229"/>
      <c r="W369" s="1229"/>
      <c r="X369" s="1229"/>
      <c r="Y369" s="1229"/>
      <c r="Z369" s="1228"/>
      <c r="AA369" s="1229"/>
      <c r="AB369" s="1229"/>
      <c r="AC369" s="1229"/>
      <c r="AD369" s="1229"/>
      <c r="AE369" s="1228"/>
      <c r="AF369" s="1229"/>
      <c r="AG369" s="1229"/>
      <c r="AH369" s="1229"/>
      <c r="AI369" s="1229"/>
      <c r="AJ369" s="1228"/>
      <c r="AK369" s="1229"/>
      <c r="AL369" s="1229"/>
      <c r="AM369" s="1229"/>
      <c r="AN369" s="1229"/>
      <c r="AO369" s="1228"/>
      <c r="AP369" s="1229"/>
      <c r="AQ369" s="1229"/>
      <c r="AR369" s="1229"/>
      <c r="AS369" s="1229"/>
      <c r="AT369" s="1228"/>
      <c r="AU369" s="1227"/>
      <c r="AV369" s="1227"/>
      <c r="AW369" s="1227"/>
      <c r="AX369" s="1227"/>
      <c r="AY369" s="1228"/>
      <c r="AZ369" s="1227"/>
      <c r="BA369" s="1227"/>
      <c r="BB369" s="1227"/>
      <c r="BC369" s="1227"/>
      <c r="BD369" s="1228"/>
      <c r="BE369" s="1227"/>
      <c r="BF369" s="1227"/>
      <c r="BG369" s="1227"/>
      <c r="BH369" s="1227"/>
      <c r="BI369" s="1228"/>
      <c r="BJ369" s="1227"/>
      <c r="BK369" s="1227"/>
      <c r="BL369" s="1227"/>
      <c r="BM369" s="1227"/>
      <c r="BN369" s="1228"/>
      <c r="BO369" s="1227"/>
      <c r="BP369" s="1227"/>
      <c r="BQ369" s="1227"/>
      <c r="BR369" s="1227"/>
      <c r="BS369" s="1228"/>
      <c r="BT369" s="1227"/>
      <c r="BU369" s="1227"/>
      <c r="BV369" s="1227"/>
      <c r="BW369" s="1227"/>
      <c r="BX369" s="1228"/>
      <c r="BY369" s="1227"/>
      <c r="BZ369" s="1227"/>
      <c r="CA369" s="1227"/>
      <c r="CB369" s="1227"/>
      <c r="CC369" s="1228"/>
      <c r="CD369" s="1227"/>
      <c r="CE369" s="1227"/>
      <c r="CF369" s="1227"/>
      <c r="CG369" s="1227"/>
      <c r="CH369" s="1228"/>
      <c r="CI369" s="1227"/>
      <c r="CJ369" s="1227"/>
      <c r="CK369" s="1227"/>
      <c r="CL369" s="1227"/>
      <c r="CM369" s="1228"/>
      <c r="CN369" s="1227"/>
      <c r="CO369" s="1227"/>
      <c r="CP369" s="1227"/>
      <c r="CQ369" s="1227"/>
      <c r="CR369" s="1228"/>
      <c r="CS369" s="1227"/>
      <c r="CT369" s="1227"/>
      <c r="CU369" s="1227"/>
      <c r="CV369" s="1227"/>
      <c r="CW369" s="1228"/>
      <c r="CX369" s="1227"/>
      <c r="CY369" s="1227"/>
      <c r="CZ369" s="1227"/>
      <c r="DA369" s="1227"/>
      <c r="DB369" s="1228"/>
      <c r="DC369" s="1227"/>
      <c r="DD369" s="1227"/>
      <c r="DE369" s="1227"/>
      <c r="DF369" s="1227"/>
      <c r="DG369" s="1228"/>
      <c r="DH369" s="1227"/>
      <c r="DI369" s="1227"/>
      <c r="DJ369" s="1227"/>
      <c r="DK369" s="1227"/>
      <c r="DL369" s="1228"/>
      <c r="DM369" s="1227"/>
      <c r="DN369" s="1227"/>
      <c r="DO369" s="1227"/>
      <c r="DP369" s="1227"/>
      <c r="DQ369" s="1228"/>
      <c r="DR369" s="1227"/>
      <c r="DS369" s="1227"/>
      <c r="DT369" s="1227"/>
      <c r="DU369" s="1227"/>
      <c r="DV369" s="1228"/>
      <c r="DW369" s="1227"/>
      <c r="DX369" s="1227"/>
      <c r="DY369" s="1227"/>
      <c r="DZ369" s="1227"/>
      <c r="EA369" s="1228"/>
      <c r="EB369" s="1227"/>
      <c r="EC369" s="1227"/>
      <c r="ED369" s="1227"/>
      <c r="EE369" s="1227"/>
      <c r="EF369" s="1228"/>
      <c r="EG369" s="1227"/>
      <c r="EH369" s="1227"/>
      <c r="EI369" s="1227"/>
      <c r="EJ369" s="1227"/>
      <c r="EK369" s="1228"/>
      <c r="EL369" s="1227"/>
      <c r="EM369" s="1227"/>
      <c r="EN369" s="1227"/>
      <c r="EO369" s="1227"/>
      <c r="EP369" s="1228"/>
      <c r="EQ369" s="1227"/>
      <c r="ER369" s="1227"/>
      <c r="ES369" s="1227"/>
      <c r="ET369" s="1227"/>
      <c r="EU369" s="1228"/>
      <c r="EV369" s="1006"/>
      <c r="EW369" s="1006"/>
      <c r="EX369" s="1006"/>
      <c r="EY369" s="1006"/>
      <c r="EZ369" s="1228"/>
      <c r="FA369" s="1006"/>
      <c r="FB369" s="1006"/>
      <c r="FC369" s="1006"/>
      <c r="FD369" s="1006"/>
      <c r="FE369" s="1228"/>
      <c r="FG369" s="660"/>
      <c r="FH369" s="1258"/>
      <c r="FI369" s="1258"/>
      <c r="FJ369" s="1258"/>
      <c r="FK369" s="1259"/>
      <c r="FL369" s="1859"/>
      <c r="FR369" s="232"/>
      <c r="FS369" s="232"/>
      <c r="FT369" s="232"/>
      <c r="FU369" s="232"/>
      <c r="FV369" s="232"/>
      <c r="FW369" s="232"/>
      <c r="FX369" s="232"/>
      <c r="FY369" s="232"/>
      <c r="FZ369" s="232"/>
      <c r="GA369" s="660"/>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row>
    <row r="370" spans="1:256" s="1257" customFormat="1" ht="12.75" x14ac:dyDescent="0.2">
      <c r="A370" s="1255" t="s">
        <v>148</v>
      </c>
      <c r="B370" s="1256"/>
      <c r="C370" s="1256"/>
      <c r="D370" s="1256"/>
      <c r="E370" s="1256"/>
      <c r="F370" s="462"/>
      <c r="G370" s="1256"/>
      <c r="H370" s="1256"/>
      <c r="I370" s="1256"/>
      <c r="J370" s="1256"/>
      <c r="K370" s="462">
        <f t="shared" ref="K370:BV370" si="1060">+K234/K221</f>
        <v>0.22348124669836245</v>
      </c>
      <c r="L370" s="458">
        <f t="shared" si="1060"/>
        <v>0.18003365114974762</v>
      </c>
      <c r="M370" s="458">
        <f t="shared" si="1060"/>
        <v>0.22334801762114564</v>
      </c>
      <c r="N370" s="458">
        <f t="shared" si="1060"/>
        <v>0.24631064868882036</v>
      </c>
      <c r="O370" s="458">
        <f t="shared" si="1060"/>
        <v>0.21540484277418653</v>
      </c>
      <c r="P370" s="462">
        <f t="shared" si="1060"/>
        <v>0.2167154702936428</v>
      </c>
      <c r="Q370" s="458">
        <f t="shared" si="1060"/>
        <v>0.25176880374442151</v>
      </c>
      <c r="R370" s="458">
        <f t="shared" si="1060"/>
        <v>0.23970196913251723</v>
      </c>
      <c r="S370" s="458">
        <f t="shared" si="1060"/>
        <v>0.24066477332491842</v>
      </c>
      <c r="T370" s="458">
        <f t="shared" si="1060"/>
        <v>0.24873463485177158</v>
      </c>
      <c r="U370" s="462">
        <f t="shared" si="1060"/>
        <v>0.24519459888800646</v>
      </c>
      <c r="V370" s="458">
        <f t="shared" si="1060"/>
        <v>0.22163616792249749</v>
      </c>
      <c r="W370" s="458">
        <f t="shared" si="1060"/>
        <v>0.26090116279069775</v>
      </c>
      <c r="X370" s="458">
        <f t="shared" si="1060"/>
        <v>0.2281526851142949</v>
      </c>
      <c r="Y370" s="458">
        <f t="shared" si="1060"/>
        <v>0.26176282733659784</v>
      </c>
      <c r="Z370" s="462">
        <f t="shared" si="1060"/>
        <v>0.24338610213833789</v>
      </c>
      <c r="AA370" s="458">
        <f t="shared" si="1060"/>
        <v>0.23803459620078538</v>
      </c>
      <c r="AB370" s="458">
        <f t="shared" si="1060"/>
        <v>0.27320104229304459</v>
      </c>
      <c r="AC370" s="458">
        <f t="shared" si="1060"/>
        <v>0.27044476327116213</v>
      </c>
      <c r="AD370" s="458">
        <f t="shared" si="1060"/>
        <v>0.28187986429854311</v>
      </c>
      <c r="AE370" s="462">
        <f t="shared" si="1060"/>
        <v>0.26627702202598214</v>
      </c>
      <c r="AF370" s="458">
        <f t="shared" si="1060"/>
        <v>0.25020016012810248</v>
      </c>
      <c r="AG370" s="458">
        <f t="shared" si="1060"/>
        <v>0.28551751279024007</v>
      </c>
      <c r="AH370" s="458">
        <f t="shared" si="1060"/>
        <v>0.27881526104417664</v>
      </c>
      <c r="AI370" s="458">
        <f t="shared" si="1060"/>
        <v>0.28394321135772826</v>
      </c>
      <c r="AJ370" s="462">
        <f t="shared" si="1060"/>
        <v>0.27466473901989147</v>
      </c>
      <c r="AK370" s="458">
        <f t="shared" si="1060"/>
        <v>0.25759811153732654</v>
      </c>
      <c r="AL370" s="458">
        <f t="shared" si="1060"/>
        <v>0.28901734104046245</v>
      </c>
      <c r="AM370" s="458">
        <f t="shared" si="1060"/>
        <v>0.29448093324183894</v>
      </c>
      <c r="AN370" s="458">
        <f t="shared" si="1060"/>
        <v>0.29466718567536004</v>
      </c>
      <c r="AO370" s="462">
        <f t="shared" si="1060"/>
        <v>0.28400448517940696</v>
      </c>
      <c r="AP370" s="458">
        <f t="shared" si="1060"/>
        <v>0.26912045889101338</v>
      </c>
      <c r="AQ370" s="458">
        <f t="shared" si="1060"/>
        <v>0.30033745781777277</v>
      </c>
      <c r="AR370" s="458">
        <f t="shared" si="1060"/>
        <v>0.28356072893807827</v>
      </c>
      <c r="AS370" s="458">
        <f t="shared" si="1060"/>
        <v>0.29566854990583802</v>
      </c>
      <c r="AT370" s="462">
        <f t="shared" si="1060"/>
        <v>0.28726704397451991</v>
      </c>
      <c r="AU370" s="458">
        <f t="shared" si="1060"/>
        <v>0.23529963424927308</v>
      </c>
      <c r="AV370" s="458">
        <f t="shared" si="1060"/>
        <v>0.27242432657595111</v>
      </c>
      <c r="AW370" s="458">
        <f t="shared" si="1060"/>
        <v>0.2462191689327799</v>
      </c>
      <c r="AX370" s="458">
        <f t="shared" si="1060"/>
        <v>0.24336730724344513</v>
      </c>
      <c r="AY370" s="462">
        <f t="shared" si="1060"/>
        <v>0.24947133361276297</v>
      </c>
      <c r="AZ370" s="458">
        <f t="shared" si="1060"/>
        <v>0.23024655406717146</v>
      </c>
      <c r="BA370" s="458">
        <f t="shared" si="1060"/>
        <v>0.16561950238753459</v>
      </c>
      <c r="BB370" s="458">
        <f t="shared" si="1060"/>
        <v>9.7387490083928246E-2</v>
      </c>
      <c r="BC370" s="458">
        <f t="shared" si="1060"/>
        <v>9.325720500271889E-2</v>
      </c>
      <c r="BD370" s="462">
        <f t="shared" si="1060"/>
        <v>0.13824133477312661</v>
      </c>
      <c r="BE370" s="458">
        <f t="shared" si="1060"/>
        <v>8.5543766578249331E-2</v>
      </c>
      <c r="BF370" s="458">
        <f t="shared" si="1060"/>
        <v>0.17462311557788945</v>
      </c>
      <c r="BG370" s="458">
        <f t="shared" si="1060"/>
        <v>0.13745928338762214</v>
      </c>
      <c r="BH370" s="458">
        <f t="shared" si="1060"/>
        <v>0.11811023622047244</v>
      </c>
      <c r="BI370" s="462">
        <f t="shared" si="1060"/>
        <v>0.12956648806624452</v>
      </c>
      <c r="BJ370" s="458">
        <f t="shared" si="1060"/>
        <v>0.13311688311688311</v>
      </c>
      <c r="BK370" s="458">
        <f t="shared" si="1060"/>
        <v>0.17713567839195979</v>
      </c>
      <c r="BL370" s="458">
        <f t="shared" si="1060"/>
        <v>0.16246684350132626</v>
      </c>
      <c r="BM370" s="458">
        <f t="shared" si="1060"/>
        <v>0.17973856209150327</v>
      </c>
      <c r="BN370" s="462">
        <f t="shared" si="1060"/>
        <v>0.16320907617504052</v>
      </c>
      <c r="BO370" s="458">
        <f t="shared" si="1060"/>
        <v>0.15821094793057411</v>
      </c>
      <c r="BP370" s="458">
        <f t="shared" si="1060"/>
        <v>0.20213433772755807</v>
      </c>
      <c r="BQ370" s="458">
        <f t="shared" si="1060"/>
        <v>0.19461827284105132</v>
      </c>
      <c r="BR370" s="458">
        <f t="shared" si="1060"/>
        <v>0.18216318785578747</v>
      </c>
      <c r="BS370" s="462">
        <f t="shared" si="1060"/>
        <v>0.18468899521531101</v>
      </c>
      <c r="BT370" s="458">
        <f t="shared" si="1060"/>
        <v>0.14798206278026907</v>
      </c>
      <c r="BU370" s="458">
        <f t="shared" si="1060"/>
        <v>0.18248622167789344</v>
      </c>
      <c r="BV370" s="458">
        <f t="shared" si="1060"/>
        <v>0.19461827284105132</v>
      </c>
      <c r="BW370" s="458">
        <f t="shared" ref="BW370:DY370" si="1061">+BW234/BW221</f>
        <v>0.19749403341288782</v>
      </c>
      <c r="BX370" s="462">
        <f t="shared" si="1061"/>
        <v>0.18104514533085961</v>
      </c>
      <c r="BY370" s="458">
        <f t="shared" si="1061"/>
        <v>0.20437093916125221</v>
      </c>
      <c r="BZ370" s="458">
        <f t="shared" si="1061"/>
        <v>0.2344180915609487</v>
      </c>
      <c r="CA370" s="458">
        <f t="shared" si="1061"/>
        <v>0.25255788906838988</v>
      </c>
      <c r="CB370" s="458">
        <f t="shared" si="1061"/>
        <v>0.237044638276039</v>
      </c>
      <c r="CC370" s="462">
        <f t="shared" si="1061"/>
        <v>0.23276805251641139</v>
      </c>
      <c r="CD370" s="458">
        <f t="shared" si="1061"/>
        <v>0.20550739418663946</v>
      </c>
      <c r="CE370" s="458">
        <f t="shared" si="1061"/>
        <v>0.26584087660790851</v>
      </c>
      <c r="CF370" s="458">
        <f t="shared" si="1061"/>
        <v>0.24501160092807425</v>
      </c>
      <c r="CG370" s="458">
        <f t="shared" si="1061"/>
        <v>0.26318121400088612</v>
      </c>
      <c r="CH370" s="462">
        <f t="shared" si="1061"/>
        <v>0.24586874409820586</v>
      </c>
      <c r="CI370" s="458">
        <f t="shared" si="1061"/>
        <v>0.23925314806773773</v>
      </c>
      <c r="CJ370" s="458">
        <f t="shared" si="1061"/>
        <v>0.28302675585284282</v>
      </c>
      <c r="CK370" s="458">
        <f t="shared" si="1061"/>
        <v>0.29878813205181781</v>
      </c>
      <c r="CL370" s="458">
        <f t="shared" si="1061"/>
        <v>0.26476929711082364</v>
      </c>
      <c r="CM370" s="462">
        <f t="shared" si="1061"/>
        <v>0.27181885829701286</v>
      </c>
      <c r="CN370" s="458">
        <f t="shared" si="1061"/>
        <v>0.23497997329773029</v>
      </c>
      <c r="CO370" s="458">
        <f t="shared" si="1061"/>
        <v>0.29015979814970566</v>
      </c>
      <c r="CP370" s="458">
        <f t="shared" si="1061"/>
        <v>0.28941776455588608</v>
      </c>
      <c r="CQ370" s="458">
        <f t="shared" si="1061"/>
        <v>0.2795436022819886</v>
      </c>
      <c r="CR370" s="462">
        <f t="shared" si="1061"/>
        <v>0.27406700593723493</v>
      </c>
      <c r="CS370" s="458">
        <f t="shared" si="1061"/>
        <v>0.2364</v>
      </c>
      <c r="CT370" s="458">
        <f t="shared" si="1061"/>
        <v>0.28896925858951178</v>
      </c>
      <c r="CU370" s="458">
        <f t="shared" si="1061"/>
        <v>0.30891499654457499</v>
      </c>
      <c r="CV370" s="458">
        <f t="shared" si="1061"/>
        <v>0.32494004796163067</v>
      </c>
      <c r="CW370" s="462">
        <f t="shared" si="1061"/>
        <v>0.29049807710346121</v>
      </c>
      <c r="CX370" s="458">
        <f t="shared" si="1061"/>
        <v>0.19711785898095729</v>
      </c>
      <c r="CY370" s="458">
        <f t="shared" si="1061"/>
        <v>0.25201938610662361</v>
      </c>
      <c r="CZ370" s="458">
        <f t="shared" si="1061"/>
        <v>0.2724188075618032</v>
      </c>
      <c r="DA370" s="458">
        <f t="shared" si="1061"/>
        <v>0.2606837606837607</v>
      </c>
      <c r="DB370" s="462">
        <f t="shared" si="1061"/>
        <v>0.246204040657548</v>
      </c>
      <c r="DC370" s="458">
        <f t="shared" si="1061"/>
        <v>0.24798927613941019</v>
      </c>
      <c r="DD370" s="458">
        <f t="shared" si="1061"/>
        <v>0.30164609053497943</v>
      </c>
      <c r="DE370" s="458">
        <f t="shared" si="1061"/>
        <v>0.30374592833876224</v>
      </c>
      <c r="DF370" s="458">
        <f t="shared" si="1061"/>
        <v>0.26835585696307079</v>
      </c>
      <c r="DG370" s="462">
        <f t="shared" si="1061"/>
        <v>0.28120101291841243</v>
      </c>
      <c r="DH370" s="458">
        <f t="shared" si="1061"/>
        <v>0.25114503816793893</v>
      </c>
      <c r="DI370" s="458">
        <f t="shared" si="1061"/>
        <v>0.30530355896720168</v>
      </c>
      <c r="DJ370" s="458">
        <f t="shared" si="1061"/>
        <v>0.3246798200069228</v>
      </c>
      <c r="DK370" s="458">
        <f t="shared" si="1061"/>
        <v>0.28602073650339649</v>
      </c>
      <c r="DL370" s="462">
        <f t="shared" si="1061"/>
        <v>0.29278553526673828</v>
      </c>
      <c r="DM370" s="458">
        <f t="shared" si="1061"/>
        <v>0.26712083183936897</v>
      </c>
      <c r="DN370" s="458">
        <f t="shared" si="1061"/>
        <v>0.32498260264439804</v>
      </c>
      <c r="DO370" s="458">
        <f t="shared" si="1061"/>
        <v>0.27144448570367619</v>
      </c>
      <c r="DP370" s="458">
        <f t="shared" si="1061"/>
        <v>0.26602086438152012</v>
      </c>
      <c r="DQ370" s="462">
        <f t="shared" si="1061"/>
        <v>0.28297101449275364</v>
      </c>
      <c r="DR370" s="458">
        <f t="shared" si="1061"/>
        <v>0.25237399561723883</v>
      </c>
      <c r="DS370" s="458">
        <f t="shared" si="1061"/>
        <v>0.29835831548893649</v>
      </c>
      <c r="DT370" s="458">
        <f t="shared" si="1061"/>
        <v>0.30063739376770537</v>
      </c>
      <c r="DU370" s="458">
        <f>+DU234/DU221</f>
        <v>0.30579659840333218</v>
      </c>
      <c r="DV370" s="462">
        <f t="shared" si="1061"/>
        <v>0.28963983992885728</v>
      </c>
      <c r="DW370" s="458">
        <f>+DW234/DW221</f>
        <v>0.24804760133878764</v>
      </c>
      <c r="DX370" s="458">
        <f t="shared" si="1061"/>
        <v>0.3349769888231427</v>
      </c>
      <c r="DY370" s="458">
        <f t="shared" si="1061"/>
        <v>0.33016870658286468</v>
      </c>
      <c r="DZ370" s="458">
        <f t="shared" ref="DZ370:EI370" si="1062">+DZ234/DZ221</f>
        <v>0.31045296167247388</v>
      </c>
      <c r="EA370" s="462">
        <f t="shared" si="1062"/>
        <v>0.30756194081211291</v>
      </c>
      <c r="EB370" s="458">
        <f t="shared" si="1062"/>
        <v>0.23607323724191664</v>
      </c>
      <c r="EC370" s="458">
        <f t="shared" si="1062"/>
        <v>0.30003685956505716</v>
      </c>
      <c r="ED370" s="458">
        <f t="shared" si="1062"/>
        <v>0.3029856247696277</v>
      </c>
      <c r="EE370" s="458">
        <f t="shared" si="1062"/>
        <v>0.25496425734710088</v>
      </c>
      <c r="EF370" s="462">
        <f t="shared" si="1062"/>
        <v>0.27437922176767199</v>
      </c>
      <c r="EG370" s="458">
        <f t="shared" si="1062"/>
        <v>0.29876033057851242</v>
      </c>
      <c r="EH370" s="458">
        <f t="shared" si="1062"/>
        <v>0.31377343113284434</v>
      </c>
      <c r="EI370" s="458">
        <f t="shared" si="1062"/>
        <v>0.32488114104595878</v>
      </c>
      <c r="EJ370" s="1006"/>
      <c r="EK370" s="462">
        <f>+EK234/EK221</f>
        <v>0.31088187702265374</v>
      </c>
      <c r="EL370" s="1006"/>
      <c r="EM370" s="1006"/>
      <c r="EN370" s="1006"/>
      <c r="EO370" s="1006"/>
      <c r="EP370" s="462">
        <f>+EP234/EP221</f>
        <v>0.31949578239029475</v>
      </c>
      <c r="EQ370" s="1006"/>
      <c r="ER370" s="1006"/>
      <c r="ES370" s="1006"/>
      <c r="ET370" s="1006"/>
      <c r="EU370" s="462">
        <f>+EU234/EU221</f>
        <v>0.3153583667545326</v>
      </c>
      <c r="EV370" s="1006"/>
      <c r="EW370" s="1006"/>
      <c r="EX370" s="1006"/>
      <c r="EY370" s="1006"/>
      <c r="EZ370" s="462">
        <f>+EZ234/EZ221</f>
        <v>0.3174106203963401</v>
      </c>
      <c r="FA370" s="1006"/>
      <c r="FB370" s="1006"/>
      <c r="FC370" s="1006"/>
      <c r="FD370" s="1006"/>
      <c r="FE370" s="462">
        <f>+FE234/FE221</f>
        <v>0.32145560872130263</v>
      </c>
      <c r="FF370" s="1230"/>
      <c r="FG370" s="660"/>
      <c r="FH370" s="1258"/>
      <c r="FI370" s="1258"/>
      <c r="FJ370" s="1258"/>
      <c r="FK370" s="1259"/>
      <c r="FL370" s="1859"/>
      <c r="FM370" s="1230"/>
      <c r="FN370" s="1230"/>
      <c r="FO370" s="1230"/>
      <c r="FP370" s="1230"/>
      <c r="FQ370" s="1230"/>
      <c r="FR370" s="232"/>
      <c r="FS370" s="232"/>
      <c r="FT370" s="232"/>
      <c r="FU370" s="232"/>
      <c r="FV370" s="232"/>
      <c r="FW370" s="232"/>
      <c r="FX370" s="232"/>
      <c r="FY370" s="232"/>
      <c r="FZ370" s="232"/>
      <c r="GA370" s="66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row>
    <row r="371" spans="1:256" s="1257" customFormat="1" ht="12.75" x14ac:dyDescent="0.2">
      <c r="A371" s="1255" t="s">
        <v>149</v>
      </c>
      <c r="B371" s="1256"/>
      <c r="C371" s="1256"/>
      <c r="D371" s="1256"/>
      <c r="E371" s="1256"/>
      <c r="F371" s="462"/>
      <c r="G371" s="1256"/>
      <c r="H371" s="1256"/>
      <c r="I371" s="1256"/>
      <c r="J371" s="1256"/>
      <c r="K371" s="462">
        <f t="shared" ref="K371:BV371" si="1063">+K247/K221</f>
        <v>0.23901215002641304</v>
      </c>
      <c r="L371" s="458">
        <f t="shared" si="1063"/>
        <v>0.17868760515984297</v>
      </c>
      <c r="M371" s="458">
        <f t="shared" si="1063"/>
        <v>0.23535242290748926</v>
      </c>
      <c r="N371" s="458">
        <f t="shared" si="1063"/>
        <v>0.25257458328909638</v>
      </c>
      <c r="O371" s="458">
        <f t="shared" si="1063"/>
        <v>0.23315437712282244</v>
      </c>
      <c r="P371" s="462">
        <f t="shared" si="1063"/>
        <v>0.22541802358994015</v>
      </c>
      <c r="Q371" s="458">
        <f t="shared" si="1063"/>
        <v>0.2297812125829978</v>
      </c>
      <c r="R371" s="458">
        <f t="shared" si="1063"/>
        <v>0.24332091538052147</v>
      </c>
      <c r="S371" s="458">
        <f t="shared" si="1063"/>
        <v>0.24339960029451979</v>
      </c>
      <c r="T371" s="458">
        <f t="shared" si="1063"/>
        <v>0.23871500878008489</v>
      </c>
      <c r="U371" s="462">
        <f t="shared" si="1063"/>
        <v>0.23886682552290184</v>
      </c>
      <c r="V371" s="458">
        <f t="shared" si="1063"/>
        <v>0.23789020452099052</v>
      </c>
      <c r="W371" s="458">
        <f t="shared" si="1063"/>
        <v>0.25809800664451832</v>
      </c>
      <c r="X371" s="458">
        <f t="shared" si="1063"/>
        <v>0.25090232965109899</v>
      </c>
      <c r="Y371" s="458">
        <f t="shared" si="1063"/>
        <v>0.26218863104109003</v>
      </c>
      <c r="Z371" s="462">
        <f t="shared" si="1063"/>
        <v>0.25235590912731254</v>
      </c>
      <c r="AA371" s="458">
        <f t="shared" si="1063"/>
        <v>0.23909582935370907</v>
      </c>
      <c r="AB371" s="458">
        <f t="shared" si="1063"/>
        <v>0.27911405091200631</v>
      </c>
      <c r="AC371" s="458">
        <f t="shared" si="1063"/>
        <v>0.27269932363189175</v>
      </c>
      <c r="AD371" s="458">
        <f t="shared" si="1063"/>
        <v>0.27848732787866681</v>
      </c>
      <c r="AE371" s="462">
        <f t="shared" si="1063"/>
        <v>0.26773180878487013</v>
      </c>
      <c r="AF371" s="458">
        <f t="shared" si="1063"/>
        <v>0.27672137710168132</v>
      </c>
      <c r="AG371" s="458">
        <f t="shared" si="1063"/>
        <v>0.29279811097992914</v>
      </c>
      <c r="AH371" s="458">
        <f t="shared" si="1063"/>
        <v>0.2882530120481927</v>
      </c>
      <c r="AI371" s="458">
        <f t="shared" si="1063"/>
        <v>0.2935412917416515</v>
      </c>
      <c r="AJ371" s="462">
        <f t="shared" si="1063"/>
        <v>0.28785084002193523</v>
      </c>
      <c r="AK371" s="458">
        <f t="shared" si="1063"/>
        <v>0.26241762565161786</v>
      </c>
      <c r="AL371" s="458">
        <f t="shared" si="1063"/>
        <v>0.29518304431599235</v>
      </c>
      <c r="AM371" s="458">
        <f t="shared" si="1063"/>
        <v>0.30722478188412888</v>
      </c>
      <c r="AN371" s="458">
        <f t="shared" si="1063"/>
        <v>0.3021603736862592</v>
      </c>
      <c r="AO371" s="462">
        <f t="shared" si="1063"/>
        <v>0.29180479719188762</v>
      </c>
      <c r="AP371" s="458">
        <f t="shared" si="1063"/>
        <v>0.26577557361376675</v>
      </c>
      <c r="AQ371" s="458">
        <f t="shared" si="1063"/>
        <v>0.29574428196475444</v>
      </c>
      <c r="AR371" s="458">
        <f t="shared" si="1063"/>
        <v>0.29462837515504231</v>
      </c>
      <c r="AS371" s="458">
        <f t="shared" si="1063"/>
        <v>0.32203389830508472</v>
      </c>
      <c r="AT371" s="462">
        <f t="shared" si="1063"/>
        <v>0.29465562764924574</v>
      </c>
      <c r="AU371" s="458">
        <f t="shared" si="1063"/>
        <v>0.24600607280348852</v>
      </c>
      <c r="AV371" s="458">
        <f t="shared" si="1063"/>
        <v>0.28839211330186054</v>
      </c>
      <c r="AW371" s="458">
        <f t="shared" si="1063"/>
        <v>0.24645770717045939</v>
      </c>
      <c r="AX371" s="458">
        <f t="shared" si="1063"/>
        <v>0.24166536995254026</v>
      </c>
      <c r="AY371" s="462">
        <f t="shared" si="1063"/>
        <v>0.25590443403222901</v>
      </c>
      <c r="AZ371" s="458">
        <f t="shared" si="1063"/>
        <v>0.22890252826187596</v>
      </c>
      <c r="BA371" s="458">
        <f t="shared" si="1063"/>
        <v>0.14030430593951582</v>
      </c>
      <c r="BB371" s="458">
        <f t="shared" si="1063"/>
        <v>2.405855648661075E-2</v>
      </c>
      <c r="BC371" s="458">
        <f t="shared" si="1063"/>
        <v>2.8684067427950002E-2</v>
      </c>
      <c r="BD371" s="462">
        <f t="shared" si="1063"/>
        <v>9.2698560517591205E-2</v>
      </c>
      <c r="BE371" s="458">
        <f t="shared" si="1063"/>
        <v>1.1273209549071617E-2</v>
      </c>
      <c r="BF371" s="458">
        <f t="shared" si="1063"/>
        <v>0.10050251256281408</v>
      </c>
      <c r="BG371" s="458">
        <f t="shared" si="1063"/>
        <v>5.4071661237785014E-2</v>
      </c>
      <c r="BH371" s="458">
        <f t="shared" si="1063"/>
        <v>3.805774278215223E-2</v>
      </c>
      <c r="BI371" s="462">
        <f t="shared" si="1063"/>
        <v>5.1631758402338045E-2</v>
      </c>
      <c r="BJ371" s="458">
        <f t="shared" si="1063"/>
        <v>5.909090909090909E-2</v>
      </c>
      <c r="BK371" s="458">
        <f t="shared" si="1063"/>
        <v>0.10489949748743718</v>
      </c>
      <c r="BL371" s="458">
        <f t="shared" si="1063"/>
        <v>8.2228116710875335E-2</v>
      </c>
      <c r="BM371" s="458">
        <f t="shared" si="1063"/>
        <v>9.9411764705882352E-2</v>
      </c>
      <c r="BN371" s="462">
        <f t="shared" si="1063"/>
        <v>8.6564019448946525E-2</v>
      </c>
      <c r="BO371" s="458">
        <f t="shared" si="1063"/>
        <v>9.1455273698264353E-2</v>
      </c>
      <c r="BP371" s="458">
        <f t="shared" si="1063"/>
        <v>0.12178279974890144</v>
      </c>
      <c r="BQ371" s="458">
        <f t="shared" si="1063"/>
        <v>0.11827284105131414</v>
      </c>
      <c r="BR371" s="458">
        <f t="shared" si="1063"/>
        <v>0.11764705882352941</v>
      </c>
      <c r="BS371" s="462">
        <f t="shared" si="1063"/>
        <v>0.11259968102073366</v>
      </c>
      <c r="BT371" s="458">
        <f t="shared" si="1063"/>
        <v>8.0076873798846898E-2</v>
      </c>
      <c r="BU371" s="458">
        <f t="shared" si="1063"/>
        <v>0.12186160440906307</v>
      </c>
      <c r="BV371" s="458">
        <f t="shared" si="1063"/>
        <v>0.12515644555694619</v>
      </c>
      <c r="BW371" s="458">
        <f t="shared" ref="BW371:DY371" si="1064">+BW247/BW221</f>
        <v>0.15095465393794749</v>
      </c>
      <c r="BX371" s="462">
        <f t="shared" si="1064"/>
        <v>0.12012987012987013</v>
      </c>
      <c r="BY371" s="458">
        <f t="shared" si="1064"/>
        <v>0.13880685174246898</v>
      </c>
      <c r="BZ371" s="458">
        <f t="shared" si="1064"/>
        <v>0.16767788196359626</v>
      </c>
      <c r="CA371" s="458">
        <f t="shared" si="1064"/>
        <v>0.18039849219170706</v>
      </c>
      <c r="CB371" s="458">
        <f t="shared" si="1064"/>
        <v>0.19240636223704463</v>
      </c>
      <c r="CC371" s="462">
        <f t="shared" si="1064"/>
        <v>0.17081509846827134</v>
      </c>
      <c r="CD371" s="458">
        <f t="shared" si="1064"/>
        <v>0.14125446200917899</v>
      </c>
      <c r="CE371" s="458">
        <f t="shared" si="1064"/>
        <v>0.21010004764173415</v>
      </c>
      <c r="CF371" s="458">
        <f t="shared" si="1064"/>
        <v>0.20464037122969839</v>
      </c>
      <c r="CG371" s="458">
        <f t="shared" si="1064"/>
        <v>0.22330527248560036</v>
      </c>
      <c r="CH371" s="462">
        <f t="shared" si="1064"/>
        <v>0.1962936732766761</v>
      </c>
      <c r="CI371" s="458">
        <f t="shared" si="1064"/>
        <v>0.20234476769431176</v>
      </c>
      <c r="CJ371" s="458">
        <f t="shared" si="1064"/>
        <v>0.24623745819397994</v>
      </c>
      <c r="CK371" s="458">
        <f t="shared" si="1064"/>
        <v>0.26581696615127454</v>
      </c>
      <c r="CL371" s="458">
        <f t="shared" si="1064"/>
        <v>0.23242777059077188</v>
      </c>
      <c r="CM371" s="462">
        <f t="shared" si="1064"/>
        <v>0.23706814074625279</v>
      </c>
      <c r="CN371" s="458">
        <f t="shared" si="1064"/>
        <v>0.18691588785046728</v>
      </c>
      <c r="CO371" s="458">
        <f t="shared" si="1064"/>
        <v>0.25231286795626579</v>
      </c>
      <c r="CP371" s="458">
        <f t="shared" si="1064"/>
        <v>0.2571185720356991</v>
      </c>
      <c r="CQ371" s="458">
        <f t="shared" si="1064"/>
        <v>0.24938875305623473</v>
      </c>
      <c r="CR371" s="462">
        <f t="shared" si="1064"/>
        <v>0.23717133163698048</v>
      </c>
      <c r="CS371" s="458">
        <f t="shared" si="1064"/>
        <v>0.1956</v>
      </c>
      <c r="CT371" s="458">
        <f t="shared" si="1064"/>
        <v>0.2650994575045208</v>
      </c>
      <c r="CU371" s="458">
        <f t="shared" si="1064"/>
        <v>0.28403593642017966</v>
      </c>
      <c r="CV371" s="458">
        <f t="shared" si="1064"/>
        <v>0.28737010391686652</v>
      </c>
      <c r="CW371" s="462">
        <f t="shared" si="1064"/>
        <v>0.25916893349591968</v>
      </c>
      <c r="CX371" s="458">
        <f t="shared" si="1064"/>
        <v>0.14565105506948017</v>
      </c>
      <c r="CY371" s="458">
        <f t="shared" si="1064"/>
        <v>0.21055465805061929</v>
      </c>
      <c r="CZ371" s="458">
        <f t="shared" si="1064"/>
        <v>0.23315559864275326</v>
      </c>
      <c r="DA371" s="458">
        <f t="shared" si="1064"/>
        <v>0.22174738841405509</v>
      </c>
      <c r="DB371" s="462">
        <f t="shared" si="1064"/>
        <v>0.20353871251098005</v>
      </c>
      <c r="DC371" s="458">
        <f t="shared" si="1064"/>
        <v>0.20375335120643431</v>
      </c>
      <c r="DD371" s="458">
        <f t="shared" si="1064"/>
        <v>0.26131687242798352</v>
      </c>
      <c r="DE371" s="458">
        <f t="shared" si="1064"/>
        <v>0.29071661237785018</v>
      </c>
      <c r="DF371" s="458">
        <f t="shared" si="1064"/>
        <v>0.23490926756709687</v>
      </c>
      <c r="DG371" s="462">
        <f t="shared" si="1064"/>
        <v>0.248728953414288</v>
      </c>
      <c r="DH371" s="458">
        <f t="shared" si="1064"/>
        <v>0.21870229007633588</v>
      </c>
      <c r="DI371" s="458">
        <f t="shared" si="1064"/>
        <v>0.27773900907187721</v>
      </c>
      <c r="DJ371" s="458">
        <f t="shared" si="1064"/>
        <v>0.30598823122187607</v>
      </c>
      <c r="DK371" s="458">
        <f t="shared" si="1064"/>
        <v>0.25849124061494461</v>
      </c>
      <c r="DL371" s="462">
        <f t="shared" si="1064"/>
        <v>0.26638023630504831</v>
      </c>
      <c r="DM371" s="458">
        <f t="shared" si="1064"/>
        <v>0.23449264969523126</v>
      </c>
      <c r="DN371" s="458">
        <f t="shared" si="1064"/>
        <v>0.29331941544885176</v>
      </c>
      <c r="DO371" s="458">
        <f t="shared" si="1064"/>
        <v>0.2376531748978834</v>
      </c>
      <c r="DP371" s="458">
        <f t="shared" si="1064"/>
        <v>0.23137108792846497</v>
      </c>
      <c r="DQ371" s="462">
        <f t="shared" si="1064"/>
        <v>0.24981884057971016</v>
      </c>
      <c r="DR371" s="458">
        <f t="shared" si="1064"/>
        <v>0.21913805697589481</v>
      </c>
      <c r="DS371" s="458">
        <f t="shared" si="1064"/>
        <v>0.26302640970735192</v>
      </c>
      <c r="DT371" s="458">
        <f t="shared" si="1064"/>
        <v>0.26473087818696883</v>
      </c>
      <c r="DU371" s="458">
        <f>+DU247/DU221</f>
        <v>0.27178063172509548</v>
      </c>
      <c r="DV371" s="462">
        <f t="shared" si="1064"/>
        <v>0.25501111605157845</v>
      </c>
      <c r="DW371" s="458">
        <f>+DW247/DW221</f>
        <v>0.20602454444031237</v>
      </c>
      <c r="DX371" s="458">
        <f t="shared" si="1064"/>
        <v>0.29520052596975677</v>
      </c>
      <c r="DY371" s="458">
        <f t="shared" si="1064"/>
        <v>0.29510420112471053</v>
      </c>
      <c r="DZ371" s="458">
        <f t="shared" ref="DZ371:EI371" si="1065">+DZ247/DZ221</f>
        <v>0.27526132404181186</v>
      </c>
      <c r="EA371" s="462">
        <f t="shared" si="1065"/>
        <v>0.26962319339298002</v>
      </c>
      <c r="EB371" s="458">
        <f t="shared" si="1065"/>
        <v>0.19283209972730814</v>
      </c>
      <c r="EC371" s="458">
        <f t="shared" si="1065"/>
        <v>0.25750092148912646</v>
      </c>
      <c r="ED371" s="458">
        <f t="shared" si="1065"/>
        <v>0.26686325101363806</v>
      </c>
      <c r="EE371" s="458">
        <f t="shared" si="1065"/>
        <v>0.20810166799046861</v>
      </c>
      <c r="EF371" s="462">
        <f t="shared" si="1065"/>
        <v>0.23228998192369898</v>
      </c>
      <c r="EG371" s="458">
        <f t="shared" si="1065"/>
        <v>0.24793388429752067</v>
      </c>
      <c r="EH371" s="458">
        <f t="shared" si="1065"/>
        <v>0.25916870415647919</v>
      </c>
      <c r="EI371" s="458">
        <f t="shared" si="1065"/>
        <v>0.27931854199683043</v>
      </c>
      <c r="EJ371" s="1006"/>
      <c r="EK371" s="462">
        <f>+EK247/EK221</f>
        <v>0.26112459546925565</v>
      </c>
      <c r="EL371" s="1006"/>
      <c r="EM371" s="1006"/>
      <c r="EN371" s="1006"/>
      <c r="EO371" s="1006"/>
      <c r="EP371" s="462">
        <f>+EP247/EP221</f>
        <v>0.28215335039332767</v>
      </c>
      <c r="EQ371" s="1006"/>
      <c r="ER371" s="1006"/>
      <c r="ES371" s="1006"/>
      <c r="ET371" s="1006"/>
      <c r="EU371" s="462">
        <f>+EU247/EU221</f>
        <v>0.27373993626287862</v>
      </c>
      <c r="EV371" s="1006"/>
      <c r="EW371" s="1006"/>
      <c r="EX371" s="1006"/>
      <c r="EY371" s="1006"/>
      <c r="EZ371" s="462">
        <f>+EZ247/EZ221</f>
        <v>0.2752177570662796</v>
      </c>
      <c r="FA371" s="1006"/>
      <c r="FB371" s="1006"/>
      <c r="FC371" s="1006"/>
      <c r="FD371" s="1006"/>
      <c r="FE371" s="462">
        <f>+FE247/FE221</f>
        <v>0.27898049703744798</v>
      </c>
      <c r="FF371" s="1230"/>
      <c r="FG371" s="660"/>
      <c r="FH371" s="1258"/>
      <c r="FI371" s="1258"/>
      <c r="FJ371" s="1258"/>
      <c r="FK371" s="1259"/>
      <c r="FL371" s="1859"/>
      <c r="FM371" s="1230"/>
      <c r="FN371" s="1230"/>
      <c r="FO371" s="1230"/>
      <c r="FP371" s="1230"/>
      <c r="FQ371" s="1230"/>
      <c r="FR371" s="232"/>
      <c r="FS371" s="232"/>
      <c r="FT371" s="232"/>
      <c r="FU371" s="232"/>
      <c r="FV371" s="232"/>
      <c r="FW371" s="232"/>
      <c r="FX371" s="232"/>
      <c r="FY371" s="232"/>
      <c r="FZ371" s="232"/>
      <c r="GA371" s="660"/>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row>
    <row r="372" spans="1:256" s="1257" customFormat="1" ht="12.75" x14ac:dyDescent="0.2">
      <c r="A372" s="1255" t="s">
        <v>141</v>
      </c>
      <c r="B372" s="1256"/>
      <c r="C372" s="1256"/>
      <c r="D372" s="1256"/>
      <c r="E372" s="1256"/>
      <c r="F372" s="462"/>
      <c r="G372" s="1256"/>
      <c r="H372" s="1256"/>
      <c r="I372" s="1256"/>
      <c r="J372" s="1256"/>
      <c r="K372" s="462">
        <f t="shared" ref="K372:BV372" si="1066">+K250/K221</f>
        <v>0.15192287374537763</v>
      </c>
      <c r="L372" s="458">
        <f t="shared" si="1066"/>
        <v>0.11228266965787999</v>
      </c>
      <c r="M372" s="458">
        <f t="shared" si="1066"/>
        <v>0.1475770925110135</v>
      </c>
      <c r="N372" s="458">
        <f t="shared" si="1066"/>
        <v>0.15957107973245557</v>
      </c>
      <c r="O372" s="458">
        <f t="shared" si="1066"/>
        <v>0.1562134326722911</v>
      </c>
      <c r="P372" s="462">
        <f t="shared" si="1066"/>
        <v>0.14421499137954635</v>
      </c>
      <c r="Q372" s="458">
        <f t="shared" si="1066"/>
        <v>0.15097420267769682</v>
      </c>
      <c r="R372" s="458">
        <f t="shared" si="1066"/>
        <v>0.15423097392229901</v>
      </c>
      <c r="S372" s="458">
        <f t="shared" si="1066"/>
        <v>0.15336068160302932</v>
      </c>
      <c r="T372" s="458">
        <f t="shared" si="1066"/>
        <v>0.1503904555314535</v>
      </c>
      <c r="U372" s="462">
        <f t="shared" si="1066"/>
        <v>0.15223537198835058</v>
      </c>
      <c r="V372" s="458">
        <f t="shared" si="1066"/>
        <v>0.14951560818083984</v>
      </c>
      <c r="W372" s="458">
        <f t="shared" si="1066"/>
        <v>0.16002076411960134</v>
      </c>
      <c r="X372" s="458">
        <f t="shared" si="1066"/>
        <v>0.15581034671333246</v>
      </c>
      <c r="Y372" s="458">
        <f t="shared" si="1066"/>
        <v>0.16968277624015327</v>
      </c>
      <c r="Z372" s="462">
        <f t="shared" si="1066"/>
        <v>0.15881080648175339</v>
      </c>
      <c r="AA372" s="458">
        <f t="shared" si="1066"/>
        <v>0.15377268385864379</v>
      </c>
      <c r="AB372" s="458">
        <f t="shared" si="1066"/>
        <v>0.17889356584485858</v>
      </c>
      <c r="AC372" s="458">
        <f t="shared" si="1066"/>
        <v>0.17247386759581879</v>
      </c>
      <c r="AD372" s="458">
        <f t="shared" si="1066"/>
        <v>0.17571343045300325</v>
      </c>
      <c r="AE372" s="462">
        <f t="shared" si="1066"/>
        <v>0.17043975396237965</v>
      </c>
      <c r="AF372" s="458">
        <f t="shared" si="1066"/>
        <v>0.17083666933546834</v>
      </c>
      <c r="AG372" s="458">
        <f t="shared" si="1066"/>
        <v>0.18212042502951595</v>
      </c>
      <c r="AH372" s="458">
        <f t="shared" si="1066"/>
        <v>0.1846385542168674</v>
      </c>
      <c r="AI372" s="458">
        <f t="shared" si="1066"/>
        <v>0.18346330733853214</v>
      </c>
      <c r="AJ372" s="462">
        <f t="shared" si="1066"/>
        <v>0.18027000348970529</v>
      </c>
      <c r="AK372" s="458">
        <f t="shared" si="1066"/>
        <v>0.16533884134946381</v>
      </c>
      <c r="AL372" s="458">
        <f t="shared" si="1066"/>
        <v>0.19219653179190754</v>
      </c>
      <c r="AM372" s="458">
        <f t="shared" si="1066"/>
        <v>0.19831389079501999</v>
      </c>
      <c r="AN372" s="458">
        <f t="shared" si="1066"/>
        <v>0.1953094589334371</v>
      </c>
      <c r="AO372" s="462">
        <f t="shared" si="1066"/>
        <v>0.18784126365054596</v>
      </c>
      <c r="AP372" s="458">
        <f t="shared" si="1066"/>
        <v>0.17115946940726579</v>
      </c>
      <c r="AQ372" s="458">
        <f t="shared" si="1066"/>
        <v>0.18927634045744285</v>
      </c>
      <c r="AR372" s="458">
        <f t="shared" si="1066"/>
        <v>0.19445472760232788</v>
      </c>
      <c r="AS372" s="458">
        <f t="shared" si="1066"/>
        <v>0.22961016949152543</v>
      </c>
      <c r="AT372" s="462">
        <f t="shared" si="1066"/>
        <v>0.19621748206208997</v>
      </c>
      <c r="AU372" s="458">
        <f t="shared" si="1066"/>
        <v>0.15719788052142913</v>
      </c>
      <c r="AV372" s="458">
        <f t="shared" si="1066"/>
        <v>0.18457095251319078</v>
      </c>
      <c r="AW372" s="458">
        <f t="shared" si="1066"/>
        <v>0.1577329325890941</v>
      </c>
      <c r="AX372" s="458">
        <f t="shared" si="1066"/>
        <v>0.15466583676962578</v>
      </c>
      <c r="AY372" s="462">
        <f t="shared" si="1066"/>
        <v>0.16371672006611585</v>
      </c>
      <c r="AZ372" s="458">
        <f t="shared" si="1066"/>
        <v>0.14878664337021938</v>
      </c>
      <c r="BA372" s="458">
        <f t="shared" si="1066"/>
        <v>9.2600841920080432E-2</v>
      </c>
      <c r="BB372" s="458">
        <f t="shared" si="1066"/>
        <v>1.2725903112479864E-2</v>
      </c>
      <c r="BC372" s="458">
        <f t="shared" si="1066"/>
        <v>2.1207177814029393E-2</v>
      </c>
      <c r="BD372" s="462">
        <f t="shared" si="1066"/>
        <v>6.0461239146210245E-2</v>
      </c>
      <c r="BE372" s="458">
        <f t="shared" si="1066"/>
        <v>9.3003978779840849E-3</v>
      </c>
      <c r="BF372" s="458">
        <f t="shared" si="1066"/>
        <v>6.3316582914572858E-2</v>
      </c>
      <c r="BG372" s="458">
        <f t="shared" si="1066"/>
        <v>3.4352629308458421E-2</v>
      </c>
      <c r="BH372" s="458">
        <f t="shared" si="1066"/>
        <v>2.6640419947506561E-2</v>
      </c>
      <c r="BI372" s="462">
        <f t="shared" si="1066"/>
        <v>3.3797091409073499E-2</v>
      </c>
      <c r="BJ372" s="458">
        <f t="shared" si="1066"/>
        <v>3.961038961038961E-2</v>
      </c>
      <c r="BK372" s="458">
        <f t="shared" si="1066"/>
        <v>6.7211055276381909E-2</v>
      </c>
      <c r="BL372" s="458">
        <f t="shared" si="1066"/>
        <v>5.2122015915119363E-2</v>
      </c>
      <c r="BM372" s="458">
        <f t="shared" si="1066"/>
        <v>6.8431372549019598E-2</v>
      </c>
      <c r="BN372" s="462">
        <f t="shared" si="1066"/>
        <v>5.6936790923824962E-2</v>
      </c>
      <c r="BO372" s="458">
        <f t="shared" si="1066"/>
        <v>5.7409879839786383E-2</v>
      </c>
      <c r="BP372" s="458">
        <f t="shared" si="1066"/>
        <v>7.4701820464532331E-2</v>
      </c>
      <c r="BQ372" s="458">
        <f t="shared" si="1066"/>
        <v>7.8848560700876091E-2</v>
      </c>
      <c r="BR372" s="458">
        <f t="shared" si="1066"/>
        <v>8.1593927893738136E-2</v>
      </c>
      <c r="BS372" s="462">
        <f t="shared" si="1066"/>
        <v>7.3365231259968106E-2</v>
      </c>
      <c r="BT372" s="458">
        <f t="shared" si="1066"/>
        <v>5.4452274183215889E-2</v>
      </c>
      <c r="BU372" s="458">
        <f t="shared" si="1066"/>
        <v>8.3894672382118798E-2</v>
      </c>
      <c r="BV372" s="458">
        <f t="shared" si="1066"/>
        <v>8.5732165206508129E-2</v>
      </c>
      <c r="BW372" s="458">
        <f t="shared" ref="BW372:DY372" si="1067">+BW250/BW221</f>
        <v>0.10143198090692124</v>
      </c>
      <c r="BX372" s="462">
        <f t="shared" si="1067"/>
        <v>8.1787260358688926E-2</v>
      </c>
      <c r="BY372" s="458">
        <f t="shared" si="1067"/>
        <v>9.332545776727702E-2</v>
      </c>
      <c r="BZ372" s="458">
        <f t="shared" si="1067"/>
        <v>0.11748483177054606</v>
      </c>
      <c r="CA372" s="458">
        <f t="shared" si="1067"/>
        <v>0.12654819601507808</v>
      </c>
      <c r="CB372" s="458">
        <f t="shared" si="1067"/>
        <v>0.13545407901487944</v>
      </c>
      <c r="CC372" s="462">
        <f t="shared" si="1067"/>
        <v>0.11898249452954048</v>
      </c>
      <c r="CD372" s="458">
        <f t="shared" si="1067"/>
        <v>9.8929117797042332E-2</v>
      </c>
      <c r="CE372" s="458">
        <f t="shared" si="1067"/>
        <v>0.14554549785612197</v>
      </c>
      <c r="CF372" s="458">
        <f t="shared" si="1067"/>
        <v>0.13967517401392113</v>
      </c>
      <c r="CG372" s="458">
        <f t="shared" si="1067"/>
        <v>0.16038989809481613</v>
      </c>
      <c r="CH372" s="462">
        <f t="shared" si="1067"/>
        <v>0.13721671388101983</v>
      </c>
      <c r="CI372" s="458">
        <f t="shared" si="1067"/>
        <v>0.13243595310464612</v>
      </c>
      <c r="CJ372" s="458">
        <f t="shared" si="1067"/>
        <v>0.15677257525083613</v>
      </c>
      <c r="CK372" s="458">
        <f t="shared" si="1067"/>
        <v>0.17388215628917678</v>
      </c>
      <c r="CL372" s="458">
        <f t="shared" si="1067"/>
        <v>0.16601983613626564</v>
      </c>
      <c r="CM372" s="462">
        <f t="shared" si="1067"/>
        <v>0.15744658233230571</v>
      </c>
      <c r="CN372" s="458">
        <f t="shared" si="1067"/>
        <v>0.12683578104138851</v>
      </c>
      <c r="CO372" s="458">
        <f t="shared" si="1067"/>
        <v>0.16568544995794784</v>
      </c>
      <c r="CP372" s="458">
        <f t="shared" si="1067"/>
        <v>0.17212069698257543</v>
      </c>
      <c r="CQ372" s="458">
        <f t="shared" si="1067"/>
        <v>0.16259168704156479</v>
      </c>
      <c r="CR372" s="462">
        <f t="shared" si="1067"/>
        <v>0.15723070398642919</v>
      </c>
      <c r="CS372" s="458">
        <f t="shared" si="1067"/>
        <v>0.11957899159663866</v>
      </c>
      <c r="CT372" s="458">
        <f t="shared" si="1067"/>
        <v>0.16383363471971066</v>
      </c>
      <c r="CU372" s="458">
        <f t="shared" si="1067"/>
        <v>0.1796821008984105</v>
      </c>
      <c r="CV372" s="458">
        <f t="shared" si="1067"/>
        <v>0.1806554756195044</v>
      </c>
      <c r="CW372" s="462">
        <f t="shared" si="1067"/>
        <v>0.16170598245864334</v>
      </c>
      <c r="CX372" s="458">
        <f t="shared" si="1067"/>
        <v>9.109624292331446E-2</v>
      </c>
      <c r="CY372" s="458">
        <f t="shared" si="1067"/>
        <v>0.13301023155627356</v>
      </c>
      <c r="CZ372" s="458">
        <f t="shared" si="1067"/>
        <v>0.14687348521570529</v>
      </c>
      <c r="DA372" s="458">
        <f t="shared" si="1067"/>
        <v>0.14577397910731243</v>
      </c>
      <c r="DB372" s="462">
        <f t="shared" si="1067"/>
        <v>0.1297527920692684</v>
      </c>
      <c r="DC372" s="458">
        <f t="shared" si="1067"/>
        <v>0.12600536193029491</v>
      </c>
      <c r="DD372" s="458">
        <f t="shared" si="1067"/>
        <v>0.16131687242798354</v>
      </c>
      <c r="DE372" s="458">
        <f t="shared" si="1067"/>
        <v>0.18118892508143322</v>
      </c>
      <c r="DF372" s="458">
        <f t="shared" si="1067"/>
        <v>0.15380128828186013</v>
      </c>
      <c r="DG372" s="462">
        <f t="shared" si="1067"/>
        <v>0.15625189074882059</v>
      </c>
      <c r="DH372" s="458">
        <f t="shared" si="1067"/>
        <v>0.13778625954198473</v>
      </c>
      <c r="DI372" s="458">
        <f t="shared" si="1067"/>
        <v>0.17236566643405443</v>
      </c>
      <c r="DJ372" s="458">
        <f t="shared" si="1067"/>
        <v>0.19176185531325718</v>
      </c>
      <c r="DK372" s="458">
        <f t="shared" si="1067"/>
        <v>0.1676796567751162</v>
      </c>
      <c r="DL372" s="462">
        <f t="shared" si="1067"/>
        <v>0.16809881847475833</v>
      </c>
      <c r="DM372" s="458">
        <f t="shared" si="1067"/>
        <v>0.14700609537468626</v>
      </c>
      <c r="DN372" s="458">
        <f t="shared" si="1067"/>
        <v>0.18232428670842032</v>
      </c>
      <c r="DO372" s="458">
        <f t="shared" si="1067"/>
        <v>0.14927590048273301</v>
      </c>
      <c r="DP372" s="458">
        <f t="shared" si="1067"/>
        <v>0.15387481371087927</v>
      </c>
      <c r="DQ372" s="462">
        <f t="shared" si="1067"/>
        <v>0.15842391304347825</v>
      </c>
      <c r="DR372" s="458">
        <f t="shared" si="1067"/>
        <v>0.14225712198685173</v>
      </c>
      <c r="DS372" s="458">
        <f t="shared" si="1067"/>
        <v>0.16595289079229122</v>
      </c>
      <c r="DT372" s="458">
        <f t="shared" si="1067"/>
        <v>0.17053824362606232</v>
      </c>
      <c r="DU372" s="458">
        <f>+DU250/DU221</f>
        <v>0.17806317250954529</v>
      </c>
      <c r="DV372" s="462">
        <f t="shared" si="1067"/>
        <v>0.16443752779012893</v>
      </c>
      <c r="DW372" s="458">
        <f>+DW250/DW221</f>
        <v>0.13666790628486425</v>
      </c>
      <c r="DX372" s="458">
        <f t="shared" si="1067"/>
        <v>0.18474687705456935</v>
      </c>
      <c r="DY372" s="458">
        <f t="shared" si="1067"/>
        <v>0.18494872643069796</v>
      </c>
      <c r="DZ372" s="458">
        <f t="shared" ref="DZ372:EI372" si="1068">+DZ250/DZ221</f>
        <v>0.17804878048780487</v>
      </c>
      <c r="EA372" s="462">
        <f t="shared" si="1068"/>
        <v>0.17202339986235374</v>
      </c>
      <c r="EB372" s="458">
        <f t="shared" si="1068"/>
        <v>0.12076353720296065</v>
      </c>
      <c r="EC372" s="458">
        <f t="shared" si="1068"/>
        <v>0.15945447843715446</v>
      </c>
      <c r="ED372" s="458">
        <f t="shared" si="1068"/>
        <v>0.1666052340582381</v>
      </c>
      <c r="EE372" s="458">
        <f t="shared" si="1068"/>
        <v>0.14336775218427322</v>
      </c>
      <c r="EF372" s="462">
        <f t="shared" si="1068"/>
        <v>0.14799733612406049</v>
      </c>
      <c r="EG372" s="458">
        <f t="shared" si="1068"/>
        <v>0.15991735537190083</v>
      </c>
      <c r="EH372" s="458">
        <f t="shared" si="1068"/>
        <v>0.1649551752241239</v>
      </c>
      <c r="EI372" s="458">
        <f t="shared" si="1068"/>
        <v>0.1820919175911252</v>
      </c>
      <c r="EJ372" s="1006"/>
      <c r="EK372" s="462">
        <f>+EK250/EK221</f>
        <v>0.16862864077669903</v>
      </c>
      <c r="EL372" s="1006"/>
      <c r="EM372" s="1006"/>
      <c r="EN372" s="1006"/>
      <c r="EO372" s="1006"/>
      <c r="EP372" s="462">
        <f>+EP250/EP221</f>
        <v>0.18216282816794616</v>
      </c>
      <c r="EQ372" s="1006"/>
      <c r="ER372" s="1006"/>
      <c r="ES372" s="1006"/>
      <c r="ET372" s="1006"/>
      <c r="EU372" s="462">
        <f>+EU250/EU221</f>
        <v>0.20830043237505161</v>
      </c>
      <c r="EV372" s="1006"/>
      <c r="EW372" s="1006"/>
      <c r="EX372" s="1006"/>
      <c r="EY372" s="1006"/>
      <c r="EZ372" s="462">
        <f>+EZ250/EZ221</f>
        <v>0.20916549537037252</v>
      </c>
      <c r="FA372" s="1006"/>
      <c r="FB372" s="1006"/>
      <c r="FC372" s="1006"/>
      <c r="FD372" s="1006"/>
      <c r="FE372" s="462">
        <f>+FE250/FE221</f>
        <v>0.2120251777484605</v>
      </c>
      <c r="FF372" s="1230"/>
      <c r="FG372" s="660"/>
      <c r="FH372" s="1258"/>
      <c r="FI372" s="1258"/>
      <c r="FJ372" s="1258"/>
      <c r="FK372" s="1259"/>
      <c r="FL372" s="1859"/>
      <c r="FM372" s="1230"/>
      <c r="FN372" s="1230"/>
      <c r="FO372" s="1230"/>
      <c r="FP372" s="1230"/>
      <c r="FQ372" s="1230"/>
      <c r="FR372" s="232"/>
      <c r="FS372" s="232"/>
      <c r="FT372" s="232"/>
      <c r="FU372" s="232"/>
      <c r="FV372" s="232"/>
      <c r="FW372" s="232"/>
      <c r="FX372" s="232"/>
      <c r="FY372" s="232"/>
      <c r="FZ372" s="232"/>
      <c r="GA372" s="660"/>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row>
    <row r="373" spans="1:256" s="1230" customFormat="1" ht="12.75" customHeight="1" x14ac:dyDescent="0.2">
      <c r="A373" s="1226" t="s">
        <v>150</v>
      </c>
      <c r="B373" s="1227"/>
      <c r="C373" s="1227"/>
      <c r="D373" s="1227"/>
      <c r="E373" s="1227"/>
      <c r="F373" s="1228"/>
      <c r="G373" s="1227"/>
      <c r="H373" s="1227"/>
      <c r="I373" s="1227"/>
      <c r="J373" s="1227"/>
      <c r="K373" s="1260"/>
      <c r="L373" s="1261"/>
      <c r="M373" s="1261"/>
      <c r="N373" s="1261"/>
      <c r="O373" s="1261"/>
      <c r="P373" s="1260"/>
      <c r="Q373" s="1261"/>
      <c r="R373" s="1261"/>
      <c r="S373" s="1261"/>
      <c r="T373" s="1261"/>
      <c r="U373" s="1260"/>
      <c r="V373" s="1261"/>
      <c r="W373" s="1261"/>
      <c r="X373" s="1261"/>
      <c r="Y373" s="1261"/>
      <c r="Z373" s="1260"/>
      <c r="AA373" s="1261"/>
      <c r="AB373" s="1261"/>
      <c r="AC373" s="1261"/>
      <c r="AD373" s="1261"/>
      <c r="AE373" s="1260"/>
      <c r="AF373" s="1261"/>
      <c r="AG373" s="1261"/>
      <c r="AH373" s="1261"/>
      <c r="AI373" s="1261"/>
      <c r="AJ373" s="1260"/>
      <c r="AK373" s="1261"/>
      <c r="AL373" s="1261"/>
      <c r="AM373" s="1261"/>
      <c r="AN373" s="1261"/>
      <c r="AO373" s="1260"/>
      <c r="AP373" s="1261"/>
      <c r="AQ373" s="1261"/>
      <c r="AR373" s="1261"/>
      <c r="AS373" s="1261"/>
      <c r="AT373" s="1260"/>
      <c r="AU373" s="1261"/>
      <c r="AV373" s="1261"/>
      <c r="AW373" s="1261"/>
      <c r="AX373" s="1261"/>
      <c r="AY373" s="1260"/>
      <c r="AZ373" s="1261"/>
      <c r="BA373" s="1261"/>
      <c r="BB373" s="1261"/>
      <c r="BC373" s="1261"/>
      <c r="BD373" s="1260"/>
      <c r="BE373" s="1261"/>
      <c r="BF373" s="1261"/>
      <c r="BG373" s="1261"/>
      <c r="BH373" s="1261"/>
      <c r="BI373" s="1260"/>
      <c r="BJ373" s="1261"/>
      <c r="BK373" s="1261"/>
      <c r="BL373" s="1261"/>
      <c r="BM373" s="1261"/>
      <c r="BN373" s="1260"/>
      <c r="BO373" s="1261"/>
      <c r="BP373" s="1261"/>
      <c r="BQ373" s="1261"/>
      <c r="BR373" s="1261"/>
      <c r="BS373" s="1260"/>
      <c r="BT373" s="1261"/>
      <c r="BU373" s="1261"/>
      <c r="BV373" s="1261"/>
      <c r="BW373" s="1261"/>
      <c r="BX373" s="1260"/>
      <c r="BY373" s="1261"/>
      <c r="BZ373" s="1261"/>
      <c r="CA373" s="1261"/>
      <c r="CB373" s="1261"/>
      <c r="CC373" s="1260"/>
      <c r="CD373" s="1261"/>
      <c r="CE373" s="1261"/>
      <c r="CF373" s="1261"/>
      <c r="CG373" s="1261"/>
      <c r="CH373" s="1260"/>
      <c r="CI373" s="1261"/>
      <c r="CJ373" s="1261"/>
      <c r="CK373" s="1261"/>
      <c r="CL373" s="1261"/>
      <c r="CM373" s="1260"/>
      <c r="CN373" s="1261"/>
      <c r="CO373" s="1261"/>
      <c r="CP373" s="1261"/>
      <c r="CQ373" s="1261"/>
      <c r="CR373" s="1260"/>
      <c r="CS373" s="1261"/>
      <c r="CT373" s="1261"/>
      <c r="CU373" s="1261"/>
      <c r="CV373" s="1261"/>
      <c r="CW373" s="1260"/>
      <c r="CX373" s="1261"/>
      <c r="CY373" s="1261"/>
      <c r="CZ373" s="1261"/>
      <c r="DA373" s="1261"/>
      <c r="DB373" s="1260"/>
      <c r="DC373" s="1261"/>
      <c r="DD373" s="1261"/>
      <c r="DE373" s="1261"/>
      <c r="DF373" s="1261"/>
      <c r="DG373" s="1260"/>
      <c r="DH373" s="1261"/>
      <c r="DI373" s="1261"/>
      <c r="DJ373" s="1261"/>
      <c r="DK373" s="1261"/>
      <c r="DL373" s="1260"/>
      <c r="DM373" s="1261"/>
      <c r="DN373" s="1261"/>
      <c r="DO373" s="1261"/>
      <c r="DP373" s="1261"/>
      <c r="DQ373" s="1260"/>
      <c r="DR373" s="1261"/>
      <c r="DS373" s="1261"/>
      <c r="DT373" s="1261"/>
      <c r="DU373" s="1261"/>
      <c r="DV373" s="1260"/>
      <c r="DW373" s="1261"/>
      <c r="DX373" s="1261"/>
      <c r="DY373" s="1261"/>
      <c r="DZ373" s="1261"/>
      <c r="EA373" s="1260"/>
      <c r="EB373" s="1261"/>
      <c r="EC373" s="1261"/>
      <c r="ED373" s="1261"/>
      <c r="EE373" s="1261"/>
      <c r="EF373" s="1260"/>
      <c r="EG373" s="1261"/>
      <c r="EH373" s="1261"/>
      <c r="EI373" s="1261"/>
      <c r="EJ373" s="1261"/>
      <c r="EK373" s="1260"/>
      <c r="EL373" s="1261"/>
      <c r="EM373" s="1261"/>
      <c r="EN373" s="1261"/>
      <c r="EO373" s="1261"/>
      <c r="EP373" s="1260"/>
      <c r="EQ373" s="1261"/>
      <c r="ER373" s="1261"/>
      <c r="ES373" s="1261"/>
      <c r="ET373" s="1261"/>
      <c r="EU373" s="1260"/>
      <c r="EV373" s="1006"/>
      <c r="EW373" s="1006"/>
      <c r="EX373" s="1006"/>
      <c r="EY373" s="1006"/>
      <c r="EZ373" s="1260"/>
      <c r="FA373" s="1006"/>
      <c r="FB373" s="1006"/>
      <c r="FC373" s="1006"/>
      <c r="FD373" s="1006"/>
      <c r="FE373" s="1260"/>
      <c r="FG373" s="660"/>
      <c r="FH373" s="1258"/>
      <c r="FI373" s="1258"/>
      <c r="FJ373" s="1258"/>
      <c r="FK373" s="1259"/>
      <c r="FL373" s="1859"/>
      <c r="FR373" s="232"/>
      <c r="FS373" s="232"/>
      <c r="FT373" s="232"/>
      <c r="FU373" s="232"/>
      <c r="FV373" s="232"/>
      <c r="FW373" s="232"/>
      <c r="FX373" s="232"/>
      <c r="FY373" s="232"/>
      <c r="FZ373" s="232"/>
      <c r="GA373" s="660"/>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row>
    <row r="374" spans="1:256" s="1230" customFormat="1" ht="12.75" customHeight="1" x14ac:dyDescent="0.2">
      <c r="A374" s="1255" t="s">
        <v>75</v>
      </c>
      <c r="B374" s="407"/>
      <c r="C374" s="407"/>
      <c r="D374" s="407"/>
      <c r="E374" s="407"/>
      <c r="F374" s="21"/>
      <c r="G374" s="407"/>
      <c r="H374" s="407"/>
      <c r="I374" s="407"/>
      <c r="J374" s="407"/>
      <c r="K374" s="1262"/>
      <c r="L374" s="1263">
        <f t="shared" ref="L374:AQ374" si="1069">+L6/L$13</f>
        <v>0.36377025036818855</v>
      </c>
      <c r="M374" s="1263">
        <f t="shared" si="1069"/>
        <v>0.33603878992305258</v>
      </c>
      <c r="N374" s="1263">
        <f t="shared" si="1069"/>
        <v>0.34099227328182191</v>
      </c>
      <c r="O374" s="1263">
        <f t="shared" si="1069"/>
        <v>0.33336807002917873</v>
      </c>
      <c r="P374" s="1262">
        <f t="shared" si="1069"/>
        <v>0.34350032530904362</v>
      </c>
      <c r="Q374" s="1263">
        <f t="shared" si="1069"/>
        <v>0.33174914763921892</v>
      </c>
      <c r="R374" s="1263">
        <f t="shared" si="1069"/>
        <v>0.32692897291773121</v>
      </c>
      <c r="S374" s="1263">
        <f t="shared" si="1069"/>
        <v>0.32562581682919473</v>
      </c>
      <c r="T374" s="1263">
        <f t="shared" si="1069"/>
        <v>0.32289918040880811</v>
      </c>
      <c r="U374" s="1262">
        <f t="shared" si="1069"/>
        <v>0.32674895037685264</v>
      </c>
      <c r="V374" s="1263">
        <f t="shared" si="1069"/>
        <v>0.29851821362420256</v>
      </c>
      <c r="W374" s="1263">
        <f t="shared" si="1069"/>
        <v>0.30430556905432993</v>
      </c>
      <c r="X374" s="1263">
        <f t="shared" si="1069"/>
        <v>0.30171807495227571</v>
      </c>
      <c r="Y374" s="1263">
        <f t="shared" si="1069"/>
        <v>0.29579375848032563</v>
      </c>
      <c r="Z374" s="1262">
        <f t="shared" si="1069"/>
        <v>0.30008937881722031</v>
      </c>
      <c r="AA374" s="1263">
        <f t="shared" si="1069"/>
        <v>0.30165615141955837</v>
      </c>
      <c r="AB374" s="1263">
        <f t="shared" si="1069"/>
        <v>0.30238895449177949</v>
      </c>
      <c r="AC374" s="1263">
        <f t="shared" si="1069"/>
        <v>0.30145626565253691</v>
      </c>
      <c r="AD374" s="1263">
        <f t="shared" si="1069"/>
        <v>0.27854578096947935</v>
      </c>
      <c r="AE374" s="1262">
        <f t="shared" si="1069"/>
        <v>0.29581650183405306</v>
      </c>
      <c r="AF374" s="1263">
        <f t="shared" si="1069"/>
        <v>0.28638244288541104</v>
      </c>
      <c r="AG374" s="1263">
        <f t="shared" si="1069"/>
        <v>0.2793017456359102</v>
      </c>
      <c r="AH374" s="1263">
        <f t="shared" si="1069"/>
        <v>0.29065964019625656</v>
      </c>
      <c r="AI374" s="1263">
        <f t="shared" si="1069"/>
        <v>0.2828273756062511</v>
      </c>
      <c r="AJ374" s="1262">
        <f t="shared" si="1069"/>
        <v>0.28476374589758574</v>
      </c>
      <c r="AK374" s="1263">
        <f t="shared" si="1069"/>
        <v>0.28928312816799423</v>
      </c>
      <c r="AL374" s="1263">
        <f t="shared" si="1069"/>
        <v>0.29295848660010509</v>
      </c>
      <c r="AM374" s="1263">
        <f t="shared" si="1069"/>
        <v>0.29089957246313586</v>
      </c>
      <c r="AN374" s="1263">
        <f t="shared" si="1069"/>
        <v>0.27762454749181176</v>
      </c>
      <c r="AO374" s="1262">
        <f t="shared" si="1069"/>
        <v>0.28764084429704145</v>
      </c>
      <c r="AP374" s="1263">
        <f t="shared" si="1069"/>
        <v>0.28360017308524449</v>
      </c>
      <c r="AQ374" s="1263">
        <f t="shared" si="1069"/>
        <v>0.27242469628889993</v>
      </c>
      <c r="AR374" s="1263">
        <f t="shared" ref="AR374:BW374" si="1070">+AR6/AR$13</f>
        <v>0.2784248010054462</v>
      </c>
      <c r="AS374" s="1263">
        <f t="shared" si="1070"/>
        <v>0.27907939398956866</v>
      </c>
      <c r="AT374" s="1262">
        <f t="shared" si="1070"/>
        <v>0.27833231764977828</v>
      </c>
      <c r="AU374" s="1263">
        <f t="shared" si="1070"/>
        <v>0.27381739993384058</v>
      </c>
      <c r="AV374" s="1263">
        <f t="shared" si="1070"/>
        <v>0.26527461813454661</v>
      </c>
      <c r="AW374" s="1263">
        <f t="shared" si="1070"/>
        <v>0.27610993657505284</v>
      </c>
      <c r="AX374" s="1263">
        <f t="shared" si="1070"/>
        <v>0.26778455284552843</v>
      </c>
      <c r="AY374" s="1262">
        <f t="shared" si="1070"/>
        <v>0.27070972040055785</v>
      </c>
      <c r="AZ374" s="1263">
        <f t="shared" si="1070"/>
        <v>0.25934236644515402</v>
      </c>
      <c r="BA374" s="1263">
        <f t="shared" si="1070"/>
        <v>0.24821089528260554</v>
      </c>
      <c r="BB374" s="1263">
        <f t="shared" si="1070"/>
        <v>0.25541226585750126</v>
      </c>
      <c r="BC374" s="1263">
        <f t="shared" si="1070"/>
        <v>0.25659371982362456</v>
      </c>
      <c r="BD374" s="1262">
        <f t="shared" si="1070"/>
        <v>0.25486255338994701</v>
      </c>
      <c r="BE374" s="1263">
        <f t="shared" si="1070"/>
        <v>0.25156482861400892</v>
      </c>
      <c r="BF374" s="1263">
        <f t="shared" si="1070"/>
        <v>0.24814899191251849</v>
      </c>
      <c r="BG374" s="1263">
        <f t="shared" si="1070"/>
        <v>0.24517954046876805</v>
      </c>
      <c r="BH374" s="1263">
        <f t="shared" si="1070"/>
        <v>0.24084205518553758</v>
      </c>
      <c r="BI374" s="1262">
        <f t="shared" si="1070"/>
        <v>0.2464400987279286</v>
      </c>
      <c r="BJ374" s="1263">
        <f t="shared" si="1070"/>
        <v>0.26560232220609575</v>
      </c>
      <c r="BK374" s="1263">
        <f t="shared" si="1070"/>
        <v>0.25893651075938112</v>
      </c>
      <c r="BL374" s="1263">
        <f t="shared" si="1070"/>
        <v>0.24841392054203881</v>
      </c>
      <c r="BM374" s="1263">
        <f t="shared" si="1070"/>
        <v>0.2505063251510547</v>
      </c>
      <c r="BN374" s="1262">
        <f t="shared" si="1070"/>
        <v>0.25590808617313721</v>
      </c>
      <c r="BO374" s="1263">
        <f t="shared" si="1070"/>
        <v>0.24807021912350599</v>
      </c>
      <c r="BP374" s="1263">
        <f t="shared" si="1070"/>
        <v>0.22924555782114769</v>
      </c>
      <c r="BQ374" s="1263">
        <f t="shared" si="1070"/>
        <v>0.23758497522756078</v>
      </c>
      <c r="BR374" s="1263">
        <f t="shared" si="1070"/>
        <v>0.2438026474127557</v>
      </c>
      <c r="BS374" s="1262">
        <f t="shared" si="1070"/>
        <v>0.23949886172571308</v>
      </c>
      <c r="BT374" s="1263">
        <f t="shared" si="1070"/>
        <v>0.23980582524271843</v>
      </c>
      <c r="BU374" s="1263">
        <f t="shared" si="1070"/>
        <v>0.24207858048162229</v>
      </c>
      <c r="BV374" s="1263">
        <f t="shared" si="1070"/>
        <v>0.23625065334804576</v>
      </c>
      <c r="BW374" s="1263">
        <f t="shared" si="1070"/>
        <v>0.2235260609512959</v>
      </c>
      <c r="BX374" s="1262">
        <f t="shared" ref="BX374:DC374" si="1071">+BX6/BX$13</f>
        <v>0.23532326706698539</v>
      </c>
      <c r="BY374" s="1263">
        <f t="shared" si="1071"/>
        <v>0.23124644280022766</v>
      </c>
      <c r="BZ374" s="1263">
        <f t="shared" si="1071"/>
        <v>0.2277623720136519</v>
      </c>
      <c r="CA374" s="1263">
        <f t="shared" si="1071"/>
        <v>0.22481230639995797</v>
      </c>
      <c r="CB374" s="1263">
        <f t="shared" si="1071"/>
        <v>0.22269496186374724</v>
      </c>
      <c r="CC374" s="1262">
        <f t="shared" si="1071"/>
        <v>0.22652126148817023</v>
      </c>
      <c r="CD374" s="1263">
        <f t="shared" si="1071"/>
        <v>0.22575083891716888</v>
      </c>
      <c r="CE374" s="1263">
        <f t="shared" si="1071"/>
        <v>0.22552492427742696</v>
      </c>
      <c r="CF374" s="1263">
        <f t="shared" si="1071"/>
        <v>0.22677307634392416</v>
      </c>
      <c r="CG374" s="1263">
        <f t="shared" si="1071"/>
        <v>0.21364461476401775</v>
      </c>
      <c r="CH374" s="1262">
        <f t="shared" si="1071"/>
        <v>0.22287246311444042</v>
      </c>
      <c r="CI374" s="1263">
        <f t="shared" si="1071"/>
        <v>0.22261393827917433</v>
      </c>
      <c r="CJ374" s="1263">
        <f t="shared" si="1071"/>
        <v>0.22156368844767127</v>
      </c>
      <c r="CK374" s="1263">
        <f t="shared" si="1071"/>
        <v>0.21934803355266461</v>
      </c>
      <c r="CL374" s="1263">
        <f t="shared" si="1071"/>
        <v>0.22768528603288213</v>
      </c>
      <c r="CM374" s="1262">
        <f t="shared" si="1071"/>
        <v>0.22275943246971866</v>
      </c>
      <c r="CN374" s="1263">
        <f t="shared" si="1071"/>
        <v>0.22452578145872296</v>
      </c>
      <c r="CO374" s="1263">
        <f t="shared" si="1071"/>
        <v>0.22375534160531327</v>
      </c>
      <c r="CP374" s="1263">
        <f t="shared" si="1071"/>
        <v>0.22382274370122049</v>
      </c>
      <c r="CQ374" s="1263">
        <f t="shared" si="1071"/>
        <v>0.22314314742527139</v>
      </c>
      <c r="CR374" s="1262">
        <f t="shared" si="1071"/>
        <v>0.22381140524166998</v>
      </c>
      <c r="CS374" s="1263">
        <f t="shared" si="1071"/>
        <v>0.23358862144420131</v>
      </c>
      <c r="CT374" s="1263">
        <f t="shared" si="1071"/>
        <v>0.23582325092056813</v>
      </c>
      <c r="CU374" s="1263">
        <f t="shared" si="1071"/>
        <v>0.23790428955838122</v>
      </c>
      <c r="CV374" s="1263">
        <f t="shared" si="1071"/>
        <v>0.25475307210758175</v>
      </c>
      <c r="CW374" s="1262">
        <f t="shared" si="1071"/>
        <v>0.24024763589359818</v>
      </c>
      <c r="CX374" s="1263">
        <f t="shared" si="1071"/>
        <v>0.26161033250893106</v>
      </c>
      <c r="CY374" s="1263">
        <f t="shared" si="1071"/>
        <v>0.23500672661615804</v>
      </c>
      <c r="CZ374" s="1263">
        <f t="shared" si="1071"/>
        <v>0.23078439101300752</v>
      </c>
      <c r="DA374" s="1263">
        <f t="shared" si="1071"/>
        <v>0.22619959162838182</v>
      </c>
      <c r="DB374" s="1262">
        <f t="shared" si="1071"/>
        <v>0.23811122488375605</v>
      </c>
      <c r="DC374" s="1263">
        <f t="shared" si="1071"/>
        <v>0.23014719818055468</v>
      </c>
      <c r="DD374" s="1263">
        <f t="shared" ref="DD374:EI374" si="1072">+DD6/DD$13</f>
        <v>0.22932899174322599</v>
      </c>
      <c r="DE374" s="1263">
        <f t="shared" si="1072"/>
        <v>0.22977290882117996</v>
      </c>
      <c r="DF374" s="1263">
        <f t="shared" si="1072"/>
        <v>0.23133192883895129</v>
      </c>
      <c r="DG374" s="1262">
        <f t="shared" si="1072"/>
        <v>0.23014148223710471</v>
      </c>
      <c r="DH374" s="1263">
        <f t="shared" si="1072"/>
        <v>0.23731884057971014</v>
      </c>
      <c r="DI374" s="1263">
        <f t="shared" si="1072"/>
        <v>0.22530639655268903</v>
      </c>
      <c r="DJ374" s="1263">
        <f t="shared" si="1072"/>
        <v>0.22382452069175093</v>
      </c>
      <c r="DK374" s="1263">
        <f t="shared" si="1072"/>
        <v>0.22460840205900262</v>
      </c>
      <c r="DL374" s="1262">
        <f t="shared" si="1072"/>
        <v>0.22764136224998946</v>
      </c>
      <c r="DM374" s="1263">
        <f t="shared" si="1072"/>
        <v>0.20741853478160388</v>
      </c>
      <c r="DN374" s="1263">
        <f t="shared" si="1072"/>
        <v>0.1971877952537098</v>
      </c>
      <c r="DO374" s="1263">
        <f t="shared" si="1072"/>
        <v>0.19507002801120449</v>
      </c>
      <c r="DP374" s="1263">
        <f t="shared" si="1072"/>
        <v>0.19647341108197089</v>
      </c>
      <c r="DQ374" s="1262">
        <f t="shared" si="1072"/>
        <v>0.19896724448446643</v>
      </c>
      <c r="DR374" s="1263">
        <f t="shared" si="1072"/>
        <v>0.19241982507288627</v>
      </c>
      <c r="DS374" s="1263">
        <f t="shared" si="1072"/>
        <v>0.18572516592318572</v>
      </c>
      <c r="DT374" s="1263">
        <f t="shared" si="1072"/>
        <v>0.18302730063001454</v>
      </c>
      <c r="DU374" s="1263">
        <f t="shared" si="1072"/>
        <v>0.17303974221267454</v>
      </c>
      <c r="DV374" s="1262">
        <f t="shared" si="1072"/>
        <v>0.18345162037352369</v>
      </c>
      <c r="DW374" s="1263">
        <f t="shared" si="1072"/>
        <v>0.17003290593441506</v>
      </c>
      <c r="DX374" s="1263">
        <f t="shared" si="1072"/>
        <v>0.17674348242650398</v>
      </c>
      <c r="DY374" s="1263">
        <f t="shared" si="1072"/>
        <v>0.16596701649175413</v>
      </c>
      <c r="DZ374" s="1263">
        <f t="shared" si="1072"/>
        <v>0.15667461881547559</v>
      </c>
      <c r="EA374" s="1262">
        <f t="shared" si="1072"/>
        <v>0.16735071466729209</v>
      </c>
      <c r="EB374" s="1263">
        <f t="shared" si="1072"/>
        <v>0.15393152433272292</v>
      </c>
      <c r="EC374" s="1263">
        <f t="shared" si="1072"/>
        <v>0.14232615765835527</v>
      </c>
      <c r="ED374" s="1263">
        <f t="shared" si="1072"/>
        <v>0.14398595258999122</v>
      </c>
      <c r="EE374" s="1263">
        <f t="shared" si="1072"/>
        <v>0.13740711988466231</v>
      </c>
      <c r="EF374" s="1262">
        <f t="shared" si="1072"/>
        <v>0.14436615010228776</v>
      </c>
      <c r="EG374" s="1263">
        <f t="shared" si="1072"/>
        <v>0.12224688407034319</v>
      </c>
      <c r="EH374" s="1263">
        <f t="shared" si="1072"/>
        <v>0.11663426825881699</v>
      </c>
      <c r="EI374" s="1263">
        <f t="shared" si="1072"/>
        <v>0.12791322092149071</v>
      </c>
      <c r="EJ374" s="1006"/>
      <c r="EK374" s="1262">
        <f t="shared" ref="EK374:EK380" si="1073">+EK6/EK$13</f>
        <v>0.12426133311293854</v>
      </c>
      <c r="EL374" s="1006"/>
      <c r="EM374" s="1006"/>
      <c r="EN374" s="1006"/>
      <c r="EO374" s="1006"/>
      <c r="EP374" s="1262">
        <f t="shared" ref="EP374:EP380" si="1074">+EP6/EP$13</f>
        <v>0.13742363528870788</v>
      </c>
      <c r="EQ374" s="1006"/>
      <c r="ER374" s="1006"/>
      <c r="ES374" s="1006"/>
      <c r="ET374" s="1006"/>
      <c r="EU374" s="1262">
        <f t="shared" ref="EU374:EU380" si="1075">+EU6/EU$13</f>
        <v>0.12507474987936915</v>
      </c>
      <c r="EV374" s="1006"/>
      <c r="EW374" s="1006"/>
      <c r="EX374" s="1006"/>
      <c r="EY374" s="1006"/>
      <c r="EZ374" s="1262">
        <f t="shared" ref="EZ374:EZ380" si="1076">+EZ6/EZ$13</f>
        <v>0.1158799074374189</v>
      </c>
      <c r="FA374" s="1006"/>
      <c r="FB374" s="1006"/>
      <c r="FC374" s="1006"/>
      <c r="FD374" s="1006"/>
      <c r="FE374" s="1262">
        <f t="shared" ref="FE374" si="1077">+FE6/FE$13</f>
        <v>0.10753753074663623</v>
      </c>
      <c r="FG374" s="660"/>
      <c r="FH374" s="1258"/>
      <c r="FI374" s="1258"/>
      <c r="FJ374" s="1258"/>
      <c r="FK374" s="1259"/>
      <c r="FL374" s="1859"/>
      <c r="FR374" s="232"/>
      <c r="FS374" s="232"/>
      <c r="FT374" s="232"/>
      <c r="FU374" s="232"/>
      <c r="FV374" s="232"/>
      <c r="FW374" s="232"/>
      <c r="FX374" s="232"/>
      <c r="FY374" s="232"/>
      <c r="FZ374" s="232"/>
      <c r="GA374" s="660"/>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row>
    <row r="375" spans="1:256" s="1230" customFormat="1" ht="12.75" customHeight="1" x14ac:dyDescent="0.2">
      <c r="A375" s="1255" t="s">
        <v>73</v>
      </c>
      <c r="B375" s="407"/>
      <c r="C375" s="407"/>
      <c r="D375" s="407"/>
      <c r="E375" s="407"/>
      <c r="F375" s="21"/>
      <c r="G375" s="407"/>
      <c r="H375" s="407"/>
      <c r="I375" s="407"/>
      <c r="J375" s="407"/>
      <c r="K375" s="1262"/>
      <c r="L375" s="1263">
        <f t="shared" ref="L375:AQ375" si="1078">+L7/L$13</f>
        <v>5.8173784977908691E-2</v>
      </c>
      <c r="M375" s="1263">
        <f t="shared" si="1078"/>
        <v>7.5998735111204793E-2</v>
      </c>
      <c r="N375" s="1263">
        <f t="shared" si="1078"/>
        <v>6.6998779991866625E-2</v>
      </c>
      <c r="O375" s="1263">
        <f t="shared" si="1078"/>
        <v>7.1592330137557308E-2</v>
      </c>
      <c r="P375" s="1262">
        <f t="shared" si="1078"/>
        <v>6.8184775536759917E-2</v>
      </c>
      <c r="Q375" s="1263">
        <f t="shared" si="1078"/>
        <v>7.6557495609050508E-2</v>
      </c>
      <c r="R375" s="1263">
        <f t="shared" si="1078"/>
        <v>8.5130301481860002E-2</v>
      </c>
      <c r="S375" s="1263">
        <f t="shared" si="1078"/>
        <v>7.4695888207499755E-2</v>
      </c>
      <c r="T375" s="1263">
        <f t="shared" si="1078"/>
        <v>8.1169151772489387E-2</v>
      </c>
      <c r="U375" s="1262">
        <f t="shared" si="1078"/>
        <v>7.9391977338256856E-2</v>
      </c>
      <c r="V375" s="1263">
        <f t="shared" si="1078"/>
        <v>8.6849145914797296E-2</v>
      </c>
      <c r="W375" s="1263">
        <f t="shared" si="1078"/>
        <v>9.0582175138497437E-2</v>
      </c>
      <c r="X375" s="1263">
        <f t="shared" si="1078"/>
        <v>7.3746609062594198E-2</v>
      </c>
      <c r="Y375" s="1263">
        <f t="shared" si="1078"/>
        <v>8.4027912386121353E-2</v>
      </c>
      <c r="Z375" s="1262">
        <f t="shared" si="1078"/>
        <v>8.3842296042504594E-2</v>
      </c>
      <c r="AA375" s="1263">
        <f t="shared" si="1078"/>
        <v>7.925867507886436E-2</v>
      </c>
      <c r="AB375" s="1263">
        <f t="shared" si="1078"/>
        <v>7.4302843128349533E-2</v>
      </c>
      <c r="AC375" s="1263">
        <f t="shared" si="1078"/>
        <v>6.5114553380947973E-2</v>
      </c>
      <c r="AD375" s="1263">
        <f t="shared" si="1078"/>
        <v>7.6122082585278278E-2</v>
      </c>
      <c r="AE375" s="1262">
        <f t="shared" si="1078"/>
        <v>7.364071133398338E-2</v>
      </c>
      <c r="AF375" s="1263">
        <f t="shared" si="1078"/>
        <v>7.7981651376146793E-2</v>
      </c>
      <c r="AG375" s="1263">
        <f t="shared" si="1078"/>
        <v>7.8108300676879225E-2</v>
      </c>
      <c r="AH375" s="1263">
        <f t="shared" si="1078"/>
        <v>6.441940759585682E-2</v>
      </c>
      <c r="AI375" s="1263">
        <f t="shared" si="1078"/>
        <v>7.4636249326387627E-2</v>
      </c>
      <c r="AJ375" s="1262">
        <f t="shared" si="1078"/>
        <v>7.3820977386143946E-2</v>
      </c>
      <c r="AK375" s="1263">
        <f t="shared" si="1078"/>
        <v>7.5850832729905865E-2</v>
      </c>
      <c r="AL375" s="1263">
        <f t="shared" si="1078"/>
        <v>8.3902609914170603E-2</v>
      </c>
      <c r="AM375" s="1263">
        <f t="shared" si="1078"/>
        <v>7.2855771747665998E-2</v>
      </c>
      <c r="AN375" s="1263">
        <f t="shared" si="1078"/>
        <v>7.8607136700568861E-2</v>
      </c>
      <c r="AO375" s="1262">
        <f t="shared" si="1078"/>
        <v>7.7818533242548713E-2</v>
      </c>
      <c r="AP375" s="1263">
        <f t="shared" si="1078"/>
        <v>7.9705755084379049E-2</v>
      </c>
      <c r="AQ375" s="1263">
        <f t="shared" si="1078"/>
        <v>8.0712264935929423E-2</v>
      </c>
      <c r="AR375" s="1263">
        <f t="shared" ref="AR375:BW375" si="1079">+AR7/AR$13</f>
        <v>6.8202764976958527E-2</v>
      </c>
      <c r="AS375" s="1263">
        <f t="shared" si="1079"/>
        <v>7.475784419240003E-2</v>
      </c>
      <c r="AT375" s="1262">
        <f t="shared" si="1079"/>
        <v>7.5819026204635709E-2</v>
      </c>
      <c r="AU375" s="1263">
        <f t="shared" si="1079"/>
        <v>9.609659278862058E-2</v>
      </c>
      <c r="AV375" s="1263">
        <f t="shared" si="1079"/>
        <v>0.10334741631459213</v>
      </c>
      <c r="AW375" s="1263">
        <f t="shared" si="1079"/>
        <v>9.3192389006342496E-2</v>
      </c>
      <c r="AX375" s="1263">
        <f t="shared" si="1079"/>
        <v>0.11272018970189703</v>
      </c>
      <c r="AY375" s="1262">
        <f t="shared" si="1079"/>
        <v>0.10132617159036494</v>
      </c>
      <c r="AZ375" s="1263">
        <f t="shared" si="1079"/>
        <v>0.11694139984465349</v>
      </c>
      <c r="BA375" s="1263">
        <f t="shared" si="1079"/>
        <v>0.11406455381919089</v>
      </c>
      <c r="BB375" s="1263">
        <f t="shared" si="1079"/>
        <v>9.0272509774172824E-2</v>
      </c>
      <c r="BC375" s="1263">
        <f t="shared" si="1079"/>
        <v>9.5959419682849934E-2</v>
      </c>
      <c r="BD375" s="1262">
        <f t="shared" si="1079"/>
        <v>0.1025623819381767</v>
      </c>
      <c r="BE375" s="1263">
        <f t="shared" si="1079"/>
        <v>0.10897168405365128</v>
      </c>
      <c r="BF375" s="1263">
        <f t="shared" si="1079"/>
        <v>0.10775714773892241</v>
      </c>
      <c r="BG375" s="1263">
        <f t="shared" si="1079"/>
        <v>9.1098025632144114E-2</v>
      </c>
      <c r="BH375" s="1263">
        <f t="shared" si="1079"/>
        <v>9.6574690770694582E-2</v>
      </c>
      <c r="BI375" s="1262">
        <f t="shared" si="1079"/>
        <v>0.10109389376524366</v>
      </c>
      <c r="BJ375" s="1263">
        <f t="shared" si="1079"/>
        <v>9.1920657958393798E-2</v>
      </c>
      <c r="BK375" s="1263">
        <f t="shared" si="1079"/>
        <v>0.10237714150216372</v>
      </c>
      <c r="BL375" s="1263">
        <f t="shared" si="1079"/>
        <v>8.4508777332922697E-2</v>
      </c>
      <c r="BM375" s="1263">
        <f t="shared" si="1079"/>
        <v>9.6268004344402247E-2</v>
      </c>
      <c r="BN375" s="1262">
        <f t="shared" si="1079"/>
        <v>9.3856773778307215E-2</v>
      </c>
      <c r="BO375" s="1263">
        <f t="shared" si="1079"/>
        <v>0.10159362549800798</v>
      </c>
      <c r="BP375" s="1263">
        <f t="shared" si="1079"/>
        <v>0.10550538887270608</v>
      </c>
      <c r="BQ375" s="1263">
        <f t="shared" si="1079"/>
        <v>8.9180781195990336E-2</v>
      </c>
      <c r="BR375" s="1263">
        <f t="shared" si="1079"/>
        <v>9.8315282791817088E-2</v>
      </c>
      <c r="BS375" s="1262">
        <f t="shared" si="1079"/>
        <v>9.8576041186185959E-2</v>
      </c>
      <c r="BT375" s="1263">
        <f t="shared" si="1079"/>
        <v>0.10097087378640777</v>
      </c>
      <c r="BU375" s="1263">
        <f t="shared" si="1079"/>
        <v>9.730383684756308E-2</v>
      </c>
      <c r="BV375" s="1263">
        <f t="shared" si="1079"/>
        <v>8.235089145711133E-2</v>
      </c>
      <c r="BW375" s="1263">
        <f t="shared" si="1079"/>
        <v>9.569923098832242E-2</v>
      </c>
      <c r="BX375" s="1262">
        <f t="shared" ref="BX375:DC375" si="1080">+BX7/BX$13</f>
        <v>9.4021453973065952E-2</v>
      </c>
      <c r="BY375" s="1263">
        <f t="shared" si="1080"/>
        <v>9.4991462720546385E-2</v>
      </c>
      <c r="BZ375" s="1263">
        <f t="shared" si="1080"/>
        <v>9.0763651877133103E-2</v>
      </c>
      <c r="CA375" s="1263">
        <f t="shared" si="1080"/>
        <v>7.3187378589804161E-2</v>
      </c>
      <c r="CB375" s="1263">
        <f t="shared" si="1080"/>
        <v>8.2031858039744734E-2</v>
      </c>
      <c r="CC375" s="1262">
        <f t="shared" si="1080"/>
        <v>8.5019158114734331E-2</v>
      </c>
      <c r="CD375" s="1263">
        <f t="shared" si="1080"/>
        <v>8.5448249062323539E-2</v>
      </c>
      <c r="CE375" s="1263">
        <f t="shared" si="1080"/>
        <v>8.4193233738898296E-2</v>
      </c>
      <c r="CF375" s="1263">
        <f t="shared" si="1080"/>
        <v>6.9818802389198423E-2</v>
      </c>
      <c r="CG375" s="1263">
        <f t="shared" si="1080"/>
        <v>7.7450584913271475E-2</v>
      </c>
      <c r="CH375" s="1262">
        <f t="shared" si="1080"/>
        <v>7.909827707282692E-2</v>
      </c>
      <c r="CI375" s="1263">
        <f t="shared" si="1080"/>
        <v>7.8786020846106683E-2</v>
      </c>
      <c r="CJ375" s="1263">
        <f t="shared" si="1080"/>
        <v>7.892527287993284E-2</v>
      </c>
      <c r="CK375" s="1263">
        <f t="shared" si="1080"/>
        <v>5.992264804862122E-2</v>
      </c>
      <c r="CL375" s="1263">
        <f t="shared" si="1080"/>
        <v>6.6697785384575492E-2</v>
      </c>
      <c r="CM375" s="1262">
        <f t="shared" si="1080"/>
        <v>7.111848017314483E-2</v>
      </c>
      <c r="CN375" s="1263">
        <f t="shared" si="1080"/>
        <v>7.0798824472348379E-2</v>
      </c>
      <c r="CO375" s="1263">
        <f t="shared" si="1080"/>
        <v>7.5631982700921585E-2</v>
      </c>
      <c r="CP375" s="1263">
        <f t="shared" si="1080"/>
        <v>6.469016814205647E-2</v>
      </c>
      <c r="CQ375" s="1263">
        <f t="shared" si="1080"/>
        <v>6.9568472274209939E-2</v>
      </c>
      <c r="CR375" s="1262">
        <f t="shared" si="1080"/>
        <v>7.019623337284342E-2</v>
      </c>
      <c r="CS375" s="1263">
        <f t="shared" si="1080"/>
        <v>6.5426695842450769E-2</v>
      </c>
      <c r="CT375" s="1263">
        <f t="shared" si="1080"/>
        <v>6.1178327196212516E-2</v>
      </c>
      <c r="CU375" s="1263">
        <f t="shared" si="1080"/>
        <v>4.5744736980952883E-2</v>
      </c>
      <c r="CV375" s="1263">
        <f t="shared" si="1080"/>
        <v>5.1936007419429629E-2</v>
      </c>
      <c r="CW375" s="1262">
        <f t="shared" si="1080"/>
        <v>5.608544798965915E-2</v>
      </c>
      <c r="CX375" s="1263">
        <f t="shared" si="1080"/>
        <v>4.245671887881286E-2</v>
      </c>
      <c r="CY375" s="1263">
        <f t="shared" si="1080"/>
        <v>4.3121149897330596E-2</v>
      </c>
      <c r="CZ375" s="1263">
        <f t="shared" si="1080"/>
        <v>4.9008014715543294E-2</v>
      </c>
      <c r="DA375" s="1263">
        <f t="shared" si="1080"/>
        <v>5.8767228177641649E-2</v>
      </c>
      <c r="DB375" s="1262">
        <f t="shared" si="1080"/>
        <v>4.8579054269551634E-2</v>
      </c>
      <c r="DC375" s="1263">
        <f t="shared" si="1080"/>
        <v>4.4475330090340513E-2</v>
      </c>
      <c r="DD375" s="1263">
        <f t="shared" ref="DD375:EI375" si="1081">+DD7/DD$13</f>
        <v>4.2156064658681248E-2</v>
      </c>
      <c r="DE375" s="1263">
        <f t="shared" si="1081"/>
        <v>4.2222982996690632E-2</v>
      </c>
      <c r="DF375" s="1263">
        <f t="shared" si="1081"/>
        <v>4.30126404494382E-2</v>
      </c>
      <c r="DG375" s="1262">
        <f t="shared" si="1081"/>
        <v>4.2932540914534079E-2</v>
      </c>
      <c r="DH375" s="1263">
        <f t="shared" si="1081"/>
        <v>4.5932678821879382E-2</v>
      </c>
      <c r="DI375" s="1263">
        <f t="shared" si="1081"/>
        <v>4.7344563210028535E-2</v>
      </c>
      <c r="DJ375" s="1263">
        <f t="shared" si="1081"/>
        <v>4.43118404331731E-2</v>
      </c>
      <c r="DK375" s="1263">
        <f t="shared" si="1081"/>
        <v>4.9150384679249461E-2</v>
      </c>
      <c r="DL375" s="1262">
        <f t="shared" si="1081"/>
        <v>4.6692060100917809E-2</v>
      </c>
      <c r="DM375" s="1263">
        <f t="shared" si="1081"/>
        <v>5.5639010862029117E-2</v>
      </c>
      <c r="DN375" s="1263">
        <f t="shared" si="1081"/>
        <v>5.4687934196632038E-2</v>
      </c>
      <c r="DO375" s="1263">
        <f t="shared" si="1081"/>
        <v>4.80672268907563E-2</v>
      </c>
      <c r="DP375" s="1263">
        <f t="shared" si="1081"/>
        <v>5.2508230567490655E-2</v>
      </c>
      <c r="DQ375" s="1262">
        <f t="shared" si="1081"/>
        <v>5.2707113912651954E-2</v>
      </c>
      <c r="DR375" s="1263">
        <f t="shared" si="1081"/>
        <v>5.5337519623233904E-2</v>
      </c>
      <c r="DS375" s="1263">
        <f t="shared" si="1081"/>
        <v>5.7882711348057891E-2</v>
      </c>
      <c r="DT375" s="1263">
        <f t="shared" si="1081"/>
        <v>5.0239620914328792E-2</v>
      </c>
      <c r="DU375" s="1263">
        <f t="shared" si="1081"/>
        <v>5.5692803437164339E-2</v>
      </c>
      <c r="DV375" s="1262">
        <f t="shared" si="1081"/>
        <v>5.4775300031331312E-2</v>
      </c>
      <c r="DW375" s="1263">
        <f t="shared" si="1081"/>
        <v>5.2365823215704072E-2</v>
      </c>
      <c r="DX375" s="1263">
        <f t="shared" si="1081"/>
        <v>5.5216580101860722E-2</v>
      </c>
      <c r="DY375" s="1263">
        <f t="shared" si="1081"/>
        <v>5.2273863068465765E-2</v>
      </c>
      <c r="DZ375" s="1263">
        <f t="shared" si="1081"/>
        <v>5.3780728140234421E-2</v>
      </c>
      <c r="EA375" s="1262">
        <f t="shared" si="1081"/>
        <v>5.3433920963139585E-2</v>
      </c>
      <c r="EB375" s="1263">
        <f t="shared" si="1081"/>
        <v>5.3104711170301321E-2</v>
      </c>
      <c r="EC375" s="1263">
        <f t="shared" si="1081"/>
        <v>5.740539982447989E-2</v>
      </c>
      <c r="ED375" s="1263">
        <f t="shared" si="1081"/>
        <v>5.6654444042761973E-2</v>
      </c>
      <c r="EE375" s="1263">
        <f t="shared" si="1081"/>
        <v>6.2493068648109128E-2</v>
      </c>
      <c r="EF375" s="1262">
        <f t="shared" si="1081"/>
        <v>5.7401489523860462E-2</v>
      </c>
      <c r="EG375" s="1263">
        <f t="shared" si="1081"/>
        <v>6.4481247510101869E-2</v>
      </c>
      <c r="EH375" s="1263">
        <f t="shared" si="1081"/>
        <v>6.2593723965565118E-2</v>
      </c>
      <c r="EI375" s="1263">
        <f t="shared" si="1081"/>
        <v>5.735151970787241E-2</v>
      </c>
      <c r="EJ375" s="1006"/>
      <c r="EK375" s="1262">
        <f t="shared" si="1073"/>
        <v>6.0677438461644417E-2</v>
      </c>
      <c r="EL375" s="1006"/>
      <c r="EM375" s="1006"/>
      <c r="EN375" s="1006"/>
      <c r="EO375" s="1006"/>
      <c r="EP375" s="1262">
        <f t="shared" si="1074"/>
        <v>5.558694081324312E-2</v>
      </c>
      <c r="EQ375" s="1006"/>
      <c r="ER375" s="1006"/>
      <c r="ES375" s="1006"/>
      <c r="ET375" s="1006"/>
      <c r="EU375" s="1262">
        <f t="shared" si="1075"/>
        <v>5.1495298966207179E-2</v>
      </c>
      <c r="EV375" s="1006"/>
      <c r="EW375" s="1006"/>
      <c r="EX375" s="1006"/>
      <c r="EY375" s="1006"/>
      <c r="EZ375" s="1262">
        <f t="shared" si="1076"/>
        <v>4.8971793123110542E-2</v>
      </c>
      <c r="FA375" s="1006"/>
      <c r="FB375" s="1006"/>
      <c r="FC375" s="1006"/>
      <c r="FD375" s="1006"/>
      <c r="FE375" s="1262">
        <f t="shared" ref="FE375" si="1082">+FE7/FE$13</f>
        <v>4.8316525393497255E-2</v>
      </c>
      <c r="FG375" s="660"/>
      <c r="FH375" s="1258"/>
      <c r="FI375" s="1258"/>
      <c r="FJ375" s="1258"/>
      <c r="FK375" s="1259"/>
      <c r="FL375" s="1859"/>
      <c r="FR375" s="232"/>
      <c r="FS375" s="232"/>
      <c r="FT375" s="232"/>
      <c r="FU375" s="232"/>
      <c r="FV375" s="232"/>
      <c r="FW375" s="232"/>
      <c r="FX375" s="232"/>
      <c r="FY375" s="232"/>
      <c r="FZ375" s="232"/>
      <c r="GA375" s="660"/>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row>
    <row r="376" spans="1:256" s="1230" customFormat="1" ht="12.75" customHeight="1" x14ac:dyDescent="0.2">
      <c r="A376" s="1255" t="s">
        <v>95</v>
      </c>
      <c r="B376" s="407"/>
      <c r="C376" s="407"/>
      <c r="D376" s="407"/>
      <c r="E376" s="407"/>
      <c r="F376" s="21"/>
      <c r="G376" s="407"/>
      <c r="H376" s="407"/>
      <c r="I376" s="407"/>
      <c r="J376" s="407"/>
      <c r="K376" s="1262"/>
      <c r="L376" s="1263">
        <f t="shared" ref="L376:AQ376" si="1083">+L8/L$13</f>
        <v>8.8154849568693461E-2</v>
      </c>
      <c r="M376" s="1263">
        <f t="shared" si="1083"/>
        <v>8.6855697269948351E-2</v>
      </c>
      <c r="N376" s="1263">
        <f t="shared" si="1083"/>
        <v>8.95689304595364E-2</v>
      </c>
      <c r="O376" s="1263">
        <f t="shared" si="1083"/>
        <v>8.4618591079616501E-2</v>
      </c>
      <c r="P376" s="1262">
        <f t="shared" si="1083"/>
        <v>8.731294729993494E-2</v>
      </c>
      <c r="Q376" s="1263">
        <f t="shared" si="1083"/>
        <v>8.3789647690877142E-2</v>
      </c>
      <c r="R376" s="1263">
        <f t="shared" si="1083"/>
        <v>7.9713847726111398E-2</v>
      </c>
      <c r="S376" s="1263">
        <f t="shared" si="1083"/>
        <v>8.3643309540565008E-2</v>
      </c>
      <c r="T376" s="1263">
        <f t="shared" si="1083"/>
        <v>8.9562555544583783E-2</v>
      </c>
      <c r="U376" s="1262">
        <f t="shared" si="1083"/>
        <v>8.4222773028478928E-2</v>
      </c>
      <c r="V376" s="1263">
        <f t="shared" si="1083"/>
        <v>8.7466556904712903E-2</v>
      </c>
      <c r="W376" s="1263">
        <f t="shared" si="1083"/>
        <v>8.348721936048209E-2</v>
      </c>
      <c r="X376" s="1263">
        <f t="shared" si="1083"/>
        <v>8.3190997689138957E-2</v>
      </c>
      <c r="Y376" s="1263">
        <f t="shared" si="1083"/>
        <v>8.9746074820701682E-2</v>
      </c>
      <c r="Z376" s="1262">
        <f t="shared" si="1083"/>
        <v>8.5977456676101086E-2</v>
      </c>
      <c r="AA376" s="1263">
        <f t="shared" si="1083"/>
        <v>9.020110410094638E-2</v>
      </c>
      <c r="AB376" s="1263">
        <f t="shared" si="1083"/>
        <v>8.5566354800617694E-2</v>
      </c>
      <c r="AC376" s="1263">
        <f t="shared" si="1083"/>
        <v>8.5335312123179671E-2</v>
      </c>
      <c r="AD376" s="1263">
        <f t="shared" si="1083"/>
        <v>9.4075403949730699E-2</v>
      </c>
      <c r="AE376" s="1262">
        <f t="shared" si="1083"/>
        <v>8.8800668616799E-2</v>
      </c>
      <c r="AF376" s="1263">
        <f t="shared" si="1083"/>
        <v>8.8595071055945315E-2</v>
      </c>
      <c r="AG376" s="1263">
        <f t="shared" si="1083"/>
        <v>8.6034912718204473E-2</v>
      </c>
      <c r="AH376" s="1263">
        <f t="shared" si="1083"/>
        <v>8.8042885698709814E-2</v>
      </c>
      <c r="AI376" s="1263">
        <f t="shared" si="1083"/>
        <v>8.9006646308604262E-2</v>
      </c>
      <c r="AJ376" s="1262">
        <f t="shared" si="1083"/>
        <v>8.7915299195252442E-2</v>
      </c>
      <c r="AK376" s="1263">
        <f t="shared" si="1083"/>
        <v>8.4268645908761763E-2</v>
      </c>
      <c r="AL376" s="1263">
        <f t="shared" si="1083"/>
        <v>7.9523559292345419E-2</v>
      </c>
      <c r="AM376" s="1263">
        <f t="shared" si="1083"/>
        <v>7.9923217869295876E-2</v>
      </c>
      <c r="AN376" s="1263">
        <f t="shared" si="1083"/>
        <v>8.6881572142734009E-2</v>
      </c>
      <c r="AO376" s="1262">
        <f t="shared" si="1083"/>
        <v>8.26506182872455E-2</v>
      </c>
      <c r="AP376" s="1263">
        <f t="shared" si="1083"/>
        <v>7.8753786239723067E-2</v>
      </c>
      <c r="AQ376" s="1263">
        <f t="shared" si="1083"/>
        <v>7.4388417373939086E-2</v>
      </c>
      <c r="AR376" s="1263">
        <f t="shared" ref="AR376:BW376" si="1084">+AR8/AR$13</f>
        <v>7.2811059907834111E-2</v>
      </c>
      <c r="AS376" s="1263">
        <f t="shared" si="1084"/>
        <v>8.1960427187681095E-2</v>
      </c>
      <c r="AT376" s="1262">
        <f t="shared" si="1084"/>
        <v>7.6974804043121015E-2</v>
      </c>
      <c r="AU376" s="1263">
        <f t="shared" si="1084"/>
        <v>9.3615613628845518E-2</v>
      </c>
      <c r="AV376" s="1263">
        <f t="shared" si="1084"/>
        <v>8.7422814429639242E-2</v>
      </c>
      <c r="AW376" s="1263">
        <f t="shared" si="1084"/>
        <v>8.9471458773784346E-2</v>
      </c>
      <c r="AX376" s="1263">
        <f t="shared" si="1084"/>
        <v>9.6544715447154469E-2</v>
      </c>
      <c r="AY376" s="1262">
        <f t="shared" si="1084"/>
        <v>9.1728603251930954E-2</v>
      </c>
      <c r="AZ376" s="1263">
        <f t="shared" si="1084"/>
        <v>9.1050315008198837E-2</v>
      </c>
      <c r="BA376" s="1263">
        <f t="shared" si="1084"/>
        <v>8.5584927705564487E-2</v>
      </c>
      <c r="BB376" s="1263">
        <f t="shared" si="1084"/>
        <v>7.6734550971581938E-2</v>
      </c>
      <c r="BC376" s="1263">
        <f t="shared" si="1084"/>
        <v>7.8298605051597969E-2</v>
      </c>
      <c r="BD376" s="1262">
        <f t="shared" si="1084"/>
        <v>8.2001590374543257E-2</v>
      </c>
      <c r="BE376" s="1263">
        <f t="shared" si="1084"/>
        <v>7.9940387481371084E-2</v>
      </c>
      <c r="BF376" s="1263">
        <f t="shared" si="1084"/>
        <v>7.3186012074268128E-2</v>
      </c>
      <c r="BG376" s="1263">
        <f t="shared" si="1084"/>
        <v>7.4587230111996305E-2</v>
      </c>
      <c r="BH376" s="1263">
        <f t="shared" si="1084"/>
        <v>7.9388677450047573E-2</v>
      </c>
      <c r="BI376" s="1262">
        <f t="shared" si="1084"/>
        <v>7.6718610798732295E-2</v>
      </c>
      <c r="BJ376" s="1263">
        <f t="shared" si="1084"/>
        <v>7.879777455249154E-2</v>
      </c>
      <c r="BK376" s="1263">
        <f t="shared" si="1084"/>
        <v>7.4574663584089151E-2</v>
      </c>
      <c r="BL376" s="1263">
        <f t="shared" si="1084"/>
        <v>7.4160763781952577E-2</v>
      </c>
      <c r="BM376" s="1263">
        <f t="shared" si="1084"/>
        <v>7.9892208733597106E-2</v>
      </c>
      <c r="BN376" s="1262">
        <f t="shared" si="1084"/>
        <v>7.6860516577539451E-2</v>
      </c>
      <c r="BO376" s="1263">
        <f t="shared" si="1084"/>
        <v>7.8000498007968128E-2</v>
      </c>
      <c r="BP376" s="1263">
        <f t="shared" si="1084"/>
        <v>7.410428196912322E-2</v>
      </c>
      <c r="BQ376" s="1263">
        <f t="shared" si="1084"/>
        <v>7.3510773130544993E-2</v>
      </c>
      <c r="BR376" s="1263">
        <f t="shared" si="1084"/>
        <v>8.128760529482551E-2</v>
      </c>
      <c r="BS376" s="1262">
        <f t="shared" si="1084"/>
        <v>7.6658681387355487E-2</v>
      </c>
      <c r="BT376" s="1263">
        <f t="shared" si="1084"/>
        <v>8.1674757281553392E-2</v>
      </c>
      <c r="BU376" s="1263">
        <f t="shared" si="1084"/>
        <v>7.8868533241156807E-2</v>
      </c>
      <c r="BV376" s="1263">
        <f t="shared" si="1084"/>
        <v>7.9969800801440255E-2</v>
      </c>
      <c r="BW376" s="1263">
        <f t="shared" si="1084"/>
        <v>8.3508971802905146E-2</v>
      </c>
      <c r="BX376" s="1262">
        <f t="shared" ref="BX376:DC376" si="1085">+BX8/BX$13</f>
        <v>8.1006237975864287E-2</v>
      </c>
      <c r="BY376" s="1263">
        <f t="shared" si="1085"/>
        <v>7.8998292544109283E-2</v>
      </c>
      <c r="BZ376" s="1263">
        <f t="shared" si="1085"/>
        <v>7.343216723549488E-2</v>
      </c>
      <c r="CA376" s="1263">
        <f t="shared" si="1085"/>
        <v>7.3344883708720512E-2</v>
      </c>
      <c r="CB376" s="1263">
        <f t="shared" si="1085"/>
        <v>7.4508379598401911E-2</v>
      </c>
      <c r="CC376" s="1262">
        <f t="shared" si="1085"/>
        <v>7.4997990407545345E-2</v>
      </c>
      <c r="CD376" s="1263">
        <f t="shared" si="1085"/>
        <v>7.7075179430588323E-2</v>
      </c>
      <c r="CE376" s="1263">
        <f t="shared" si="1085"/>
        <v>7.407977822270137E-2</v>
      </c>
      <c r="CF376" s="1263">
        <f t="shared" si="1085"/>
        <v>6.9417256437283553E-2</v>
      </c>
      <c r="CG376" s="1263">
        <f t="shared" si="1085"/>
        <v>7.3416700282371919E-2</v>
      </c>
      <c r="CH376" s="1262">
        <f t="shared" si="1085"/>
        <v>7.3434640088070199E-2</v>
      </c>
      <c r="CI376" s="1263">
        <f t="shared" si="1085"/>
        <v>7.6589004700592697E-2</v>
      </c>
      <c r="CJ376" s="1263">
        <f t="shared" si="1085"/>
        <v>7.2158838346421686E-2</v>
      </c>
      <c r="CK376" s="1263">
        <f t="shared" si="1085"/>
        <v>7.4288010447536287E-2</v>
      </c>
      <c r="CL376" s="1263">
        <f t="shared" si="1085"/>
        <v>7.7900523831751459E-2</v>
      </c>
      <c r="CM376" s="1262">
        <f t="shared" si="1085"/>
        <v>7.519396524446581E-2</v>
      </c>
      <c r="CN376" s="1263">
        <f t="shared" si="1085"/>
        <v>7.8386321132781184E-2</v>
      </c>
      <c r="CO376" s="1263">
        <f t="shared" si="1085"/>
        <v>7.6661689749266335E-2</v>
      </c>
      <c r="CP376" s="1263">
        <f t="shared" si="1085"/>
        <v>7.9304384264836839E-2</v>
      </c>
      <c r="CQ376" s="1263">
        <f t="shared" si="1085"/>
        <v>8.2615902892893431E-2</v>
      </c>
      <c r="CR376" s="1262">
        <f t="shared" si="1085"/>
        <v>7.9217700513630987E-2</v>
      </c>
      <c r="CS376" s="1263">
        <f t="shared" si="1085"/>
        <v>8.3205689277899342E-2</v>
      </c>
      <c r="CT376" s="1263">
        <f t="shared" si="1085"/>
        <v>8.2377695949500257E-2</v>
      </c>
      <c r="CU376" s="1263">
        <f t="shared" si="1085"/>
        <v>8.3680683796760399E-2</v>
      </c>
      <c r="CV376" s="1263">
        <f t="shared" si="1085"/>
        <v>8.4106190586598656E-2</v>
      </c>
      <c r="CW376" s="1262">
        <f t="shared" si="1085"/>
        <v>8.3325396285461595E-2</v>
      </c>
      <c r="CX376" s="1263">
        <f t="shared" si="1085"/>
        <v>8.958505083814236E-2</v>
      </c>
      <c r="CY376" s="1263">
        <f t="shared" si="1085"/>
        <v>9.5588755930043193E-2</v>
      </c>
      <c r="CZ376" s="1263">
        <f t="shared" si="1085"/>
        <v>9.3023255813953501E-2</v>
      </c>
      <c r="DA376" s="1263">
        <f t="shared" si="1085"/>
        <v>9.9732006125574271E-2</v>
      </c>
      <c r="DB376" s="1262">
        <f t="shared" si="1085"/>
        <v>9.4556258707803861E-2</v>
      </c>
      <c r="DC376" s="1263">
        <f t="shared" si="1085"/>
        <v>0.10000631751847874</v>
      </c>
      <c r="DD376" s="1263">
        <f t="shared" ref="DD376:EI376" si="1086">+DD8/DD$13</f>
        <v>8.890568670775674E-2</v>
      </c>
      <c r="DE376" s="1263">
        <f t="shared" si="1086"/>
        <v>8.8154741526874358E-2</v>
      </c>
      <c r="DF376" s="1263">
        <f t="shared" si="1086"/>
        <v>9.480337078651685E-2</v>
      </c>
      <c r="DG376" s="1262">
        <f t="shared" si="1086"/>
        <v>9.2798746322496711E-2</v>
      </c>
      <c r="DH376" s="1263">
        <f t="shared" si="1086"/>
        <v>9.093034128097241E-2</v>
      </c>
      <c r="DI376" s="1263">
        <f t="shared" si="1086"/>
        <v>8.4000223851362688E-2</v>
      </c>
      <c r="DJ376" s="1263">
        <f t="shared" si="1086"/>
        <v>7.9120393391900093E-2</v>
      </c>
      <c r="DK376" s="1263">
        <f t="shared" si="1086"/>
        <v>8.3301046106160417E-2</v>
      </c>
      <c r="DL376" s="1262">
        <f t="shared" si="1086"/>
        <v>8.4248106033985956E-2</v>
      </c>
      <c r="DM376" s="1263">
        <f t="shared" si="1086"/>
        <v>8.7993991217933915E-2</v>
      </c>
      <c r="DN376" s="1263">
        <f t="shared" si="1086"/>
        <v>8.3421330517423453E-2</v>
      </c>
      <c r="DO376" s="1263">
        <f t="shared" si="1086"/>
        <v>7.9887955182072826E-2</v>
      </c>
      <c r="DP376" s="1263">
        <f t="shared" si="1086"/>
        <v>8.4202890463701816E-2</v>
      </c>
      <c r="DQ376" s="1262">
        <f t="shared" si="1086"/>
        <v>8.3844552003601969E-2</v>
      </c>
      <c r="DR376" s="1263">
        <f t="shared" si="1086"/>
        <v>8.2922179860955361E-2</v>
      </c>
      <c r="DS376" s="1263">
        <f t="shared" si="1086"/>
        <v>8.0459144815580474E-2</v>
      </c>
      <c r="DT376" s="1263">
        <f t="shared" si="1086"/>
        <v>7.4309407140164777E-2</v>
      </c>
      <c r="DU376" s="1263">
        <f t="shared" si="1086"/>
        <v>8.6197636949516654E-2</v>
      </c>
      <c r="DV376" s="1262">
        <f t="shared" si="1086"/>
        <v>8.0957375798607803E-2</v>
      </c>
      <c r="DW376" s="1263">
        <f t="shared" si="1086"/>
        <v>8.3456257800975833E-2</v>
      </c>
      <c r="DX376" s="1263">
        <f t="shared" si="1086"/>
        <v>7.8463012455246839E-2</v>
      </c>
      <c r="DY376" s="1263">
        <f t="shared" si="1086"/>
        <v>7.3013493253373307E-2</v>
      </c>
      <c r="DZ376" s="1263">
        <f t="shared" si="1086"/>
        <v>8.0385852090032156E-2</v>
      </c>
      <c r="EA376" s="1262">
        <f t="shared" si="1086"/>
        <v>7.8672034814785852E-2</v>
      </c>
      <c r="EB376" s="1263">
        <f t="shared" si="1086"/>
        <v>8.3236224404861003E-2</v>
      </c>
      <c r="EC376" s="1263">
        <f t="shared" si="1086"/>
        <v>7.9345413246605739E-2</v>
      </c>
      <c r="ED376" s="1263">
        <f t="shared" si="1086"/>
        <v>7.8965036409647277E-2</v>
      </c>
      <c r="EE376" s="1263">
        <f t="shared" si="1086"/>
        <v>8.4507042253521125E-2</v>
      </c>
      <c r="EF376" s="1262">
        <f t="shared" si="1086"/>
        <v>8.1429087165224831E-2</v>
      </c>
      <c r="EG376" s="1263">
        <f t="shared" si="1086"/>
        <v>8.6164703204143198E-2</v>
      </c>
      <c r="EH376" s="1263">
        <f t="shared" si="1086"/>
        <v>8.2199389058594835E-2</v>
      </c>
      <c r="EI376" s="1263">
        <f t="shared" si="1086"/>
        <v>7.926108903447536E-2</v>
      </c>
      <c r="EJ376" s="1006"/>
      <c r="EK376" s="1262">
        <f t="shared" si="1073"/>
        <v>8.2813339394189847E-2</v>
      </c>
      <c r="EL376" s="1006"/>
      <c r="EM376" s="1006"/>
      <c r="EN376" s="1006"/>
      <c r="EO376" s="1006"/>
      <c r="EP376" s="1262">
        <f t="shared" si="1074"/>
        <v>7.7382907442685417E-2</v>
      </c>
      <c r="EQ376" s="1006"/>
      <c r="ER376" s="1006"/>
      <c r="ES376" s="1006"/>
      <c r="ET376" s="1006"/>
      <c r="EU376" s="1262">
        <f t="shared" si="1075"/>
        <v>7.4588149974985557E-2</v>
      </c>
      <c r="EV376" s="1006"/>
      <c r="EW376" s="1006"/>
      <c r="EX376" s="1006"/>
      <c r="EY376" s="1006"/>
      <c r="EZ376" s="1262">
        <f t="shared" si="1076"/>
        <v>7.4223694164995607E-2</v>
      </c>
      <c r="FA376" s="1006"/>
      <c r="FB376" s="1006"/>
      <c r="FC376" s="1006"/>
      <c r="FD376" s="1006"/>
      <c r="FE376" s="1262">
        <f t="shared" ref="FE376" si="1087">+FE8/FE$13</f>
        <v>7.3593070478211786E-2</v>
      </c>
      <c r="FG376" s="660"/>
      <c r="FH376" s="1258"/>
      <c r="FI376" s="1258"/>
      <c r="FJ376" s="1258"/>
      <c r="FK376" s="1259"/>
      <c r="FL376" s="1859"/>
      <c r="FR376" s="232"/>
      <c r="FS376" s="232"/>
      <c r="FT376" s="232"/>
      <c r="FU376" s="232"/>
      <c r="FV376" s="232"/>
      <c r="FW376" s="232"/>
      <c r="FX376" s="232"/>
      <c r="FY376" s="232"/>
      <c r="FZ376" s="232"/>
      <c r="GA376" s="660"/>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row>
    <row r="377" spans="1:256" s="1230" customFormat="1" ht="12.75" customHeight="1" x14ac:dyDescent="0.2">
      <c r="A377" s="1255" t="s">
        <v>94</v>
      </c>
      <c r="B377" s="407"/>
      <c r="C377" s="407"/>
      <c r="D377" s="407"/>
      <c r="E377" s="407"/>
      <c r="F377" s="21"/>
      <c r="G377" s="407"/>
      <c r="H377" s="407"/>
      <c r="I377" s="407"/>
      <c r="J377" s="407"/>
      <c r="K377" s="1262"/>
      <c r="L377" s="1263">
        <f t="shared" ref="L377:AQ377" si="1088">+L9/L$13</f>
        <v>0.21617925520723755</v>
      </c>
      <c r="M377" s="1263">
        <f t="shared" si="1088"/>
        <v>0.22114472435965005</v>
      </c>
      <c r="N377" s="1263">
        <f t="shared" si="1088"/>
        <v>0.22661651077673853</v>
      </c>
      <c r="O377" s="1263">
        <f t="shared" si="1088"/>
        <v>0.23405585660691952</v>
      </c>
      <c r="P377" s="1262">
        <f t="shared" si="1088"/>
        <v>0.22454131424853613</v>
      </c>
      <c r="Q377" s="1263">
        <f t="shared" si="1088"/>
        <v>0.22843268932740982</v>
      </c>
      <c r="R377" s="1263">
        <f t="shared" si="1088"/>
        <v>0.22473173224322945</v>
      </c>
      <c r="S377" s="1263">
        <f t="shared" si="1088"/>
        <v>0.23383934854730071</v>
      </c>
      <c r="T377" s="1263">
        <f t="shared" si="1088"/>
        <v>0.23955761824824726</v>
      </c>
      <c r="U377" s="1262">
        <f t="shared" si="1088"/>
        <v>0.23172644038646364</v>
      </c>
      <c r="V377" s="1263">
        <f t="shared" si="1088"/>
        <v>0.2431570281951019</v>
      </c>
      <c r="W377" s="1263">
        <f t="shared" si="1088"/>
        <v>0.24161726115268736</v>
      </c>
      <c r="X377" s="1263">
        <f t="shared" si="1088"/>
        <v>0.25188385411433739</v>
      </c>
      <c r="Y377" s="1263">
        <f t="shared" si="1088"/>
        <v>0.25111455708470637</v>
      </c>
      <c r="Z377" s="1262">
        <f t="shared" si="1088"/>
        <v>0.24695863746958635</v>
      </c>
      <c r="AA377" s="1263">
        <f t="shared" si="1088"/>
        <v>0.24556388012618297</v>
      </c>
      <c r="AB377" s="1263">
        <f t="shared" si="1088"/>
        <v>0.25361068216913435</v>
      </c>
      <c r="AC377" s="1263">
        <f t="shared" si="1088"/>
        <v>0.26574529264446717</v>
      </c>
      <c r="AD377" s="1263">
        <f t="shared" si="1088"/>
        <v>0.28052064631956913</v>
      </c>
      <c r="AE377" s="1262">
        <f t="shared" si="1088"/>
        <v>0.26171240191298695</v>
      </c>
      <c r="AF377" s="1263">
        <f t="shared" si="1088"/>
        <v>0.27603885590933619</v>
      </c>
      <c r="AG377" s="1263">
        <f t="shared" si="1088"/>
        <v>0.28259707873174206</v>
      </c>
      <c r="AH377" s="1263">
        <f t="shared" si="1088"/>
        <v>0.28520806832636741</v>
      </c>
      <c r="AI377" s="1263">
        <f t="shared" si="1088"/>
        <v>0.2914496137955811</v>
      </c>
      <c r="AJ377" s="1262">
        <f t="shared" si="1088"/>
        <v>0.28381962864721483</v>
      </c>
      <c r="AK377" s="1263">
        <f t="shared" si="1088"/>
        <v>0.28892107168718323</v>
      </c>
      <c r="AL377" s="1263">
        <f t="shared" si="1088"/>
        <v>0.28306183219478015</v>
      </c>
      <c r="AM377" s="1263">
        <f t="shared" si="1088"/>
        <v>0.29151033941191873</v>
      </c>
      <c r="AN377" s="1263">
        <f t="shared" si="1088"/>
        <v>0.3055507671091191</v>
      </c>
      <c r="AO377" s="1262">
        <f t="shared" si="1088"/>
        <v>0.29234114520415561</v>
      </c>
      <c r="AP377" s="1263">
        <f t="shared" si="1088"/>
        <v>0.29614885331025531</v>
      </c>
      <c r="AQ377" s="1263">
        <f t="shared" si="1088"/>
        <v>0.310367781660842</v>
      </c>
      <c r="AR377" s="1263">
        <f t="shared" ref="AR377:BW377" si="1089">+AR9/AR$13</f>
        <v>0.31822371177209891</v>
      </c>
      <c r="AS377" s="1263">
        <f t="shared" si="1089"/>
        <v>0.31178077655435055</v>
      </c>
      <c r="AT377" s="1262">
        <f t="shared" si="1089"/>
        <v>0.30924412129363055</v>
      </c>
      <c r="AU377" s="1263">
        <f t="shared" si="1089"/>
        <v>0.30325835262983791</v>
      </c>
      <c r="AV377" s="1263">
        <f t="shared" si="1089"/>
        <v>0.30484237894052646</v>
      </c>
      <c r="AW377" s="1263">
        <f t="shared" si="1089"/>
        <v>0.2956448202959831</v>
      </c>
      <c r="AX377" s="1263">
        <f t="shared" si="1089"/>
        <v>0.29759485094850946</v>
      </c>
      <c r="AY377" s="1262">
        <f t="shared" si="1089"/>
        <v>0.30039764328690688</v>
      </c>
      <c r="AZ377" s="1263">
        <f t="shared" si="1089"/>
        <v>0.29869681539656512</v>
      </c>
      <c r="BA377" s="1263">
        <f t="shared" si="1089"/>
        <v>0.31050094932087047</v>
      </c>
      <c r="BB377" s="1263">
        <f t="shared" si="1089"/>
        <v>0.32975433273034949</v>
      </c>
      <c r="BC377" s="1263">
        <f t="shared" si="1089"/>
        <v>0.3254685700324596</v>
      </c>
      <c r="BD377" s="1262">
        <f t="shared" si="1089"/>
        <v>0.31805813255134324</v>
      </c>
      <c r="BE377" s="1263">
        <f t="shared" si="1089"/>
        <v>0.3028315946348733</v>
      </c>
      <c r="BF377" s="1263">
        <f t="shared" si="1089"/>
        <v>0.31586741086684128</v>
      </c>
      <c r="BG377" s="1263">
        <f t="shared" si="1089"/>
        <v>0.34083824038794597</v>
      </c>
      <c r="BH377" s="1263">
        <f t="shared" si="1089"/>
        <v>0.3503211227402474</v>
      </c>
      <c r="BI377" s="1262">
        <f t="shared" si="1089"/>
        <v>0.32745249813789779</v>
      </c>
      <c r="BJ377" s="1263">
        <f t="shared" si="1089"/>
        <v>0.32825350749879045</v>
      </c>
      <c r="BK377" s="1263">
        <f t="shared" si="1089"/>
        <v>0.3189874918489537</v>
      </c>
      <c r="BL377" s="1263">
        <f t="shared" si="1089"/>
        <v>0.34327071142593157</v>
      </c>
      <c r="BM377" s="1263">
        <f t="shared" si="1089"/>
        <v>0.34636011819471296</v>
      </c>
      <c r="BN377" s="1262">
        <f t="shared" si="1089"/>
        <v>0.33411381273445323</v>
      </c>
      <c r="BO377" s="1263">
        <f t="shared" si="1089"/>
        <v>0.34163346613545814</v>
      </c>
      <c r="BP377" s="1263">
        <f t="shared" si="1089"/>
        <v>0.34931546752111858</v>
      </c>
      <c r="BQ377" s="1263">
        <f t="shared" si="1089"/>
        <v>0.36023735453393246</v>
      </c>
      <c r="BR377" s="1263">
        <f t="shared" si="1089"/>
        <v>0.34921780986762935</v>
      </c>
      <c r="BS377" s="1262">
        <f t="shared" si="1089"/>
        <v>0.35027601291532129</v>
      </c>
      <c r="BT377" s="1263">
        <f t="shared" si="1089"/>
        <v>0.35084951456310681</v>
      </c>
      <c r="BU377" s="1263">
        <f t="shared" si="1089"/>
        <v>0.35021315819794901</v>
      </c>
      <c r="BV377" s="1263">
        <f t="shared" si="1089"/>
        <v>0.36424879493582674</v>
      </c>
      <c r="BW377" s="1263">
        <f t="shared" si="1089"/>
        <v>0.37214468812304186</v>
      </c>
      <c r="BX377" s="1262">
        <f t="shared" ref="BX377:DC377" si="1090">+BX9/BX$13</f>
        <v>0.35949979595406056</v>
      </c>
      <c r="BY377" s="1263">
        <f t="shared" si="1090"/>
        <v>0.36886738759248722</v>
      </c>
      <c r="BZ377" s="1263">
        <f t="shared" si="1090"/>
        <v>0.3776130546075086</v>
      </c>
      <c r="CA377" s="1263">
        <f t="shared" si="1090"/>
        <v>0.39869795768362465</v>
      </c>
      <c r="CB377" s="1263">
        <f t="shared" si="1090"/>
        <v>0.40258392569916468</v>
      </c>
      <c r="CC377" s="1262">
        <f t="shared" si="1090"/>
        <v>0.387382438841403</v>
      </c>
      <c r="CD377" s="1263">
        <f t="shared" si="1090"/>
        <v>0.38994673439549654</v>
      </c>
      <c r="CE377" s="1263">
        <f t="shared" si="1090"/>
        <v>0.39119051286000306</v>
      </c>
      <c r="CF377" s="1263">
        <f t="shared" si="1090"/>
        <v>0.41529890076795667</v>
      </c>
      <c r="CG377" s="1263">
        <f t="shared" si="1090"/>
        <v>0.42305365066559097</v>
      </c>
      <c r="CH377" s="1262">
        <f t="shared" si="1090"/>
        <v>0.40517684674378124</v>
      </c>
      <c r="CI377" s="1263">
        <f t="shared" si="1090"/>
        <v>0.40011240547721239</v>
      </c>
      <c r="CJ377" s="1263">
        <f t="shared" si="1090"/>
        <v>0.40559095174593768</v>
      </c>
      <c r="CK377" s="1263">
        <f t="shared" si="1090"/>
        <v>0.42252247727158571</v>
      </c>
      <c r="CL377" s="1263">
        <f t="shared" si="1090"/>
        <v>0.42062133706757948</v>
      </c>
      <c r="CM377" s="1262">
        <f t="shared" si="1090"/>
        <v>0.41216823399865837</v>
      </c>
      <c r="CN377" s="1263">
        <f t="shared" si="1090"/>
        <v>0.41223617419182473</v>
      </c>
      <c r="CO377" s="1263">
        <f t="shared" si="1090"/>
        <v>0.40333625083663693</v>
      </c>
      <c r="CP377" s="1263">
        <f t="shared" si="1090"/>
        <v>0.41385993400031429</v>
      </c>
      <c r="CQ377" s="1263">
        <f t="shared" si="1090"/>
        <v>0.41479065290626171</v>
      </c>
      <c r="CR377" s="1262">
        <f t="shared" si="1090"/>
        <v>0.41099697089424475</v>
      </c>
      <c r="CS377" s="1263">
        <f t="shared" si="1090"/>
        <v>0.40503282275711161</v>
      </c>
      <c r="CT377" s="1263">
        <f t="shared" si="1090"/>
        <v>0.40142030510257759</v>
      </c>
      <c r="CU377" s="1263">
        <f t="shared" si="1090"/>
        <v>0.41729541497388273</v>
      </c>
      <c r="CV377" s="1263">
        <f t="shared" si="1090"/>
        <v>0.42580570368652909</v>
      </c>
      <c r="CW377" s="1262">
        <f t="shared" si="1090"/>
        <v>0.41213688005986804</v>
      </c>
      <c r="CX377" s="1263">
        <f t="shared" si="1090"/>
        <v>0.41687276724374828</v>
      </c>
      <c r="CY377" s="1263">
        <f t="shared" si="1090"/>
        <v>0.43390214543652195</v>
      </c>
      <c r="CZ377" s="1263">
        <f t="shared" si="1090"/>
        <v>0.42050978846406523</v>
      </c>
      <c r="DA377" s="1263">
        <f t="shared" si="1090"/>
        <v>0.42802450229709033</v>
      </c>
      <c r="DB377" s="1262">
        <f t="shared" si="1090"/>
        <v>0.42477296761955918</v>
      </c>
      <c r="DC377" s="1263">
        <f t="shared" si="1090"/>
        <v>0.42744330027165328</v>
      </c>
      <c r="DD377" s="1263">
        <f t="shared" ref="DD377:EI377" si="1091">+DD9/DD$13</f>
        <v>0.42638678916153044</v>
      </c>
      <c r="DE377" s="1263">
        <f t="shared" si="1091"/>
        <v>0.43489672486591358</v>
      </c>
      <c r="DF377" s="1263">
        <f t="shared" si="1091"/>
        <v>0.44183052434456926</v>
      </c>
      <c r="DG377" s="1262">
        <f t="shared" si="1091"/>
        <v>0.43274049762717881</v>
      </c>
      <c r="DH377" s="1263">
        <f t="shared" si="1091"/>
        <v>0.43647732585320242</v>
      </c>
      <c r="DI377" s="1263">
        <f t="shared" si="1091"/>
        <v>0.44882198220381664</v>
      </c>
      <c r="DJ377" s="1263">
        <f t="shared" si="1091"/>
        <v>0.45676556715840655</v>
      </c>
      <c r="DK377" s="1263">
        <f t="shared" si="1091"/>
        <v>0.46211324514307855</v>
      </c>
      <c r="DL377" s="1262">
        <f t="shared" si="1091"/>
        <v>0.45124882285971302</v>
      </c>
      <c r="DM377" s="1263">
        <f t="shared" si="1091"/>
        <v>0.45354749248902243</v>
      </c>
      <c r="DN377" s="1263">
        <f t="shared" si="1091"/>
        <v>0.4670705274273329</v>
      </c>
      <c r="DO377" s="1263">
        <f t="shared" si="1091"/>
        <v>0.48577030812324934</v>
      </c>
      <c r="DP377" s="1263">
        <f t="shared" si="1091"/>
        <v>0.48312036158696503</v>
      </c>
      <c r="DQ377" s="1262">
        <f t="shared" si="1091"/>
        <v>0.47252082395317424</v>
      </c>
      <c r="DR377" s="1263">
        <f t="shared" si="1091"/>
        <v>0.48015250056066378</v>
      </c>
      <c r="DS377" s="1263">
        <f t="shared" si="1091"/>
        <v>0.4792732020454793</v>
      </c>
      <c r="DT377" s="1263">
        <f t="shared" si="1091"/>
        <v>0.49157288245113351</v>
      </c>
      <c r="DU377" s="1263">
        <f t="shared" si="1091"/>
        <v>0.49516648764769067</v>
      </c>
      <c r="DV377" s="1262">
        <f t="shared" si="1091"/>
        <v>0.48662970480458806</v>
      </c>
      <c r="DW377" s="1263">
        <f t="shared" si="1091"/>
        <v>0.50215590604788385</v>
      </c>
      <c r="DX377" s="1263">
        <f t="shared" si="1091"/>
        <v>0.49220916746507998</v>
      </c>
      <c r="DY377" s="1263">
        <f t="shared" si="1091"/>
        <v>0.50209895052473763</v>
      </c>
      <c r="DZ377" s="1263">
        <f t="shared" si="1091"/>
        <v>0.507882999688829</v>
      </c>
      <c r="EA377" s="1262">
        <f t="shared" si="1091"/>
        <v>0.50100978514378036</v>
      </c>
      <c r="EB377" s="1263">
        <f t="shared" si="1091"/>
        <v>0.51423339437323123</v>
      </c>
      <c r="EC377" s="1263">
        <f t="shared" si="1091"/>
        <v>0.51618398637137985</v>
      </c>
      <c r="ED377" s="1263">
        <f t="shared" si="1091"/>
        <v>0.51619067293291332</v>
      </c>
      <c r="EE377" s="1263">
        <f t="shared" si="1091"/>
        <v>0.51840967062215815</v>
      </c>
      <c r="EF377" s="1262">
        <f t="shared" si="1091"/>
        <v>0.51625239005736145</v>
      </c>
      <c r="EG377" s="1263">
        <f t="shared" si="1091"/>
        <v>0.52876899436571623</v>
      </c>
      <c r="EH377" s="1263">
        <f t="shared" si="1091"/>
        <v>0.52863093585115239</v>
      </c>
      <c r="EI377" s="1263">
        <f t="shared" si="1091"/>
        <v>0.5335087530877457</v>
      </c>
      <c r="EJ377" s="1006"/>
      <c r="EK377" s="1262">
        <f t="shared" si="1073"/>
        <v>0.53313497802939513</v>
      </c>
      <c r="EL377" s="1006"/>
      <c r="EM377" s="1006"/>
      <c r="EN377" s="1006"/>
      <c r="EO377" s="1006"/>
      <c r="EP377" s="1262">
        <f t="shared" si="1074"/>
        <v>0.53525586283912496</v>
      </c>
      <c r="EQ377" s="1006"/>
      <c r="ER377" s="1006"/>
      <c r="ES377" s="1006"/>
      <c r="ET377" s="1006"/>
      <c r="EU377" s="1262">
        <f t="shared" si="1075"/>
        <v>0.55725515587788643</v>
      </c>
      <c r="EV377" s="1006"/>
      <c r="EW377" s="1006"/>
      <c r="EX377" s="1006"/>
      <c r="EY377" s="1006"/>
      <c r="EZ377" s="1262">
        <f t="shared" si="1076"/>
        <v>0.57092238830118258</v>
      </c>
      <c r="FA377" s="1006"/>
      <c r="FB377" s="1006"/>
      <c r="FC377" s="1006"/>
      <c r="FD377" s="1006"/>
      <c r="FE377" s="1262">
        <f t="shared" ref="FE377" si="1092">+FE9/FE$13</f>
        <v>0.58280286693309624</v>
      </c>
      <c r="FG377" s="660"/>
      <c r="FH377" s="1258"/>
      <c r="FI377" s="1258"/>
      <c r="FJ377" s="1258"/>
      <c r="FK377" s="1259"/>
      <c r="FL377" s="1859"/>
      <c r="FR377" s="232"/>
      <c r="FS377" s="232"/>
      <c r="FT377" s="232"/>
      <c r="FU377" s="232"/>
      <c r="FV377" s="232"/>
      <c r="FW377" s="232"/>
      <c r="FX377" s="232"/>
      <c r="FY377" s="232"/>
      <c r="FZ377" s="232"/>
      <c r="GA377" s="660"/>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row>
    <row r="378" spans="1:256" s="1230" customFormat="1" ht="12.75" customHeight="1" x14ac:dyDescent="0.2">
      <c r="A378" s="1255" t="s">
        <v>651</v>
      </c>
      <c r="B378" s="407"/>
      <c r="C378" s="407"/>
      <c r="D378" s="407"/>
      <c r="E378" s="407"/>
      <c r="F378" s="21"/>
      <c r="G378" s="407"/>
      <c r="H378" s="407"/>
      <c r="I378" s="407"/>
      <c r="J378" s="407"/>
      <c r="K378" s="1262"/>
      <c r="L378" s="1263">
        <f t="shared" ref="L378:AQ378" si="1093">+L10/L$13</f>
        <v>8.1737849779086907E-2</v>
      </c>
      <c r="M378" s="1263">
        <f t="shared" si="1093"/>
        <v>8.074206809318013E-2</v>
      </c>
      <c r="N378" s="1263">
        <f t="shared" si="1093"/>
        <v>8.0317202114680769E-2</v>
      </c>
      <c r="O378" s="1263">
        <f t="shared" si="1093"/>
        <v>8.1075448103376399E-2</v>
      </c>
      <c r="P378" s="1262">
        <f t="shared" si="1093"/>
        <v>8.0962914769030586E-2</v>
      </c>
      <c r="Q378" s="1263">
        <f t="shared" si="1093"/>
        <v>8.3583014774253533E-2</v>
      </c>
      <c r="R378" s="1263">
        <f t="shared" si="1093"/>
        <v>8.0940214614205433E-2</v>
      </c>
      <c r="S378" s="1263">
        <f t="shared" si="1093"/>
        <v>8.1230521765356389E-2</v>
      </c>
      <c r="T378" s="1263">
        <f t="shared" si="1093"/>
        <v>7.8799249530956836E-2</v>
      </c>
      <c r="U378" s="1262">
        <f t="shared" si="1093"/>
        <v>8.1111841772472063E-2</v>
      </c>
      <c r="V378" s="1263">
        <f t="shared" si="1093"/>
        <v>8.5923029429923858E-2</v>
      </c>
      <c r="W378" s="1263">
        <f t="shared" si="1093"/>
        <v>8.2320925259986411E-2</v>
      </c>
      <c r="X378" s="1263">
        <f t="shared" si="1093"/>
        <v>8.2387219933688333E-2</v>
      </c>
      <c r="Y378" s="1263">
        <f t="shared" si="1093"/>
        <v>8.1701880209342895E-2</v>
      </c>
      <c r="Z378" s="1262">
        <f t="shared" si="1093"/>
        <v>8.3047817667212864E-2</v>
      </c>
      <c r="AA378" s="1263">
        <f t="shared" si="1093"/>
        <v>8.9609621451104113E-2</v>
      </c>
      <c r="AB378" s="1263">
        <f t="shared" si="1093"/>
        <v>8.5838859115269339E-2</v>
      </c>
      <c r="AC378" s="1263">
        <f t="shared" si="1093"/>
        <v>8.5428067897226609E-2</v>
      </c>
      <c r="AD378" s="1263">
        <f t="shared" si="1093"/>
        <v>8.3662477558348297E-2</v>
      </c>
      <c r="AE378" s="1262">
        <f t="shared" si="1093"/>
        <v>8.60611970097971E-2</v>
      </c>
      <c r="AF378" s="1263">
        <f t="shared" si="1093"/>
        <v>8.5716855549559268E-2</v>
      </c>
      <c r="AG378" s="1263">
        <f t="shared" si="1093"/>
        <v>8.1938012112575689E-2</v>
      </c>
      <c r="AH378" s="1263">
        <f t="shared" si="1093"/>
        <v>7.9502089769216799E-2</v>
      </c>
      <c r="AI378" s="1263">
        <f t="shared" si="1093"/>
        <v>8.3977007364828452E-2</v>
      </c>
      <c r="AJ378" s="1262">
        <f t="shared" si="1093"/>
        <v>8.2790091264667534E-2</v>
      </c>
      <c r="AK378" s="1263">
        <f t="shared" si="1093"/>
        <v>8.6440984793627815E-2</v>
      </c>
      <c r="AL378" s="1263">
        <f t="shared" si="1093"/>
        <v>8.0049045366964444E-2</v>
      </c>
      <c r="AM378" s="1263">
        <f t="shared" si="1093"/>
        <v>8.3413314719483461E-2</v>
      </c>
      <c r="AN378" s="1263">
        <f t="shared" si="1093"/>
        <v>8.42958110670574E-2</v>
      </c>
      <c r="AO378" s="1262">
        <f t="shared" si="1093"/>
        <v>8.3529179204463094E-2</v>
      </c>
      <c r="AP378" s="1263">
        <f t="shared" si="1093"/>
        <v>8.7061877974902641E-2</v>
      </c>
      <c r="AQ378" s="1263">
        <f t="shared" si="1093"/>
        <v>8.5039108004659664E-2</v>
      </c>
      <c r="AR378" s="1263">
        <f t="shared" ref="AR378:BW378" si="1094">+AR10/AR$13</f>
        <v>8.4457478005865103E-2</v>
      </c>
      <c r="AS378" s="1263">
        <f t="shared" si="1094"/>
        <v>8.3616193393492827E-2</v>
      </c>
      <c r="AT378" s="1262">
        <f t="shared" si="1094"/>
        <v>8.5023220627482285E-2</v>
      </c>
      <c r="AU378" s="1263">
        <f t="shared" si="1094"/>
        <v>6.4340059543499833E-2</v>
      </c>
      <c r="AV378" s="1263">
        <f t="shared" si="1094"/>
        <v>6.5404614884627871E-2</v>
      </c>
      <c r="AW378" s="1263">
        <f t="shared" si="1094"/>
        <v>6.7991543340380559E-2</v>
      </c>
      <c r="AX378" s="1263">
        <f t="shared" si="1094"/>
        <v>6.4871273712737126E-2</v>
      </c>
      <c r="AY378" s="1262">
        <f t="shared" si="1094"/>
        <v>6.5642370870026848E-2</v>
      </c>
      <c r="AZ378" s="1263">
        <f t="shared" si="1094"/>
        <v>6.7575731423146629E-2</v>
      </c>
      <c r="BA378" s="1263">
        <f t="shared" si="1094"/>
        <v>6.72557324375639E-2</v>
      </c>
      <c r="BB378" s="1263">
        <f t="shared" si="1094"/>
        <v>6.5005543560716569E-2</v>
      </c>
      <c r="BC378" s="1263">
        <f t="shared" si="1094"/>
        <v>6.521005665887171E-2</v>
      </c>
      <c r="BD378" s="1262">
        <f t="shared" si="1094"/>
        <v>6.608106883906012E-2</v>
      </c>
      <c r="BE378" s="1263">
        <f t="shared" si="1094"/>
        <v>6.7839046199701936E-2</v>
      </c>
      <c r="BF378" s="1263">
        <f t="shared" si="1094"/>
        <v>6.5895887914341034E-2</v>
      </c>
      <c r="BG378" s="1263">
        <f t="shared" si="1094"/>
        <v>6.58699919177924E-2</v>
      </c>
      <c r="BH378" s="1263">
        <f t="shared" si="1094"/>
        <v>6.5057088487155093E-2</v>
      </c>
      <c r="BI378" s="1262">
        <f t="shared" si="1094"/>
        <v>6.6159395948649793E-2</v>
      </c>
      <c r="BJ378" s="1263">
        <f t="shared" si="1094"/>
        <v>6.4828253507498781E-2</v>
      </c>
      <c r="BK378" s="1263">
        <f t="shared" si="1094"/>
        <v>6.5682613077242269E-2</v>
      </c>
      <c r="BL378" s="1263">
        <f t="shared" si="1094"/>
        <v>6.7693255312596248E-2</v>
      </c>
      <c r="BM378" s="1263">
        <f t="shared" si="1094"/>
        <v>6.2613336158960808E-2</v>
      </c>
      <c r="BN378" s="1262">
        <f t="shared" si="1094"/>
        <v>6.5192570914845427E-2</v>
      </c>
      <c r="BO378" s="1263">
        <f t="shared" si="1094"/>
        <v>6.4678784860557781E-2</v>
      </c>
      <c r="BP378" s="1263">
        <f t="shared" si="1094"/>
        <v>6.2510923390620449E-2</v>
      </c>
      <c r="BQ378" s="1263">
        <f t="shared" si="1094"/>
        <v>6.3140914851941468E-2</v>
      </c>
      <c r="BR378" s="1263">
        <f t="shared" si="1094"/>
        <v>6.3056558363417572E-2</v>
      </c>
      <c r="BS378" s="1262">
        <f t="shared" si="1094"/>
        <v>6.3326736798250169E-2</v>
      </c>
      <c r="BT378" s="1263">
        <f t="shared" si="1094"/>
        <v>6.4138349514563112E-2</v>
      </c>
      <c r="BU378" s="1263">
        <f t="shared" si="1094"/>
        <v>6.0433229634750542E-2</v>
      </c>
      <c r="BV378" s="1263">
        <f t="shared" si="1094"/>
        <v>6.2953713920669022E-2</v>
      </c>
      <c r="BW378" s="1263">
        <f t="shared" si="1094"/>
        <v>6.078040444317858E-2</v>
      </c>
      <c r="BX378" s="1262">
        <f t="shared" ref="BX378:DC378" si="1095">+BX10/BX$13</f>
        <v>6.204454031364777E-2</v>
      </c>
      <c r="BY378" s="1263">
        <f t="shared" si="1095"/>
        <v>6.2379055207740466E-2</v>
      </c>
      <c r="BZ378" s="1263">
        <f t="shared" si="1095"/>
        <v>5.9566979522184309E-2</v>
      </c>
      <c r="CA378" s="1263">
        <f t="shared" si="1095"/>
        <v>5.9956948600829521E-2</v>
      </c>
      <c r="CB378" s="1263">
        <f t="shared" si="1095"/>
        <v>5.6659575572043798E-2</v>
      </c>
      <c r="CC378" s="1262">
        <f t="shared" si="1095"/>
        <v>5.957771763886284E-2</v>
      </c>
      <c r="CD378" s="1263">
        <f t="shared" si="1095"/>
        <v>5.9470263794632217E-2</v>
      </c>
      <c r="CE378" s="1263">
        <f t="shared" si="1095"/>
        <v>5.9499974331331175E-2</v>
      </c>
      <c r="CF378" s="1263">
        <f t="shared" si="1095"/>
        <v>5.5664307584199178E-2</v>
      </c>
      <c r="CG378" s="1263">
        <f t="shared" si="1095"/>
        <v>5.269261799112545E-2</v>
      </c>
      <c r="CH378" s="1262">
        <f t="shared" si="1095"/>
        <v>5.6777639704329898E-2</v>
      </c>
      <c r="CI378" s="1263">
        <f t="shared" si="1095"/>
        <v>5.4823216840384228E-2</v>
      </c>
      <c r="CJ378" s="1263">
        <f t="shared" si="1095"/>
        <v>5.3143675606262653E-2</v>
      </c>
      <c r="CK378" s="1263">
        <f t="shared" si="1095"/>
        <v>5.479933698327389E-2</v>
      </c>
      <c r="CL378" s="1263">
        <f t="shared" si="1095"/>
        <v>5.3109278564389822E-2</v>
      </c>
      <c r="CM378" s="1262">
        <f t="shared" si="1095"/>
        <v>5.396853523016365E-2</v>
      </c>
      <c r="CN378" s="1263">
        <f t="shared" si="1095"/>
        <v>5.6478760352658294E-2</v>
      </c>
      <c r="CO378" s="1263">
        <f t="shared" si="1095"/>
        <v>5.6479431601709311E-2</v>
      </c>
      <c r="CP378" s="1263">
        <f t="shared" si="1095"/>
        <v>5.6571159184956261E-2</v>
      </c>
      <c r="CQ378" s="1263">
        <f t="shared" si="1095"/>
        <v>5.5237687824180523E-2</v>
      </c>
      <c r="CR378" s="1262">
        <f t="shared" si="1095"/>
        <v>5.6196496773343874E-2</v>
      </c>
      <c r="CS378" s="1263">
        <f t="shared" si="1095"/>
        <v>5.5908096280087527E-2</v>
      </c>
      <c r="CT378" s="1263">
        <f t="shared" si="1095"/>
        <v>5.4655444502893218E-2</v>
      </c>
      <c r="CU378" s="1263">
        <f t="shared" si="1095"/>
        <v>5.4344958581754865E-2</v>
      </c>
      <c r="CV378" s="1263">
        <f t="shared" si="1095"/>
        <v>4.903779271968467E-2</v>
      </c>
      <c r="CW378" s="1262">
        <f t="shared" si="1095"/>
        <v>5.3568269950336762E-2</v>
      </c>
      <c r="CX378" s="1263">
        <f t="shared" si="1095"/>
        <v>5.5166254465512508E-2</v>
      </c>
      <c r="CY378" s="1263">
        <f t="shared" si="1095"/>
        <v>5.6999221128655388E-2</v>
      </c>
      <c r="CZ378" s="1263">
        <f t="shared" si="1095"/>
        <v>6.30009197214558E-2</v>
      </c>
      <c r="DA378" s="1263">
        <f t="shared" si="1095"/>
        <v>5.6342521694742215E-2</v>
      </c>
      <c r="DB378" s="1262">
        <f t="shared" si="1095"/>
        <v>5.7912141406341808E-2</v>
      </c>
      <c r="DC378" s="1263">
        <f t="shared" si="1095"/>
        <v>6.1027228504643372E-2</v>
      </c>
      <c r="DD378" s="1263">
        <f t="shared" ref="DD378:EI378" si="1096">+DD10/DD$13</f>
        <v>6.1635073845796036E-2</v>
      </c>
      <c r="DE378" s="1263">
        <f t="shared" si="1096"/>
        <v>6.0995093004678771E-2</v>
      </c>
      <c r="DF378" s="1263">
        <f t="shared" si="1096"/>
        <v>5.6530898876404487E-2</v>
      </c>
      <c r="DG378" s="1262">
        <f t="shared" si="1096"/>
        <v>6.0037551189367398E-2</v>
      </c>
      <c r="DH378" s="1263">
        <f t="shared" si="1096"/>
        <v>5.5925666199158487E-2</v>
      </c>
      <c r="DI378" s="1263">
        <f t="shared" si="1096"/>
        <v>5.3388550002798144E-2</v>
      </c>
      <c r="DJ378" s="1263">
        <f t="shared" si="1096"/>
        <v>5.271009448035803E-2</v>
      </c>
      <c r="DK378" s="1263">
        <f t="shared" si="1096"/>
        <v>4.8264792162506231E-2</v>
      </c>
      <c r="DL378" s="1262">
        <f t="shared" si="1096"/>
        <v>5.2525053761929522E-2</v>
      </c>
      <c r="DM378" s="1263">
        <f t="shared" si="1096"/>
        <v>5.5465680610122491E-2</v>
      </c>
      <c r="DN378" s="1263">
        <f t="shared" si="1096"/>
        <v>5.4743511365531052E-2</v>
      </c>
      <c r="DO378" s="1263">
        <f t="shared" si="1096"/>
        <v>5.5462184873949577E-2</v>
      </c>
      <c r="DP378" s="1263">
        <f t="shared" si="1096"/>
        <v>5.3177836058255677E-2</v>
      </c>
      <c r="DQ378" s="1262">
        <f t="shared" si="1096"/>
        <v>5.4705087798289052E-2</v>
      </c>
      <c r="DR378" s="1263">
        <f t="shared" si="1096"/>
        <v>5.9430365552814529E-2</v>
      </c>
      <c r="DS378" s="1263">
        <f t="shared" si="1096"/>
        <v>6.2017190730062025E-2</v>
      </c>
      <c r="DT378" s="1263">
        <f t="shared" si="1096"/>
        <v>6.0901405417048082E-2</v>
      </c>
      <c r="DU378" s="1263">
        <f t="shared" si="1096"/>
        <v>6.2352309344790545E-2</v>
      </c>
      <c r="DV378" s="1262">
        <f t="shared" si="1096"/>
        <v>6.1191407048182114E-2</v>
      </c>
      <c r="DW378" s="1263">
        <f t="shared" si="1096"/>
        <v>6.5868603199818451E-2</v>
      </c>
      <c r="DX378" s="1263">
        <f t="shared" si="1096"/>
        <v>6.1418990469467E-2</v>
      </c>
      <c r="DY378" s="1263">
        <f t="shared" si="1096"/>
        <v>6.5967016491754127E-2</v>
      </c>
      <c r="DZ378" s="1263">
        <f t="shared" si="1096"/>
        <v>6.8820661757079141E-2</v>
      </c>
      <c r="EA378" s="1262">
        <f t="shared" si="1096"/>
        <v>6.5486195259873092E-2</v>
      </c>
      <c r="EB378" s="1263">
        <f t="shared" si="1096"/>
        <v>7.0639809111592039E-2</v>
      </c>
      <c r="EC378" s="1263">
        <f t="shared" si="1096"/>
        <v>7.0879149243714828E-2</v>
      </c>
      <c r="ED378" s="1263">
        <f t="shared" si="1096"/>
        <v>6.9359086918349439E-2</v>
      </c>
      <c r="EE378" s="1263">
        <f t="shared" si="1096"/>
        <v>7.1365199068426297E-2</v>
      </c>
      <c r="EF378" s="1262">
        <f t="shared" si="1096"/>
        <v>7.0545133642647986E-2</v>
      </c>
      <c r="EG378" s="1263">
        <f t="shared" si="1096"/>
        <v>6.8635820385863064E-2</v>
      </c>
      <c r="EH378" s="1263">
        <f t="shared" si="1096"/>
        <v>6.82032768675368E-2</v>
      </c>
      <c r="EI378" s="1263">
        <f t="shared" si="1096"/>
        <v>6.3097411663623676E-2</v>
      </c>
      <c r="EJ378" s="1006"/>
      <c r="EK378" s="1262">
        <f t="shared" si="1073"/>
        <v>6.5526123669022121E-2</v>
      </c>
      <c r="EL378" s="1006"/>
      <c r="EM378" s="1006"/>
      <c r="EN378" s="1006"/>
      <c r="EO378" s="1006"/>
      <c r="EP378" s="1262">
        <f t="shared" si="1074"/>
        <v>6.1380805360310049E-2</v>
      </c>
      <c r="EQ378" s="1006"/>
      <c r="ER378" s="1006"/>
      <c r="ES378" s="1006"/>
      <c r="ET378" s="1006"/>
      <c r="EU378" s="1262">
        <f t="shared" si="1075"/>
        <v>6.0727261998763389E-2</v>
      </c>
      <c r="EV378" s="1006"/>
      <c r="EW378" s="1006"/>
      <c r="EX378" s="1006"/>
      <c r="EY378" s="1006"/>
      <c r="EZ378" s="1262">
        <f t="shared" si="1076"/>
        <v>6.0132846493821647E-2</v>
      </c>
      <c r="FA378" s="1006"/>
      <c r="FB378" s="1006"/>
      <c r="FC378" s="1006"/>
      <c r="FD378" s="1006"/>
      <c r="FE378" s="1262">
        <f t="shared" ref="FE378" si="1097">+FE10/FE$13</f>
        <v>5.9328238141047318E-2</v>
      </c>
      <c r="FG378" s="660"/>
      <c r="FH378" s="1258"/>
      <c r="FI378" s="1258"/>
      <c r="FJ378" s="1258"/>
      <c r="FK378" s="1259"/>
      <c r="FL378" s="1859"/>
      <c r="FR378" s="232"/>
      <c r="FS378" s="232"/>
      <c r="FT378" s="232"/>
      <c r="FU378" s="232"/>
      <c r="FV378" s="232"/>
      <c r="FW378" s="232"/>
      <c r="FX378" s="232"/>
      <c r="FY378" s="232"/>
      <c r="FZ378" s="232"/>
      <c r="GA378" s="660"/>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row>
    <row r="379" spans="1:256" s="1230" customFormat="1" ht="12.75" x14ac:dyDescent="0.2">
      <c r="A379" s="1255" t="s">
        <v>652</v>
      </c>
      <c r="B379" s="22"/>
      <c r="C379" s="22"/>
      <c r="D379" s="22"/>
      <c r="E379" s="22"/>
      <c r="F379" s="21"/>
      <c r="G379" s="22"/>
      <c r="H379" s="22"/>
      <c r="I379" s="22"/>
      <c r="J379" s="22"/>
      <c r="K379" s="1262"/>
      <c r="L379" s="1263">
        <f t="shared" ref="L379:AQ379" si="1098">+L11/L$13</f>
        <v>7.7319587628865982E-2</v>
      </c>
      <c r="M379" s="1263">
        <f t="shared" si="1098"/>
        <v>8.559080847475492E-2</v>
      </c>
      <c r="N379" s="1263">
        <f t="shared" si="1098"/>
        <v>8.1638877592517284E-2</v>
      </c>
      <c r="O379" s="1263">
        <f t="shared" si="1098"/>
        <v>7.7844935389745726E-2</v>
      </c>
      <c r="P379" s="1262">
        <f t="shared" si="1098"/>
        <v>8.0598568640208201E-2</v>
      </c>
      <c r="Q379" s="1263">
        <f t="shared" si="1098"/>
        <v>7.459448290112615E-2</v>
      </c>
      <c r="R379" s="1263">
        <f t="shared" si="1098"/>
        <v>8.2881962187020958E-2</v>
      </c>
      <c r="S379" s="1263">
        <f t="shared" si="1098"/>
        <v>8.2537448476927719E-2</v>
      </c>
      <c r="T379" s="1263">
        <f t="shared" si="1098"/>
        <v>7.6330601362693776E-2</v>
      </c>
      <c r="U379" s="1262">
        <f t="shared" si="1098"/>
        <v>7.9088471849865949E-2</v>
      </c>
      <c r="V379" s="1263">
        <f t="shared" si="1098"/>
        <v>7.8411195719283816E-2</v>
      </c>
      <c r="W379" s="1263">
        <f t="shared" si="1098"/>
        <v>8.4653513460977756E-2</v>
      </c>
      <c r="X379" s="1263">
        <f t="shared" si="1098"/>
        <v>8.9621219732743909E-2</v>
      </c>
      <c r="Y379" s="1263">
        <f t="shared" si="1098"/>
        <v>8.4415584415584416E-2</v>
      </c>
      <c r="Z379" s="1262">
        <f t="shared" si="1098"/>
        <v>8.4314017577834049E-2</v>
      </c>
      <c r="AA379" s="1263">
        <f t="shared" si="1098"/>
        <v>7.9948738170347006E-2</v>
      </c>
      <c r="AB379" s="1263">
        <f t="shared" si="1098"/>
        <v>9.0653102007448458E-2</v>
      </c>
      <c r="AC379" s="1263">
        <f t="shared" si="1098"/>
        <v>8.9509321955291724E-2</v>
      </c>
      <c r="AD379" s="1263">
        <f t="shared" si="1098"/>
        <v>8.4290843806104132E-2</v>
      </c>
      <c r="AE379" s="1262">
        <f t="shared" si="1098"/>
        <v>8.620049217625482E-2</v>
      </c>
      <c r="AF379" s="1263">
        <f t="shared" si="1098"/>
        <v>8.0949811117107404E-2</v>
      </c>
      <c r="AG379" s="1263">
        <f t="shared" si="1098"/>
        <v>8.7014606341289616E-2</v>
      </c>
      <c r="AH379" s="1263">
        <f t="shared" si="1098"/>
        <v>8.6770852262402332E-2</v>
      </c>
      <c r="AI379" s="1263">
        <f t="shared" si="1098"/>
        <v>8.002514819471887E-2</v>
      </c>
      <c r="AJ379" s="1262">
        <f t="shared" si="1098"/>
        <v>8.3689250550735048E-2</v>
      </c>
      <c r="AK379" s="1263">
        <f t="shared" si="1098"/>
        <v>7.5850832729905865E-2</v>
      </c>
      <c r="AL379" s="1263">
        <f t="shared" si="1098"/>
        <v>8.5566649150464191E-2</v>
      </c>
      <c r="AM379" s="1263">
        <f t="shared" si="1098"/>
        <v>8.4024081668266304E-2</v>
      </c>
      <c r="AN379" s="1263">
        <f t="shared" si="1098"/>
        <v>7.3607998620927428E-2</v>
      </c>
      <c r="AO379" s="1262">
        <f t="shared" si="1098"/>
        <v>7.9773331283357882E-2</v>
      </c>
      <c r="AP379" s="1263">
        <f t="shared" si="1098"/>
        <v>7.5465166594547814E-2</v>
      </c>
      <c r="AQ379" s="1263">
        <f t="shared" si="1098"/>
        <v>8.2043601264769492E-2</v>
      </c>
      <c r="AR379" s="1263">
        <f t="shared" ref="AR379:BW379" si="1099">+AR11/AR$13</f>
        <v>8.0603267700041892E-2</v>
      </c>
      <c r="AS379" s="1263">
        <f t="shared" si="1099"/>
        <v>7.5751303915887067E-2</v>
      </c>
      <c r="AT379" s="1262">
        <f t="shared" si="1099"/>
        <v>7.8487822304410856E-2</v>
      </c>
      <c r="AU379" s="1263">
        <f t="shared" si="1099"/>
        <v>7.3106185908038371E-2</v>
      </c>
      <c r="AV379" s="1263">
        <f t="shared" si="1099"/>
        <v>7.856678583035423E-2</v>
      </c>
      <c r="AW379" s="1263">
        <f t="shared" si="1099"/>
        <v>8.3636363636363648E-2</v>
      </c>
      <c r="AX379" s="1263">
        <f t="shared" si="1099"/>
        <v>7.5033875338753386E-2</v>
      </c>
      <c r="AY379" s="1262">
        <f t="shared" si="1099"/>
        <v>7.7571669477234387E-2</v>
      </c>
      <c r="AZ379" s="1263">
        <f t="shared" si="1099"/>
        <v>7.7845861741606973E-2</v>
      </c>
      <c r="BA379" s="1263">
        <f t="shared" si="1099"/>
        <v>9.2230173798743986E-2</v>
      </c>
      <c r="BB379" s="1263">
        <f t="shared" si="1099"/>
        <v>0.10947073583474351</v>
      </c>
      <c r="BC379" s="1263">
        <f t="shared" si="1099"/>
        <v>0.10627901294893721</v>
      </c>
      <c r="BD379" s="1262">
        <f t="shared" si="1099"/>
        <v>9.8442171096116984E-2</v>
      </c>
      <c r="BE379" s="1263">
        <f t="shared" si="1099"/>
        <v>0.11362146050670641</v>
      </c>
      <c r="BF379" s="1263">
        <f t="shared" si="1099"/>
        <v>0.1172684816038273</v>
      </c>
      <c r="BG379" s="1263">
        <f t="shared" si="1099"/>
        <v>0.11216949543932574</v>
      </c>
      <c r="BH379" s="1263">
        <f t="shared" si="1099"/>
        <v>9.865604186489059E-2</v>
      </c>
      <c r="BI379" s="1262">
        <f t="shared" si="1099"/>
        <v>0.11051394020826334</v>
      </c>
      <c r="BJ379" s="1263">
        <f t="shared" si="1099"/>
        <v>0.10020561199806481</v>
      </c>
      <c r="BK379" s="1263">
        <f t="shared" si="1099"/>
        <v>0.10960934258106586</v>
      </c>
      <c r="BL379" s="1263">
        <f t="shared" si="1099"/>
        <v>0.11462888820449646</v>
      </c>
      <c r="BM379" s="1263">
        <f t="shared" si="1099"/>
        <v>9.9940517330648987E-2</v>
      </c>
      <c r="BN379" s="1262">
        <f t="shared" si="1099"/>
        <v>0.10606811665168299</v>
      </c>
      <c r="BO379" s="1263">
        <f t="shared" si="1099"/>
        <v>0.10047310756972112</v>
      </c>
      <c r="BP379" s="1263">
        <f t="shared" si="1099"/>
        <v>0.11424410136906496</v>
      </c>
      <c r="BQ379" s="1263">
        <f t="shared" si="1099"/>
        <v>0.11136075584744787</v>
      </c>
      <c r="BR379" s="1263">
        <f t="shared" si="1099"/>
        <v>9.9458483754512647E-2</v>
      </c>
      <c r="BS379" s="1262">
        <f t="shared" si="1099"/>
        <v>0.10655140089574</v>
      </c>
      <c r="BT379" s="1263">
        <f t="shared" si="1099"/>
        <v>9.7876213592233016E-2</v>
      </c>
      <c r="BU379" s="1263">
        <f t="shared" si="1099"/>
        <v>0.10588777508929599</v>
      </c>
      <c r="BV379" s="1263">
        <f t="shared" si="1099"/>
        <v>0.10865903943318427</v>
      </c>
      <c r="BW379" s="1263">
        <f t="shared" si="1099"/>
        <v>0.10139561378524636</v>
      </c>
      <c r="BX379" s="1262">
        <f t="shared" ref="BX379:DC379" si="1100">+BX11/BX$13</f>
        <v>0.10350959015915585</v>
      </c>
      <c r="BY379" s="1263">
        <f t="shared" si="1100"/>
        <v>0.1008537279453614</v>
      </c>
      <c r="BZ379" s="1263">
        <f t="shared" si="1100"/>
        <v>0.10868174061433448</v>
      </c>
      <c r="CA379" s="1263">
        <f t="shared" si="1100"/>
        <v>0.10804851157662623</v>
      </c>
      <c r="CB379" s="1263">
        <f t="shared" si="1100"/>
        <v>0.10081461111399369</v>
      </c>
      <c r="CC379" s="1262">
        <f t="shared" si="1100"/>
        <v>0.10464617775515124</v>
      </c>
      <c r="CD379" s="1263">
        <f t="shared" si="1100"/>
        <v>9.9725406254897717E-2</v>
      </c>
      <c r="CE379" s="1263">
        <f t="shared" si="1100"/>
        <v>0.10390677139483546</v>
      </c>
      <c r="CF379" s="1263">
        <f t="shared" si="1100"/>
        <v>0.1037996285699945</v>
      </c>
      <c r="CG379" s="1263">
        <f t="shared" si="1100"/>
        <v>0.10044372730939895</v>
      </c>
      <c r="CH379" s="1262">
        <f t="shared" si="1100"/>
        <v>0.10199683658262566</v>
      </c>
      <c r="CI379" s="1263">
        <f t="shared" si="1100"/>
        <v>0.10658082975679543</v>
      </c>
      <c r="CJ379" s="1263">
        <f t="shared" si="1100"/>
        <v>0.10994221366128315</v>
      </c>
      <c r="CK379" s="1263">
        <f t="shared" si="1100"/>
        <v>0.11005073082525491</v>
      </c>
      <c r="CL379" s="1263">
        <f t="shared" si="1100"/>
        <v>9.5949380218868327E-2</v>
      </c>
      <c r="CM379" s="1262">
        <f t="shared" si="1100"/>
        <v>0.1057221329215659</v>
      </c>
      <c r="CN379" s="1263">
        <f t="shared" si="1100"/>
        <v>9.91717873363612E-2</v>
      </c>
      <c r="CO379" s="1263">
        <f t="shared" si="1100"/>
        <v>0.10801626937136384</v>
      </c>
      <c r="CP379" s="1263">
        <f t="shared" si="1100"/>
        <v>0.10491854800691426</v>
      </c>
      <c r="CQ379" s="1263">
        <f t="shared" si="1100"/>
        <v>0.10047591037912412</v>
      </c>
      <c r="CR379" s="1262">
        <f t="shared" si="1100"/>
        <v>0.10320031608060057</v>
      </c>
      <c r="CS379" s="1263">
        <f t="shared" si="1100"/>
        <v>0.10202407002188184</v>
      </c>
      <c r="CT379" s="1263">
        <f t="shared" si="1100"/>
        <v>0.11067859021567596</v>
      </c>
      <c r="CU379" s="1263">
        <f t="shared" si="1100"/>
        <v>0.10747638896216956</v>
      </c>
      <c r="CV379" s="1263">
        <f t="shared" si="1100"/>
        <v>8.2193368884766985E-2</v>
      </c>
      <c r="CW379" s="1262">
        <f t="shared" si="1100"/>
        <v>0.101013674399619</v>
      </c>
      <c r="CX379" s="1263">
        <f t="shared" si="1100"/>
        <v>8.3058532563891188E-2</v>
      </c>
      <c r="CY379" s="1263">
        <f t="shared" si="1100"/>
        <v>8.2985201444452317E-2</v>
      </c>
      <c r="CZ379" s="1263">
        <f t="shared" si="1100"/>
        <v>9.1577979240572871E-2</v>
      </c>
      <c r="DA379" s="1263">
        <f t="shared" si="1100"/>
        <v>8.0844818785094433E-2</v>
      </c>
      <c r="DB379" s="1262">
        <f t="shared" si="1100"/>
        <v>8.4635657092978364E-2</v>
      </c>
      <c r="DC379" s="1263">
        <f t="shared" si="1100"/>
        <v>8.7371280560995648E-2</v>
      </c>
      <c r="DD379" s="1263">
        <f t="shared" ref="DD379:EI379" si="1101">+DD11/DD$13</f>
        <v>0.10198860332596815</v>
      </c>
      <c r="DE379" s="1263">
        <f t="shared" si="1101"/>
        <v>9.5515234508729896E-2</v>
      </c>
      <c r="DF379" s="1263">
        <f t="shared" si="1101"/>
        <v>8.6200842696629212E-2</v>
      </c>
      <c r="DG379" s="1262">
        <f t="shared" si="1101"/>
        <v>9.2902233852249383E-2</v>
      </c>
      <c r="DH379" s="1263">
        <f t="shared" si="1101"/>
        <v>8.6722767648433854E-2</v>
      </c>
      <c r="DI379" s="1263">
        <f t="shared" si="1101"/>
        <v>9.6983602887682582E-2</v>
      </c>
      <c r="DJ379" s="1263">
        <f t="shared" si="1101"/>
        <v>9.8568981711696771E-2</v>
      </c>
      <c r="DK379" s="1263">
        <f t="shared" si="1101"/>
        <v>9.1271378756849514E-2</v>
      </c>
      <c r="DL379" s="1262">
        <f t="shared" si="1101"/>
        <v>9.3468452640308092E-2</v>
      </c>
      <c r="DM379" s="1263">
        <f t="shared" si="1101"/>
        <v>9.5620522301825744E-2</v>
      </c>
      <c r="DN379" s="1263">
        <f t="shared" si="1101"/>
        <v>0.10015005835602735</v>
      </c>
      <c r="DO379" s="1263">
        <f t="shared" si="1101"/>
        <v>9.2773109243697471E-2</v>
      </c>
      <c r="DP379" s="1263">
        <f t="shared" si="1101"/>
        <v>8.8387924780983215E-2</v>
      </c>
      <c r="DQ379" s="1262">
        <f t="shared" si="1101"/>
        <v>9.4228388113462389E-2</v>
      </c>
      <c r="DR379" s="1263">
        <f t="shared" si="1101"/>
        <v>8.6790760260148009E-2</v>
      </c>
      <c r="DS379" s="1263">
        <f t="shared" si="1101"/>
        <v>9.3080187139593082E-2</v>
      </c>
      <c r="DT379" s="1263">
        <f t="shared" si="1101"/>
        <v>9.7194550643476388E-2</v>
      </c>
      <c r="DU379" s="1263">
        <f t="shared" si="1101"/>
        <v>8.6197636949516654E-2</v>
      </c>
      <c r="DV379" s="1262">
        <f t="shared" si="1101"/>
        <v>9.0847171327766346E-2</v>
      </c>
      <c r="DW379" s="1263">
        <f t="shared" si="1101"/>
        <v>8.5044820152048117E-2</v>
      </c>
      <c r="DX379" s="1263">
        <f t="shared" si="1101"/>
        <v>9.762493066411175E-2</v>
      </c>
      <c r="DY379" s="1263">
        <f t="shared" si="1101"/>
        <v>0.10099950024987506</v>
      </c>
      <c r="DZ379" s="1263">
        <f t="shared" si="1101"/>
        <v>9.3351312104553483E-2</v>
      </c>
      <c r="EA379" s="1262">
        <f t="shared" si="1101"/>
        <v>9.4541948429295503E-2</v>
      </c>
      <c r="EB379" s="1263">
        <f t="shared" si="1101"/>
        <v>8.4623494811608677E-2</v>
      </c>
      <c r="EC379" s="1263">
        <f t="shared" si="1101"/>
        <v>9.4006504568685145E-2</v>
      </c>
      <c r="ED379" s="1263">
        <f t="shared" si="1101"/>
        <v>9.4665082890048033E-2</v>
      </c>
      <c r="EE379" s="1263">
        <f t="shared" si="1101"/>
        <v>8.5671509371187754E-2</v>
      </c>
      <c r="EF379" s="1262">
        <f t="shared" si="1101"/>
        <v>8.9906269638583225E-2</v>
      </c>
      <c r="EG379" s="1263">
        <f t="shared" si="1101"/>
        <v>8.8156621706220489E-2</v>
      </c>
      <c r="EH379" s="1263">
        <f t="shared" si="1101"/>
        <v>0.10197167453485143</v>
      </c>
      <c r="EI379" s="1263">
        <f t="shared" si="1101"/>
        <v>0.10036515948877672</v>
      </c>
      <c r="EJ379" s="1006"/>
      <c r="EK379" s="1262">
        <f t="shared" si="1073"/>
        <v>9.4466713500557853E-2</v>
      </c>
      <c r="EL379" s="1006"/>
      <c r="EM379" s="1006"/>
      <c r="EN379" s="1006"/>
      <c r="EO379" s="1006"/>
      <c r="EP379" s="1262">
        <f t="shared" si="1074"/>
        <v>9.557905800433554E-2</v>
      </c>
      <c r="EQ379" s="1006"/>
      <c r="ER379" s="1006"/>
      <c r="ES379" s="1006"/>
      <c r="ET379" s="1006"/>
      <c r="EU379" s="1262">
        <f t="shared" si="1075"/>
        <v>9.5098533427194334E-2</v>
      </c>
      <c r="EV379" s="1006"/>
      <c r="EW379" s="1006"/>
      <c r="EX379" s="1006"/>
      <c r="EY379" s="1006"/>
      <c r="EZ379" s="1262">
        <f t="shared" si="1076"/>
        <v>9.4633858903953233E-2</v>
      </c>
      <c r="FA379" s="1006"/>
      <c r="FB379" s="1006"/>
      <c r="FC379" s="1006"/>
      <c r="FD379" s="1006"/>
      <c r="FE379" s="1262">
        <f t="shared" ref="FE379" si="1102">+FE11/FE$13</f>
        <v>9.3829825183077933E-2</v>
      </c>
      <c r="FG379" s="660"/>
      <c r="FH379" s="1258"/>
      <c r="FI379" s="1258"/>
      <c r="FJ379" s="1258"/>
      <c r="FK379" s="1259"/>
      <c r="FL379" s="1859"/>
      <c r="FR379" s="232"/>
      <c r="FS379" s="232"/>
      <c r="FT379" s="232"/>
      <c r="FU379" s="232"/>
      <c r="FV379" s="232"/>
      <c r="FW379" s="232"/>
      <c r="FX379" s="232"/>
      <c r="FY379" s="232"/>
      <c r="FZ379" s="232"/>
      <c r="GA379" s="660"/>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row>
    <row r="380" spans="1:256" s="1230" customFormat="1" ht="12.75" x14ac:dyDescent="0.2">
      <c r="A380" s="1255" t="s">
        <v>653</v>
      </c>
      <c r="B380" s="22"/>
      <c r="C380" s="22"/>
      <c r="D380" s="22"/>
      <c r="E380" s="22"/>
      <c r="F380" s="21"/>
      <c r="G380" s="22"/>
      <c r="H380" s="22"/>
      <c r="I380" s="22"/>
      <c r="J380" s="22"/>
      <c r="K380" s="1262"/>
      <c r="L380" s="1263">
        <f t="shared" ref="L380:AQ380" si="1103">+L12/L$13</f>
        <v>0.11466442247001894</v>
      </c>
      <c r="M380" s="1263">
        <f t="shared" si="1103"/>
        <v>0.11362917676820912</v>
      </c>
      <c r="N380" s="1263">
        <f t="shared" si="1103"/>
        <v>0.11386742578283857</v>
      </c>
      <c r="O380" s="1263">
        <f t="shared" si="1103"/>
        <v>0.11744476865360566</v>
      </c>
      <c r="P380" s="1262">
        <f t="shared" si="1103"/>
        <v>0.11489915419648666</v>
      </c>
      <c r="Q380" s="1263">
        <f t="shared" si="1103"/>
        <v>0.12129352205806385</v>
      </c>
      <c r="R380" s="1263">
        <f t="shared" si="1103"/>
        <v>0.1196729688298416</v>
      </c>
      <c r="S380" s="1263">
        <f t="shared" si="1103"/>
        <v>0.11842766663315574</v>
      </c>
      <c r="T380" s="1263">
        <f t="shared" si="1103"/>
        <v>0.11168164313222079</v>
      </c>
      <c r="U380" s="1262">
        <f t="shared" si="1103"/>
        <v>0.11770954524760989</v>
      </c>
      <c r="V380" s="1263">
        <f t="shared" si="1103"/>
        <v>0.11967483021197778</v>
      </c>
      <c r="W380" s="1263">
        <f t="shared" si="1103"/>
        <v>0.11303333657303918</v>
      </c>
      <c r="X380" s="1263">
        <f t="shared" si="1103"/>
        <v>0.11745202451522155</v>
      </c>
      <c r="Y380" s="1263">
        <f t="shared" si="1103"/>
        <v>0.11320023260321768</v>
      </c>
      <c r="Z380" s="1262">
        <f t="shared" si="1103"/>
        <v>0.11577039574954069</v>
      </c>
      <c r="AA380" s="1263">
        <f t="shared" si="1103"/>
        <v>0.11376182965299686</v>
      </c>
      <c r="AB380" s="1263">
        <f t="shared" si="1103"/>
        <v>0.10763920428740123</v>
      </c>
      <c r="AC380" s="1263">
        <f t="shared" si="1103"/>
        <v>0.10741118634635007</v>
      </c>
      <c r="AD380" s="1263">
        <f t="shared" si="1103"/>
        <v>0.10278276481149012</v>
      </c>
      <c r="AE380" s="1262">
        <f t="shared" si="1103"/>
        <v>0.10776802711612575</v>
      </c>
      <c r="AF380" s="1263">
        <f t="shared" si="1103"/>
        <v>0.10433531210649398</v>
      </c>
      <c r="AG380" s="1263">
        <f t="shared" si="1103"/>
        <v>0.10500534378339864</v>
      </c>
      <c r="AH380" s="1263">
        <f t="shared" si="1103"/>
        <v>0.10539705615119027</v>
      </c>
      <c r="AI380" s="1263">
        <f t="shared" si="1103"/>
        <v>9.8077959403628526E-2</v>
      </c>
      <c r="AJ380" s="1262">
        <f t="shared" si="1103"/>
        <v>0.10320100705840038</v>
      </c>
      <c r="AK380" s="1263">
        <f t="shared" si="1103"/>
        <v>9.9384503982621289E-2</v>
      </c>
      <c r="AL380" s="1263">
        <f t="shared" si="1103"/>
        <v>9.4937817481170098E-2</v>
      </c>
      <c r="AM380" s="1263">
        <f t="shared" si="1103"/>
        <v>9.7373702120233843E-2</v>
      </c>
      <c r="AN380" s="1263">
        <f t="shared" si="1103"/>
        <v>9.3432166867781413E-2</v>
      </c>
      <c r="AO380" s="1262">
        <f t="shared" si="1103"/>
        <v>9.6246348481187807E-2</v>
      </c>
      <c r="AP380" s="1263">
        <f t="shared" si="1103"/>
        <v>9.9264387710947644E-2</v>
      </c>
      <c r="AQ380" s="1263">
        <f t="shared" si="1103"/>
        <v>9.5024130470960214E-2</v>
      </c>
      <c r="AR380" s="1263">
        <f t="shared" ref="AR380:BW380" si="1104">+AR12/AR$13</f>
        <v>9.7276916631755334E-2</v>
      </c>
      <c r="AS380" s="1263">
        <f t="shared" si="1104"/>
        <v>9.3054060766619748E-2</v>
      </c>
      <c r="AT380" s="1262">
        <f t="shared" si="1104"/>
        <v>9.6118687876941167E-2</v>
      </c>
      <c r="AU380" s="1263">
        <f t="shared" si="1104"/>
        <v>9.5765795567317222E-2</v>
      </c>
      <c r="AV380" s="1263">
        <f t="shared" si="1104"/>
        <v>9.5141371465713345E-2</v>
      </c>
      <c r="AW380" s="1263">
        <f t="shared" si="1104"/>
        <v>9.3953488372093025E-2</v>
      </c>
      <c r="AX380" s="1263">
        <f t="shared" si="1104"/>
        <v>8.5450542005420058E-2</v>
      </c>
      <c r="AY380" s="1262">
        <f t="shared" si="1104"/>
        <v>9.2623821122977928E-2</v>
      </c>
      <c r="AZ380" s="1263">
        <f t="shared" si="1104"/>
        <v>8.8547510140674884E-2</v>
      </c>
      <c r="BA380" s="1263">
        <f t="shared" si="1104"/>
        <v>8.2152767635460797E-2</v>
      </c>
      <c r="BB380" s="1263">
        <f t="shared" si="1104"/>
        <v>7.3350061270934228E-2</v>
      </c>
      <c r="BC380" s="1263">
        <f t="shared" si="1104"/>
        <v>7.2190615801659044E-2</v>
      </c>
      <c r="BD380" s="1262">
        <f t="shared" si="1104"/>
        <v>7.7992101810812522E-2</v>
      </c>
      <c r="BE380" s="1263">
        <f t="shared" si="1104"/>
        <v>7.5230998509687036E-2</v>
      </c>
      <c r="BF380" s="1263">
        <f t="shared" si="1104"/>
        <v>7.1876067889281234E-2</v>
      </c>
      <c r="BG380" s="1263">
        <f t="shared" si="1104"/>
        <v>7.0257476042027492E-2</v>
      </c>
      <c r="BH380" s="1263">
        <f t="shared" si="1104"/>
        <v>6.9160323501427215E-2</v>
      </c>
      <c r="BI380" s="1262">
        <f t="shared" si="1104"/>
        <v>7.1621562413284462E-2</v>
      </c>
      <c r="BJ380" s="1263">
        <f t="shared" si="1104"/>
        <v>7.0391872278664724E-2</v>
      </c>
      <c r="BK380" s="1263">
        <f t="shared" si="1104"/>
        <v>6.9832236647104154E-2</v>
      </c>
      <c r="BL380" s="1263">
        <f t="shared" si="1104"/>
        <v>6.732368340006159E-2</v>
      </c>
      <c r="BM380" s="1263">
        <f t="shared" si="1104"/>
        <v>6.4419490086623135E-2</v>
      </c>
      <c r="BN380" s="1262">
        <f t="shared" si="1104"/>
        <v>6.8000123170034413E-2</v>
      </c>
      <c r="BO380" s="1263">
        <f t="shared" si="1104"/>
        <v>6.5550298804780874E-2</v>
      </c>
      <c r="BP380" s="1263">
        <f t="shared" si="1104"/>
        <v>6.5074279056219056E-2</v>
      </c>
      <c r="BQ380" s="1263">
        <f t="shared" si="1104"/>
        <v>6.4984445212582093E-2</v>
      </c>
      <c r="BR380" s="1263">
        <f t="shared" si="1104"/>
        <v>6.4861612515042119E-2</v>
      </c>
      <c r="BS380" s="1262">
        <f t="shared" si="1104"/>
        <v>6.5112265091433918E-2</v>
      </c>
      <c r="BT380" s="1263">
        <f t="shared" si="1104"/>
        <v>6.4684466019417478E-2</v>
      </c>
      <c r="BU380" s="1263">
        <f t="shared" si="1104"/>
        <v>6.5214886507662162E-2</v>
      </c>
      <c r="BV380" s="1263">
        <f t="shared" si="1104"/>
        <v>6.5567106103722628E-2</v>
      </c>
      <c r="BW380" s="1263">
        <f t="shared" si="1104"/>
        <v>6.2945029906009684E-2</v>
      </c>
      <c r="BX380" s="1262">
        <f t="shared" ref="BX380:DC380" si="1105">+BX12/BX$13</f>
        <v>6.4595114557220334E-2</v>
      </c>
      <c r="BY380" s="1263">
        <f t="shared" si="1105"/>
        <v>6.2663631189527599E-2</v>
      </c>
      <c r="BZ380" s="1263">
        <f t="shared" si="1105"/>
        <v>6.2180034129692835E-2</v>
      </c>
      <c r="CA380" s="1263">
        <f t="shared" si="1105"/>
        <v>6.1952013440436805E-2</v>
      </c>
      <c r="CB380" s="1263">
        <f t="shared" si="1105"/>
        <v>6.070668811290407E-2</v>
      </c>
      <c r="CC380" s="1262">
        <f t="shared" si="1105"/>
        <v>6.1855255754133059E-2</v>
      </c>
      <c r="CD380" s="1263">
        <f t="shared" si="1105"/>
        <v>6.2583328144892744E-2</v>
      </c>
      <c r="CE380" s="1263">
        <f t="shared" si="1105"/>
        <v>6.1604805174803628E-2</v>
      </c>
      <c r="CF380" s="1263">
        <f t="shared" si="1105"/>
        <v>5.9228027907443664E-2</v>
      </c>
      <c r="CG380" s="1263">
        <f t="shared" si="1105"/>
        <v>5.9298104074223472E-2</v>
      </c>
      <c r="CH380" s="1262">
        <f t="shared" si="1105"/>
        <v>6.0643296693925763E-2</v>
      </c>
      <c r="CI380" s="1263">
        <f t="shared" si="1105"/>
        <v>6.0494584099734322E-2</v>
      </c>
      <c r="CJ380" s="1263">
        <f t="shared" si="1105"/>
        <v>5.8675359312490738E-2</v>
      </c>
      <c r="CK380" s="1263">
        <f t="shared" si="1105"/>
        <v>5.9068762871063329E-2</v>
      </c>
      <c r="CL380" s="1263">
        <f t="shared" si="1105"/>
        <v>5.8036408899953325E-2</v>
      </c>
      <c r="CM380" s="1262">
        <f t="shared" si="1105"/>
        <v>5.9069219962282773E-2</v>
      </c>
      <c r="CN380" s="1263">
        <f t="shared" si="1105"/>
        <v>5.8402351055303232E-2</v>
      </c>
      <c r="CO380" s="1263">
        <f t="shared" si="1105"/>
        <v>5.6119034134788651E-2</v>
      </c>
      <c r="CP380" s="1263">
        <f t="shared" si="1105"/>
        <v>5.6833062699701432E-2</v>
      </c>
      <c r="CQ380" s="1263">
        <f t="shared" si="1105"/>
        <v>5.4168226298058932E-2</v>
      </c>
      <c r="CR380" s="1262">
        <f t="shared" si="1105"/>
        <v>5.6380877123666545E-2</v>
      </c>
      <c r="CS380" s="1263">
        <f t="shared" si="1105"/>
        <v>5.4814004376367617E-2</v>
      </c>
      <c r="CT380" s="1263">
        <f t="shared" si="1105"/>
        <v>5.3866386112572336E-2</v>
      </c>
      <c r="CU380" s="1263">
        <f t="shared" si="1105"/>
        <v>5.3553527146098241E-2</v>
      </c>
      <c r="CV380" s="1263">
        <f t="shared" si="1105"/>
        <v>5.2167864595409223E-2</v>
      </c>
      <c r="CW380" s="1262">
        <f t="shared" si="1105"/>
        <v>5.3622695421457242E-2</v>
      </c>
      <c r="CX380" s="1263">
        <f t="shared" si="1105"/>
        <v>5.1250343500961804E-2</v>
      </c>
      <c r="CY380" s="1263">
        <f t="shared" si="1105"/>
        <v>5.2396799546838492E-2</v>
      </c>
      <c r="CZ380" s="1263">
        <f t="shared" si="1105"/>
        <v>5.2095651031401922E-2</v>
      </c>
      <c r="DA380" s="1263">
        <f t="shared" si="1105"/>
        <v>5.0089331291475241E-2</v>
      </c>
      <c r="DB380" s="1262">
        <f t="shared" si="1105"/>
        <v>5.1432696020009057E-2</v>
      </c>
      <c r="DC380" s="1263">
        <f t="shared" si="1105"/>
        <v>4.9529344873333755E-2</v>
      </c>
      <c r="DD380" s="1263">
        <f t="shared" ref="DD380:EI380" si="1106">+DD12/DD$13</f>
        <v>4.9598790557041521E-2</v>
      </c>
      <c r="DE380" s="1263">
        <f t="shared" si="1106"/>
        <v>4.8442314275932909E-2</v>
      </c>
      <c r="DF380" s="1263">
        <f t="shared" si="1106"/>
        <v>4.6289794007490628E-2</v>
      </c>
      <c r="DG380" s="1262">
        <f t="shared" si="1106"/>
        <v>4.8446947857068934E-2</v>
      </c>
      <c r="DH380" s="1263">
        <f t="shared" si="1106"/>
        <v>4.6692379616643291E-2</v>
      </c>
      <c r="DI380" s="1263">
        <f t="shared" si="1106"/>
        <v>4.4154681291622366E-2</v>
      </c>
      <c r="DJ380" s="1263">
        <f t="shared" si="1106"/>
        <v>4.4698602132714517E-2</v>
      </c>
      <c r="DK380" s="1263">
        <f t="shared" si="1106"/>
        <v>4.1290751093153263E-2</v>
      </c>
      <c r="DL380" s="1262">
        <f t="shared" si="1106"/>
        <v>4.4176142353156138E-2</v>
      </c>
      <c r="DM380" s="1263">
        <f t="shared" si="1106"/>
        <v>4.431476773746245E-2</v>
      </c>
      <c r="DN380" s="1263">
        <f t="shared" si="1106"/>
        <v>4.2738842883343529E-2</v>
      </c>
      <c r="DO380" s="1263">
        <f t="shared" si="1106"/>
        <v>4.2969187675070027E-2</v>
      </c>
      <c r="DP380" s="1263">
        <f t="shared" si="1106"/>
        <v>4.2129345460632781E-2</v>
      </c>
      <c r="DQ380" s="1262">
        <f t="shared" si="1106"/>
        <v>4.3026789734353893E-2</v>
      </c>
      <c r="DR380" s="1263">
        <f t="shared" si="1106"/>
        <v>4.2946849069298042E-2</v>
      </c>
      <c r="DS380" s="1263">
        <f t="shared" si="1106"/>
        <v>4.1562397998041567E-2</v>
      </c>
      <c r="DT380" s="1263">
        <f t="shared" si="1106"/>
        <v>4.2754832803833936E-2</v>
      </c>
      <c r="DU380" s="1263">
        <f t="shared" si="1106"/>
        <v>4.1353383458646614E-2</v>
      </c>
      <c r="DV380" s="1262">
        <f t="shared" si="1106"/>
        <v>4.2147420616000762E-2</v>
      </c>
      <c r="DW380" s="1263">
        <f t="shared" si="1106"/>
        <v>4.1075683649154662E-2</v>
      </c>
      <c r="DX380" s="1263">
        <f t="shared" si="1106"/>
        <v>3.8323836417729816E-2</v>
      </c>
      <c r="DY380" s="1263">
        <f t="shared" si="1106"/>
        <v>3.9680159920039981E-2</v>
      </c>
      <c r="DZ380" s="1263">
        <f t="shared" si="1106"/>
        <v>3.9103827403796296E-2</v>
      </c>
      <c r="EA380" s="1262">
        <f t="shared" si="1106"/>
        <v>3.950540072183352E-2</v>
      </c>
      <c r="EB380" s="1263">
        <f t="shared" si="1106"/>
        <v>4.0230841795682815E-2</v>
      </c>
      <c r="EC380" s="1263">
        <f t="shared" si="1106"/>
        <v>3.9853389086779205E-2</v>
      </c>
      <c r="ED380" s="1263">
        <f t="shared" si="1106"/>
        <v>4.0179724216288799E-2</v>
      </c>
      <c r="EE380" s="1263">
        <f t="shared" si="1106"/>
        <v>4.0146390151935232E-2</v>
      </c>
      <c r="EF380" s="1262">
        <f t="shared" si="1106"/>
        <v>4.0099479870034364E-2</v>
      </c>
      <c r="EG380" s="1263">
        <f t="shared" si="1106"/>
        <v>4.1545728757611977E-2</v>
      </c>
      <c r="EH380" s="1263">
        <f t="shared" si="1106"/>
        <v>3.9766731463482363E-2</v>
      </c>
      <c r="EI380" s="1263">
        <f t="shared" si="1106"/>
        <v>3.8502846096015474E-2</v>
      </c>
      <c r="EJ380" s="1006"/>
      <c r="EK380" s="1262">
        <f t="shared" si="1073"/>
        <v>3.9120073832252016E-2</v>
      </c>
      <c r="EL380" s="1006"/>
      <c r="EM380" s="1006"/>
      <c r="EN380" s="1006"/>
      <c r="EO380" s="1006"/>
      <c r="EP380" s="1262">
        <f t="shared" si="1074"/>
        <v>3.7390790251592983E-2</v>
      </c>
      <c r="EQ380" s="1006"/>
      <c r="ER380" s="1006"/>
      <c r="ES380" s="1006"/>
      <c r="ET380" s="1006"/>
      <c r="EU380" s="1262">
        <f t="shared" si="1075"/>
        <v>3.576084987559399E-2</v>
      </c>
      <c r="EV380" s="1006"/>
      <c r="EW380" s="1006"/>
      <c r="EX380" s="1006"/>
      <c r="EY380" s="1006"/>
      <c r="EZ380" s="1262">
        <f t="shared" si="1076"/>
        <v>3.5235511575517534E-2</v>
      </c>
      <c r="FA380" s="1006"/>
      <c r="FB380" s="1006"/>
      <c r="FC380" s="1006"/>
      <c r="FD380" s="1006"/>
      <c r="FE380" s="1262">
        <f t="shared" ref="FE380" si="1107">+FE12/FE$13</f>
        <v>3.4591943124433311E-2</v>
      </c>
      <c r="FG380" s="660"/>
      <c r="FH380" s="1258"/>
      <c r="FI380" s="1258"/>
      <c r="FJ380" s="1258"/>
      <c r="FK380" s="1259"/>
      <c r="FL380" s="1859"/>
      <c r="FR380" s="232"/>
      <c r="FS380" s="232"/>
      <c r="FT380" s="232"/>
      <c r="FU380" s="232"/>
      <c r="FV380" s="232"/>
      <c r="FW380" s="232"/>
      <c r="FX380" s="232"/>
      <c r="FY380" s="232"/>
      <c r="FZ380" s="232"/>
      <c r="GA380" s="66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row>
    <row r="381" spans="1:256" s="234" customFormat="1" ht="12.75" x14ac:dyDescent="0.2">
      <c r="A381" s="236" t="s">
        <v>396</v>
      </c>
      <c r="B381" s="232"/>
      <c r="C381" s="232"/>
      <c r="D381" s="232"/>
      <c r="E381" s="232"/>
      <c r="F381" s="233"/>
      <c r="G381" s="232"/>
      <c r="H381" s="232"/>
      <c r="I381" s="232"/>
      <c r="J381" s="232"/>
      <c r="K381" s="233"/>
      <c r="L381" s="232"/>
      <c r="M381" s="232"/>
      <c r="N381" s="232"/>
      <c r="O381" s="232"/>
      <c r="P381" s="233"/>
      <c r="Q381" s="232"/>
      <c r="R381" s="232"/>
      <c r="S381" s="232"/>
      <c r="T381" s="232"/>
      <c r="U381" s="233"/>
      <c r="V381" s="232"/>
      <c r="W381" s="232"/>
      <c r="X381" s="232"/>
      <c r="Y381" s="232"/>
      <c r="Z381" s="233"/>
      <c r="AA381" s="232"/>
      <c r="AB381" s="232"/>
      <c r="AC381" s="232"/>
      <c r="AD381" s="232"/>
      <c r="AE381" s="233"/>
      <c r="AF381" s="232"/>
      <c r="AG381" s="232"/>
      <c r="AH381" s="232"/>
      <c r="AI381" s="232"/>
      <c r="AJ381" s="233"/>
      <c r="AK381" s="232"/>
      <c r="AL381" s="232"/>
      <c r="AM381" s="232"/>
      <c r="AN381" s="232"/>
      <c r="AO381" s="233"/>
      <c r="AP381" s="232"/>
      <c r="AQ381" s="232"/>
      <c r="AR381" s="232"/>
      <c r="AS381" s="232"/>
      <c r="AT381" s="233"/>
      <c r="AU381" s="232"/>
      <c r="AV381" s="232"/>
      <c r="AW381" s="232"/>
      <c r="AX381" s="232"/>
      <c r="AY381" s="233"/>
      <c r="AZ381" s="232"/>
      <c r="BA381" s="232"/>
      <c r="BB381" s="232"/>
      <c r="BC381" s="232"/>
      <c r="BD381" s="233"/>
      <c r="BE381" s="232"/>
      <c r="BF381" s="232"/>
      <c r="BG381" s="232"/>
      <c r="BH381" s="232"/>
      <c r="BI381" s="233"/>
      <c r="BJ381" s="232"/>
      <c r="BK381" s="232"/>
      <c r="BL381" s="232"/>
      <c r="BM381" s="232"/>
      <c r="BN381" s="233"/>
      <c r="BO381" s="232"/>
      <c r="BP381" s="232"/>
      <c r="BQ381" s="232"/>
      <c r="BR381" s="232"/>
      <c r="BS381" s="233"/>
      <c r="BT381" s="232"/>
      <c r="BU381" s="232"/>
      <c r="BV381" s="232"/>
      <c r="BW381" s="232"/>
      <c r="BX381" s="233"/>
      <c r="BY381" s="232"/>
      <c r="BZ381" s="232"/>
      <c r="CA381" s="232"/>
      <c r="CB381" s="232"/>
      <c r="CC381" s="233"/>
      <c r="CD381" s="232"/>
      <c r="CE381" s="232"/>
      <c r="CF381" s="232"/>
      <c r="CG381" s="232"/>
      <c r="CH381" s="233"/>
      <c r="CI381" s="232"/>
      <c r="CJ381" s="232"/>
      <c r="CK381" s="232"/>
      <c r="CL381" s="232"/>
      <c r="CM381" s="233"/>
      <c r="CN381" s="232"/>
      <c r="CO381" s="232"/>
      <c r="CP381" s="232"/>
      <c r="CQ381" s="232"/>
      <c r="CR381" s="233"/>
      <c r="CS381" s="232"/>
      <c r="CT381" s="232"/>
      <c r="CU381" s="232"/>
      <c r="CV381" s="232"/>
      <c r="CW381" s="233"/>
      <c r="CX381" s="232"/>
      <c r="CY381" s="232"/>
      <c r="CZ381" s="232"/>
      <c r="DA381" s="232"/>
      <c r="DB381" s="233"/>
      <c r="DC381" s="232"/>
      <c r="DD381" s="232"/>
      <c r="DE381" s="232"/>
      <c r="DF381" s="232"/>
      <c r="DG381" s="233"/>
      <c r="DH381" s="232"/>
      <c r="DI381" s="232"/>
      <c r="DJ381" s="232"/>
      <c r="DK381" s="232"/>
      <c r="DL381" s="233"/>
      <c r="DM381" s="232"/>
      <c r="DN381" s="232"/>
      <c r="DO381" s="232"/>
      <c r="DP381" s="232"/>
      <c r="DQ381" s="233"/>
      <c r="DR381" s="232"/>
      <c r="DS381" s="232"/>
      <c r="DT381" s="232"/>
      <c r="DU381" s="232"/>
      <c r="DV381" s="233"/>
      <c r="DW381" s="232"/>
      <c r="DX381" s="232"/>
      <c r="DY381" s="232"/>
      <c r="DZ381" s="232"/>
      <c r="EA381" s="233"/>
      <c r="EB381" s="232"/>
      <c r="EC381" s="232"/>
      <c r="ED381" s="232"/>
      <c r="EE381" s="232"/>
      <c r="EF381" s="233"/>
      <c r="EG381" s="232"/>
      <c r="EH381" s="232"/>
      <c r="EI381" s="232"/>
      <c r="EJ381" s="232"/>
      <c r="EK381" s="2012"/>
      <c r="EL381" s="232"/>
      <c r="EM381" s="232"/>
      <c r="EN381" s="232"/>
      <c r="EO381" s="232"/>
      <c r="EP381" s="2012"/>
      <c r="EQ381" s="232"/>
      <c r="ER381" s="232"/>
      <c r="ES381" s="232"/>
      <c r="ET381" s="232"/>
      <c r="EU381" s="2012"/>
      <c r="EV381" s="232"/>
      <c r="EW381" s="232"/>
      <c r="EX381" s="232"/>
      <c r="EY381" s="232"/>
      <c r="EZ381" s="897"/>
      <c r="FA381" s="232"/>
      <c r="FB381" s="232"/>
      <c r="FC381" s="232"/>
      <c r="FD381" s="232"/>
      <c r="FE381" s="897"/>
      <c r="FF381" s="829"/>
      <c r="FG381" s="660"/>
      <c r="FH381" s="1086"/>
      <c r="FI381" s="1086"/>
      <c r="FJ381" s="1086"/>
      <c r="FK381" s="1086"/>
      <c r="FL381" s="1858"/>
      <c r="FM381" s="1790"/>
      <c r="FN381" s="1790"/>
      <c r="FO381" s="1790"/>
      <c r="FP381" s="1790"/>
      <c r="FQ381" s="1790"/>
      <c r="FR381" s="232"/>
      <c r="FS381" s="232"/>
      <c r="FT381" s="232"/>
      <c r="FU381" s="232"/>
      <c r="FV381" s="232"/>
      <c r="FW381" s="232"/>
      <c r="FX381" s="232"/>
      <c r="FY381" s="232"/>
      <c r="FZ381" s="232"/>
      <c r="GA381" s="660"/>
      <c r="GB381"/>
      <c r="GC381"/>
      <c r="GD381"/>
      <c r="GE381"/>
      <c r="GF381"/>
      <c r="GG381"/>
      <c r="GH381" s="998"/>
      <c r="GI381" s="998"/>
      <c r="GJ381" s="998"/>
      <c r="GK381" s="998"/>
      <c r="GL381" s="998"/>
      <c r="GM381" s="998"/>
      <c r="GN381" s="998"/>
      <c r="GO381" s="998"/>
      <c r="GP381" s="998"/>
      <c r="GQ381" s="998"/>
      <c r="GR381" s="998"/>
      <c r="GS381" s="998"/>
      <c r="GT381" s="998"/>
      <c r="GU381" s="998"/>
      <c r="GV381" s="998"/>
      <c r="GW381" s="998"/>
      <c r="GX381" s="998"/>
      <c r="GY381" s="998"/>
      <c r="GZ381" s="998"/>
      <c r="HA381" s="998"/>
      <c r="HB381" s="998"/>
      <c r="HC381" s="998"/>
      <c r="HD381" s="998"/>
      <c r="HE381" s="998"/>
      <c r="HF381" s="998"/>
      <c r="HG381" s="998"/>
      <c r="HH381" s="998"/>
      <c r="HI381" s="998"/>
      <c r="HJ381" s="998"/>
      <c r="HK381" s="998"/>
      <c r="HL381" s="998"/>
      <c r="HM381" s="998"/>
      <c r="HN381" s="998"/>
      <c r="HO381" s="998"/>
      <c r="HP381" s="998"/>
      <c r="HQ381" s="998"/>
      <c r="HR381" s="998"/>
      <c r="HS381" s="998"/>
      <c r="HT381" s="998"/>
      <c r="HU381" s="998"/>
      <c r="HV381" s="998"/>
      <c r="HW381" s="998"/>
      <c r="HX381" s="998"/>
      <c r="HY381" s="998"/>
      <c r="HZ381" s="998"/>
      <c r="IA381" s="998"/>
      <c r="IB381" s="998"/>
      <c r="IC381" s="998"/>
      <c r="ID381" s="998"/>
      <c r="IE381" s="998"/>
      <c r="IF381" s="998"/>
      <c r="IG381" s="998"/>
      <c r="IH381" s="998"/>
      <c r="II381" s="998"/>
      <c r="IJ381" s="998"/>
      <c r="IK381" s="998"/>
      <c r="IL381" s="998"/>
      <c r="IM381" s="998"/>
      <c r="IN381" s="998"/>
      <c r="IO381" s="998"/>
      <c r="IP381" s="998"/>
      <c r="IQ381" s="998"/>
      <c r="IR381" s="998"/>
      <c r="IS381" s="998"/>
      <c r="IT381" s="998"/>
      <c r="IU381" s="998"/>
      <c r="IV381" s="998"/>
    </row>
    <row r="382" spans="1:256" s="173" customFormat="1" ht="12.75" x14ac:dyDescent="0.2">
      <c r="A382" s="237" t="s">
        <v>227</v>
      </c>
      <c r="B382" s="168"/>
      <c r="C382" s="168"/>
      <c r="D382" s="168"/>
      <c r="E382" s="227"/>
      <c r="F382" s="171"/>
      <c r="G382" s="168"/>
      <c r="H382" s="168"/>
      <c r="I382" s="168"/>
      <c r="J382" s="227"/>
      <c r="K382" s="171"/>
      <c r="L382" s="168"/>
      <c r="M382" s="168"/>
      <c r="N382" s="168"/>
      <c r="O382" s="227"/>
      <c r="P382" s="171"/>
      <c r="Q382" s="168"/>
      <c r="R382" s="168"/>
      <c r="S382" s="168"/>
      <c r="T382" s="227"/>
      <c r="U382" s="171"/>
      <c r="V382" s="168"/>
      <c r="W382" s="168"/>
      <c r="X382" s="168"/>
      <c r="Y382" s="227"/>
      <c r="Z382" s="171"/>
      <c r="AA382" s="168"/>
      <c r="AB382" s="168"/>
      <c r="AC382" s="168"/>
      <c r="AD382" s="227"/>
      <c r="AE382" s="171"/>
      <c r="AF382" s="168"/>
      <c r="AG382" s="168"/>
      <c r="AH382" s="168"/>
      <c r="AI382" s="227"/>
      <c r="AJ382" s="171"/>
      <c r="AK382" s="168"/>
      <c r="AL382" s="168"/>
      <c r="AM382" s="168"/>
      <c r="AN382" s="227"/>
      <c r="AO382" s="171"/>
      <c r="AP382" s="168"/>
      <c r="AQ382" s="168"/>
      <c r="AR382" s="168"/>
      <c r="AS382" s="227"/>
      <c r="AT382" s="171"/>
      <c r="AU382" s="168"/>
      <c r="AV382" s="168"/>
      <c r="AW382" s="168"/>
      <c r="AX382" s="227"/>
      <c r="AY382" s="171"/>
      <c r="AZ382" s="168"/>
      <c r="BA382" s="168"/>
      <c r="BB382" s="168"/>
      <c r="BC382" s="227"/>
      <c r="BD382" s="171"/>
      <c r="BE382" s="168"/>
      <c r="BF382" s="168"/>
      <c r="BG382" s="168"/>
      <c r="BH382" s="227"/>
      <c r="BI382" s="171"/>
      <c r="BJ382" s="168"/>
      <c r="BK382" s="168"/>
      <c r="BL382" s="168"/>
      <c r="BM382" s="227"/>
      <c r="BN382" s="171"/>
      <c r="BO382" s="168"/>
      <c r="BP382" s="168"/>
      <c r="BQ382" s="168"/>
      <c r="BR382" s="227"/>
      <c r="BS382" s="171"/>
      <c r="BT382" s="168"/>
      <c r="BU382" s="168"/>
      <c r="BV382" s="168"/>
      <c r="BW382" s="227"/>
      <c r="BX382" s="171"/>
      <c r="BY382" s="168"/>
      <c r="BZ382" s="168"/>
      <c r="CA382" s="168"/>
      <c r="CB382" s="227"/>
      <c r="CC382" s="171">
        <v>0</v>
      </c>
      <c r="CD382" s="168"/>
      <c r="CE382" s="168"/>
      <c r="CF382" s="168"/>
      <c r="CG382" s="227"/>
      <c r="CH382" s="171">
        <f>CH302</f>
        <v>194</v>
      </c>
      <c r="CI382" s="168"/>
      <c r="CJ382" s="168"/>
      <c r="CK382" s="168"/>
      <c r="CL382" s="227"/>
      <c r="CM382" s="171">
        <v>-572.1</v>
      </c>
      <c r="CN382" s="168"/>
      <c r="CO382" s="168"/>
      <c r="CP382" s="168"/>
      <c r="CQ382" s="227"/>
      <c r="CR382" s="171">
        <v>-945</v>
      </c>
      <c r="CS382" s="168"/>
      <c r="CT382" s="168"/>
      <c r="CU382" s="168"/>
      <c r="CV382" s="227"/>
      <c r="CW382" s="171">
        <v>-857</v>
      </c>
      <c r="CX382" s="168"/>
      <c r="CY382" s="168"/>
      <c r="CZ382" s="168"/>
      <c r="DA382" s="168"/>
      <c r="DB382" s="171">
        <v>144</v>
      </c>
      <c r="DC382" s="168"/>
      <c r="DD382" s="168"/>
      <c r="DE382" s="168"/>
      <c r="DF382" s="168"/>
      <c r="DG382" s="171">
        <f>DG303</f>
        <v>0</v>
      </c>
      <c r="DH382" s="168"/>
      <c r="DI382" s="168"/>
      <c r="DJ382" s="168"/>
      <c r="DK382" s="168"/>
      <c r="DL382" s="171">
        <f>DL303</f>
        <v>0</v>
      </c>
      <c r="DM382" s="168"/>
      <c r="DN382" s="168"/>
      <c r="DO382" s="168"/>
      <c r="DP382" s="168"/>
      <c r="DQ382" s="171">
        <f>DQ303</f>
        <v>0</v>
      </c>
      <c r="DR382" s="168"/>
      <c r="DS382" s="168"/>
      <c r="DT382" s="168"/>
      <c r="DU382" s="168"/>
      <c r="DV382" s="171">
        <f>DV303</f>
        <v>0</v>
      </c>
      <c r="DW382" s="168"/>
      <c r="DX382" s="168"/>
      <c r="DY382" s="168"/>
      <c r="DZ382" s="168"/>
      <c r="EA382" s="171">
        <f>EA303</f>
        <v>0</v>
      </c>
      <c r="EB382" s="168"/>
      <c r="EC382" s="168"/>
      <c r="ED382" s="168"/>
      <c r="EE382" s="168"/>
      <c r="EF382" s="171">
        <f>EF303</f>
        <v>0</v>
      </c>
      <c r="EG382" s="168"/>
      <c r="EH382" s="168"/>
      <c r="EI382" s="168"/>
      <c r="EJ382" s="168"/>
      <c r="EK382" s="2013">
        <f>EK303</f>
        <v>0</v>
      </c>
      <c r="EL382" s="168"/>
      <c r="EM382" s="168"/>
      <c r="EN382" s="168"/>
      <c r="EO382" s="168"/>
      <c r="EP382" s="2013">
        <f>EP303</f>
        <v>0</v>
      </c>
      <c r="EQ382" s="168"/>
      <c r="ER382" s="168"/>
      <c r="ES382" s="168"/>
      <c r="ET382" s="168"/>
      <c r="EU382" s="2013">
        <f>EU303</f>
        <v>0</v>
      </c>
      <c r="EV382" s="168"/>
      <c r="EW382" s="168"/>
      <c r="EX382" s="168"/>
      <c r="EY382" s="168"/>
      <c r="EZ382" s="894">
        <f>EZ303</f>
        <v>0</v>
      </c>
      <c r="FA382" s="168"/>
      <c r="FB382" s="168"/>
      <c r="FC382" s="168"/>
      <c r="FD382" s="168"/>
      <c r="FE382" s="894">
        <f>FE303</f>
        <v>0</v>
      </c>
      <c r="FF382" s="823"/>
      <c r="FG382" s="660"/>
      <c r="FH382" s="1086"/>
      <c r="FI382" s="1086"/>
      <c r="FJ382" s="1086"/>
      <c r="FK382" s="1086"/>
      <c r="FL382" s="1858"/>
      <c r="FM382" s="1790"/>
      <c r="FN382" s="1790"/>
      <c r="FO382" s="1790"/>
      <c r="FP382" s="1790"/>
      <c r="FQ382" s="1790"/>
      <c r="FR382" s="609"/>
      <c r="FS382" s="609"/>
      <c r="FT382" s="609"/>
      <c r="FU382" s="609"/>
      <c r="FV382" s="609"/>
      <c r="FW382" s="609"/>
      <c r="FX382" s="609"/>
      <c r="FY382" s="609"/>
      <c r="FZ382" s="609"/>
      <c r="GA382" s="660"/>
      <c r="GB382"/>
      <c r="GC382"/>
      <c r="GD382"/>
      <c r="GE382"/>
      <c r="GF382"/>
      <c r="GG382"/>
      <c r="GH382" s="994"/>
      <c r="GI382" s="994"/>
      <c r="GJ382" s="994"/>
      <c r="GK382" s="994"/>
      <c r="GL382" s="994"/>
      <c r="GM382" s="994"/>
      <c r="GN382" s="994"/>
      <c r="GO382" s="994"/>
      <c r="GP382" s="994"/>
      <c r="GQ382" s="994"/>
      <c r="GR382" s="994"/>
      <c r="GS382" s="994"/>
      <c r="GT382" s="994"/>
      <c r="GU382" s="994"/>
      <c r="GV382" s="994"/>
      <c r="GW382" s="994"/>
      <c r="GX382" s="994"/>
      <c r="GY382" s="994"/>
      <c r="GZ382" s="994"/>
      <c r="HA382" s="994"/>
      <c r="HB382" s="994"/>
      <c r="HC382" s="994"/>
      <c r="HD382" s="994"/>
      <c r="HE382" s="994"/>
      <c r="HF382" s="994"/>
      <c r="HG382" s="994"/>
      <c r="HH382" s="994"/>
      <c r="HI382" s="994"/>
      <c r="HJ382" s="994"/>
      <c r="HK382" s="994"/>
      <c r="HL382" s="994"/>
      <c r="HM382" s="994"/>
      <c r="HN382" s="994"/>
      <c r="HO382" s="994"/>
      <c r="HP382" s="994"/>
      <c r="HQ382" s="994"/>
      <c r="HR382" s="994"/>
      <c r="HS382" s="994"/>
      <c r="HT382" s="994"/>
      <c r="HU382" s="994"/>
      <c r="HV382" s="994"/>
      <c r="HW382" s="994"/>
      <c r="HX382" s="994"/>
      <c r="HY382" s="994"/>
      <c r="HZ382" s="994"/>
      <c r="IA382" s="994"/>
      <c r="IB382" s="994"/>
      <c r="IC382" s="994"/>
      <c r="ID382" s="994"/>
      <c r="IE382" s="994"/>
      <c r="IF382" s="994"/>
      <c r="IG382" s="994"/>
      <c r="IH382" s="994"/>
      <c r="II382" s="994"/>
      <c r="IJ382" s="994"/>
      <c r="IK382" s="994"/>
      <c r="IL382" s="994"/>
      <c r="IM382" s="994"/>
      <c r="IN382" s="994"/>
      <c r="IO382" s="994"/>
      <c r="IP382" s="994"/>
      <c r="IQ382" s="994"/>
      <c r="IR382" s="994"/>
      <c r="IS382" s="994"/>
      <c r="IT382" s="994"/>
      <c r="IU382" s="994"/>
      <c r="IV382" s="994"/>
    </row>
    <row r="383" spans="1:256" s="173" customFormat="1" ht="12.75" x14ac:dyDescent="0.2">
      <c r="A383" s="237" t="s">
        <v>152</v>
      </c>
      <c r="B383" s="168"/>
      <c r="C383" s="168"/>
      <c r="D383" s="168"/>
      <c r="E383" s="227"/>
      <c r="F383" s="171"/>
      <c r="G383" s="168"/>
      <c r="H383" s="168"/>
      <c r="I383" s="168"/>
      <c r="J383" s="227"/>
      <c r="K383" s="171"/>
      <c r="L383" s="168"/>
      <c r="M383" s="168"/>
      <c r="N383" s="168"/>
      <c r="O383" s="227"/>
      <c r="P383" s="171"/>
      <c r="Q383" s="168"/>
      <c r="R383" s="168"/>
      <c r="S383" s="168"/>
      <c r="T383" s="227"/>
      <c r="U383" s="171"/>
      <c r="V383" s="168"/>
      <c r="W383" s="168"/>
      <c r="X383" s="168"/>
      <c r="Y383" s="227"/>
      <c r="Z383" s="171"/>
      <c r="AA383" s="168"/>
      <c r="AB383" s="168"/>
      <c r="AC383" s="168"/>
      <c r="AD383" s="227"/>
      <c r="AE383" s="171"/>
      <c r="AF383" s="168"/>
      <c r="AG383" s="168"/>
      <c r="AH383" s="168"/>
      <c r="AI383" s="227"/>
      <c r="AJ383" s="171"/>
      <c r="AK383" s="168"/>
      <c r="AL383" s="168"/>
      <c r="AM383" s="168"/>
      <c r="AN383" s="227"/>
      <c r="AO383" s="171"/>
      <c r="AP383" s="168"/>
      <c r="AQ383" s="168"/>
      <c r="AR383" s="168"/>
      <c r="AS383" s="227"/>
      <c r="AT383" s="171">
        <v>0</v>
      </c>
      <c r="AU383" s="168"/>
      <c r="AV383" s="168"/>
      <c r="AW383" s="168"/>
      <c r="AX383" s="227"/>
      <c r="AY383" s="171">
        <v>0</v>
      </c>
      <c r="AZ383" s="168"/>
      <c r="BA383" s="168"/>
      <c r="BB383" s="168"/>
      <c r="BC383" s="227"/>
      <c r="BD383" s="171">
        <v>0</v>
      </c>
      <c r="BE383" s="168"/>
      <c r="BF383" s="168"/>
      <c r="BG383" s="168"/>
      <c r="BH383" s="227"/>
      <c r="BI383" s="171">
        <v>0</v>
      </c>
      <c r="BJ383" s="168"/>
      <c r="BK383" s="168"/>
      <c r="BL383" s="168"/>
      <c r="BM383" s="227"/>
      <c r="BN383" s="171">
        <v>0</v>
      </c>
      <c r="BO383" s="168"/>
      <c r="BP383" s="168"/>
      <c r="BQ383" s="168"/>
      <c r="BR383" s="227"/>
      <c r="BS383" s="171">
        <v>-80.8</v>
      </c>
      <c r="BT383" s="168"/>
      <c r="BU383" s="168"/>
      <c r="BV383" s="168"/>
      <c r="BW383" s="227"/>
      <c r="BX383" s="171">
        <v>-80.8</v>
      </c>
      <c r="BY383" s="168"/>
      <c r="BZ383" s="168"/>
      <c r="CA383" s="168"/>
      <c r="CB383" s="227"/>
      <c r="CC383" s="171">
        <f>CC301</f>
        <v>-142</v>
      </c>
      <c r="CD383" s="168"/>
      <c r="CE383" s="168"/>
      <c r="CF383" s="168"/>
      <c r="CG383" s="227"/>
      <c r="CH383" s="171">
        <f>CH301</f>
        <v>-194</v>
      </c>
      <c r="CI383" s="168"/>
      <c r="CJ383" s="168"/>
      <c r="CK383" s="168"/>
      <c r="CL383" s="227"/>
      <c r="CM383" s="171">
        <f>CM301</f>
        <v>-278</v>
      </c>
      <c r="CN383" s="168"/>
      <c r="CO383" s="168"/>
      <c r="CP383" s="168"/>
      <c r="CQ383" s="227"/>
      <c r="CR383" s="171">
        <f>CR301</f>
        <v>-377</v>
      </c>
      <c r="CS383" s="168"/>
      <c r="CT383" s="168"/>
      <c r="CU383" s="168"/>
      <c r="CV383" s="227"/>
      <c r="CW383" s="171">
        <f>CW301</f>
        <v>-456</v>
      </c>
      <c r="CX383" s="168"/>
      <c r="CY383" s="168"/>
      <c r="CZ383" s="168"/>
      <c r="DA383" s="168"/>
      <c r="DB383" s="171">
        <f>DB301</f>
        <v>-500</v>
      </c>
      <c r="DC383" s="168"/>
      <c r="DD383" s="168"/>
      <c r="DE383" s="168"/>
      <c r="DF383" s="168"/>
      <c r="DG383" s="171">
        <f>DG301</f>
        <v>-514</v>
      </c>
      <c r="DH383" s="168"/>
      <c r="DI383" s="168"/>
      <c r="DJ383" s="168"/>
      <c r="DK383" s="168"/>
      <c r="DL383" s="171">
        <f>DL301</f>
        <v>-576</v>
      </c>
      <c r="DM383" s="168"/>
      <c r="DN383" s="168"/>
      <c r="DO383" s="168"/>
      <c r="DP383" s="168"/>
      <c r="DQ383" s="171">
        <f>DQ301</f>
        <v>-624</v>
      </c>
      <c r="DR383" s="168"/>
      <c r="DS383" s="168"/>
      <c r="DT383" s="168"/>
      <c r="DU383" s="168"/>
      <c r="DV383" s="171">
        <f>DV301</f>
        <v>-637</v>
      </c>
      <c r="DW383" s="168"/>
      <c r="DX383" s="168"/>
      <c r="DY383" s="168"/>
      <c r="DZ383" s="168"/>
      <c r="EA383" s="171">
        <f>EA301</f>
        <v>-687</v>
      </c>
      <c r="EB383" s="168"/>
      <c r="EC383" s="168"/>
      <c r="ED383" s="168"/>
      <c r="EE383" s="168"/>
      <c r="EF383" s="171">
        <f>EF301</f>
        <v>-713</v>
      </c>
      <c r="EG383" s="168"/>
      <c r="EH383" s="168"/>
      <c r="EI383" s="168"/>
      <c r="EJ383" s="168"/>
      <c r="EK383" s="2013">
        <f>EK301</f>
        <v>-695</v>
      </c>
      <c r="EL383" s="168"/>
      <c r="EM383" s="168"/>
      <c r="EN383" s="168"/>
      <c r="EO383" s="168"/>
      <c r="EP383" s="2013">
        <f>EP301</f>
        <v>-703</v>
      </c>
      <c r="EQ383" s="168"/>
      <c r="ER383" s="168"/>
      <c r="ES383" s="168"/>
      <c r="ET383" s="168"/>
      <c r="EU383" s="2013">
        <f>EU301</f>
        <v>-801.7853332820423</v>
      </c>
      <c r="EV383" s="168"/>
      <c r="EW383" s="168"/>
      <c r="EX383" s="168"/>
      <c r="EY383" s="168"/>
      <c r="EZ383" s="894">
        <f>EZ301</f>
        <v>-834.49257360341608</v>
      </c>
      <c r="FA383" s="168"/>
      <c r="FB383" s="168"/>
      <c r="FC383" s="168"/>
      <c r="FD383" s="168"/>
      <c r="FE383" s="894">
        <f>FE301</f>
        <v>-877.68963554218158</v>
      </c>
      <c r="FF383" s="823"/>
      <c r="FG383" s="660"/>
      <c r="FH383" s="1086"/>
      <c r="FI383" s="1086"/>
      <c r="FJ383" s="1086"/>
      <c r="FK383" s="1086"/>
      <c r="FL383" s="1858"/>
      <c r="FM383" s="1790"/>
      <c r="FN383" s="1790"/>
      <c r="FO383" s="1790"/>
      <c r="FP383" s="1790"/>
      <c r="FQ383" s="1790"/>
      <c r="FR383" s="609"/>
      <c r="FS383" s="609"/>
      <c r="FT383" s="609"/>
      <c r="FU383" s="609"/>
      <c r="FV383" s="609"/>
      <c r="FW383" s="609"/>
      <c r="FX383" s="609"/>
      <c r="FY383" s="609"/>
      <c r="FZ383" s="609"/>
      <c r="GA383" s="660"/>
      <c r="GB383"/>
      <c r="GC383"/>
      <c r="GD383"/>
      <c r="GE383"/>
      <c r="GF383"/>
      <c r="GG383"/>
      <c r="GH383" s="994"/>
      <c r="GI383" s="994"/>
      <c r="GJ383" s="994"/>
      <c r="GK383" s="994"/>
      <c r="GL383" s="994"/>
      <c r="GM383" s="994"/>
      <c r="GN383" s="994"/>
      <c r="GO383" s="994"/>
      <c r="GP383" s="994"/>
      <c r="GQ383" s="994"/>
      <c r="GR383" s="994"/>
      <c r="GS383" s="994"/>
      <c r="GT383" s="994"/>
      <c r="GU383" s="994"/>
      <c r="GV383" s="994"/>
      <c r="GW383" s="994"/>
      <c r="GX383" s="994"/>
      <c r="GY383" s="994"/>
      <c r="GZ383" s="994"/>
      <c r="HA383" s="994"/>
      <c r="HB383" s="994"/>
      <c r="HC383" s="994"/>
      <c r="HD383" s="994"/>
      <c r="HE383" s="994"/>
      <c r="HF383" s="994"/>
      <c r="HG383" s="994"/>
      <c r="HH383" s="994"/>
      <c r="HI383" s="994"/>
      <c r="HJ383" s="994"/>
      <c r="HK383" s="994"/>
      <c r="HL383" s="994"/>
      <c r="HM383" s="994"/>
      <c r="HN383" s="994"/>
      <c r="HO383" s="994"/>
      <c r="HP383" s="994"/>
      <c r="HQ383" s="994"/>
      <c r="HR383" s="994"/>
      <c r="HS383" s="994"/>
      <c r="HT383" s="994"/>
      <c r="HU383" s="994"/>
      <c r="HV383" s="994"/>
      <c r="HW383" s="994"/>
      <c r="HX383" s="994"/>
      <c r="HY383" s="994"/>
      <c r="HZ383" s="994"/>
      <c r="IA383" s="994"/>
      <c r="IB383" s="994"/>
      <c r="IC383" s="994"/>
      <c r="ID383" s="994"/>
      <c r="IE383" s="994"/>
      <c r="IF383" s="994"/>
      <c r="IG383" s="994"/>
      <c r="IH383" s="994"/>
      <c r="II383" s="994"/>
      <c r="IJ383" s="994"/>
      <c r="IK383" s="994"/>
      <c r="IL383" s="994"/>
      <c r="IM383" s="994"/>
      <c r="IN383" s="994"/>
      <c r="IO383" s="994"/>
      <c r="IP383" s="994"/>
      <c r="IQ383" s="994"/>
      <c r="IR383" s="994"/>
      <c r="IS383" s="994"/>
      <c r="IT383" s="994"/>
      <c r="IU383" s="994"/>
      <c r="IV383" s="994"/>
    </row>
    <row r="384" spans="1:256" s="173" customFormat="1" ht="12.75" x14ac:dyDescent="0.2">
      <c r="A384" s="238" t="s">
        <v>383</v>
      </c>
      <c r="B384" s="168"/>
      <c r="C384" s="168"/>
      <c r="D384" s="168"/>
      <c r="E384" s="227"/>
      <c r="F384" s="171"/>
      <c r="G384" s="168"/>
      <c r="H384" s="168"/>
      <c r="I384" s="168"/>
      <c r="J384" s="227"/>
      <c r="K384" s="171"/>
      <c r="L384" s="168"/>
      <c r="M384" s="168"/>
      <c r="N384" s="168"/>
      <c r="O384" s="227"/>
      <c r="P384" s="171"/>
      <c r="Q384" s="168"/>
      <c r="R384" s="168"/>
      <c r="S384" s="168"/>
      <c r="T384" s="227"/>
      <c r="U384" s="171"/>
      <c r="V384" s="168"/>
      <c r="W384" s="168"/>
      <c r="X384" s="168"/>
      <c r="Y384" s="227"/>
      <c r="Z384" s="171"/>
      <c r="AA384" s="168"/>
      <c r="AB384" s="168"/>
      <c r="AC384" s="168"/>
      <c r="AD384" s="227"/>
      <c r="AE384" s="171"/>
      <c r="AF384" s="168"/>
      <c r="AG384" s="168"/>
      <c r="AH384" s="168"/>
      <c r="AI384" s="227"/>
      <c r="AJ384" s="171"/>
      <c r="AK384" s="168"/>
      <c r="AL384" s="168"/>
      <c r="AM384" s="168"/>
      <c r="AN384" s="227"/>
      <c r="AO384" s="171"/>
      <c r="AP384" s="168"/>
      <c r="AQ384" s="168"/>
      <c r="AR384" s="168"/>
      <c r="AS384" s="227"/>
      <c r="AT384" s="171"/>
      <c r="AU384" s="168"/>
      <c r="AV384" s="168"/>
      <c r="AW384" s="168"/>
      <c r="AX384" s="227"/>
      <c r="AY384" s="171"/>
      <c r="AZ384" s="168"/>
      <c r="BA384" s="168"/>
      <c r="BB384" s="168"/>
      <c r="BC384" s="227"/>
      <c r="BD384" s="171"/>
      <c r="BE384" s="168"/>
      <c r="BF384" s="168"/>
      <c r="BG384" s="168"/>
      <c r="BH384" s="227"/>
      <c r="BI384" s="171"/>
      <c r="BJ384" s="168"/>
      <c r="BK384" s="168"/>
      <c r="BL384" s="168"/>
      <c r="BM384" s="227"/>
      <c r="BN384" s="171"/>
      <c r="BO384" s="168"/>
      <c r="BP384" s="168"/>
      <c r="BQ384" s="168"/>
      <c r="BR384" s="227"/>
      <c r="BS384" s="171"/>
      <c r="BT384" s="168"/>
      <c r="BU384" s="168"/>
      <c r="BV384" s="168"/>
      <c r="BW384" s="227"/>
      <c r="BX384" s="171"/>
      <c r="BY384" s="168"/>
      <c r="BZ384" s="168"/>
      <c r="CA384" s="168"/>
      <c r="CB384" s="227"/>
      <c r="CC384" s="171">
        <v>0</v>
      </c>
      <c r="CD384" s="168"/>
      <c r="CE384" s="168"/>
      <c r="CF384" s="168"/>
      <c r="CG384" s="227"/>
      <c r="CH384" s="171">
        <v>0</v>
      </c>
      <c r="CI384" s="168"/>
      <c r="CJ384" s="168"/>
      <c r="CK384" s="168"/>
      <c r="CL384" s="227"/>
      <c r="CM384" s="171">
        <v>0</v>
      </c>
      <c r="CN384" s="168"/>
      <c r="CO384" s="168"/>
      <c r="CP384" s="168"/>
      <c r="CQ384" s="227"/>
      <c r="CR384" s="171">
        <v>0</v>
      </c>
      <c r="CS384" s="168"/>
      <c r="CT384" s="168"/>
      <c r="CU384" s="168"/>
      <c r="CV384" s="227"/>
      <c r="CW384" s="171">
        <v>0</v>
      </c>
      <c r="CX384" s="168"/>
      <c r="CY384" s="168"/>
      <c r="CZ384" s="168"/>
      <c r="DA384" s="168"/>
      <c r="DB384" s="171">
        <v>0</v>
      </c>
      <c r="DC384" s="168"/>
      <c r="DD384" s="168"/>
      <c r="DE384" s="168"/>
      <c r="DF384" s="168"/>
      <c r="DG384" s="179">
        <v>0</v>
      </c>
      <c r="DH384" s="168"/>
      <c r="DI384" s="168"/>
      <c r="DJ384" s="168"/>
      <c r="DK384" s="168"/>
      <c r="DL384" s="179">
        <v>0</v>
      </c>
      <c r="DM384" s="168"/>
      <c r="DN384" s="168"/>
      <c r="DO384" s="168"/>
      <c r="DP384" s="168"/>
      <c r="DQ384" s="179">
        <v>0</v>
      </c>
      <c r="DR384" s="168"/>
      <c r="DS384" s="168"/>
      <c r="DT384" s="168"/>
      <c r="DU384" s="168"/>
      <c r="DV384" s="179">
        <v>0</v>
      </c>
      <c r="DW384" s="168"/>
      <c r="DX384" s="168"/>
      <c r="DY384" s="168"/>
      <c r="DZ384" s="168"/>
      <c r="EA384" s="179">
        <v>0</v>
      </c>
      <c r="EB384" s="168"/>
      <c r="EC384" s="168"/>
      <c r="ED384" s="168"/>
      <c r="EE384" s="168"/>
      <c r="EF384" s="179">
        <v>0</v>
      </c>
      <c r="EG384" s="168"/>
      <c r="EH384" s="168"/>
      <c r="EI384" s="168"/>
      <c r="EJ384" s="168"/>
      <c r="EK384" s="2014">
        <v>0</v>
      </c>
      <c r="EL384" s="168"/>
      <c r="EM384" s="168"/>
      <c r="EN384" s="168"/>
      <c r="EO384" s="168"/>
      <c r="EP384" s="2014">
        <v>0</v>
      </c>
      <c r="EQ384" s="168"/>
      <c r="ER384" s="168"/>
      <c r="ES384" s="168"/>
      <c r="ET384" s="168"/>
      <c r="EU384" s="2014">
        <v>0</v>
      </c>
      <c r="EV384" s="168"/>
      <c r="EW384" s="168"/>
      <c r="EX384" s="168"/>
      <c r="EY384" s="168"/>
      <c r="EZ384" s="896">
        <v>0</v>
      </c>
      <c r="FA384" s="168"/>
      <c r="FB384" s="168"/>
      <c r="FC384" s="168"/>
      <c r="FD384" s="168"/>
      <c r="FE384" s="896">
        <v>0</v>
      </c>
      <c r="FF384" s="823"/>
      <c r="FG384" s="660"/>
      <c r="FH384" s="1086"/>
      <c r="FI384" s="1086"/>
      <c r="FJ384" s="1086"/>
      <c r="FK384" s="1086"/>
      <c r="FL384" s="1858"/>
      <c r="FM384" s="1790"/>
      <c r="FN384" s="1790"/>
      <c r="FO384" s="1790"/>
      <c r="FP384" s="1790"/>
      <c r="FQ384" s="1790"/>
      <c r="FR384" s="609"/>
      <c r="FS384" s="609"/>
      <c r="FT384" s="609"/>
      <c r="FU384" s="609"/>
      <c r="FV384" s="609"/>
      <c r="FW384" s="609"/>
      <c r="FX384" s="609"/>
      <c r="FY384" s="609"/>
      <c r="FZ384" s="609"/>
      <c r="GA384" s="660"/>
      <c r="GB384"/>
      <c r="GC384"/>
      <c r="GD384"/>
      <c r="GE384"/>
      <c r="GF384"/>
      <c r="GG384"/>
      <c r="GH384" s="994"/>
      <c r="GI384" s="994"/>
      <c r="GJ384" s="994"/>
      <c r="GK384" s="994"/>
      <c r="GL384" s="994"/>
      <c r="GM384" s="994"/>
      <c r="GN384" s="994"/>
      <c r="GO384" s="994"/>
      <c r="GP384" s="994"/>
      <c r="GQ384" s="994"/>
      <c r="GR384" s="994"/>
      <c r="GS384" s="994"/>
      <c r="GT384" s="994"/>
      <c r="GU384" s="994"/>
      <c r="GV384" s="994"/>
      <c r="GW384" s="994"/>
      <c r="GX384" s="994"/>
      <c r="GY384" s="994"/>
      <c r="GZ384" s="994"/>
      <c r="HA384" s="994"/>
      <c r="HB384" s="994"/>
      <c r="HC384" s="994"/>
      <c r="HD384" s="994"/>
      <c r="HE384" s="994"/>
      <c r="HF384" s="994"/>
      <c r="HG384" s="994"/>
      <c r="HH384" s="994"/>
      <c r="HI384" s="994"/>
      <c r="HJ384" s="994"/>
      <c r="HK384" s="994"/>
      <c r="HL384" s="994"/>
      <c r="HM384" s="994"/>
      <c r="HN384" s="994"/>
      <c r="HO384" s="994"/>
      <c r="HP384" s="994"/>
      <c r="HQ384" s="994"/>
      <c r="HR384" s="994"/>
      <c r="HS384" s="994"/>
      <c r="HT384" s="994"/>
      <c r="HU384" s="994"/>
      <c r="HV384" s="994"/>
      <c r="HW384" s="994"/>
      <c r="HX384" s="994"/>
      <c r="HY384" s="994"/>
      <c r="HZ384" s="994"/>
      <c r="IA384" s="994"/>
      <c r="IB384" s="994"/>
      <c r="IC384" s="994"/>
      <c r="ID384" s="994"/>
      <c r="IE384" s="994"/>
      <c r="IF384" s="994"/>
      <c r="IG384" s="994"/>
      <c r="IH384" s="994"/>
      <c r="II384" s="994"/>
      <c r="IJ384" s="994"/>
      <c r="IK384" s="994"/>
      <c r="IL384" s="994"/>
      <c r="IM384" s="994"/>
      <c r="IN384" s="994"/>
      <c r="IO384" s="994"/>
      <c r="IP384" s="994"/>
      <c r="IQ384" s="994"/>
      <c r="IR384" s="994"/>
      <c r="IS384" s="994"/>
      <c r="IT384" s="994"/>
      <c r="IU384" s="994"/>
      <c r="IV384" s="994"/>
    </row>
    <row r="385" spans="1:256" s="133" customFormat="1" ht="12.75" x14ac:dyDescent="0.2">
      <c r="A385" s="356" t="s">
        <v>397</v>
      </c>
      <c r="B385" s="357"/>
      <c r="C385" s="357"/>
      <c r="D385" s="357"/>
      <c r="E385" s="358"/>
      <c r="F385" s="359"/>
      <c r="G385" s="357"/>
      <c r="H385" s="357"/>
      <c r="I385" s="357"/>
      <c r="J385" s="358"/>
      <c r="K385" s="359"/>
      <c r="L385" s="357"/>
      <c r="M385" s="357"/>
      <c r="N385" s="357"/>
      <c r="O385" s="358"/>
      <c r="P385" s="359"/>
      <c r="Q385" s="357"/>
      <c r="R385" s="357"/>
      <c r="S385" s="357"/>
      <c r="T385" s="358"/>
      <c r="U385" s="359"/>
      <c r="V385" s="357"/>
      <c r="W385" s="357"/>
      <c r="X385" s="357"/>
      <c r="Y385" s="358"/>
      <c r="Z385" s="359"/>
      <c r="AA385" s="357"/>
      <c r="AB385" s="357"/>
      <c r="AC385" s="357"/>
      <c r="AD385" s="358"/>
      <c r="AE385" s="359"/>
      <c r="AF385" s="357"/>
      <c r="AG385" s="357"/>
      <c r="AH385" s="357"/>
      <c r="AI385" s="358"/>
      <c r="AJ385" s="359"/>
      <c r="AK385" s="357"/>
      <c r="AL385" s="357"/>
      <c r="AM385" s="357"/>
      <c r="AN385" s="358"/>
      <c r="AO385" s="359"/>
      <c r="AP385" s="357"/>
      <c r="AQ385" s="357"/>
      <c r="AR385" s="357"/>
      <c r="AS385" s="358"/>
      <c r="AT385" s="359">
        <v>0.39</v>
      </c>
      <c r="AU385" s="357"/>
      <c r="AV385" s="357"/>
      <c r="AW385" s="357"/>
      <c r="AX385" s="358"/>
      <c r="AY385" s="359">
        <v>0.39</v>
      </c>
      <c r="AZ385" s="357">
        <v>0.39</v>
      </c>
      <c r="BA385" s="357">
        <v>0.39</v>
      </c>
      <c r="BB385" s="357">
        <v>0.39</v>
      </c>
      <c r="BC385" s="358">
        <v>0.39</v>
      </c>
      <c r="BD385" s="359">
        <v>0.39</v>
      </c>
      <c r="BE385" s="357">
        <v>0.39</v>
      </c>
      <c r="BF385" s="357">
        <v>0.39</v>
      </c>
      <c r="BG385" s="357">
        <v>0.39</v>
      </c>
      <c r="BH385" s="358">
        <v>0.39</v>
      </c>
      <c r="BI385" s="359">
        <v>0.39</v>
      </c>
      <c r="BJ385" s="357">
        <v>0.39</v>
      </c>
      <c r="BK385" s="357">
        <v>0.39</v>
      </c>
      <c r="BL385" s="357">
        <v>0.39</v>
      </c>
      <c r="BM385" s="358">
        <v>0.39</v>
      </c>
      <c r="BN385" s="359">
        <v>0.39</v>
      </c>
      <c r="BO385" s="357">
        <v>0.36</v>
      </c>
      <c r="BP385" s="357">
        <v>0.36</v>
      </c>
      <c r="BQ385" s="357">
        <v>0.36</v>
      </c>
      <c r="BR385" s="358">
        <v>0.36</v>
      </c>
      <c r="BS385" s="359">
        <v>0.36</v>
      </c>
      <c r="BT385" s="357">
        <v>0.36</v>
      </c>
      <c r="BU385" s="357">
        <v>0.36</v>
      </c>
      <c r="BV385" s="357">
        <v>0.36</v>
      </c>
      <c r="BW385" s="358">
        <v>0.36</v>
      </c>
      <c r="BX385" s="359">
        <v>0.36</v>
      </c>
      <c r="BY385" s="357">
        <v>0.36</v>
      </c>
      <c r="BZ385" s="357">
        <v>0.36</v>
      </c>
      <c r="CA385" s="357">
        <v>0.36</v>
      </c>
      <c r="CB385" s="358">
        <v>0.36</v>
      </c>
      <c r="CC385" s="359">
        <v>0.36</v>
      </c>
      <c r="CD385" s="357">
        <v>0.36</v>
      </c>
      <c r="CE385" s="357">
        <v>0.36</v>
      </c>
      <c r="CF385" s="357">
        <v>0.36</v>
      </c>
      <c r="CG385" s="358">
        <v>0.36</v>
      </c>
      <c r="CH385" s="359">
        <v>0.36</v>
      </c>
      <c r="CI385" s="357">
        <v>0.36</v>
      </c>
      <c r="CJ385" s="357">
        <v>0.36</v>
      </c>
      <c r="CK385" s="357">
        <v>0.36</v>
      </c>
      <c r="CL385" s="358">
        <v>0.36</v>
      </c>
      <c r="CM385" s="359">
        <v>0.36</v>
      </c>
      <c r="CN385" s="357">
        <v>0.36</v>
      </c>
      <c r="CO385" s="357">
        <v>0.36</v>
      </c>
      <c r="CP385" s="357">
        <v>0.36</v>
      </c>
      <c r="CQ385" s="358">
        <v>0.36</v>
      </c>
      <c r="CR385" s="359">
        <v>0.36</v>
      </c>
      <c r="CS385" s="357">
        <v>0.36</v>
      </c>
      <c r="CT385" s="357">
        <v>0.36</v>
      </c>
      <c r="CU385" s="357">
        <v>0.36</v>
      </c>
      <c r="CV385" s="358">
        <v>0.36</v>
      </c>
      <c r="CW385" s="359">
        <v>0.36</v>
      </c>
      <c r="CX385" s="357">
        <v>0.36</v>
      </c>
      <c r="CY385" s="357">
        <v>0.36</v>
      </c>
      <c r="CZ385" s="357">
        <v>0.36</v>
      </c>
      <c r="DA385" s="357">
        <v>0.36</v>
      </c>
      <c r="DB385" s="359">
        <v>0.36</v>
      </c>
      <c r="DC385" s="357">
        <v>0.36</v>
      </c>
      <c r="DD385" s="357">
        <v>0.36</v>
      </c>
      <c r="DE385" s="357">
        <v>0.36</v>
      </c>
      <c r="DF385" s="357">
        <v>0.36</v>
      </c>
      <c r="DG385" s="359">
        <v>0.36</v>
      </c>
      <c r="DH385" s="357">
        <v>0.36</v>
      </c>
      <c r="DI385" s="357">
        <v>0.36</v>
      </c>
      <c r="DJ385" s="357">
        <v>0.36</v>
      </c>
      <c r="DK385" s="357">
        <v>0.36</v>
      </c>
      <c r="DL385" s="359">
        <v>0.36</v>
      </c>
      <c r="DM385" s="357">
        <v>0.36</v>
      </c>
      <c r="DN385" s="357">
        <v>0.36</v>
      </c>
      <c r="DO385" s="357">
        <v>0.36</v>
      </c>
      <c r="DP385" s="357">
        <v>0.36</v>
      </c>
      <c r="DQ385" s="359">
        <v>0.36</v>
      </c>
      <c r="DR385" s="357">
        <v>0.36</v>
      </c>
      <c r="DS385" s="357">
        <v>0.36</v>
      </c>
      <c r="DT385" s="357">
        <v>0.36</v>
      </c>
      <c r="DU385" s="357">
        <v>0.36</v>
      </c>
      <c r="DV385" s="359">
        <v>0.36</v>
      </c>
      <c r="DW385" s="357">
        <v>0.36</v>
      </c>
      <c r="DX385" s="357">
        <v>0.36</v>
      </c>
      <c r="DY385" s="357">
        <v>0.36</v>
      </c>
      <c r="DZ385" s="357">
        <v>0.36</v>
      </c>
      <c r="EA385" s="359">
        <v>0.36</v>
      </c>
      <c r="EB385" s="357">
        <v>0.36</v>
      </c>
      <c r="EC385" s="357">
        <v>0.36</v>
      </c>
      <c r="ED385" s="357">
        <v>0.36</v>
      </c>
      <c r="EE385" s="357">
        <v>0.36</v>
      </c>
      <c r="EF385" s="359">
        <v>0.36</v>
      </c>
      <c r="EG385" s="357">
        <v>0.36</v>
      </c>
      <c r="EH385" s="357">
        <v>0.36</v>
      </c>
      <c r="EI385" s="357">
        <v>0.36</v>
      </c>
      <c r="EJ385" s="16"/>
      <c r="EK385" s="2015">
        <v>0.36</v>
      </c>
      <c r="EL385" s="16"/>
      <c r="EM385" s="16"/>
      <c r="EN385" s="16"/>
      <c r="EO385" s="16"/>
      <c r="EP385" s="2015">
        <v>0.36</v>
      </c>
      <c r="EQ385" s="16"/>
      <c r="ER385" s="16"/>
      <c r="ES385" s="16"/>
      <c r="ET385" s="16"/>
      <c r="EU385" s="2015">
        <v>0.36</v>
      </c>
      <c r="EV385" s="16"/>
      <c r="EW385" s="16"/>
      <c r="EX385" s="16"/>
      <c r="EY385" s="16"/>
      <c r="EZ385" s="898">
        <v>0.36</v>
      </c>
      <c r="FA385" s="16"/>
      <c r="FB385" s="16"/>
      <c r="FC385" s="16"/>
      <c r="FD385" s="16"/>
      <c r="FE385" s="898">
        <v>0.36</v>
      </c>
      <c r="FF385" s="759"/>
      <c r="FG385" s="660"/>
      <c r="FH385" s="1086"/>
      <c r="FI385" s="1086"/>
      <c r="FJ385" s="1086"/>
      <c r="FK385" s="1086"/>
      <c r="FL385" s="1858"/>
      <c r="FM385" s="1790"/>
      <c r="FN385" s="1790"/>
      <c r="FO385" s="1790"/>
      <c r="FP385" s="1790"/>
      <c r="FQ385" s="1790"/>
      <c r="FR385" s="567"/>
      <c r="FS385" s="567"/>
      <c r="FT385" s="567"/>
      <c r="FU385" s="567"/>
      <c r="FV385" s="567"/>
      <c r="FW385" s="567"/>
      <c r="FX385" s="567"/>
      <c r="FY385" s="567"/>
      <c r="FZ385" s="567"/>
      <c r="GA385" s="660"/>
      <c r="GB385"/>
      <c r="GC385"/>
      <c r="GD385"/>
      <c r="GE385"/>
      <c r="GF385"/>
      <c r="GG385"/>
      <c r="GH385" s="959"/>
      <c r="GI385" s="959"/>
      <c r="GJ385" s="959"/>
      <c r="GK385" s="959"/>
      <c r="GL385" s="959"/>
      <c r="GM385" s="959"/>
      <c r="GN385" s="959"/>
      <c r="GO385" s="959"/>
      <c r="GP385" s="959"/>
      <c r="GQ385" s="959"/>
      <c r="GR385" s="959"/>
      <c r="GS385" s="959"/>
      <c r="GT385" s="959"/>
      <c r="GU385" s="959"/>
      <c r="GV385" s="959"/>
      <c r="GW385" s="959"/>
      <c r="GX385" s="959"/>
      <c r="GY385" s="959"/>
      <c r="GZ385" s="959"/>
      <c r="HA385" s="959"/>
      <c r="HB385" s="959"/>
      <c r="HC385" s="959"/>
      <c r="HD385" s="959"/>
      <c r="HE385" s="959"/>
      <c r="HF385" s="959"/>
      <c r="HG385" s="959"/>
      <c r="HH385" s="959"/>
      <c r="HI385" s="959"/>
      <c r="HJ385" s="959"/>
      <c r="HK385" s="959"/>
      <c r="HL385" s="959"/>
      <c r="HM385" s="959"/>
      <c r="HN385" s="959"/>
      <c r="HO385" s="959"/>
      <c r="HP385" s="959"/>
      <c r="HQ385" s="959"/>
      <c r="HR385" s="959"/>
      <c r="HS385" s="959"/>
      <c r="HT385" s="959"/>
      <c r="HU385" s="959"/>
      <c r="HV385" s="959"/>
      <c r="HW385" s="959"/>
      <c r="HX385" s="959"/>
      <c r="HY385" s="959"/>
      <c r="HZ385" s="959"/>
      <c r="IA385" s="959"/>
      <c r="IB385" s="959"/>
      <c r="IC385" s="959"/>
      <c r="ID385" s="959"/>
      <c r="IE385" s="959"/>
      <c r="IF385" s="959"/>
      <c r="IG385" s="959"/>
      <c r="IH385" s="959"/>
      <c r="II385" s="959"/>
      <c r="IJ385" s="959"/>
      <c r="IK385" s="959"/>
      <c r="IL385" s="959"/>
      <c r="IM385" s="959"/>
      <c r="IN385" s="959"/>
      <c r="IO385" s="959"/>
      <c r="IP385" s="959"/>
      <c r="IQ385" s="959"/>
      <c r="IR385" s="959"/>
      <c r="IS385" s="959"/>
      <c r="IT385" s="959"/>
      <c r="IU385" s="959"/>
      <c r="IV385" s="959"/>
    </row>
    <row r="386" spans="1:256" s="55" customFormat="1" ht="12.75" x14ac:dyDescent="0.2">
      <c r="A386" s="473" t="s">
        <v>571</v>
      </c>
      <c r="B386" s="474"/>
      <c r="C386" s="474"/>
      <c r="D386" s="474"/>
      <c r="E386" s="475"/>
      <c r="F386" s="429"/>
      <c r="G386" s="474"/>
      <c r="H386" s="474"/>
      <c r="I386" s="474"/>
      <c r="J386" s="475"/>
      <c r="K386" s="429"/>
      <c r="L386" s="474"/>
      <c r="M386" s="474"/>
      <c r="N386" s="474"/>
      <c r="O386" s="475"/>
      <c r="P386" s="429"/>
      <c r="Q386" s="474"/>
      <c r="R386" s="474"/>
      <c r="S386" s="474"/>
      <c r="T386" s="475"/>
      <c r="U386" s="429"/>
      <c r="V386" s="474"/>
      <c r="W386" s="474"/>
      <c r="X386" s="474"/>
      <c r="Y386" s="475"/>
      <c r="Z386" s="429"/>
      <c r="AA386" s="474"/>
      <c r="AB386" s="474"/>
      <c r="AC386" s="474"/>
      <c r="AD386" s="475"/>
      <c r="AE386" s="429"/>
      <c r="AF386" s="474"/>
      <c r="AG386" s="474"/>
      <c r="AH386" s="474"/>
      <c r="AI386" s="475"/>
      <c r="AJ386" s="429"/>
      <c r="AK386" s="474"/>
      <c r="AL386" s="474"/>
      <c r="AM386" s="474"/>
      <c r="AN386" s="475"/>
      <c r="AO386" s="429"/>
      <c r="AP386" s="474"/>
      <c r="AQ386" s="474"/>
      <c r="AR386" s="474"/>
      <c r="AS386" s="475"/>
      <c r="AT386" s="429"/>
      <c r="AU386" s="474"/>
      <c r="AV386" s="474"/>
      <c r="AW386" s="474"/>
      <c r="AX386" s="475"/>
      <c r="AY386" s="429"/>
      <c r="AZ386" s="474"/>
      <c r="BA386" s="474"/>
      <c r="BB386" s="474"/>
      <c r="BC386" s="475"/>
      <c r="BD386" s="429"/>
      <c r="BE386" s="474"/>
      <c r="BF386" s="474"/>
      <c r="BG386" s="474"/>
      <c r="BH386" s="475"/>
      <c r="BI386" s="429"/>
      <c r="BJ386" s="474"/>
      <c r="BK386" s="474"/>
      <c r="BL386" s="474"/>
      <c r="BM386" s="475"/>
      <c r="BN386" s="429"/>
      <c r="BO386" s="474"/>
      <c r="BP386" s="474"/>
      <c r="BQ386" s="474"/>
      <c r="BR386" s="475"/>
      <c r="BS386" s="429">
        <v>389</v>
      </c>
      <c r="BT386" s="474"/>
      <c r="BU386" s="474"/>
      <c r="BV386" s="474"/>
      <c r="BW386" s="475"/>
      <c r="BX386" s="429"/>
      <c r="BY386" s="474">
        <v>391.33</v>
      </c>
      <c r="BZ386" s="474">
        <v>392.96100000000001</v>
      </c>
      <c r="CA386" s="474">
        <v>395.28</v>
      </c>
      <c r="CB386" s="475">
        <v>399.71199999999999</v>
      </c>
      <c r="CC386" s="429">
        <f>CB386</f>
        <v>399.71199999999999</v>
      </c>
      <c r="CD386" s="474">
        <v>402.97199999999998</v>
      </c>
      <c r="CE386" s="474">
        <v>403.25700000000001</v>
      </c>
      <c r="CF386" s="474">
        <v>405.14299999999997</v>
      </c>
      <c r="CG386" s="475">
        <v>408.62299999999999</v>
      </c>
      <c r="CH386" s="429">
        <f>CG386</f>
        <v>408.62299999999999</v>
      </c>
      <c r="CI386" s="474">
        <v>413.53100000000001</v>
      </c>
      <c r="CJ386" s="474">
        <v>412.70100000000002</v>
      </c>
      <c r="CK386" s="474">
        <v>395.77300000000002</v>
      </c>
      <c r="CL386" s="475">
        <v>396.3</v>
      </c>
      <c r="CM386" s="429">
        <f>CL386</f>
        <v>396.3</v>
      </c>
      <c r="CN386" s="474">
        <v>392.4</v>
      </c>
      <c r="CO386" s="474">
        <v>392.8</v>
      </c>
      <c r="CP386" s="474">
        <v>386.4</v>
      </c>
      <c r="CQ386" s="475">
        <v>378.5</v>
      </c>
      <c r="CR386" s="429">
        <f>CQ386</f>
        <v>378.5</v>
      </c>
      <c r="CS386" s="474">
        <v>375.755</v>
      </c>
      <c r="CT386" s="474">
        <v>375.19921399999998</v>
      </c>
      <c r="CU386" s="474">
        <v>370.279291</v>
      </c>
      <c r="CV386" s="475">
        <v>366.23310600000002</v>
      </c>
      <c r="CW386" s="429">
        <f>CV386</f>
        <v>366.23310600000002</v>
      </c>
      <c r="CX386" s="474">
        <v>367.03784899999999</v>
      </c>
      <c r="CY386" s="474">
        <v>367.63664</v>
      </c>
      <c r="CZ386" s="474">
        <v>367.89391499999999</v>
      </c>
      <c r="DA386" s="476">
        <v>369.01999000000001</v>
      </c>
      <c r="DB386" s="429">
        <f>DA386</f>
        <v>369.01999000000001</v>
      </c>
      <c r="DC386" s="474">
        <v>370.055972</v>
      </c>
      <c r="DD386" s="474">
        <v>368.61549600000001</v>
      </c>
      <c r="DE386" s="433">
        <v>363.37212</v>
      </c>
      <c r="DF386" s="474">
        <v>357.36260399999998</v>
      </c>
      <c r="DG386" s="429">
        <f>DF386</f>
        <v>357.36260399999998</v>
      </c>
      <c r="DH386" s="474">
        <v>353.21666099999999</v>
      </c>
      <c r="DI386" s="474">
        <v>347.77357999999998</v>
      </c>
      <c r="DJ386" s="433">
        <v>336.10621700000002</v>
      </c>
      <c r="DK386" s="474">
        <v>330.14130599999999</v>
      </c>
      <c r="DL386" s="429">
        <f>DL257</f>
        <v>345.55</v>
      </c>
      <c r="DM386" s="474">
        <v>325.76316400000002</v>
      </c>
      <c r="DN386" s="474">
        <v>319.51671499999998</v>
      </c>
      <c r="DO386" s="433">
        <v>316.04318499999999</v>
      </c>
      <c r="DP386" s="474">
        <v>314.51637399999998</v>
      </c>
      <c r="DQ386" s="429">
        <f>DQ257</f>
        <v>320.875</v>
      </c>
      <c r="DR386" s="474">
        <v>315.08837899999997</v>
      </c>
      <c r="DS386" s="1420">
        <v>311.95278000000002</v>
      </c>
      <c r="DT386" s="1420">
        <v>308.91032799999999</v>
      </c>
      <c r="DU386" s="1420">
        <v>309.715149</v>
      </c>
      <c r="DV386" s="429">
        <f>DV257</f>
        <v>311.92500000000001</v>
      </c>
      <c r="DW386" s="1420">
        <v>309.64608600000003</v>
      </c>
      <c r="DX386" s="474">
        <v>309.51520799999997</v>
      </c>
      <c r="DY386" s="474">
        <v>309.441867</v>
      </c>
      <c r="DZ386" s="1420">
        <v>307.41196500000001</v>
      </c>
      <c r="EA386" s="429">
        <f>EA257</f>
        <v>309.39999999999998</v>
      </c>
      <c r="EB386" s="1420">
        <v>304.84945399999998</v>
      </c>
      <c r="EC386" s="1420">
        <v>301.38684899999998</v>
      </c>
      <c r="ED386" s="1420">
        <v>301.38684899999998</v>
      </c>
      <c r="EE386" s="1420">
        <v>301.38684899999998</v>
      </c>
      <c r="EF386" s="429">
        <f>EF257</f>
        <v>301.92500000000001</v>
      </c>
      <c r="EG386" s="1420">
        <v>304.84945399999998</v>
      </c>
      <c r="EH386" s="1420">
        <v>301.38684899999998</v>
      </c>
      <c r="EI386" s="1420">
        <v>301.38684899999998</v>
      </c>
      <c r="EJ386" s="46"/>
      <c r="EK386" s="2016">
        <f>EK257</f>
        <v>293.95</v>
      </c>
      <c r="EL386" s="46"/>
      <c r="EM386" s="46"/>
      <c r="EN386" s="46"/>
      <c r="EO386" s="46"/>
      <c r="EP386" s="2016">
        <f>EP257</f>
        <v>287.875</v>
      </c>
      <c r="EQ386" s="46"/>
      <c r="ER386" s="46"/>
      <c r="ES386" s="46"/>
      <c r="ET386" s="46"/>
      <c r="EU386" s="2016">
        <f>EU257</f>
        <v>278.39768516737581</v>
      </c>
      <c r="EV386" s="46"/>
      <c r="EW386" s="46"/>
      <c r="EX386" s="46"/>
      <c r="EY386" s="46"/>
      <c r="EZ386" s="899">
        <f>EZ257</f>
        <v>271.4377430381914</v>
      </c>
      <c r="FA386" s="46"/>
      <c r="FB386" s="46"/>
      <c r="FC386" s="46"/>
      <c r="FD386" s="46"/>
      <c r="FE386" s="899">
        <f>FE257</f>
        <v>264.65179946223662</v>
      </c>
      <c r="FF386" s="768"/>
      <c r="FG386" s="660"/>
      <c r="FH386" s="1086"/>
      <c r="FI386" s="1086"/>
      <c r="FJ386" s="1086"/>
      <c r="FK386" s="1086"/>
      <c r="FL386" s="1858"/>
      <c r="FM386" s="1790"/>
      <c r="FN386" s="1790"/>
      <c r="FO386" s="1790"/>
      <c r="FP386" s="1790"/>
      <c r="FQ386" s="1790"/>
      <c r="FR386" s="1429" t="s">
        <v>716</v>
      </c>
      <c r="FS386" s="567"/>
      <c r="FT386" s="567"/>
      <c r="FU386" s="567"/>
      <c r="FV386" s="567"/>
      <c r="FW386" s="567"/>
      <c r="FX386" s="567"/>
      <c r="FY386" s="567"/>
      <c r="FZ386" s="567"/>
      <c r="GA386" s="660"/>
      <c r="GB386"/>
      <c r="GC386"/>
      <c r="GD386"/>
      <c r="GE386"/>
      <c r="GF386"/>
      <c r="GG386"/>
      <c r="GH386" s="999"/>
      <c r="GI386" s="999"/>
      <c r="GJ386" s="999"/>
      <c r="GK386" s="999"/>
      <c r="GL386" s="999"/>
      <c r="GM386" s="999"/>
      <c r="GN386" s="999"/>
      <c r="GO386" s="999"/>
      <c r="GP386" s="999"/>
      <c r="GQ386" s="999"/>
      <c r="GR386" s="999"/>
      <c r="GS386" s="999"/>
      <c r="GT386" s="999"/>
      <c r="GU386" s="999"/>
      <c r="GV386" s="999"/>
      <c r="GW386" s="999"/>
      <c r="GX386" s="999"/>
      <c r="GY386" s="999"/>
      <c r="GZ386" s="999"/>
      <c r="HA386" s="999"/>
      <c r="HB386" s="999"/>
      <c r="HC386" s="999"/>
      <c r="HD386" s="999"/>
      <c r="HE386" s="999"/>
      <c r="HF386" s="999"/>
      <c r="HG386" s="999"/>
      <c r="HH386" s="999"/>
      <c r="HI386" s="999"/>
      <c r="HJ386" s="999"/>
      <c r="HK386" s="999"/>
      <c r="HL386" s="999"/>
      <c r="HM386" s="999"/>
      <c r="HN386" s="999"/>
      <c r="HO386" s="999"/>
      <c r="HP386" s="999"/>
      <c r="HQ386" s="999"/>
      <c r="HR386" s="999"/>
      <c r="HS386" s="999"/>
      <c r="HT386" s="999"/>
      <c r="HU386" s="999"/>
      <c r="HV386" s="999"/>
      <c r="HW386" s="999"/>
      <c r="HX386" s="999"/>
      <c r="HY386" s="999"/>
      <c r="HZ386" s="999"/>
      <c r="IA386" s="999"/>
      <c r="IB386" s="999"/>
      <c r="IC386" s="999"/>
      <c r="ID386" s="999"/>
      <c r="IE386" s="999"/>
      <c r="IF386" s="999"/>
      <c r="IG386" s="999"/>
      <c r="IH386" s="999"/>
      <c r="II386" s="999"/>
      <c r="IJ386" s="999"/>
      <c r="IK386" s="999"/>
      <c r="IL386" s="999"/>
      <c r="IM386" s="999"/>
      <c r="IN386" s="999"/>
      <c r="IO386" s="999"/>
      <c r="IP386" s="999"/>
      <c r="IQ386" s="999"/>
      <c r="IR386" s="999"/>
      <c r="IS386" s="999"/>
      <c r="IT386" s="999"/>
      <c r="IU386" s="999"/>
      <c r="IV386" s="999"/>
    </row>
    <row r="387" spans="1:256" customFormat="1" hidden="1" outlineLevel="1" x14ac:dyDescent="0.15"/>
    <row r="388" spans="1:256" ht="12.75" collapsed="1" x14ac:dyDescent="0.2">
      <c r="FG388" s="1014"/>
      <c r="FH388" s="1087"/>
      <c r="FI388" s="1087"/>
      <c r="FJ388" s="1087"/>
      <c r="FK388" s="1087"/>
      <c r="FL388" s="1087"/>
      <c r="FM388" s="1087"/>
      <c r="FN388" s="1087"/>
      <c r="FO388" s="1087"/>
      <c r="FP388" s="1087"/>
      <c r="FQ388" s="1087"/>
      <c r="GA388" s="1014"/>
    </row>
    <row r="389" spans="1:256" ht="12.75" x14ac:dyDescent="0.2">
      <c r="FG389" s="1014"/>
      <c r="FH389" s="1087"/>
      <c r="FI389" s="1087"/>
      <c r="FJ389" s="1087"/>
      <c r="FK389" s="1087"/>
      <c r="FL389" s="1087"/>
      <c r="FM389" s="1087"/>
      <c r="FN389" s="1087"/>
      <c r="FO389" s="1087"/>
      <c r="FP389" s="1087"/>
      <c r="FQ389" s="1087"/>
      <c r="GA389" s="1014"/>
    </row>
    <row r="390" spans="1:256" ht="12.75" x14ac:dyDescent="0.2">
      <c r="FG390" s="1014"/>
      <c r="FH390" s="1087"/>
      <c r="FI390" s="1087"/>
      <c r="FJ390" s="1087"/>
      <c r="FK390" s="1087"/>
      <c r="FL390" s="1087"/>
      <c r="FM390" s="1087"/>
      <c r="FN390" s="1087"/>
      <c r="FO390" s="1087"/>
      <c r="FP390" s="1087"/>
      <c r="FQ390" s="1087"/>
      <c r="GA390" s="1014"/>
    </row>
    <row r="391" spans="1:256" ht="12.75" x14ac:dyDescent="0.2">
      <c r="FG391" s="1014"/>
      <c r="FH391" s="1087"/>
      <c r="FI391" s="1087"/>
      <c r="FJ391" s="1087"/>
      <c r="FK391" s="1087"/>
      <c r="FL391" s="1087"/>
      <c r="FM391" s="1087"/>
      <c r="FN391" s="1087"/>
      <c r="FO391" s="1087"/>
      <c r="FP391" s="1087"/>
      <c r="FQ391" s="1087"/>
      <c r="GA391" s="1014"/>
    </row>
    <row r="392" spans="1:256" ht="12.75" x14ac:dyDescent="0.2">
      <c r="FG392" s="1014"/>
      <c r="FH392" s="1087"/>
      <c r="FI392" s="1087"/>
      <c r="FJ392" s="1087"/>
      <c r="FK392" s="1087"/>
      <c r="FL392" s="1087"/>
      <c r="FM392" s="1087"/>
      <c r="FN392" s="1087"/>
      <c r="FO392" s="1087"/>
      <c r="FP392" s="1087"/>
      <c r="FQ392" s="1087"/>
      <c r="GA392" s="1014"/>
    </row>
    <row r="393" spans="1:256" ht="12.75" x14ac:dyDescent="0.2">
      <c r="FG393" s="1014"/>
      <c r="FH393" s="1087"/>
      <c r="FI393" s="1087"/>
      <c r="FJ393" s="1087"/>
      <c r="FK393" s="1087"/>
      <c r="FL393" s="1087"/>
      <c r="FM393" s="1087"/>
      <c r="FN393" s="1087"/>
      <c r="FO393" s="1087"/>
      <c r="FP393" s="1087"/>
      <c r="FQ393" s="1087"/>
      <c r="GA393" s="1014"/>
    </row>
    <row r="394" spans="1:256" ht="12.75" x14ac:dyDescent="0.2">
      <c r="FG394" s="1014"/>
      <c r="FH394" s="1087"/>
      <c r="FI394" s="1087"/>
      <c r="FJ394" s="1087"/>
      <c r="FK394" s="1087"/>
      <c r="FL394" s="1087"/>
      <c r="FM394" s="1087"/>
      <c r="FN394" s="1087"/>
      <c r="FO394" s="1087"/>
      <c r="FP394" s="1087"/>
      <c r="FQ394" s="1087"/>
      <c r="GA394" s="1014"/>
    </row>
    <row r="395" spans="1:256" ht="12.75" x14ac:dyDescent="0.2">
      <c r="FG395" s="1014"/>
      <c r="FH395" s="1087"/>
      <c r="FI395" s="1087"/>
      <c r="FJ395" s="1087"/>
      <c r="FK395" s="1087"/>
      <c r="FL395" s="1087"/>
      <c r="FM395" s="1087"/>
      <c r="FN395" s="1087"/>
      <c r="FO395" s="1087"/>
      <c r="FP395" s="1087"/>
      <c r="FQ395" s="1087"/>
      <c r="GA395" s="1014"/>
    </row>
    <row r="396" spans="1:256" ht="12.75" x14ac:dyDescent="0.2">
      <c r="FG396" s="1014"/>
      <c r="FH396" s="1087"/>
      <c r="FI396" s="1087"/>
      <c r="FJ396" s="1087"/>
      <c r="FK396" s="1087"/>
      <c r="FL396" s="1087"/>
      <c r="FM396" s="1087"/>
      <c r="FN396" s="1087"/>
      <c r="FO396" s="1087"/>
      <c r="FP396" s="1087"/>
      <c r="FQ396" s="1087"/>
      <c r="GA396" s="1014"/>
    </row>
    <row r="397" spans="1:256" ht="12.75" x14ac:dyDescent="0.2">
      <c r="FG397" s="1014"/>
      <c r="GA397" s="1014"/>
    </row>
    <row r="398" spans="1:256" ht="12.75" x14ac:dyDescent="0.2">
      <c r="FG398" s="1014"/>
      <c r="GA398" s="1014"/>
    </row>
    <row r="399" spans="1:256" ht="12.75" x14ac:dyDescent="0.2">
      <c r="FG399" s="1014"/>
      <c r="GA399" s="1014"/>
    </row>
    <row r="400" spans="1:256" ht="12.75" x14ac:dyDescent="0.2">
      <c r="FG400" s="1014"/>
      <c r="GA400" s="1014"/>
    </row>
    <row r="401" spans="163:183" ht="12.75" x14ac:dyDescent="0.2">
      <c r="FG401" s="1014"/>
      <c r="GA401" s="1014"/>
    </row>
    <row r="402" spans="163:183" ht="12.75" x14ac:dyDescent="0.2">
      <c r="FG402" s="1014"/>
      <c r="GA402" s="1014"/>
    </row>
    <row r="403" spans="163:183" ht="12.75" x14ac:dyDescent="0.2">
      <c r="FG403" s="1014"/>
      <c r="GA403" s="1014"/>
    </row>
    <row r="404" spans="163:183" ht="12.75" x14ac:dyDescent="0.2">
      <c r="FG404" s="1014"/>
      <c r="GA404" s="1014"/>
    </row>
    <row r="405" spans="163:183" ht="12.75" x14ac:dyDescent="0.2">
      <c r="FG405" s="1014"/>
      <c r="GA405" s="1014"/>
    </row>
    <row r="406" spans="163:183" ht="12.75" x14ac:dyDescent="0.2">
      <c r="FG406" s="1014"/>
      <c r="GA406" s="1014"/>
    </row>
    <row r="407" spans="163:183" ht="12.75" x14ac:dyDescent="0.2">
      <c r="FG407" s="1014"/>
      <c r="GA407" s="1014"/>
    </row>
    <row r="408" spans="163:183" ht="12.75" x14ac:dyDescent="0.2">
      <c r="FG408" s="1014"/>
      <c r="GA408" s="1014"/>
    </row>
    <row r="409" spans="163:183" ht="12.75" x14ac:dyDescent="0.2">
      <c r="FG409" s="1014"/>
      <c r="GA409" s="1014"/>
    </row>
    <row r="410" spans="163:183" ht="12.75" x14ac:dyDescent="0.2">
      <c r="FG410" s="1014"/>
      <c r="GA410" s="1014"/>
    </row>
    <row r="411" spans="163:183" ht="12.75" x14ac:dyDescent="0.2">
      <c r="FG411" s="1014"/>
      <c r="GA411" s="1014"/>
    </row>
    <row r="412" spans="163:183" ht="12.75" x14ac:dyDescent="0.2">
      <c r="FG412" s="1014"/>
      <c r="GA412" s="1014"/>
    </row>
    <row r="413" spans="163:183" ht="12.75" x14ac:dyDescent="0.2">
      <c r="FG413" s="1014"/>
      <c r="GA413" s="1014"/>
    </row>
    <row r="414" spans="163:183" ht="12.75" x14ac:dyDescent="0.2">
      <c r="FG414" s="1014"/>
      <c r="GA414" s="1014"/>
    </row>
    <row r="415" spans="163:183" ht="12.75" x14ac:dyDescent="0.2">
      <c r="FG415" s="1014"/>
      <c r="GA415" s="1014"/>
    </row>
    <row r="416" spans="163:183" ht="12.75" x14ac:dyDescent="0.2">
      <c r="FG416" s="1014"/>
      <c r="GA416" s="1014"/>
    </row>
    <row r="417" spans="163:183" ht="12.75" x14ac:dyDescent="0.2">
      <c r="FG417" s="1014"/>
      <c r="GA417" s="1014"/>
    </row>
    <row r="418" spans="163:183" ht="12.75" x14ac:dyDescent="0.2">
      <c r="FG418" s="1014"/>
      <c r="GA418" s="1014"/>
    </row>
    <row r="419" spans="163:183" ht="12.75" x14ac:dyDescent="0.2">
      <c r="FG419" s="1014"/>
      <c r="GA419" s="1014"/>
    </row>
    <row r="420" spans="163:183" ht="12.75" x14ac:dyDescent="0.2">
      <c r="FG420" s="1014"/>
      <c r="GA420" s="1014"/>
    </row>
    <row r="421" spans="163:183" ht="12.75" x14ac:dyDescent="0.2">
      <c r="FG421" s="1014"/>
      <c r="GA421" s="1014"/>
    </row>
    <row r="422" spans="163:183" ht="12.75" x14ac:dyDescent="0.2">
      <c r="FG422" s="1014"/>
      <c r="GA422" s="1014"/>
    </row>
    <row r="423" spans="163:183" ht="12.75" x14ac:dyDescent="0.2">
      <c r="FG423" s="1014"/>
      <c r="GA423" s="1014"/>
    </row>
    <row r="424" spans="163:183" ht="12.75" x14ac:dyDescent="0.2">
      <c r="FG424" s="1014"/>
      <c r="GA424" s="1014"/>
    </row>
    <row r="425" spans="163:183" ht="12.75" x14ac:dyDescent="0.2">
      <c r="FG425" s="1014"/>
      <c r="GA425" s="1014"/>
    </row>
    <row r="426" spans="163:183" ht="12.75" x14ac:dyDescent="0.2">
      <c r="FG426" s="1014"/>
      <c r="GA426" s="1014"/>
    </row>
    <row r="427" spans="163:183" ht="12.75" x14ac:dyDescent="0.2">
      <c r="FG427" s="1014"/>
      <c r="GA427" s="1014"/>
    </row>
    <row r="428" spans="163:183" ht="12.75" x14ac:dyDescent="0.2">
      <c r="FG428" s="1014"/>
      <c r="GA428" s="1014"/>
    </row>
    <row r="429" spans="163:183" ht="12.75" x14ac:dyDescent="0.2">
      <c r="FG429" s="1014"/>
      <c r="GA429" s="1014"/>
    </row>
    <row r="430" spans="163:183" ht="12.75" x14ac:dyDescent="0.2">
      <c r="FG430" s="1014"/>
      <c r="GA430" s="1014"/>
    </row>
    <row r="431" spans="163:183" ht="12.75" x14ac:dyDescent="0.2">
      <c r="FG431" s="1014"/>
      <c r="GA431" s="1014"/>
    </row>
    <row r="432" spans="163:183" ht="12.75" x14ac:dyDescent="0.2">
      <c r="FG432" s="1014"/>
      <c r="GA432" s="1014"/>
    </row>
    <row r="433" spans="163:183" ht="12.75" x14ac:dyDescent="0.2">
      <c r="FG433" s="1014"/>
      <c r="GA433" s="1014"/>
    </row>
    <row r="434" spans="163:183" ht="12.75" x14ac:dyDescent="0.2">
      <c r="FG434" s="1014"/>
      <c r="GA434" s="1014"/>
    </row>
    <row r="435" spans="163:183" ht="12.75" x14ac:dyDescent="0.2">
      <c r="FG435" s="1014"/>
      <c r="GA435" s="1014"/>
    </row>
    <row r="436" spans="163:183" ht="12.75" x14ac:dyDescent="0.2">
      <c r="FG436" s="1014"/>
      <c r="GA436" s="1014"/>
    </row>
    <row r="437" spans="163:183" ht="12.75" x14ac:dyDescent="0.2">
      <c r="FG437" s="1014"/>
      <c r="GA437" s="1014"/>
    </row>
    <row r="438" spans="163:183" ht="12.75" x14ac:dyDescent="0.2">
      <c r="FG438" s="1014"/>
      <c r="GA438" s="1014"/>
    </row>
    <row r="439" spans="163:183" ht="12.75" x14ac:dyDescent="0.2">
      <c r="FG439" s="1014"/>
      <c r="GA439" s="1014"/>
    </row>
    <row r="440" spans="163:183" ht="12.75" x14ac:dyDescent="0.2">
      <c r="FG440" s="1014"/>
      <c r="GA440" s="1014"/>
    </row>
    <row r="441" spans="163:183" ht="12.75" x14ac:dyDescent="0.2">
      <c r="FG441" s="1014"/>
      <c r="GA441" s="1014"/>
    </row>
    <row r="442" spans="163:183" ht="12.75" x14ac:dyDescent="0.2">
      <c r="FG442" s="1014"/>
      <c r="GA442" s="1014"/>
    </row>
    <row r="443" spans="163:183" ht="12.75" x14ac:dyDescent="0.2">
      <c r="FG443" s="1014"/>
      <c r="GA443" s="1014"/>
    </row>
    <row r="444" spans="163:183" ht="12.75" x14ac:dyDescent="0.2">
      <c r="FG444" s="1014"/>
      <c r="GA444" s="1014"/>
    </row>
    <row r="445" spans="163:183" ht="12.75" x14ac:dyDescent="0.2">
      <c r="FG445" s="1014"/>
      <c r="GA445" s="1014"/>
    </row>
    <row r="446" spans="163:183" ht="12.75" x14ac:dyDescent="0.2">
      <c r="FG446" s="1014"/>
      <c r="GA446" s="1014"/>
    </row>
    <row r="447" spans="163:183" ht="12.75" x14ac:dyDescent="0.2">
      <c r="FG447" s="1014"/>
      <c r="GA447" s="1014"/>
    </row>
    <row r="448" spans="163:183" ht="12.75" x14ac:dyDescent="0.2">
      <c r="FG448" s="1014"/>
      <c r="GA448" s="1014"/>
    </row>
    <row r="449" spans="163:183" ht="12.75" x14ac:dyDescent="0.2">
      <c r="FG449" s="1014"/>
      <c r="GA449" s="1014"/>
    </row>
    <row r="450" spans="163:183" ht="12.75" x14ac:dyDescent="0.2">
      <c r="FG450" s="1014"/>
      <c r="GA450" s="1014"/>
    </row>
    <row r="451" spans="163:183" ht="12.75" x14ac:dyDescent="0.2">
      <c r="FG451" s="1014"/>
      <c r="GA451" s="1014"/>
    </row>
    <row r="452" spans="163:183" ht="12.75" x14ac:dyDescent="0.2">
      <c r="FG452" s="1014"/>
      <c r="GA452" s="1014"/>
    </row>
    <row r="453" spans="163:183" ht="12.75" x14ac:dyDescent="0.2">
      <c r="FG453" s="1014"/>
      <c r="GA453" s="1014"/>
    </row>
    <row r="454" spans="163:183" ht="12.75" x14ac:dyDescent="0.2">
      <c r="FG454" s="1014"/>
      <c r="GA454" s="1014"/>
    </row>
    <row r="455" spans="163:183" ht="12.75" x14ac:dyDescent="0.2">
      <c r="FG455" s="1014"/>
      <c r="GA455" s="1014"/>
    </row>
    <row r="456" spans="163:183" ht="12.75" x14ac:dyDescent="0.2">
      <c r="FG456" s="1014"/>
      <c r="GA456" s="1014"/>
    </row>
    <row r="457" spans="163:183" ht="12.75" x14ac:dyDescent="0.2">
      <c r="FG457" s="1014"/>
      <c r="GA457" s="1014"/>
    </row>
    <row r="458" spans="163:183" ht="12.75" x14ac:dyDescent="0.2">
      <c r="FG458" s="1014"/>
      <c r="GA458" s="1014"/>
    </row>
    <row r="459" spans="163:183" ht="12.75" x14ac:dyDescent="0.2">
      <c r="FG459" s="1014"/>
      <c r="GA459" s="1014"/>
    </row>
    <row r="460" spans="163:183" ht="12.75" x14ac:dyDescent="0.2">
      <c r="FG460" s="1014"/>
      <c r="GA460" s="1014"/>
    </row>
    <row r="461" spans="163:183" ht="12.75" x14ac:dyDescent="0.2">
      <c r="FG461" s="1014"/>
      <c r="GA461" s="1014"/>
    </row>
    <row r="462" spans="163:183" ht="12.75" x14ac:dyDescent="0.2">
      <c r="FG462" s="1014"/>
      <c r="GA462" s="1014"/>
    </row>
    <row r="463" spans="163:183" ht="12.75" x14ac:dyDescent="0.2">
      <c r="FG463" s="1014"/>
      <c r="GA463" s="1014"/>
    </row>
    <row r="464" spans="163:183" ht="12.75" x14ac:dyDescent="0.2">
      <c r="FG464" s="1014"/>
      <c r="GA464" s="1014"/>
    </row>
    <row r="465" spans="163:183" ht="12.75" x14ac:dyDescent="0.2">
      <c r="FG465" s="1014"/>
      <c r="GA465" s="1014"/>
    </row>
    <row r="466" spans="163:183" ht="12.75" x14ac:dyDescent="0.2">
      <c r="FG466" s="1014"/>
      <c r="GA466" s="1014"/>
    </row>
    <row r="467" spans="163:183" ht="12.75" x14ac:dyDescent="0.2">
      <c r="FG467" s="1014"/>
      <c r="GA467" s="1014"/>
    </row>
    <row r="468" spans="163:183" ht="12.75" x14ac:dyDescent="0.2">
      <c r="FG468" s="1014"/>
      <c r="GA468" s="1014"/>
    </row>
    <row r="469" spans="163:183" ht="12.75" x14ac:dyDescent="0.2">
      <c r="FG469" s="1014"/>
      <c r="GA469" s="1014"/>
    </row>
    <row r="470" spans="163:183" ht="12.75" x14ac:dyDescent="0.2">
      <c r="FG470" s="1014"/>
      <c r="GA470" s="1014"/>
    </row>
    <row r="471" spans="163:183" ht="12.75" x14ac:dyDescent="0.2">
      <c r="FG471" s="1014"/>
      <c r="GA471" s="1014"/>
    </row>
    <row r="472" spans="163:183" ht="12.75" x14ac:dyDescent="0.2">
      <c r="FG472" s="1014"/>
      <c r="GA472" s="1014"/>
    </row>
    <row r="473" spans="163:183" ht="12.75" x14ac:dyDescent="0.2">
      <c r="FG473" s="1014"/>
      <c r="GA473" s="1014"/>
    </row>
    <row r="474" spans="163:183" ht="12.75" x14ac:dyDescent="0.2">
      <c r="FG474" s="1014"/>
      <c r="GA474" s="1014"/>
    </row>
    <row r="475" spans="163:183" ht="12.75" x14ac:dyDescent="0.2">
      <c r="FG475" s="1014"/>
      <c r="GA475" s="1014"/>
    </row>
    <row r="476" spans="163:183" ht="12.75" x14ac:dyDescent="0.2">
      <c r="FG476" s="1014"/>
      <c r="GA476" s="1014"/>
    </row>
    <row r="477" spans="163:183" ht="12.75" x14ac:dyDescent="0.2">
      <c r="FG477" s="1014"/>
      <c r="GA477" s="1014"/>
    </row>
    <row r="478" spans="163:183" ht="12.75" x14ac:dyDescent="0.2">
      <c r="FG478" s="1014"/>
      <c r="GA478" s="1014"/>
    </row>
    <row r="479" spans="163:183" ht="12.75" x14ac:dyDescent="0.2">
      <c r="FG479" s="1014"/>
      <c r="GA479" s="1014"/>
    </row>
    <row r="480" spans="163:183" ht="12.75" x14ac:dyDescent="0.2">
      <c r="FG480" s="1014"/>
      <c r="GA480" s="1014"/>
    </row>
    <row r="481" spans="163:183" ht="12.75" x14ac:dyDescent="0.2">
      <c r="FG481" s="1014"/>
      <c r="GA481" s="1014"/>
    </row>
    <row r="482" spans="163:183" ht="12.75" x14ac:dyDescent="0.2">
      <c r="FG482" s="1014"/>
      <c r="GA482" s="1014"/>
    </row>
    <row r="483" spans="163:183" ht="12.75" x14ac:dyDescent="0.2">
      <c r="FG483" s="1014"/>
      <c r="GA483" s="1014"/>
    </row>
    <row r="484" spans="163:183" ht="12.75" x14ac:dyDescent="0.2">
      <c r="FG484" s="1014"/>
      <c r="GA484" s="1014"/>
    </row>
    <row r="485" spans="163:183" ht="12.75" x14ac:dyDescent="0.2">
      <c r="FG485" s="1014"/>
      <c r="GA485" s="1014"/>
    </row>
    <row r="486" spans="163:183" ht="12.75" x14ac:dyDescent="0.2">
      <c r="FG486" s="1014"/>
      <c r="GA486" s="1014"/>
    </row>
    <row r="487" spans="163:183" ht="12.75" x14ac:dyDescent="0.2">
      <c r="FG487" s="1014"/>
      <c r="GA487" s="1014"/>
    </row>
    <row r="488" spans="163:183" ht="12.75" x14ac:dyDescent="0.2">
      <c r="FG488" s="1014"/>
      <c r="GA488" s="1014"/>
    </row>
    <row r="489" spans="163:183" ht="12.75" x14ac:dyDescent="0.2">
      <c r="FG489" s="1014"/>
      <c r="GA489" s="1014"/>
    </row>
    <row r="490" spans="163:183" ht="12.75" x14ac:dyDescent="0.2">
      <c r="FG490" s="1014"/>
      <c r="GA490" s="1014"/>
    </row>
    <row r="491" spans="163:183" ht="12.75" x14ac:dyDescent="0.2">
      <c r="FG491" s="1014"/>
      <c r="GA491" s="1014"/>
    </row>
    <row r="492" spans="163:183" ht="12.75" x14ac:dyDescent="0.2">
      <c r="FG492" s="1014"/>
      <c r="GA492" s="1014"/>
    </row>
    <row r="493" spans="163:183" ht="12.75" x14ac:dyDescent="0.2">
      <c r="FG493" s="1014"/>
      <c r="GA493" s="1014"/>
    </row>
    <row r="494" spans="163:183" ht="12.75" x14ac:dyDescent="0.2">
      <c r="FG494" s="1014"/>
      <c r="GA494" s="1014"/>
    </row>
    <row r="495" spans="163:183" ht="12.75" x14ac:dyDescent="0.2">
      <c r="FG495" s="1014"/>
      <c r="GA495" s="1014"/>
    </row>
    <row r="496" spans="163:183" ht="12.75" x14ac:dyDescent="0.2">
      <c r="FG496" s="1014"/>
      <c r="GA496" s="1014"/>
    </row>
    <row r="497" spans="163:183" ht="12.75" x14ac:dyDescent="0.2">
      <c r="FG497" s="1014"/>
      <c r="GA497" s="1014"/>
    </row>
    <row r="498" spans="163:183" ht="12.75" x14ac:dyDescent="0.2">
      <c r="FG498" s="1014"/>
      <c r="GA498" s="1014"/>
    </row>
    <row r="499" spans="163:183" ht="12.75" x14ac:dyDescent="0.2">
      <c r="FG499" s="1014"/>
      <c r="GA499" s="1014"/>
    </row>
    <row r="500" spans="163:183" ht="12.75" x14ac:dyDescent="0.2">
      <c r="FG500" s="1014"/>
      <c r="GA500" s="1014"/>
    </row>
    <row r="501" spans="163:183" ht="12.75" x14ac:dyDescent="0.2">
      <c r="FG501" s="1014"/>
      <c r="GA501" s="1014"/>
    </row>
    <row r="502" spans="163:183" ht="12.75" x14ac:dyDescent="0.2">
      <c r="FG502" s="1014"/>
      <c r="GA502" s="1014"/>
    </row>
    <row r="503" spans="163:183" ht="12.75" x14ac:dyDescent="0.2">
      <c r="FG503" s="1014"/>
      <c r="GA503" s="1014"/>
    </row>
    <row r="504" spans="163:183" ht="12.75" x14ac:dyDescent="0.2">
      <c r="FG504" s="1014"/>
      <c r="GA504" s="1014"/>
    </row>
    <row r="505" spans="163:183" ht="12.75" x14ac:dyDescent="0.2">
      <c r="FG505" s="1014"/>
      <c r="GA505" s="1014"/>
    </row>
    <row r="506" spans="163:183" ht="12.75" x14ac:dyDescent="0.2">
      <c r="FG506" s="1014"/>
      <c r="GA506" s="1014"/>
    </row>
    <row r="507" spans="163:183" ht="12.75" x14ac:dyDescent="0.2">
      <c r="FG507" s="1014"/>
      <c r="GA507" s="1014"/>
    </row>
    <row r="508" spans="163:183" ht="12.75" x14ac:dyDescent="0.2">
      <c r="FG508" s="1014"/>
      <c r="GA508" s="1014"/>
    </row>
    <row r="509" spans="163:183" ht="12.75" x14ac:dyDescent="0.2">
      <c r="FG509" s="1014"/>
      <c r="GA509" s="1014"/>
    </row>
    <row r="510" spans="163:183" ht="12.75" x14ac:dyDescent="0.2">
      <c r="FG510" s="1014"/>
      <c r="GA510" s="1014"/>
    </row>
    <row r="511" spans="163:183" ht="12.75" x14ac:dyDescent="0.2">
      <c r="FG511" s="1014"/>
      <c r="GA511" s="1014"/>
    </row>
    <row r="512" spans="163:183" ht="12.75" x14ac:dyDescent="0.2">
      <c r="FG512" s="1014"/>
      <c r="GA512" s="1014"/>
    </row>
    <row r="513" spans="163:183" ht="12.75" x14ac:dyDescent="0.2">
      <c r="FG513" s="1014"/>
      <c r="GA513" s="1014"/>
    </row>
    <row r="514" spans="163:183" ht="12.75" x14ac:dyDescent="0.2">
      <c r="FG514" s="1014"/>
      <c r="GA514" s="1014"/>
    </row>
    <row r="515" spans="163:183" ht="12.75" x14ac:dyDescent="0.2">
      <c r="FG515" s="1014"/>
      <c r="GA515" s="1014"/>
    </row>
    <row r="516" spans="163:183" ht="12.75" x14ac:dyDescent="0.2">
      <c r="FG516" s="1014"/>
      <c r="GA516" s="1014"/>
    </row>
    <row r="517" spans="163:183" ht="12.75" x14ac:dyDescent="0.2">
      <c r="FG517" s="1014"/>
      <c r="GA517" s="1014"/>
    </row>
    <row r="518" spans="163:183" ht="12.75" x14ac:dyDescent="0.2">
      <c r="FG518" s="1014"/>
      <c r="GA518" s="1014"/>
    </row>
    <row r="519" spans="163:183" ht="12.75" x14ac:dyDescent="0.2">
      <c r="FG519" s="1014"/>
      <c r="GA519" s="1014"/>
    </row>
    <row r="520" spans="163:183" ht="12.75" x14ac:dyDescent="0.2">
      <c r="FG520" s="1014"/>
      <c r="GA520" s="1014"/>
    </row>
    <row r="521" spans="163:183" ht="12.75" x14ac:dyDescent="0.2">
      <c r="FG521" s="1014"/>
      <c r="GA521" s="1014"/>
    </row>
    <row r="522" spans="163:183" ht="12.75" x14ac:dyDescent="0.2">
      <c r="FG522" s="1014"/>
      <c r="GA522" s="1014"/>
    </row>
    <row r="523" spans="163:183" ht="12.75" x14ac:dyDescent="0.2">
      <c r="FG523" s="1014"/>
      <c r="GA523" s="1014"/>
    </row>
    <row r="524" spans="163:183" ht="12.75" x14ac:dyDescent="0.2">
      <c r="FG524" s="1014"/>
      <c r="GA524" s="1014"/>
    </row>
    <row r="525" spans="163:183" ht="12.75" x14ac:dyDescent="0.2">
      <c r="FG525" s="1014"/>
      <c r="GA525" s="1014"/>
    </row>
    <row r="526" spans="163:183" ht="12.75" x14ac:dyDescent="0.2">
      <c r="FG526" s="1014"/>
      <c r="GA526" s="1014"/>
    </row>
  </sheetData>
  <mergeCells count="1">
    <mergeCell ref="FM1:FQ1"/>
  </mergeCells>
  <phoneticPr fontId="18" type="noConversion"/>
  <pageMargins left="0.35" right="0.16" top="0.56000000000000005" bottom="0.49" header="0.28000000000000003" footer="0.28000000000000003"/>
  <pageSetup scale="48" fitToHeight="6" orientation="landscape" r:id="rId1"/>
  <headerFooter alignWithMargins="0">
    <oddHeader>&amp;L&amp;"Times New Roman,Bold Italic"&amp;16MORGAN STANLEY&amp;R&amp;"Times New Roman,Bold"&amp;16Canadian Pacific</oddHeader>
    <oddFooter>&amp;CPage &amp;P</oddFooter>
  </headerFooter>
  <rowBreaks count="4" manualBreakCount="4">
    <brk id="79" max="144" man="1"/>
    <brk id="136" max="144" man="1"/>
    <brk id="219" max="144" man="1"/>
    <brk id="281" max="144"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2:AA54"/>
  <sheetViews>
    <sheetView showGridLines="0" zoomScale="85" zoomScaleNormal="85" workbookViewId="0">
      <selection activeCell="E37" sqref="E37"/>
    </sheetView>
  </sheetViews>
  <sheetFormatPr defaultRowHeight="12.75" x14ac:dyDescent="0.2"/>
  <cols>
    <col min="1" max="1" width="2.125" style="1651" customWidth="1"/>
    <col min="2" max="5" width="9.5" style="1651" customWidth="1"/>
    <col min="6" max="7" width="8" style="1651" customWidth="1"/>
    <col min="8" max="8" width="7" style="1651" customWidth="1"/>
    <col min="9" max="10" width="9" style="1651"/>
    <col min="11" max="15" width="9.5" style="1651" bestFit="1" customWidth="1"/>
    <col min="16" max="25" width="9" style="1651"/>
    <col min="26" max="26" width="8.375" style="1651" customWidth="1"/>
    <col min="27" max="16384" width="9" style="1651"/>
  </cols>
  <sheetData>
    <row r="2" spans="1:25" x14ac:dyDescent="0.2">
      <c r="B2" s="1652" t="s">
        <v>739</v>
      </c>
      <c r="C2" s="1652"/>
      <c r="D2" s="1652"/>
      <c r="E2" s="1652"/>
      <c r="F2" s="1653">
        <v>40178</v>
      </c>
      <c r="G2" s="1653">
        <f t="shared" ref="G2:Q2" si="0">+EOMONTH(F2,12)</f>
        <v>40543</v>
      </c>
      <c r="H2" s="1653">
        <f t="shared" si="0"/>
        <v>40908</v>
      </c>
      <c r="I2" s="1653">
        <f t="shared" si="0"/>
        <v>41274</v>
      </c>
      <c r="J2" s="1653">
        <f t="shared" si="0"/>
        <v>41639</v>
      </c>
      <c r="K2" s="1653">
        <f t="shared" si="0"/>
        <v>42004</v>
      </c>
      <c r="L2" s="1653">
        <f t="shared" si="0"/>
        <v>42369</v>
      </c>
      <c r="M2" s="1653">
        <f t="shared" si="0"/>
        <v>42735</v>
      </c>
      <c r="N2" s="1653">
        <f t="shared" si="0"/>
        <v>43100</v>
      </c>
      <c r="O2" s="1653">
        <f t="shared" si="0"/>
        <v>43465</v>
      </c>
      <c r="P2" s="1653">
        <f t="shared" si="0"/>
        <v>43830</v>
      </c>
      <c r="Q2" s="1653">
        <f t="shared" si="0"/>
        <v>44196</v>
      </c>
      <c r="R2" s="1653">
        <f t="shared" ref="R2:Y2" si="1">+EOMONTH(Q2,12)</f>
        <v>44561</v>
      </c>
      <c r="S2" s="1653">
        <f t="shared" si="1"/>
        <v>44926</v>
      </c>
      <c r="T2" s="1653">
        <f t="shared" si="1"/>
        <v>45291</v>
      </c>
      <c r="U2" s="1653">
        <f t="shared" si="1"/>
        <v>45657</v>
      </c>
      <c r="V2" s="1653">
        <f t="shared" si="1"/>
        <v>46022</v>
      </c>
      <c r="W2" s="1653">
        <f t="shared" si="1"/>
        <v>46387</v>
      </c>
      <c r="X2" s="1653">
        <f t="shared" si="1"/>
        <v>46752</v>
      </c>
      <c r="Y2" s="1653">
        <f t="shared" si="1"/>
        <v>47118</v>
      </c>
    </row>
    <row r="3" spans="1:25" ht="13.5" x14ac:dyDescent="0.2">
      <c r="A3" s="1652"/>
      <c r="B3" s="1654"/>
      <c r="C3" s="1654"/>
      <c r="D3" s="1654"/>
      <c r="E3" s="1654"/>
      <c r="F3" s="1655"/>
      <c r="G3" s="1655"/>
      <c r="H3" s="1655"/>
      <c r="I3" s="1655"/>
      <c r="J3" s="1655"/>
      <c r="K3" s="1655"/>
      <c r="L3" s="1655"/>
      <c r="M3" s="1655"/>
      <c r="N3" s="1655"/>
      <c r="O3" s="1655"/>
      <c r="P3" s="1655"/>
      <c r="Q3" s="1655"/>
      <c r="R3" s="1655"/>
    </row>
    <row r="4" spans="1:25" ht="13.5" thickBot="1" x14ac:dyDescent="0.25">
      <c r="A4" s="1652"/>
      <c r="B4" s="1656" t="s">
        <v>776</v>
      </c>
      <c r="C4" s="1656"/>
      <c r="D4" s="1656"/>
      <c r="E4" s="1656"/>
      <c r="F4" s="1657">
        <v>40178</v>
      </c>
      <c r="G4" s="1657">
        <f t="shared" ref="G4:V4" si="2">+EOMONTH(F4,12)</f>
        <v>40543</v>
      </c>
      <c r="H4" s="1657">
        <f t="shared" si="2"/>
        <v>40908</v>
      </c>
      <c r="I4" s="1657">
        <f t="shared" si="2"/>
        <v>41274</v>
      </c>
      <c r="J4" s="1657">
        <f t="shared" si="2"/>
        <v>41639</v>
      </c>
      <c r="K4" s="1657">
        <f t="shared" si="2"/>
        <v>42004</v>
      </c>
      <c r="L4" s="1657">
        <f>+EOMONTH(K4,12)</f>
        <v>42369</v>
      </c>
      <c r="M4" s="1657">
        <f>+EOMONTH(L4,12)</f>
        <v>42735</v>
      </c>
      <c r="N4" s="1657">
        <f t="shared" si="2"/>
        <v>43100</v>
      </c>
      <c r="O4" s="1658">
        <f t="shared" si="2"/>
        <v>43465</v>
      </c>
      <c r="P4" s="1658">
        <f t="shared" si="2"/>
        <v>43830</v>
      </c>
      <c r="Q4" s="1658">
        <f t="shared" si="2"/>
        <v>44196</v>
      </c>
      <c r="R4" s="1658">
        <f t="shared" si="2"/>
        <v>44561</v>
      </c>
      <c r="S4" s="1658">
        <f t="shared" si="2"/>
        <v>44926</v>
      </c>
      <c r="T4" s="1658">
        <f t="shared" si="2"/>
        <v>45291</v>
      </c>
      <c r="U4" s="1658">
        <f t="shared" si="2"/>
        <v>45657</v>
      </c>
      <c r="V4" s="1658">
        <f t="shared" si="2"/>
        <v>46022</v>
      </c>
      <c r="W4" s="1658">
        <f>+EOMONTH(V4,12)</f>
        <v>46387</v>
      </c>
      <c r="X4" s="1658">
        <f>+EOMONTH(W4,12)</f>
        <v>46752</v>
      </c>
      <c r="Y4" s="1658">
        <f>+EOMONTH(X4,12)</f>
        <v>47118</v>
      </c>
    </row>
    <row r="5" spans="1:25" x14ac:dyDescent="0.2">
      <c r="A5" s="1652"/>
      <c r="B5" s="1659"/>
      <c r="C5" s="1659"/>
      <c r="D5" s="1659"/>
      <c r="E5" s="1659"/>
      <c r="F5" s="1660"/>
      <c r="G5" s="1659"/>
      <c r="H5" s="1659"/>
      <c r="I5" s="1659"/>
      <c r="J5" s="1659"/>
      <c r="K5" s="1659"/>
      <c r="L5" s="1659"/>
      <c r="M5" s="1659"/>
      <c r="N5" s="1659"/>
      <c r="O5" s="1659"/>
      <c r="P5" s="1659"/>
      <c r="Q5" s="1659"/>
      <c r="R5" s="1659"/>
    </row>
    <row r="6" spans="1:25" x14ac:dyDescent="0.2">
      <c r="A6" s="1652"/>
      <c r="B6" s="1661" t="s">
        <v>740</v>
      </c>
      <c r="C6" s="1661"/>
      <c r="D6" s="1661"/>
      <c r="E6" s="1661"/>
      <c r="F6" s="1661"/>
      <c r="G6" s="1661"/>
      <c r="H6" s="1661"/>
      <c r="I6" s="1661"/>
      <c r="J6" s="1661"/>
      <c r="K6" s="1661"/>
      <c r="L6" s="1661"/>
      <c r="M6" s="1661"/>
      <c r="N6" s="1661"/>
      <c r="O6" s="1661"/>
      <c r="P6" s="1661"/>
      <c r="Q6" s="1661"/>
      <c r="R6" s="1661"/>
      <c r="S6" s="1661"/>
      <c r="T6" s="1661"/>
      <c r="U6" s="1661"/>
      <c r="V6" s="1661"/>
      <c r="W6" s="1661"/>
      <c r="X6" s="1661"/>
      <c r="Y6" s="1661"/>
    </row>
    <row r="7" spans="1:25" x14ac:dyDescent="0.2">
      <c r="B7" s="1662" t="s">
        <v>741</v>
      </c>
      <c r="C7" s="1659"/>
      <c r="D7" s="1659"/>
      <c r="E7" s="1659"/>
      <c r="F7" s="1663">
        <f>Model!$DB$221</f>
        <v>7969</v>
      </c>
      <c r="G7" s="1663">
        <f>Model!$DG$221</f>
        <v>9515.8731758530193</v>
      </c>
      <c r="H7" s="1663">
        <f>Model!$DL$221</f>
        <v>11172</v>
      </c>
      <c r="I7" s="1663">
        <f>Model!$DQ$221</f>
        <v>11040</v>
      </c>
      <c r="J7" s="1663">
        <f>Model!$DV$221</f>
        <v>11245</v>
      </c>
      <c r="K7" s="1663">
        <f>Model!$EA$221</f>
        <v>11624</v>
      </c>
      <c r="L7" s="1663">
        <f>Model!$EF$221</f>
        <v>10511</v>
      </c>
      <c r="M7" s="1663">
        <f>Model!$EK$221</f>
        <v>9888</v>
      </c>
      <c r="N7" s="1663">
        <f>Model!$EP$221</f>
        <v>10551</v>
      </c>
      <c r="O7" s="1663">
        <f>Model!$EU$221</f>
        <v>11196.962367272597</v>
      </c>
      <c r="P7" s="1663">
        <f>Model!$EZ$221</f>
        <v>11608.44420935623</v>
      </c>
      <c r="Q7" s="1663">
        <f>Model!$FE$221</f>
        <v>12047.784684095732</v>
      </c>
      <c r="R7" s="1663">
        <f t="shared" ref="R7:V7" si="3">+Q7*(1+R8)</f>
        <v>12409.218224618604</v>
      </c>
      <c r="S7" s="1663">
        <f t="shared" si="3"/>
        <v>12719.448680234067</v>
      </c>
      <c r="T7" s="1663">
        <f t="shared" si="3"/>
        <v>13037.434897239918</v>
      </c>
      <c r="U7" s="1663">
        <f t="shared" si="3"/>
        <v>13298.183595184717</v>
      </c>
      <c r="V7" s="1663">
        <f t="shared" si="3"/>
        <v>13564.147267088412</v>
      </c>
      <c r="W7" s="1663">
        <f>+V7*(1+W8)</f>
        <v>13767.609476094736</v>
      </c>
      <c r="X7" s="1663">
        <f>+W7*(1+X8)</f>
        <v>13974.123618236155</v>
      </c>
      <c r="Y7" s="1663">
        <f>+X7*(1+Y8)</f>
        <v>14183.735472509696</v>
      </c>
    </row>
    <row r="8" spans="1:25" x14ac:dyDescent="0.2">
      <c r="B8" s="1664" t="s">
        <v>742</v>
      </c>
      <c r="C8" s="1659"/>
      <c r="D8" s="1659"/>
      <c r="E8" s="1659"/>
      <c r="F8" s="1665" t="str">
        <f t="shared" ref="F8:Q8" si="4">IF(ISERROR(+F7/E7-1), "NA", +F7/E7-1)</f>
        <v>NA</v>
      </c>
      <c r="G8" s="1665">
        <f t="shared" si="4"/>
        <v>0.1941113283790965</v>
      </c>
      <c r="H8" s="1665">
        <f t="shared" si="4"/>
        <v>0.17403834556659303</v>
      </c>
      <c r="I8" s="1665">
        <f t="shared" si="4"/>
        <v>-1.1815252416756183E-2</v>
      </c>
      <c r="J8" s="1665">
        <f t="shared" si="4"/>
        <v>1.85688405797102E-2</v>
      </c>
      <c r="K8" s="1665">
        <f t="shared" si="4"/>
        <v>3.3703868385949409E-2</v>
      </c>
      <c r="L8" s="1665">
        <f t="shared" si="4"/>
        <v>-9.5750172057811445E-2</v>
      </c>
      <c r="M8" s="1665">
        <f t="shared" si="4"/>
        <v>-5.9271239653696073E-2</v>
      </c>
      <c r="N8" s="1665">
        <f t="shared" si="4"/>
        <v>6.7050970873786309E-2</v>
      </c>
      <c r="O8" s="1665">
        <f t="shared" si="4"/>
        <v>6.1222857290550436E-2</v>
      </c>
      <c r="P8" s="1665">
        <f t="shared" si="4"/>
        <v>3.6749417260376394E-2</v>
      </c>
      <c r="Q8" s="1665">
        <f t="shared" si="4"/>
        <v>3.7846628438408692E-2</v>
      </c>
      <c r="R8" s="1666">
        <v>0.03</v>
      </c>
      <c r="S8" s="1666">
        <v>2.5000000000000001E-2</v>
      </c>
      <c r="T8" s="1666">
        <v>2.5000000000000001E-2</v>
      </c>
      <c r="U8" s="1666">
        <v>0.02</v>
      </c>
      <c r="V8" s="1666">
        <v>0.02</v>
      </c>
      <c r="W8" s="1666">
        <v>1.4999999999999999E-2</v>
      </c>
      <c r="X8" s="1666">
        <v>1.4999999999999999E-2</v>
      </c>
      <c r="Y8" s="1666">
        <v>1.4999999999999999E-2</v>
      </c>
    </row>
    <row r="9" spans="1:25" x14ac:dyDescent="0.2">
      <c r="B9" s="1667"/>
      <c r="C9" s="1659"/>
      <c r="D9" s="1659"/>
      <c r="E9" s="1659"/>
      <c r="F9" s="1663"/>
      <c r="G9" s="1663"/>
      <c r="H9" s="1668"/>
      <c r="I9" s="1668"/>
      <c r="J9" s="1668"/>
      <c r="K9" s="1668"/>
      <c r="L9" s="1668"/>
      <c r="M9" s="1668"/>
      <c r="N9" s="1668"/>
      <c r="O9" s="1668"/>
      <c r="P9" s="1668"/>
      <c r="Q9" s="1668"/>
      <c r="R9" s="1668"/>
      <c r="S9" s="1668"/>
      <c r="T9" s="1668"/>
      <c r="U9" s="1668"/>
      <c r="V9" s="1663"/>
      <c r="W9" s="1663"/>
      <c r="X9" s="1663"/>
      <c r="Y9" s="1663"/>
    </row>
    <row r="10" spans="1:25" x14ac:dyDescent="0.2">
      <c r="B10" s="1662" t="s">
        <v>743</v>
      </c>
      <c r="C10" s="1659"/>
      <c r="D10" s="1659"/>
      <c r="E10" s="1659"/>
      <c r="F10" s="1669">
        <f>Model!$DB$234</f>
        <v>1962</v>
      </c>
      <c r="G10" s="1669">
        <f>Model!$DG$234</f>
        <v>2675.8731758530193</v>
      </c>
      <c r="H10" s="1669">
        <f>Model!$DL$234</f>
        <v>3271</v>
      </c>
      <c r="I10" s="1669">
        <f>Model!$DQ$234</f>
        <v>3124</v>
      </c>
      <c r="J10" s="1669">
        <f>Model!$DV$234</f>
        <v>3257</v>
      </c>
      <c r="K10" s="1669">
        <f>Model!$EA$234</f>
        <v>3575.1000000000004</v>
      </c>
      <c r="L10" s="1669">
        <f>Model!$EF$234</f>
        <v>2884</v>
      </c>
      <c r="M10" s="1669">
        <f>Model!$EK$234</f>
        <v>3074</v>
      </c>
      <c r="N10" s="1669">
        <f>Model!$EP$234</f>
        <v>3371</v>
      </c>
      <c r="O10" s="1669">
        <f>Model!$EU$234</f>
        <v>3531.0557647550513</v>
      </c>
      <c r="P10" s="1669">
        <f>Model!$EZ$234</f>
        <v>3684.6434783280629</v>
      </c>
      <c r="Q10" s="1669">
        <f>Model!$FE$234</f>
        <v>3872.8279593691805</v>
      </c>
      <c r="R10" s="1669">
        <f t="shared" ref="R10:V10" si="5">+R7*R19</f>
        <v>3982.8081890379462</v>
      </c>
      <c r="S10" s="1669">
        <f t="shared" si="5"/>
        <v>4076.0186694237773</v>
      </c>
      <c r="T10" s="1669">
        <f t="shared" si="5"/>
        <v>4171.4004187107521</v>
      </c>
      <c r="U10" s="1669">
        <f t="shared" si="5"/>
        <v>4248.1793352873747</v>
      </c>
      <c r="V10" s="1669">
        <f t="shared" si="5"/>
        <v>4326.3608483595781</v>
      </c>
      <c r="W10" s="1669">
        <f>+W7*W19</f>
        <v>4391.2562610849709</v>
      </c>
      <c r="X10" s="1669">
        <f>+X7*X19</f>
        <v>4457.1251050012452</v>
      </c>
      <c r="Y10" s="1669">
        <f>+Y7*Y19</f>
        <v>4523.981981576263</v>
      </c>
    </row>
    <row r="11" spans="1:25" x14ac:dyDescent="0.2">
      <c r="B11" s="1662" t="s">
        <v>602</v>
      </c>
      <c r="C11" s="1659"/>
      <c r="D11" s="1659"/>
      <c r="E11" s="1659"/>
      <c r="F11" s="1669">
        <f>Model!$DB$207</f>
        <v>837</v>
      </c>
      <c r="G11" s="1669">
        <f>Model!$DG$207</f>
        <v>819</v>
      </c>
      <c r="H11" s="1669">
        <f>Model!$DL$207</f>
        <v>862</v>
      </c>
      <c r="I11" s="1669">
        <f>Model!$DQ$207</f>
        <v>916</v>
      </c>
      <c r="J11" s="1669">
        <f>Model!$DV$207</f>
        <v>916</v>
      </c>
      <c r="K11" s="1669">
        <f>Model!$EA$207</f>
        <v>951</v>
      </c>
      <c r="L11" s="1669">
        <f>Model!$EF$207</f>
        <v>1054</v>
      </c>
      <c r="M11" s="1669">
        <f>Model!$EK$207</f>
        <v>1026</v>
      </c>
      <c r="N11" s="1669">
        <f>Model!$EP$207</f>
        <v>1055</v>
      </c>
      <c r="O11" s="1669">
        <f>Model!$EU$207</f>
        <v>1100</v>
      </c>
      <c r="P11" s="1669">
        <f>Model!$EZ$207</f>
        <v>1138.5</v>
      </c>
      <c r="Q11" s="1669">
        <f>Model!$FE$207</f>
        <v>1178.3474999999999</v>
      </c>
      <c r="R11" s="1669">
        <f t="shared" ref="R11:V11" si="6">+R7*R20</f>
        <v>1240.9218224618605</v>
      </c>
      <c r="S11" s="1669">
        <f t="shared" si="6"/>
        <v>1271.9448680234068</v>
      </c>
      <c r="T11" s="1669">
        <f t="shared" si="6"/>
        <v>1303.7434897239918</v>
      </c>
      <c r="U11" s="1669">
        <f t="shared" si="6"/>
        <v>1329.8183595184719</v>
      </c>
      <c r="V11" s="1669">
        <f t="shared" si="6"/>
        <v>1356.4147267088413</v>
      </c>
      <c r="W11" s="1669">
        <f>+W7*W20</f>
        <v>1376.7609476094738</v>
      </c>
      <c r="X11" s="1669">
        <f>+X7*X20</f>
        <v>1397.4123618236156</v>
      </c>
      <c r="Y11" s="1669">
        <f>+Y7*Y20</f>
        <v>1418.3735472509698</v>
      </c>
    </row>
    <row r="12" spans="1:25" x14ac:dyDescent="0.2">
      <c r="B12" s="1662" t="s">
        <v>744</v>
      </c>
      <c r="C12" s="1659"/>
      <c r="D12" s="1659"/>
      <c r="E12" s="1659"/>
      <c r="F12" s="1669">
        <f>+F10+F11</f>
        <v>2799</v>
      </c>
      <c r="G12" s="1669">
        <f t="shared" ref="G12:V12" si="7">+G10+G11</f>
        <v>3494.8731758530193</v>
      </c>
      <c r="H12" s="1669">
        <f t="shared" si="7"/>
        <v>4133</v>
      </c>
      <c r="I12" s="1669">
        <f t="shared" si="7"/>
        <v>4040</v>
      </c>
      <c r="J12" s="1669">
        <f t="shared" si="7"/>
        <v>4173</v>
      </c>
      <c r="K12" s="1669">
        <f t="shared" si="7"/>
        <v>4526.1000000000004</v>
      </c>
      <c r="L12" s="1669">
        <f t="shared" si="7"/>
        <v>3938</v>
      </c>
      <c r="M12" s="1669">
        <f t="shared" si="7"/>
        <v>4100</v>
      </c>
      <c r="N12" s="1669">
        <f t="shared" si="7"/>
        <v>4426</v>
      </c>
      <c r="O12" s="1669">
        <f t="shared" si="7"/>
        <v>4631.0557647550513</v>
      </c>
      <c r="P12" s="1669">
        <f>+P10+P11</f>
        <v>4823.1434783280629</v>
      </c>
      <c r="Q12" s="1669">
        <f>+Q10+Q11</f>
        <v>5051.1754593691803</v>
      </c>
      <c r="R12" s="1669">
        <f t="shared" si="7"/>
        <v>5223.730011499807</v>
      </c>
      <c r="S12" s="1669">
        <f t="shared" si="7"/>
        <v>5347.9635374471836</v>
      </c>
      <c r="T12" s="1669">
        <f t="shared" si="7"/>
        <v>5475.1439084347439</v>
      </c>
      <c r="U12" s="1669">
        <f t="shared" si="7"/>
        <v>5577.9976948058465</v>
      </c>
      <c r="V12" s="1669">
        <f t="shared" si="7"/>
        <v>5682.7755750684191</v>
      </c>
      <c r="W12" s="1669">
        <f>+W10+W11</f>
        <v>5768.0172086944449</v>
      </c>
      <c r="X12" s="1669">
        <f>+X10+X11</f>
        <v>5854.5374668248605</v>
      </c>
      <c r="Y12" s="1669">
        <f>+Y10+Y11</f>
        <v>5942.3555288272328</v>
      </c>
    </row>
    <row r="13" spans="1:25" x14ac:dyDescent="0.2">
      <c r="B13" s="1662" t="s">
        <v>745</v>
      </c>
      <c r="C13" s="1659"/>
      <c r="D13" s="1659"/>
      <c r="E13" s="1659"/>
      <c r="F13" s="1669">
        <f t="shared" ref="F13:V13" si="8">F10*$E$47</f>
        <v>355.12200000000001</v>
      </c>
      <c r="G13" s="1669">
        <f t="shared" si="8"/>
        <v>484.3330448293965</v>
      </c>
      <c r="H13" s="1669">
        <f t="shared" si="8"/>
        <v>592.05099999999993</v>
      </c>
      <c r="I13" s="1669">
        <f t="shared" si="8"/>
        <v>565.44399999999996</v>
      </c>
      <c r="J13" s="1669">
        <f t="shared" si="8"/>
        <v>589.51699999999994</v>
      </c>
      <c r="K13" s="1669">
        <f t="shared" si="8"/>
        <v>647.09310000000005</v>
      </c>
      <c r="L13" s="1669">
        <f t="shared" si="8"/>
        <v>522.00400000000002</v>
      </c>
      <c r="M13" s="1669">
        <f t="shared" si="8"/>
        <v>556.39400000000001</v>
      </c>
      <c r="N13" s="1669">
        <f t="shared" si="8"/>
        <v>610.15099999999995</v>
      </c>
      <c r="O13" s="1669">
        <f t="shared" si="8"/>
        <v>639.12109342066424</v>
      </c>
      <c r="P13" s="1669">
        <f>P10*$E$47</f>
        <v>666.92046957737932</v>
      </c>
      <c r="Q13" s="1669">
        <f>Q10*$E$47</f>
        <v>700.9818606458216</v>
      </c>
      <c r="R13" s="1669">
        <f t="shared" si="8"/>
        <v>720.88828221586823</v>
      </c>
      <c r="S13" s="1669">
        <f t="shared" si="8"/>
        <v>737.75937916570365</v>
      </c>
      <c r="T13" s="1669">
        <f t="shared" si="8"/>
        <v>755.02347578664615</v>
      </c>
      <c r="U13" s="1669">
        <f t="shared" si="8"/>
        <v>768.92045968701484</v>
      </c>
      <c r="V13" s="1669">
        <f t="shared" si="8"/>
        <v>783.07131355308366</v>
      </c>
      <c r="W13" s="1669">
        <f>W10*$E$47</f>
        <v>794.81738325637969</v>
      </c>
      <c r="X13" s="1669">
        <f>X10*$E$47</f>
        <v>806.73964400522539</v>
      </c>
      <c r="Y13" s="1669">
        <f>Y10*$E$47</f>
        <v>818.84073866530355</v>
      </c>
    </row>
    <row r="14" spans="1:25" x14ac:dyDescent="0.2">
      <c r="B14" s="1662" t="s">
        <v>746</v>
      </c>
      <c r="C14" s="1659"/>
      <c r="D14" s="1659"/>
      <c r="E14" s="1659"/>
      <c r="F14" s="1669">
        <f>Model!$DB$291</f>
        <v>-357</v>
      </c>
      <c r="G14" s="1669">
        <f>Model!$DG$291</f>
        <v>80</v>
      </c>
      <c r="H14" s="1669">
        <f>Model!$DL$291</f>
        <v>-85</v>
      </c>
      <c r="I14" s="1669">
        <f>Model!$DQ$291</f>
        <v>34</v>
      </c>
      <c r="J14" s="1669">
        <f>Model!$DV$291</f>
        <v>-16</v>
      </c>
      <c r="K14" s="1669">
        <f>Model!$EA$291</f>
        <v>-398</v>
      </c>
      <c r="L14" s="1669">
        <f>Model!$EF$291</f>
        <v>-26.599999999999909</v>
      </c>
      <c r="M14" s="1669">
        <f>Model!$EK$291</f>
        <v>112.59999999999991</v>
      </c>
      <c r="N14" s="1669">
        <f>Model!$EP$291</f>
        <v>-202</v>
      </c>
      <c r="O14" s="1670">
        <f>Model!$EU$291</f>
        <v>28.777464451999435</v>
      </c>
      <c r="P14" s="1670">
        <f>Model!$EZ$291</f>
        <v>29.179891497352514</v>
      </c>
      <c r="Q14" s="1670">
        <f>Model!$FE$291</f>
        <v>22.915203786982033</v>
      </c>
      <c r="R14" s="1671">
        <f>0.17%*R7</f>
        <v>21.095670981851629</v>
      </c>
      <c r="S14" s="1671">
        <f t="shared" ref="S14:Y14" si="9">0.17%*S7</f>
        <v>21.623062756397914</v>
      </c>
      <c r="T14" s="1671">
        <f t="shared" si="9"/>
        <v>22.163639325307862</v>
      </c>
      <c r="U14" s="1671">
        <f t="shared" si="9"/>
        <v>22.606912111814019</v>
      </c>
      <c r="V14" s="1671">
        <f t="shared" si="9"/>
        <v>23.059050354050303</v>
      </c>
      <c r="W14" s="1671">
        <f t="shared" si="9"/>
        <v>23.404936109361053</v>
      </c>
      <c r="X14" s="1671">
        <f t="shared" si="9"/>
        <v>23.756010151001465</v>
      </c>
      <c r="Y14" s="1671">
        <f t="shared" si="9"/>
        <v>24.112350303266485</v>
      </c>
    </row>
    <row r="15" spans="1:25" x14ac:dyDescent="0.2">
      <c r="B15" s="1662" t="s">
        <v>747</v>
      </c>
      <c r="C15" s="1659"/>
      <c r="D15" s="1659"/>
      <c r="E15" s="1659"/>
      <c r="F15" s="1669">
        <f>Model!$DB$294</f>
        <v>-1299</v>
      </c>
      <c r="G15" s="1669">
        <f>Model!$DG$294</f>
        <v>-1470</v>
      </c>
      <c r="H15" s="1669">
        <f>Model!$DL$294</f>
        <v>-2160</v>
      </c>
      <c r="I15" s="1669">
        <f>Model!$DQ$294</f>
        <v>-2241</v>
      </c>
      <c r="J15" s="1669">
        <f>Model!$DV$294</f>
        <v>-1971</v>
      </c>
      <c r="K15" s="1669">
        <f>Model!$EA$294</f>
        <v>-2118</v>
      </c>
      <c r="L15" s="1669">
        <f>Model!$EF$294</f>
        <v>-2385</v>
      </c>
      <c r="M15" s="1669">
        <f>Model!$EK$294</f>
        <v>-1887</v>
      </c>
      <c r="N15" s="1669">
        <f>Model!$EP$294</f>
        <v>-1723</v>
      </c>
      <c r="O15" s="1669">
        <f>Model!$EU$294</f>
        <v>-1903.4836024363417</v>
      </c>
      <c r="P15" s="1669">
        <f>Model!$EZ$294</f>
        <v>-2089.5199576841214</v>
      </c>
      <c r="Q15" s="1669">
        <f>Model!$FE$294</f>
        <v>-2168.6012431372314</v>
      </c>
      <c r="R15" s="1669">
        <f t="shared" ref="R15:V15" si="10">-R7*R21</f>
        <v>-2233.6592804313482</v>
      </c>
      <c r="S15" s="1669">
        <f t="shared" si="10"/>
        <v>-2289.5007624421314</v>
      </c>
      <c r="T15" s="1669">
        <f t="shared" si="10"/>
        <v>-2346.7382815031847</v>
      </c>
      <c r="U15" s="1669">
        <f t="shared" si="10"/>
        <v>-2393.6730471332485</v>
      </c>
      <c r="V15" s="1669">
        <f t="shared" si="10"/>
        <v>-2441.5465080759136</v>
      </c>
      <c r="W15" s="1669">
        <f>-W7*W21</f>
        <v>-2478.169705697052</v>
      </c>
      <c r="X15" s="1669">
        <f>-X7*X21</f>
        <v>-2515.3422512825073</v>
      </c>
      <c r="Y15" s="1669">
        <f>-Y7*Y21</f>
        <v>-2553.0723850517447</v>
      </c>
    </row>
    <row r="16" spans="1:25" x14ac:dyDescent="0.2">
      <c r="B16" s="1672" t="s">
        <v>748</v>
      </c>
      <c r="C16" s="1672"/>
      <c r="D16" s="1672"/>
      <c r="E16" s="1672"/>
      <c r="F16" s="1673">
        <f>+F12-F13+F14+F15</f>
        <v>787.87800000000016</v>
      </c>
      <c r="G16" s="1673">
        <f t="shared" ref="G16:V16" si="11">+G12-G13+G14+G15</f>
        <v>1620.540131023623</v>
      </c>
      <c r="H16" s="1673">
        <f t="shared" si="11"/>
        <v>1295.9490000000001</v>
      </c>
      <c r="I16" s="1673">
        <f t="shared" si="11"/>
        <v>1267.556</v>
      </c>
      <c r="J16" s="1673">
        <f t="shared" si="11"/>
        <v>1596.4830000000002</v>
      </c>
      <c r="K16" s="1673">
        <f t="shared" si="11"/>
        <v>1363.0069000000003</v>
      </c>
      <c r="L16" s="1673">
        <f t="shared" si="11"/>
        <v>1004.3960000000002</v>
      </c>
      <c r="M16" s="1673">
        <f t="shared" si="11"/>
        <v>1769.2059999999997</v>
      </c>
      <c r="N16" s="1673">
        <f t="shared" si="11"/>
        <v>1890.8490000000002</v>
      </c>
      <c r="O16" s="1673">
        <f t="shared" si="11"/>
        <v>2117.2285333500449</v>
      </c>
      <c r="P16" s="1673">
        <f>+P12-P13+P14+P15</f>
        <v>2095.8829425639142</v>
      </c>
      <c r="Q16" s="1673">
        <f>+Q12-Q13+Q14+Q15</f>
        <v>2204.5075593731094</v>
      </c>
      <c r="R16" s="1673">
        <f t="shared" si="11"/>
        <v>2290.2781198344424</v>
      </c>
      <c r="S16" s="1673">
        <f t="shared" si="11"/>
        <v>2342.3264585957468</v>
      </c>
      <c r="T16" s="1673">
        <f t="shared" si="11"/>
        <v>2395.5457904702203</v>
      </c>
      <c r="U16" s="1673">
        <f t="shared" si="11"/>
        <v>2438.0111000973975</v>
      </c>
      <c r="V16" s="1673">
        <f t="shared" si="11"/>
        <v>2481.2168037934721</v>
      </c>
      <c r="W16" s="1673">
        <f>+W12-W13+W14+W15</f>
        <v>2518.4350558503743</v>
      </c>
      <c r="X16" s="1673">
        <f>+X12-X13+X14+X15</f>
        <v>2556.2115816881296</v>
      </c>
      <c r="Y16" s="1673">
        <f>+Y12-Y13+Y14+Y15</f>
        <v>2594.5547554134514</v>
      </c>
    </row>
    <row r="17" spans="1:27" x14ac:dyDescent="0.2">
      <c r="B17" s="1664" t="s">
        <v>749</v>
      </c>
      <c r="C17" s="1659"/>
      <c r="D17" s="1659"/>
      <c r="E17" s="1659"/>
      <c r="F17" s="1665">
        <f t="shared" ref="F17:V17" si="12">IF(ISERROR(+F16/F7), "NA", +F16/F7)</f>
        <v>9.8867862969004919E-2</v>
      </c>
      <c r="G17" s="1665">
        <f t="shared" si="12"/>
        <v>0.17029862641883675</v>
      </c>
      <c r="H17" s="1665">
        <f t="shared" si="12"/>
        <v>0.11599973147153599</v>
      </c>
      <c r="I17" s="1665">
        <f t="shared" si="12"/>
        <v>0.11481485507246378</v>
      </c>
      <c r="J17" s="1665">
        <f t="shared" si="12"/>
        <v>0.14197269897732326</v>
      </c>
      <c r="K17" s="1665">
        <f t="shared" si="12"/>
        <v>0.1172579920853407</v>
      </c>
      <c r="L17" s="1665">
        <f t="shared" si="12"/>
        <v>9.5556654932927421E-2</v>
      </c>
      <c r="M17" s="1665">
        <f t="shared" si="12"/>
        <v>0.17892455501618121</v>
      </c>
      <c r="N17" s="1665">
        <f t="shared" si="12"/>
        <v>0.17921040659653115</v>
      </c>
      <c r="O17" s="1665">
        <f t="shared" si="12"/>
        <v>0.18908954624501148</v>
      </c>
      <c r="P17" s="1665">
        <f>IF(ISERROR(+P16/P7), "NA", +P16/P7)</f>
        <v>0.18054813416552962</v>
      </c>
      <c r="Q17" s="1665">
        <f>IF(ISERROR(+Q16/Q7), "NA", +Q16/Q7)</f>
        <v>0.18298032519482835</v>
      </c>
      <c r="R17" s="1665">
        <f t="shared" si="12"/>
        <v>0.18456264354274693</v>
      </c>
      <c r="S17" s="1665">
        <f t="shared" si="12"/>
        <v>0.18415314354274689</v>
      </c>
      <c r="T17" s="1665">
        <f t="shared" si="12"/>
        <v>0.18374364354274686</v>
      </c>
      <c r="U17" s="1665">
        <f t="shared" si="12"/>
        <v>0.18333414354274694</v>
      </c>
      <c r="V17" s="1665">
        <f t="shared" si="12"/>
        <v>0.18292464354274687</v>
      </c>
      <c r="W17" s="1665">
        <f>IF(ISERROR(+W16/W7), "NA", +W16/W7)</f>
        <v>0.18292464354274693</v>
      </c>
      <c r="X17" s="1665">
        <f>IF(ISERROR(+X16/X7), "NA", +X16/X7)</f>
        <v>0.18292464354274693</v>
      </c>
      <c r="Y17" s="1665">
        <f>IF(ISERROR(+Y16/Y7), "NA", +Y16/Y7)</f>
        <v>0.18292464354274693</v>
      </c>
    </row>
    <row r="18" spans="1:27" x14ac:dyDescent="0.2">
      <c r="B18" s="1667" t="s">
        <v>750</v>
      </c>
      <c r="C18" s="1659"/>
      <c r="D18" s="1659"/>
      <c r="E18" s="1659"/>
      <c r="F18" s="1674"/>
      <c r="G18" s="1674"/>
      <c r="H18" s="1674"/>
      <c r="I18" s="1674"/>
      <c r="J18" s="1674"/>
      <c r="K18" s="1674"/>
      <c r="L18" s="1675"/>
      <c r="M18" s="1675">
        <f t="shared" ref="M18:V18" si="13">+M16/L16-1</f>
        <v>0.76146261036483542</v>
      </c>
      <c r="N18" s="1675">
        <f t="shared" si="13"/>
        <v>6.875570171025891E-2</v>
      </c>
      <c r="O18" s="1675">
        <f t="shared" si="13"/>
        <v>0.11972375020429693</v>
      </c>
      <c r="P18" s="1675">
        <f t="shared" si="13"/>
        <v>-1.0081854863516315E-2</v>
      </c>
      <c r="Q18" s="1675">
        <f t="shared" si="13"/>
        <v>5.1827616229517925E-2</v>
      </c>
      <c r="R18" s="1675">
        <f t="shared" si="13"/>
        <v>3.8906902403965216E-2</v>
      </c>
      <c r="S18" s="1675">
        <f t="shared" si="13"/>
        <v>2.2725772171751313E-2</v>
      </c>
      <c r="T18" s="1675">
        <f t="shared" si="13"/>
        <v>2.2720714987943813E-2</v>
      </c>
      <c r="U18" s="1675">
        <f t="shared" si="13"/>
        <v>1.7726778505386731E-2</v>
      </c>
      <c r="V18" s="1675">
        <f t="shared" si="13"/>
        <v>1.772170097763226E-2</v>
      </c>
      <c r="W18" s="1675">
        <f>+W16/V16-1</f>
        <v>1.5000000000000124E-2</v>
      </c>
      <c r="X18" s="1675">
        <f>+X16/W16-1</f>
        <v>1.4999999999999902E-2</v>
      </c>
      <c r="Y18" s="1675">
        <f>+Y16/X16-1</f>
        <v>1.4999999999999902E-2</v>
      </c>
    </row>
    <row r="19" spans="1:27" x14ac:dyDescent="0.2">
      <c r="B19" s="1662" t="s">
        <v>751</v>
      </c>
      <c r="C19" s="1659"/>
      <c r="D19" s="1659"/>
      <c r="E19" s="1659"/>
      <c r="F19" s="1676">
        <f>IF(ISERROR(+F10/F7), "NA", +F10/F7)</f>
        <v>0.246204040657548</v>
      </c>
      <c r="G19" s="1676">
        <f t="shared" ref="G19:O19" si="14">IF(ISERROR(+G10/G7), "NA", +G10/G7)</f>
        <v>0.28120101291841243</v>
      </c>
      <c r="H19" s="1676">
        <f t="shared" si="14"/>
        <v>0.29278553526673828</v>
      </c>
      <c r="I19" s="1676">
        <f t="shared" si="14"/>
        <v>0.28297101449275364</v>
      </c>
      <c r="J19" s="1676">
        <f t="shared" si="14"/>
        <v>0.28963983992885728</v>
      </c>
      <c r="K19" s="1676">
        <f t="shared" si="14"/>
        <v>0.30756194081211291</v>
      </c>
      <c r="L19" s="1676">
        <f t="shared" si="14"/>
        <v>0.27437922176767199</v>
      </c>
      <c r="M19" s="1676">
        <f t="shared" si="14"/>
        <v>0.31088187702265374</v>
      </c>
      <c r="N19" s="1676">
        <f t="shared" si="14"/>
        <v>0.31949578239029475</v>
      </c>
      <c r="O19" s="1676">
        <f t="shared" si="14"/>
        <v>0.3153583667545326</v>
      </c>
      <c r="P19" s="1676">
        <f>IF(ISERROR(+P10/P7), "NA", +P10/P7)</f>
        <v>0.3174106203963401</v>
      </c>
      <c r="Q19" s="1676">
        <f>IF(ISERROR(+Q10/Q7), "NA", +Q10/Q7)</f>
        <v>0.32145560872130263</v>
      </c>
      <c r="R19" s="1677">
        <f t="shared" ref="R19" si="15">+Q19-0.05%</f>
        <v>0.32095560872130263</v>
      </c>
      <c r="S19" s="1677">
        <f t="shared" ref="S19" si="16">+R19-0.05%</f>
        <v>0.32045560872130263</v>
      </c>
      <c r="T19" s="1677">
        <f t="shared" ref="T19:V19" si="17">+S19-0.05%</f>
        <v>0.31995560872130263</v>
      </c>
      <c r="U19" s="1677">
        <f t="shared" si="17"/>
        <v>0.31945560872130263</v>
      </c>
      <c r="V19" s="1677">
        <f t="shared" si="17"/>
        <v>0.31895560872130263</v>
      </c>
      <c r="W19" s="1677">
        <f>+V19</f>
        <v>0.31895560872130263</v>
      </c>
      <c r="X19" s="1677">
        <f>+W19</f>
        <v>0.31895560872130263</v>
      </c>
      <c r="Y19" s="1677">
        <f>+X19</f>
        <v>0.31895560872130263</v>
      </c>
      <c r="AA19" s="2088">
        <f>1-Y19</f>
        <v>0.68104439127869743</v>
      </c>
    </row>
    <row r="20" spans="1:27" x14ac:dyDescent="0.2">
      <c r="B20" s="1662" t="s">
        <v>752</v>
      </c>
      <c r="C20" s="1659"/>
      <c r="D20" s="1659"/>
      <c r="E20" s="1659"/>
      <c r="F20" s="1676">
        <f>+F11/F7</f>
        <v>0.10503199899610993</v>
      </c>
      <c r="G20" s="1676">
        <f t="shared" ref="G20:O20" si="18">+G11/G7</f>
        <v>8.606672082161114E-2</v>
      </c>
      <c r="H20" s="1676">
        <f t="shared" si="18"/>
        <v>7.7157178660938061E-2</v>
      </c>
      <c r="I20" s="1676">
        <f t="shared" si="18"/>
        <v>8.2971014492753625E-2</v>
      </c>
      <c r="J20" s="1676">
        <f t="shared" si="18"/>
        <v>8.1458425967096487E-2</v>
      </c>
      <c r="K20" s="1676">
        <f t="shared" si="18"/>
        <v>8.1813489332415695E-2</v>
      </c>
      <c r="L20" s="1676">
        <f t="shared" si="18"/>
        <v>0.10027590143659024</v>
      </c>
      <c r="M20" s="1676">
        <f t="shared" si="18"/>
        <v>0.10376213592233009</v>
      </c>
      <c r="N20" s="1676">
        <f t="shared" si="18"/>
        <v>9.9990522225381476E-2</v>
      </c>
      <c r="O20" s="1676">
        <f t="shared" si="18"/>
        <v>9.8240930345105962E-2</v>
      </c>
      <c r="P20" s="1676">
        <f>+P11/P7</f>
        <v>9.8075158002860222E-2</v>
      </c>
      <c r="Q20" s="1676">
        <f>+Q11/Q7</f>
        <v>9.780615531380929E-2</v>
      </c>
      <c r="R20" s="1677">
        <v>0.1</v>
      </c>
      <c r="S20" s="1677">
        <f>+R20</f>
        <v>0.1</v>
      </c>
      <c r="T20" s="1677">
        <f t="shared" ref="T20:Y20" si="19">+S20</f>
        <v>0.1</v>
      </c>
      <c r="U20" s="1677">
        <f t="shared" si="19"/>
        <v>0.1</v>
      </c>
      <c r="V20" s="1677">
        <f t="shared" si="19"/>
        <v>0.1</v>
      </c>
      <c r="W20" s="1677">
        <f t="shared" si="19"/>
        <v>0.1</v>
      </c>
      <c r="X20" s="1677">
        <f t="shared" si="19"/>
        <v>0.1</v>
      </c>
      <c r="Y20" s="1677">
        <f t="shared" si="19"/>
        <v>0.1</v>
      </c>
    </row>
    <row r="21" spans="1:27" x14ac:dyDescent="0.2">
      <c r="B21" s="1662" t="s">
        <v>753</v>
      </c>
      <c r="C21" s="1659"/>
      <c r="D21" s="1659"/>
      <c r="E21" s="1659"/>
      <c r="F21" s="1676">
        <f>-F15/F7</f>
        <v>0.16300665077174051</v>
      </c>
      <c r="G21" s="1676">
        <f t="shared" ref="G21:O21" si="20">-G15/G7</f>
        <v>0.15447872967981488</v>
      </c>
      <c r="H21" s="1676">
        <f t="shared" si="20"/>
        <v>0.1933404940923738</v>
      </c>
      <c r="I21" s="1676">
        <f t="shared" si="20"/>
        <v>0.20298913043478262</v>
      </c>
      <c r="J21" s="1676">
        <f t="shared" si="20"/>
        <v>0.175277901289462</v>
      </c>
      <c r="K21" s="1676">
        <f t="shared" si="20"/>
        <v>0.18220922229869235</v>
      </c>
      <c r="L21" s="1676">
        <f t="shared" si="20"/>
        <v>0.22690514698886879</v>
      </c>
      <c r="M21" s="1676">
        <f t="shared" si="20"/>
        <v>0.19083737864077671</v>
      </c>
      <c r="N21" s="1676">
        <f t="shared" si="20"/>
        <v>0.16330205667709222</v>
      </c>
      <c r="O21" s="1676">
        <f t="shared" si="20"/>
        <v>0.17</v>
      </c>
      <c r="P21" s="1676">
        <f>-P15/P7</f>
        <v>0.18</v>
      </c>
      <c r="Q21" s="1676">
        <f>-Q15/Q7</f>
        <v>0.17999999999999997</v>
      </c>
      <c r="R21" s="1677">
        <f>+Q21</f>
        <v>0.17999999999999997</v>
      </c>
      <c r="S21" s="1677">
        <f t="shared" ref="S21:V21" si="21">+R21</f>
        <v>0.17999999999999997</v>
      </c>
      <c r="T21" s="1677">
        <f t="shared" si="21"/>
        <v>0.17999999999999997</v>
      </c>
      <c r="U21" s="1677">
        <f t="shared" si="21"/>
        <v>0.17999999999999997</v>
      </c>
      <c r="V21" s="1677">
        <f t="shared" si="21"/>
        <v>0.17999999999999997</v>
      </c>
      <c r="W21" s="1677">
        <f t="shared" ref="W21" si="22">+V21</f>
        <v>0.17999999999999997</v>
      </c>
      <c r="X21" s="1677">
        <f t="shared" ref="X21:Y21" si="23">+W21</f>
        <v>0.17999999999999997</v>
      </c>
      <c r="Y21" s="1677">
        <f t="shared" si="23"/>
        <v>0.17999999999999997</v>
      </c>
    </row>
    <row r="22" spans="1:27" x14ac:dyDescent="0.2">
      <c r="B22" s="1667"/>
      <c r="C22" s="1659"/>
      <c r="D22" s="1659"/>
      <c r="E22" s="1659"/>
      <c r="F22" s="1676"/>
      <c r="G22" s="1676"/>
      <c r="H22" s="1676"/>
      <c r="I22" s="1676"/>
      <c r="J22" s="1676"/>
      <c r="K22" s="1676"/>
      <c r="L22" s="1676"/>
      <c r="M22" s="1676"/>
      <c r="N22" s="1676"/>
      <c r="O22" s="1676"/>
      <c r="P22" s="1677"/>
      <c r="Q22" s="1677"/>
      <c r="R22" s="1677"/>
      <c r="S22" s="1677"/>
      <c r="T22" s="1677"/>
      <c r="U22" s="1677"/>
      <c r="V22" s="1677"/>
      <c r="W22" s="1677"/>
      <c r="X22" s="1677"/>
      <c r="Y22" s="1677"/>
    </row>
    <row r="23" spans="1:27" x14ac:dyDescent="0.2">
      <c r="B23" s="1667"/>
      <c r="C23" s="1659"/>
      <c r="D23" s="1659"/>
      <c r="E23" s="1659"/>
      <c r="F23" s="1676"/>
      <c r="G23" s="1676"/>
      <c r="H23" s="1676"/>
      <c r="I23" s="1676"/>
      <c r="J23" s="1676"/>
      <c r="K23" s="1676"/>
      <c r="L23" s="1676"/>
      <c r="M23" s="1676"/>
      <c r="N23" s="1676"/>
      <c r="O23" s="1676"/>
      <c r="P23" s="1676"/>
      <c r="Q23" s="1676"/>
      <c r="R23" s="1676"/>
      <c r="S23" s="1676"/>
      <c r="T23" s="1676"/>
      <c r="U23" s="1676"/>
      <c r="V23" s="1676"/>
      <c r="W23" s="1676"/>
      <c r="X23" s="1676"/>
      <c r="Y23" s="1676"/>
    </row>
    <row r="24" spans="1:27" ht="13.5" thickBot="1" x14ac:dyDescent="0.25">
      <c r="A24" s="1652"/>
      <c r="B24" s="1661" t="s">
        <v>754</v>
      </c>
      <c r="C24" s="1661"/>
      <c r="D24" s="1661"/>
      <c r="E24" s="1661"/>
      <c r="F24" s="1661"/>
      <c r="G24" s="1678"/>
      <c r="H24" s="1678"/>
      <c r="I24" s="1678"/>
      <c r="J24" s="1678"/>
      <c r="K24" s="1678"/>
      <c r="L24" s="1658"/>
      <c r="M24" s="1658"/>
      <c r="N24" s="1658"/>
      <c r="O24" s="1658"/>
      <c r="P24" s="1658">
        <f t="shared" ref="P24:Y24" si="24">P$4</f>
        <v>43830</v>
      </c>
      <c r="Q24" s="1658">
        <f t="shared" si="24"/>
        <v>44196</v>
      </c>
      <c r="R24" s="1658">
        <f t="shared" si="24"/>
        <v>44561</v>
      </c>
      <c r="S24" s="1658">
        <f t="shared" si="24"/>
        <v>44926</v>
      </c>
      <c r="T24" s="1658">
        <f t="shared" si="24"/>
        <v>45291</v>
      </c>
      <c r="U24" s="1658">
        <f t="shared" si="24"/>
        <v>45657</v>
      </c>
      <c r="V24" s="1658">
        <f t="shared" si="24"/>
        <v>46022</v>
      </c>
      <c r="W24" s="1658">
        <f t="shared" si="24"/>
        <v>46387</v>
      </c>
      <c r="X24" s="1658">
        <f t="shared" si="24"/>
        <v>46752</v>
      </c>
      <c r="Y24" s="1658">
        <f t="shared" si="24"/>
        <v>47118</v>
      </c>
    </row>
    <row r="25" spans="1:27" x14ac:dyDescent="0.2">
      <c r="B25" s="1662" t="s">
        <v>755</v>
      </c>
      <c r="C25" s="1659"/>
      <c r="D25" s="1659"/>
      <c r="E25" s="1659"/>
      <c r="F25" s="1663"/>
      <c r="G25" s="1679"/>
      <c r="H25" s="1680"/>
      <c r="I25" s="1680"/>
      <c r="J25" s="1680"/>
      <c r="K25" s="1680"/>
      <c r="L25" s="1681"/>
      <c r="M25" s="1681"/>
      <c r="N25" s="1682"/>
      <c r="O25" s="1682"/>
      <c r="P25" s="1682">
        <f t="shared" ref="P25:V25" si="25">O25+1</f>
        <v>1</v>
      </c>
      <c r="Q25" s="1682">
        <f t="shared" si="25"/>
        <v>2</v>
      </c>
      <c r="R25" s="1682">
        <f t="shared" si="25"/>
        <v>3</v>
      </c>
      <c r="S25" s="1682">
        <f t="shared" si="25"/>
        <v>4</v>
      </c>
      <c r="T25" s="1682">
        <f t="shared" si="25"/>
        <v>5</v>
      </c>
      <c r="U25" s="1682">
        <f t="shared" si="25"/>
        <v>6</v>
      </c>
      <c r="V25" s="1682">
        <f t="shared" si="25"/>
        <v>7</v>
      </c>
      <c r="W25" s="1682">
        <f>V25+1</f>
        <v>8</v>
      </c>
      <c r="X25" s="1682">
        <f>W25+1</f>
        <v>9</v>
      </c>
      <c r="Y25" s="1682">
        <f>X25+1</f>
        <v>10</v>
      </c>
    </row>
    <row r="26" spans="1:27" x14ac:dyDescent="0.2">
      <c r="B26" s="1662" t="s">
        <v>756</v>
      </c>
      <c r="C26" s="1659"/>
      <c r="D26" s="1659"/>
      <c r="E26" s="1659"/>
      <c r="F26" s="1683"/>
      <c r="G26" s="1684"/>
      <c r="H26" s="1685"/>
      <c r="I26" s="1680"/>
      <c r="J26" s="1680"/>
      <c r="K26" s="1680"/>
      <c r="L26" s="1680"/>
      <c r="M26" s="1680"/>
      <c r="N26" s="1680"/>
      <c r="O26" s="1680"/>
      <c r="P26" s="1680">
        <f t="shared" ref="P26:V26" si="26">P$16/(1+$E$50)^P25</f>
        <v>1949.2233757709109</v>
      </c>
      <c r="Q26" s="1680">
        <f t="shared" si="26"/>
        <v>1906.78079018263</v>
      </c>
      <c r="R26" s="1680">
        <f t="shared" si="26"/>
        <v>1842.3493585543888</v>
      </c>
      <c r="S26" s="1680">
        <f t="shared" si="26"/>
        <v>1752.3698619263309</v>
      </c>
      <c r="T26" s="1680">
        <f t="shared" si="26"/>
        <v>1666.7766806597795</v>
      </c>
      <c r="U26" s="1680">
        <f t="shared" si="26"/>
        <v>1577.6229136711613</v>
      </c>
      <c r="V26" s="1680">
        <f t="shared" si="26"/>
        <v>1493.2304185137293</v>
      </c>
      <c r="W26" s="1680">
        <f>W$16/(1+$E$50)^W25</f>
        <v>1409.572630102522</v>
      </c>
      <c r="X26" s="1680">
        <f>X$16/(1+$E$50)^X25</f>
        <v>1330.6017443120231</v>
      </c>
      <c r="Y26" s="1680">
        <f>Y$16/(1+$E$50)^Y25</f>
        <v>1256.0551788221264</v>
      </c>
    </row>
    <row r="27" spans="1:27" x14ac:dyDescent="0.2">
      <c r="B27" s="1662"/>
      <c r="C27" s="1659"/>
      <c r="D27" s="1659"/>
      <c r="E27" s="1659"/>
      <c r="F27" s="1683"/>
      <c r="G27" s="1684"/>
      <c r="H27" s="1685"/>
      <c r="I27" s="1680"/>
      <c r="J27" s="1680"/>
      <c r="K27" s="1680"/>
      <c r="L27" s="1680"/>
      <c r="M27" s="1680"/>
      <c r="N27" s="1680"/>
      <c r="O27" s="1680"/>
      <c r="P27" s="1680"/>
      <c r="Q27" s="1680"/>
      <c r="R27" s="1686"/>
    </row>
    <row r="28" spans="1:27" x14ac:dyDescent="0.2">
      <c r="B28" s="1687"/>
      <c r="C28" s="1659"/>
      <c r="D28" s="1659"/>
      <c r="E28" s="1659"/>
      <c r="F28" s="1683"/>
      <c r="G28" s="1683"/>
      <c r="H28" s="1683"/>
      <c r="I28" s="1683"/>
      <c r="J28" s="1686"/>
      <c r="K28" s="1686"/>
      <c r="L28" s="1686"/>
      <c r="M28" s="1686"/>
      <c r="N28" s="1686"/>
      <c r="O28" s="1686"/>
      <c r="P28" s="1661" t="s">
        <v>757</v>
      </c>
      <c r="Q28" s="1661"/>
      <c r="R28" s="1688">
        <v>1.4999999999999999E-2</v>
      </c>
    </row>
    <row r="29" spans="1:27" x14ac:dyDescent="0.2">
      <c r="B29" s="1689" t="s">
        <v>758</v>
      </c>
      <c r="C29" s="1690"/>
      <c r="D29" s="1690"/>
      <c r="E29" s="1691"/>
      <c r="F29" s="1659"/>
      <c r="G29" s="1680"/>
      <c r="H29" s="1659"/>
      <c r="I29" s="1659"/>
      <c r="J29" s="1659"/>
      <c r="K29" s="1659"/>
      <c r="L29" s="1659"/>
      <c r="M29" s="1659"/>
      <c r="N29" s="1686"/>
      <c r="O29" s="1686"/>
      <c r="P29" s="1686"/>
      <c r="Q29" s="1686"/>
      <c r="R29" s="1660"/>
      <c r="T29" s="1652"/>
      <c r="U29" s="1692"/>
      <c r="V29" s="1693"/>
    </row>
    <row r="30" spans="1:27" x14ac:dyDescent="0.2">
      <c r="B30" s="1694" t="s">
        <v>759</v>
      </c>
      <c r="C30" s="1695"/>
      <c r="D30" s="1695"/>
      <c r="E30" s="1696">
        <f>SUM(N26:Y26)</f>
        <v>16184.5829525156</v>
      </c>
      <c r="F30" s="1659"/>
      <c r="G30" s="1680"/>
      <c r="H30" s="1660"/>
      <c r="I30" s="1660"/>
      <c r="J30" s="1697" t="s">
        <v>760</v>
      </c>
      <c r="K30" s="1698"/>
      <c r="L30" s="1698"/>
      <c r="M30" s="1698"/>
      <c r="N30" s="1698"/>
      <c r="O30" s="1699"/>
      <c r="P30" s="1686"/>
      <c r="Q30" s="1686"/>
      <c r="R30" s="1660"/>
      <c r="T30" s="1652"/>
      <c r="U30" s="1692"/>
      <c r="V30" s="1700"/>
    </row>
    <row r="31" spans="1:27" x14ac:dyDescent="0.2">
      <c r="B31" s="1694" t="s">
        <v>761</v>
      </c>
      <c r="C31" s="1695"/>
      <c r="D31" s="1695"/>
      <c r="E31" s="1701">
        <f>(($Y$16)*(1+E51)/($E$50-$E$51))/(1+$E$50)^$Y$25</f>
        <v>21163.612325771221</v>
      </c>
      <c r="F31" s="1659"/>
      <c r="G31" s="1680"/>
      <c r="H31" s="1660"/>
      <c r="I31" s="1660"/>
      <c r="J31" s="1702">
        <f ca="1">+E35</f>
        <v>28231.521160933164</v>
      </c>
      <c r="K31" s="1703">
        <f>+L31-0.01</f>
        <v>5.5240000000000004E-2</v>
      </c>
      <c r="L31" s="1703">
        <f>+M31-0.01</f>
        <v>6.5240000000000006E-2</v>
      </c>
      <c r="M31" s="1704">
        <f>E50</f>
        <v>7.5240000000000001E-2</v>
      </c>
      <c r="N31" s="1703">
        <f>+M31+0.01</f>
        <v>8.5239999999999996E-2</v>
      </c>
      <c r="O31" s="1705">
        <f>+N31+0.01</f>
        <v>9.5239999999999991E-2</v>
      </c>
      <c r="P31" s="1660"/>
      <c r="Q31" s="1660"/>
      <c r="R31" s="1660"/>
      <c r="T31" s="1652"/>
      <c r="U31" s="1692"/>
      <c r="V31" s="1700"/>
    </row>
    <row r="32" spans="1:27" x14ac:dyDescent="0.2">
      <c r="B32" s="1706" t="s">
        <v>762</v>
      </c>
      <c r="C32" s="1707"/>
      <c r="D32" s="1707"/>
      <c r="E32" s="1708">
        <f>E30+E31</f>
        <v>37348.195278286817</v>
      </c>
      <c r="F32" s="1659"/>
      <c r="G32" s="1680"/>
      <c r="H32" s="1660"/>
      <c r="I32" s="1660"/>
      <c r="J32" s="1709">
        <f>+J33-0.005</f>
        <v>9.9999999999999985E-3</v>
      </c>
      <c r="K32" s="1710">
        <f t="shared" ref="K32:O34" ca="1" si="27">$E$30+((($X$16*(1+$J32))/(K$31-$J32))/(1+K$31)^$X$25)+($E$34-$E$33)</f>
        <v>42242.930089340887</v>
      </c>
      <c r="L32" s="1711">
        <f t="shared" ca="1" si="27"/>
        <v>33530.801101920988</v>
      </c>
      <c r="M32" s="1712">
        <f t="shared" ca="1" si="27"/>
        <v>27667.3533746338</v>
      </c>
      <c r="N32" s="1711">
        <f t="shared" ca="1" si="27"/>
        <v>23501.680588626201</v>
      </c>
      <c r="O32" s="1713">
        <f t="shared" ca="1" si="27"/>
        <v>20424.359421302172</v>
      </c>
      <c r="P32" s="1660"/>
      <c r="Q32" s="1714"/>
      <c r="R32" s="1715"/>
      <c r="S32" s="1715"/>
      <c r="T32" s="1715"/>
      <c r="U32" s="1715"/>
      <c r="V32" s="1715"/>
    </row>
    <row r="33" spans="1:23" x14ac:dyDescent="0.2">
      <c r="B33" s="1694" t="s">
        <v>844</v>
      </c>
      <c r="C33" s="1695"/>
      <c r="D33" s="1695"/>
      <c r="E33" s="1696">
        <f>+Model!EU352</f>
        <v>9736</v>
      </c>
      <c r="F33" s="1659"/>
      <c r="G33" s="1680"/>
      <c r="H33" s="1660"/>
      <c r="I33" s="1660"/>
      <c r="J33" s="1716">
        <f>E51</f>
        <v>1.4999999999999999E-2</v>
      </c>
      <c r="K33" s="1717">
        <f t="shared" ca="1" si="27"/>
        <v>46809.354491967177</v>
      </c>
      <c r="L33" s="1718">
        <f t="shared" ca="1" si="27"/>
        <v>36308.491096702703</v>
      </c>
      <c r="M33" s="1719">
        <f t="shared" ca="1" si="27"/>
        <v>29487.576339755302</v>
      </c>
      <c r="N33" s="1718">
        <f t="shared" ca="1" si="27"/>
        <v>24758.657125769685</v>
      </c>
      <c r="O33" s="1720">
        <f t="shared" ca="1" si="27"/>
        <v>21326.881986031512</v>
      </c>
      <c r="P33" s="1660"/>
      <c r="Q33" s="1660"/>
      <c r="R33" s="1660"/>
      <c r="S33" s="1721"/>
      <c r="T33" s="1654"/>
      <c r="U33" s="1654"/>
      <c r="V33" s="1722"/>
      <c r="W33" s="1723"/>
    </row>
    <row r="34" spans="1:23" x14ac:dyDescent="0.2">
      <c r="B34" s="1694" t="s">
        <v>845</v>
      </c>
      <c r="C34" s="1695"/>
      <c r="D34" s="1695"/>
      <c r="E34" s="1696">
        <f ca="1">+Model!EU317</f>
        <v>619.32588264634751</v>
      </c>
      <c r="F34" s="1659"/>
      <c r="G34" s="1680"/>
      <c r="H34" s="1660"/>
      <c r="I34" s="1660"/>
      <c r="J34" s="1724">
        <f>+J33+0.005</f>
        <v>0.02</v>
      </c>
      <c r="K34" s="1725">
        <f t="shared" ca="1" si="27"/>
        <v>52671.586046303535</v>
      </c>
      <c r="L34" s="1726">
        <f t="shared" ca="1" si="27"/>
        <v>39700.170922338039</v>
      </c>
      <c r="M34" s="1727">
        <f t="shared" ca="1" si="27"/>
        <v>31637.31106539844</v>
      </c>
      <c r="N34" s="1726">
        <f t="shared" ca="1" si="27"/>
        <v>26208.303273143618</v>
      </c>
      <c r="O34" s="1701">
        <f t="shared" ca="1" si="27"/>
        <v>22349.357044744022</v>
      </c>
      <c r="P34" s="1660"/>
      <c r="Q34" s="1660"/>
      <c r="R34" s="1660"/>
      <c r="S34" s="1721"/>
      <c r="T34" s="1728"/>
      <c r="U34" s="1729"/>
      <c r="V34" s="1730"/>
      <c r="W34" s="1731"/>
    </row>
    <row r="35" spans="1:23" x14ac:dyDescent="0.2">
      <c r="B35" s="1706" t="s">
        <v>763</v>
      </c>
      <c r="C35" s="1707"/>
      <c r="D35" s="1707"/>
      <c r="E35" s="1708">
        <f ca="1">E32-E33+E34</f>
        <v>28231.521160933164</v>
      </c>
      <c r="F35" s="1659"/>
      <c r="G35" s="1680"/>
      <c r="H35" s="1660"/>
      <c r="I35" s="1660"/>
      <c r="J35" s="1659"/>
      <c r="K35" s="1659"/>
      <c r="L35" s="1659"/>
      <c r="M35" s="1659"/>
      <c r="N35" s="1659"/>
      <c r="O35" s="1659"/>
      <c r="P35" s="1660"/>
      <c r="Q35" s="1660"/>
      <c r="R35" s="1660"/>
      <c r="S35" s="1721"/>
      <c r="T35" s="1728"/>
      <c r="U35" s="1729"/>
      <c r="V35" s="1730"/>
      <c r="W35" s="1731"/>
    </row>
    <row r="36" spans="1:23" x14ac:dyDescent="0.2">
      <c r="B36" s="1694" t="s">
        <v>846</v>
      </c>
      <c r="C36" s="1695"/>
      <c r="D36" s="1695"/>
      <c r="E36" s="1732">
        <f>+Model!EU259</f>
        <v>281.1577476673757</v>
      </c>
      <c r="F36" s="1659"/>
      <c r="G36" s="1680"/>
      <c r="H36" s="1660"/>
      <c r="I36" s="1660"/>
      <c r="J36" s="1697" t="s">
        <v>764</v>
      </c>
      <c r="K36" s="1698"/>
      <c r="L36" s="1698"/>
      <c r="M36" s="1698"/>
      <c r="N36" s="1698"/>
      <c r="O36" s="1699"/>
      <c r="P36" s="1660"/>
      <c r="Q36" s="1660"/>
      <c r="R36" s="1660"/>
      <c r="S36" s="1721"/>
      <c r="T36" s="1728"/>
      <c r="U36" s="1729"/>
      <c r="V36" s="1730"/>
      <c r="W36" s="1731"/>
    </row>
    <row r="37" spans="1:23" x14ac:dyDescent="0.2">
      <c r="B37" s="1733" t="s">
        <v>781</v>
      </c>
      <c r="C37" s="1734"/>
      <c r="D37" s="1734"/>
      <c r="E37" s="1735">
        <f ca="1">ROUND((E35/E36)*(1+E45)^(1/4),0)</f>
        <v>103</v>
      </c>
      <c r="F37" s="2119"/>
      <c r="G37" s="1680"/>
      <c r="H37" s="1660"/>
      <c r="I37" s="1660"/>
      <c r="J37" s="1702">
        <f ca="1">fair_value</f>
        <v>103</v>
      </c>
      <c r="K37" s="1703">
        <f>+K31</f>
        <v>5.5240000000000004E-2</v>
      </c>
      <c r="L37" s="1703">
        <f>+L31</f>
        <v>6.5240000000000006E-2</v>
      </c>
      <c r="M37" s="1736">
        <f>+M31</f>
        <v>7.5240000000000001E-2</v>
      </c>
      <c r="N37" s="1703">
        <f>+N31</f>
        <v>8.5239999999999996E-2</v>
      </c>
      <c r="O37" s="1705">
        <f>+O31</f>
        <v>9.5239999999999991E-2</v>
      </c>
      <c r="P37" s="1660"/>
      <c r="Q37" s="1660"/>
      <c r="R37" s="1660"/>
      <c r="S37" s="1723"/>
      <c r="T37" s="1723"/>
      <c r="U37" s="1723"/>
      <c r="V37" s="1723"/>
      <c r="W37" s="1723"/>
    </row>
    <row r="38" spans="1:23" x14ac:dyDescent="0.2">
      <c r="A38" s="1723"/>
      <c r="B38" s="1737" t="s">
        <v>765</v>
      </c>
      <c r="C38" s="1738"/>
      <c r="D38" s="1738"/>
      <c r="E38" s="1739">
        <f>ROUND(((Y16*(1+E51))/(E50-E51))/Y12,0)</f>
        <v>7</v>
      </c>
      <c r="F38" s="1695"/>
      <c r="G38" s="1680"/>
      <c r="H38" s="1660"/>
      <c r="I38" s="1660"/>
      <c r="J38" s="1709">
        <f>+J32</f>
        <v>9.9999999999999985E-3</v>
      </c>
      <c r="K38" s="1710">
        <f t="shared" ref="K38:O40" ca="1" si="28">K32/$E$36</f>
        <v>150.24636681652635</v>
      </c>
      <c r="L38" s="1711">
        <f t="shared" ca="1" si="28"/>
        <v>119.25974432541577</v>
      </c>
      <c r="M38" s="1712">
        <f t="shared" ca="1" si="28"/>
        <v>98.405089684264098</v>
      </c>
      <c r="N38" s="1711">
        <f t="shared" ca="1" si="28"/>
        <v>83.588948850272899</v>
      </c>
      <c r="O38" s="1713">
        <f t="shared" ca="1" si="28"/>
        <v>72.643772368902518</v>
      </c>
      <c r="P38" s="1660"/>
      <c r="Q38" s="1660"/>
      <c r="R38" s="1660"/>
      <c r="S38" s="1723"/>
      <c r="T38" s="1654"/>
      <c r="U38" s="1654"/>
      <c r="V38" s="1740"/>
      <c r="W38" s="1723"/>
    </row>
    <row r="39" spans="1:23" x14ac:dyDescent="0.2">
      <c r="A39" s="1723"/>
      <c r="B39" s="1680"/>
      <c r="C39" s="1680"/>
      <c r="D39" s="1680"/>
      <c r="E39" s="1680"/>
      <c r="F39" s="1695"/>
      <c r="G39" s="1680"/>
      <c r="H39" s="1660"/>
      <c r="I39" s="1660"/>
      <c r="J39" s="1741">
        <f>+J33</f>
        <v>1.4999999999999999E-2</v>
      </c>
      <c r="K39" s="1717">
        <f t="shared" ca="1" si="28"/>
        <v>166.48786981799657</v>
      </c>
      <c r="L39" s="1718">
        <f t="shared" ca="1" si="28"/>
        <v>129.13921596660941</v>
      </c>
      <c r="M39" s="1719">
        <f t="shared" ca="1" si="28"/>
        <v>104.87911709493649</v>
      </c>
      <c r="N39" s="1718">
        <f t="shared" ca="1" si="28"/>
        <v>88.059665192155649</v>
      </c>
      <c r="O39" s="1720">
        <f t="shared" ca="1" si="28"/>
        <v>75.853794401790154</v>
      </c>
      <c r="P39" s="1660"/>
      <c r="Q39" s="1660"/>
      <c r="R39" s="1660"/>
      <c r="S39" s="1723"/>
      <c r="T39" s="1728"/>
      <c r="U39" s="1729"/>
      <c r="V39" s="1742"/>
      <c r="W39" s="1723"/>
    </row>
    <row r="40" spans="1:23" x14ac:dyDescent="0.2">
      <c r="A40" s="1723"/>
      <c r="B40" s="1689" t="s">
        <v>766</v>
      </c>
      <c r="C40" s="1743"/>
      <c r="D40" s="1743"/>
      <c r="E40" s="1744"/>
      <c r="F40" s="1695"/>
      <c r="G40" s="1680"/>
      <c r="H40" s="1660"/>
      <c r="I40" s="1660"/>
      <c r="J40" s="1724">
        <f>+J34</f>
        <v>0.02</v>
      </c>
      <c r="K40" s="1725">
        <f t="shared" ca="1" si="28"/>
        <v>187.33819886982724</v>
      </c>
      <c r="L40" s="1726">
        <f t="shared" ca="1" si="28"/>
        <v>141.20247886359303</v>
      </c>
      <c r="M40" s="1727">
        <f t="shared" ca="1" si="28"/>
        <v>112.52512629609991</v>
      </c>
      <c r="N40" s="1726">
        <f t="shared" ca="1" si="28"/>
        <v>93.215653812070684</v>
      </c>
      <c r="O40" s="1701">
        <f t="shared" ca="1" si="28"/>
        <v>79.490454131765475</v>
      </c>
      <c r="P40" s="1660"/>
      <c r="Q40" s="1660"/>
      <c r="R40" s="1660"/>
      <c r="S40" s="1723"/>
      <c r="T40" s="1728"/>
      <c r="U40" s="1729"/>
      <c r="V40" s="1742"/>
      <c r="W40" s="1723"/>
    </row>
    <row r="41" spans="1:23" x14ac:dyDescent="0.2">
      <c r="B41" s="1745" t="s">
        <v>767</v>
      </c>
      <c r="C41" s="1746"/>
      <c r="D41" s="1746"/>
      <c r="E41" s="1747" t="s">
        <v>768</v>
      </c>
      <c r="F41" s="1659"/>
      <c r="G41" s="1680"/>
      <c r="H41" s="1660"/>
      <c r="I41" s="1660"/>
      <c r="J41" s="1748"/>
      <c r="K41" s="1749"/>
      <c r="L41" s="1749"/>
      <c r="M41" s="1749"/>
      <c r="N41" s="1749"/>
      <c r="O41" s="1749"/>
      <c r="P41" s="1660"/>
      <c r="Q41" s="1660"/>
      <c r="R41" s="1660"/>
      <c r="S41" s="1723"/>
      <c r="T41" s="1728"/>
      <c r="U41" s="1729"/>
      <c r="V41" s="1742"/>
      <c r="W41" s="1723"/>
    </row>
    <row r="42" spans="1:23" x14ac:dyDescent="0.2">
      <c r="B42" s="1694" t="s">
        <v>620</v>
      </c>
      <c r="C42" s="1695"/>
      <c r="D42" s="1695"/>
      <c r="E42" s="1750">
        <v>0.03</v>
      </c>
      <c r="F42" s="1659"/>
      <c r="G42" s="1680"/>
      <c r="H42" s="1659"/>
      <c r="I42" s="1659"/>
      <c r="J42" s="1659"/>
      <c r="K42" s="1659"/>
      <c r="L42" s="1659"/>
      <c r="M42" s="1659"/>
      <c r="N42" s="1660"/>
      <c r="O42" s="1660"/>
      <c r="P42" s="1660"/>
      <c r="Q42" s="1660"/>
      <c r="R42" s="1660"/>
      <c r="S42" s="1723"/>
      <c r="T42" s="1728"/>
      <c r="U42" s="1729"/>
      <c r="V42" s="1742"/>
      <c r="W42" s="1723"/>
    </row>
    <row r="43" spans="1:23" x14ac:dyDescent="0.2">
      <c r="B43" s="1694" t="s">
        <v>769</v>
      </c>
      <c r="C43" s="1695"/>
      <c r="D43" s="1695"/>
      <c r="E43" s="2118">
        <v>1.3</v>
      </c>
      <c r="F43" s="1659"/>
      <c r="G43" s="1680"/>
      <c r="H43" s="1659"/>
      <c r="I43" s="1659"/>
      <c r="J43" s="1659"/>
      <c r="K43" s="1659"/>
      <c r="L43" s="1659"/>
      <c r="M43" s="1659"/>
      <c r="N43" s="1660"/>
      <c r="O43" s="1660"/>
      <c r="P43" s="1660"/>
      <c r="Q43" s="1660"/>
      <c r="R43" s="1660"/>
      <c r="S43" s="1723"/>
      <c r="T43" s="1728"/>
      <c r="U43" s="1728"/>
      <c r="V43" s="1728"/>
      <c r="W43" s="1723"/>
    </row>
    <row r="44" spans="1:23" x14ac:dyDescent="0.2">
      <c r="B44" s="1694" t="s">
        <v>770</v>
      </c>
      <c r="C44" s="1695"/>
      <c r="D44" s="1695"/>
      <c r="E44" s="1750">
        <v>0.05</v>
      </c>
      <c r="F44" s="1659"/>
      <c r="G44" s="1680"/>
      <c r="H44" s="1659"/>
      <c r="I44" s="1659"/>
      <c r="J44" s="1659"/>
      <c r="K44" s="1659"/>
      <c r="L44" s="1659"/>
      <c r="M44" s="1659"/>
      <c r="N44" s="1660"/>
      <c r="O44" s="1660"/>
      <c r="P44" s="1660"/>
      <c r="Q44" s="1660"/>
      <c r="R44" s="1660"/>
      <c r="S44" s="1723"/>
      <c r="T44" s="1728"/>
      <c r="U44" s="1728"/>
      <c r="V44" s="1728"/>
      <c r="W44" s="1723"/>
    </row>
    <row r="45" spans="1:23" x14ac:dyDescent="0.2">
      <c r="B45" s="1694" t="s">
        <v>771</v>
      </c>
      <c r="C45" s="1695"/>
      <c r="D45" s="1695"/>
      <c r="E45" s="1751">
        <f>+E42+E44*E43</f>
        <v>9.5000000000000001E-2</v>
      </c>
      <c r="F45" s="1659"/>
      <c r="G45" s="1680"/>
      <c r="H45" s="1659"/>
      <c r="I45" s="1659"/>
      <c r="J45" s="1659"/>
      <c r="K45" s="1659"/>
      <c r="L45" s="1659"/>
      <c r="M45" s="1659"/>
      <c r="N45" s="1660"/>
      <c r="O45" s="1660"/>
      <c r="P45" s="1660"/>
      <c r="Q45" s="1660"/>
      <c r="R45" s="1660"/>
      <c r="S45" s="1723"/>
      <c r="T45" s="1728"/>
      <c r="U45" s="1728"/>
      <c r="V45" s="1728"/>
      <c r="W45" s="1723"/>
    </row>
    <row r="46" spans="1:23" x14ac:dyDescent="0.2">
      <c r="B46" s="1694" t="s">
        <v>772</v>
      </c>
      <c r="C46" s="1695"/>
      <c r="D46" s="1695"/>
      <c r="E46" s="1752">
        <v>0.06</v>
      </c>
      <c r="F46" s="1659"/>
      <c r="G46" s="1680"/>
      <c r="H46" s="1659"/>
      <c r="I46" s="1659"/>
      <c r="J46" s="1659"/>
      <c r="K46" s="1659"/>
      <c r="L46" s="1659"/>
      <c r="M46" s="1659"/>
      <c r="N46" s="1660"/>
      <c r="O46" s="1660"/>
      <c r="P46" s="1660"/>
      <c r="Q46" s="1660"/>
      <c r="R46" s="1660"/>
      <c r="S46" s="1723"/>
      <c r="T46" s="1728"/>
      <c r="U46" s="1728"/>
      <c r="V46" s="1728"/>
      <c r="W46" s="1723"/>
    </row>
    <row r="47" spans="1:23" x14ac:dyDescent="0.2">
      <c r="B47" s="1694" t="s">
        <v>782</v>
      </c>
      <c r="C47" s="1695"/>
      <c r="D47" s="1695"/>
      <c r="E47" s="1752">
        <f>37%*(1-20%)-11.5%</f>
        <v>0.18099999999999999</v>
      </c>
      <c r="F47" s="1659" t="s">
        <v>783</v>
      </c>
      <c r="G47" s="1680"/>
      <c r="H47" s="1659"/>
      <c r="I47" s="1659"/>
      <c r="J47" s="1659"/>
      <c r="K47" s="1659"/>
      <c r="L47" s="1659"/>
      <c r="M47" s="1659"/>
      <c r="N47" s="1660"/>
      <c r="O47" s="1660"/>
      <c r="P47" s="1660"/>
      <c r="Q47" s="1660"/>
      <c r="R47" s="1660"/>
      <c r="S47" s="1723"/>
      <c r="T47" s="1654"/>
      <c r="U47" s="1654"/>
      <c r="V47" s="1753"/>
      <c r="W47" s="1723"/>
    </row>
    <row r="48" spans="1:23" x14ac:dyDescent="0.2">
      <c r="B48" s="1694" t="s">
        <v>784</v>
      </c>
      <c r="C48" s="1695"/>
      <c r="D48" s="1695"/>
      <c r="E48" s="1752">
        <v>0.24</v>
      </c>
      <c r="F48" s="1659"/>
      <c r="G48" s="1680"/>
      <c r="H48" s="1659"/>
      <c r="I48" s="1659"/>
      <c r="J48" s="1659"/>
      <c r="K48" s="1659"/>
      <c r="L48" s="1659"/>
      <c r="M48" s="1659"/>
      <c r="N48" s="1660"/>
      <c r="O48" s="1660"/>
      <c r="P48" s="1660"/>
      <c r="Q48" s="1660"/>
      <c r="R48" s="1660"/>
      <c r="S48" s="1723"/>
      <c r="T48" s="1654"/>
      <c r="U48" s="1654"/>
      <c r="V48" s="1753"/>
      <c r="W48" s="1723"/>
    </row>
    <row r="49" spans="2:23" x14ac:dyDescent="0.2">
      <c r="B49" s="1694" t="s">
        <v>773</v>
      </c>
      <c r="C49" s="1695"/>
      <c r="D49" s="1695"/>
      <c r="E49" s="1750">
        <v>0.4</v>
      </c>
      <c r="F49" s="1659"/>
      <c r="G49" s="1680"/>
      <c r="H49" s="1659"/>
      <c r="I49" s="1659"/>
      <c r="J49" s="1659"/>
      <c r="K49" s="1659"/>
      <c r="L49" s="1659"/>
      <c r="M49" s="1659"/>
      <c r="N49" s="1660"/>
      <c r="O49" s="1660"/>
      <c r="P49" s="1660"/>
      <c r="Q49" s="1660"/>
      <c r="R49" s="1660"/>
      <c r="S49" s="1723"/>
      <c r="T49" s="1728"/>
      <c r="U49" s="1729"/>
      <c r="V49" s="1754"/>
      <c r="W49" s="1723"/>
    </row>
    <row r="50" spans="2:23" x14ac:dyDescent="0.2">
      <c r="B50" s="1689" t="s">
        <v>774</v>
      </c>
      <c r="C50" s="1743"/>
      <c r="D50" s="1743"/>
      <c r="E50" s="1755">
        <f>+(E45*(1-E49))+((1-E48)*E46*E49)</f>
        <v>7.5240000000000001E-2</v>
      </c>
      <c r="F50" s="1659"/>
      <c r="G50" s="1680"/>
      <c r="H50" s="1659"/>
      <c r="I50" s="1659"/>
      <c r="J50" s="1659"/>
      <c r="K50" s="1659"/>
      <c r="L50" s="1659"/>
      <c r="M50" s="1659"/>
      <c r="N50" s="1660"/>
      <c r="O50" s="1660"/>
      <c r="P50" s="1660"/>
      <c r="Q50" s="1660"/>
      <c r="R50" s="1660"/>
      <c r="S50" s="1723"/>
      <c r="T50" s="1728"/>
      <c r="U50" s="1729"/>
      <c r="V50" s="1754"/>
      <c r="W50" s="1723"/>
    </row>
    <row r="51" spans="2:23" x14ac:dyDescent="0.2">
      <c r="B51" s="1756" t="s">
        <v>775</v>
      </c>
      <c r="C51" s="1757"/>
      <c r="D51" s="1757"/>
      <c r="E51" s="1758">
        <f>R28</f>
        <v>1.4999999999999999E-2</v>
      </c>
      <c r="F51" s="1659"/>
      <c r="G51" s="1680"/>
      <c r="H51" s="1659"/>
      <c r="I51" s="1659"/>
      <c r="J51" s="1659"/>
      <c r="K51" s="1659"/>
      <c r="L51" s="1659"/>
      <c r="M51" s="1659"/>
      <c r="N51" s="1660"/>
      <c r="O51" s="1660"/>
      <c r="P51" s="1660"/>
      <c r="Q51" s="1660"/>
      <c r="R51" s="1660"/>
      <c r="S51" s="1723"/>
      <c r="T51" s="1728"/>
      <c r="U51" s="1729"/>
      <c r="V51" s="1754"/>
      <c r="W51" s="1723"/>
    </row>
    <row r="52" spans="2:23" x14ac:dyDescent="0.2">
      <c r="B52" s="1652"/>
      <c r="C52" s="1652"/>
      <c r="D52" s="1652"/>
      <c r="E52" s="1652"/>
      <c r="F52" s="1659"/>
      <c r="G52" s="1680"/>
      <c r="H52" s="1659"/>
      <c r="I52" s="1659"/>
      <c r="J52" s="1659"/>
      <c r="K52" s="1659"/>
      <c r="L52" s="1659"/>
      <c r="M52" s="1659"/>
      <c r="N52" s="1660"/>
      <c r="O52" s="1660"/>
      <c r="P52" s="1660"/>
      <c r="Q52" s="1660"/>
      <c r="R52" s="1660"/>
      <c r="S52" s="1723"/>
      <c r="T52" s="1728"/>
      <c r="U52" s="1728"/>
      <c r="V52" s="1728"/>
      <c r="W52" s="1723"/>
    </row>
    <row r="53" spans="2:23" x14ac:dyDescent="0.2">
      <c r="B53" s="2071"/>
      <c r="F53" s="1659"/>
      <c r="G53" s="1680"/>
      <c r="H53" s="1659"/>
      <c r="I53" s="1659"/>
      <c r="J53" s="1659"/>
      <c r="K53" s="1659"/>
      <c r="L53" s="1659"/>
      <c r="M53" s="1659"/>
      <c r="N53" s="1660"/>
      <c r="O53" s="1660"/>
      <c r="P53" s="1660"/>
      <c r="Q53" s="1660"/>
      <c r="R53" s="1660"/>
      <c r="S53" s="1723"/>
      <c r="T53" s="1654"/>
      <c r="U53" s="1654"/>
      <c r="V53" s="1759"/>
      <c r="W53" s="1723"/>
    </row>
    <row r="54" spans="2:23" x14ac:dyDescent="0.2">
      <c r="F54" s="1652"/>
      <c r="G54" s="1652"/>
      <c r="H54" s="1652"/>
      <c r="I54" s="1652"/>
      <c r="J54" s="1652"/>
      <c r="K54" s="1652"/>
      <c r="L54" s="1652"/>
      <c r="M54" s="1652"/>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DP1102"/>
  <sheetViews>
    <sheetView workbookViewId="0">
      <pane ySplit="3" topLeftCell="A947" activePane="bottomLeft" state="frozen"/>
      <selection activeCell="CD8" sqref="CD8"/>
      <selection pane="bottomLeft" activeCell="F960" sqref="F960"/>
    </sheetView>
  </sheetViews>
  <sheetFormatPr defaultRowHeight="12.75" outlineLevelRow="1" outlineLevelCol="1" x14ac:dyDescent="0.2"/>
  <cols>
    <col min="1" max="2" width="9" style="703" customWidth="1" outlineLevel="1"/>
    <col min="3" max="3" width="8.5" style="703" customWidth="1" outlineLevel="1"/>
    <col min="4" max="4" width="6.125" style="703" bestFit="1" customWidth="1"/>
    <col min="5" max="5" width="6.125" style="703" customWidth="1"/>
    <col min="6" max="6" width="12.875" style="725" customWidth="1"/>
    <col min="7" max="7" width="9" style="703"/>
    <col min="8" max="8" width="9" style="703" customWidth="1" outlineLevel="1"/>
    <col min="9" max="12" width="9" style="703"/>
    <col min="13" max="13" width="22.5" style="703" customWidth="1"/>
    <col min="14" max="19" width="0" style="703" hidden="1" customWidth="1" outlineLevel="1"/>
    <col min="20" max="20" width="9" style="703" collapsed="1"/>
    <col min="21" max="24" width="9" style="703" outlineLevel="1"/>
    <col min="25" max="25" width="9" style="703"/>
    <col min="26" max="29" width="9" style="703" outlineLevel="1"/>
    <col min="30" max="30" width="9" style="703"/>
    <col min="31" max="34" width="8" style="703" hidden="1" customWidth="1" outlineLevel="1"/>
    <col min="35" max="35" width="9" style="703" collapsed="1"/>
    <col min="36" max="39" width="0" style="703" hidden="1" customWidth="1" outlineLevel="1"/>
    <col min="40" max="40" width="9" style="703" collapsed="1"/>
    <col min="41" max="44" width="0" style="703" hidden="1" customWidth="1" outlineLevel="1"/>
    <col min="45" max="45" width="9" style="703" collapsed="1"/>
    <col min="46" max="49" width="0" style="703" hidden="1" customWidth="1" outlineLevel="1"/>
    <col min="50" max="50" width="9" style="703" collapsed="1"/>
    <col min="51" max="54" width="0" style="703" hidden="1" customWidth="1" outlineLevel="1"/>
    <col min="55" max="55" width="9" style="703" collapsed="1"/>
    <col min="56" max="59" width="0" style="703" hidden="1" customWidth="1" outlineLevel="1"/>
    <col min="60" max="60" width="9" style="703" collapsed="1"/>
    <col min="61" max="64" width="0" style="703" hidden="1" customWidth="1" outlineLevel="1"/>
    <col min="65" max="65" width="9" style="703" collapsed="1"/>
    <col min="66" max="69" width="0" style="703" hidden="1" customWidth="1" outlineLevel="1"/>
    <col min="70" max="70" width="9" style="703" collapsed="1"/>
    <col min="71" max="74" width="0" style="703" hidden="1" customWidth="1" outlineLevel="1"/>
    <col min="75" max="75" width="9" style="703" collapsed="1"/>
    <col min="76" max="79" width="9" style="703" outlineLevel="1"/>
    <col min="80" max="80" width="9" style="703"/>
    <col min="81" max="84" width="9" style="703" outlineLevel="1"/>
    <col min="85" max="85" width="9" style="703"/>
    <col min="86" max="89" width="9" style="703" customWidth="1" outlineLevel="1"/>
    <col min="90" max="90" width="9" style="703"/>
    <col min="91" max="94" width="9" style="703" customWidth="1" outlineLevel="1"/>
    <col min="95" max="95" width="9" style="703"/>
    <col min="96" max="99" width="9" style="703" outlineLevel="1"/>
    <col min="100" max="100" width="9" style="703"/>
    <col min="101" max="104" width="9" style="703" outlineLevel="1"/>
    <col min="105" max="16384" width="9" style="703"/>
  </cols>
  <sheetData>
    <row r="1" spans="1:120" x14ac:dyDescent="0.2">
      <c r="A1" s="696"/>
      <c r="B1" s="696"/>
      <c r="C1" s="696"/>
      <c r="D1" s="697"/>
      <c r="E1" s="697"/>
      <c r="F1" s="698"/>
      <c r="G1" s="697"/>
      <c r="H1" s="697"/>
      <c r="I1" s="697"/>
      <c r="J1" s="697"/>
      <c r="K1" s="697"/>
      <c r="L1" s="699"/>
      <c r="M1" s="700" t="s">
        <v>35</v>
      </c>
      <c r="N1" s="697"/>
      <c r="O1" s="697"/>
      <c r="P1" s="701" t="str">
        <f>"1Q" &amp; MID(T2,3,2)</f>
        <v>1Q00</v>
      </c>
      <c r="Q1" s="701" t="str">
        <f>"2Q" &amp; MID(T2,3,2)</f>
        <v>2Q00</v>
      </c>
      <c r="R1" s="701" t="str">
        <f>"3Q" &amp; MID(T2,3,2)</f>
        <v>3Q00</v>
      </c>
      <c r="S1" s="701" t="str">
        <f>"4Q" &amp; MID(T2,3,2)</f>
        <v>4Q00</v>
      </c>
      <c r="T1" s="702" t="str">
        <f>LEFT(T2,4)</f>
        <v>2000</v>
      </c>
      <c r="U1" s="701" t="str">
        <f>"1Q" &amp; MID(Y2,3,2)</f>
        <v>1Q01</v>
      </c>
      <c r="V1" s="701" t="str">
        <f>"2Q" &amp; MID(Y2,3,2)</f>
        <v>2Q01</v>
      </c>
      <c r="W1" s="701" t="str">
        <f>"3Q" &amp; MID(Y2,3,2)</f>
        <v>3Q01</v>
      </c>
      <c r="X1" s="701" t="str">
        <f>"4Q" &amp; MID(Y2,3,2)</f>
        <v>4Q01</v>
      </c>
      <c r="Y1" s="702" t="str">
        <f>LEFT(Y2,4)</f>
        <v>2001</v>
      </c>
      <c r="Z1" s="701" t="str">
        <f>"1Q" &amp; MID(AD2,3,2)</f>
        <v>1Q02</v>
      </c>
      <c r="AA1" s="701" t="str">
        <f>"2Q" &amp; MID(AD2,3,2)</f>
        <v>2Q02</v>
      </c>
      <c r="AB1" s="701" t="str">
        <f>"3Q" &amp; MID(AD2,3,2)</f>
        <v>3Q02</v>
      </c>
      <c r="AC1" s="701" t="str">
        <f>"4Q" &amp; MID(AD2,3,2)</f>
        <v>4Q02</v>
      </c>
      <c r="AD1" s="702" t="str">
        <f>LEFT(AD2,4)</f>
        <v>2002</v>
      </c>
      <c r="AE1" s="701" t="str">
        <f>"1Q" &amp; MID(AI2,3,2)</f>
        <v>1Q03</v>
      </c>
      <c r="AF1" s="701" t="str">
        <f>"2Q" &amp; MID(AI2,3,2)</f>
        <v>2Q03</v>
      </c>
      <c r="AG1" s="701" t="str">
        <f>"3Q" &amp; MID(AI2,3,2)</f>
        <v>3Q03</v>
      </c>
      <c r="AH1" s="701" t="str">
        <f>"4Q" &amp; MID(AI2,3,2)</f>
        <v>4Q03</v>
      </c>
      <c r="AI1" s="702" t="str">
        <f>LEFT(AI2,4)</f>
        <v>2003</v>
      </c>
      <c r="AJ1" s="701" t="str">
        <f>"1Q" &amp; MID(AN2,3,2)</f>
        <v>1Q04</v>
      </c>
      <c r="AK1" s="701" t="str">
        <f>"2Q" &amp; MID(AN2,3,2)</f>
        <v>2Q04</v>
      </c>
      <c r="AL1" s="701" t="str">
        <f>"3Q" &amp; MID(AN2,3,2)</f>
        <v>3Q04</v>
      </c>
      <c r="AM1" s="701" t="str">
        <f>"4Q" &amp; MID(AN2,3,2)</f>
        <v>4Q04</v>
      </c>
      <c r="AN1" s="702" t="str">
        <f>LEFT(AN2,4)</f>
        <v>2004</v>
      </c>
      <c r="AO1" s="701" t="str">
        <f>"1Q" &amp; MID(AS2,3,2)</f>
        <v>1Q05</v>
      </c>
      <c r="AP1" s="701" t="str">
        <f>"2Q" &amp; MID(AS2,3,2)</f>
        <v>2Q05</v>
      </c>
      <c r="AQ1" s="701" t="str">
        <f>"3Q" &amp; MID(AS2,3,2)</f>
        <v>3Q05</v>
      </c>
      <c r="AR1" s="701" t="str">
        <f>"4Q" &amp; MID(AS2,3,2)</f>
        <v>4Q05</v>
      </c>
      <c r="AS1" s="702" t="str">
        <f>LEFT(AS2,4)</f>
        <v>2005</v>
      </c>
      <c r="AT1" s="701" t="str">
        <f>"1Q" &amp; MID(AX2,3,2)</f>
        <v>1Q06</v>
      </c>
      <c r="AU1" s="701" t="str">
        <f>"2Q" &amp; MID(AX2,3,2)</f>
        <v>2Q06</v>
      </c>
      <c r="AV1" s="701" t="str">
        <f>"3Q" &amp; MID(AX2,3,2)</f>
        <v>3Q06</v>
      </c>
      <c r="AW1" s="701" t="str">
        <f>"4Q" &amp; MID(AX2,3,2)</f>
        <v>4Q06</v>
      </c>
      <c r="AX1" s="702" t="str">
        <f>LEFT(AX2,4)</f>
        <v>2006</v>
      </c>
      <c r="AY1" s="701" t="str">
        <f>"1Q" &amp; MID(BC2,3,2)</f>
        <v>1Q07</v>
      </c>
      <c r="AZ1" s="701" t="str">
        <f>"2Q" &amp; MID(BC2,3,2)</f>
        <v>2Q07</v>
      </c>
      <c r="BA1" s="701" t="str">
        <f>"3Q" &amp; MID(BC2,3,2)</f>
        <v>3Q07</v>
      </c>
      <c r="BB1" s="701" t="str">
        <f>"4Q" &amp; MID(BC2,3,2)</f>
        <v>4Q07</v>
      </c>
      <c r="BC1" s="702" t="str">
        <f>LEFT(BC2,4)</f>
        <v>2007</v>
      </c>
      <c r="BD1" s="701" t="str">
        <f>"1Q" &amp; MID(BH2,3,2)</f>
        <v>1Q08</v>
      </c>
      <c r="BE1" s="701" t="str">
        <f>"2Q" &amp; MID(BH2,3,2)</f>
        <v>2Q08</v>
      </c>
      <c r="BF1" s="701" t="str">
        <f>"3Q" &amp; MID(BH2,3,2)</f>
        <v>3Q08</v>
      </c>
      <c r="BG1" s="701" t="str">
        <f>"4Q" &amp; MID(BH2,3,2)</f>
        <v>4Q08</v>
      </c>
      <c r="BH1" s="702" t="str">
        <f>LEFT(BH2,4)</f>
        <v>2008</v>
      </c>
      <c r="BI1" s="701" t="str">
        <f>"1Q" &amp; MID(BM2,3,2)</f>
        <v>1Q09</v>
      </c>
      <c r="BJ1" s="701" t="str">
        <f>"2Q" &amp; MID(BM2,3,2)</f>
        <v>2Q09</v>
      </c>
      <c r="BK1" s="701" t="str">
        <f>"3Q" &amp; MID(BM2,3,2)</f>
        <v>3Q09</v>
      </c>
      <c r="BL1" s="701" t="str">
        <f>"4Q" &amp; MID(BM2,3,2)</f>
        <v>4Q09</v>
      </c>
      <c r="BM1" s="702" t="str">
        <f>LEFT(BM2,4)</f>
        <v>2009</v>
      </c>
      <c r="BN1" s="701" t="str">
        <f>"1Q" &amp; MID(BR2,3,2)</f>
        <v>1Q10</v>
      </c>
      <c r="BO1" s="701" t="str">
        <f>"2Q" &amp; MID(BR2,3,2)</f>
        <v>2Q10</v>
      </c>
      <c r="BP1" s="701" t="str">
        <f>"3Q" &amp; MID(BR2,3,2)</f>
        <v>3Q10</v>
      </c>
      <c r="BQ1" s="701" t="str">
        <f>"4Q" &amp; MID(BR2,3,2)</f>
        <v>4Q10</v>
      </c>
      <c r="BR1" s="702" t="str">
        <f>LEFT(BR2,4)</f>
        <v>2010</v>
      </c>
      <c r="BS1" s="701" t="str">
        <f>"1Q" &amp; MID(BW2,3,2)</f>
        <v>1Q11</v>
      </c>
      <c r="BT1" s="701" t="str">
        <f>"2Q" &amp; MID(BW2,3,2)</f>
        <v>2Q11</v>
      </c>
      <c r="BU1" s="701" t="str">
        <f>"3Q" &amp; MID(BW2,3,2)</f>
        <v>3Q11</v>
      </c>
      <c r="BV1" s="701" t="str">
        <f>"4Q" &amp; MID(BW2,3,2)</f>
        <v>4Q11</v>
      </c>
      <c r="BW1" s="702" t="str">
        <f>LEFT(BW2,4)</f>
        <v>2011</v>
      </c>
      <c r="BX1" s="701" t="str">
        <f>"1Q" &amp; MID(CB2,3,2)</f>
        <v>1Q12</v>
      </c>
      <c r="BY1" s="701" t="str">
        <f>"2Q" &amp; MID(CB2,3,2)</f>
        <v>2Q12</v>
      </c>
      <c r="BZ1" s="701" t="str">
        <f>"3Q" &amp; MID(CB2,3,2)</f>
        <v>3Q12</v>
      </c>
      <c r="CA1" s="701" t="str">
        <f>"4Q" &amp; MID(CB2,3,2)</f>
        <v>4Q12</v>
      </c>
      <c r="CB1" s="702" t="str">
        <f>LEFT(CB2,4)</f>
        <v>2012</v>
      </c>
      <c r="CC1" s="701" t="str">
        <f>"1Q" &amp; MID(CG2,3,2)</f>
        <v>1Q13</v>
      </c>
      <c r="CD1" s="701" t="str">
        <f>"2Q" &amp; MID(CG2,3,2)</f>
        <v>2Q13</v>
      </c>
      <c r="CE1" s="701" t="str">
        <f>"3Q" &amp; MID(CG2,3,2)</f>
        <v>3Q13</v>
      </c>
      <c r="CF1" s="701" t="str">
        <f>"4Q" &amp; MID(CG2,3,2)</f>
        <v>4Q13</v>
      </c>
      <c r="CG1" s="702" t="str">
        <f>LEFT(CG2,4)</f>
        <v>2013</v>
      </c>
      <c r="CH1" s="701" t="str">
        <f>"1Q" &amp; MID(CL2,3,2)</f>
        <v>1Q14</v>
      </c>
      <c r="CI1" s="701" t="str">
        <f>"2Q" &amp; MID(CL2,3,2)</f>
        <v>2Q14</v>
      </c>
      <c r="CJ1" s="701" t="str">
        <f>"3Q" &amp; MID(CL2,3,2)</f>
        <v>3Q14</v>
      </c>
      <c r="CK1" s="701" t="str">
        <f>"4Q" &amp; MID(CL2,3,2)</f>
        <v>4Q14</v>
      </c>
      <c r="CL1" s="702" t="str">
        <f>LEFT(CL2,4)</f>
        <v>2014</v>
      </c>
      <c r="CM1" s="701" t="str">
        <f>"1Q" &amp; MID(CQ2,3,2)</f>
        <v>1Q15</v>
      </c>
      <c r="CN1" s="701" t="str">
        <f>"2Q" &amp; MID(CQ2,3,2)</f>
        <v>2Q15</v>
      </c>
      <c r="CO1" s="701" t="str">
        <f>"3Q" &amp; MID(CQ2,3,2)</f>
        <v>3Q15</v>
      </c>
      <c r="CP1" s="701" t="str">
        <f>"4Q" &amp; MID(CQ2,3,2)</f>
        <v>4Q15</v>
      </c>
      <c r="CQ1" s="702" t="str">
        <f>LEFT(CQ2,4)</f>
        <v>2015</v>
      </c>
      <c r="CR1" s="701" t="str">
        <f>"1Q" &amp; MID(CV2,3,2)</f>
        <v>1Q16</v>
      </c>
      <c r="CS1" s="701" t="str">
        <f>"2Q" &amp; MID(CV2,3,2)</f>
        <v>2Q16</v>
      </c>
      <c r="CT1" s="701" t="str">
        <f>"3Q" &amp; MID(CV2,3,2)</f>
        <v>3Q16</v>
      </c>
      <c r="CU1" s="701" t="str">
        <f>"4Q" &amp; MID(CV2,3,2)</f>
        <v>4Q16</v>
      </c>
      <c r="CV1" s="702" t="str">
        <f>LEFT(CV2,4)</f>
        <v>2016</v>
      </c>
      <c r="CW1" s="701" t="str">
        <f>"1Q" &amp; MID(DA2,3,2)</f>
        <v>1Q17</v>
      </c>
      <c r="CX1" s="701" t="str">
        <f>"2Q" &amp; MID(DA2,3,2)</f>
        <v>2Q17</v>
      </c>
      <c r="CY1" s="701" t="str">
        <f>"3Q" &amp; MID(DA2,3,2)</f>
        <v>3Q17</v>
      </c>
      <c r="CZ1" s="701" t="str">
        <f>"4Q" &amp; MID(DA2,3,2)</f>
        <v>4Q17</v>
      </c>
      <c r="DA1" s="702" t="str">
        <f>LEFT(DA2,4)</f>
        <v>2017</v>
      </c>
      <c r="DB1" s="701" t="str">
        <f>"1Q" &amp; MID(DF2,3,2)</f>
        <v>1Q18</v>
      </c>
      <c r="DC1" s="701" t="str">
        <f>"2Q" &amp; MID(DF2,3,2)</f>
        <v>2Q18</v>
      </c>
      <c r="DD1" s="701" t="str">
        <f>"3Q" &amp; MID(DF2,3,2)</f>
        <v>3Q18</v>
      </c>
      <c r="DE1" s="701" t="str">
        <f>"4Q" &amp; MID(DF2,3,2)</f>
        <v>4Q18</v>
      </c>
      <c r="DF1" s="702" t="str">
        <f>LEFT(DF2,4)</f>
        <v>2018</v>
      </c>
      <c r="DG1" s="701" t="str">
        <f>"1Q" &amp; MID(DK2,3,2)</f>
        <v>1Q19</v>
      </c>
      <c r="DH1" s="701" t="str">
        <f>"2Q" &amp; MID(DK2,3,2)</f>
        <v>2Q19</v>
      </c>
      <c r="DI1" s="701" t="str">
        <f>"3Q" &amp; MID(DK2,3,2)</f>
        <v>3Q19</v>
      </c>
      <c r="DJ1" s="701" t="str">
        <f>"4Q" &amp; MID(DK2,3,2)</f>
        <v>4Q19</v>
      </c>
      <c r="DK1" s="702" t="str">
        <f>LEFT(DK2,4)</f>
        <v>2019</v>
      </c>
      <c r="DL1" s="701" t="str">
        <f>"1Q" &amp; MID(DP2,3,2)</f>
        <v>1Q20</v>
      </c>
      <c r="DM1" s="701" t="str">
        <f>"2Q" &amp; MID(DP2,3,2)</f>
        <v>2Q20</v>
      </c>
      <c r="DN1" s="701" t="str">
        <f>"3Q" &amp; MID(DP2,3,2)</f>
        <v>3Q20</v>
      </c>
      <c r="DO1" s="701" t="str">
        <f>"4Q" &amp; MID(DP2,3,2)</f>
        <v>4Q20</v>
      </c>
      <c r="DP1" s="702" t="str">
        <f>LEFT(DP2,4)</f>
        <v>2020</v>
      </c>
    </row>
    <row r="2" spans="1:120" x14ac:dyDescent="0.2">
      <c r="A2" s="696"/>
      <c r="B2" s="696"/>
      <c r="C2" s="696"/>
      <c r="D2" s="697"/>
      <c r="E2" s="697"/>
      <c r="F2" s="698"/>
      <c r="G2" s="697"/>
      <c r="H2" s="697"/>
      <c r="I2" s="2169" t="s">
        <v>36</v>
      </c>
      <c r="J2" s="2169"/>
      <c r="K2" s="2169"/>
      <c r="L2" s="699"/>
      <c r="M2" s="697"/>
      <c r="N2" s="704"/>
      <c r="O2" s="704"/>
      <c r="P2" s="705" t="s">
        <v>522</v>
      </c>
      <c r="Q2" s="705" t="s">
        <v>523</v>
      </c>
      <c r="R2" s="705" t="s">
        <v>531</v>
      </c>
      <c r="S2" s="705" t="s">
        <v>532</v>
      </c>
      <c r="T2" s="705" t="s">
        <v>622</v>
      </c>
      <c r="U2" s="705" t="s">
        <v>522</v>
      </c>
      <c r="V2" s="705" t="s">
        <v>523</v>
      </c>
      <c r="W2" s="705" t="s">
        <v>531</v>
      </c>
      <c r="X2" s="705" t="s">
        <v>532</v>
      </c>
      <c r="Y2" s="705" t="s">
        <v>623</v>
      </c>
      <c r="Z2" s="705" t="s">
        <v>522</v>
      </c>
      <c r="AA2" s="705" t="s">
        <v>523</v>
      </c>
      <c r="AB2" s="705" t="s">
        <v>531</v>
      </c>
      <c r="AC2" s="705" t="s">
        <v>532</v>
      </c>
      <c r="AD2" s="705" t="s">
        <v>533</v>
      </c>
      <c r="AE2" s="705" t="s">
        <v>522</v>
      </c>
      <c r="AF2" s="705" t="s">
        <v>523</v>
      </c>
      <c r="AG2" s="705" t="s">
        <v>531</v>
      </c>
      <c r="AH2" s="705" t="s">
        <v>532</v>
      </c>
      <c r="AI2" s="705" t="s">
        <v>534</v>
      </c>
      <c r="AJ2" s="705" t="s">
        <v>522</v>
      </c>
      <c r="AK2" s="705" t="s">
        <v>523</v>
      </c>
      <c r="AL2" s="705" t="s">
        <v>531</v>
      </c>
      <c r="AM2" s="705" t="s">
        <v>532</v>
      </c>
      <c r="AN2" s="705" t="s">
        <v>535</v>
      </c>
      <c r="AO2" s="705" t="s">
        <v>522</v>
      </c>
      <c r="AP2" s="705" t="s">
        <v>523</v>
      </c>
      <c r="AQ2" s="705" t="s">
        <v>531</v>
      </c>
      <c r="AR2" s="705" t="s">
        <v>532</v>
      </c>
      <c r="AS2" s="705" t="s">
        <v>536</v>
      </c>
      <c r="AT2" s="705" t="s">
        <v>522</v>
      </c>
      <c r="AU2" s="705" t="s">
        <v>523</v>
      </c>
      <c r="AV2" s="705" t="s">
        <v>531</v>
      </c>
      <c r="AW2" s="705" t="s">
        <v>532</v>
      </c>
      <c r="AX2" s="705" t="s">
        <v>198</v>
      </c>
      <c r="AY2" s="705" t="s">
        <v>522</v>
      </c>
      <c r="AZ2" s="705" t="s">
        <v>523</v>
      </c>
      <c r="BA2" s="705" t="s">
        <v>531</v>
      </c>
      <c r="BB2" s="705" t="s">
        <v>532</v>
      </c>
      <c r="BC2" s="705" t="s">
        <v>199</v>
      </c>
      <c r="BD2" s="705" t="s">
        <v>522</v>
      </c>
      <c r="BE2" s="705" t="s">
        <v>523</v>
      </c>
      <c r="BF2" s="705" t="s">
        <v>531</v>
      </c>
      <c r="BG2" s="705" t="s">
        <v>532</v>
      </c>
      <c r="BH2" s="705" t="s">
        <v>200</v>
      </c>
      <c r="BI2" s="705" t="s">
        <v>522</v>
      </c>
      <c r="BJ2" s="705" t="s">
        <v>523</v>
      </c>
      <c r="BK2" s="705" t="s">
        <v>531</v>
      </c>
      <c r="BL2" s="705" t="s">
        <v>532</v>
      </c>
      <c r="BM2" s="705" t="s">
        <v>435</v>
      </c>
      <c r="BN2" s="705" t="s">
        <v>522</v>
      </c>
      <c r="BO2" s="705" t="s">
        <v>523</v>
      </c>
      <c r="BP2" s="705" t="s">
        <v>531</v>
      </c>
      <c r="BQ2" s="705" t="s">
        <v>532</v>
      </c>
      <c r="BR2" s="705" t="s">
        <v>436</v>
      </c>
      <c r="BS2" s="705" t="s">
        <v>522</v>
      </c>
      <c r="BT2" s="705" t="s">
        <v>523</v>
      </c>
      <c r="BU2" s="705" t="s">
        <v>531</v>
      </c>
      <c r="BV2" s="705" t="s">
        <v>437</v>
      </c>
      <c r="BW2" s="705" t="s">
        <v>438</v>
      </c>
      <c r="BX2" s="705" t="str">
        <f>BS2</f>
        <v>1QA</v>
      </c>
      <c r="BY2" s="705" t="str">
        <f>BT2</f>
        <v>2QA</v>
      </c>
      <c r="BZ2" s="705" t="str">
        <f>BU2</f>
        <v>3QA</v>
      </c>
      <c r="CA2" s="705" t="str">
        <f>BV2</f>
        <v>4QE</v>
      </c>
      <c r="CB2" s="705" t="s">
        <v>439</v>
      </c>
      <c r="CC2" s="705" t="str">
        <f>BX2</f>
        <v>1QA</v>
      </c>
      <c r="CD2" s="705" t="s">
        <v>523</v>
      </c>
      <c r="CE2" s="705" t="s">
        <v>92</v>
      </c>
      <c r="CF2" s="705" t="s">
        <v>437</v>
      </c>
      <c r="CG2" s="705" t="s">
        <v>485</v>
      </c>
      <c r="CH2" s="705" t="str">
        <f>CC2</f>
        <v>1QA</v>
      </c>
      <c r="CI2" s="705" t="str">
        <f>CD2</f>
        <v>2QA</v>
      </c>
      <c r="CJ2" s="705" t="str">
        <f>CE2</f>
        <v>3QE</v>
      </c>
      <c r="CK2" s="705" t="str">
        <f>CF2</f>
        <v>4QE</v>
      </c>
      <c r="CL2" s="705" t="s">
        <v>664</v>
      </c>
      <c r="CM2" s="705" t="s">
        <v>522</v>
      </c>
      <c r="CN2" s="705" t="str">
        <f>CI2</f>
        <v>2QA</v>
      </c>
      <c r="CO2" s="705" t="str">
        <f>CJ2</f>
        <v>3QE</v>
      </c>
      <c r="CP2" s="705" t="str">
        <f>CK2</f>
        <v>4QE</v>
      </c>
      <c r="CQ2" s="705" t="s">
        <v>213</v>
      </c>
      <c r="CR2" s="705" t="str">
        <f>CM2</f>
        <v>1QA</v>
      </c>
      <c r="CS2" s="705" t="str">
        <f>CN2</f>
        <v>2QA</v>
      </c>
      <c r="CT2" s="705" t="str">
        <f>CO2</f>
        <v>3QE</v>
      </c>
      <c r="CU2" s="705" t="str">
        <f>CP2</f>
        <v>4QE</v>
      </c>
      <c r="CV2" s="705" t="s">
        <v>374</v>
      </c>
      <c r="CW2" s="705" t="str">
        <f>CR2</f>
        <v>1QA</v>
      </c>
      <c r="CX2" s="705" t="str">
        <f>CS2</f>
        <v>2QA</v>
      </c>
      <c r="CY2" s="705" t="str">
        <f>CT2</f>
        <v>3QE</v>
      </c>
      <c r="CZ2" s="705" t="str">
        <f>CU2</f>
        <v>4QE</v>
      </c>
      <c r="DA2" s="705" t="s">
        <v>65</v>
      </c>
      <c r="DB2" s="705" t="str">
        <f>CW2</f>
        <v>1QA</v>
      </c>
      <c r="DC2" s="705" t="str">
        <f>CX2</f>
        <v>2QA</v>
      </c>
      <c r="DD2" s="705" t="str">
        <f>CY2</f>
        <v>3QE</v>
      </c>
      <c r="DE2" s="705" t="str">
        <f>CZ2</f>
        <v>4QE</v>
      </c>
      <c r="DF2" s="705" t="s">
        <v>719</v>
      </c>
      <c r="DG2" s="705" t="str">
        <f>DB2</f>
        <v>1QA</v>
      </c>
      <c r="DH2" s="705" t="str">
        <f>DC2</f>
        <v>2QA</v>
      </c>
      <c r="DI2" s="705" t="str">
        <f>DD2</f>
        <v>3QE</v>
      </c>
      <c r="DJ2" s="705" t="str">
        <f>DE2</f>
        <v>4QE</v>
      </c>
      <c r="DK2" s="705" t="s">
        <v>798</v>
      </c>
      <c r="DL2" s="705" t="str">
        <f>DG2</f>
        <v>1QA</v>
      </c>
      <c r="DM2" s="705" t="str">
        <f>DH2</f>
        <v>2QA</v>
      </c>
      <c r="DN2" s="705" t="str">
        <f>DI2</f>
        <v>3QE</v>
      </c>
      <c r="DO2" s="705" t="str">
        <f>DJ2</f>
        <v>4QE</v>
      </c>
      <c r="DP2" s="705" t="s">
        <v>830</v>
      </c>
    </row>
    <row r="3" spans="1:120" ht="33.75" x14ac:dyDescent="0.2">
      <c r="A3" s="706" t="s">
        <v>66</v>
      </c>
      <c r="B3" s="706" t="s">
        <v>107</v>
      </c>
      <c r="C3" s="706" t="s">
        <v>648</v>
      </c>
      <c r="D3" s="706" t="s">
        <v>67</v>
      </c>
      <c r="E3" s="706" t="s">
        <v>68</v>
      </c>
      <c r="F3" s="707" t="s">
        <v>384</v>
      </c>
      <c r="G3" s="707" t="s">
        <v>385</v>
      </c>
      <c r="H3" s="707" t="s">
        <v>386</v>
      </c>
      <c r="I3" s="708" t="s">
        <v>387</v>
      </c>
      <c r="J3" s="708" t="s">
        <v>388</v>
      </c>
      <c r="K3" s="707" t="s">
        <v>638</v>
      </c>
      <c r="L3" s="699"/>
      <c r="M3" s="700" t="s">
        <v>18</v>
      </c>
      <c r="N3" s="708" t="s">
        <v>66</v>
      </c>
      <c r="O3" s="708" t="s">
        <v>389</v>
      </c>
      <c r="P3" s="697"/>
      <c r="Q3" s="697"/>
      <c r="R3" s="697"/>
      <c r="S3" s="697"/>
      <c r="T3" s="697"/>
      <c r="U3" s="697"/>
      <c r="V3" s="697"/>
      <c r="W3" s="697"/>
      <c r="X3" s="697"/>
      <c r="Y3" s="697"/>
      <c r="Z3" s="697"/>
      <c r="AA3" s="697"/>
      <c r="AB3" s="697"/>
      <c r="AC3" s="697"/>
      <c r="AD3" s="697"/>
      <c r="AE3" s="697"/>
      <c r="AF3" s="697"/>
      <c r="AG3" s="697"/>
      <c r="AH3" s="697"/>
      <c r="AI3" s="697"/>
      <c r="AJ3" s="697"/>
      <c r="AK3" s="697"/>
      <c r="AL3" s="697"/>
      <c r="AM3" s="697"/>
      <c r="AN3" s="697"/>
      <c r="AO3" s="697"/>
      <c r="AP3" s="697"/>
      <c r="AQ3" s="697"/>
      <c r="AR3" s="697"/>
      <c r="AS3" s="697"/>
      <c r="AT3" s="697"/>
      <c r="AU3" s="697"/>
      <c r="AV3" s="697"/>
      <c r="AW3" s="697"/>
      <c r="AX3" s="697"/>
      <c r="AY3" s="697"/>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c r="DA3" s="697"/>
      <c r="DB3" s="697"/>
      <c r="DC3" s="697"/>
      <c r="DD3" s="697"/>
      <c r="DE3" s="697"/>
      <c r="DF3" s="697"/>
      <c r="DG3" s="697"/>
      <c r="DH3" s="697"/>
      <c r="DI3" s="697"/>
      <c r="DJ3" s="697"/>
      <c r="DK3" s="697"/>
      <c r="DL3" s="697"/>
      <c r="DM3" s="697"/>
      <c r="DN3" s="697"/>
      <c r="DO3" s="697"/>
      <c r="DP3" s="697"/>
    </row>
    <row r="4" spans="1:120" x14ac:dyDescent="0.2">
      <c r="A4" s="709">
        <f>DATE(YEAR(E4),MONTH(E4),1)</f>
        <v>36495</v>
      </c>
      <c r="B4" s="709" t="str">
        <f t="shared" ref="B4:B67" si="0">VLOOKUP(MONTH(A4),$N$4:$O$16,2,FALSE) &amp; "Q" &amp; RIGHT(YEAR(A4),2)</f>
        <v>4Q99</v>
      </c>
      <c r="C4" s="709" t="str">
        <f>VLOOKUP(MONTH(D4),$N$4:$O$16,2,FALSE) &amp; "Q" &amp; RIGHT(YEAR(D4),2)</f>
        <v>1Q00</v>
      </c>
      <c r="D4" s="710">
        <f>E4+60</f>
        <v>36581</v>
      </c>
      <c r="E4" s="711">
        <v>36521</v>
      </c>
      <c r="F4" s="712">
        <v>1.298</v>
      </c>
      <c r="G4" s="713">
        <f t="shared" ref="G4:G67" si="1">INDEX($I$4:$K$153,MATCH(F4,$I$4:$I$153,1),3)</f>
        <v>0.03</v>
      </c>
      <c r="H4" s="713">
        <f t="shared" ref="H4:H67" si="2">G5</f>
        <v>0.04</v>
      </c>
      <c r="I4" s="713">
        <v>0</v>
      </c>
      <c r="J4" s="713">
        <v>1.1499999999999999</v>
      </c>
      <c r="K4" s="713">
        <v>0</v>
      </c>
      <c r="L4" s="697"/>
      <c r="M4" s="700" t="s">
        <v>390</v>
      </c>
      <c r="N4" s="697">
        <v>1</v>
      </c>
      <c r="O4" s="697">
        <v>1</v>
      </c>
      <c r="P4" s="714"/>
      <c r="Q4" s="714">
        <f>SUMIF($B:$B,Q$1,$F:$F)/COUNTIF($B:$B,Q$1)</f>
        <v>1.4207692307692308</v>
      </c>
      <c r="R4" s="714">
        <f>SUMIF($B:$B,R$1,$F:$F)/COUNTIF($B:$B,R$1)</f>
        <v>1.5062307692307693</v>
      </c>
      <c r="S4" s="714">
        <f>SUMIF($B:$B,S$1,$F:$F)/COUNTIF($B:$B,S$1)</f>
        <v>1.6099999999999999</v>
      </c>
      <c r="T4" s="715">
        <f>AVERAGE(P4:S4)</f>
        <v>1.5123333333333333</v>
      </c>
      <c r="U4" s="714">
        <f>SUMIF($B:$B,U$1,$F:$F)/COUNTIF($B:$B,U$1)</f>
        <v>1.4756923076923079</v>
      </c>
      <c r="V4" s="714">
        <f>SUMIF($B:$B,V$1,$F:$F)/COUNTIF($B:$B,V$1)</f>
        <v>1.463153846153846</v>
      </c>
      <c r="W4" s="714">
        <f>SUMIF($B:$B,W$1,$F:$F)/COUNTIF($B:$B,W$1)</f>
        <v>1.4163076923076923</v>
      </c>
      <c r="X4" s="714">
        <f>SUMIF($B:$B,X$1,$F:$F)/COUNTIF($B:$B,X$1)</f>
        <v>1.257857142857143</v>
      </c>
      <c r="Y4" s="715">
        <f>AVERAGE(U4:X4)</f>
        <v>1.4032527472527474</v>
      </c>
      <c r="Z4" s="714">
        <f>SUMIF($B:$B,Z$1,$F:$F)/COUNTIF($B:$B,Z$1)</f>
        <v>1.17825</v>
      </c>
      <c r="AA4" s="714">
        <f>SUMIF($B:$B,AA$1,$F:$F)/COUNTIF($B:$B,AA$1)</f>
        <v>1.3005384615384616</v>
      </c>
      <c r="AB4" s="714">
        <f>SUMIF($B:$B,AB$1,$F:$F)/COUNTIF($B:$B,AB$1)</f>
        <v>1.3471428571428574</v>
      </c>
      <c r="AC4" s="714">
        <f>SUMIF($B:$B,AC$1,$F:$F)/COUNTIF($B:$B,AC$1)</f>
        <v>1.4360769230769228</v>
      </c>
      <c r="AD4" s="715">
        <f>AVERAGE(Z4:AC4)</f>
        <v>1.3155020604395604</v>
      </c>
      <c r="AE4" s="714">
        <f>SUMIF($B:$B,AE$1,$F:$F)/COUNTIF($B:$B,AE$1)</f>
        <v>1.6236923076923075</v>
      </c>
      <c r="AF4" s="714">
        <f>SUMIF($B:$B,AF$1,$F:$F)/COUNTIF($B:$B,AF$1)</f>
        <v>1.4657692307692307</v>
      </c>
      <c r="AG4" s="714">
        <f>SUMIF($B:$B,AG$1,$F:$F)/COUNTIF($B:$B,AG$1)</f>
        <v>1.4629999999999996</v>
      </c>
      <c r="AH4" s="714">
        <f>SUMIF($B:$B,AH$1,$F:$F)/COUNTIF($B:$B,AH$1)</f>
        <v>1.4848461538461537</v>
      </c>
      <c r="AI4" s="715">
        <f>AVERAGE(AE4:AH4)</f>
        <v>1.5093269230769228</v>
      </c>
      <c r="AJ4" s="714">
        <f>SUMIF($B:$B,AJ$1,$F:$F)/COUNTIF($B:$B,AJ$1)</f>
        <v>1.5906923076923076</v>
      </c>
      <c r="AK4" s="714">
        <f>SUMIF($B:$B,AK$1,$F:$F)/COUNTIF($B:$B,AK$1)</f>
        <v>1.7189230769230766</v>
      </c>
      <c r="AL4" s="714">
        <f>SUMIF($B:$B,AL$1,$F:$F)/COUNTIF($B:$B,AL$1)</f>
        <v>1.8296153846153844</v>
      </c>
      <c r="AM4" s="714">
        <f>SUMIF($B:$B,AM$1,$F:$F)/COUNTIF($B:$B,AM$1)</f>
        <v>2.1005384615384615</v>
      </c>
      <c r="AN4" s="715">
        <f>AVERAGE(AJ4:AM4)</f>
        <v>1.8099423076923076</v>
      </c>
      <c r="AO4" s="714">
        <f>SUMIF($B:$B,AO$1,$F:$F)/COUNTIF($B:$B,AO$1)</f>
        <v>2.058153846153846</v>
      </c>
      <c r="AP4" s="714">
        <f>SUMIF($B:$B,AP$1,$F:$F)/COUNTIF($B:$B,AP$1)</f>
        <v>2.2553846153846155</v>
      </c>
      <c r="AQ4" s="714">
        <f>SUMIF($B:$B,AQ$1,$F:$F)/COUNTIF($B:$B,AQ$1)</f>
        <v>2.558846153846154</v>
      </c>
      <c r="AR4" s="714">
        <f>SUMIF($B:$B,AR$1,$F:$F)/COUNTIF($B:$B,AR$1)</f>
        <v>2.7336923076923081</v>
      </c>
      <c r="AS4" s="715">
        <f>AVERAGE(AO4:AR4)</f>
        <v>2.4015192307692312</v>
      </c>
      <c r="AT4" s="714">
        <f>SUMIF($B:$B,AT$1,$F:$F)/COUNTIF($B:$B,AT$1)</f>
        <v>2.497846153846154</v>
      </c>
      <c r="AU4" s="714">
        <f>SUMIF($B:$B,AU$1,$F:$F)/COUNTIF($B:$B,AU$1)</f>
        <v>2.8449999999999998</v>
      </c>
      <c r="AV4" s="714">
        <f>SUMIF($B:$B,AV$1,$F:$F)/COUNTIF($B:$B,AV$1)</f>
        <v>2.9215384615384616</v>
      </c>
      <c r="AW4" s="714">
        <f>SUMIF($B:$B,AW$1,$F:$F)/COUNTIF($B:$B,AW$1)</f>
        <v>2.5550000000000002</v>
      </c>
      <c r="AX4" s="715">
        <f>AVERAGE(AT4:AW4)</f>
        <v>2.7048461538461535</v>
      </c>
      <c r="AY4" s="714">
        <f>SUMIF($B:$B,AY$1,$F:$F)/COUNTIF($B:$B,AY$1)</f>
        <v>2.5418461538461536</v>
      </c>
      <c r="AZ4" s="714">
        <f>SUMIF($B:$B,AZ$1,$F:$F)/COUNTIF($B:$B,AZ$1)</f>
        <v>2.8142307692307691</v>
      </c>
      <c r="BA4" s="714">
        <f>SUMIF($B:$B,BA$1,$F:$F)/COUNTIF($B:$B,BA$1)</f>
        <v>2.8946923076923077</v>
      </c>
      <c r="BB4" s="714">
        <f>SUMIF($B:$B,BB$1,$F:$F)/COUNTIF($B:$B,BB$1)</f>
        <v>3.2612857142857137</v>
      </c>
      <c r="BC4" s="715">
        <f>AVERAGE(AY4:BB4)</f>
        <v>2.8780137362637364</v>
      </c>
      <c r="BD4" s="714">
        <f>SUMIF($B:$B,BD$1,$F:$F)/COUNTIF($B:$B,BD$1)</f>
        <v>3.549461538461538</v>
      </c>
      <c r="BE4" s="714">
        <f>SUMIF($B:$B,BE$1,$F:$F)/COUNTIF($B:$B,BE$1)</f>
        <v>4.4167692307692299</v>
      </c>
      <c r="BF4" s="714">
        <f>SUMIF($B:$B,BF$1,$F:$F)/COUNTIF($B:$B,BF$1)</f>
        <v>4.3183846153846153</v>
      </c>
      <c r="BG4" s="714">
        <f>SUMIF($B:$B,BG$1,$F:$F)/COUNTIF($B:$B,BG$1)</f>
        <v>2.9272307692307686</v>
      </c>
      <c r="BH4" s="715">
        <f>AVERAGE(BD4:BG4)</f>
        <v>3.8029615384615374</v>
      </c>
      <c r="BI4" s="714">
        <f>SUMIF($B:$B,BI$1,$F:$F)/COUNTIF($B:$B,BI$1)</f>
        <v>2.1853846153846153</v>
      </c>
      <c r="BJ4" s="714">
        <f>SUMIF($B:$B,BJ$1,$F:$F)/COUNTIF($B:$B,BJ$1)</f>
        <v>2.340846153846154</v>
      </c>
      <c r="BK4" s="714">
        <f>SUMIF($B:$B,BK$1,$F:$F)/COUNTIF($B:$B,BK$1)</f>
        <v>2.6025384615384612</v>
      </c>
      <c r="BL4" s="714">
        <f>SUMIF($B:$B,BL$1,$F:$F)/COUNTIF($B:$B,BL$1)</f>
        <v>2.7405384615384611</v>
      </c>
      <c r="BM4" s="715">
        <f>AVERAGE(BI4:BL4)</f>
        <v>2.4673269230769233</v>
      </c>
      <c r="BN4" s="714">
        <f>SUMIF($B:$B,BN$1,$F:$F)/COUNTIF($B:$B,BN$1)</f>
        <v>2.8531538461538464</v>
      </c>
      <c r="BO4" s="714">
        <f>SUMIF($B:$B,BO$1,$F:$F)/COUNTIF($B:$B,BO$1)</f>
        <v>3.0285384615384618</v>
      </c>
      <c r="BP4" s="714">
        <f>SUMIF($B:$B,BP$1,$F:$F)/COUNTIF($B:$B,BP$1)</f>
        <v>2.940230769230769</v>
      </c>
      <c r="BQ4" s="714">
        <f>SUMIF($B:$B,BQ$1,$F:$F)/COUNTIF($B:$B,BQ$1)</f>
        <v>3.1443076923076916</v>
      </c>
      <c r="BR4" s="715">
        <f>AVERAGE(BN4:BQ4)</f>
        <v>2.9915576923076923</v>
      </c>
      <c r="BS4" s="714">
        <f>SUMIF($B:$B,BS$1,$F:$F)/COUNTIF($B:$B,BS$1)</f>
        <v>3.6071538461538464</v>
      </c>
      <c r="BT4" s="714">
        <f>SUMIF($B:$B,BT$1,$F:$F)/COUNTIF($B:$B,BT$1)</f>
        <v>4.0171538461538461</v>
      </c>
      <c r="BU4" s="714">
        <f>SUMIF($B:$B,BU$1,$F:$F)/COUNTIF($B:$B,BU$1)</f>
        <v>3.8668461538461538</v>
      </c>
      <c r="BV4" s="714">
        <f>SUMIF($B:$B,BV$1,$F:$F)/COUNTIF($B:$B,BV$1)</f>
        <v>3.8676923076923071</v>
      </c>
      <c r="BW4" s="715">
        <f>AVERAGE(BS4:BV4)</f>
        <v>3.8397115384615383</v>
      </c>
      <c r="BX4" s="714">
        <f>SUMIF($B:$B,BX$1,$F:$F)/COUNTIF($B:$B,BX$1)</f>
        <v>3.9599230769230767</v>
      </c>
      <c r="BY4" s="714">
        <f>SUMIF($B:$B,BY$1,$F:$F)/COUNTIF($B:$B,BY$1)</f>
        <v>3.9633076923076915</v>
      </c>
      <c r="BZ4" s="714">
        <f>SUMIF($B:$B,BZ$1,$F:$F)/COUNTIF($B:$B,BZ$1)</f>
        <v>3.9242307692307694</v>
      </c>
      <c r="CA4" s="714">
        <f>SUMIF($B:$B,CA$1,$F:$F)/COUNTIF($B:$B,CA$1)</f>
        <v>4.0194999999999999</v>
      </c>
      <c r="CB4" s="715">
        <f>AVERAGE(BX4:CA4)</f>
        <v>3.9667403846153846</v>
      </c>
      <c r="CC4" s="714">
        <f>SUMIF($B:$B,CC$1,$F:$F)/COUNTIF($B:$B,CC$1)</f>
        <v>4.0289166666666665</v>
      </c>
      <c r="CD4" s="714">
        <f>SUMIF($B:$B,CD$1,$F:$F)/COUNTIF($B:$B,CD$1)</f>
        <v>3.8867692307692314</v>
      </c>
      <c r="CE4" s="714">
        <f>SUMIF($B:$B,CE$1,$F:$F)/COUNTIF($B:$B,CE$1)</f>
        <v>3.9108571428571426</v>
      </c>
      <c r="CF4" s="714">
        <f>SUMIF($B:$B,CF$1,$F:$F)/COUNTIF($B:$B,CF$1)</f>
        <v>3.8694615384615383</v>
      </c>
      <c r="CG4" s="715">
        <f>AVERAGE(CC4:CF4)</f>
        <v>3.9240011446886447</v>
      </c>
      <c r="CH4" s="714">
        <f>SUMIF($B:$B,CH$1,$F:$F)/COUNTIF($B:$B,CH$1)</f>
        <v>3.9623076923076925</v>
      </c>
      <c r="CI4" s="714">
        <f>SUMIF($B:$B,CI$1,$F:$F)/COUNTIF($B:$B,CI$1)</f>
        <v>3.9353076923076924</v>
      </c>
      <c r="CJ4" s="714">
        <f>SUMIF($B:$B,CJ$1,$F:$F)/COUNTIF($B:$B,CJ$1)</f>
        <v>3.834461538461539</v>
      </c>
      <c r="CK4" s="714">
        <f>SUMIF($B:$B,CK$1,$F:$F)/COUNTIF($B:$B,CK$1)</f>
        <v>3.5664615384615379</v>
      </c>
      <c r="CL4" s="715">
        <f>AVERAGE(CH4:CK4)</f>
        <v>3.8246346153846158</v>
      </c>
      <c r="CM4" s="714">
        <f>SUMIF($B:$B,CM$1,$F:$F)/COUNTIF($B:$B,CM$1)</f>
        <v>2.9157692307692296</v>
      </c>
      <c r="CN4" s="714">
        <f>SUMIF($B:$B,CN$1,$F:$F)/COUNTIF($B:$B,CN$1)</f>
        <v>2.8495384615384611</v>
      </c>
      <c r="CO4" s="714">
        <f>SUMIF($B:$B,CO$1,$F:$F)/COUNTIF($B:$B,CO$1)</f>
        <v>2.6266153846153846</v>
      </c>
      <c r="CP4" s="714">
        <f>SUMIF($B:$B,CP$1,$F:$F)/COUNTIF($B:$B,CP$1)</f>
        <v>2.4346153846153844</v>
      </c>
      <c r="CQ4" s="715">
        <f>AVERAGE(CM4:CP4)</f>
        <v>2.7066346153846146</v>
      </c>
      <c r="CR4" s="714">
        <f>SUMIF($B:$B,CR$1,$F:$F)/COUNTIF($B:$B,CR$1)</f>
        <v>2.0709230769230769</v>
      </c>
      <c r="CS4" s="714">
        <f>SUMIF($B:$B,CS$1,$F:$F)/COUNTIF($B:$B,CS$1)</f>
        <v>2.2976153846153853</v>
      </c>
      <c r="CT4" s="714">
        <f>SUMIF($B:$B,CT$1,$F:$F)/COUNTIF($B:$B,CT$1)</f>
        <v>2.3806153846153846</v>
      </c>
      <c r="CU4" s="714">
        <f>SUMIF($B:$B,CU$1,$F:$F)/COUNTIF($B:$B,CU$1)</f>
        <v>2.4666153846153844</v>
      </c>
      <c r="CV4" s="715">
        <f>AVERAGE(CR4:CU4)</f>
        <v>2.3039423076923078</v>
      </c>
      <c r="CW4" s="714">
        <f>SUMIF($B:$B,CW$1,$F:$F)/COUNTIF($B:$B,CW$1)</f>
        <v>2.5680769230769234</v>
      </c>
      <c r="CX4" s="714">
        <f>SUMIF($B:$B,CX$1,$F:$F)/COUNTIF($B:$B,CX$1)</f>
        <v>2.5518461538461543</v>
      </c>
      <c r="CY4" s="714">
        <f>SUMIF($B:$B,CY$1,$F:$F)/COUNTIF($B:$B,CY$1)</f>
        <v>2.6154615384615383</v>
      </c>
      <c r="CZ4" s="714">
        <f>SUMIF($B:$B,CZ$1,$F:$F)/COUNTIF($B:$B,CZ$1)</f>
        <v>2.8647692307692307</v>
      </c>
      <c r="DA4" s="715">
        <f>AVERAGE(CW4:CZ4)</f>
        <v>2.6500384615384616</v>
      </c>
      <c r="DB4" s="714">
        <f>SUMIF($B:$B,DB$1,$F:$F)/COUNTIF($B:$B,DB$1)</f>
        <v>3.0173076923076922</v>
      </c>
      <c r="DC4" s="714">
        <f>SUMIF($B:$B,DC$1,$F:$F)/COUNTIF($B:$B,DC$1)</f>
        <v>3.1168461538461538</v>
      </c>
      <c r="DD4" s="714">
        <f>SUMIF($B:$B,DD$1,$F:$F)/COUNTIF($B:$B,DD$1)</f>
        <v>3.133</v>
      </c>
      <c r="DE4" s="714">
        <f>SUMIF($B:$B,DE$1,$F:$F)/COUNTIF($B:$B,DE$1)</f>
        <v>3.133</v>
      </c>
      <c r="DF4" s="715">
        <f>AVERAGE(DB4:DE4)</f>
        <v>3.1000384615384613</v>
      </c>
      <c r="DG4" s="714">
        <f>SUMIF($B:$B,DG$1,$F:$F)/COUNTIF($B:$B,DG$1)</f>
        <v>3.1329999999999996</v>
      </c>
      <c r="DH4" s="714">
        <f>SUMIF($B:$B,DH$1,$F:$F)/COUNTIF($B:$B,DH$1)</f>
        <v>3.133</v>
      </c>
      <c r="DI4" s="714">
        <f>SUMIF($B:$B,DI$1,$F:$F)/COUNTIF($B:$B,DI$1)</f>
        <v>3.133</v>
      </c>
      <c r="DJ4" s="714">
        <f>SUMIF($B:$B,DJ$1,$F:$F)/COUNTIF($B:$B,DJ$1)</f>
        <v>3.133</v>
      </c>
      <c r="DK4" s="715">
        <f>AVERAGE(DG4:DJ4)</f>
        <v>3.133</v>
      </c>
      <c r="DL4" s="714">
        <f>SUMIF($B:$B,DL$1,$F:$F)/COUNTIF($B:$B,DL$1)</f>
        <v>3.133</v>
      </c>
      <c r="DM4" s="714">
        <f>SUMIF($B:$B,DM$1,$F:$F)/COUNTIF($B:$B,DM$1)</f>
        <v>3.133</v>
      </c>
      <c r="DN4" s="714">
        <f>SUMIF($B:$B,DN$1,$F:$F)/COUNTIF($B:$B,DN$1)</f>
        <v>3.133</v>
      </c>
      <c r="DO4" s="714">
        <f>SUMIF($B:$B,DO$1,$F:$F)/COUNTIF($B:$B,DO$1)</f>
        <v>3.133</v>
      </c>
      <c r="DP4" s="715">
        <f>AVERAGE(DL4:DO4)</f>
        <v>3.133</v>
      </c>
    </row>
    <row r="5" spans="1:120" x14ac:dyDescent="0.2">
      <c r="A5" s="709">
        <f t="shared" ref="A5:A68" si="3">DATE(YEAR(E5),MONTH(E5),1)</f>
        <v>36526</v>
      </c>
      <c r="B5" s="709" t="str">
        <f t="shared" si="0"/>
        <v>1Q00</v>
      </c>
      <c r="C5" s="709" t="str">
        <f t="shared" ref="C5:C68" si="4">VLOOKUP(MONTH(D5),$N$4:$O$16,2,FALSE) &amp; "Q" &amp; RIGHT(YEAR(D5),2)</f>
        <v>1Q00</v>
      </c>
      <c r="D5" s="710">
        <f t="shared" ref="D5:E20" si="5">D4+7</f>
        <v>36588</v>
      </c>
      <c r="E5" s="710">
        <f t="shared" si="5"/>
        <v>36528</v>
      </c>
      <c r="F5" s="712">
        <v>1.3090000000000002</v>
      </c>
      <c r="G5" s="713">
        <f t="shared" si="1"/>
        <v>0.04</v>
      </c>
      <c r="H5" s="713">
        <f t="shared" si="2"/>
        <v>0.04</v>
      </c>
      <c r="I5" s="713">
        <f>J4</f>
        <v>1.1499999999999999</v>
      </c>
      <c r="J5" s="713">
        <f t="shared" ref="J5:J68" si="6">J4+0.05</f>
        <v>1.2</v>
      </c>
      <c r="K5" s="713">
        <v>0.01</v>
      </c>
      <c r="L5" s="697"/>
      <c r="M5" s="700" t="s">
        <v>239</v>
      </c>
      <c r="N5" s="697">
        <f t="shared" ref="N5:N12" si="7">N4+1</f>
        <v>2</v>
      </c>
      <c r="O5" s="697">
        <v>1</v>
      </c>
      <c r="P5" s="714">
        <f>SUMIF($C:$C,P$1,$F:$F)/COUNTIF($C:$C,P$1)</f>
        <v>1.3463333333333332</v>
      </c>
      <c r="Q5" s="714">
        <f>SUMIF($C:$C,Q$1,$F:$F)/COUNTIF($C:$C,Q$1)</f>
        <v>1.4510769230769232</v>
      </c>
      <c r="R5" s="714">
        <f>SUMIF($C:$C,R$1,$F:$F)/COUNTIF($C:$C,R$1)</f>
        <v>1.4256923076923078</v>
      </c>
      <c r="S5" s="714">
        <f>SUMIF($C:$C,S$1,$F:$F)/COUNTIF($C:$C,S$1)</f>
        <v>1.5844615384615384</v>
      </c>
      <c r="T5" s="715">
        <f>AVERAGE(P5:S5)</f>
        <v>1.4518910256410258</v>
      </c>
      <c r="U5" s="714">
        <f>SUMIF($C:$C,U$1,$F:$F)/COUNTIF($C:$C,U$1)</f>
        <v>1.5663076923076922</v>
      </c>
      <c r="V5" s="714">
        <f>SUMIF($C:$C,V$1,$F:$F)/COUNTIF($C:$C,V$1)</f>
        <v>1.4366153846153844</v>
      </c>
      <c r="W5" s="714">
        <f>SUMIF($C:$C,W$1,$F:$F)/COUNTIF($C:$C,W$1)</f>
        <v>1.4450000000000001</v>
      </c>
      <c r="X5" s="714">
        <f>SUMIF($C:$C,X$1,$F:$F)/COUNTIF($C:$C,X$1)</f>
        <v>1.4061538461538463</v>
      </c>
      <c r="Y5" s="715">
        <f>AVERAGE(U5:X5)</f>
        <v>1.4635192307692308</v>
      </c>
      <c r="Z5" s="714">
        <f>SUMIF($C:$C,Z$1,$F:$F)/COUNTIF($C:$C,Z$1)</f>
        <v>1.1906923076923077</v>
      </c>
      <c r="AA5" s="714">
        <f>SUMIF($C:$C,AA$1,$F:$F)/COUNTIF($C:$C,AA$1)</f>
        <v>1.2363076923076926</v>
      </c>
      <c r="AB5" s="714">
        <f>SUMIF($C:$C,AB$1,$F:$F)/COUNTIF($C:$C,AB$1)</f>
        <v>1.2969230769230771</v>
      </c>
      <c r="AC5" s="714">
        <f>SUMIF($C:$C,AC$1,$F:$F)/COUNTIF($C:$C,AC$1)</f>
        <v>1.4006923076923077</v>
      </c>
      <c r="AD5" s="715">
        <f>AVERAGE(Z5:AC5)</f>
        <v>1.2811538461538463</v>
      </c>
      <c r="AE5" s="714">
        <f>SUMIF($C:$C,AE$1,$F:$F)/COUNTIF($C:$C,AE$1)</f>
        <v>1.4441538461538459</v>
      </c>
      <c r="AF5" s="714">
        <f>SUMIF($C:$C,AF$1,$F:$F)/COUNTIF($C:$C,AF$1)</f>
        <v>1.6374615384615381</v>
      </c>
      <c r="AG5" s="714">
        <f>SUMIF($C:$C,AG$1,$F:$F)/COUNTIF($C:$C,AG$1)</f>
        <v>1.4357692307692309</v>
      </c>
      <c r="AH5" s="714">
        <f>SUMIF($C:$C,AH$1,$F:$F)/COUNTIF($C:$C,AH$1)</f>
        <v>1.4772307692307693</v>
      </c>
      <c r="AI5" s="715">
        <f>AVERAGE(AE5:AH5)</f>
        <v>1.4986538461538461</v>
      </c>
      <c r="AJ5" s="714">
        <f>SUMIF($C:$C,AJ$1,$F:$F)/COUNTIF($C:$C,AJ$1)</f>
        <v>1.5063076923076923</v>
      </c>
      <c r="AK5" s="714">
        <f>SUMIF($C:$C,AK$1,$F:$F)/COUNTIF($C:$C,AK$1)</f>
        <v>1.6341538461538461</v>
      </c>
      <c r="AL5" s="714">
        <f>SUMIF($C:$C,AL$1,$F:$F)/COUNTIF($C:$C,AL$1)</f>
        <v>1.733153846153846</v>
      </c>
      <c r="AM5" s="714">
        <f>SUMIF($C:$C,AM$1,$F:$F)/COUNTIF($C:$C,AM$1)</f>
        <v>1.9695714285714288</v>
      </c>
      <c r="AN5" s="715">
        <f>AVERAGE(AJ5:AM5)</f>
        <v>1.7107967032967033</v>
      </c>
      <c r="AO5" s="714">
        <f>SUMIF($C:$C,AO$1,$F:$F)/COUNTIF($C:$C,AO$1)</f>
        <v>2.0305000000000004</v>
      </c>
      <c r="AP5" s="714">
        <f>SUMIF($C:$C,AP$1,$F:$F)/COUNTIF($C:$C,AP$1)</f>
        <v>2.163153846153846</v>
      </c>
      <c r="AQ5" s="714">
        <f>SUMIF($C:$C,AQ$1,$F:$F)/COUNTIF($C:$C,AQ$1)</f>
        <v>2.2850714285714284</v>
      </c>
      <c r="AR5" s="714">
        <f>SUMIF($C:$C,AR$1,$F:$F)/COUNTIF($C:$C,AR$1)</f>
        <v>2.8386153846153843</v>
      </c>
      <c r="AS5" s="715">
        <f>AVERAGE(AO5:AR5)</f>
        <v>2.329335164835165</v>
      </c>
      <c r="AT5" s="714">
        <f>SUMIF($C:$C,AT$1,$F:$F)/COUNTIF($C:$C,AT$1)</f>
        <v>2.4923076923076923</v>
      </c>
      <c r="AU5" s="714">
        <f>SUMIF($C:$C,AU$1,$F:$F)/COUNTIF($C:$C,AU$1)</f>
        <v>2.6110000000000002</v>
      </c>
      <c r="AV5" s="714">
        <f>SUMIF($C:$C,AV$1,$F:$F)/COUNTIF($C:$C,AV$1)</f>
        <v>2.9111538461538453</v>
      </c>
      <c r="AW5" s="714">
        <f>SUMIF($C:$C,AW$1,$F:$F)/COUNTIF($C:$C,AW$1)</f>
        <v>2.7621538461538462</v>
      </c>
      <c r="AX5" s="715">
        <f>AVERAGE(AT5:AW5)</f>
        <v>2.6941538461538466</v>
      </c>
      <c r="AY5" s="714">
        <f>SUMIF($C:$C,AY$1,$F:$F)/COUNTIF($C:$C,AY$1)</f>
        <v>2.5416923076923079</v>
      </c>
      <c r="AZ5" s="714">
        <f>SUMIF($C:$C,AZ$1,$F:$F)/COUNTIF($C:$C,AZ$1)</f>
        <v>2.6761538461538459</v>
      </c>
      <c r="BA5" s="714">
        <f>SUMIF($C:$C,BA$1,$F:$F)/COUNTIF($C:$C,BA$1)</f>
        <v>2.8275384615384618</v>
      </c>
      <c r="BB5" s="714">
        <f>SUMIF($C:$C,BB$1,$F:$F)/COUNTIF($C:$C,BB$1)</f>
        <v>2.9739999999999993</v>
      </c>
      <c r="BC5" s="715">
        <f>AVERAGE(AY5:BB5)</f>
        <v>2.7548461538461533</v>
      </c>
      <c r="BD5" s="714">
        <f>SUMIF($C:$C,BD$1,$F:$F)/COUNTIF($C:$C,BD$1)</f>
        <v>3.3473846153846156</v>
      </c>
      <c r="BE5" s="714">
        <f>SUMIF($C:$C,BE$1,$F:$F)/COUNTIF($C:$C,BE$1)</f>
        <v>3.788153846153846</v>
      </c>
      <c r="BF5" s="714">
        <f>SUMIF($C:$C,BF$1,$F:$F)/COUNTIF($C:$C,BF$1)</f>
        <v>4.6073846153846159</v>
      </c>
      <c r="BG5" s="714">
        <f>SUMIF($C:$C,BG$1,$F:$F)/COUNTIF($C:$C,BG$1)</f>
        <v>3.9716153846153848</v>
      </c>
      <c r="BH5" s="715">
        <f>AVERAGE(BD5:BG5)</f>
        <v>3.9286346153846154</v>
      </c>
      <c r="BI5" s="714">
        <f>SUMIF($C:$C,BI$1,$F:$F)/COUNTIF($C:$C,BI$1)</f>
        <v>2.5322307692307691</v>
      </c>
      <c r="BJ5" s="714">
        <f>SUMIF($C:$C,BJ$1,$F:$F)/COUNTIF($C:$C,BJ$1)</f>
        <v>2.1630769230769227</v>
      </c>
      <c r="BK5" s="714">
        <f>SUMIF($C:$C,BK$1,$F:$F)/COUNTIF($C:$C,BK$1)</f>
        <v>2.4393846153846153</v>
      </c>
      <c r="BL5" s="714">
        <f>SUMIF($C:$C,BL$1,$F:$F)/COUNTIF($C:$C,BL$1)</f>
        <v>2.6431538461538464</v>
      </c>
      <c r="BM5" s="715">
        <f>AVERAGE(BI5:BL5)</f>
        <v>2.444461538461538</v>
      </c>
      <c r="BN5" s="714">
        <f>SUMIF($C:$C,BN$1,$F:$F)/COUNTIF($C:$C,BN$1)</f>
        <v>2.7936923076923077</v>
      </c>
      <c r="BO5" s="714">
        <f>SUMIF($C:$C,BO$1,$F:$F)/COUNTIF($C:$C,BO$1)</f>
        <v>2.9190769230769238</v>
      </c>
      <c r="BP5" s="714">
        <f>SUMIF($C:$C,BP$1,$F:$F)/COUNTIF($C:$C,BP$1)</f>
        <v>2.983076923076923</v>
      </c>
      <c r="BQ5" s="714">
        <f>SUMIF($C:$C,BQ$1,$F:$F)/COUNTIF($C:$C,BQ$1)</f>
        <v>2.9893571428571435</v>
      </c>
      <c r="BR5" s="715">
        <f>AVERAGE(BN5:BQ5)</f>
        <v>2.9213008241758245</v>
      </c>
      <c r="BS5" s="714">
        <f>SUMIF($C:$C,BS$1,$F:$F)/COUNTIF($C:$C,BS$1)</f>
        <v>3.258666666666667</v>
      </c>
      <c r="BT5" s="714">
        <f>SUMIF($C:$C,BT$1,$F:$F)/COUNTIF($C:$C,BT$1)</f>
        <v>3.8191538461538461</v>
      </c>
      <c r="BU5" s="714">
        <f>SUMIF($C:$C,BU$1,$F:$F)/COUNTIF($C:$C,BU$1)</f>
        <v>3.9660000000000002</v>
      </c>
      <c r="BV5" s="714">
        <f>SUMIF($C:$C,BV$1,$F:$F)/COUNTIF($C:$C,BV$1)</f>
        <v>3.8230000000000004</v>
      </c>
      <c r="BW5" s="715">
        <f>AVERAGE(BS5:BV5)</f>
        <v>3.7167051282051284</v>
      </c>
      <c r="BX5" s="714">
        <f>SUMIF($C:$C,BX$1,$F:$F)/COUNTIF($C:$C,BX$1)</f>
        <v>3.8811538461538464</v>
      </c>
      <c r="BY5" s="714">
        <f>SUMIF($C:$C,BY$1,$F:$F)/COUNTIF($C:$C,BY$1)</f>
        <v>4.0685384615384628</v>
      </c>
      <c r="BZ5" s="714">
        <f>SUMIF($C:$C,BZ$1,$F:$F)/COUNTIF($C:$C,BZ$1)</f>
        <v>3.8117692307692304</v>
      </c>
      <c r="CA5" s="714">
        <f>SUMIF($C:$C,CA$1,$F:$F)/COUNTIF($C:$C,CA$1)</f>
        <v>4.0676153846153849</v>
      </c>
      <c r="CB5" s="715">
        <f>AVERAGE(BX5:CA5)</f>
        <v>3.957269230769231</v>
      </c>
      <c r="CC5" s="714">
        <f>SUMIF($C:$C,CC$1,$F:$F)/COUNTIF($C:$C,CC$1)</f>
        <v>3.9567692307692308</v>
      </c>
      <c r="CD5" s="714">
        <f>SUMIF($C:$C,CD$1,$F:$F)/COUNTIF($C:$C,CD$1)</f>
        <v>4.0279230769230772</v>
      </c>
      <c r="CE5" s="714">
        <f>SUMIF($C:$C,CE$1,$F:$F)/COUNTIF($C:$C,CE$1)</f>
        <v>3.8621538461538467</v>
      </c>
      <c r="CF5" s="714">
        <f>SUMIF($C:$C,CF$1,$F:$F)/COUNTIF($C:$C,CF$1)</f>
        <v>3.9200769230769228</v>
      </c>
      <c r="CG5" s="715">
        <f>AVERAGE(CC5:CF5)</f>
        <v>3.9417307692307695</v>
      </c>
      <c r="CH5" s="714">
        <f>SUMIF($C:$C,CH$1,$F:$F)/COUNTIF($C:$C,CH$1)</f>
        <v>3.8720769230769232</v>
      </c>
      <c r="CI5" s="714">
        <f>SUMIF($C:$C,CI$1,$F:$F)/COUNTIF($C:$C,CI$1)</f>
        <v>3.9841538461538466</v>
      </c>
      <c r="CJ5" s="714">
        <f>SUMIF($C:$C,CJ$1,$F:$F)/COUNTIF($C:$C,CJ$1)</f>
        <v>3.9104615384615378</v>
      </c>
      <c r="CK5" s="714">
        <f>SUMIF($C:$C,CK$1,$F:$F)/COUNTIF($C:$C,CK$1)</f>
        <v>3.7719999999999994</v>
      </c>
      <c r="CL5" s="715">
        <f>AVERAGE(CH5:CK5)</f>
        <v>3.8846730769230771</v>
      </c>
      <c r="CM5" s="714">
        <f>SUMIF($C:$C,CM$1,$F:$F)/COUNTIF($C:$C,CM$1)</f>
        <v>3.3562307692307689</v>
      </c>
      <c r="CN5" s="714">
        <f>SUMIF($C:$C,CN$1,$F:$F)/COUNTIF($C:$C,CN$1)</f>
        <v>2.8496153846153849</v>
      </c>
      <c r="CO5" s="714">
        <f>SUMIF($C:$C,CO$1,$F:$F)/COUNTIF($C:$C,CO$1)</f>
        <v>2.8512307692307695</v>
      </c>
      <c r="CP5" s="714">
        <f>SUMIF($C:$C,CP$1,$F:$F)/COUNTIF($C:$C,CP$1)</f>
        <v>2.5439999999999996</v>
      </c>
      <c r="CQ5" s="715">
        <f>AVERAGE(CM5:CP5)</f>
        <v>2.900269230769231</v>
      </c>
      <c r="CR5" s="714">
        <f>SUMIF($C:$C,CR$1,$F:$F)/COUNTIF($C:$C,CR$1)</f>
        <v>2.3187692307692309</v>
      </c>
      <c r="CS5" s="714">
        <f>SUMIF($C:$C,CS$1,$F:$F)/COUNTIF($C:$C,CS$1)</f>
        <v>2.0736153846153846</v>
      </c>
      <c r="CT5" s="714">
        <f>SUMIF($C:$C,CT$1,$F:$F)/COUNTIF($C:$C,CT$1)</f>
        <v>2.3735000000000004</v>
      </c>
      <c r="CU5" s="714">
        <f>SUMIF($C:$C,CU$1,$F:$F)/COUNTIF($C:$C,CU$1)</f>
        <v>2.4041538461538461</v>
      </c>
      <c r="CV5" s="715">
        <f>AVERAGE(CR5:CU5)</f>
        <v>2.2925096153846156</v>
      </c>
      <c r="CW5" s="714">
        <f>SUMIF($C:$C,CW$1,$F:$F)/COUNTIF($C:$C,CW$1)</f>
        <v>2.5148461538461535</v>
      </c>
      <c r="CX5" s="714">
        <f>SUMIF($C:$C,CX$1,$F:$F)/COUNTIF($C:$C,CX$1)</f>
        <v>2.5691538461538461</v>
      </c>
      <c r="CY5" s="714">
        <f>SUMIF($C:$C,CY$1,$F:$F)/COUNTIF($C:$C,CY$1)</f>
        <v>2.5186923076923078</v>
      </c>
      <c r="CZ5" s="714">
        <f>SUMIF($C:$C,CZ$1,$F:$F)/COUNTIF($C:$C,CZ$1)</f>
        <v>2.73</v>
      </c>
      <c r="DA5" s="715">
        <f>AVERAGE(CW5:CZ5)</f>
        <v>2.5831730769230767</v>
      </c>
      <c r="DB5" s="714">
        <f>SUMIF($C:$C,DB$1,$F:$F)/COUNTIF($C:$C,DB$1)</f>
        <v>2.9509999999999996</v>
      </c>
      <c r="DC5" s="714">
        <f>SUMIF($C:$C,DC$1,$F:$F)/COUNTIF($C:$C,DC$1)</f>
        <v>3.0452307692307699</v>
      </c>
      <c r="DD5" s="714">
        <f>SUMIF($C:$C,DD$1,$F:$F)/COUNTIF($C:$C,DD$1)</f>
        <v>3.133</v>
      </c>
      <c r="DE5" s="714">
        <f>SUMIF($C:$C,DE$1,$F:$F)/COUNTIF($C:$C,DE$1)</f>
        <v>3.133</v>
      </c>
      <c r="DF5" s="715">
        <f>AVERAGE(DB5:DE5)</f>
        <v>3.0655576923076922</v>
      </c>
      <c r="DG5" s="714">
        <f>SUMIF($C:$C,DG$1,$F:$F)/COUNTIF($C:$C,DG$1)</f>
        <v>3.133</v>
      </c>
      <c r="DH5" s="714">
        <f>SUMIF($C:$C,DH$1,$F:$F)/COUNTIF($C:$C,DH$1)</f>
        <v>3.133</v>
      </c>
      <c r="DI5" s="714">
        <f>SUMIF($C:$C,DI$1,$F:$F)/COUNTIF($C:$C,DI$1)</f>
        <v>3.133</v>
      </c>
      <c r="DJ5" s="714">
        <f>SUMIF($C:$C,DJ$1,$F:$F)/COUNTIF($C:$C,DJ$1)</f>
        <v>3.133</v>
      </c>
      <c r="DK5" s="715">
        <f>AVERAGE(DG5:DJ5)</f>
        <v>3.133</v>
      </c>
      <c r="DL5" s="714">
        <f>SUMIF($C:$C,DL$1,$F:$F)/COUNTIF($C:$C,DL$1)</f>
        <v>3.133</v>
      </c>
      <c r="DM5" s="714">
        <f>SUMIF($C:$C,DM$1,$F:$F)/COUNTIF($C:$C,DM$1)</f>
        <v>3.133</v>
      </c>
      <c r="DN5" s="714">
        <f>SUMIF($C:$C,DN$1,$F:$F)/COUNTIF($C:$C,DN$1)</f>
        <v>3.133</v>
      </c>
      <c r="DO5" s="714">
        <f>SUMIF($C:$C,DO$1,$F:$F)/COUNTIF($C:$C,DO$1)</f>
        <v>3.133</v>
      </c>
      <c r="DP5" s="715">
        <f>AVERAGE(DL5:DO5)</f>
        <v>3.133</v>
      </c>
    </row>
    <row r="6" spans="1:120" x14ac:dyDescent="0.2">
      <c r="A6" s="709">
        <f t="shared" si="3"/>
        <v>36526</v>
      </c>
      <c r="B6" s="709" t="str">
        <f t="shared" si="0"/>
        <v>1Q00</v>
      </c>
      <c r="C6" s="709" t="str">
        <f t="shared" si="4"/>
        <v>1Q00</v>
      </c>
      <c r="D6" s="710">
        <f t="shared" si="5"/>
        <v>36595</v>
      </c>
      <c r="E6" s="710">
        <f t="shared" si="5"/>
        <v>36535</v>
      </c>
      <c r="F6" s="712">
        <v>1.3069999999999999</v>
      </c>
      <c r="G6" s="713">
        <f t="shared" si="1"/>
        <v>0.04</v>
      </c>
      <c r="H6" s="713">
        <f t="shared" si="2"/>
        <v>0.04</v>
      </c>
      <c r="I6" s="713">
        <f t="shared" ref="I6:I21" si="8">I5+0.05</f>
        <v>1.2</v>
      </c>
      <c r="J6" s="713">
        <f t="shared" si="6"/>
        <v>1.25</v>
      </c>
      <c r="K6" s="713">
        <f t="shared" ref="K6:K69" si="9">K5+0.01</f>
        <v>0.02</v>
      </c>
      <c r="L6" s="697"/>
      <c r="M6" s="697" t="s">
        <v>391</v>
      </c>
      <c r="N6" s="697">
        <f t="shared" si="7"/>
        <v>3</v>
      </c>
      <c r="O6" s="697">
        <v>1</v>
      </c>
      <c r="P6" s="716"/>
      <c r="Q6" s="714">
        <f t="shared" ref="Q6:CB6" si="10">Q4-Q5</f>
        <v>-3.0307692307692369E-2</v>
      </c>
      <c r="R6" s="714">
        <f t="shared" si="10"/>
        <v>8.0538461538461448E-2</v>
      </c>
      <c r="S6" s="714">
        <f t="shared" si="10"/>
        <v>2.553846153846151E-2</v>
      </c>
      <c r="T6" s="715">
        <f t="shared" si="10"/>
        <v>6.0442307692307518E-2</v>
      </c>
      <c r="U6" s="716">
        <f t="shared" si="10"/>
        <v>-9.061538461538432E-2</v>
      </c>
      <c r="V6" s="714">
        <f t="shared" si="10"/>
        <v>2.6538461538461622E-2</v>
      </c>
      <c r="W6" s="714">
        <f t="shared" si="10"/>
        <v>-2.8692307692307795E-2</v>
      </c>
      <c r="X6" s="714">
        <f t="shared" si="10"/>
        <v>-0.1482967032967033</v>
      </c>
      <c r="Y6" s="715">
        <f t="shared" si="10"/>
        <v>-6.0266483516483449E-2</v>
      </c>
      <c r="Z6" s="716">
        <f t="shared" si="10"/>
        <v>-1.2442307692307697E-2</v>
      </c>
      <c r="AA6" s="714">
        <f t="shared" si="10"/>
        <v>6.4230769230769091E-2</v>
      </c>
      <c r="AB6" s="714">
        <f t="shared" si="10"/>
        <v>5.0219780219780352E-2</v>
      </c>
      <c r="AC6" s="714">
        <f t="shared" si="10"/>
        <v>3.5384615384615126E-2</v>
      </c>
      <c r="AD6" s="715">
        <f t="shared" si="10"/>
        <v>3.4348214285714107E-2</v>
      </c>
      <c r="AE6" s="716">
        <f t="shared" si="10"/>
        <v>0.17953846153846165</v>
      </c>
      <c r="AF6" s="714">
        <f t="shared" si="10"/>
        <v>-0.17169230769230737</v>
      </c>
      <c r="AG6" s="714">
        <f t="shared" si="10"/>
        <v>2.7230769230768725E-2</v>
      </c>
      <c r="AH6" s="714">
        <f t="shared" si="10"/>
        <v>7.6153846153843574E-3</v>
      </c>
      <c r="AI6" s="715">
        <f t="shared" si="10"/>
        <v>1.067307692307673E-2</v>
      </c>
      <c r="AJ6" s="716">
        <f t="shared" si="10"/>
        <v>8.438461538461528E-2</v>
      </c>
      <c r="AK6" s="714">
        <f t="shared" si="10"/>
        <v>8.4769230769230486E-2</v>
      </c>
      <c r="AL6" s="714">
        <f t="shared" si="10"/>
        <v>9.6461538461538376E-2</v>
      </c>
      <c r="AM6" s="714">
        <f t="shared" si="10"/>
        <v>0.13096703296703271</v>
      </c>
      <c r="AN6" s="715">
        <f t="shared" si="10"/>
        <v>9.914560439560427E-2</v>
      </c>
      <c r="AO6" s="716">
        <f t="shared" si="10"/>
        <v>2.7653846153845585E-2</v>
      </c>
      <c r="AP6" s="714">
        <f t="shared" si="10"/>
        <v>9.223076923076956E-2</v>
      </c>
      <c r="AQ6" s="714">
        <f t="shared" si="10"/>
        <v>0.27377472527472557</v>
      </c>
      <c r="AR6" s="714">
        <f t="shared" si="10"/>
        <v>-0.10492307692307623</v>
      </c>
      <c r="AS6" s="715">
        <f t="shared" si="10"/>
        <v>7.2184065934066233E-2</v>
      </c>
      <c r="AT6" s="716">
        <f t="shared" si="10"/>
        <v>5.5384615384617142E-3</v>
      </c>
      <c r="AU6" s="714">
        <f t="shared" si="10"/>
        <v>0.23399999999999954</v>
      </c>
      <c r="AV6" s="714">
        <f t="shared" si="10"/>
        <v>1.0384615384616325E-2</v>
      </c>
      <c r="AW6" s="714">
        <f t="shared" si="10"/>
        <v>-0.20715384615384602</v>
      </c>
      <c r="AX6" s="715">
        <f t="shared" si="10"/>
        <v>1.069230769230689E-2</v>
      </c>
      <c r="AY6" s="716">
        <f t="shared" si="10"/>
        <v>1.5384615384572697E-4</v>
      </c>
      <c r="AZ6" s="714">
        <f t="shared" si="10"/>
        <v>0.13807692307692321</v>
      </c>
      <c r="BA6" s="714">
        <f t="shared" si="10"/>
        <v>6.7153846153845898E-2</v>
      </c>
      <c r="BB6" s="714">
        <f t="shared" si="10"/>
        <v>0.28728571428571437</v>
      </c>
      <c r="BC6" s="715">
        <f t="shared" si="10"/>
        <v>0.12316758241758308</v>
      </c>
      <c r="BD6" s="716">
        <f t="shared" si="10"/>
        <v>0.20207692307692238</v>
      </c>
      <c r="BE6" s="714">
        <f t="shared" si="10"/>
        <v>0.62861538461538391</v>
      </c>
      <c r="BF6" s="714">
        <f t="shared" si="10"/>
        <v>-0.28900000000000059</v>
      </c>
      <c r="BG6" s="714">
        <f t="shared" si="10"/>
        <v>-1.0443846153846161</v>
      </c>
      <c r="BH6" s="715">
        <f t="shared" si="10"/>
        <v>-0.12567307692307805</v>
      </c>
      <c r="BI6" s="716">
        <f t="shared" si="10"/>
        <v>-0.3468461538461538</v>
      </c>
      <c r="BJ6" s="714">
        <f t="shared" si="10"/>
        <v>0.17776923076923135</v>
      </c>
      <c r="BK6" s="714">
        <f t="shared" si="10"/>
        <v>0.16315384615384598</v>
      </c>
      <c r="BL6" s="714">
        <f t="shared" si="10"/>
        <v>9.7384615384614737E-2</v>
      </c>
      <c r="BM6" s="715">
        <f t="shared" si="10"/>
        <v>2.2865384615385231E-2</v>
      </c>
      <c r="BN6" s="716">
        <f t="shared" si="10"/>
        <v>5.9461538461538677E-2</v>
      </c>
      <c r="BO6" s="714">
        <f t="shared" si="10"/>
        <v>0.10946153846153805</v>
      </c>
      <c r="BP6" s="714">
        <f t="shared" si="10"/>
        <v>-4.2846153846153978E-2</v>
      </c>
      <c r="BQ6" s="714">
        <f t="shared" si="10"/>
        <v>0.15495054945054809</v>
      </c>
      <c r="BR6" s="715">
        <f t="shared" si="10"/>
        <v>7.0256868131867822E-2</v>
      </c>
      <c r="BS6" s="716">
        <f t="shared" si="10"/>
        <v>0.34848717948717933</v>
      </c>
      <c r="BT6" s="714">
        <f t="shared" si="10"/>
        <v>0.19799999999999995</v>
      </c>
      <c r="BU6" s="714">
        <f t="shared" si="10"/>
        <v>-9.915384615384637E-2</v>
      </c>
      <c r="BV6" s="714">
        <f t="shared" si="10"/>
        <v>4.4692307692306699E-2</v>
      </c>
      <c r="BW6" s="715">
        <f t="shared" si="10"/>
        <v>0.1230064102564099</v>
      </c>
      <c r="BX6" s="716">
        <f t="shared" si="10"/>
        <v>7.8769230769230258E-2</v>
      </c>
      <c r="BY6" s="714">
        <f t="shared" si="10"/>
        <v>-0.10523076923077124</v>
      </c>
      <c r="BZ6" s="714">
        <f t="shared" si="10"/>
        <v>0.11246153846153906</v>
      </c>
      <c r="CA6" s="714">
        <f t="shared" si="10"/>
        <v>-4.8115384615385004E-2</v>
      </c>
      <c r="CB6" s="715">
        <f t="shared" si="10"/>
        <v>9.4711538461536016E-3</v>
      </c>
      <c r="CC6" s="716">
        <f t="shared" ref="CC6:CV6" si="11">CC4-CC5</f>
        <v>7.2147435897435663E-2</v>
      </c>
      <c r="CD6" s="714">
        <f t="shared" si="11"/>
        <v>-0.14115384615384574</v>
      </c>
      <c r="CE6" s="714">
        <f t="shared" si="11"/>
        <v>4.8703296703295873E-2</v>
      </c>
      <c r="CF6" s="714">
        <f t="shared" si="11"/>
        <v>-5.0615384615384507E-2</v>
      </c>
      <c r="CG6" s="715">
        <f t="shared" si="11"/>
        <v>-1.7729624542124789E-2</v>
      </c>
      <c r="CH6" s="716">
        <f t="shared" si="11"/>
        <v>9.0230769230769337E-2</v>
      </c>
      <c r="CI6" s="714">
        <f t="shared" si="11"/>
        <v>-4.8846153846154206E-2</v>
      </c>
      <c r="CJ6" s="714">
        <f t="shared" si="11"/>
        <v>-7.5999999999998735E-2</v>
      </c>
      <c r="CK6" s="714">
        <f t="shared" si="11"/>
        <v>-0.20553846153846145</v>
      </c>
      <c r="CL6" s="715">
        <f t="shared" si="11"/>
        <v>-6.0038461538461263E-2</v>
      </c>
      <c r="CM6" s="716">
        <f t="shared" si="11"/>
        <v>-0.44046153846153935</v>
      </c>
      <c r="CN6" s="714">
        <f t="shared" si="11"/>
        <v>-7.6923076923751665E-5</v>
      </c>
      <c r="CO6" s="714">
        <f t="shared" si="11"/>
        <v>-0.22461538461538488</v>
      </c>
      <c r="CP6" s="714">
        <f t="shared" si="11"/>
        <v>-0.10938461538461519</v>
      </c>
      <c r="CQ6" s="715">
        <f t="shared" si="11"/>
        <v>-0.19363461538461646</v>
      </c>
      <c r="CR6" s="716">
        <f t="shared" si="11"/>
        <v>-0.24784615384615405</v>
      </c>
      <c r="CS6" s="714">
        <f t="shared" si="11"/>
        <v>0.22400000000000064</v>
      </c>
      <c r="CT6" s="714">
        <f t="shared" si="11"/>
        <v>7.1153846153841904E-3</v>
      </c>
      <c r="CU6" s="714">
        <f t="shared" si="11"/>
        <v>6.2461538461538346E-2</v>
      </c>
      <c r="CV6" s="715">
        <f t="shared" si="11"/>
        <v>1.1432692307692172E-2</v>
      </c>
      <c r="CW6" s="716">
        <f t="shared" ref="CW6:DF6" si="12">CW4-CW5</f>
        <v>5.3230769230769859E-2</v>
      </c>
      <c r="CX6" s="714">
        <f t="shared" si="12"/>
        <v>-1.7307692307691802E-2</v>
      </c>
      <c r="CY6" s="714">
        <f t="shared" si="12"/>
        <v>9.6769230769230496E-2</v>
      </c>
      <c r="CZ6" s="714">
        <f t="shared" si="12"/>
        <v>0.13476923076923075</v>
      </c>
      <c r="DA6" s="715">
        <f t="shared" si="12"/>
        <v>6.6865384615384826E-2</v>
      </c>
      <c r="DB6" s="716">
        <f t="shared" si="12"/>
        <v>6.6307692307692623E-2</v>
      </c>
      <c r="DC6" s="714">
        <f t="shared" si="12"/>
        <v>7.161538461538397E-2</v>
      </c>
      <c r="DD6" s="714">
        <f t="shared" si="12"/>
        <v>0</v>
      </c>
      <c r="DE6" s="714">
        <f t="shared" si="12"/>
        <v>0</v>
      </c>
      <c r="DF6" s="715">
        <f t="shared" si="12"/>
        <v>3.4480769230769148E-2</v>
      </c>
      <c r="DG6" s="716">
        <f t="shared" ref="DG6:DP6" si="13">DG4-DG5</f>
        <v>0</v>
      </c>
      <c r="DH6" s="714">
        <f t="shared" si="13"/>
        <v>0</v>
      </c>
      <c r="DI6" s="714">
        <f t="shared" si="13"/>
        <v>0</v>
      </c>
      <c r="DJ6" s="714">
        <f t="shared" si="13"/>
        <v>0</v>
      </c>
      <c r="DK6" s="715">
        <f t="shared" si="13"/>
        <v>0</v>
      </c>
      <c r="DL6" s="716">
        <f t="shared" si="13"/>
        <v>0</v>
      </c>
      <c r="DM6" s="714">
        <f t="shared" si="13"/>
        <v>0</v>
      </c>
      <c r="DN6" s="714">
        <f t="shared" si="13"/>
        <v>0</v>
      </c>
      <c r="DO6" s="714">
        <f t="shared" si="13"/>
        <v>0</v>
      </c>
      <c r="DP6" s="715">
        <f t="shared" si="13"/>
        <v>0</v>
      </c>
    </row>
    <row r="7" spans="1:120" x14ac:dyDescent="0.2">
      <c r="A7" s="709">
        <f t="shared" si="3"/>
        <v>36526</v>
      </c>
      <c r="B7" s="709" t="str">
        <f t="shared" si="0"/>
        <v>1Q00</v>
      </c>
      <c r="C7" s="709" t="str">
        <f t="shared" si="4"/>
        <v>1Q00</v>
      </c>
      <c r="D7" s="710">
        <f t="shared" si="5"/>
        <v>36602</v>
      </c>
      <c r="E7" s="710">
        <f t="shared" si="5"/>
        <v>36542</v>
      </c>
      <c r="F7" s="712">
        <v>1.3069999999999999</v>
      </c>
      <c r="G7" s="713">
        <f t="shared" si="1"/>
        <v>0.04</v>
      </c>
      <c r="H7" s="713">
        <f t="shared" si="2"/>
        <v>6.0000000000000005E-2</v>
      </c>
      <c r="I7" s="713">
        <f t="shared" si="8"/>
        <v>1.25</v>
      </c>
      <c r="J7" s="713">
        <f t="shared" si="6"/>
        <v>1.3</v>
      </c>
      <c r="K7" s="713">
        <f t="shared" si="9"/>
        <v>0.03</v>
      </c>
      <c r="L7" s="697"/>
      <c r="M7" s="697"/>
      <c r="N7" s="697">
        <f t="shared" si="7"/>
        <v>4</v>
      </c>
      <c r="O7" s="697">
        <v>2</v>
      </c>
      <c r="P7" s="697"/>
      <c r="Q7" s="699"/>
      <c r="R7" s="699"/>
      <c r="S7" s="699"/>
      <c r="T7" s="717"/>
      <c r="U7" s="697"/>
      <c r="V7" s="699"/>
      <c r="W7" s="699"/>
      <c r="X7" s="699"/>
      <c r="Y7" s="717"/>
      <c r="Z7" s="697"/>
      <c r="AA7" s="699"/>
      <c r="AB7" s="699"/>
      <c r="AC7" s="699"/>
      <c r="AD7" s="717"/>
      <c r="AE7" s="697"/>
      <c r="AF7" s="699"/>
      <c r="AG7" s="699"/>
      <c r="AH7" s="699"/>
      <c r="AI7" s="717"/>
      <c r="AJ7" s="697"/>
      <c r="AK7" s="699"/>
      <c r="AL7" s="699"/>
      <c r="AM7" s="699"/>
      <c r="AN7" s="717"/>
      <c r="AO7" s="697"/>
      <c r="AP7" s="699"/>
      <c r="AQ7" s="699"/>
      <c r="AR7" s="699"/>
      <c r="AS7" s="717"/>
      <c r="AT7" s="697"/>
      <c r="AU7" s="699"/>
      <c r="AV7" s="699"/>
      <c r="AW7" s="699"/>
      <c r="AX7" s="717"/>
      <c r="AY7" s="697"/>
      <c r="AZ7" s="699"/>
      <c r="BA7" s="699"/>
      <c r="BB7" s="699"/>
      <c r="BC7" s="717"/>
      <c r="BD7" s="697"/>
      <c r="BE7" s="699"/>
      <c r="BF7" s="699"/>
      <c r="BG7" s="699"/>
      <c r="BH7" s="717"/>
      <c r="BI7" s="697"/>
      <c r="BJ7" s="699"/>
      <c r="BK7" s="699"/>
      <c r="BL7" s="699"/>
      <c r="BM7" s="717"/>
      <c r="BN7" s="697"/>
      <c r="BO7" s="699"/>
      <c r="BP7" s="699"/>
      <c r="BQ7" s="699"/>
      <c r="BR7" s="717"/>
      <c r="BS7" s="697"/>
      <c r="BT7" s="699"/>
      <c r="BU7" s="699"/>
      <c r="BV7" s="699"/>
      <c r="BW7" s="717"/>
      <c r="BX7" s="697"/>
      <c r="BY7" s="699"/>
      <c r="BZ7" s="699"/>
      <c r="CA7" s="699"/>
      <c r="CB7" s="717"/>
      <c r="CC7" s="697"/>
      <c r="CD7" s="699"/>
      <c r="CE7" s="699"/>
      <c r="CF7" s="699"/>
      <c r="CG7" s="717"/>
      <c r="CH7" s="697"/>
      <c r="CI7" s="699"/>
      <c r="CJ7" s="699"/>
      <c r="CK7" s="699"/>
      <c r="CL7" s="717"/>
      <c r="CM7" s="697"/>
      <c r="CN7" s="699"/>
      <c r="CO7" s="699"/>
      <c r="CP7" s="699"/>
      <c r="CQ7" s="717"/>
      <c r="CR7" s="697"/>
      <c r="CS7" s="699"/>
      <c r="CT7" s="699"/>
      <c r="CU7" s="699"/>
      <c r="CV7" s="717"/>
      <c r="CW7" s="697"/>
      <c r="CX7" s="699"/>
      <c r="CY7" s="699"/>
      <c r="CZ7" s="699"/>
      <c r="DA7" s="717"/>
      <c r="DB7" s="697"/>
      <c r="DC7" s="699"/>
      <c r="DD7" s="699"/>
      <c r="DE7" s="699"/>
      <c r="DF7" s="717"/>
      <c r="DG7" s="697"/>
      <c r="DH7" s="699"/>
      <c r="DI7" s="699"/>
      <c r="DJ7" s="699"/>
      <c r="DK7" s="717"/>
      <c r="DL7" s="697"/>
      <c r="DM7" s="699"/>
      <c r="DN7" s="699"/>
      <c r="DO7" s="699"/>
      <c r="DP7" s="717"/>
    </row>
    <row r="8" spans="1:120" x14ac:dyDescent="0.2">
      <c r="A8" s="709">
        <f t="shared" si="3"/>
        <v>36526</v>
      </c>
      <c r="B8" s="709" t="str">
        <f t="shared" si="0"/>
        <v>1Q00</v>
      </c>
      <c r="C8" s="709" t="str">
        <f t="shared" si="4"/>
        <v>1Q00</v>
      </c>
      <c r="D8" s="710">
        <f t="shared" si="5"/>
        <v>36609</v>
      </c>
      <c r="E8" s="710">
        <f t="shared" si="5"/>
        <v>36549</v>
      </c>
      <c r="F8" s="712">
        <v>1.4180000000000001</v>
      </c>
      <c r="G8" s="713">
        <f t="shared" si="1"/>
        <v>6.0000000000000005E-2</v>
      </c>
      <c r="H8" s="713">
        <f t="shared" si="2"/>
        <v>6.0000000000000005E-2</v>
      </c>
      <c r="I8" s="713">
        <f t="shared" si="8"/>
        <v>1.3</v>
      </c>
      <c r="J8" s="713">
        <f t="shared" si="6"/>
        <v>1.35</v>
      </c>
      <c r="K8" s="713">
        <f t="shared" si="9"/>
        <v>0.04</v>
      </c>
      <c r="L8" s="697"/>
      <c r="M8" s="700" t="s">
        <v>385</v>
      </c>
      <c r="N8" s="697">
        <f t="shared" si="7"/>
        <v>5</v>
      </c>
      <c r="O8" s="697">
        <v>2</v>
      </c>
      <c r="P8" s="697"/>
      <c r="Q8" s="699"/>
      <c r="R8" s="699"/>
      <c r="S8" s="699"/>
      <c r="T8" s="717"/>
      <c r="U8" s="697"/>
      <c r="V8" s="699"/>
      <c r="W8" s="699"/>
      <c r="X8" s="699"/>
      <c r="Y8" s="717"/>
      <c r="Z8" s="697"/>
      <c r="AA8" s="699"/>
      <c r="AB8" s="699"/>
      <c r="AC8" s="699"/>
      <c r="AD8" s="717"/>
      <c r="AE8" s="697"/>
      <c r="AF8" s="699"/>
      <c r="AG8" s="699"/>
      <c r="AH8" s="699"/>
      <c r="AI8" s="717"/>
      <c r="AJ8" s="697"/>
      <c r="AK8" s="699"/>
      <c r="AL8" s="699"/>
      <c r="AM8" s="699"/>
      <c r="AN8" s="717"/>
      <c r="AO8" s="697"/>
      <c r="AP8" s="699"/>
      <c r="AQ8" s="699"/>
      <c r="AR8" s="699"/>
      <c r="AS8" s="717"/>
      <c r="AT8" s="697"/>
      <c r="AU8" s="699"/>
      <c r="AV8" s="699"/>
      <c r="AW8" s="699"/>
      <c r="AX8" s="717"/>
      <c r="AY8" s="697"/>
      <c r="AZ8" s="699"/>
      <c r="BA8" s="699"/>
      <c r="BB8" s="699"/>
      <c r="BC8" s="717"/>
      <c r="BD8" s="697"/>
      <c r="BE8" s="699"/>
      <c r="BF8" s="699"/>
      <c r="BG8" s="699"/>
      <c r="BH8" s="717"/>
      <c r="BI8" s="697"/>
      <c r="BJ8" s="699"/>
      <c r="BK8" s="699"/>
      <c r="BL8" s="699"/>
      <c r="BM8" s="717"/>
      <c r="BN8" s="697"/>
      <c r="BO8" s="699"/>
      <c r="BP8" s="699"/>
      <c r="BQ8" s="699"/>
      <c r="BR8" s="717"/>
      <c r="BS8" s="697"/>
      <c r="BT8" s="699"/>
      <c r="BU8" s="699"/>
      <c r="BV8" s="699"/>
      <c r="BW8" s="717"/>
      <c r="BX8" s="697"/>
      <c r="BY8" s="699"/>
      <c r="BZ8" s="699"/>
      <c r="CA8" s="699"/>
      <c r="CB8" s="717"/>
      <c r="CC8" s="697"/>
      <c r="CD8" s="699"/>
      <c r="CE8" s="699"/>
      <c r="CF8" s="699"/>
      <c r="CG8" s="717"/>
      <c r="CH8" s="697"/>
      <c r="CI8" s="699"/>
      <c r="CJ8" s="699"/>
      <c r="CK8" s="699"/>
      <c r="CL8" s="717"/>
      <c r="CM8" s="697"/>
      <c r="CN8" s="699"/>
      <c r="CO8" s="699"/>
      <c r="CP8" s="699"/>
      <c r="CQ8" s="717"/>
      <c r="CR8" s="697"/>
      <c r="CS8" s="699"/>
      <c r="CT8" s="699"/>
      <c r="CU8" s="699"/>
      <c r="CV8" s="717"/>
      <c r="CW8" s="697"/>
      <c r="CX8" s="699"/>
      <c r="CY8" s="699"/>
      <c r="CZ8" s="699"/>
      <c r="DA8" s="717"/>
      <c r="DB8" s="697"/>
      <c r="DC8" s="699"/>
      <c r="DD8" s="699"/>
      <c r="DE8" s="699"/>
      <c r="DF8" s="717"/>
      <c r="DG8" s="697"/>
      <c r="DH8" s="699"/>
      <c r="DI8" s="699"/>
      <c r="DJ8" s="699"/>
      <c r="DK8" s="717"/>
      <c r="DL8" s="697"/>
      <c r="DM8" s="699"/>
      <c r="DN8" s="699"/>
      <c r="DO8" s="699"/>
      <c r="DP8" s="717"/>
    </row>
    <row r="9" spans="1:120" x14ac:dyDescent="0.2">
      <c r="A9" s="709">
        <f t="shared" si="3"/>
        <v>36526</v>
      </c>
      <c r="B9" s="709" t="str">
        <f t="shared" si="0"/>
        <v>1Q00</v>
      </c>
      <c r="C9" s="709" t="str">
        <f t="shared" si="4"/>
        <v>1Q00</v>
      </c>
      <c r="D9" s="710">
        <f t="shared" si="5"/>
        <v>36616</v>
      </c>
      <c r="E9" s="710">
        <f t="shared" si="5"/>
        <v>36556</v>
      </c>
      <c r="F9" s="712">
        <v>1.4390000000000001</v>
      </c>
      <c r="G9" s="713">
        <f t="shared" si="1"/>
        <v>6.0000000000000005E-2</v>
      </c>
      <c r="H9" s="713">
        <f t="shared" si="2"/>
        <v>7.0000000000000007E-2</v>
      </c>
      <c r="I9" s="713">
        <f t="shared" si="8"/>
        <v>1.35</v>
      </c>
      <c r="J9" s="713">
        <f t="shared" si="6"/>
        <v>1.4000000000000001</v>
      </c>
      <c r="K9" s="713">
        <f t="shared" si="9"/>
        <v>0.05</v>
      </c>
      <c r="L9" s="697"/>
      <c r="M9" s="700" t="s">
        <v>492</v>
      </c>
      <c r="N9" s="697">
        <f t="shared" si="7"/>
        <v>6</v>
      </c>
      <c r="O9" s="697">
        <v>2</v>
      </c>
      <c r="P9" s="714"/>
      <c r="Q9" s="714">
        <f>SUMIF($B:$B,Q$1,$G:$G)/COUNTIF($B:$B,Q$1)</f>
        <v>5.9230769230769247E-2</v>
      </c>
      <c r="R9" s="714">
        <f>SUMIF($B:$B,R$1,$G:$G)/COUNTIF($B:$B,R$1)</f>
        <v>7.6923076923076913E-2</v>
      </c>
      <c r="S9" s="714">
        <f>SUMIF($B:$B,S$1,$G:$G)/COUNTIF($B:$B,S$1)</f>
        <v>9.6923076923076917E-2</v>
      </c>
      <c r="T9" s="715">
        <f>AVERAGE(P9:S9)</f>
        <v>7.7692307692307686E-2</v>
      </c>
      <c r="U9" s="714">
        <f>SUMIF($B:$B,U$1,$G:$G)/COUNTIF($B:$B,U$1)</f>
        <v>7.0769230769230793E-2</v>
      </c>
      <c r="V9" s="714">
        <f>SUMIF($B:$B,V$1,$G:$G)/COUNTIF($B:$B,V$1)</f>
        <v>6.5384615384615388E-2</v>
      </c>
      <c r="W9" s="714">
        <f>SUMIF($B:$B,W$1,$G:$G)/COUNTIF($B:$B,W$1)</f>
        <v>5.6923076923076923E-2</v>
      </c>
      <c r="X9" s="714">
        <f>SUMIF($B:$B,X$1,$G:$G)/COUNTIF($B:$B,X$1)</f>
        <v>2.7142857142857153E-2</v>
      </c>
      <c r="Y9" s="715">
        <f>AVERAGE(U9:X9)</f>
        <v>5.5054945054945063E-2</v>
      </c>
      <c r="Z9" s="714">
        <f>SUMIF($B:$B,Z$1,$G:$G)/COUNTIF($B:$B,Z$1)</f>
        <v>1.1666666666666667E-2</v>
      </c>
      <c r="AA9" s="714">
        <f>SUMIF($B:$B,AA$1,$G:$G)/COUNTIF($B:$B,AA$1)</f>
        <v>3.6153846153846154E-2</v>
      </c>
      <c r="AB9" s="714">
        <f>SUMIF($B:$B,AB$1,$G:$G)/COUNTIF($B:$B,AB$1)</f>
        <v>4.5000000000000005E-2</v>
      </c>
      <c r="AC9" s="714">
        <f>SUMIF($B:$B,AC$1,$G:$G)/COUNTIF($B:$B,AC$1)</f>
        <v>6.3846153846153872E-2</v>
      </c>
      <c r="AD9" s="715">
        <f>AVERAGE(Z9:AC9)</f>
        <v>3.9166666666666669E-2</v>
      </c>
      <c r="AE9" s="714">
        <f>SUMIF($B:$B,AE$1,$G:$G)/COUNTIF($B:$B,AE$1)</f>
        <v>0.10153846153846152</v>
      </c>
      <c r="AF9" s="714">
        <f>SUMIF($B:$B,AF$1,$G:$G)/COUNTIF($B:$B,AF$1)</f>
        <v>6.7692307692307718E-2</v>
      </c>
      <c r="AG9" s="714">
        <f>SUMIF($B:$B,AG$1,$G:$G)/COUNTIF($B:$B,AG$1)</f>
        <v>6.6923076923076932E-2</v>
      </c>
      <c r="AH9" s="714">
        <f>SUMIF($B:$B,AH$1,$G:$G)/COUNTIF($B:$B,AH$1)</f>
        <v>7.1538461538461551E-2</v>
      </c>
      <c r="AI9" s="715">
        <f>AVERAGE(AE9:AH9)</f>
        <v>7.6923076923076927E-2</v>
      </c>
      <c r="AJ9" s="714">
        <f>SUMIF($B:$B,AJ$1,$G:$G)/COUNTIF($B:$B,AJ$1)</f>
        <v>9.3076923076923071E-2</v>
      </c>
      <c r="AK9" s="714">
        <f>SUMIF($B:$B,AK$1,$G:$G)/COUNTIF($B:$B,AK$1)</f>
        <v>0.11769230769230764</v>
      </c>
      <c r="AL9" s="714">
        <f>SUMIF($B:$B,AL$1,$G:$G)/COUNTIF($B:$B,AL$1)</f>
        <v>0.1415384615384615</v>
      </c>
      <c r="AM9" s="714">
        <f>SUMIF($B:$B,AM$1,$G:$G)/COUNTIF($B:$B,AM$1)</f>
        <v>0.19538461538461538</v>
      </c>
      <c r="AN9" s="715">
        <f>AVERAGE(AJ9:AM9)</f>
        <v>0.1369230769230769</v>
      </c>
      <c r="AO9" s="714">
        <f>SUMIF($B:$B,AO$1,$G:$G)/COUNTIF($B:$B,AO$1)</f>
        <v>0.18615384615384614</v>
      </c>
      <c r="AP9" s="714">
        <f>SUMIF($B:$B,AP$1,$G:$G)/COUNTIF($B:$B,AP$1)</f>
        <v>0.22692307692307701</v>
      </c>
      <c r="AQ9" s="714">
        <f>SUMIF($B:$B,AQ$1,$G:$G)/COUNTIF($B:$B,AQ$1)</f>
        <v>0.28461538461538471</v>
      </c>
      <c r="AR9" s="714">
        <f>SUMIF($B:$B,AR$1,$G:$G)/COUNTIF($B:$B,AR$1)</f>
        <v>0.32153846153846172</v>
      </c>
      <c r="AS9" s="715">
        <f>AVERAGE(AO9:AR9)</f>
        <v>0.2548076923076924</v>
      </c>
      <c r="AT9" s="714">
        <f>SUMIF($B:$B,AT$1,$G:$G)/COUNTIF($B:$B,AT$1)</f>
        <v>0.27307692307692316</v>
      </c>
      <c r="AU9" s="714">
        <f>SUMIF($B:$B,AU$1,$G:$G)/COUNTIF($B:$B,AU$1)</f>
        <v>0.34384615384615402</v>
      </c>
      <c r="AV9" s="714">
        <f>SUMIF($B:$B,AV$1,$G:$G)/COUNTIF($B:$B,AV$1)</f>
        <v>0.35923076923076941</v>
      </c>
      <c r="AW9" s="714">
        <f>SUMIF($B:$B,AW$1,$G:$G)/COUNTIF($B:$B,AW$1)</f>
        <v>0.2876923076923078</v>
      </c>
      <c r="AX9" s="715">
        <f>AVERAGE(AT9:AW9)</f>
        <v>0.31596153846153863</v>
      </c>
      <c r="AY9" s="714">
        <f>SUMIF($B:$B,AY$1,$G:$G)/COUNTIF($B:$B,AY$1)</f>
        <v>0.28307692307692317</v>
      </c>
      <c r="AZ9" s="714">
        <f>SUMIF($B:$B,AZ$1,$G:$G)/COUNTIF($B:$B,AZ$1)</f>
        <v>0.33769230769230779</v>
      </c>
      <c r="BA9" s="714">
        <f>SUMIF($B:$B,BA$1,$G:$G)/COUNTIF($B:$B,BA$1)</f>
        <v>0.35230769230769243</v>
      </c>
      <c r="BB9" s="714">
        <f>SUMIF($B:$B,BB$1,$G:$G)/COUNTIF($B:$B,BB$1)</f>
        <v>0.42714285714285744</v>
      </c>
      <c r="BC9" s="715">
        <f>AVERAGE(AY9:BB9)</f>
        <v>0.35005494505494522</v>
      </c>
      <c r="BD9" s="714">
        <f>SUMIF($B:$B,BD$1,$G:$G)/COUNTIF($B:$B,BD$1)</f>
        <v>0.48538461538461564</v>
      </c>
      <c r="BE9" s="714">
        <f>SUMIF($B:$B,BE$1,$G:$G)/COUNTIF($B:$B,BE$1)</f>
        <v>0.65692307692307739</v>
      </c>
      <c r="BF9" s="714">
        <f>SUMIF($B:$B,BF$1,$G:$G)/COUNTIF($B:$B,BF$1)</f>
        <v>0.6407692307692312</v>
      </c>
      <c r="BG9" s="714">
        <f>SUMIF($B:$B,BG$1,$G:$G)/COUNTIF($B:$B,BG$1)</f>
        <v>0.36076923076923095</v>
      </c>
      <c r="BH9" s="715">
        <f>AVERAGE(BD9:BG9)</f>
        <v>0.53596153846153882</v>
      </c>
      <c r="BI9" s="714">
        <f>SUMIF($B:$B,BI$1,$G:$G)/COUNTIF($B:$B,BI$1)</f>
        <v>0.21076923076923082</v>
      </c>
      <c r="BJ9" s="714">
        <f>SUMIF($B:$B,BJ$1,$G:$G)/COUNTIF($B:$B,BJ$1)</f>
        <v>0.24384615384615391</v>
      </c>
      <c r="BK9" s="714">
        <f>SUMIF($B:$B,BK$1,$G:$G)/COUNTIF($B:$B,BK$1)</f>
        <v>0.29538461538461552</v>
      </c>
      <c r="BL9" s="714">
        <f>SUMIF($B:$B,BL$1,$G:$G)/COUNTIF($B:$B,BL$1)</f>
        <v>0.32384615384615401</v>
      </c>
      <c r="BM9" s="715">
        <f>AVERAGE(BI9:BL9)</f>
        <v>0.26846153846153853</v>
      </c>
      <c r="BN9" s="714">
        <f>SUMIF($B:$B,BN$1,$G:$G)/COUNTIF($B:$B,BN$1)</f>
        <v>0.34538461538461551</v>
      </c>
      <c r="BO9" s="714">
        <f>SUMIF($B:$B,BO$1,$G:$G)/COUNTIF($B:$B,BO$1)</f>
        <v>0.38076923076923092</v>
      </c>
      <c r="BP9" s="714">
        <f>SUMIF($B:$B,BP$1,$G:$G)/COUNTIF($B:$B,BP$1)</f>
        <v>0.36307692307692324</v>
      </c>
      <c r="BQ9" s="714">
        <f>SUMIF($B:$B,BQ$1,$G:$G)/COUNTIF($B:$B,BQ$1)</f>
        <v>0.40384615384615408</v>
      </c>
      <c r="BR9" s="715">
        <f>AVERAGE(BN9:BQ9)</f>
        <v>0.37326923076923091</v>
      </c>
      <c r="BS9" s="714">
        <f>SUMIF($B:$B,BS$1,$G:$G)/COUNTIF($B:$B,BS$1)</f>
        <v>0.49692307692307724</v>
      </c>
      <c r="BT9" s="714">
        <f>SUMIF($B:$B,BT$1,$G:$G)/COUNTIF($B:$B,BT$1)</f>
        <v>0.5784615384615388</v>
      </c>
      <c r="BU9" s="714">
        <f>SUMIF($B:$B,BU$1,$G:$G)/COUNTIF($B:$B,BU$1)</f>
        <v>0.54769230769230792</v>
      </c>
      <c r="BV9" s="714">
        <f>SUMIF($B:$B,BV$1,$G:$G)/COUNTIF($B:$B,BV$1)</f>
        <v>0.54769230769230792</v>
      </c>
      <c r="BW9" s="715">
        <f>AVERAGE(BS9:BV9)</f>
        <v>0.54269230769230803</v>
      </c>
      <c r="BX9" s="714">
        <f>SUMIF($B:$B,BX$1,$G:$G)/COUNTIF($B:$B,BX$1)</f>
        <v>0.5669230769230772</v>
      </c>
      <c r="BY9" s="714">
        <f>SUMIF($B:$B,BY$1,$G:$G)/COUNTIF($B:$B,BY$1)</f>
        <v>0.56692307692307731</v>
      </c>
      <c r="BZ9" s="714">
        <f>SUMIF($B:$B,BZ$1,$G:$G)/COUNTIF($B:$B,BZ$1)</f>
        <v>0.5584615384615389</v>
      </c>
      <c r="CA9" s="714">
        <f>SUMIF($B:$B,CA$1,$G:$G)/COUNTIF($B:$B,CA$1)</f>
        <v>0.57857142857142885</v>
      </c>
      <c r="CB9" s="715">
        <f>AVERAGE(BX9:CA9)</f>
        <v>0.56771978021978053</v>
      </c>
      <c r="CC9" s="714">
        <f>SUMIF($B:$B,CC$1,$G:$G)/COUNTIF($B:$B,CC$1)</f>
        <v>0.581666666666667</v>
      </c>
      <c r="CD9" s="714">
        <f>SUMIF($B:$B,CD$1,$G:$G)/COUNTIF($B:$B,CD$1)</f>
        <v>0.55076923076923101</v>
      </c>
      <c r="CE9" s="714">
        <f>SUMIF($B:$B,CE$1,$G:$G)/COUNTIF($B:$B,CE$1)</f>
        <v>0.55785714285714316</v>
      </c>
      <c r="CF9" s="714">
        <f>SUMIF($B:$B,CF$1,$G:$G)/COUNTIF($B:$B,CF$1)</f>
        <v>0.54846153846153878</v>
      </c>
      <c r="CG9" s="715">
        <f>AVERAGE(CC9:CF9)</f>
        <v>0.5596886446886451</v>
      </c>
      <c r="CH9" s="714">
        <f>SUMIF($B:$B,CH$1,$G:$G)/COUNTIF($B:$B,CH$1)</f>
        <v>0.56846153846153868</v>
      </c>
      <c r="CI9" s="714">
        <f>SUMIF($B:$B,CI$1,$G:$G)/COUNTIF($B:$B,CI$1)</f>
        <v>0.56230769230769273</v>
      </c>
      <c r="CJ9" s="714">
        <f>SUMIF($B:$B,CJ$1,$G:$G)/COUNTIF($B:$B,CJ$1)</f>
        <v>0.54307692307692323</v>
      </c>
      <c r="CK9" s="714">
        <f>SUMIF($B:$B,CK$1,$G:$G)/COUNTIF($B:$B,CK$1)</f>
        <v>0.48846153846153861</v>
      </c>
      <c r="CL9" s="715">
        <f>AVERAGE(CH9:CK9)</f>
        <v>0.54057692307692329</v>
      </c>
      <c r="CM9" s="714">
        <f>SUMIF($B:$B,CM$1,$G:$G)/COUNTIF($B:$B,CM$1)</f>
        <v>0.35846153846153866</v>
      </c>
      <c r="CN9" s="714">
        <f>SUMIF($B:$B,CN$1,$G:$G)/COUNTIF($B:$B,CN$1)</f>
        <v>0.34615384615384631</v>
      </c>
      <c r="CO9" s="714">
        <f>SUMIF($B:$B,CO$1,$G:$G)/COUNTIF($B:$B,CO$1)</f>
        <v>0.3007692307692309</v>
      </c>
      <c r="CP9" s="714">
        <f>SUMIF($B:$B,CP$1,$G:$G)/COUNTIF($B:$B,CP$1)</f>
        <v>0.26076923076923086</v>
      </c>
      <c r="CQ9" s="715">
        <f>AVERAGE(CM9:CP9)</f>
        <v>0.31653846153846171</v>
      </c>
      <c r="CR9" s="714">
        <f>SUMIF($B:$B,CR$1,$G:$G)/COUNTIF($B:$B,CR$1)</f>
        <v>0.18923076923076926</v>
      </c>
      <c r="CS9" s="714">
        <f>SUMIF($B:$B,CS$1,$G:$G)/COUNTIF($B:$B,CS$1)</f>
        <v>0.2346153846153847</v>
      </c>
      <c r="CT9" s="714">
        <f>SUMIF($B:$B,CT$1,$G:$G)/COUNTIF($B:$B,CT$1)</f>
        <v>0.2515384615384616</v>
      </c>
      <c r="CU9" s="714">
        <f>SUMIF($B:$B,CU$1,$G:$G)/COUNTIF($B:$B,CU$1)</f>
        <v>0.26692307692307699</v>
      </c>
      <c r="CV9" s="715">
        <f>AVERAGE(CR9:CU9)</f>
        <v>0.23557692307692313</v>
      </c>
      <c r="CW9" s="714">
        <f>SUMIF($B:$B,CW$1,$G:$G)/COUNTIF($B:$B,CW$1)</f>
        <v>0.28846153846153855</v>
      </c>
      <c r="CX9" s="714">
        <f>SUMIF($B:$B,CX$1,$G:$G)/COUNTIF($B:$B,CX$1)</f>
        <v>0.28461538461538471</v>
      </c>
      <c r="CY9" s="714">
        <f>SUMIF($B:$B,CY$1,$G:$G)/COUNTIF($B:$B,CY$1)</f>
        <v>0.29769230769230781</v>
      </c>
      <c r="CZ9" s="714">
        <f>SUMIF($B:$B,CZ$1,$G:$G)/COUNTIF($B:$B,CZ$1)</f>
        <v>0.34846153846153871</v>
      </c>
      <c r="DA9" s="715">
        <f>AVERAGE(CW9:CZ9)</f>
        <v>0.30480769230769245</v>
      </c>
      <c r="DB9" s="714">
        <f>SUMIF($B:$B,DB$1,$G:$G)/COUNTIF($B:$B,DB$1)</f>
        <v>0.37846153846153868</v>
      </c>
      <c r="DC9" s="714">
        <f>SUMIF($B:$B,DC$1,$G:$G)/COUNTIF($B:$B,DC$1)</f>
        <v>0.39692307692307721</v>
      </c>
      <c r="DD9" s="714">
        <f>SUMIF($B:$B,DD$1,$G:$G)/COUNTIF($B:$B,DD$1)</f>
        <v>0.4000000000000003</v>
      </c>
      <c r="DE9" s="714">
        <f>SUMIF($B:$B,DE$1,$G:$G)/COUNTIF($B:$B,DE$1)</f>
        <v>0.4000000000000003</v>
      </c>
      <c r="DF9" s="715">
        <f>AVERAGE(DB9:DE9)</f>
        <v>0.39384615384615412</v>
      </c>
      <c r="DG9" s="714">
        <f>SUMIF($B:$B,DG$1,$G:$G)/COUNTIF($B:$B,DG$1)</f>
        <v>0.4000000000000003</v>
      </c>
      <c r="DH9" s="714">
        <f>SUMIF($B:$B,DH$1,$G:$G)/COUNTIF($B:$B,DH$1)</f>
        <v>0.4000000000000003</v>
      </c>
      <c r="DI9" s="714">
        <f>SUMIF($B:$B,DI$1,$G:$G)/COUNTIF($B:$B,DI$1)</f>
        <v>0.4000000000000003</v>
      </c>
      <c r="DJ9" s="714">
        <f>SUMIF($B:$B,DJ$1,$G:$G)/COUNTIF($B:$B,DJ$1)</f>
        <v>0.4000000000000003</v>
      </c>
      <c r="DK9" s="715">
        <f>AVERAGE(DG9:DJ9)</f>
        <v>0.4000000000000003</v>
      </c>
      <c r="DL9" s="714">
        <f>SUMIF($B:$B,DL$1,$G:$G)/COUNTIF($B:$B,DL$1)</f>
        <v>0.4000000000000003</v>
      </c>
      <c r="DM9" s="714">
        <f>SUMIF($B:$B,DM$1,$G:$G)/COUNTIF($B:$B,DM$1)</f>
        <v>0.4000000000000003</v>
      </c>
      <c r="DN9" s="714">
        <f>SUMIF($B:$B,DN$1,$G:$G)/COUNTIF($B:$B,DN$1)</f>
        <v>0.4000000000000003</v>
      </c>
      <c r="DO9" s="714">
        <f>SUMIF($B:$B,DO$1,$G:$G)/COUNTIF($B:$B,DO$1)</f>
        <v>0.4000000000000003</v>
      </c>
      <c r="DP9" s="715">
        <f>AVERAGE(DL9:DO9)</f>
        <v>0.4000000000000003</v>
      </c>
    </row>
    <row r="10" spans="1:120" x14ac:dyDescent="0.2">
      <c r="A10" s="709">
        <f t="shared" si="3"/>
        <v>36557</v>
      </c>
      <c r="B10" s="709" t="str">
        <f t="shared" si="0"/>
        <v>1Q00</v>
      </c>
      <c r="C10" s="709" t="str">
        <f t="shared" si="4"/>
        <v>2Q00</v>
      </c>
      <c r="D10" s="710">
        <f t="shared" si="5"/>
        <v>36623</v>
      </c>
      <c r="E10" s="710">
        <f t="shared" si="5"/>
        <v>36563</v>
      </c>
      <c r="F10" s="712">
        <v>1.47</v>
      </c>
      <c r="G10" s="713">
        <f t="shared" si="1"/>
        <v>7.0000000000000007E-2</v>
      </c>
      <c r="H10" s="713">
        <f t="shared" si="2"/>
        <v>7.0000000000000007E-2</v>
      </c>
      <c r="I10" s="713">
        <f t="shared" si="8"/>
        <v>1.4000000000000001</v>
      </c>
      <c r="J10" s="713">
        <f t="shared" si="6"/>
        <v>1.4500000000000002</v>
      </c>
      <c r="K10" s="713">
        <f t="shared" si="9"/>
        <v>6.0000000000000005E-2</v>
      </c>
      <c r="L10" s="697"/>
      <c r="M10" s="700" t="s">
        <v>493</v>
      </c>
      <c r="N10" s="697">
        <f t="shared" si="7"/>
        <v>7</v>
      </c>
      <c r="O10" s="697">
        <v>3</v>
      </c>
      <c r="P10" s="714"/>
      <c r="Q10" s="714">
        <f>SUMIF($B:$B,Q$1,$H:$H)/COUNTIF($B:$B,Q$1)</f>
        <v>6.0000000000000019E-2</v>
      </c>
      <c r="R10" s="714">
        <f>SUMIF($B:$B,R$1,$H:$H)/COUNTIF($B:$B,R$1)</f>
        <v>7.923076923076923E-2</v>
      </c>
      <c r="S10" s="714">
        <f>SUMIF($B:$B,S$1,$H:$H)/COUNTIF($B:$B,S$1)</f>
        <v>9.5384615384615387E-2</v>
      </c>
      <c r="T10" s="715">
        <f>AVERAGE(P10:S10)</f>
        <v>7.8205128205128205E-2</v>
      </c>
      <c r="U10" s="714">
        <f>SUMIF($B:$B,U$1,$H:$H)/COUNTIF($B:$B,U$1)</f>
        <v>6.846153846153849E-2</v>
      </c>
      <c r="V10" s="714">
        <f>SUMIF($B:$B,V$1,$H:$H)/COUNTIF($B:$B,V$1)</f>
        <v>6.615384615384616E-2</v>
      </c>
      <c r="W10" s="714">
        <f>SUMIF($B:$B,W$1,$H:$H)/COUNTIF($B:$B,W$1)</f>
        <v>5.6153846153846151E-2</v>
      </c>
      <c r="X10" s="714">
        <f>SUMIF($B:$B,X$1,$H:$H)/COUNTIF($B:$B,X$1)</f>
        <v>2.4285714285714292E-2</v>
      </c>
      <c r="Y10" s="715">
        <f>AVERAGE(U10:X10)</f>
        <v>5.3763736263736275E-2</v>
      </c>
      <c r="Z10" s="714">
        <f>SUMIF($B:$B,Z$1,$H:$H)/COUNTIF($B:$B,Z$1)</f>
        <v>1.3333333333333334E-2</v>
      </c>
      <c r="AA10" s="714">
        <f>SUMIF($B:$B,AA$1,$H:$H)/COUNTIF($B:$B,AA$1)</f>
        <v>3.6153846153846161E-2</v>
      </c>
      <c r="AB10" s="714">
        <f>SUMIF($B:$B,AB$1,$H:$H)/COUNTIF($B:$B,AB$1)</f>
        <v>4.7857142857142869E-2</v>
      </c>
      <c r="AC10" s="714">
        <f>SUMIF($B:$B,AC$1,$H:$H)/COUNTIF($B:$B,AC$1)</f>
        <v>6.461538461538463E-2</v>
      </c>
      <c r="AD10" s="715">
        <f>AVERAGE(Z10:AC10)</f>
        <v>4.0489926739926747E-2</v>
      </c>
      <c r="AE10" s="714">
        <f>SUMIF($B:$B,AE$1,$H:$H)/COUNTIF($B:$B,AE$1)</f>
        <v>0.10230769230769234</v>
      </c>
      <c r="AF10" s="714">
        <f>SUMIF($B:$B,AF$1,$H:$H)/COUNTIF($B:$B,AF$1)</f>
        <v>6.5384615384615402E-2</v>
      </c>
      <c r="AG10" s="714">
        <f>SUMIF($B:$B,AG$1,$H:$H)/COUNTIF($B:$B,AG$1)</f>
        <v>6.6923076923076946E-2</v>
      </c>
      <c r="AH10" s="714">
        <f>SUMIF($B:$B,AH$1,$H:$H)/COUNTIF($B:$B,AH$1)</f>
        <v>7.3076923076923081E-2</v>
      </c>
      <c r="AI10" s="715">
        <f>AVERAGE(AE10:AH10)</f>
        <v>7.6923076923076941E-2</v>
      </c>
      <c r="AJ10" s="714">
        <f>SUMIF($B:$B,AJ$1,$H:$H)/COUNTIF($B:$B,AJ$1)</f>
        <v>9.4615384615384615E-2</v>
      </c>
      <c r="AK10" s="714">
        <f>SUMIF($B:$B,AK$1,$H:$H)/COUNTIF($B:$B,AK$1)</f>
        <v>0.1192307692307692</v>
      </c>
      <c r="AL10" s="714">
        <f>SUMIF($B:$B,AL$1,$H:$H)/COUNTIF($B:$B,AL$1)</f>
        <v>0.14692307692307688</v>
      </c>
      <c r="AM10" s="714">
        <f>SUMIF($B:$B,AM$1,$H:$H)/COUNTIF($B:$B,AM$1)</f>
        <v>0.19384615384615383</v>
      </c>
      <c r="AN10" s="715">
        <f>AVERAGE(AJ10:AM10)</f>
        <v>0.13865384615384613</v>
      </c>
      <c r="AO10" s="714">
        <f>SUMIF($B:$B,AO$1,$H:$H)/COUNTIF($B:$B,AO$1)</f>
        <v>0.19153846153846155</v>
      </c>
      <c r="AP10" s="714">
        <f>SUMIF($B:$B,AP$1,$H:$H)/COUNTIF($B:$B,AP$1)</f>
        <v>0.22692307692307701</v>
      </c>
      <c r="AQ10" s="714">
        <f>SUMIF($B:$B,AQ$1,$H:$H)/COUNTIF($B:$B,AQ$1)</f>
        <v>0.29692307692307707</v>
      </c>
      <c r="AR10" s="714">
        <f>SUMIF($B:$B,AR$1,$H:$H)/COUNTIF($B:$B,AR$1)</f>
        <v>0.31076923076923091</v>
      </c>
      <c r="AS10" s="715">
        <f>AVERAGE(AO10:AR10)</f>
        <v>0.2565384615384616</v>
      </c>
      <c r="AT10" s="714">
        <f>SUMIF($B:$B,AT$1,$H:$H)/COUNTIF($B:$B,AT$1)</f>
        <v>0.27615384615384625</v>
      </c>
      <c r="AU10" s="714">
        <f>SUMIF($B:$B,AU$1,$H:$H)/COUNTIF($B:$B,AU$1)</f>
        <v>0.34769230769230786</v>
      </c>
      <c r="AV10" s="714">
        <f>SUMIF($B:$B,AV$1,$H:$H)/COUNTIF($B:$B,AV$1)</f>
        <v>0.35384615384615403</v>
      </c>
      <c r="AW10" s="714">
        <f>SUMIF($B:$B,AW$1,$H:$H)/COUNTIF($B:$B,AW$1)</f>
        <v>0.28846153846153855</v>
      </c>
      <c r="AX10" s="715">
        <f>AVERAGE(AT10:AW10)</f>
        <v>0.31653846153846166</v>
      </c>
      <c r="AY10" s="714">
        <f>SUMIF($B:$B,AY$1,$H:$H)/COUNTIF($B:$B,AY$1)</f>
        <v>0.28615384615384626</v>
      </c>
      <c r="AZ10" s="714">
        <f>SUMIF($B:$B,AZ$1,$H:$H)/COUNTIF($B:$B,AZ$1)</f>
        <v>0.33846153846153865</v>
      </c>
      <c r="BA10" s="714">
        <f>SUMIF($B:$B,BA$1,$H:$H)/COUNTIF($B:$B,BA$1)</f>
        <v>0.35538461538461552</v>
      </c>
      <c r="BB10" s="714">
        <f>SUMIF($B:$B,BB$1,$H:$H)/COUNTIF($B:$B,BB$1)</f>
        <v>0.43214285714285744</v>
      </c>
      <c r="BC10" s="715">
        <f>AVERAGE(AY10:BB10)</f>
        <v>0.35303571428571445</v>
      </c>
      <c r="BD10" s="714">
        <f>SUMIF($B:$B,BD$1,$H:$H)/COUNTIF($B:$B,BD$1)</f>
        <v>0.49461538461538485</v>
      </c>
      <c r="BE10" s="714">
        <f>SUMIF($B:$B,BE$1,$H:$H)/COUNTIF($B:$B,BE$1)</f>
        <v>0.66846153846153888</v>
      </c>
      <c r="BF10" s="714">
        <f>SUMIF($B:$B,BF$1,$H:$H)/COUNTIF($B:$B,BF$1)</f>
        <v>0.6276923076923081</v>
      </c>
      <c r="BG10" s="714">
        <f>SUMIF($B:$B,BG$1,$H:$H)/COUNTIF($B:$B,BG$1)</f>
        <v>0.33615384615384636</v>
      </c>
      <c r="BH10" s="715">
        <f>AVERAGE(BD10:BG10)</f>
        <v>0.53173076923076956</v>
      </c>
      <c r="BI10" s="714">
        <f>SUMIF($B:$B,BI$1,$H:$H)/COUNTIF($B:$B,BI$1)</f>
        <v>0.21000000000000002</v>
      </c>
      <c r="BJ10" s="714">
        <f>SUMIF($B:$B,BJ$1,$H:$H)/COUNTIF($B:$B,BJ$1)</f>
        <v>0.24923076923076931</v>
      </c>
      <c r="BK10" s="714">
        <f>SUMIF($B:$B,BK$1,$H:$H)/COUNTIF($B:$B,BK$1)</f>
        <v>0.29538461538461552</v>
      </c>
      <c r="BL10" s="714">
        <f>SUMIF($B:$B,BL$1,$H:$H)/COUNTIF($B:$B,BL$1)</f>
        <v>0.32692307692307704</v>
      </c>
      <c r="BM10" s="715">
        <f>AVERAGE(BI10:BL10)</f>
        <v>0.2703846153846155</v>
      </c>
      <c r="BN10" s="714">
        <f>SUMIF($B:$B,BN$1,$H:$H)/COUNTIF($B:$B,BN$1)</f>
        <v>0.34923076923076934</v>
      </c>
      <c r="BO10" s="714">
        <f>SUMIF($B:$B,BO$1,$H:$H)/COUNTIF($B:$B,BO$1)</f>
        <v>0.37923076923076948</v>
      </c>
      <c r="BP10" s="714">
        <f>SUMIF($B:$B,BP$1,$H:$H)/COUNTIF($B:$B,BP$1)</f>
        <v>0.36461538461538479</v>
      </c>
      <c r="BQ10" s="714">
        <f>SUMIF($B:$B,BQ$1,$H:$H)/COUNTIF($B:$B,BQ$1)</f>
        <v>0.40846153846153865</v>
      </c>
      <c r="BR10" s="715">
        <f>AVERAGE(BN10:BQ10)</f>
        <v>0.37538461538461559</v>
      </c>
      <c r="BS10" s="714">
        <f>SUMIF($B:$B,BS$1,$H:$H)/COUNTIF($B:$B,BS$1)</f>
        <v>0.50692307692307714</v>
      </c>
      <c r="BT10" s="714">
        <f>SUMIF($B:$B,BT$1,$H:$H)/COUNTIF($B:$B,BT$1)</f>
        <v>0.57692307692307732</v>
      </c>
      <c r="BU10" s="714">
        <f>SUMIF($B:$B,BU$1,$H:$H)/COUNTIF($B:$B,BU$1)</f>
        <v>0.54538461538461569</v>
      </c>
      <c r="BV10" s="714">
        <f>SUMIF($B:$B,BV$1,$H:$H)/COUNTIF($B:$B,BV$1)</f>
        <v>0.54846153846153878</v>
      </c>
      <c r="BW10" s="715">
        <f>AVERAGE(BS10:BV10)</f>
        <v>0.54442307692307712</v>
      </c>
      <c r="BX10" s="714">
        <f>SUMIF($B:$B,BX$1,$H:$H)/COUNTIF($B:$B,BX$1)</f>
        <v>0.57230769230769263</v>
      </c>
      <c r="BY10" s="714">
        <f>SUMIF($B:$B,BY$1,$H:$H)/COUNTIF($B:$B,BY$1)</f>
        <v>0.55923076923076942</v>
      </c>
      <c r="BZ10" s="714">
        <f>SUMIF($B:$B,BZ$1,$H:$H)/COUNTIF($B:$B,BZ$1)</f>
        <v>0.56538461538461582</v>
      </c>
      <c r="CA10" s="714">
        <f>SUMIF($B:$B,CA$1,$H:$H)/COUNTIF($B:$B,CA$1)</f>
        <v>0.57642857142857173</v>
      </c>
      <c r="CB10" s="715">
        <f>AVERAGE(BX10:CA10)</f>
        <v>0.5683379120879124</v>
      </c>
      <c r="CC10" s="714">
        <f>SUMIF($B:$B,CC$1,$H:$H)/COUNTIF($B:$B,CC$1)</f>
        <v>0.58250000000000035</v>
      </c>
      <c r="CD10" s="714">
        <f>SUMIF($B:$B,CD$1,$H:$H)/COUNTIF($B:$B,CD$1)</f>
        <v>0.54846153846153867</v>
      </c>
      <c r="CE10" s="714">
        <f>SUMIF($B:$B,CE$1,$H:$H)/COUNTIF($B:$B,CE$1)</f>
        <v>0.55857142857142883</v>
      </c>
      <c r="CF10" s="714">
        <f>CE10</f>
        <v>0.55857142857142883</v>
      </c>
      <c r="CG10" s="715">
        <f>AVERAGE(CC10:CF10)</f>
        <v>0.56202609890109911</v>
      </c>
      <c r="CH10" s="714">
        <f>SUMIF($B:$B,CH$1,$H:$H)/COUNTIF($B:$B,CH$1)</f>
        <v>0.56923076923076943</v>
      </c>
      <c r="CI10" s="714">
        <f>SUMIF($B:$B,CI$1,$H:$H)/COUNTIF($B:$B,CI$1)</f>
        <v>0.56153846153846199</v>
      </c>
      <c r="CJ10" s="714">
        <f>SUMIF($B:$B,CJ$1,$H:$H)/COUNTIF($B:$B,CJ$1)</f>
        <v>0.54000000000000015</v>
      </c>
      <c r="CK10" s="714">
        <f>CJ10</f>
        <v>0.54000000000000015</v>
      </c>
      <c r="CL10" s="715">
        <f>AVERAGE(CH10:CK10)</f>
        <v>0.55269230769230793</v>
      </c>
      <c r="CM10" s="714">
        <f>SUMIF($B:$B,CM$1,$H:$H)/COUNTIF($B:$B,CM$1)</f>
        <v>0.35307692307692329</v>
      </c>
      <c r="CN10" s="714">
        <f>SUMIF($B:$B,CN$1,$H:$H)/COUNTIF($B:$B,CN$1)</f>
        <v>0.34692307692307706</v>
      </c>
      <c r="CO10" s="714">
        <f>SUMIF($B:$B,CO$1,$H:$H)/COUNTIF($B:$B,CO$1)</f>
        <v>0.29538461538461552</v>
      </c>
      <c r="CP10" s="714">
        <f>CO10</f>
        <v>0.29538461538461552</v>
      </c>
      <c r="CQ10" s="715">
        <f>AVERAGE(CM10:CP10)</f>
        <v>0.32269230769230789</v>
      </c>
      <c r="CR10" s="714">
        <f>SUMIF($B:$B,CR$1,$H:$H)/COUNTIF($B:$B,CR$1)</f>
        <v>0.18769230769230771</v>
      </c>
      <c r="CS10" s="714">
        <f>SUMIF($B:$B,CS$1,$H:$H)/COUNTIF($B:$B,CS$1)</f>
        <v>0.23923076923076933</v>
      </c>
      <c r="CT10" s="714">
        <f>SUMIF($B:$B,CT$1,$H:$H)/COUNTIF($B:$B,CT$1)</f>
        <v>7.7692307692307713E-2</v>
      </c>
      <c r="CU10" s="714">
        <f>CT10</f>
        <v>7.7692307692307713E-2</v>
      </c>
      <c r="CV10" s="715">
        <f>AVERAGE(CR10:CU10)</f>
        <v>0.14557692307692313</v>
      </c>
      <c r="CW10" s="714">
        <f>SUMIF($B:$B,CW$1,$H:$H)/COUNTIF($B:$B,CW$1)</f>
        <v>0</v>
      </c>
      <c r="CX10" s="714">
        <f>SUMIF($B:$B,CX$1,$H:$H)/COUNTIF($B:$B,CX$1)</f>
        <v>0</v>
      </c>
      <c r="CY10" s="714">
        <f>SUMIF($B:$B,CY$1,$H:$H)/COUNTIF($B:$B,CY$1)</f>
        <v>0</v>
      </c>
      <c r="CZ10" s="714">
        <f>CY10</f>
        <v>0</v>
      </c>
      <c r="DA10" s="715">
        <f>AVERAGE(CW10:CZ10)</f>
        <v>0</v>
      </c>
      <c r="DB10" s="714">
        <f>SUMIF($B:$B,DB$1,$H:$H)/COUNTIF($B:$B,DB$1)</f>
        <v>0</v>
      </c>
      <c r="DC10" s="714">
        <f>SUMIF($B:$B,DC$1,$H:$H)/COUNTIF($B:$B,DC$1)</f>
        <v>0</v>
      </c>
      <c r="DD10" s="714">
        <f>SUMIF($B:$B,DD$1,$H:$H)/COUNTIF($B:$B,DD$1)</f>
        <v>0</v>
      </c>
      <c r="DE10" s="714">
        <f>DD10</f>
        <v>0</v>
      </c>
      <c r="DF10" s="715">
        <f>AVERAGE(DB10:DE10)</f>
        <v>0</v>
      </c>
      <c r="DG10" s="714">
        <f>SUMIF($B:$B,DG$1,$H:$H)/COUNTIF($B:$B,DG$1)</f>
        <v>0</v>
      </c>
      <c r="DH10" s="714">
        <f>SUMIF($B:$B,DH$1,$H:$H)/COUNTIF($B:$B,DH$1)</f>
        <v>0</v>
      </c>
      <c r="DI10" s="714">
        <f>SUMIF($B:$B,DI$1,$H:$H)/COUNTIF($B:$B,DI$1)</f>
        <v>0</v>
      </c>
      <c r="DJ10" s="714">
        <f>DI10</f>
        <v>0</v>
      </c>
      <c r="DK10" s="715">
        <f>AVERAGE(DG10:DJ10)</f>
        <v>0</v>
      </c>
      <c r="DL10" s="714">
        <f>SUMIF($B:$B,DL$1,$H:$H)/COUNTIF($B:$B,DL$1)</f>
        <v>0</v>
      </c>
      <c r="DM10" s="714">
        <f>SUMIF($B:$B,DM$1,$H:$H)/COUNTIF($B:$B,DM$1)</f>
        <v>0</v>
      </c>
      <c r="DN10" s="714">
        <f>SUMIF($B:$B,DN$1,$H:$H)/COUNTIF($B:$B,DN$1)</f>
        <v>0</v>
      </c>
      <c r="DO10" s="714">
        <f>DN10</f>
        <v>0</v>
      </c>
      <c r="DP10" s="715">
        <f>AVERAGE(DL10:DO10)</f>
        <v>0</v>
      </c>
    </row>
    <row r="11" spans="1:120" x14ac:dyDescent="0.2">
      <c r="A11" s="709">
        <f t="shared" si="3"/>
        <v>36557</v>
      </c>
      <c r="B11" s="709" t="str">
        <f t="shared" si="0"/>
        <v>1Q00</v>
      </c>
      <c r="C11" s="709" t="str">
        <f t="shared" si="4"/>
        <v>2Q00</v>
      </c>
      <c r="D11" s="710">
        <f t="shared" si="5"/>
        <v>36630</v>
      </c>
      <c r="E11" s="710">
        <f t="shared" si="5"/>
        <v>36570</v>
      </c>
      <c r="F11" s="712">
        <v>1.456</v>
      </c>
      <c r="G11" s="713">
        <f t="shared" si="1"/>
        <v>7.0000000000000007E-2</v>
      </c>
      <c r="H11" s="713">
        <f t="shared" si="2"/>
        <v>7.0000000000000007E-2</v>
      </c>
      <c r="I11" s="713">
        <f t="shared" si="8"/>
        <v>1.4500000000000002</v>
      </c>
      <c r="J11" s="713">
        <f t="shared" si="6"/>
        <v>1.5000000000000002</v>
      </c>
      <c r="K11" s="713">
        <f t="shared" si="9"/>
        <v>7.0000000000000007E-2</v>
      </c>
      <c r="L11" s="697"/>
      <c r="M11" s="697" t="s">
        <v>391</v>
      </c>
      <c r="N11" s="697">
        <f t="shared" si="7"/>
        <v>8</v>
      </c>
      <c r="O11" s="697">
        <v>3</v>
      </c>
      <c r="P11" s="716"/>
      <c r="Q11" s="714">
        <f t="shared" ref="Q11:CB11" si="14">Q9-Q10</f>
        <v>-7.6923076923077205E-4</v>
      </c>
      <c r="R11" s="714">
        <f t="shared" si="14"/>
        <v>-2.3076923076923161E-3</v>
      </c>
      <c r="S11" s="714">
        <f t="shared" si="14"/>
        <v>1.5384615384615302E-3</v>
      </c>
      <c r="T11" s="715">
        <f t="shared" si="14"/>
        <v>-5.1282051282051933E-4</v>
      </c>
      <c r="U11" s="716">
        <f t="shared" si="14"/>
        <v>2.3076923076923023E-3</v>
      </c>
      <c r="V11" s="714">
        <f t="shared" si="14"/>
        <v>-7.6923076923077205E-4</v>
      </c>
      <c r="W11" s="714">
        <f t="shared" si="14"/>
        <v>7.6923076923077205E-4</v>
      </c>
      <c r="X11" s="714">
        <f t="shared" si="14"/>
        <v>2.8571428571428602E-3</v>
      </c>
      <c r="Y11" s="715">
        <f t="shared" si="14"/>
        <v>1.291208791208788E-3</v>
      </c>
      <c r="Z11" s="716">
        <f t="shared" si="14"/>
        <v>-1.666666666666667E-3</v>
      </c>
      <c r="AA11" s="714">
        <f t="shared" si="14"/>
        <v>0</v>
      </c>
      <c r="AB11" s="714">
        <f t="shared" si="14"/>
        <v>-2.8571428571428636E-3</v>
      </c>
      <c r="AC11" s="714">
        <f t="shared" si="14"/>
        <v>-7.6923076923075817E-4</v>
      </c>
      <c r="AD11" s="715">
        <f t="shared" si="14"/>
        <v>-1.3232600732600783E-3</v>
      </c>
      <c r="AE11" s="716">
        <f t="shared" si="14"/>
        <v>-7.6923076923081368E-4</v>
      </c>
      <c r="AF11" s="714">
        <f t="shared" si="14"/>
        <v>2.3076923076923161E-3</v>
      </c>
      <c r="AG11" s="714">
        <f t="shared" si="14"/>
        <v>0</v>
      </c>
      <c r="AH11" s="714">
        <f t="shared" si="14"/>
        <v>-1.5384615384615302E-3</v>
      </c>
      <c r="AI11" s="715">
        <f t="shared" si="14"/>
        <v>0</v>
      </c>
      <c r="AJ11" s="716">
        <f t="shared" si="14"/>
        <v>-1.5384615384615441E-3</v>
      </c>
      <c r="AK11" s="714">
        <f t="shared" si="14"/>
        <v>-1.538461538461558E-3</v>
      </c>
      <c r="AL11" s="714">
        <f t="shared" si="14"/>
        <v>-5.3846153846153766E-3</v>
      </c>
      <c r="AM11" s="714">
        <f t="shared" si="14"/>
        <v>1.5384615384615441E-3</v>
      </c>
      <c r="AN11" s="715">
        <f t="shared" si="14"/>
        <v>-1.7307692307692302E-3</v>
      </c>
      <c r="AO11" s="716">
        <f t="shared" si="14"/>
        <v>-5.3846153846154043E-3</v>
      </c>
      <c r="AP11" s="714">
        <f t="shared" si="14"/>
        <v>0</v>
      </c>
      <c r="AQ11" s="714">
        <f t="shared" si="14"/>
        <v>-1.2307692307692353E-2</v>
      </c>
      <c r="AR11" s="714">
        <f t="shared" si="14"/>
        <v>1.0769230769230809E-2</v>
      </c>
      <c r="AS11" s="715">
        <f t="shared" si="14"/>
        <v>-1.7307692307692024E-3</v>
      </c>
      <c r="AT11" s="716">
        <f t="shared" si="14"/>
        <v>-3.0769230769230882E-3</v>
      </c>
      <c r="AU11" s="714">
        <f t="shared" si="14"/>
        <v>-3.8461538461538325E-3</v>
      </c>
      <c r="AV11" s="714">
        <f t="shared" si="14"/>
        <v>5.3846153846153766E-3</v>
      </c>
      <c r="AW11" s="714">
        <f t="shared" si="14"/>
        <v>-7.6923076923074429E-4</v>
      </c>
      <c r="AX11" s="715">
        <f t="shared" si="14"/>
        <v>-5.7692307692303046E-4</v>
      </c>
      <c r="AY11" s="716">
        <f t="shared" si="14"/>
        <v>-3.0769230769230882E-3</v>
      </c>
      <c r="AZ11" s="714">
        <f t="shared" si="14"/>
        <v>-7.6923076923085532E-4</v>
      </c>
      <c r="BA11" s="714">
        <f t="shared" si="14"/>
        <v>-3.0769230769230882E-3</v>
      </c>
      <c r="BB11" s="714">
        <f t="shared" si="14"/>
        <v>-5.0000000000000044E-3</v>
      </c>
      <c r="BC11" s="715">
        <f t="shared" si="14"/>
        <v>-2.9807692307692313E-3</v>
      </c>
      <c r="BD11" s="716">
        <f t="shared" si="14"/>
        <v>-9.2307692307692091E-3</v>
      </c>
      <c r="BE11" s="714">
        <f t="shared" si="14"/>
        <v>-1.1538461538461497E-2</v>
      </c>
      <c r="BF11" s="714">
        <f t="shared" si="14"/>
        <v>1.3076923076923097E-2</v>
      </c>
      <c r="BG11" s="714">
        <f t="shared" si="14"/>
        <v>2.4615384615384595E-2</v>
      </c>
      <c r="BH11" s="715">
        <f t="shared" si="14"/>
        <v>4.2307692307692601E-3</v>
      </c>
      <c r="BI11" s="716">
        <f t="shared" si="14"/>
        <v>7.692307692307998E-4</v>
      </c>
      <c r="BJ11" s="714">
        <f t="shared" si="14"/>
        <v>-5.3846153846154043E-3</v>
      </c>
      <c r="BK11" s="714">
        <f t="shared" si="14"/>
        <v>0</v>
      </c>
      <c r="BL11" s="714">
        <f t="shared" si="14"/>
        <v>-3.0769230769230327E-3</v>
      </c>
      <c r="BM11" s="715">
        <f t="shared" si="14"/>
        <v>-1.9230769230769718E-3</v>
      </c>
      <c r="BN11" s="716">
        <f t="shared" si="14"/>
        <v>-3.8461538461538325E-3</v>
      </c>
      <c r="BO11" s="714">
        <f t="shared" si="14"/>
        <v>1.5384615384614331E-3</v>
      </c>
      <c r="BP11" s="714">
        <f t="shared" si="14"/>
        <v>-1.5384615384615441E-3</v>
      </c>
      <c r="BQ11" s="714">
        <f t="shared" si="14"/>
        <v>-4.6153846153845768E-3</v>
      </c>
      <c r="BR11" s="715">
        <f t="shared" si="14"/>
        <v>-2.1153846153846856E-3</v>
      </c>
      <c r="BS11" s="716">
        <f t="shared" si="14"/>
        <v>-9.9999999999998979E-3</v>
      </c>
      <c r="BT11" s="714">
        <f t="shared" si="14"/>
        <v>1.5384615384614886E-3</v>
      </c>
      <c r="BU11" s="714">
        <f t="shared" si="14"/>
        <v>2.3076923076922329E-3</v>
      </c>
      <c r="BV11" s="714">
        <f t="shared" si="14"/>
        <v>-7.6923076923085532E-4</v>
      </c>
      <c r="BW11" s="715">
        <f t="shared" si="14"/>
        <v>-1.7307692307690914E-3</v>
      </c>
      <c r="BX11" s="716">
        <f t="shared" si="14"/>
        <v>-5.3846153846154321E-3</v>
      </c>
      <c r="BY11" s="714">
        <f t="shared" si="14"/>
        <v>7.692307692307887E-3</v>
      </c>
      <c r="BZ11" s="714">
        <f t="shared" si="14"/>
        <v>-6.9230769230769207E-3</v>
      </c>
      <c r="CA11" s="714">
        <f t="shared" si="14"/>
        <v>2.142857142857113E-3</v>
      </c>
      <c r="CB11" s="715">
        <f t="shared" si="14"/>
        <v>-6.1813186813186594E-4</v>
      </c>
      <c r="CC11" s="716">
        <f t="shared" ref="CC11:CV11" si="15">CC9-CC10</f>
        <v>-8.3333333333335258E-4</v>
      </c>
      <c r="CD11" s="714">
        <f t="shared" si="15"/>
        <v>2.3076923076923439E-3</v>
      </c>
      <c r="CE11" s="714">
        <f t="shared" si="15"/>
        <v>-7.1428571428566734E-4</v>
      </c>
      <c r="CF11" s="714">
        <f t="shared" si="15"/>
        <v>-1.0109890109890052E-2</v>
      </c>
      <c r="CG11" s="715">
        <f t="shared" si="15"/>
        <v>-2.3374542124540154E-3</v>
      </c>
      <c r="CH11" s="716">
        <f t="shared" si="15"/>
        <v>-7.6923076923074429E-4</v>
      </c>
      <c r="CI11" s="714">
        <f t="shared" si="15"/>
        <v>7.6923076923074429E-4</v>
      </c>
      <c r="CJ11" s="714">
        <f t="shared" si="15"/>
        <v>3.0769230769230882E-3</v>
      </c>
      <c r="CK11" s="714">
        <f t="shared" si="15"/>
        <v>-5.1538461538461533E-2</v>
      </c>
      <c r="CL11" s="715">
        <f t="shared" si="15"/>
        <v>-1.2115384615384639E-2</v>
      </c>
      <c r="CM11" s="716">
        <f t="shared" si="15"/>
        <v>5.3846153846153766E-3</v>
      </c>
      <c r="CN11" s="714">
        <f t="shared" si="15"/>
        <v>-7.6923076923074429E-4</v>
      </c>
      <c r="CO11" s="714">
        <f t="shared" si="15"/>
        <v>5.3846153846153766E-3</v>
      </c>
      <c r="CP11" s="714">
        <f t="shared" si="15"/>
        <v>-3.4615384615384659E-2</v>
      </c>
      <c r="CQ11" s="715">
        <f t="shared" si="15"/>
        <v>-6.1538461538461764E-3</v>
      </c>
      <c r="CR11" s="716">
        <f t="shared" si="15"/>
        <v>1.5384615384615441E-3</v>
      </c>
      <c r="CS11" s="714">
        <f t="shared" si="15"/>
        <v>-4.6153846153846323E-3</v>
      </c>
      <c r="CT11" s="714">
        <f t="shared" si="15"/>
        <v>0.17384615384615387</v>
      </c>
      <c r="CU11" s="714">
        <f t="shared" si="15"/>
        <v>0.18923076923076926</v>
      </c>
      <c r="CV11" s="715">
        <f t="shared" si="15"/>
        <v>0.09</v>
      </c>
      <c r="CW11" s="716">
        <f t="shared" ref="CW11:DF11" si="16">CW9-CW10</f>
        <v>0.28846153846153855</v>
      </c>
      <c r="CX11" s="714">
        <f t="shared" si="16"/>
        <v>0.28461538461538471</v>
      </c>
      <c r="CY11" s="714">
        <f t="shared" si="16"/>
        <v>0.29769230769230781</v>
      </c>
      <c r="CZ11" s="714">
        <f t="shared" si="16"/>
        <v>0.34846153846153871</v>
      </c>
      <c r="DA11" s="715">
        <f t="shared" si="16"/>
        <v>0.30480769230769245</v>
      </c>
      <c r="DB11" s="716">
        <f t="shared" si="16"/>
        <v>0.37846153846153868</v>
      </c>
      <c r="DC11" s="714">
        <f t="shared" si="16"/>
        <v>0.39692307692307721</v>
      </c>
      <c r="DD11" s="714">
        <f t="shared" si="16"/>
        <v>0.4000000000000003</v>
      </c>
      <c r="DE11" s="714">
        <f t="shared" si="16"/>
        <v>0.4000000000000003</v>
      </c>
      <c r="DF11" s="715">
        <f t="shared" si="16"/>
        <v>0.39384615384615412</v>
      </c>
      <c r="DG11" s="716">
        <f t="shared" ref="DG11:DP11" si="17">DG9-DG10</f>
        <v>0.4000000000000003</v>
      </c>
      <c r="DH11" s="714">
        <f t="shared" si="17"/>
        <v>0.4000000000000003</v>
      </c>
      <c r="DI11" s="714">
        <f t="shared" si="17"/>
        <v>0.4000000000000003</v>
      </c>
      <c r="DJ11" s="714">
        <f t="shared" si="17"/>
        <v>0.4000000000000003</v>
      </c>
      <c r="DK11" s="715">
        <f t="shared" si="17"/>
        <v>0.4000000000000003</v>
      </c>
      <c r="DL11" s="716">
        <f t="shared" si="17"/>
        <v>0.4000000000000003</v>
      </c>
      <c r="DM11" s="714">
        <f t="shared" si="17"/>
        <v>0.4000000000000003</v>
      </c>
      <c r="DN11" s="714">
        <f t="shared" si="17"/>
        <v>0.4000000000000003</v>
      </c>
      <c r="DO11" s="714">
        <f t="shared" si="17"/>
        <v>0.4000000000000003</v>
      </c>
      <c r="DP11" s="715">
        <f t="shared" si="17"/>
        <v>0.4000000000000003</v>
      </c>
    </row>
    <row r="12" spans="1:120" x14ac:dyDescent="0.2">
      <c r="A12" s="709">
        <f t="shared" si="3"/>
        <v>36557</v>
      </c>
      <c r="B12" s="709" t="str">
        <f t="shared" si="0"/>
        <v>1Q00</v>
      </c>
      <c r="C12" s="709" t="str">
        <f t="shared" si="4"/>
        <v>2Q00</v>
      </c>
      <c r="D12" s="710">
        <f t="shared" si="5"/>
        <v>36637</v>
      </c>
      <c r="E12" s="710">
        <f t="shared" si="5"/>
        <v>36577</v>
      </c>
      <c r="F12" s="712">
        <v>1.456</v>
      </c>
      <c r="G12" s="713">
        <f t="shared" si="1"/>
        <v>7.0000000000000007E-2</v>
      </c>
      <c r="H12" s="713">
        <f t="shared" si="2"/>
        <v>7.0000000000000007E-2</v>
      </c>
      <c r="I12" s="713">
        <f t="shared" si="8"/>
        <v>1.5000000000000002</v>
      </c>
      <c r="J12" s="713">
        <f t="shared" si="6"/>
        <v>1.5500000000000003</v>
      </c>
      <c r="K12" s="713">
        <f t="shared" si="9"/>
        <v>0.08</v>
      </c>
      <c r="L12" s="697"/>
      <c r="M12" s="697"/>
      <c r="N12" s="697">
        <f t="shared" si="7"/>
        <v>9</v>
      </c>
      <c r="O12" s="697">
        <v>3</v>
      </c>
      <c r="P12" s="718"/>
      <c r="Q12" s="718"/>
      <c r="R12" s="718"/>
      <c r="S12" s="718"/>
      <c r="T12" s="718"/>
      <c r="U12" s="718"/>
      <c r="V12" s="718"/>
      <c r="W12" s="718"/>
      <c r="X12" s="718"/>
      <c r="Y12" s="718"/>
      <c r="Z12" s="718"/>
      <c r="AA12" s="718"/>
      <c r="AB12" s="718"/>
      <c r="AC12" s="718"/>
      <c r="AD12" s="718"/>
      <c r="AE12" s="718"/>
      <c r="AF12" s="718"/>
      <c r="AG12" s="718"/>
      <c r="AH12" s="718"/>
      <c r="AI12" s="718"/>
      <c r="AJ12" s="718"/>
      <c r="AK12" s="718"/>
      <c r="AL12" s="718"/>
      <c r="AM12" s="718"/>
      <c r="AN12" s="718"/>
      <c r="AO12" s="718"/>
      <c r="AP12" s="718"/>
      <c r="AQ12" s="718"/>
      <c r="AR12" s="718"/>
      <c r="AS12" s="718"/>
      <c r="AT12" s="718"/>
      <c r="AU12" s="718"/>
      <c r="AV12" s="718"/>
      <c r="AW12" s="718"/>
      <c r="AX12" s="718"/>
      <c r="AY12" s="718"/>
      <c r="AZ12" s="718"/>
      <c r="BA12" s="718"/>
      <c r="BB12" s="718"/>
      <c r="BC12" s="718"/>
      <c r="BD12" s="718"/>
      <c r="BE12" s="718"/>
      <c r="BF12" s="718"/>
      <c r="BG12" s="718"/>
      <c r="BH12" s="718"/>
      <c r="BI12" s="718"/>
      <c r="BJ12" s="718"/>
      <c r="BK12" s="718"/>
      <c r="BL12" s="718"/>
      <c r="BM12" s="718"/>
      <c r="BN12" s="718"/>
      <c r="BO12" s="718"/>
      <c r="BP12" s="718"/>
      <c r="BQ12" s="718"/>
      <c r="BR12" s="718"/>
      <c r="BS12" s="718"/>
      <c r="BT12" s="718"/>
      <c r="BU12" s="718"/>
      <c r="BV12" s="718"/>
      <c r="BW12" s="718"/>
      <c r="BX12" s="718"/>
      <c r="BY12" s="718"/>
      <c r="BZ12" s="718"/>
      <c r="CA12" s="718"/>
      <c r="CB12" s="718"/>
      <c r="CC12" s="718"/>
      <c r="CD12" s="718"/>
      <c r="CE12" s="718"/>
      <c r="CF12" s="718"/>
      <c r="CG12" s="718"/>
      <c r="CH12" s="718"/>
      <c r="CI12" s="718"/>
      <c r="CJ12" s="718"/>
      <c r="CK12" s="718"/>
      <c r="CL12" s="718"/>
      <c r="CM12" s="718"/>
      <c r="CN12" s="718"/>
      <c r="CO12" s="718"/>
      <c r="CP12" s="718"/>
      <c r="CQ12" s="718"/>
      <c r="CR12" s="718"/>
      <c r="CS12" s="718"/>
      <c r="CT12" s="718"/>
      <c r="CU12" s="718"/>
      <c r="CV12" s="718"/>
      <c r="CW12" s="718"/>
      <c r="CX12" s="718"/>
      <c r="CY12" s="718"/>
      <c r="CZ12" s="718"/>
      <c r="DA12" s="718"/>
    </row>
    <row r="13" spans="1:120" x14ac:dyDescent="0.2">
      <c r="A13" s="709">
        <f t="shared" si="3"/>
        <v>36557</v>
      </c>
      <c r="B13" s="709" t="str">
        <f t="shared" si="0"/>
        <v>1Q00</v>
      </c>
      <c r="C13" s="709" t="str">
        <f t="shared" si="4"/>
        <v>2Q00</v>
      </c>
      <c r="D13" s="710">
        <f t="shared" si="5"/>
        <v>36644</v>
      </c>
      <c r="E13" s="710">
        <f t="shared" si="5"/>
        <v>36584</v>
      </c>
      <c r="F13" s="712">
        <v>1.4609999999999999</v>
      </c>
      <c r="G13" s="713">
        <f t="shared" si="1"/>
        <v>7.0000000000000007E-2</v>
      </c>
      <c r="H13" s="713">
        <f t="shared" si="2"/>
        <v>7.0000000000000007E-2</v>
      </c>
      <c r="I13" s="713">
        <f t="shared" si="8"/>
        <v>1.5500000000000003</v>
      </c>
      <c r="J13" s="713">
        <f t="shared" si="6"/>
        <v>1.6000000000000003</v>
      </c>
      <c r="K13" s="713">
        <f t="shared" si="9"/>
        <v>0.09</v>
      </c>
      <c r="L13" s="697"/>
      <c r="M13" s="697"/>
      <c r="N13" s="697"/>
      <c r="O13" s="697"/>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row>
    <row r="14" spans="1:120" x14ac:dyDescent="0.2">
      <c r="A14" s="709">
        <f t="shared" si="3"/>
        <v>36586</v>
      </c>
      <c r="B14" s="709" t="str">
        <f t="shared" si="0"/>
        <v>1Q00</v>
      </c>
      <c r="C14" s="709" t="str">
        <f t="shared" si="4"/>
        <v>2Q00</v>
      </c>
      <c r="D14" s="710">
        <f t="shared" si="5"/>
        <v>36651</v>
      </c>
      <c r="E14" s="710">
        <f t="shared" si="5"/>
        <v>36591</v>
      </c>
      <c r="F14" s="712">
        <v>1.49</v>
      </c>
      <c r="G14" s="713">
        <f t="shared" si="1"/>
        <v>7.0000000000000007E-2</v>
      </c>
      <c r="H14" s="713">
        <f t="shared" si="2"/>
        <v>7.0000000000000007E-2</v>
      </c>
      <c r="I14" s="713">
        <f t="shared" si="8"/>
        <v>1.6000000000000003</v>
      </c>
      <c r="J14" s="713">
        <f t="shared" si="6"/>
        <v>1.6500000000000004</v>
      </c>
      <c r="K14" s="713">
        <f t="shared" si="9"/>
        <v>9.9999999999999992E-2</v>
      </c>
      <c r="L14" s="697"/>
      <c r="M14" s="719" t="s">
        <v>494</v>
      </c>
      <c r="N14" s="697">
        <v>10</v>
      </c>
      <c r="O14" s="697">
        <v>4</v>
      </c>
      <c r="P14" s="720">
        <v>3.4703778348620248E-2</v>
      </c>
      <c r="Q14" s="720">
        <v>3.7676961985222544E-2</v>
      </c>
      <c r="R14" s="720">
        <v>4.360774005827802E-2</v>
      </c>
      <c r="S14" s="720">
        <v>6.3166024056111686E-2</v>
      </c>
      <c r="T14" s="720"/>
      <c r="U14" s="720"/>
      <c r="V14" s="720"/>
      <c r="W14" s="720"/>
      <c r="X14" s="720"/>
      <c r="Y14" s="720"/>
      <c r="Z14" s="720"/>
      <c r="AA14" s="720"/>
      <c r="AB14" s="720"/>
      <c r="AC14" s="720"/>
      <c r="AD14" s="720"/>
      <c r="AE14" s="720"/>
      <c r="AF14" s="720"/>
      <c r="AG14" s="720"/>
      <c r="AH14" s="720"/>
      <c r="AI14" s="720"/>
      <c r="AJ14" s="720"/>
      <c r="AK14" s="720"/>
      <c r="AL14" s="720"/>
      <c r="AM14" s="720"/>
      <c r="AN14" s="720"/>
      <c r="AO14" s="720"/>
      <c r="AP14" s="720"/>
      <c r="AQ14" s="720"/>
      <c r="AR14" s="720"/>
      <c r="AS14" s="720"/>
      <c r="AT14" s="720"/>
      <c r="AU14" s="720"/>
      <c r="AV14" s="720"/>
      <c r="AW14" s="720"/>
      <c r="AX14" s="720"/>
      <c r="AY14" s="720"/>
      <c r="AZ14" s="720"/>
      <c r="BA14" s="720"/>
      <c r="BB14" s="720"/>
      <c r="BC14" s="720"/>
      <c r="BD14" s="720"/>
      <c r="BE14" s="720"/>
      <c r="BF14" s="720"/>
      <c r="BG14" s="720"/>
      <c r="BH14" s="720"/>
      <c r="BI14" s="720"/>
      <c r="BJ14" s="720"/>
      <c r="BK14" s="720"/>
      <c r="BL14" s="720"/>
      <c r="BM14" s="720"/>
      <c r="BN14" s="720"/>
      <c r="BO14" s="720"/>
      <c r="BP14" s="720"/>
      <c r="BQ14" s="720"/>
      <c r="BR14" s="720"/>
      <c r="BS14" s="720"/>
      <c r="BT14" s="720"/>
      <c r="BU14" s="720"/>
      <c r="BV14" s="721"/>
      <c r="BW14" s="721"/>
      <c r="BX14" s="721"/>
      <c r="BY14" s="721"/>
      <c r="BZ14" s="721"/>
      <c r="CA14" s="721"/>
      <c r="CB14" s="721"/>
      <c r="CC14" s="721"/>
      <c r="CD14" s="721"/>
      <c r="CE14" s="721"/>
      <c r="CF14" s="721"/>
      <c r="CG14" s="721"/>
      <c r="CH14" s="721"/>
      <c r="CI14" s="721"/>
      <c r="CJ14" s="721"/>
      <c r="CK14" s="721"/>
      <c r="CL14" s="721"/>
      <c r="CM14" s="721"/>
      <c r="CN14" s="721"/>
      <c r="CO14" s="721"/>
      <c r="CP14" s="721"/>
      <c r="CQ14" s="721"/>
      <c r="CR14" s="721"/>
      <c r="CS14" s="721"/>
      <c r="CT14" s="721"/>
      <c r="CU14" s="721"/>
      <c r="CV14" s="721"/>
      <c r="CW14" s="721"/>
      <c r="CX14" s="721"/>
      <c r="CY14" s="721"/>
      <c r="CZ14" s="721"/>
      <c r="DA14" s="721"/>
    </row>
    <row r="15" spans="1:120" hidden="1" outlineLevel="1" x14ac:dyDescent="0.2">
      <c r="A15" s="709">
        <f t="shared" si="3"/>
        <v>36586</v>
      </c>
      <c r="B15" s="709" t="str">
        <f t="shared" si="0"/>
        <v>1Q00</v>
      </c>
      <c r="C15" s="709" t="str">
        <f t="shared" si="4"/>
        <v>2Q00</v>
      </c>
      <c r="D15" s="710">
        <f t="shared" si="5"/>
        <v>36658</v>
      </c>
      <c r="E15" s="710">
        <f t="shared" si="5"/>
        <v>36598</v>
      </c>
      <c r="F15" s="712">
        <v>1.496</v>
      </c>
      <c r="G15" s="713">
        <f t="shared" si="1"/>
        <v>7.0000000000000007E-2</v>
      </c>
      <c r="H15" s="713">
        <f t="shared" si="2"/>
        <v>7.0000000000000007E-2</v>
      </c>
      <c r="I15" s="713">
        <f t="shared" si="8"/>
        <v>1.6500000000000004</v>
      </c>
      <c r="J15" s="713">
        <f t="shared" si="6"/>
        <v>1.7000000000000004</v>
      </c>
      <c r="K15" s="713">
        <f t="shared" si="9"/>
        <v>0.10999999999999999</v>
      </c>
      <c r="L15" s="697"/>
      <c r="M15" s="700"/>
      <c r="N15" s="700">
        <f>N14+1</f>
        <v>11</v>
      </c>
      <c r="O15" s="700">
        <v>4</v>
      </c>
      <c r="P15" s="722"/>
      <c r="Q15" s="722"/>
      <c r="R15" s="722"/>
      <c r="S15" s="722"/>
      <c r="T15" s="722"/>
      <c r="U15" s="722"/>
      <c r="V15" s="722"/>
      <c r="W15" s="722"/>
      <c r="X15" s="722"/>
      <c r="Y15" s="722"/>
      <c r="Z15" s="722"/>
      <c r="AA15" s="722"/>
      <c r="AB15" s="722"/>
      <c r="AC15" s="722"/>
      <c r="AD15" s="722"/>
      <c r="AE15" s="722"/>
      <c r="AF15" s="722"/>
      <c r="AG15" s="722"/>
      <c r="AH15" s="722"/>
      <c r="AI15" s="722"/>
      <c r="AJ15" s="722"/>
      <c r="AK15" s="722"/>
      <c r="AL15" s="722"/>
      <c r="AM15" s="722"/>
      <c r="AN15" s="722"/>
      <c r="AO15" s="722"/>
      <c r="AP15" s="722"/>
      <c r="AQ15" s="722"/>
      <c r="AR15" s="722"/>
      <c r="AS15" s="722"/>
      <c r="AT15" s="722"/>
      <c r="AU15" s="722"/>
      <c r="AV15" s="722"/>
      <c r="AW15" s="722"/>
      <c r="AX15" s="722"/>
      <c r="AY15" s="722"/>
      <c r="AZ15" s="722"/>
      <c r="BA15" s="722"/>
      <c r="BB15" s="722"/>
      <c r="BC15" s="722"/>
      <c r="BD15" s="722"/>
      <c r="BE15" s="722"/>
      <c r="BF15" s="722"/>
      <c r="BG15" s="722"/>
      <c r="BH15" s="722"/>
      <c r="BI15" s="722"/>
      <c r="BJ15" s="722"/>
      <c r="BK15" s="722"/>
      <c r="BL15" s="722"/>
      <c r="BM15" s="722"/>
      <c r="BN15" s="722"/>
      <c r="BO15" s="722"/>
      <c r="BP15" s="722"/>
      <c r="BQ15" s="722"/>
      <c r="BR15" s="722"/>
      <c r="BS15" s="722"/>
      <c r="BT15" s="722"/>
      <c r="BU15" s="722"/>
      <c r="BV15" s="722"/>
      <c r="BW15" s="722"/>
      <c r="BX15" s="722"/>
      <c r="BY15" s="722"/>
      <c r="BZ15" s="722"/>
      <c r="CA15" s="722"/>
      <c r="CB15" s="722"/>
      <c r="CC15" s="722"/>
      <c r="CD15" s="722"/>
      <c r="CE15" s="722"/>
      <c r="CF15" s="722"/>
      <c r="CG15" s="722"/>
      <c r="CH15" s="722"/>
      <c r="CI15" s="722"/>
      <c r="CJ15" s="722"/>
      <c r="CK15" s="722"/>
      <c r="CL15" s="722"/>
      <c r="CM15" s="722"/>
      <c r="CN15" s="722"/>
      <c r="CO15" s="722"/>
      <c r="CP15" s="722"/>
      <c r="CQ15" s="722"/>
      <c r="CR15" s="722"/>
      <c r="CS15" s="722"/>
      <c r="CT15" s="722"/>
      <c r="CU15" s="722"/>
      <c r="CV15" s="722"/>
      <c r="CW15" s="722"/>
      <c r="CX15" s="722"/>
      <c r="CY15" s="722"/>
      <c r="CZ15" s="722"/>
      <c r="DA15" s="722"/>
    </row>
    <row r="16" spans="1:120" hidden="1" outlineLevel="1" x14ac:dyDescent="0.2">
      <c r="A16" s="709">
        <f t="shared" si="3"/>
        <v>36586</v>
      </c>
      <c r="B16" s="709" t="str">
        <f t="shared" si="0"/>
        <v>1Q00</v>
      </c>
      <c r="C16" s="709" t="str">
        <f t="shared" si="4"/>
        <v>2Q00</v>
      </c>
      <c r="D16" s="710">
        <f t="shared" si="5"/>
        <v>36665</v>
      </c>
      <c r="E16" s="710">
        <f t="shared" si="5"/>
        <v>36605</v>
      </c>
      <c r="F16" s="712">
        <v>1.4790000000000001</v>
      </c>
      <c r="G16" s="713">
        <f t="shared" si="1"/>
        <v>7.0000000000000007E-2</v>
      </c>
      <c r="H16" s="713">
        <f t="shared" si="2"/>
        <v>7.0000000000000007E-2</v>
      </c>
      <c r="I16" s="713">
        <f t="shared" si="8"/>
        <v>1.7000000000000004</v>
      </c>
      <c r="J16" s="713">
        <f t="shared" si="6"/>
        <v>1.7500000000000004</v>
      </c>
      <c r="K16" s="713">
        <f t="shared" si="9"/>
        <v>0.11999999999999998</v>
      </c>
      <c r="L16" s="697"/>
      <c r="M16" s="697"/>
      <c r="N16" s="697">
        <f>N15+1</f>
        <v>12</v>
      </c>
      <c r="O16" s="697">
        <v>4</v>
      </c>
      <c r="P16" s="2"/>
      <c r="Q16" s="723"/>
      <c r="R16" s="723"/>
      <c r="S16" s="723"/>
      <c r="T16" s="723"/>
      <c r="U16" s="723"/>
      <c r="V16" s="723"/>
      <c r="W16" s="723"/>
      <c r="X16" s="723"/>
      <c r="Y16" s="723"/>
      <c r="Z16" s="723"/>
      <c r="AA16" s="723"/>
      <c r="AB16" s="723"/>
      <c r="AC16" s="723"/>
      <c r="AD16" s="723"/>
      <c r="AE16" s="723"/>
      <c r="AF16" s="723"/>
      <c r="AG16" s="723"/>
      <c r="AH16" s="723"/>
      <c r="AI16" s="723"/>
      <c r="AJ16" s="723"/>
      <c r="AK16" s="723"/>
      <c r="AL16" s="723"/>
      <c r="AM16" s="723"/>
      <c r="AN16" s="723"/>
      <c r="AO16" s="723"/>
      <c r="AP16" s="723"/>
      <c r="AQ16" s="723"/>
      <c r="AR16" s="723"/>
      <c r="AS16" s="723"/>
      <c r="AT16" s="723"/>
      <c r="AU16" s="723"/>
      <c r="AV16" s="723"/>
      <c r="AW16" s="723"/>
      <c r="AX16" s="723"/>
      <c r="AY16" s="723"/>
      <c r="AZ16" s="723"/>
      <c r="BA16" s="723"/>
      <c r="BB16" s="723"/>
      <c r="BC16" s="723"/>
      <c r="BD16" s="723"/>
      <c r="BE16" s="723"/>
      <c r="BF16" s="723"/>
      <c r="BG16" s="723"/>
      <c r="BH16" s="723"/>
      <c r="BI16" s="723"/>
      <c r="BJ16" s="723"/>
      <c r="BK16" s="723"/>
      <c r="BL16" s="723"/>
      <c r="BM16" s="723"/>
      <c r="BN16" s="723"/>
      <c r="BO16" s="723"/>
      <c r="BP16" s="723"/>
      <c r="BQ16" s="723"/>
      <c r="BR16" s="723"/>
      <c r="BS16" s="723"/>
      <c r="BT16" s="723"/>
      <c r="BU16" s="723"/>
      <c r="BV16" s="723"/>
      <c r="BW16" s="723"/>
      <c r="BX16" s="723"/>
      <c r="BY16" s="723"/>
      <c r="BZ16" s="723"/>
      <c r="CA16" s="723"/>
      <c r="CB16" s="723"/>
      <c r="CC16" s="723"/>
      <c r="CD16" s="723"/>
      <c r="CE16" s="723"/>
      <c r="CF16" s="723"/>
      <c r="CG16" s="723"/>
      <c r="CH16" s="723"/>
      <c r="CI16" s="723"/>
      <c r="CJ16" s="723"/>
      <c r="CK16" s="723"/>
      <c r="CL16" s="723"/>
      <c r="CM16" s="723"/>
      <c r="CN16" s="723"/>
      <c r="CO16" s="723"/>
      <c r="CP16" s="723"/>
      <c r="CQ16" s="723"/>
      <c r="CR16" s="723"/>
      <c r="CS16" s="723"/>
      <c r="CT16" s="723"/>
      <c r="CU16" s="723"/>
      <c r="CV16" s="723"/>
      <c r="CW16" s="723"/>
      <c r="CX16" s="723"/>
      <c r="CY16" s="723"/>
      <c r="CZ16" s="723"/>
      <c r="DA16" s="723"/>
    </row>
    <row r="17" spans="1:105" hidden="1" outlineLevel="1" x14ac:dyDescent="0.2">
      <c r="A17" s="709">
        <f t="shared" si="3"/>
        <v>36586</v>
      </c>
      <c r="B17" s="709" t="str">
        <f t="shared" si="0"/>
        <v>1Q00</v>
      </c>
      <c r="C17" s="709" t="str">
        <f t="shared" si="4"/>
        <v>2Q00</v>
      </c>
      <c r="D17" s="710">
        <f t="shared" si="5"/>
        <v>36672</v>
      </c>
      <c r="E17" s="710">
        <f t="shared" si="5"/>
        <v>36612</v>
      </c>
      <c r="F17" s="712">
        <v>1.4509999999999998</v>
      </c>
      <c r="G17" s="713">
        <f t="shared" si="1"/>
        <v>7.0000000000000007E-2</v>
      </c>
      <c r="H17" s="713">
        <f t="shared" si="2"/>
        <v>6.0000000000000005E-2</v>
      </c>
      <c r="I17" s="713">
        <f t="shared" si="8"/>
        <v>1.7500000000000004</v>
      </c>
      <c r="J17" s="713">
        <f t="shared" si="6"/>
        <v>1.8000000000000005</v>
      </c>
      <c r="K17" s="713">
        <f t="shared" si="9"/>
        <v>0.12999999999999998</v>
      </c>
      <c r="L17" s="697"/>
      <c r="M17" s="700"/>
      <c r="N17" s="697"/>
      <c r="O17" s="697"/>
      <c r="P17" s="720"/>
      <c r="Q17" s="720"/>
      <c r="R17" s="720"/>
      <c r="S17" s="720"/>
      <c r="T17" s="720"/>
      <c r="U17" s="720"/>
      <c r="V17" s="720"/>
      <c r="W17" s="720"/>
      <c r="X17" s="720"/>
      <c r="Y17" s="720"/>
      <c r="Z17" s="720"/>
      <c r="AA17" s="720"/>
      <c r="AB17" s="720"/>
      <c r="AC17" s="720"/>
      <c r="AD17" s="720"/>
      <c r="AE17" s="720"/>
      <c r="AF17" s="720"/>
      <c r="AG17" s="720"/>
      <c r="AH17" s="720"/>
      <c r="AI17" s="720"/>
      <c r="AJ17" s="720"/>
      <c r="AK17" s="720"/>
      <c r="AL17" s="720"/>
      <c r="AM17" s="720"/>
      <c r="AN17" s="720"/>
      <c r="AO17" s="720"/>
      <c r="AP17" s="720"/>
      <c r="AQ17" s="720"/>
      <c r="AR17" s="720"/>
      <c r="AS17" s="720"/>
      <c r="AT17" s="720"/>
      <c r="AU17" s="720"/>
      <c r="AV17" s="720"/>
      <c r="AW17" s="720"/>
      <c r="AX17" s="720"/>
      <c r="AY17" s="720"/>
      <c r="AZ17" s="720"/>
      <c r="BA17" s="720"/>
      <c r="BB17" s="720"/>
      <c r="BC17" s="720"/>
      <c r="BD17" s="720"/>
      <c r="BE17" s="720"/>
      <c r="BF17" s="720"/>
      <c r="BG17" s="720"/>
      <c r="BH17" s="720"/>
      <c r="BI17" s="720"/>
      <c r="BJ17" s="720"/>
      <c r="BK17" s="720"/>
      <c r="BL17" s="720"/>
      <c r="BM17" s="720"/>
      <c r="BN17" s="720"/>
      <c r="BO17" s="720"/>
      <c r="BP17" s="720"/>
      <c r="BQ17" s="720"/>
      <c r="BR17" s="720"/>
      <c r="BS17" s="720"/>
      <c r="BT17" s="720"/>
      <c r="BU17" s="697"/>
      <c r="BV17" s="697"/>
      <c r="BW17" s="697"/>
      <c r="BX17" s="697"/>
      <c r="BY17" s="697"/>
      <c r="BZ17" s="697"/>
      <c r="CA17" s="697"/>
      <c r="CB17" s="697"/>
      <c r="CC17" s="697"/>
      <c r="CD17" s="697"/>
      <c r="CE17" s="697"/>
      <c r="CF17" s="697"/>
      <c r="CG17" s="697"/>
      <c r="CH17" s="697"/>
      <c r="CI17" s="697"/>
      <c r="CJ17" s="697"/>
      <c r="CK17" s="697"/>
      <c r="CL17" s="697"/>
      <c r="CM17" s="697"/>
      <c r="CN17" s="697"/>
      <c r="CO17" s="697"/>
      <c r="CP17" s="697"/>
      <c r="CQ17" s="697"/>
      <c r="CR17" s="697"/>
      <c r="CS17" s="697"/>
      <c r="CT17" s="697"/>
      <c r="CU17" s="697"/>
      <c r="CV17" s="697"/>
      <c r="CW17" s="697"/>
      <c r="CX17" s="697"/>
      <c r="CY17" s="697"/>
      <c r="CZ17" s="697"/>
      <c r="DA17" s="697"/>
    </row>
    <row r="18" spans="1:105" hidden="1" outlineLevel="1" x14ac:dyDescent="0.2">
      <c r="A18" s="709">
        <f t="shared" si="3"/>
        <v>36617</v>
      </c>
      <c r="B18" s="709" t="str">
        <f t="shared" si="0"/>
        <v>2Q00</v>
      </c>
      <c r="C18" s="709" t="str">
        <f t="shared" si="4"/>
        <v>2Q00</v>
      </c>
      <c r="D18" s="710">
        <f t="shared" si="5"/>
        <v>36679</v>
      </c>
      <c r="E18" s="710">
        <f t="shared" si="5"/>
        <v>36619</v>
      </c>
      <c r="F18" s="712">
        <v>1.4419999999999999</v>
      </c>
      <c r="G18" s="713">
        <f t="shared" si="1"/>
        <v>6.0000000000000005E-2</v>
      </c>
      <c r="H18" s="713">
        <f t="shared" si="2"/>
        <v>6.0000000000000005E-2</v>
      </c>
      <c r="I18" s="713">
        <f t="shared" si="8"/>
        <v>1.8000000000000005</v>
      </c>
      <c r="J18" s="713">
        <f t="shared" si="6"/>
        <v>1.8500000000000005</v>
      </c>
      <c r="K18" s="713">
        <f t="shared" si="9"/>
        <v>0.13999999999999999</v>
      </c>
      <c r="L18" s="697"/>
      <c r="M18" s="719"/>
      <c r="N18" s="697"/>
      <c r="O18" s="697"/>
      <c r="P18" s="720"/>
      <c r="Q18" s="720"/>
      <c r="R18" s="720"/>
      <c r="S18" s="720"/>
      <c r="T18" s="720"/>
      <c r="U18" s="720"/>
      <c r="V18" s="720"/>
      <c r="W18" s="720"/>
      <c r="X18" s="720"/>
      <c r="Y18" s="720"/>
      <c r="Z18" s="720"/>
      <c r="AA18" s="720"/>
      <c r="AB18" s="720"/>
      <c r="AC18" s="720"/>
      <c r="AD18" s="720"/>
      <c r="AE18" s="720"/>
      <c r="AF18" s="720"/>
      <c r="AG18" s="720"/>
      <c r="AH18" s="720"/>
      <c r="AI18" s="720"/>
      <c r="AJ18" s="720"/>
      <c r="AK18" s="720"/>
      <c r="AL18" s="720"/>
      <c r="AM18" s="720"/>
      <c r="AN18" s="720"/>
      <c r="AO18" s="720"/>
      <c r="AP18" s="720"/>
      <c r="AQ18" s="720"/>
      <c r="AR18" s="720"/>
      <c r="AS18" s="720"/>
      <c r="AT18" s="720"/>
      <c r="AU18" s="720"/>
      <c r="AV18" s="720"/>
      <c r="AW18" s="720"/>
      <c r="AX18" s="720"/>
      <c r="AY18" s="720"/>
      <c r="AZ18" s="720"/>
      <c r="BA18" s="720"/>
      <c r="BB18" s="720"/>
      <c r="BC18" s="720"/>
      <c r="BD18" s="720"/>
      <c r="BE18" s="720"/>
      <c r="BF18" s="720"/>
      <c r="BG18" s="720"/>
      <c r="BH18" s="720"/>
      <c r="BI18" s="720"/>
      <c r="BJ18" s="720"/>
      <c r="BK18" s="720"/>
      <c r="BL18" s="720"/>
      <c r="BM18" s="720"/>
      <c r="BN18" s="720"/>
      <c r="BO18" s="720"/>
      <c r="BP18" s="720"/>
      <c r="BQ18" s="720"/>
      <c r="BR18" s="720"/>
      <c r="BS18" s="720"/>
      <c r="BT18" s="720"/>
      <c r="BU18" s="697"/>
      <c r="BV18" s="697"/>
      <c r="BW18" s="697"/>
      <c r="BX18" s="697"/>
      <c r="BY18" s="697"/>
      <c r="BZ18" s="697"/>
      <c r="CA18" s="697"/>
      <c r="CB18" s="697"/>
      <c r="CC18" s="697"/>
      <c r="CD18" s="697"/>
      <c r="CE18" s="697"/>
      <c r="CF18" s="697"/>
      <c r="CG18" s="697"/>
      <c r="CH18" s="697"/>
      <c r="CI18" s="697"/>
      <c r="CJ18" s="697"/>
      <c r="CK18" s="697"/>
      <c r="CL18" s="697"/>
      <c r="CM18" s="697"/>
      <c r="CN18" s="697"/>
      <c r="CO18" s="697"/>
      <c r="CP18" s="697"/>
      <c r="CQ18" s="697"/>
      <c r="CR18" s="697"/>
      <c r="CS18" s="697"/>
      <c r="CT18" s="697"/>
      <c r="CU18" s="697"/>
      <c r="CV18" s="697"/>
      <c r="CW18" s="697"/>
      <c r="CX18" s="697"/>
      <c r="CY18" s="697"/>
      <c r="CZ18" s="697"/>
      <c r="DA18" s="697"/>
    </row>
    <row r="19" spans="1:105" hidden="1" outlineLevel="1" x14ac:dyDescent="0.2">
      <c r="A19" s="709">
        <f t="shared" si="3"/>
        <v>36617</v>
      </c>
      <c r="B19" s="709" t="str">
        <f t="shared" si="0"/>
        <v>2Q00</v>
      </c>
      <c r="C19" s="709" t="str">
        <f t="shared" si="4"/>
        <v>2Q00</v>
      </c>
      <c r="D19" s="710">
        <f t="shared" si="5"/>
        <v>36686</v>
      </c>
      <c r="E19" s="710">
        <f t="shared" si="5"/>
        <v>36626</v>
      </c>
      <c r="F19" s="712">
        <v>1.419</v>
      </c>
      <c r="G19" s="713">
        <f t="shared" si="1"/>
        <v>6.0000000000000005E-2</v>
      </c>
      <c r="H19" s="713">
        <f t="shared" si="2"/>
        <v>0.05</v>
      </c>
      <c r="I19" s="713">
        <f t="shared" si="8"/>
        <v>1.8500000000000005</v>
      </c>
      <c r="J19" s="713">
        <f t="shared" si="6"/>
        <v>1.9000000000000006</v>
      </c>
      <c r="K19" s="713">
        <f t="shared" si="9"/>
        <v>0.15</v>
      </c>
      <c r="L19" s="697"/>
      <c r="BU19" s="697"/>
      <c r="BV19" s="697"/>
      <c r="BW19" s="697"/>
      <c r="BX19" s="697"/>
      <c r="BY19" s="697"/>
      <c r="BZ19" s="697"/>
      <c r="CA19" s="697"/>
      <c r="CB19" s="697"/>
      <c r="CC19" s="697"/>
      <c r="CD19" s="697"/>
      <c r="CE19" s="697"/>
      <c r="CF19" s="697"/>
      <c r="CG19" s="697"/>
      <c r="CH19" s="697"/>
      <c r="CI19" s="697"/>
      <c r="CJ19" s="697"/>
      <c r="CK19" s="697"/>
      <c r="CL19" s="697"/>
      <c r="CM19" s="697"/>
      <c r="CN19" s="697"/>
      <c r="CO19" s="697"/>
      <c r="CP19" s="697"/>
      <c r="CQ19" s="697"/>
      <c r="CR19" s="697"/>
      <c r="CS19" s="697"/>
      <c r="CT19" s="697"/>
      <c r="CU19" s="697"/>
      <c r="CV19" s="697"/>
      <c r="CW19" s="697"/>
      <c r="CX19" s="697"/>
      <c r="CY19" s="697"/>
      <c r="CZ19" s="697"/>
      <c r="DA19" s="697"/>
    </row>
    <row r="20" spans="1:105" hidden="1" outlineLevel="1" x14ac:dyDescent="0.2">
      <c r="A20" s="709">
        <f t="shared" si="3"/>
        <v>36617</v>
      </c>
      <c r="B20" s="709" t="str">
        <f t="shared" si="0"/>
        <v>2Q00</v>
      </c>
      <c r="C20" s="709" t="str">
        <f t="shared" si="4"/>
        <v>2Q00</v>
      </c>
      <c r="D20" s="710">
        <f t="shared" si="5"/>
        <v>36693</v>
      </c>
      <c r="E20" s="710">
        <f t="shared" si="5"/>
        <v>36633</v>
      </c>
      <c r="F20" s="712">
        <v>1.3980000000000001</v>
      </c>
      <c r="G20" s="713">
        <f t="shared" si="1"/>
        <v>0.05</v>
      </c>
      <c r="H20" s="713">
        <f t="shared" si="2"/>
        <v>6.0000000000000005E-2</v>
      </c>
      <c r="I20" s="713">
        <f t="shared" si="8"/>
        <v>1.9000000000000006</v>
      </c>
      <c r="J20" s="713">
        <f t="shared" si="6"/>
        <v>1.9500000000000006</v>
      </c>
      <c r="K20" s="713">
        <f t="shared" si="9"/>
        <v>0.16</v>
      </c>
      <c r="L20" s="697"/>
      <c r="M20" s="697"/>
      <c r="N20" s="697"/>
      <c r="O20" s="697"/>
      <c r="P20" s="697"/>
      <c r="Q20" s="697"/>
      <c r="R20" s="697"/>
      <c r="S20" s="697"/>
      <c r="T20" s="697"/>
      <c r="U20" s="697"/>
      <c r="V20" s="697"/>
      <c r="W20" s="697"/>
      <c r="X20" s="697"/>
      <c r="Y20" s="697"/>
      <c r="Z20" s="697"/>
      <c r="AA20" s="697"/>
      <c r="AB20" s="697"/>
      <c r="AC20" s="697"/>
      <c r="AD20" s="697"/>
      <c r="AE20" s="697"/>
      <c r="AF20" s="697"/>
      <c r="AG20" s="697"/>
      <c r="AH20" s="697"/>
      <c r="AI20" s="697"/>
      <c r="AJ20" s="697"/>
      <c r="AK20" s="697"/>
      <c r="AL20" s="697"/>
      <c r="AM20" s="697"/>
      <c r="AN20" s="697"/>
      <c r="AO20" s="697"/>
      <c r="AP20" s="697"/>
      <c r="AQ20" s="697"/>
      <c r="AR20" s="697"/>
      <c r="AS20" s="697"/>
      <c r="AT20" s="697"/>
      <c r="AU20" s="697"/>
      <c r="AV20" s="697"/>
      <c r="AW20" s="697"/>
      <c r="AX20" s="697"/>
      <c r="AY20" s="697"/>
      <c r="AZ20" s="697"/>
      <c r="BA20" s="697"/>
      <c r="BB20" s="697"/>
      <c r="BC20" s="697"/>
      <c r="BD20" s="697"/>
      <c r="BE20" s="697"/>
      <c r="BF20" s="697"/>
      <c r="BG20" s="697"/>
      <c r="BH20" s="697"/>
      <c r="BI20" s="697"/>
      <c r="BJ20" s="697"/>
      <c r="BK20" s="697"/>
      <c r="BL20" s="697"/>
      <c r="BM20" s="697"/>
      <c r="BN20" s="697"/>
      <c r="BO20" s="697"/>
      <c r="BP20" s="697"/>
      <c r="BQ20" s="697"/>
      <c r="BR20" s="697"/>
      <c r="BS20" s="697"/>
      <c r="BT20" s="697"/>
      <c r="BU20" s="697"/>
      <c r="BV20" s="697"/>
      <c r="BW20" s="697"/>
      <c r="BX20" s="697"/>
      <c r="BY20" s="697"/>
      <c r="BZ20" s="697"/>
      <c r="CA20" s="697"/>
      <c r="CB20" s="697"/>
      <c r="CC20" s="697"/>
      <c r="CD20" s="697"/>
      <c r="CE20" s="697"/>
      <c r="CF20" s="697"/>
      <c r="CG20" s="697"/>
      <c r="CH20" s="697"/>
      <c r="CI20" s="697"/>
      <c r="CJ20" s="697"/>
      <c r="CK20" s="697"/>
      <c r="CL20" s="697"/>
      <c r="CM20" s="697"/>
      <c r="CN20" s="697"/>
      <c r="CO20" s="697"/>
      <c r="CP20" s="697"/>
      <c r="CQ20" s="697"/>
      <c r="CR20" s="697"/>
      <c r="CS20" s="697"/>
      <c r="CT20" s="697"/>
      <c r="CU20" s="697"/>
      <c r="CV20" s="697"/>
      <c r="CW20" s="697"/>
      <c r="CX20" s="697"/>
      <c r="CY20" s="697"/>
      <c r="CZ20" s="697"/>
      <c r="DA20" s="697"/>
    </row>
    <row r="21" spans="1:105" hidden="1" outlineLevel="1" x14ac:dyDescent="0.2">
      <c r="A21" s="709">
        <f t="shared" si="3"/>
        <v>36617</v>
      </c>
      <c r="B21" s="709" t="str">
        <f t="shared" si="0"/>
        <v>2Q00</v>
      </c>
      <c r="C21" s="709" t="str">
        <f t="shared" si="4"/>
        <v>2Q00</v>
      </c>
      <c r="D21" s="710">
        <f t="shared" ref="D21:E36" si="18">D20+7</f>
        <v>36700</v>
      </c>
      <c r="E21" s="710">
        <f t="shared" si="18"/>
        <v>36640</v>
      </c>
      <c r="F21" s="712">
        <v>1.4280000000000002</v>
      </c>
      <c r="G21" s="713">
        <f t="shared" si="1"/>
        <v>6.0000000000000005E-2</v>
      </c>
      <c r="H21" s="713">
        <f t="shared" si="2"/>
        <v>6.0000000000000005E-2</v>
      </c>
      <c r="I21" s="713">
        <f t="shared" si="8"/>
        <v>1.9500000000000006</v>
      </c>
      <c r="J21" s="713">
        <f t="shared" si="6"/>
        <v>2.0000000000000004</v>
      </c>
      <c r="K21" s="713">
        <f t="shared" si="9"/>
        <v>0.17</v>
      </c>
      <c r="L21" s="697"/>
      <c r="M21" s="697"/>
      <c r="N21" s="697"/>
      <c r="O21" s="697"/>
      <c r="P21" s="697"/>
      <c r="Q21" s="697"/>
      <c r="R21" s="697"/>
      <c r="S21" s="697"/>
      <c r="T21" s="697"/>
      <c r="U21" s="697"/>
      <c r="V21" s="697"/>
      <c r="W21" s="697"/>
      <c r="X21" s="697"/>
      <c r="Y21" s="697"/>
      <c r="Z21" s="697"/>
      <c r="AA21" s="697"/>
      <c r="AB21" s="697"/>
      <c r="AC21" s="697"/>
      <c r="AD21" s="697"/>
      <c r="AE21" s="697"/>
      <c r="AF21" s="697"/>
      <c r="AG21" s="697"/>
      <c r="AH21" s="697"/>
      <c r="AI21" s="697"/>
      <c r="AJ21" s="697"/>
      <c r="AK21" s="697"/>
      <c r="AL21" s="697"/>
      <c r="AM21" s="697"/>
      <c r="AN21" s="697"/>
      <c r="AO21" s="697"/>
      <c r="AP21" s="697"/>
      <c r="AQ21" s="697"/>
      <c r="AR21" s="697"/>
      <c r="AS21" s="697"/>
      <c r="AT21" s="697"/>
      <c r="AU21" s="697"/>
      <c r="AV21" s="697"/>
      <c r="AW21" s="697"/>
      <c r="AX21" s="697"/>
      <c r="AY21" s="697"/>
      <c r="AZ21" s="697"/>
      <c r="BA21" s="697"/>
      <c r="BB21" s="697"/>
      <c r="BC21" s="697"/>
      <c r="BD21" s="697"/>
      <c r="BE21" s="697"/>
      <c r="BF21" s="697"/>
      <c r="BG21" s="697"/>
      <c r="BH21" s="697"/>
      <c r="BI21" s="697"/>
      <c r="BJ21" s="697"/>
      <c r="BK21" s="697"/>
      <c r="BL21" s="697"/>
      <c r="BM21" s="697"/>
      <c r="BN21" s="697"/>
      <c r="BO21" s="697"/>
      <c r="BP21" s="697"/>
      <c r="BQ21" s="697"/>
      <c r="BR21" s="697"/>
      <c r="BS21" s="697"/>
      <c r="BT21" s="697"/>
      <c r="BU21" s="697"/>
      <c r="BV21" s="697"/>
      <c r="BW21" s="697"/>
      <c r="BX21" s="697"/>
      <c r="BY21" s="697"/>
      <c r="BZ21" s="697"/>
      <c r="CA21" s="697"/>
      <c r="CB21" s="697"/>
      <c r="CC21" s="697"/>
      <c r="CD21" s="697"/>
      <c r="CE21" s="697"/>
      <c r="CF21" s="697"/>
      <c r="CG21" s="697"/>
      <c r="CH21" s="697"/>
      <c r="CI21" s="697"/>
      <c r="CJ21" s="697"/>
      <c r="CK21" s="697"/>
      <c r="CL21" s="697"/>
      <c r="CM21" s="697"/>
      <c r="CN21" s="697"/>
      <c r="CO21" s="697"/>
      <c r="CP21" s="697"/>
      <c r="CQ21" s="697"/>
      <c r="CR21" s="697"/>
      <c r="CS21" s="697"/>
      <c r="CT21" s="697"/>
      <c r="CU21" s="697"/>
      <c r="CV21" s="697"/>
      <c r="CW21" s="697"/>
      <c r="CX21" s="697"/>
      <c r="CY21" s="697"/>
      <c r="CZ21" s="697"/>
      <c r="DA21" s="697"/>
    </row>
    <row r="22" spans="1:105" hidden="1" outlineLevel="1" x14ac:dyDescent="0.2">
      <c r="A22" s="709">
        <f t="shared" si="3"/>
        <v>36647</v>
      </c>
      <c r="B22" s="709" t="str">
        <f t="shared" si="0"/>
        <v>2Q00</v>
      </c>
      <c r="C22" s="709" t="str">
        <f t="shared" si="4"/>
        <v>2Q00</v>
      </c>
      <c r="D22" s="710">
        <f t="shared" si="18"/>
        <v>36707</v>
      </c>
      <c r="E22" s="710">
        <f t="shared" si="18"/>
        <v>36647</v>
      </c>
      <c r="F22" s="712">
        <v>1.4180000000000001</v>
      </c>
      <c r="G22" s="713">
        <f t="shared" si="1"/>
        <v>6.0000000000000005E-2</v>
      </c>
      <c r="H22" s="713">
        <f t="shared" si="2"/>
        <v>6.0000000000000005E-2</v>
      </c>
      <c r="I22" s="713">
        <f t="shared" ref="I22:I37" si="19">I21+0.05</f>
        <v>2.0000000000000004</v>
      </c>
      <c r="J22" s="713">
        <f t="shared" si="6"/>
        <v>2.0500000000000003</v>
      </c>
      <c r="K22" s="713">
        <f t="shared" si="9"/>
        <v>0.18000000000000002</v>
      </c>
      <c r="L22" s="697"/>
      <c r="M22" s="697"/>
      <c r="N22" s="697"/>
      <c r="O22" s="697"/>
      <c r="P22" s="697"/>
      <c r="Q22" s="697"/>
      <c r="R22" s="697"/>
      <c r="S22" s="697"/>
      <c r="T22" s="697"/>
      <c r="U22" s="697"/>
      <c r="V22" s="697"/>
      <c r="W22" s="697"/>
      <c r="X22" s="697"/>
      <c r="Y22" s="697"/>
      <c r="Z22" s="697"/>
      <c r="AA22" s="697"/>
      <c r="AB22" s="697"/>
      <c r="AC22" s="697"/>
      <c r="AD22" s="697"/>
      <c r="AE22" s="697"/>
      <c r="AF22" s="697"/>
      <c r="AG22" s="697"/>
      <c r="AH22" s="697"/>
      <c r="AI22" s="697"/>
      <c r="AJ22" s="697"/>
      <c r="AK22" s="697"/>
      <c r="AL22" s="697"/>
      <c r="AM22" s="697"/>
      <c r="AN22" s="697"/>
      <c r="AO22" s="697"/>
      <c r="AP22" s="697"/>
      <c r="AQ22" s="697"/>
      <c r="AR22" s="697"/>
      <c r="AS22" s="697"/>
      <c r="AT22" s="697"/>
      <c r="AU22" s="697"/>
      <c r="AV22" s="697"/>
      <c r="AW22" s="697"/>
      <c r="AX22" s="697"/>
      <c r="AY22" s="697"/>
      <c r="AZ22" s="697"/>
      <c r="BA22" s="697"/>
      <c r="BB22" s="697"/>
      <c r="BC22" s="697"/>
      <c r="BD22" s="697"/>
      <c r="BE22" s="697"/>
      <c r="BF22" s="697"/>
      <c r="BG22" s="697"/>
      <c r="BH22" s="697"/>
      <c r="BI22" s="697"/>
      <c r="BJ22" s="697"/>
      <c r="BK22" s="697"/>
      <c r="BL22" s="697"/>
      <c r="BM22" s="697"/>
      <c r="BN22" s="697"/>
      <c r="BO22" s="697"/>
      <c r="BP22" s="697"/>
      <c r="BQ22" s="697"/>
      <c r="BR22" s="697"/>
      <c r="BS22" s="697"/>
      <c r="BT22" s="697"/>
      <c r="BU22" s="697"/>
      <c r="BV22" s="697"/>
      <c r="BW22" s="697"/>
      <c r="BX22" s="697"/>
      <c r="BY22" s="697"/>
      <c r="BZ22" s="697"/>
      <c r="CA22" s="697"/>
      <c r="CB22" s="697"/>
      <c r="CC22" s="697"/>
      <c r="CD22" s="697"/>
      <c r="CE22" s="697"/>
      <c r="CF22" s="697"/>
      <c r="CG22" s="697"/>
      <c r="CH22" s="697"/>
      <c r="CI22" s="697"/>
      <c r="CJ22" s="697"/>
      <c r="CK22" s="697"/>
      <c r="CL22" s="697"/>
      <c r="CM22" s="697"/>
      <c r="CN22" s="697"/>
      <c r="CO22" s="697"/>
      <c r="CP22" s="697"/>
      <c r="CQ22" s="697"/>
      <c r="CR22" s="697"/>
      <c r="CS22" s="697"/>
      <c r="CT22" s="697"/>
      <c r="CU22" s="697"/>
      <c r="CV22" s="697"/>
      <c r="CW22" s="697"/>
      <c r="CX22" s="697"/>
      <c r="CY22" s="697"/>
      <c r="CZ22" s="697"/>
      <c r="DA22" s="697"/>
    </row>
    <row r="23" spans="1:105" hidden="1" outlineLevel="1" x14ac:dyDescent="0.2">
      <c r="A23" s="709">
        <f t="shared" si="3"/>
        <v>36647</v>
      </c>
      <c r="B23" s="709" t="str">
        <f t="shared" si="0"/>
        <v>2Q00</v>
      </c>
      <c r="C23" s="709" t="str">
        <f t="shared" si="4"/>
        <v>3Q00</v>
      </c>
      <c r="D23" s="710">
        <f t="shared" si="18"/>
        <v>36714</v>
      </c>
      <c r="E23" s="710">
        <f t="shared" si="18"/>
        <v>36654</v>
      </c>
      <c r="F23" s="712">
        <v>1.4019999999999999</v>
      </c>
      <c r="G23" s="713">
        <f t="shared" si="1"/>
        <v>6.0000000000000005E-2</v>
      </c>
      <c r="H23" s="713">
        <f t="shared" si="2"/>
        <v>6.0000000000000005E-2</v>
      </c>
      <c r="I23" s="713">
        <f t="shared" si="19"/>
        <v>2.0500000000000003</v>
      </c>
      <c r="J23" s="713">
        <f t="shared" si="6"/>
        <v>2.1</v>
      </c>
      <c r="K23" s="713">
        <f t="shared" si="9"/>
        <v>0.19000000000000003</v>
      </c>
      <c r="L23" s="697"/>
      <c r="M23" s="697"/>
      <c r="N23" s="697"/>
      <c r="O23" s="697"/>
      <c r="P23" s="697"/>
      <c r="Q23" s="697"/>
      <c r="R23" s="697"/>
      <c r="S23" s="697"/>
      <c r="T23" s="697"/>
      <c r="U23" s="697"/>
      <c r="V23" s="697"/>
      <c r="W23" s="697"/>
      <c r="X23" s="697"/>
      <c r="Y23" s="697"/>
      <c r="Z23" s="697"/>
      <c r="AA23" s="697"/>
      <c r="AB23" s="697"/>
      <c r="AC23" s="697"/>
      <c r="AD23" s="697"/>
      <c r="AE23" s="697"/>
      <c r="AF23" s="697"/>
      <c r="AG23" s="697"/>
      <c r="AH23" s="697"/>
      <c r="AI23" s="697"/>
      <c r="AJ23" s="697"/>
      <c r="AK23" s="697"/>
      <c r="AL23" s="697"/>
      <c r="AM23" s="697"/>
      <c r="AN23" s="697"/>
      <c r="AO23" s="697"/>
      <c r="AP23" s="697"/>
      <c r="AQ23" s="697"/>
      <c r="AR23" s="697"/>
      <c r="AS23" s="697"/>
      <c r="AT23" s="697"/>
      <c r="AU23" s="697"/>
      <c r="AV23" s="697"/>
      <c r="AW23" s="697"/>
      <c r="AX23" s="697"/>
      <c r="AY23" s="697"/>
      <c r="AZ23" s="697"/>
      <c r="BA23" s="697"/>
      <c r="BB23" s="697"/>
      <c r="BC23" s="697"/>
      <c r="BD23" s="697"/>
      <c r="BE23" s="697"/>
      <c r="BF23" s="697"/>
      <c r="BG23" s="697"/>
      <c r="BH23" s="697"/>
      <c r="BI23" s="697"/>
      <c r="BJ23" s="697"/>
      <c r="BK23" s="697"/>
      <c r="BL23" s="697"/>
      <c r="BM23" s="697"/>
      <c r="BN23" s="697"/>
      <c r="BO23" s="697"/>
      <c r="BP23" s="697"/>
      <c r="BQ23" s="697"/>
      <c r="BR23" s="697"/>
      <c r="BS23" s="697"/>
      <c r="BT23" s="697"/>
      <c r="BU23" s="697"/>
      <c r="BV23" s="697"/>
      <c r="BW23" s="697"/>
      <c r="BX23" s="697"/>
      <c r="BY23" s="697"/>
      <c r="BZ23" s="697"/>
      <c r="CA23" s="697"/>
      <c r="CB23" s="697"/>
      <c r="CC23" s="697"/>
      <c r="CD23" s="697"/>
      <c r="CE23" s="697"/>
      <c r="CF23" s="697"/>
      <c r="CG23" s="697"/>
      <c r="CH23" s="697"/>
      <c r="CI23" s="697"/>
      <c r="CJ23" s="697"/>
      <c r="CK23" s="697"/>
      <c r="CL23" s="697"/>
      <c r="CM23" s="697"/>
      <c r="CN23" s="697"/>
      <c r="CO23" s="697"/>
      <c r="CP23" s="697"/>
      <c r="CQ23" s="697"/>
      <c r="CR23" s="697"/>
      <c r="CS23" s="697"/>
      <c r="CT23" s="697"/>
      <c r="CU23" s="697"/>
      <c r="CV23" s="697"/>
      <c r="CW23" s="697"/>
      <c r="CX23" s="697"/>
      <c r="CY23" s="697"/>
      <c r="CZ23" s="697"/>
      <c r="DA23" s="697"/>
    </row>
    <row r="24" spans="1:105" hidden="1" outlineLevel="1" x14ac:dyDescent="0.2">
      <c r="A24" s="709">
        <f t="shared" si="3"/>
        <v>36647</v>
      </c>
      <c r="B24" s="709" t="str">
        <f t="shared" si="0"/>
        <v>2Q00</v>
      </c>
      <c r="C24" s="709" t="str">
        <f t="shared" si="4"/>
        <v>3Q00</v>
      </c>
      <c r="D24" s="710">
        <f t="shared" si="18"/>
        <v>36721</v>
      </c>
      <c r="E24" s="710">
        <f t="shared" si="18"/>
        <v>36661</v>
      </c>
      <c r="F24" s="712">
        <v>1.415</v>
      </c>
      <c r="G24" s="713">
        <f t="shared" si="1"/>
        <v>6.0000000000000005E-2</v>
      </c>
      <c r="H24" s="713">
        <f t="shared" si="2"/>
        <v>6.0000000000000005E-2</v>
      </c>
      <c r="I24" s="713">
        <f t="shared" si="19"/>
        <v>2.1</v>
      </c>
      <c r="J24" s="713">
        <f t="shared" si="6"/>
        <v>2.15</v>
      </c>
      <c r="K24" s="713">
        <f t="shared" si="9"/>
        <v>0.20000000000000004</v>
      </c>
      <c r="L24" s="697"/>
      <c r="M24" s="697"/>
      <c r="N24" s="697"/>
      <c r="O24" s="697"/>
      <c r="P24" s="697"/>
      <c r="Q24" s="697"/>
      <c r="R24" s="697"/>
      <c r="S24" s="697"/>
      <c r="T24" s="697"/>
      <c r="U24" s="697"/>
      <c r="V24" s="697"/>
      <c r="W24" s="697"/>
      <c r="X24" s="697"/>
      <c r="Y24" s="697"/>
      <c r="Z24" s="697"/>
      <c r="AA24" s="697"/>
      <c r="AB24" s="697"/>
      <c r="AC24" s="697"/>
      <c r="AD24" s="697"/>
      <c r="AE24" s="697"/>
      <c r="AF24" s="697"/>
      <c r="AG24" s="697"/>
      <c r="AH24" s="697"/>
      <c r="AI24" s="697"/>
      <c r="AJ24" s="697"/>
      <c r="AK24" s="697"/>
      <c r="AL24" s="697"/>
      <c r="AM24" s="697"/>
      <c r="AN24" s="697"/>
      <c r="AO24" s="697"/>
      <c r="AP24" s="697"/>
      <c r="AQ24" s="697"/>
      <c r="AR24" s="697"/>
      <c r="AS24" s="697"/>
      <c r="AT24" s="697"/>
      <c r="AU24" s="697"/>
      <c r="AV24" s="697"/>
      <c r="AW24" s="697"/>
      <c r="AX24" s="697"/>
      <c r="AY24" s="697"/>
      <c r="AZ24" s="697"/>
      <c r="BA24" s="697"/>
      <c r="BB24" s="697"/>
      <c r="BC24" s="697"/>
      <c r="BD24" s="697"/>
      <c r="BE24" s="697"/>
      <c r="BF24" s="697"/>
      <c r="BG24" s="697"/>
      <c r="BH24" s="697"/>
      <c r="BI24" s="697"/>
      <c r="BJ24" s="697"/>
      <c r="BK24" s="697"/>
      <c r="BL24" s="697"/>
      <c r="BM24" s="697"/>
      <c r="BN24" s="697"/>
      <c r="BO24" s="697"/>
      <c r="BP24" s="697"/>
      <c r="BQ24" s="697"/>
      <c r="BR24" s="697"/>
      <c r="BS24" s="697"/>
      <c r="BT24" s="697"/>
      <c r="BU24" s="697"/>
      <c r="BV24" s="697"/>
      <c r="BW24" s="697"/>
      <c r="BX24" s="697"/>
      <c r="BY24" s="697"/>
      <c r="BZ24" s="697"/>
      <c r="CA24" s="697"/>
      <c r="CB24" s="697"/>
      <c r="CC24" s="697"/>
      <c r="CD24" s="697"/>
      <c r="CE24" s="697"/>
      <c r="CF24" s="697"/>
      <c r="CG24" s="697"/>
      <c r="CH24" s="697"/>
      <c r="CI24" s="697"/>
      <c r="CJ24" s="697"/>
      <c r="CK24" s="697"/>
      <c r="CL24" s="697"/>
      <c r="CM24" s="697"/>
      <c r="CN24" s="697"/>
      <c r="CO24" s="697"/>
      <c r="CP24" s="697"/>
      <c r="CQ24" s="697"/>
      <c r="CR24" s="697"/>
      <c r="CS24" s="697"/>
      <c r="CT24" s="697"/>
      <c r="CU24" s="697"/>
      <c r="CV24" s="697"/>
      <c r="CW24" s="697"/>
      <c r="CX24" s="697"/>
      <c r="CY24" s="697"/>
      <c r="CZ24" s="697"/>
      <c r="DA24" s="697"/>
    </row>
    <row r="25" spans="1:105" hidden="1" outlineLevel="1" x14ac:dyDescent="0.2">
      <c r="A25" s="709">
        <f t="shared" si="3"/>
        <v>36647</v>
      </c>
      <c r="B25" s="709" t="str">
        <f t="shared" si="0"/>
        <v>2Q00</v>
      </c>
      <c r="C25" s="709" t="str">
        <f t="shared" si="4"/>
        <v>3Q00</v>
      </c>
      <c r="D25" s="710">
        <f t="shared" si="18"/>
        <v>36728</v>
      </c>
      <c r="E25" s="710">
        <f t="shared" si="18"/>
        <v>36668</v>
      </c>
      <c r="F25" s="712">
        <v>1.4319999999999999</v>
      </c>
      <c r="G25" s="713">
        <f t="shared" si="1"/>
        <v>6.0000000000000005E-2</v>
      </c>
      <c r="H25" s="713">
        <f t="shared" si="2"/>
        <v>6.0000000000000005E-2</v>
      </c>
      <c r="I25" s="713">
        <f t="shared" si="19"/>
        <v>2.15</v>
      </c>
      <c r="J25" s="713">
        <f t="shared" si="6"/>
        <v>2.1999999999999997</v>
      </c>
      <c r="K25" s="713">
        <f t="shared" si="9"/>
        <v>0.21000000000000005</v>
      </c>
      <c r="L25" s="697"/>
      <c r="M25" s="697"/>
      <c r="N25" s="697"/>
      <c r="O25" s="697"/>
      <c r="P25" s="697"/>
      <c r="Q25" s="697"/>
      <c r="R25" s="697"/>
      <c r="S25" s="697"/>
      <c r="T25" s="697"/>
      <c r="U25" s="697"/>
      <c r="V25" s="697"/>
      <c r="W25" s="697"/>
      <c r="X25" s="697"/>
      <c r="Y25" s="697"/>
      <c r="Z25" s="697"/>
      <c r="AA25" s="697"/>
      <c r="AB25" s="697"/>
      <c r="AC25" s="697"/>
      <c r="AD25" s="697"/>
      <c r="AE25" s="697"/>
      <c r="AF25" s="697"/>
      <c r="AG25" s="697"/>
      <c r="AH25" s="697"/>
      <c r="AI25" s="697"/>
      <c r="AJ25" s="697"/>
      <c r="AK25" s="697"/>
      <c r="AL25" s="697"/>
      <c r="AM25" s="697"/>
      <c r="AN25" s="697"/>
      <c r="AO25" s="697"/>
      <c r="AP25" s="697"/>
      <c r="AQ25" s="697"/>
      <c r="AR25" s="697"/>
      <c r="AS25" s="697"/>
      <c r="AT25" s="697"/>
      <c r="AU25" s="697"/>
      <c r="AV25" s="697"/>
      <c r="AW25" s="697"/>
      <c r="AX25" s="697"/>
      <c r="AY25" s="697"/>
      <c r="AZ25" s="697"/>
      <c r="BA25" s="697"/>
      <c r="BB25" s="697"/>
      <c r="BC25" s="697"/>
      <c r="BD25" s="697"/>
      <c r="BE25" s="697"/>
      <c r="BF25" s="697"/>
      <c r="BG25" s="697"/>
      <c r="BH25" s="697"/>
      <c r="BI25" s="697"/>
      <c r="BJ25" s="697"/>
      <c r="BK25" s="697"/>
      <c r="BL25" s="697"/>
      <c r="BM25" s="697"/>
      <c r="BN25" s="697"/>
      <c r="BO25" s="697"/>
      <c r="BP25" s="697"/>
      <c r="BQ25" s="697"/>
      <c r="BR25" s="697"/>
      <c r="BS25" s="697"/>
      <c r="BT25" s="697"/>
      <c r="BU25" s="697"/>
      <c r="BV25" s="697"/>
      <c r="BW25" s="697"/>
      <c r="BX25" s="697"/>
      <c r="BY25" s="697"/>
      <c r="BZ25" s="697"/>
      <c r="CA25" s="697"/>
      <c r="CB25" s="697"/>
      <c r="CC25" s="697"/>
      <c r="CD25" s="697"/>
      <c r="CE25" s="697"/>
      <c r="CF25" s="697"/>
      <c r="CG25" s="697"/>
      <c r="CH25" s="697"/>
      <c r="CI25" s="697"/>
      <c r="CJ25" s="697"/>
      <c r="CK25" s="697"/>
      <c r="CL25" s="697"/>
      <c r="CM25" s="697"/>
      <c r="CN25" s="697"/>
      <c r="CO25" s="697"/>
      <c r="CP25" s="697"/>
      <c r="CQ25" s="697"/>
      <c r="CR25" s="697"/>
      <c r="CS25" s="697"/>
      <c r="CT25" s="697"/>
      <c r="CU25" s="697"/>
      <c r="CV25" s="697"/>
      <c r="CW25" s="697"/>
      <c r="CX25" s="697"/>
      <c r="CY25" s="697"/>
      <c r="CZ25" s="697"/>
      <c r="DA25" s="697"/>
    </row>
    <row r="26" spans="1:105" hidden="1" outlineLevel="1" x14ac:dyDescent="0.2">
      <c r="A26" s="709">
        <f t="shared" si="3"/>
        <v>36647</v>
      </c>
      <c r="B26" s="709" t="str">
        <f t="shared" si="0"/>
        <v>2Q00</v>
      </c>
      <c r="C26" s="709" t="str">
        <f t="shared" si="4"/>
        <v>3Q00</v>
      </c>
      <c r="D26" s="710">
        <f t="shared" si="18"/>
        <v>36735</v>
      </c>
      <c r="E26" s="710">
        <f t="shared" si="18"/>
        <v>36675</v>
      </c>
      <c r="F26" s="712">
        <v>1.431</v>
      </c>
      <c r="G26" s="713">
        <f t="shared" si="1"/>
        <v>6.0000000000000005E-2</v>
      </c>
      <c r="H26" s="713">
        <f t="shared" si="2"/>
        <v>6.0000000000000005E-2</v>
      </c>
      <c r="I26" s="713">
        <f t="shared" si="19"/>
        <v>2.1999999999999997</v>
      </c>
      <c r="J26" s="713">
        <f t="shared" si="6"/>
        <v>2.2499999999999996</v>
      </c>
      <c r="K26" s="713">
        <f t="shared" si="9"/>
        <v>0.22000000000000006</v>
      </c>
      <c r="L26" s="697"/>
      <c r="M26" s="697"/>
      <c r="N26" s="697"/>
      <c r="O26" s="697"/>
      <c r="P26" s="697"/>
      <c r="Q26" s="697"/>
      <c r="R26" s="697"/>
      <c r="S26" s="697"/>
      <c r="T26" s="697"/>
      <c r="U26" s="697"/>
      <c r="V26" s="697"/>
      <c r="W26" s="697"/>
      <c r="X26" s="697"/>
      <c r="Y26" s="697"/>
      <c r="Z26" s="697"/>
      <c r="AA26" s="697"/>
      <c r="AB26" s="697"/>
      <c r="AC26" s="697"/>
      <c r="AD26" s="697"/>
      <c r="AE26" s="697"/>
      <c r="AF26" s="697"/>
      <c r="AG26" s="697"/>
      <c r="AH26" s="697"/>
      <c r="AI26" s="697"/>
      <c r="AJ26" s="697"/>
      <c r="AK26" s="697"/>
      <c r="AL26" s="697"/>
      <c r="AM26" s="697"/>
      <c r="AN26" s="697"/>
      <c r="AO26" s="697"/>
      <c r="AP26" s="697"/>
      <c r="AQ26" s="697"/>
      <c r="AR26" s="697"/>
      <c r="AS26" s="697"/>
      <c r="AT26" s="697"/>
      <c r="AU26" s="697"/>
      <c r="AV26" s="697"/>
      <c r="AW26" s="697"/>
      <c r="AX26" s="697"/>
      <c r="AY26" s="697"/>
      <c r="AZ26" s="697"/>
      <c r="BA26" s="697"/>
      <c r="BB26" s="697"/>
      <c r="BC26" s="697"/>
      <c r="BD26" s="697"/>
      <c r="BE26" s="697"/>
      <c r="BF26" s="697"/>
      <c r="BG26" s="697"/>
      <c r="BH26" s="697"/>
      <c r="BI26" s="697"/>
      <c r="BJ26" s="697"/>
      <c r="BK26" s="697"/>
      <c r="BL26" s="697"/>
      <c r="BM26" s="697"/>
      <c r="BN26" s="697"/>
      <c r="BO26" s="697"/>
      <c r="BP26" s="697"/>
      <c r="BQ26" s="697"/>
      <c r="BR26" s="697"/>
      <c r="BS26" s="697"/>
      <c r="BT26" s="697"/>
      <c r="BU26" s="697"/>
      <c r="BV26" s="697"/>
      <c r="BW26" s="697"/>
      <c r="BX26" s="697"/>
      <c r="BY26" s="697"/>
      <c r="BZ26" s="697"/>
      <c r="CA26" s="697"/>
      <c r="CB26" s="697"/>
      <c r="CC26" s="697"/>
      <c r="CD26" s="697"/>
      <c r="CE26" s="697"/>
      <c r="CF26" s="697"/>
      <c r="CG26" s="697"/>
      <c r="CH26" s="697"/>
      <c r="CI26" s="697"/>
      <c r="CJ26" s="697"/>
      <c r="CK26" s="697"/>
      <c r="CL26" s="697"/>
      <c r="CM26" s="697"/>
      <c r="CN26" s="697"/>
      <c r="CO26" s="697"/>
      <c r="CP26" s="697"/>
      <c r="CQ26" s="697"/>
      <c r="CR26" s="697"/>
      <c r="CS26" s="697"/>
      <c r="CT26" s="697"/>
      <c r="CU26" s="697"/>
      <c r="CV26" s="697"/>
      <c r="CW26" s="697"/>
      <c r="CX26" s="697"/>
      <c r="CY26" s="697"/>
      <c r="CZ26" s="697"/>
      <c r="DA26" s="697"/>
    </row>
    <row r="27" spans="1:105" hidden="1" outlineLevel="1" x14ac:dyDescent="0.2">
      <c r="A27" s="709">
        <f t="shared" si="3"/>
        <v>36678</v>
      </c>
      <c r="B27" s="709" t="str">
        <f t="shared" si="0"/>
        <v>2Q00</v>
      </c>
      <c r="C27" s="709" t="str">
        <f t="shared" si="4"/>
        <v>3Q00</v>
      </c>
      <c r="D27" s="710">
        <f t="shared" si="18"/>
        <v>36742</v>
      </c>
      <c r="E27" s="710">
        <f t="shared" si="18"/>
        <v>36682</v>
      </c>
      <c r="F27" s="712">
        <v>1.419</v>
      </c>
      <c r="G27" s="713">
        <f t="shared" si="1"/>
        <v>6.0000000000000005E-2</v>
      </c>
      <c r="H27" s="713">
        <f t="shared" si="2"/>
        <v>6.0000000000000005E-2</v>
      </c>
      <c r="I27" s="713">
        <f t="shared" si="19"/>
        <v>2.2499999999999996</v>
      </c>
      <c r="J27" s="713">
        <f t="shared" si="6"/>
        <v>2.2999999999999994</v>
      </c>
      <c r="K27" s="713">
        <f t="shared" si="9"/>
        <v>0.23000000000000007</v>
      </c>
      <c r="L27" s="697"/>
      <c r="M27" s="697"/>
      <c r="N27" s="697"/>
      <c r="O27" s="697"/>
      <c r="P27" s="697"/>
      <c r="Q27" s="697"/>
      <c r="R27" s="697"/>
      <c r="S27" s="697"/>
      <c r="T27" s="697"/>
      <c r="U27" s="697"/>
      <c r="V27" s="697"/>
      <c r="W27" s="697"/>
      <c r="X27" s="697"/>
      <c r="Y27" s="697"/>
      <c r="Z27" s="697"/>
      <c r="AA27" s="697"/>
      <c r="AB27" s="697"/>
      <c r="AC27" s="697"/>
      <c r="AD27" s="697"/>
      <c r="AE27" s="697"/>
      <c r="AF27" s="697"/>
      <c r="AG27" s="697"/>
      <c r="AH27" s="697"/>
      <c r="AI27" s="697"/>
      <c r="AJ27" s="697"/>
      <c r="AK27" s="697"/>
      <c r="AL27" s="697"/>
      <c r="AM27" s="697"/>
      <c r="AN27" s="697"/>
      <c r="AO27" s="697"/>
      <c r="AP27" s="697"/>
      <c r="AQ27" s="697"/>
      <c r="AR27" s="697"/>
      <c r="AS27" s="697"/>
      <c r="AT27" s="697"/>
      <c r="AU27" s="697"/>
      <c r="AV27" s="697"/>
      <c r="AW27" s="697"/>
      <c r="AX27" s="697"/>
      <c r="AY27" s="697"/>
      <c r="AZ27" s="697"/>
      <c r="BA27" s="697"/>
      <c r="BB27" s="697"/>
      <c r="BC27" s="697"/>
      <c r="BD27" s="697"/>
      <c r="BE27" s="697"/>
      <c r="BF27" s="697"/>
      <c r="BG27" s="697"/>
      <c r="BH27" s="697"/>
      <c r="BI27" s="697"/>
      <c r="BJ27" s="697"/>
      <c r="BK27" s="697"/>
      <c r="BL27" s="697"/>
      <c r="BM27" s="697"/>
      <c r="BN27" s="697"/>
      <c r="BO27" s="697"/>
      <c r="BP27" s="697"/>
      <c r="BQ27" s="697"/>
      <c r="BR27" s="697"/>
      <c r="BS27" s="697"/>
      <c r="BT27" s="697"/>
      <c r="BU27" s="697"/>
      <c r="BV27" s="697"/>
      <c r="BW27" s="697"/>
      <c r="BX27" s="697"/>
      <c r="BY27" s="697"/>
      <c r="BZ27" s="697"/>
      <c r="CA27" s="697"/>
      <c r="CB27" s="697"/>
      <c r="CC27" s="697"/>
      <c r="CD27" s="697"/>
      <c r="CE27" s="697"/>
      <c r="CF27" s="697"/>
      <c r="CG27" s="697"/>
      <c r="CH27" s="697"/>
      <c r="CI27" s="697"/>
      <c r="CJ27" s="697"/>
      <c r="CK27" s="697"/>
      <c r="CL27" s="697"/>
      <c r="CM27" s="697"/>
      <c r="CN27" s="697"/>
      <c r="CO27" s="697"/>
      <c r="CP27" s="697"/>
      <c r="CQ27" s="697"/>
      <c r="CR27" s="697"/>
      <c r="CS27" s="697"/>
      <c r="CT27" s="697"/>
      <c r="CU27" s="697"/>
      <c r="CV27" s="697"/>
      <c r="CW27" s="697"/>
      <c r="CX27" s="697"/>
      <c r="CY27" s="697"/>
      <c r="CZ27" s="697"/>
      <c r="DA27" s="697"/>
    </row>
    <row r="28" spans="1:105" hidden="1" outlineLevel="1" x14ac:dyDescent="0.2">
      <c r="A28" s="709">
        <f t="shared" si="3"/>
        <v>36678</v>
      </c>
      <c r="B28" s="709" t="str">
        <f t="shared" si="0"/>
        <v>2Q00</v>
      </c>
      <c r="C28" s="709" t="str">
        <f t="shared" si="4"/>
        <v>3Q00</v>
      </c>
      <c r="D28" s="710">
        <f t="shared" si="18"/>
        <v>36749</v>
      </c>
      <c r="E28" s="710">
        <f t="shared" si="18"/>
        <v>36689</v>
      </c>
      <c r="F28" s="712">
        <v>1.411</v>
      </c>
      <c r="G28" s="713">
        <f t="shared" si="1"/>
        <v>6.0000000000000005E-2</v>
      </c>
      <c r="H28" s="713">
        <f t="shared" si="2"/>
        <v>6.0000000000000005E-2</v>
      </c>
      <c r="I28" s="713">
        <f t="shared" si="19"/>
        <v>2.2999999999999994</v>
      </c>
      <c r="J28" s="713">
        <f t="shared" si="6"/>
        <v>2.3499999999999992</v>
      </c>
      <c r="K28" s="713">
        <f t="shared" si="9"/>
        <v>0.24000000000000007</v>
      </c>
      <c r="L28" s="697"/>
      <c r="M28" s="697"/>
      <c r="N28" s="697"/>
      <c r="O28" s="697"/>
      <c r="P28" s="697"/>
      <c r="Q28" s="697"/>
      <c r="R28" s="697"/>
      <c r="S28" s="697"/>
      <c r="T28" s="697"/>
      <c r="U28" s="697"/>
      <c r="V28" s="697"/>
      <c r="W28" s="697"/>
      <c r="X28" s="697"/>
      <c r="Y28" s="697"/>
      <c r="Z28" s="697"/>
      <c r="AA28" s="697"/>
      <c r="AB28" s="697"/>
      <c r="AC28" s="697"/>
      <c r="AD28" s="697"/>
      <c r="AE28" s="697"/>
      <c r="AF28" s="697"/>
      <c r="AG28" s="697"/>
      <c r="AH28" s="697"/>
      <c r="AI28" s="697"/>
      <c r="AJ28" s="697"/>
      <c r="AK28" s="697"/>
      <c r="AL28" s="697"/>
      <c r="AM28" s="697"/>
      <c r="AN28" s="697"/>
      <c r="AO28" s="697"/>
      <c r="AP28" s="697"/>
      <c r="AQ28" s="697"/>
      <c r="AR28" s="697"/>
      <c r="AS28" s="697"/>
      <c r="AT28" s="697"/>
      <c r="AU28" s="697"/>
      <c r="AV28" s="697"/>
      <c r="AW28" s="697"/>
      <c r="AX28" s="697"/>
      <c r="AY28" s="697"/>
      <c r="AZ28" s="697"/>
      <c r="BA28" s="697"/>
      <c r="BB28" s="697"/>
      <c r="BC28" s="697"/>
      <c r="BD28" s="697"/>
      <c r="BE28" s="697"/>
      <c r="BF28" s="697"/>
      <c r="BG28" s="697"/>
      <c r="BH28" s="697"/>
      <c r="BI28" s="697"/>
      <c r="BJ28" s="697"/>
      <c r="BK28" s="697"/>
      <c r="BL28" s="697"/>
      <c r="BM28" s="697"/>
      <c r="BN28" s="697"/>
      <c r="BO28" s="697"/>
      <c r="BP28" s="697"/>
      <c r="BQ28" s="697"/>
      <c r="BR28" s="697"/>
      <c r="BS28" s="697"/>
      <c r="BT28" s="697"/>
      <c r="BU28" s="697"/>
      <c r="BV28" s="697"/>
      <c r="BW28" s="697"/>
      <c r="BX28" s="697"/>
      <c r="BY28" s="697"/>
      <c r="BZ28" s="697"/>
      <c r="CA28" s="697"/>
      <c r="CB28" s="697"/>
      <c r="CC28" s="697"/>
      <c r="CD28" s="697"/>
      <c r="CE28" s="697"/>
      <c r="CF28" s="697"/>
      <c r="CG28" s="697"/>
      <c r="CH28" s="697"/>
      <c r="CI28" s="697"/>
      <c r="CJ28" s="697"/>
      <c r="CK28" s="697"/>
      <c r="CL28" s="697"/>
      <c r="CM28" s="697"/>
      <c r="CN28" s="697"/>
      <c r="CO28" s="697"/>
      <c r="CP28" s="697"/>
      <c r="CQ28" s="697"/>
      <c r="CR28" s="697"/>
      <c r="CS28" s="697"/>
      <c r="CT28" s="697"/>
      <c r="CU28" s="697"/>
      <c r="CV28" s="697"/>
      <c r="CW28" s="697"/>
      <c r="CX28" s="697"/>
      <c r="CY28" s="697"/>
      <c r="CZ28" s="697"/>
      <c r="DA28" s="697"/>
    </row>
    <row r="29" spans="1:105" hidden="1" outlineLevel="1" x14ac:dyDescent="0.2">
      <c r="A29" s="709">
        <f t="shared" si="3"/>
        <v>36678</v>
      </c>
      <c r="B29" s="709" t="str">
        <f t="shared" si="0"/>
        <v>2Q00</v>
      </c>
      <c r="C29" s="709" t="str">
        <f t="shared" si="4"/>
        <v>3Q00</v>
      </c>
      <c r="D29" s="710">
        <f t="shared" si="18"/>
        <v>36756</v>
      </c>
      <c r="E29" s="710">
        <f t="shared" si="18"/>
        <v>36696</v>
      </c>
      <c r="F29" s="712">
        <v>1.423</v>
      </c>
      <c r="G29" s="713">
        <f t="shared" si="1"/>
        <v>6.0000000000000005E-2</v>
      </c>
      <c r="H29" s="713">
        <f t="shared" si="2"/>
        <v>6.0000000000000005E-2</v>
      </c>
      <c r="I29" s="713">
        <f t="shared" si="19"/>
        <v>2.3499999999999992</v>
      </c>
      <c r="J29" s="713">
        <f t="shared" si="6"/>
        <v>2.399999999999999</v>
      </c>
      <c r="K29" s="713">
        <f t="shared" si="9"/>
        <v>0.25000000000000006</v>
      </c>
      <c r="L29" s="697"/>
      <c r="M29" s="697"/>
      <c r="N29" s="697"/>
      <c r="O29" s="697"/>
      <c r="P29" s="697"/>
      <c r="Q29" s="697"/>
      <c r="R29" s="697"/>
      <c r="S29" s="697"/>
      <c r="T29" s="697"/>
      <c r="U29" s="697"/>
      <c r="V29" s="697"/>
      <c r="W29" s="697"/>
      <c r="X29" s="697"/>
      <c r="Y29" s="697"/>
      <c r="Z29" s="697"/>
      <c r="AA29" s="697"/>
      <c r="AB29" s="697"/>
      <c r="AC29" s="697"/>
      <c r="AD29" s="697"/>
      <c r="AE29" s="697"/>
      <c r="AF29" s="697"/>
      <c r="AG29" s="697"/>
      <c r="AH29" s="697"/>
      <c r="AI29" s="697"/>
      <c r="AJ29" s="697"/>
      <c r="AK29" s="697"/>
      <c r="AL29" s="697"/>
      <c r="AM29" s="697"/>
      <c r="AN29" s="697"/>
      <c r="AO29" s="697"/>
      <c r="AP29" s="697"/>
      <c r="AQ29" s="697"/>
      <c r="AR29" s="697"/>
      <c r="AS29" s="697"/>
      <c r="AT29" s="697"/>
      <c r="AU29" s="697"/>
      <c r="AV29" s="697"/>
      <c r="AW29" s="697"/>
      <c r="AX29" s="697"/>
      <c r="AY29" s="697"/>
      <c r="AZ29" s="697"/>
      <c r="BA29" s="697"/>
      <c r="BB29" s="697"/>
      <c r="BC29" s="697"/>
      <c r="BD29" s="697"/>
      <c r="BE29" s="697"/>
      <c r="BF29" s="697"/>
      <c r="BG29" s="697"/>
      <c r="BH29" s="697"/>
      <c r="BI29" s="697"/>
      <c r="BJ29" s="697"/>
      <c r="BK29" s="697"/>
      <c r="BL29" s="697"/>
      <c r="BM29" s="697"/>
      <c r="BN29" s="697"/>
      <c r="BO29" s="697"/>
      <c r="BP29" s="697"/>
      <c r="BQ29" s="697"/>
      <c r="BR29" s="697"/>
      <c r="BS29" s="697"/>
      <c r="BT29" s="697"/>
      <c r="BU29" s="697"/>
      <c r="BV29" s="697"/>
      <c r="BW29" s="697"/>
      <c r="BX29" s="697"/>
      <c r="BY29" s="697"/>
      <c r="BZ29" s="697"/>
      <c r="CA29" s="697"/>
      <c r="CB29" s="697"/>
      <c r="CC29" s="697"/>
      <c r="CD29" s="697"/>
      <c r="CE29" s="697"/>
      <c r="CF29" s="697"/>
      <c r="CG29" s="697"/>
      <c r="CH29" s="697"/>
      <c r="CI29" s="697"/>
      <c r="CJ29" s="697"/>
      <c r="CK29" s="697"/>
      <c r="CL29" s="697"/>
      <c r="CM29" s="697"/>
      <c r="CN29" s="697"/>
      <c r="CO29" s="697"/>
      <c r="CP29" s="697"/>
      <c r="CQ29" s="697"/>
      <c r="CR29" s="697"/>
      <c r="CS29" s="697"/>
      <c r="CT29" s="697"/>
      <c r="CU29" s="697"/>
      <c r="CV29" s="697"/>
      <c r="CW29" s="697"/>
      <c r="CX29" s="697"/>
      <c r="CY29" s="697"/>
      <c r="CZ29" s="697"/>
      <c r="DA29" s="697"/>
    </row>
    <row r="30" spans="1:105" hidden="1" outlineLevel="1" x14ac:dyDescent="0.2">
      <c r="A30" s="709">
        <f t="shared" si="3"/>
        <v>36678</v>
      </c>
      <c r="B30" s="709" t="str">
        <f t="shared" si="0"/>
        <v>2Q00</v>
      </c>
      <c r="C30" s="709" t="str">
        <f t="shared" si="4"/>
        <v>3Q00</v>
      </c>
      <c r="D30" s="710">
        <f t="shared" si="18"/>
        <v>36763</v>
      </c>
      <c r="E30" s="710">
        <f t="shared" si="18"/>
        <v>36703</v>
      </c>
      <c r="F30" s="712">
        <v>1.4319999999999999</v>
      </c>
      <c r="G30" s="713">
        <f t="shared" si="1"/>
        <v>6.0000000000000005E-2</v>
      </c>
      <c r="H30" s="713">
        <f t="shared" si="2"/>
        <v>7.0000000000000007E-2</v>
      </c>
      <c r="I30" s="713">
        <f t="shared" si="19"/>
        <v>2.399999999999999</v>
      </c>
      <c r="J30" s="713">
        <f t="shared" si="6"/>
        <v>2.4499999999999988</v>
      </c>
      <c r="K30" s="713">
        <f t="shared" si="9"/>
        <v>0.26000000000000006</v>
      </c>
      <c r="L30" s="697"/>
      <c r="M30" s="697"/>
      <c r="N30" s="697"/>
      <c r="O30" s="697"/>
      <c r="P30" s="697"/>
      <c r="Q30" s="697"/>
      <c r="R30" s="697"/>
      <c r="S30" s="697"/>
      <c r="T30" s="697"/>
      <c r="U30" s="697"/>
      <c r="V30" s="697"/>
      <c r="W30" s="697"/>
      <c r="X30" s="697"/>
      <c r="Y30" s="697"/>
      <c r="Z30" s="697"/>
      <c r="AA30" s="697"/>
      <c r="AB30" s="697"/>
      <c r="AC30" s="697"/>
      <c r="AD30" s="697"/>
      <c r="AE30" s="697"/>
      <c r="AF30" s="697"/>
      <c r="AG30" s="697"/>
      <c r="AH30" s="697"/>
      <c r="AI30" s="697"/>
      <c r="AJ30" s="697"/>
      <c r="AK30" s="697"/>
      <c r="AL30" s="697"/>
      <c r="AM30" s="697"/>
      <c r="AN30" s="697"/>
      <c r="AO30" s="697"/>
      <c r="AP30" s="697"/>
      <c r="AQ30" s="697"/>
      <c r="AR30" s="697"/>
      <c r="AS30" s="697"/>
      <c r="AT30" s="697"/>
      <c r="AU30" s="697"/>
      <c r="AV30" s="697"/>
      <c r="AW30" s="697"/>
      <c r="AX30" s="697"/>
      <c r="AY30" s="697"/>
      <c r="AZ30" s="697"/>
      <c r="BA30" s="697"/>
      <c r="BB30" s="697"/>
      <c r="BC30" s="697"/>
      <c r="BD30" s="697"/>
      <c r="BE30" s="697"/>
      <c r="BF30" s="697"/>
      <c r="BG30" s="697"/>
      <c r="BH30" s="697"/>
      <c r="BI30" s="697"/>
      <c r="BJ30" s="697"/>
      <c r="BK30" s="697"/>
      <c r="BL30" s="697"/>
      <c r="BM30" s="697"/>
      <c r="BN30" s="697"/>
      <c r="BO30" s="697"/>
      <c r="BP30" s="697"/>
      <c r="BQ30" s="697"/>
      <c r="BR30" s="697"/>
      <c r="BS30" s="697"/>
      <c r="BT30" s="697"/>
      <c r="BU30" s="697"/>
      <c r="BV30" s="697"/>
      <c r="BW30" s="697"/>
      <c r="BX30" s="697"/>
      <c r="BY30" s="697"/>
      <c r="BZ30" s="697"/>
      <c r="CA30" s="697"/>
      <c r="CB30" s="697"/>
      <c r="CC30" s="697"/>
      <c r="CD30" s="697"/>
      <c r="CE30" s="697"/>
      <c r="CF30" s="697"/>
      <c r="CG30" s="697"/>
      <c r="CH30" s="697"/>
      <c r="CI30" s="697"/>
      <c r="CJ30" s="697"/>
      <c r="CK30" s="697"/>
      <c r="CL30" s="697"/>
      <c r="CM30" s="697"/>
      <c r="CN30" s="697"/>
      <c r="CO30" s="697"/>
      <c r="CP30" s="697"/>
      <c r="CQ30" s="697"/>
      <c r="CR30" s="697"/>
      <c r="CS30" s="697"/>
      <c r="CT30" s="697"/>
      <c r="CU30" s="697"/>
      <c r="CV30" s="697"/>
      <c r="CW30" s="697"/>
      <c r="CX30" s="697"/>
      <c r="CY30" s="697"/>
      <c r="CZ30" s="697"/>
      <c r="DA30" s="697"/>
    </row>
    <row r="31" spans="1:105" hidden="1" outlineLevel="1" x14ac:dyDescent="0.2">
      <c r="A31" s="709">
        <f t="shared" si="3"/>
        <v>36708</v>
      </c>
      <c r="B31" s="709" t="str">
        <f t="shared" si="0"/>
        <v>3Q00</v>
      </c>
      <c r="C31" s="709" t="str">
        <f t="shared" si="4"/>
        <v>3Q00</v>
      </c>
      <c r="D31" s="710">
        <f t="shared" si="18"/>
        <v>36770</v>
      </c>
      <c r="E31" s="710">
        <f t="shared" si="18"/>
        <v>36710</v>
      </c>
      <c r="F31" s="712">
        <v>1.4530000000000001</v>
      </c>
      <c r="G31" s="713">
        <f t="shared" si="1"/>
        <v>7.0000000000000007E-2</v>
      </c>
      <c r="H31" s="713">
        <f t="shared" si="2"/>
        <v>6.0000000000000005E-2</v>
      </c>
      <c r="I31" s="713">
        <f t="shared" si="19"/>
        <v>2.4499999999999988</v>
      </c>
      <c r="J31" s="713">
        <f t="shared" si="6"/>
        <v>2.4999999999999987</v>
      </c>
      <c r="K31" s="713">
        <f t="shared" si="9"/>
        <v>0.27000000000000007</v>
      </c>
      <c r="L31" s="697"/>
      <c r="M31" s="697"/>
      <c r="N31" s="697"/>
      <c r="O31" s="697"/>
      <c r="P31" s="697"/>
      <c r="Q31" s="697"/>
      <c r="R31" s="697"/>
      <c r="S31" s="697"/>
      <c r="T31" s="697"/>
      <c r="U31" s="697"/>
      <c r="V31" s="697"/>
      <c r="W31" s="697"/>
      <c r="X31" s="697"/>
      <c r="Y31" s="697"/>
      <c r="Z31" s="697"/>
      <c r="AA31" s="697"/>
      <c r="AB31" s="697"/>
      <c r="AC31" s="697"/>
      <c r="AD31" s="697"/>
      <c r="AE31" s="697"/>
      <c r="AF31" s="697"/>
      <c r="AG31" s="697"/>
      <c r="AH31" s="697"/>
      <c r="AI31" s="697"/>
      <c r="AJ31" s="697"/>
      <c r="AK31" s="697"/>
      <c r="AL31" s="697"/>
      <c r="AM31" s="697"/>
      <c r="AN31" s="697"/>
      <c r="AO31" s="697"/>
      <c r="AP31" s="697"/>
      <c r="AQ31" s="697"/>
      <c r="AR31" s="697"/>
      <c r="AS31" s="697"/>
      <c r="AT31" s="697"/>
      <c r="AU31" s="697"/>
      <c r="AV31" s="697"/>
      <c r="AW31" s="697"/>
      <c r="AX31" s="697"/>
      <c r="AY31" s="697"/>
      <c r="AZ31" s="697"/>
      <c r="BA31" s="697"/>
      <c r="BB31" s="697"/>
      <c r="BC31" s="697"/>
      <c r="BD31" s="697"/>
      <c r="BE31" s="697"/>
      <c r="BF31" s="697"/>
      <c r="BG31" s="697"/>
      <c r="BH31" s="697"/>
      <c r="BI31" s="697"/>
      <c r="BJ31" s="697"/>
      <c r="BK31" s="697"/>
      <c r="BL31" s="697"/>
      <c r="BM31" s="697"/>
      <c r="BN31" s="697"/>
      <c r="BO31" s="697"/>
      <c r="BP31" s="697"/>
      <c r="BQ31" s="697"/>
      <c r="BR31" s="697"/>
      <c r="BS31" s="697"/>
      <c r="BT31" s="697"/>
      <c r="BU31" s="697"/>
      <c r="BV31" s="697"/>
      <c r="BW31" s="697"/>
      <c r="BX31" s="697"/>
      <c r="BY31" s="697"/>
      <c r="BZ31" s="697"/>
      <c r="CA31" s="697"/>
      <c r="CB31" s="697"/>
      <c r="CC31" s="697"/>
      <c r="CD31" s="697"/>
      <c r="CE31" s="697"/>
      <c r="CF31" s="697"/>
      <c r="CG31" s="697"/>
      <c r="CH31" s="697"/>
      <c r="CI31" s="697"/>
      <c r="CJ31" s="697"/>
      <c r="CK31" s="697"/>
      <c r="CL31" s="697"/>
      <c r="CM31" s="697"/>
      <c r="CN31" s="697"/>
      <c r="CO31" s="697"/>
      <c r="CP31" s="697"/>
      <c r="CQ31" s="697"/>
      <c r="CR31" s="697"/>
      <c r="CS31" s="697"/>
      <c r="CT31" s="697"/>
      <c r="CU31" s="697"/>
      <c r="CV31" s="697"/>
      <c r="CW31" s="697"/>
      <c r="CX31" s="697"/>
      <c r="CY31" s="697"/>
      <c r="CZ31" s="697"/>
      <c r="DA31" s="697"/>
    </row>
    <row r="32" spans="1:105" hidden="1" outlineLevel="1" x14ac:dyDescent="0.2">
      <c r="A32" s="709">
        <f t="shared" si="3"/>
        <v>36708</v>
      </c>
      <c r="B32" s="709" t="str">
        <f t="shared" si="0"/>
        <v>3Q00</v>
      </c>
      <c r="C32" s="709" t="str">
        <f t="shared" si="4"/>
        <v>3Q00</v>
      </c>
      <c r="D32" s="710">
        <f t="shared" si="18"/>
        <v>36777</v>
      </c>
      <c r="E32" s="710">
        <f t="shared" si="18"/>
        <v>36717</v>
      </c>
      <c r="F32" s="712">
        <v>1.4490000000000001</v>
      </c>
      <c r="G32" s="713">
        <f t="shared" si="1"/>
        <v>6.0000000000000005E-2</v>
      </c>
      <c r="H32" s="713">
        <f t="shared" si="2"/>
        <v>6.0000000000000005E-2</v>
      </c>
      <c r="I32" s="713">
        <f t="shared" si="19"/>
        <v>2.4999999999999987</v>
      </c>
      <c r="J32" s="713">
        <f t="shared" si="6"/>
        <v>2.5499999999999985</v>
      </c>
      <c r="K32" s="713">
        <f t="shared" si="9"/>
        <v>0.28000000000000008</v>
      </c>
      <c r="L32" s="697"/>
      <c r="M32" s="697"/>
      <c r="N32" s="697"/>
      <c r="O32" s="697"/>
      <c r="P32" s="697"/>
      <c r="Q32" s="697"/>
      <c r="R32" s="697"/>
      <c r="S32" s="697"/>
      <c r="T32" s="697"/>
      <c r="U32" s="697"/>
      <c r="V32" s="697"/>
      <c r="W32" s="697"/>
      <c r="X32" s="697"/>
      <c r="Y32" s="697"/>
      <c r="Z32" s="697"/>
      <c r="AA32" s="697"/>
      <c r="AB32" s="697"/>
      <c r="AC32" s="697"/>
      <c r="AD32" s="697"/>
      <c r="AE32" s="697"/>
      <c r="AF32" s="697"/>
      <c r="AG32" s="697"/>
      <c r="AH32" s="697"/>
      <c r="AI32" s="697"/>
      <c r="AJ32" s="697"/>
      <c r="AK32" s="697"/>
      <c r="AL32" s="697"/>
      <c r="AM32" s="697"/>
      <c r="AN32" s="697"/>
      <c r="AO32" s="697"/>
      <c r="AP32" s="697"/>
      <c r="AQ32" s="697"/>
      <c r="AR32" s="697"/>
      <c r="AS32" s="697"/>
      <c r="AT32" s="697"/>
      <c r="AU32" s="697"/>
      <c r="AV32" s="697"/>
      <c r="AW32" s="697"/>
      <c r="AX32" s="697"/>
      <c r="AY32" s="697"/>
      <c r="AZ32" s="697"/>
      <c r="BA32" s="697"/>
      <c r="BB32" s="697"/>
      <c r="BC32" s="697"/>
      <c r="BD32" s="697"/>
      <c r="BE32" s="697"/>
      <c r="BF32" s="697"/>
      <c r="BG32" s="697"/>
      <c r="BH32" s="697"/>
      <c r="BI32" s="697"/>
      <c r="BJ32" s="697"/>
      <c r="BK32" s="697"/>
      <c r="BL32" s="697"/>
      <c r="BM32" s="697"/>
      <c r="BN32" s="697"/>
      <c r="BO32" s="697"/>
      <c r="BP32" s="697"/>
      <c r="BQ32" s="697"/>
      <c r="BR32" s="697"/>
      <c r="BS32" s="697"/>
      <c r="BT32" s="697"/>
      <c r="BU32" s="697"/>
      <c r="BV32" s="697"/>
      <c r="BW32" s="697"/>
      <c r="BX32" s="697"/>
      <c r="BY32" s="697"/>
      <c r="BZ32" s="697"/>
      <c r="CA32" s="697"/>
      <c r="CB32" s="697"/>
      <c r="CC32" s="697"/>
      <c r="CD32" s="697"/>
      <c r="CE32" s="697"/>
      <c r="CF32" s="697"/>
      <c r="CG32" s="697"/>
      <c r="CH32" s="697"/>
      <c r="CI32" s="697"/>
      <c r="CJ32" s="697"/>
      <c r="CK32" s="697"/>
      <c r="CL32" s="697"/>
      <c r="CM32" s="697"/>
      <c r="CN32" s="697"/>
      <c r="CO32" s="697"/>
      <c r="CP32" s="697"/>
      <c r="CQ32" s="697"/>
      <c r="CR32" s="697"/>
      <c r="CS32" s="697"/>
      <c r="CT32" s="697"/>
      <c r="CU32" s="697"/>
      <c r="CV32" s="697"/>
      <c r="CW32" s="697"/>
      <c r="CX32" s="697"/>
      <c r="CY32" s="697"/>
      <c r="CZ32" s="697"/>
      <c r="DA32" s="697"/>
    </row>
    <row r="33" spans="1:105" hidden="1" outlineLevel="1" x14ac:dyDescent="0.2">
      <c r="A33" s="709">
        <f t="shared" si="3"/>
        <v>36708</v>
      </c>
      <c r="B33" s="709" t="str">
        <f t="shared" si="0"/>
        <v>3Q00</v>
      </c>
      <c r="C33" s="709" t="str">
        <f t="shared" si="4"/>
        <v>3Q00</v>
      </c>
      <c r="D33" s="710">
        <f t="shared" si="18"/>
        <v>36784</v>
      </c>
      <c r="E33" s="710">
        <f t="shared" si="18"/>
        <v>36724</v>
      </c>
      <c r="F33" s="712">
        <v>1.4350000000000001</v>
      </c>
      <c r="G33" s="713">
        <f t="shared" si="1"/>
        <v>6.0000000000000005E-2</v>
      </c>
      <c r="H33" s="713">
        <f t="shared" si="2"/>
        <v>6.0000000000000005E-2</v>
      </c>
      <c r="I33" s="713">
        <f t="shared" si="19"/>
        <v>2.5499999999999985</v>
      </c>
      <c r="J33" s="713">
        <f t="shared" si="6"/>
        <v>2.5999999999999983</v>
      </c>
      <c r="K33" s="713">
        <f t="shared" si="9"/>
        <v>0.29000000000000009</v>
      </c>
      <c r="L33" s="697"/>
      <c r="M33" s="697"/>
      <c r="N33" s="697"/>
      <c r="O33" s="697"/>
      <c r="P33" s="697"/>
      <c r="Q33" s="697"/>
      <c r="R33" s="697"/>
      <c r="S33" s="697"/>
      <c r="T33" s="697"/>
      <c r="U33" s="697"/>
      <c r="V33" s="697"/>
      <c r="W33" s="697"/>
      <c r="X33" s="697"/>
      <c r="Y33" s="697"/>
      <c r="Z33" s="697"/>
      <c r="AA33" s="697"/>
      <c r="AB33" s="697"/>
      <c r="AC33" s="697"/>
      <c r="AD33" s="697"/>
      <c r="AE33" s="697"/>
      <c r="AF33" s="697"/>
      <c r="AG33" s="697"/>
      <c r="AH33" s="697"/>
      <c r="AI33" s="697"/>
      <c r="AJ33" s="697"/>
      <c r="AK33" s="697"/>
      <c r="AL33" s="697"/>
      <c r="AM33" s="697"/>
      <c r="AN33" s="697"/>
      <c r="AO33" s="697"/>
      <c r="AP33" s="697"/>
      <c r="AQ33" s="697"/>
      <c r="AR33" s="697"/>
      <c r="AS33" s="697"/>
      <c r="AT33" s="697"/>
      <c r="AU33" s="697"/>
      <c r="AV33" s="697"/>
      <c r="AW33" s="697"/>
      <c r="AX33" s="697"/>
      <c r="AY33" s="697"/>
      <c r="AZ33" s="697"/>
      <c r="BA33" s="697"/>
      <c r="BB33" s="697"/>
      <c r="BC33" s="697"/>
      <c r="BD33" s="697"/>
      <c r="BE33" s="697"/>
      <c r="BF33" s="697"/>
      <c r="BG33" s="697"/>
      <c r="BH33" s="697"/>
      <c r="BI33" s="697"/>
      <c r="BJ33" s="697"/>
      <c r="BK33" s="697"/>
      <c r="BL33" s="697"/>
      <c r="BM33" s="697"/>
      <c r="BN33" s="697"/>
      <c r="BO33" s="697"/>
      <c r="BP33" s="697"/>
      <c r="BQ33" s="697"/>
      <c r="BR33" s="697"/>
      <c r="BS33" s="697"/>
      <c r="BT33" s="697"/>
      <c r="BU33" s="697"/>
      <c r="BV33" s="697"/>
      <c r="BW33" s="697"/>
      <c r="BX33" s="697"/>
      <c r="BY33" s="697"/>
      <c r="BZ33" s="697"/>
      <c r="CA33" s="697"/>
      <c r="CB33" s="697"/>
      <c r="CC33" s="697"/>
      <c r="CD33" s="697"/>
      <c r="CE33" s="697"/>
      <c r="CF33" s="697"/>
      <c r="CG33" s="697"/>
      <c r="CH33" s="697"/>
      <c r="CI33" s="697"/>
      <c r="CJ33" s="697"/>
      <c r="CK33" s="697"/>
      <c r="CL33" s="697"/>
      <c r="CM33" s="697"/>
      <c r="CN33" s="697"/>
      <c r="CO33" s="697"/>
      <c r="CP33" s="697"/>
      <c r="CQ33" s="697"/>
      <c r="CR33" s="697"/>
      <c r="CS33" s="697"/>
      <c r="CT33" s="697"/>
      <c r="CU33" s="697"/>
      <c r="CV33" s="697"/>
      <c r="CW33" s="697"/>
      <c r="CX33" s="697"/>
      <c r="CY33" s="697"/>
      <c r="CZ33" s="697"/>
      <c r="DA33" s="697"/>
    </row>
    <row r="34" spans="1:105" hidden="1" outlineLevel="1" x14ac:dyDescent="0.2">
      <c r="A34" s="709">
        <f t="shared" si="3"/>
        <v>36708</v>
      </c>
      <c r="B34" s="709" t="str">
        <f t="shared" si="0"/>
        <v>3Q00</v>
      </c>
      <c r="C34" s="709" t="str">
        <f t="shared" si="4"/>
        <v>3Q00</v>
      </c>
      <c r="D34" s="710">
        <f t="shared" si="18"/>
        <v>36791</v>
      </c>
      <c r="E34" s="710">
        <f t="shared" si="18"/>
        <v>36731</v>
      </c>
      <c r="F34" s="712">
        <v>1.4240000000000002</v>
      </c>
      <c r="G34" s="713">
        <f t="shared" si="1"/>
        <v>6.0000000000000005E-2</v>
      </c>
      <c r="H34" s="713">
        <f t="shared" si="2"/>
        <v>6.0000000000000005E-2</v>
      </c>
      <c r="I34" s="713">
        <f t="shared" si="19"/>
        <v>2.5999999999999983</v>
      </c>
      <c r="J34" s="713">
        <f t="shared" si="6"/>
        <v>2.6499999999999981</v>
      </c>
      <c r="K34" s="713">
        <f t="shared" si="9"/>
        <v>0.3000000000000001</v>
      </c>
      <c r="L34" s="697"/>
      <c r="M34" s="697"/>
      <c r="N34" s="697"/>
      <c r="O34" s="697"/>
      <c r="P34" s="697"/>
      <c r="Q34" s="697"/>
      <c r="R34" s="697"/>
      <c r="S34" s="697"/>
      <c r="T34" s="697"/>
      <c r="U34" s="697"/>
      <c r="V34" s="697"/>
      <c r="W34" s="697"/>
      <c r="X34" s="697"/>
      <c r="Y34" s="697"/>
      <c r="Z34" s="697"/>
      <c r="AA34" s="697"/>
      <c r="AB34" s="697"/>
      <c r="AC34" s="697"/>
      <c r="AD34" s="697"/>
      <c r="AE34" s="697"/>
      <c r="AF34" s="697"/>
      <c r="AG34" s="697"/>
      <c r="AH34" s="697"/>
      <c r="AI34" s="697"/>
      <c r="AJ34" s="697"/>
      <c r="AK34" s="697"/>
      <c r="AL34" s="697"/>
      <c r="AM34" s="697"/>
      <c r="AN34" s="697"/>
      <c r="AO34" s="697"/>
      <c r="AP34" s="697"/>
      <c r="AQ34" s="697"/>
      <c r="AR34" s="697"/>
      <c r="AS34" s="697"/>
      <c r="AT34" s="697"/>
      <c r="AU34" s="697"/>
      <c r="AV34" s="697"/>
      <c r="AW34" s="697"/>
      <c r="AX34" s="697"/>
      <c r="AY34" s="697"/>
      <c r="AZ34" s="697"/>
      <c r="BA34" s="697"/>
      <c r="BB34" s="697"/>
      <c r="BC34" s="697"/>
      <c r="BD34" s="697"/>
      <c r="BE34" s="697"/>
      <c r="BF34" s="697"/>
      <c r="BG34" s="697"/>
      <c r="BH34" s="697"/>
      <c r="BI34" s="697"/>
      <c r="BJ34" s="697"/>
      <c r="BK34" s="697"/>
      <c r="BL34" s="697"/>
      <c r="BM34" s="697"/>
      <c r="BN34" s="697"/>
      <c r="BO34" s="697"/>
      <c r="BP34" s="697"/>
      <c r="BQ34" s="697"/>
      <c r="BR34" s="697"/>
      <c r="BS34" s="697"/>
      <c r="BT34" s="697"/>
      <c r="BU34" s="697"/>
      <c r="BV34" s="697"/>
      <c r="BW34" s="697"/>
      <c r="BX34" s="697"/>
      <c r="BY34" s="697"/>
      <c r="BZ34" s="697"/>
      <c r="CA34" s="697"/>
      <c r="CB34" s="697"/>
      <c r="CC34" s="697"/>
      <c r="CD34" s="697"/>
      <c r="CE34" s="697"/>
      <c r="CF34" s="697"/>
      <c r="CG34" s="697"/>
      <c r="CH34" s="697"/>
      <c r="CI34" s="697"/>
      <c r="CJ34" s="697"/>
      <c r="CK34" s="697"/>
      <c r="CL34" s="697"/>
      <c r="CM34" s="697"/>
      <c r="CN34" s="697"/>
      <c r="CO34" s="697"/>
      <c r="CP34" s="697"/>
      <c r="CQ34" s="697"/>
      <c r="CR34" s="697"/>
      <c r="CS34" s="697"/>
      <c r="CT34" s="697"/>
      <c r="CU34" s="697"/>
      <c r="CV34" s="697"/>
      <c r="CW34" s="697"/>
      <c r="CX34" s="697"/>
      <c r="CY34" s="697"/>
      <c r="CZ34" s="697"/>
      <c r="DA34" s="697"/>
    </row>
    <row r="35" spans="1:105" hidden="1" outlineLevel="1" x14ac:dyDescent="0.2">
      <c r="A35" s="709">
        <f t="shared" si="3"/>
        <v>36708</v>
      </c>
      <c r="B35" s="709" t="str">
        <f t="shared" si="0"/>
        <v>3Q00</v>
      </c>
      <c r="C35" s="709" t="str">
        <f t="shared" si="4"/>
        <v>3Q00</v>
      </c>
      <c r="D35" s="710">
        <f t="shared" si="18"/>
        <v>36798</v>
      </c>
      <c r="E35" s="710">
        <f t="shared" si="18"/>
        <v>36738</v>
      </c>
      <c r="F35" s="712">
        <v>1.4080000000000001</v>
      </c>
      <c r="G35" s="713">
        <f t="shared" si="1"/>
        <v>6.0000000000000005E-2</v>
      </c>
      <c r="H35" s="713">
        <f t="shared" si="2"/>
        <v>6.0000000000000005E-2</v>
      </c>
      <c r="I35" s="713">
        <f t="shared" si="19"/>
        <v>2.6499999999999981</v>
      </c>
      <c r="J35" s="713">
        <f t="shared" si="6"/>
        <v>2.699999999999998</v>
      </c>
      <c r="K35" s="713">
        <f t="shared" si="9"/>
        <v>0.31000000000000011</v>
      </c>
      <c r="L35" s="697"/>
      <c r="M35" s="697"/>
      <c r="N35" s="697"/>
      <c r="O35" s="697"/>
      <c r="P35" s="697"/>
      <c r="Q35" s="697"/>
      <c r="R35" s="697"/>
      <c r="S35" s="697"/>
      <c r="T35" s="697"/>
      <c r="U35" s="697"/>
      <c r="V35" s="697"/>
      <c r="W35" s="697"/>
      <c r="X35" s="697"/>
      <c r="Y35" s="697"/>
      <c r="Z35" s="697"/>
      <c r="AA35" s="697"/>
      <c r="AB35" s="697"/>
      <c r="AC35" s="697"/>
      <c r="AD35" s="697"/>
      <c r="AE35" s="697"/>
      <c r="AF35" s="697"/>
      <c r="AG35" s="697"/>
      <c r="AH35" s="697"/>
      <c r="AI35" s="697"/>
      <c r="AJ35" s="697"/>
      <c r="AK35" s="697"/>
      <c r="AL35" s="697"/>
      <c r="AM35" s="697"/>
      <c r="AN35" s="697"/>
      <c r="AO35" s="697"/>
      <c r="AP35" s="697"/>
      <c r="AQ35" s="697"/>
      <c r="AR35" s="697"/>
      <c r="AS35" s="697"/>
      <c r="AT35" s="697"/>
      <c r="AU35" s="697"/>
      <c r="AV35" s="697"/>
      <c r="AW35" s="697"/>
      <c r="AX35" s="697"/>
      <c r="AY35" s="697"/>
      <c r="AZ35" s="697"/>
      <c r="BA35" s="697"/>
      <c r="BB35" s="697"/>
      <c r="BC35" s="697"/>
      <c r="BD35" s="697"/>
      <c r="BE35" s="697"/>
      <c r="BF35" s="697"/>
      <c r="BG35" s="697"/>
      <c r="BH35" s="697"/>
      <c r="BI35" s="697"/>
      <c r="BJ35" s="697"/>
      <c r="BK35" s="697"/>
      <c r="BL35" s="697"/>
      <c r="BM35" s="697"/>
      <c r="BN35" s="697"/>
      <c r="BO35" s="697"/>
      <c r="BP35" s="697"/>
      <c r="BQ35" s="697"/>
      <c r="BR35" s="697"/>
      <c r="BS35" s="697"/>
      <c r="BT35" s="697"/>
      <c r="BU35" s="697"/>
      <c r="BV35" s="697"/>
      <c r="BW35" s="697"/>
      <c r="BX35" s="697"/>
      <c r="BY35" s="697"/>
      <c r="BZ35" s="697"/>
      <c r="CA35" s="697"/>
      <c r="CB35" s="697"/>
      <c r="CC35" s="697"/>
      <c r="CD35" s="697"/>
      <c r="CE35" s="697"/>
      <c r="CF35" s="697"/>
      <c r="CG35" s="697"/>
      <c r="CH35" s="697"/>
      <c r="CI35" s="697"/>
      <c r="CJ35" s="697"/>
      <c r="CK35" s="697"/>
      <c r="CL35" s="697"/>
      <c r="CM35" s="697"/>
      <c r="CN35" s="697"/>
      <c r="CO35" s="697"/>
      <c r="CP35" s="697"/>
      <c r="CQ35" s="697"/>
      <c r="CR35" s="697"/>
      <c r="CS35" s="697"/>
      <c r="CT35" s="697"/>
      <c r="CU35" s="697"/>
      <c r="CV35" s="697"/>
      <c r="CW35" s="697"/>
      <c r="CX35" s="697"/>
      <c r="CY35" s="697"/>
      <c r="CZ35" s="697"/>
      <c r="DA35" s="697"/>
    </row>
    <row r="36" spans="1:105" hidden="1" outlineLevel="1" x14ac:dyDescent="0.2">
      <c r="A36" s="709">
        <f t="shared" si="3"/>
        <v>36739</v>
      </c>
      <c r="B36" s="709" t="str">
        <f t="shared" si="0"/>
        <v>3Q00</v>
      </c>
      <c r="C36" s="709" t="str">
        <f t="shared" si="4"/>
        <v>4Q00</v>
      </c>
      <c r="D36" s="710">
        <f t="shared" si="18"/>
        <v>36805</v>
      </c>
      <c r="E36" s="710">
        <f t="shared" si="18"/>
        <v>36745</v>
      </c>
      <c r="F36" s="712">
        <v>1.41</v>
      </c>
      <c r="G36" s="713">
        <f t="shared" si="1"/>
        <v>6.0000000000000005E-2</v>
      </c>
      <c r="H36" s="713">
        <f t="shared" si="2"/>
        <v>6.0000000000000005E-2</v>
      </c>
      <c r="I36" s="713">
        <f t="shared" si="19"/>
        <v>2.699999999999998</v>
      </c>
      <c r="J36" s="713">
        <f t="shared" si="6"/>
        <v>2.7499999999999978</v>
      </c>
      <c r="K36" s="713">
        <f t="shared" si="9"/>
        <v>0.32000000000000012</v>
      </c>
      <c r="L36" s="697"/>
      <c r="M36" s="697"/>
      <c r="N36" s="697"/>
      <c r="O36" s="697"/>
      <c r="P36" s="697"/>
      <c r="Q36" s="697"/>
      <c r="R36" s="697"/>
      <c r="S36" s="697"/>
      <c r="T36" s="697"/>
      <c r="U36" s="697"/>
      <c r="V36" s="697"/>
      <c r="W36" s="697"/>
      <c r="X36" s="697"/>
      <c r="Y36" s="697"/>
      <c r="Z36" s="697"/>
      <c r="AA36" s="697"/>
      <c r="AB36" s="697"/>
      <c r="AC36" s="697"/>
      <c r="AD36" s="697"/>
      <c r="AE36" s="697"/>
      <c r="AF36" s="697"/>
      <c r="AG36" s="697"/>
      <c r="AH36" s="697"/>
      <c r="AI36" s="697"/>
      <c r="AJ36" s="697"/>
      <c r="AK36" s="697"/>
      <c r="AL36" s="697"/>
      <c r="AM36" s="697"/>
      <c r="AN36" s="697"/>
      <c r="AO36" s="697"/>
      <c r="AP36" s="697"/>
      <c r="AQ36" s="697"/>
      <c r="AR36" s="697"/>
      <c r="AS36" s="697"/>
      <c r="AT36" s="697"/>
      <c r="AU36" s="697"/>
      <c r="AV36" s="697"/>
      <c r="AW36" s="697"/>
      <c r="AX36" s="697"/>
      <c r="AY36" s="697"/>
      <c r="AZ36" s="697"/>
      <c r="BA36" s="697"/>
      <c r="BB36" s="697"/>
      <c r="BC36" s="697"/>
      <c r="BD36" s="697"/>
      <c r="BE36" s="697"/>
      <c r="BF36" s="697"/>
      <c r="BG36" s="697"/>
      <c r="BH36" s="697"/>
      <c r="BI36" s="697"/>
      <c r="BJ36" s="697"/>
      <c r="BK36" s="697"/>
      <c r="BL36" s="697"/>
      <c r="BM36" s="697"/>
      <c r="BN36" s="697"/>
      <c r="BO36" s="697"/>
      <c r="BP36" s="697"/>
      <c r="BQ36" s="697"/>
      <c r="BR36" s="697"/>
      <c r="BS36" s="697"/>
      <c r="BT36" s="697"/>
      <c r="BU36" s="697"/>
      <c r="BV36" s="697"/>
      <c r="BW36" s="697"/>
      <c r="BX36" s="697"/>
      <c r="BY36" s="697"/>
      <c r="BZ36" s="697"/>
      <c r="CA36" s="697"/>
      <c r="CB36" s="697"/>
      <c r="CC36" s="697"/>
      <c r="CD36" s="697"/>
      <c r="CE36" s="697"/>
      <c r="CF36" s="697"/>
      <c r="CG36" s="697"/>
      <c r="CH36" s="697"/>
      <c r="CI36" s="697"/>
      <c r="CJ36" s="697"/>
      <c r="CK36" s="697"/>
      <c r="CL36" s="697"/>
      <c r="CM36" s="697"/>
      <c r="CN36" s="697"/>
      <c r="CO36" s="697"/>
      <c r="CP36" s="697"/>
      <c r="CQ36" s="697"/>
      <c r="CR36" s="697"/>
      <c r="CS36" s="697"/>
      <c r="CT36" s="697"/>
      <c r="CU36" s="697"/>
      <c r="CV36" s="697"/>
      <c r="CW36" s="697"/>
      <c r="CX36" s="697"/>
      <c r="CY36" s="697"/>
      <c r="CZ36" s="697"/>
      <c r="DA36" s="697"/>
    </row>
    <row r="37" spans="1:105" hidden="1" outlineLevel="1" x14ac:dyDescent="0.2">
      <c r="A37" s="709">
        <f t="shared" si="3"/>
        <v>36739</v>
      </c>
      <c r="B37" s="709" t="str">
        <f t="shared" si="0"/>
        <v>3Q00</v>
      </c>
      <c r="C37" s="709" t="str">
        <f t="shared" si="4"/>
        <v>4Q00</v>
      </c>
      <c r="D37" s="710">
        <f t="shared" ref="D37:E52" si="20">D36+7</f>
        <v>36812</v>
      </c>
      <c r="E37" s="710">
        <f t="shared" si="20"/>
        <v>36752</v>
      </c>
      <c r="F37" s="712">
        <v>1.4469999999999998</v>
      </c>
      <c r="G37" s="713">
        <f t="shared" si="1"/>
        <v>6.0000000000000005E-2</v>
      </c>
      <c r="H37" s="713">
        <f t="shared" si="2"/>
        <v>7.0000000000000007E-2</v>
      </c>
      <c r="I37" s="713">
        <f t="shared" si="19"/>
        <v>2.7499999999999978</v>
      </c>
      <c r="J37" s="713">
        <f t="shared" si="6"/>
        <v>2.7999999999999976</v>
      </c>
      <c r="K37" s="713">
        <f t="shared" si="9"/>
        <v>0.33000000000000013</v>
      </c>
      <c r="L37" s="697"/>
      <c r="M37" s="697"/>
      <c r="N37" s="697"/>
      <c r="O37" s="697"/>
      <c r="P37" s="697"/>
      <c r="Q37" s="697"/>
      <c r="R37" s="697"/>
      <c r="S37" s="697"/>
      <c r="T37" s="697"/>
      <c r="U37" s="697"/>
      <c r="V37" s="697"/>
      <c r="W37" s="697"/>
      <c r="X37" s="697"/>
      <c r="Y37" s="697"/>
      <c r="Z37" s="697"/>
      <c r="AA37" s="697"/>
      <c r="AB37" s="697"/>
      <c r="AC37" s="697"/>
      <c r="AD37" s="697"/>
      <c r="AE37" s="697"/>
      <c r="AF37" s="697"/>
      <c r="AG37" s="697"/>
      <c r="AH37" s="697"/>
      <c r="AI37" s="697"/>
      <c r="AJ37" s="697"/>
      <c r="AK37" s="697"/>
      <c r="AL37" s="697"/>
      <c r="AM37" s="697"/>
      <c r="AN37" s="697"/>
      <c r="AO37" s="697"/>
      <c r="AP37" s="697"/>
      <c r="AQ37" s="697"/>
      <c r="AR37" s="697"/>
      <c r="AS37" s="697"/>
      <c r="AT37" s="697"/>
      <c r="AU37" s="697"/>
      <c r="AV37" s="697"/>
      <c r="AW37" s="697"/>
      <c r="AX37" s="697"/>
      <c r="AY37" s="697"/>
      <c r="AZ37" s="697"/>
      <c r="BA37" s="697"/>
      <c r="BB37" s="697"/>
      <c r="BC37" s="697"/>
      <c r="BD37" s="697"/>
      <c r="BE37" s="697"/>
      <c r="BF37" s="697"/>
      <c r="BG37" s="697"/>
      <c r="BH37" s="697"/>
      <c r="BI37" s="697"/>
      <c r="BJ37" s="697"/>
      <c r="BK37" s="697"/>
      <c r="BL37" s="697"/>
      <c r="BM37" s="697"/>
      <c r="BN37" s="697"/>
      <c r="BO37" s="697"/>
      <c r="BP37" s="697"/>
      <c r="BQ37" s="697"/>
      <c r="BR37" s="697"/>
      <c r="BS37" s="697"/>
      <c r="BT37" s="697"/>
      <c r="BU37" s="697"/>
      <c r="BV37" s="697"/>
      <c r="BW37" s="697"/>
      <c r="BX37" s="697"/>
      <c r="BY37" s="697"/>
      <c r="BZ37" s="697"/>
      <c r="CA37" s="697"/>
      <c r="CB37" s="697"/>
      <c r="CC37" s="697"/>
      <c r="CD37" s="697"/>
      <c r="CE37" s="697"/>
      <c r="CF37" s="697"/>
      <c r="CG37" s="697"/>
      <c r="CH37" s="697"/>
      <c r="CI37" s="697"/>
      <c r="CJ37" s="697"/>
      <c r="CK37" s="697"/>
      <c r="CL37" s="697"/>
      <c r="CM37" s="697"/>
      <c r="CN37" s="697"/>
      <c r="CO37" s="697"/>
      <c r="CP37" s="697"/>
      <c r="CQ37" s="697"/>
      <c r="CR37" s="697"/>
      <c r="CS37" s="697"/>
      <c r="CT37" s="697"/>
      <c r="CU37" s="697"/>
      <c r="CV37" s="697"/>
      <c r="CW37" s="697"/>
      <c r="CX37" s="697"/>
      <c r="CY37" s="697"/>
      <c r="CZ37" s="697"/>
      <c r="DA37" s="697"/>
    </row>
    <row r="38" spans="1:105" hidden="1" outlineLevel="1" x14ac:dyDescent="0.2">
      <c r="A38" s="709">
        <f t="shared" si="3"/>
        <v>36739</v>
      </c>
      <c r="B38" s="709" t="str">
        <f t="shared" si="0"/>
        <v>3Q00</v>
      </c>
      <c r="C38" s="709" t="str">
        <f t="shared" si="4"/>
        <v>4Q00</v>
      </c>
      <c r="D38" s="710">
        <f t="shared" si="20"/>
        <v>36819</v>
      </c>
      <c r="E38" s="710">
        <f t="shared" si="20"/>
        <v>36759</v>
      </c>
      <c r="F38" s="712">
        <v>1.4709999999999999</v>
      </c>
      <c r="G38" s="713">
        <f t="shared" si="1"/>
        <v>7.0000000000000007E-2</v>
      </c>
      <c r="H38" s="713">
        <f t="shared" si="2"/>
        <v>0.08</v>
      </c>
      <c r="I38" s="713">
        <f t="shared" ref="I38:I53" si="21">I37+0.05</f>
        <v>2.7999999999999976</v>
      </c>
      <c r="J38" s="713">
        <f t="shared" si="6"/>
        <v>2.8499999999999974</v>
      </c>
      <c r="K38" s="713">
        <f t="shared" si="9"/>
        <v>0.34000000000000014</v>
      </c>
      <c r="L38" s="697"/>
      <c r="M38" s="697"/>
      <c r="N38" s="697"/>
      <c r="O38" s="697"/>
      <c r="P38" s="697"/>
      <c r="Q38" s="697"/>
      <c r="R38" s="697"/>
      <c r="S38" s="697"/>
      <c r="T38" s="697"/>
      <c r="U38" s="697"/>
      <c r="V38" s="697"/>
      <c r="W38" s="697"/>
      <c r="X38" s="697"/>
      <c r="Y38" s="697"/>
      <c r="Z38" s="697"/>
      <c r="AA38" s="697"/>
      <c r="AB38" s="697"/>
      <c r="AC38" s="697"/>
      <c r="AD38" s="697"/>
      <c r="AE38" s="697"/>
      <c r="AF38" s="697"/>
      <c r="AG38" s="697"/>
      <c r="AH38" s="697"/>
      <c r="AI38" s="697"/>
      <c r="AJ38" s="697"/>
      <c r="AK38" s="697"/>
      <c r="AL38" s="697"/>
      <c r="AM38" s="697"/>
      <c r="AN38" s="697"/>
      <c r="AO38" s="697"/>
      <c r="AP38" s="697"/>
      <c r="AQ38" s="697"/>
      <c r="AR38" s="697"/>
      <c r="AS38" s="697"/>
      <c r="AT38" s="697"/>
      <c r="AU38" s="697"/>
      <c r="AV38" s="697"/>
      <c r="AW38" s="697"/>
      <c r="AX38" s="697"/>
      <c r="AY38" s="697"/>
      <c r="AZ38" s="697"/>
      <c r="BA38" s="697"/>
      <c r="BB38" s="697"/>
      <c r="BC38" s="697"/>
      <c r="BD38" s="697"/>
      <c r="BE38" s="697"/>
      <c r="BF38" s="697"/>
      <c r="BG38" s="697"/>
      <c r="BH38" s="697"/>
      <c r="BI38" s="697"/>
      <c r="BJ38" s="697"/>
      <c r="BK38" s="697"/>
      <c r="BL38" s="697"/>
      <c r="BM38" s="697"/>
      <c r="BN38" s="697"/>
      <c r="BO38" s="697"/>
      <c r="BP38" s="697"/>
      <c r="BQ38" s="697"/>
      <c r="BR38" s="697"/>
      <c r="BS38" s="697"/>
      <c r="BT38" s="697"/>
      <c r="BU38" s="697"/>
      <c r="BV38" s="697"/>
      <c r="BW38" s="697"/>
      <c r="BX38" s="697"/>
      <c r="BY38" s="697"/>
      <c r="BZ38" s="697"/>
      <c r="CA38" s="697"/>
      <c r="CB38" s="697"/>
      <c r="CC38" s="697"/>
      <c r="CD38" s="697"/>
      <c r="CE38" s="697"/>
      <c r="CF38" s="697"/>
      <c r="CG38" s="697"/>
      <c r="CH38" s="697"/>
      <c r="CI38" s="697"/>
      <c r="CJ38" s="697"/>
      <c r="CK38" s="697"/>
      <c r="CL38" s="697"/>
      <c r="CM38" s="697"/>
      <c r="CN38" s="697"/>
      <c r="CO38" s="697"/>
      <c r="CP38" s="697"/>
      <c r="CQ38" s="697"/>
      <c r="CR38" s="697"/>
      <c r="CS38" s="697"/>
      <c r="CT38" s="697"/>
      <c r="CU38" s="697"/>
      <c r="CV38" s="697"/>
      <c r="CW38" s="697"/>
      <c r="CX38" s="697"/>
      <c r="CY38" s="697"/>
      <c r="CZ38" s="697"/>
      <c r="DA38" s="697"/>
    </row>
    <row r="39" spans="1:105" hidden="1" outlineLevel="1" x14ac:dyDescent="0.2">
      <c r="A39" s="709">
        <f t="shared" si="3"/>
        <v>36739</v>
      </c>
      <c r="B39" s="709" t="str">
        <f t="shared" si="0"/>
        <v>3Q00</v>
      </c>
      <c r="C39" s="709" t="str">
        <f t="shared" si="4"/>
        <v>4Q00</v>
      </c>
      <c r="D39" s="710">
        <f t="shared" si="20"/>
        <v>36826</v>
      </c>
      <c r="E39" s="710">
        <f t="shared" si="20"/>
        <v>36766</v>
      </c>
      <c r="F39" s="712">
        <v>1.536</v>
      </c>
      <c r="G39" s="713">
        <f t="shared" si="1"/>
        <v>0.08</v>
      </c>
      <c r="H39" s="713">
        <f t="shared" si="2"/>
        <v>9.9999999999999992E-2</v>
      </c>
      <c r="I39" s="713">
        <f t="shared" si="21"/>
        <v>2.8499999999999974</v>
      </c>
      <c r="J39" s="713">
        <f t="shared" si="6"/>
        <v>2.8999999999999972</v>
      </c>
      <c r="K39" s="713">
        <f t="shared" si="9"/>
        <v>0.35000000000000014</v>
      </c>
      <c r="L39" s="697"/>
      <c r="M39" s="697"/>
      <c r="N39" s="697"/>
      <c r="O39" s="697"/>
      <c r="P39" s="697"/>
      <c r="Q39" s="697"/>
      <c r="R39" s="697"/>
      <c r="S39" s="697"/>
      <c r="T39" s="697"/>
      <c r="U39" s="697"/>
      <c r="V39" s="697"/>
      <c r="W39" s="697"/>
      <c r="X39" s="697"/>
      <c r="Y39" s="697"/>
      <c r="Z39" s="697"/>
      <c r="AA39" s="697"/>
      <c r="AB39" s="697"/>
      <c r="AC39" s="697"/>
      <c r="AD39" s="697"/>
      <c r="AE39" s="697"/>
      <c r="AF39" s="697"/>
      <c r="AG39" s="697"/>
      <c r="AH39" s="697"/>
      <c r="AI39" s="697"/>
      <c r="AJ39" s="697"/>
      <c r="AK39" s="697"/>
      <c r="AL39" s="697"/>
      <c r="AM39" s="697"/>
      <c r="AN39" s="697"/>
      <c r="AO39" s="697"/>
      <c r="AP39" s="697"/>
      <c r="AQ39" s="697"/>
      <c r="AR39" s="697"/>
      <c r="AS39" s="697"/>
      <c r="AT39" s="697"/>
      <c r="AU39" s="697"/>
      <c r="AV39" s="697"/>
      <c r="AW39" s="697"/>
      <c r="AX39" s="697"/>
      <c r="AY39" s="697"/>
      <c r="AZ39" s="697"/>
      <c r="BA39" s="697"/>
      <c r="BB39" s="697"/>
      <c r="BC39" s="697"/>
      <c r="BD39" s="697"/>
      <c r="BE39" s="697"/>
      <c r="BF39" s="697"/>
      <c r="BG39" s="697"/>
      <c r="BH39" s="697"/>
      <c r="BI39" s="697"/>
      <c r="BJ39" s="697"/>
      <c r="BK39" s="697"/>
      <c r="BL39" s="697"/>
      <c r="BM39" s="697"/>
      <c r="BN39" s="697"/>
      <c r="BO39" s="697"/>
      <c r="BP39" s="697"/>
      <c r="BQ39" s="697"/>
      <c r="BR39" s="697"/>
      <c r="BS39" s="697"/>
      <c r="BT39" s="697"/>
      <c r="BU39" s="697"/>
      <c r="BV39" s="697"/>
      <c r="BW39" s="697"/>
      <c r="BX39" s="697"/>
      <c r="BY39" s="697"/>
      <c r="BZ39" s="697"/>
      <c r="CA39" s="697"/>
      <c r="CB39" s="697"/>
      <c r="CC39" s="697"/>
      <c r="CD39" s="697"/>
      <c r="CE39" s="697"/>
      <c r="CF39" s="697"/>
      <c r="CG39" s="697"/>
      <c r="CH39" s="697"/>
      <c r="CI39" s="697"/>
      <c r="CJ39" s="697"/>
      <c r="CK39" s="697"/>
      <c r="CL39" s="697"/>
      <c r="CM39" s="697"/>
      <c r="CN39" s="697"/>
      <c r="CO39" s="697"/>
      <c r="CP39" s="697"/>
      <c r="CQ39" s="697"/>
      <c r="CR39" s="697"/>
      <c r="CS39" s="697"/>
      <c r="CT39" s="697"/>
      <c r="CU39" s="697"/>
      <c r="CV39" s="697"/>
      <c r="CW39" s="697"/>
      <c r="CX39" s="697"/>
      <c r="CY39" s="697"/>
      <c r="CZ39" s="697"/>
      <c r="DA39" s="697"/>
    </row>
    <row r="40" spans="1:105" hidden="1" outlineLevel="1" x14ac:dyDescent="0.2">
      <c r="A40" s="709">
        <f t="shared" si="3"/>
        <v>36770</v>
      </c>
      <c r="B40" s="709" t="str">
        <f t="shared" si="0"/>
        <v>3Q00</v>
      </c>
      <c r="C40" s="709" t="str">
        <f t="shared" si="4"/>
        <v>4Q00</v>
      </c>
      <c r="D40" s="710">
        <f t="shared" si="20"/>
        <v>36833</v>
      </c>
      <c r="E40" s="710">
        <f t="shared" si="20"/>
        <v>36773</v>
      </c>
      <c r="F40" s="712">
        <v>1.609</v>
      </c>
      <c r="G40" s="713">
        <f t="shared" si="1"/>
        <v>9.9999999999999992E-2</v>
      </c>
      <c r="H40" s="713">
        <f t="shared" si="2"/>
        <v>9.9999999999999992E-2</v>
      </c>
      <c r="I40" s="713">
        <f t="shared" si="21"/>
        <v>2.8999999999999972</v>
      </c>
      <c r="J40" s="713">
        <f t="shared" si="6"/>
        <v>2.9499999999999971</v>
      </c>
      <c r="K40" s="713">
        <f t="shared" si="9"/>
        <v>0.36000000000000015</v>
      </c>
      <c r="L40" s="697"/>
      <c r="M40" s="697"/>
      <c r="N40" s="697"/>
      <c r="O40" s="697"/>
      <c r="P40" s="697"/>
      <c r="Q40" s="697"/>
      <c r="R40" s="697"/>
      <c r="S40" s="697"/>
      <c r="T40" s="697"/>
      <c r="U40" s="697"/>
      <c r="V40" s="697"/>
      <c r="W40" s="697"/>
      <c r="X40" s="697"/>
      <c r="Y40" s="697"/>
      <c r="Z40" s="697"/>
      <c r="AA40" s="697"/>
      <c r="AB40" s="697"/>
      <c r="AC40" s="697"/>
      <c r="AD40" s="697"/>
      <c r="AE40" s="697"/>
      <c r="AF40" s="697"/>
      <c r="AG40" s="697"/>
      <c r="AH40" s="697"/>
      <c r="AI40" s="697"/>
      <c r="AJ40" s="697"/>
      <c r="AK40" s="697"/>
      <c r="AL40" s="697"/>
      <c r="AM40" s="697"/>
      <c r="AN40" s="697"/>
      <c r="AO40" s="697"/>
      <c r="AP40" s="697"/>
      <c r="AQ40" s="697"/>
      <c r="AR40" s="697"/>
      <c r="AS40" s="697"/>
      <c r="AT40" s="697"/>
      <c r="AU40" s="697"/>
      <c r="AV40" s="697"/>
      <c r="AW40" s="697"/>
      <c r="AX40" s="697"/>
      <c r="AY40" s="697"/>
      <c r="AZ40" s="697"/>
      <c r="BA40" s="697"/>
      <c r="BB40" s="697"/>
      <c r="BC40" s="697"/>
      <c r="BD40" s="697"/>
      <c r="BE40" s="697"/>
      <c r="BF40" s="697"/>
      <c r="BG40" s="697"/>
      <c r="BH40" s="697"/>
      <c r="BI40" s="697"/>
      <c r="BJ40" s="697"/>
      <c r="BK40" s="697"/>
      <c r="BL40" s="697"/>
      <c r="BM40" s="697"/>
      <c r="BN40" s="697"/>
      <c r="BO40" s="697"/>
      <c r="BP40" s="697"/>
      <c r="BQ40" s="697"/>
      <c r="BR40" s="697"/>
      <c r="BS40" s="697"/>
      <c r="BT40" s="697"/>
      <c r="BU40" s="697"/>
      <c r="BV40" s="697"/>
      <c r="BW40" s="697"/>
      <c r="BX40" s="697"/>
      <c r="BY40" s="697"/>
      <c r="BZ40" s="697"/>
      <c r="CA40" s="697"/>
      <c r="CB40" s="697"/>
      <c r="CC40" s="697"/>
      <c r="CD40" s="697"/>
      <c r="CE40" s="697"/>
      <c r="CF40" s="697"/>
      <c r="CG40" s="697"/>
      <c r="CH40" s="697"/>
      <c r="CI40" s="697"/>
      <c r="CJ40" s="697"/>
      <c r="CK40" s="697"/>
      <c r="CL40" s="697"/>
      <c r="CM40" s="697"/>
      <c r="CN40" s="697"/>
      <c r="CO40" s="697"/>
      <c r="CP40" s="697"/>
      <c r="CQ40" s="697"/>
      <c r="CR40" s="697"/>
      <c r="CS40" s="697"/>
      <c r="CT40" s="697"/>
      <c r="CU40" s="697"/>
      <c r="CV40" s="697"/>
      <c r="CW40" s="697"/>
      <c r="CX40" s="697"/>
      <c r="CY40" s="697"/>
      <c r="CZ40" s="697"/>
      <c r="DA40" s="697"/>
    </row>
    <row r="41" spans="1:105" hidden="1" outlineLevel="1" x14ac:dyDescent="0.2">
      <c r="A41" s="709">
        <f t="shared" si="3"/>
        <v>36770</v>
      </c>
      <c r="B41" s="709" t="str">
        <f t="shared" si="0"/>
        <v>3Q00</v>
      </c>
      <c r="C41" s="709" t="str">
        <f t="shared" si="4"/>
        <v>4Q00</v>
      </c>
      <c r="D41" s="710">
        <f t="shared" si="20"/>
        <v>36840</v>
      </c>
      <c r="E41" s="710">
        <f t="shared" si="20"/>
        <v>36780</v>
      </c>
      <c r="F41" s="712">
        <v>1.629</v>
      </c>
      <c r="G41" s="713">
        <f t="shared" si="1"/>
        <v>9.9999999999999992E-2</v>
      </c>
      <c r="H41" s="713">
        <f t="shared" si="2"/>
        <v>0.10999999999999999</v>
      </c>
      <c r="I41" s="713">
        <f t="shared" si="21"/>
        <v>2.9499999999999971</v>
      </c>
      <c r="J41" s="713">
        <f t="shared" si="6"/>
        <v>2.9999999999999969</v>
      </c>
      <c r="K41" s="713">
        <f t="shared" si="9"/>
        <v>0.37000000000000016</v>
      </c>
      <c r="L41" s="697"/>
      <c r="M41" s="697"/>
      <c r="N41" s="697"/>
      <c r="O41" s="697"/>
      <c r="P41" s="697"/>
      <c r="Q41" s="697"/>
      <c r="R41" s="697"/>
      <c r="S41" s="697"/>
      <c r="T41" s="697"/>
      <c r="U41" s="697"/>
      <c r="V41" s="697"/>
      <c r="W41" s="697"/>
      <c r="X41" s="697"/>
      <c r="Y41" s="697"/>
      <c r="Z41" s="697"/>
      <c r="AA41" s="697"/>
      <c r="AB41" s="697"/>
      <c r="AC41" s="697"/>
      <c r="AD41" s="697"/>
      <c r="AE41" s="697"/>
      <c r="AF41" s="697"/>
      <c r="AG41" s="697"/>
      <c r="AH41" s="697"/>
      <c r="AI41" s="697"/>
      <c r="AJ41" s="697"/>
      <c r="AK41" s="697"/>
      <c r="AL41" s="697"/>
      <c r="AM41" s="697"/>
      <c r="AN41" s="697"/>
      <c r="AO41" s="697"/>
      <c r="AP41" s="697"/>
      <c r="AQ41" s="697"/>
      <c r="AR41" s="697"/>
      <c r="AS41" s="697"/>
      <c r="AT41" s="697"/>
      <c r="AU41" s="697"/>
      <c r="AV41" s="697"/>
      <c r="AW41" s="697"/>
      <c r="AX41" s="697"/>
      <c r="AY41" s="697"/>
      <c r="AZ41" s="697"/>
      <c r="BA41" s="697"/>
      <c r="BB41" s="697"/>
      <c r="BC41" s="697"/>
      <c r="BD41" s="697"/>
      <c r="BE41" s="697"/>
      <c r="BF41" s="697"/>
      <c r="BG41" s="697"/>
      <c r="BH41" s="697"/>
      <c r="BI41" s="697"/>
      <c r="BJ41" s="697"/>
      <c r="BK41" s="697"/>
      <c r="BL41" s="697"/>
      <c r="BM41" s="697"/>
      <c r="BN41" s="697"/>
      <c r="BO41" s="697"/>
      <c r="BP41" s="697"/>
      <c r="BQ41" s="697"/>
      <c r="BR41" s="697"/>
      <c r="BS41" s="697"/>
      <c r="BT41" s="697"/>
      <c r="BU41" s="697"/>
      <c r="BV41" s="697"/>
      <c r="BW41" s="697"/>
      <c r="BX41" s="697"/>
      <c r="BY41" s="697"/>
      <c r="BZ41" s="697"/>
      <c r="CA41" s="697"/>
      <c r="CB41" s="697"/>
      <c r="CC41" s="697"/>
      <c r="CD41" s="697"/>
      <c r="CE41" s="697"/>
      <c r="CF41" s="697"/>
      <c r="CG41" s="697"/>
      <c r="CH41" s="697"/>
      <c r="CI41" s="697"/>
      <c r="CJ41" s="697"/>
      <c r="CK41" s="697"/>
      <c r="CL41" s="697"/>
      <c r="CM41" s="697"/>
      <c r="CN41" s="697"/>
      <c r="CO41" s="697"/>
      <c r="CP41" s="697"/>
      <c r="CQ41" s="697"/>
      <c r="CR41" s="697"/>
      <c r="CS41" s="697"/>
      <c r="CT41" s="697"/>
      <c r="CU41" s="697"/>
      <c r="CV41" s="697"/>
      <c r="CW41" s="697"/>
      <c r="CX41" s="697"/>
      <c r="CY41" s="697"/>
      <c r="CZ41" s="697"/>
      <c r="DA41" s="697"/>
    </row>
    <row r="42" spans="1:105" hidden="1" outlineLevel="1" x14ac:dyDescent="0.2">
      <c r="A42" s="709">
        <f t="shared" si="3"/>
        <v>36770</v>
      </c>
      <c r="B42" s="709" t="str">
        <f t="shared" si="0"/>
        <v>3Q00</v>
      </c>
      <c r="C42" s="709" t="str">
        <f t="shared" si="4"/>
        <v>4Q00</v>
      </c>
      <c r="D42" s="710">
        <f t="shared" si="20"/>
        <v>36847</v>
      </c>
      <c r="E42" s="710">
        <f t="shared" si="20"/>
        <v>36787</v>
      </c>
      <c r="F42" s="712">
        <v>1.653</v>
      </c>
      <c r="G42" s="713">
        <f t="shared" si="1"/>
        <v>0.10999999999999999</v>
      </c>
      <c r="H42" s="713">
        <f t="shared" si="2"/>
        <v>0.10999999999999999</v>
      </c>
      <c r="I42" s="713">
        <f t="shared" si="21"/>
        <v>2.9999999999999969</v>
      </c>
      <c r="J42" s="713">
        <f t="shared" si="6"/>
        <v>3.0499999999999967</v>
      </c>
      <c r="K42" s="713">
        <f t="shared" si="9"/>
        <v>0.38000000000000017</v>
      </c>
      <c r="L42" s="697"/>
      <c r="M42" s="697"/>
      <c r="N42" s="697"/>
      <c r="O42" s="697"/>
      <c r="P42" s="697"/>
      <c r="Q42" s="697"/>
      <c r="R42" s="697"/>
      <c r="S42" s="697"/>
      <c r="T42" s="697"/>
      <c r="U42" s="697"/>
      <c r="V42" s="697"/>
      <c r="W42" s="697"/>
      <c r="X42" s="697"/>
      <c r="Y42" s="697"/>
      <c r="Z42" s="697"/>
      <c r="AA42" s="697"/>
      <c r="AB42" s="697"/>
      <c r="AC42" s="697"/>
      <c r="AD42" s="697"/>
      <c r="AE42" s="697"/>
      <c r="AF42" s="697"/>
      <c r="AG42" s="697"/>
      <c r="AH42" s="697"/>
      <c r="AI42" s="697"/>
      <c r="AJ42" s="697"/>
      <c r="AK42" s="697"/>
      <c r="AL42" s="697"/>
      <c r="AM42" s="697"/>
      <c r="AN42" s="697"/>
      <c r="AO42" s="697"/>
      <c r="AP42" s="697"/>
      <c r="AQ42" s="697"/>
      <c r="AR42" s="697"/>
      <c r="AS42" s="697"/>
      <c r="AT42" s="697"/>
      <c r="AU42" s="697"/>
      <c r="AV42" s="697"/>
      <c r="AW42" s="697"/>
      <c r="AX42" s="697"/>
      <c r="AY42" s="697"/>
      <c r="AZ42" s="697"/>
      <c r="BA42" s="697"/>
      <c r="BB42" s="697"/>
      <c r="BC42" s="697"/>
      <c r="BD42" s="697"/>
      <c r="BE42" s="697"/>
      <c r="BF42" s="697"/>
      <c r="BG42" s="697"/>
      <c r="BH42" s="697"/>
      <c r="BI42" s="697"/>
      <c r="BJ42" s="697"/>
      <c r="BK42" s="697"/>
      <c r="BL42" s="697"/>
      <c r="BM42" s="697"/>
      <c r="BN42" s="697"/>
      <c r="BO42" s="697"/>
      <c r="BP42" s="697"/>
      <c r="BQ42" s="697"/>
      <c r="BR42" s="697"/>
      <c r="BS42" s="697"/>
      <c r="BT42" s="697"/>
      <c r="BU42" s="697"/>
      <c r="BV42" s="697"/>
      <c r="BW42" s="697"/>
      <c r="BX42" s="697"/>
      <c r="BY42" s="697"/>
      <c r="BZ42" s="697"/>
      <c r="CA42" s="697"/>
      <c r="CB42" s="697"/>
      <c r="CC42" s="697"/>
      <c r="CD42" s="697"/>
      <c r="CE42" s="697"/>
      <c r="CF42" s="697"/>
      <c r="CG42" s="697"/>
      <c r="CH42" s="697"/>
      <c r="CI42" s="697"/>
      <c r="CJ42" s="697"/>
      <c r="CK42" s="697"/>
      <c r="CL42" s="697"/>
      <c r="CM42" s="697"/>
      <c r="CN42" s="697"/>
      <c r="CO42" s="697"/>
      <c r="CP42" s="697"/>
      <c r="CQ42" s="697"/>
      <c r="CR42" s="697"/>
      <c r="CS42" s="697"/>
      <c r="CT42" s="697"/>
      <c r="CU42" s="697"/>
      <c r="CV42" s="697"/>
      <c r="CW42" s="697"/>
      <c r="CX42" s="697"/>
      <c r="CY42" s="697"/>
      <c r="CZ42" s="697"/>
      <c r="DA42" s="697"/>
    </row>
    <row r="43" spans="1:105" hidden="1" outlineLevel="1" x14ac:dyDescent="0.2">
      <c r="A43" s="709">
        <f t="shared" si="3"/>
        <v>36770</v>
      </c>
      <c r="B43" s="709" t="str">
        <f t="shared" si="0"/>
        <v>3Q00</v>
      </c>
      <c r="C43" s="709" t="str">
        <f t="shared" si="4"/>
        <v>4Q00</v>
      </c>
      <c r="D43" s="710">
        <f t="shared" si="20"/>
        <v>36854</v>
      </c>
      <c r="E43" s="710">
        <f t="shared" si="20"/>
        <v>36794</v>
      </c>
      <c r="F43" s="712">
        <v>1.6569999999999998</v>
      </c>
      <c r="G43" s="713">
        <f t="shared" si="1"/>
        <v>0.10999999999999999</v>
      </c>
      <c r="H43" s="713">
        <f t="shared" si="2"/>
        <v>9.9999999999999992E-2</v>
      </c>
      <c r="I43" s="713">
        <f t="shared" si="21"/>
        <v>3.0499999999999967</v>
      </c>
      <c r="J43" s="713">
        <f t="shared" si="6"/>
        <v>3.0999999999999965</v>
      </c>
      <c r="K43" s="713">
        <f t="shared" si="9"/>
        <v>0.39000000000000018</v>
      </c>
      <c r="L43" s="697"/>
      <c r="M43" s="697"/>
      <c r="N43" s="697"/>
      <c r="O43" s="697"/>
      <c r="P43" s="697"/>
      <c r="Q43" s="697"/>
      <c r="R43" s="697"/>
      <c r="S43" s="697"/>
      <c r="T43" s="697"/>
      <c r="U43" s="697"/>
      <c r="V43" s="697"/>
      <c r="W43" s="697"/>
      <c r="X43" s="697"/>
      <c r="Y43" s="697"/>
      <c r="Z43" s="697"/>
      <c r="AA43" s="697"/>
      <c r="AB43" s="697"/>
      <c r="AC43" s="697"/>
      <c r="AD43" s="697"/>
      <c r="AE43" s="697"/>
      <c r="AF43" s="697"/>
      <c r="AG43" s="697"/>
      <c r="AH43" s="697"/>
      <c r="AI43" s="697"/>
      <c r="AJ43" s="697"/>
      <c r="AK43" s="697"/>
      <c r="AL43" s="697"/>
      <c r="AM43" s="697"/>
      <c r="AN43" s="697"/>
      <c r="AO43" s="697"/>
      <c r="AP43" s="697"/>
      <c r="AQ43" s="697"/>
      <c r="AR43" s="697"/>
      <c r="AS43" s="697"/>
      <c r="AT43" s="697"/>
      <c r="AU43" s="697"/>
      <c r="AV43" s="697"/>
      <c r="AW43" s="697"/>
      <c r="AX43" s="697"/>
      <c r="AY43" s="697"/>
      <c r="AZ43" s="697"/>
      <c r="BA43" s="697"/>
      <c r="BB43" s="697"/>
      <c r="BC43" s="697"/>
      <c r="BD43" s="697"/>
      <c r="BE43" s="697"/>
      <c r="BF43" s="697"/>
      <c r="BG43" s="697"/>
      <c r="BH43" s="697"/>
      <c r="BI43" s="697"/>
      <c r="BJ43" s="697"/>
      <c r="BK43" s="697"/>
      <c r="BL43" s="697"/>
      <c r="BM43" s="697"/>
      <c r="BN43" s="697"/>
      <c r="BO43" s="697"/>
      <c r="BP43" s="697"/>
      <c r="BQ43" s="697"/>
      <c r="BR43" s="697"/>
      <c r="BS43" s="697"/>
      <c r="BT43" s="697"/>
      <c r="BU43" s="697"/>
      <c r="BV43" s="697"/>
      <c r="BW43" s="697"/>
      <c r="BX43" s="697"/>
      <c r="BY43" s="697"/>
      <c r="BZ43" s="697"/>
      <c r="CA43" s="697"/>
      <c r="CB43" s="697"/>
      <c r="CC43" s="697"/>
      <c r="CD43" s="697"/>
      <c r="CE43" s="697"/>
      <c r="CF43" s="697"/>
      <c r="CG43" s="697"/>
      <c r="CH43" s="697"/>
      <c r="CI43" s="697"/>
      <c r="CJ43" s="697"/>
      <c r="CK43" s="697"/>
      <c r="CL43" s="697"/>
      <c r="CM43" s="697"/>
      <c r="CN43" s="697"/>
      <c r="CO43" s="697"/>
      <c r="CP43" s="697"/>
      <c r="CQ43" s="697"/>
      <c r="CR43" s="697"/>
      <c r="CS43" s="697"/>
      <c r="CT43" s="697"/>
      <c r="CU43" s="697"/>
      <c r="CV43" s="697"/>
      <c r="CW43" s="697"/>
      <c r="CX43" s="697"/>
      <c r="CY43" s="697"/>
      <c r="CZ43" s="697"/>
      <c r="DA43" s="697"/>
    </row>
    <row r="44" spans="1:105" hidden="1" outlineLevel="1" x14ac:dyDescent="0.2">
      <c r="A44" s="709">
        <f t="shared" si="3"/>
        <v>36800</v>
      </c>
      <c r="B44" s="709" t="str">
        <f t="shared" si="0"/>
        <v>4Q00</v>
      </c>
      <c r="C44" s="709" t="str">
        <f t="shared" si="4"/>
        <v>4Q00</v>
      </c>
      <c r="D44" s="710">
        <f t="shared" si="20"/>
        <v>36861</v>
      </c>
      <c r="E44" s="710">
        <f t="shared" si="20"/>
        <v>36801</v>
      </c>
      <c r="F44" s="712">
        <v>1.625</v>
      </c>
      <c r="G44" s="713">
        <f t="shared" si="1"/>
        <v>9.9999999999999992E-2</v>
      </c>
      <c r="H44" s="713">
        <f t="shared" si="2"/>
        <v>9.9999999999999992E-2</v>
      </c>
      <c r="I44" s="713">
        <f t="shared" si="21"/>
        <v>3.0999999999999965</v>
      </c>
      <c r="J44" s="713">
        <f t="shared" si="6"/>
        <v>3.1499999999999964</v>
      </c>
      <c r="K44" s="713">
        <f t="shared" si="9"/>
        <v>0.40000000000000019</v>
      </c>
      <c r="L44" s="697"/>
      <c r="M44" s="697"/>
      <c r="N44" s="697"/>
      <c r="O44" s="697"/>
      <c r="P44" s="697"/>
      <c r="Q44" s="697"/>
      <c r="R44" s="697"/>
      <c r="S44" s="697"/>
      <c r="T44" s="697"/>
      <c r="U44" s="697"/>
      <c r="V44" s="697"/>
      <c r="W44" s="697"/>
      <c r="X44" s="697"/>
      <c r="Y44" s="697"/>
      <c r="Z44" s="697"/>
      <c r="AA44" s="697"/>
      <c r="AB44" s="697"/>
      <c r="AC44" s="697"/>
      <c r="AD44" s="697"/>
      <c r="AE44" s="697"/>
      <c r="AF44" s="697"/>
      <c r="AG44" s="697"/>
      <c r="AH44" s="697"/>
      <c r="AI44" s="697"/>
      <c r="AJ44" s="697"/>
      <c r="AK44" s="697"/>
      <c r="AL44" s="697"/>
      <c r="AM44" s="697"/>
      <c r="AN44" s="697"/>
      <c r="AO44" s="697"/>
      <c r="AP44" s="697"/>
      <c r="AQ44" s="697"/>
      <c r="AR44" s="697"/>
      <c r="AS44" s="697"/>
      <c r="AT44" s="697"/>
      <c r="AU44" s="697"/>
      <c r="AV44" s="697"/>
      <c r="AW44" s="697"/>
      <c r="AX44" s="697"/>
      <c r="AY44" s="697"/>
      <c r="AZ44" s="697"/>
      <c r="BA44" s="697"/>
      <c r="BB44" s="697"/>
      <c r="BC44" s="697"/>
      <c r="BD44" s="697"/>
      <c r="BE44" s="697"/>
      <c r="BF44" s="697"/>
      <c r="BG44" s="697"/>
      <c r="BH44" s="697"/>
      <c r="BI44" s="697"/>
      <c r="BJ44" s="697"/>
      <c r="BK44" s="697"/>
      <c r="BL44" s="697"/>
      <c r="BM44" s="697"/>
      <c r="BN44" s="697"/>
      <c r="BO44" s="697"/>
      <c r="BP44" s="697"/>
      <c r="BQ44" s="697"/>
      <c r="BR44" s="697"/>
      <c r="BS44" s="697"/>
      <c r="BT44" s="697"/>
      <c r="BU44" s="697"/>
      <c r="BV44" s="697"/>
      <c r="BW44" s="697"/>
      <c r="BX44" s="697"/>
      <c r="BY44" s="697"/>
      <c r="BZ44" s="697"/>
      <c r="CA44" s="697"/>
      <c r="CB44" s="697"/>
      <c r="CC44" s="697"/>
      <c r="CD44" s="697"/>
      <c r="CE44" s="697"/>
      <c r="CF44" s="697"/>
      <c r="CG44" s="697"/>
      <c r="CH44" s="697"/>
      <c r="CI44" s="697"/>
      <c r="CJ44" s="697"/>
      <c r="CK44" s="697"/>
      <c r="CL44" s="697"/>
      <c r="CM44" s="697"/>
      <c r="CN44" s="697"/>
      <c r="CO44" s="697"/>
      <c r="CP44" s="697"/>
      <c r="CQ44" s="697"/>
      <c r="CR44" s="697"/>
      <c r="CS44" s="697"/>
      <c r="CT44" s="697"/>
      <c r="CU44" s="697"/>
      <c r="CV44" s="697"/>
      <c r="CW44" s="697"/>
      <c r="CX44" s="697"/>
      <c r="CY44" s="697"/>
      <c r="CZ44" s="697"/>
      <c r="DA44" s="697"/>
    </row>
    <row r="45" spans="1:105" hidden="1" outlineLevel="1" x14ac:dyDescent="0.2">
      <c r="A45" s="709">
        <f t="shared" si="3"/>
        <v>36800</v>
      </c>
      <c r="B45" s="709" t="str">
        <f t="shared" si="0"/>
        <v>4Q00</v>
      </c>
      <c r="C45" s="709" t="str">
        <f t="shared" si="4"/>
        <v>4Q00</v>
      </c>
      <c r="D45" s="710">
        <f t="shared" si="20"/>
        <v>36868</v>
      </c>
      <c r="E45" s="710">
        <f t="shared" si="20"/>
        <v>36808</v>
      </c>
      <c r="F45" s="712">
        <v>1.6140000000000001</v>
      </c>
      <c r="G45" s="713">
        <f t="shared" si="1"/>
        <v>9.9999999999999992E-2</v>
      </c>
      <c r="H45" s="713">
        <f t="shared" si="2"/>
        <v>0.10999999999999999</v>
      </c>
      <c r="I45" s="713">
        <f t="shared" si="21"/>
        <v>3.1499999999999964</v>
      </c>
      <c r="J45" s="713">
        <f t="shared" si="6"/>
        <v>3.1999999999999962</v>
      </c>
      <c r="K45" s="713">
        <f t="shared" si="9"/>
        <v>0.4100000000000002</v>
      </c>
      <c r="L45" s="697"/>
      <c r="M45" s="697"/>
      <c r="N45" s="697"/>
      <c r="O45" s="697"/>
      <c r="P45" s="697"/>
      <c r="Q45" s="697"/>
      <c r="R45" s="697"/>
      <c r="S45" s="697"/>
      <c r="T45" s="697"/>
      <c r="U45" s="697"/>
      <c r="V45" s="697"/>
      <c r="W45" s="697"/>
      <c r="X45" s="697"/>
      <c r="Y45" s="697"/>
      <c r="Z45" s="697"/>
      <c r="AA45" s="697"/>
      <c r="AB45" s="697"/>
      <c r="AC45" s="697"/>
      <c r="AD45" s="697"/>
      <c r="AE45" s="697"/>
      <c r="AF45" s="697"/>
      <c r="AG45" s="697"/>
      <c r="AH45" s="697"/>
      <c r="AI45" s="697"/>
      <c r="AJ45" s="697"/>
      <c r="AK45" s="697"/>
      <c r="AL45" s="697"/>
      <c r="AM45" s="697"/>
      <c r="AN45" s="697"/>
      <c r="AO45" s="697"/>
      <c r="AP45" s="697"/>
      <c r="AQ45" s="697"/>
      <c r="AR45" s="697"/>
      <c r="AS45" s="697"/>
      <c r="AT45" s="697"/>
      <c r="AU45" s="697"/>
      <c r="AV45" s="697"/>
      <c r="AW45" s="697"/>
      <c r="AX45" s="697"/>
      <c r="AY45" s="697"/>
      <c r="AZ45" s="697"/>
      <c r="BA45" s="697"/>
      <c r="BB45" s="697"/>
      <c r="BC45" s="697"/>
      <c r="BD45" s="697"/>
      <c r="BE45" s="697"/>
      <c r="BF45" s="697"/>
      <c r="BG45" s="697"/>
      <c r="BH45" s="697"/>
      <c r="BI45" s="697"/>
      <c r="BJ45" s="697"/>
      <c r="BK45" s="697"/>
      <c r="BL45" s="697"/>
      <c r="BM45" s="697"/>
      <c r="BN45" s="697"/>
      <c r="BO45" s="697"/>
      <c r="BP45" s="697"/>
      <c r="BQ45" s="697"/>
      <c r="BR45" s="697"/>
      <c r="BS45" s="697"/>
      <c r="BT45" s="697"/>
      <c r="BU45" s="697"/>
      <c r="BV45" s="697"/>
      <c r="BW45" s="697"/>
      <c r="BX45" s="697"/>
      <c r="BY45" s="697"/>
      <c r="BZ45" s="697"/>
      <c r="CA45" s="697"/>
      <c r="CB45" s="697"/>
      <c r="CC45" s="697"/>
      <c r="CD45" s="697"/>
      <c r="CE45" s="697"/>
      <c r="CF45" s="697"/>
      <c r="CG45" s="697"/>
      <c r="CH45" s="697"/>
      <c r="CI45" s="697"/>
      <c r="CJ45" s="697"/>
      <c r="CK45" s="697"/>
      <c r="CL45" s="697"/>
      <c r="CM45" s="697"/>
      <c r="CN45" s="697"/>
      <c r="CO45" s="697"/>
      <c r="CP45" s="697"/>
      <c r="CQ45" s="697"/>
      <c r="CR45" s="697"/>
      <c r="CS45" s="697"/>
      <c r="CT45" s="697"/>
      <c r="CU45" s="697"/>
      <c r="CV45" s="697"/>
      <c r="CW45" s="697"/>
      <c r="CX45" s="697"/>
      <c r="CY45" s="697"/>
      <c r="CZ45" s="697"/>
      <c r="DA45" s="697"/>
    </row>
    <row r="46" spans="1:105" hidden="1" outlineLevel="1" x14ac:dyDescent="0.2">
      <c r="A46" s="709">
        <f t="shared" si="3"/>
        <v>36800</v>
      </c>
      <c r="B46" s="709" t="str">
        <f t="shared" si="0"/>
        <v>4Q00</v>
      </c>
      <c r="C46" s="709" t="str">
        <f t="shared" si="4"/>
        <v>4Q00</v>
      </c>
      <c r="D46" s="710">
        <f t="shared" si="20"/>
        <v>36875</v>
      </c>
      <c r="E46" s="710">
        <f t="shared" si="20"/>
        <v>36815</v>
      </c>
      <c r="F46" s="712">
        <v>1.67</v>
      </c>
      <c r="G46" s="713">
        <f t="shared" si="1"/>
        <v>0.10999999999999999</v>
      </c>
      <c r="H46" s="713">
        <f t="shared" si="2"/>
        <v>9.9999999999999992E-2</v>
      </c>
      <c r="I46" s="713">
        <f t="shared" si="21"/>
        <v>3.1999999999999962</v>
      </c>
      <c r="J46" s="713">
        <f t="shared" si="6"/>
        <v>3.249999999999996</v>
      </c>
      <c r="K46" s="713">
        <f t="shared" si="9"/>
        <v>0.42000000000000021</v>
      </c>
      <c r="L46" s="697"/>
      <c r="M46" s="697"/>
      <c r="N46" s="697"/>
      <c r="O46" s="697"/>
      <c r="P46" s="697"/>
      <c r="Q46" s="697"/>
      <c r="R46" s="697"/>
      <c r="S46" s="697"/>
      <c r="T46" s="697"/>
      <c r="U46" s="697"/>
      <c r="V46" s="697"/>
      <c r="W46" s="697"/>
      <c r="X46" s="697"/>
      <c r="Y46" s="697"/>
      <c r="Z46" s="697"/>
      <c r="AA46" s="697"/>
      <c r="AB46" s="697"/>
      <c r="AC46" s="697"/>
      <c r="AD46" s="697"/>
      <c r="AE46" s="697"/>
      <c r="AF46" s="697"/>
      <c r="AG46" s="697"/>
      <c r="AH46" s="697"/>
      <c r="AI46" s="697"/>
      <c r="AJ46" s="697"/>
      <c r="AK46" s="697"/>
      <c r="AL46" s="697"/>
      <c r="AM46" s="697"/>
      <c r="AN46" s="697"/>
      <c r="AO46" s="697"/>
      <c r="AP46" s="697"/>
      <c r="AQ46" s="697"/>
      <c r="AR46" s="697"/>
      <c r="AS46" s="697"/>
      <c r="AT46" s="697"/>
      <c r="AU46" s="697"/>
      <c r="AV46" s="697"/>
      <c r="AW46" s="697"/>
      <c r="AX46" s="697"/>
      <c r="AY46" s="697"/>
      <c r="AZ46" s="697"/>
      <c r="BA46" s="697"/>
      <c r="BB46" s="697"/>
      <c r="BC46" s="697"/>
      <c r="BD46" s="697"/>
      <c r="BE46" s="697"/>
      <c r="BF46" s="697"/>
      <c r="BG46" s="697"/>
      <c r="BH46" s="697"/>
      <c r="BI46" s="697"/>
      <c r="BJ46" s="697"/>
      <c r="BK46" s="697"/>
      <c r="BL46" s="697"/>
      <c r="BM46" s="697"/>
      <c r="BN46" s="697"/>
      <c r="BO46" s="697"/>
      <c r="BP46" s="697"/>
      <c r="BQ46" s="697"/>
      <c r="BR46" s="697"/>
      <c r="BS46" s="697"/>
      <c r="BT46" s="697"/>
      <c r="BU46" s="697"/>
      <c r="BV46" s="697"/>
      <c r="BW46" s="697"/>
      <c r="BX46" s="697"/>
      <c r="BY46" s="697"/>
      <c r="BZ46" s="697"/>
      <c r="CA46" s="697"/>
      <c r="CB46" s="697"/>
      <c r="CC46" s="697"/>
      <c r="CD46" s="697"/>
      <c r="CE46" s="697"/>
      <c r="CF46" s="697"/>
      <c r="CG46" s="697"/>
      <c r="CH46" s="697"/>
      <c r="CI46" s="697"/>
      <c r="CJ46" s="697"/>
      <c r="CK46" s="697"/>
      <c r="CL46" s="697"/>
      <c r="CM46" s="697"/>
      <c r="CN46" s="697"/>
      <c r="CO46" s="697"/>
      <c r="CP46" s="697"/>
      <c r="CQ46" s="697"/>
      <c r="CR46" s="697"/>
      <c r="CS46" s="697"/>
      <c r="CT46" s="697"/>
      <c r="CU46" s="697"/>
      <c r="CV46" s="697"/>
      <c r="CW46" s="697"/>
      <c r="CX46" s="697"/>
      <c r="CY46" s="697"/>
      <c r="CZ46" s="697"/>
      <c r="DA46" s="697"/>
    </row>
    <row r="47" spans="1:105" hidden="1" outlineLevel="1" x14ac:dyDescent="0.2">
      <c r="A47" s="709">
        <f t="shared" si="3"/>
        <v>36800</v>
      </c>
      <c r="B47" s="709" t="str">
        <f t="shared" si="0"/>
        <v>4Q00</v>
      </c>
      <c r="C47" s="709" t="str">
        <f t="shared" si="4"/>
        <v>4Q00</v>
      </c>
      <c r="D47" s="710">
        <f t="shared" si="20"/>
        <v>36882</v>
      </c>
      <c r="E47" s="710">
        <f t="shared" si="20"/>
        <v>36822</v>
      </c>
      <c r="F47" s="712">
        <v>1.6480000000000001</v>
      </c>
      <c r="G47" s="713">
        <f t="shared" si="1"/>
        <v>9.9999999999999992E-2</v>
      </c>
      <c r="H47" s="713">
        <f t="shared" si="2"/>
        <v>9.9999999999999992E-2</v>
      </c>
      <c r="I47" s="713">
        <f t="shared" si="21"/>
        <v>3.249999999999996</v>
      </c>
      <c r="J47" s="713">
        <f t="shared" si="6"/>
        <v>3.2999999999999958</v>
      </c>
      <c r="K47" s="713">
        <f t="shared" si="9"/>
        <v>0.43000000000000022</v>
      </c>
      <c r="L47" s="697"/>
      <c r="M47" s="697"/>
      <c r="N47" s="697"/>
      <c r="O47" s="697"/>
      <c r="P47" s="697"/>
      <c r="Q47" s="697"/>
      <c r="R47" s="697"/>
      <c r="S47" s="697"/>
      <c r="T47" s="697"/>
      <c r="U47" s="697"/>
      <c r="V47" s="697"/>
      <c r="W47" s="697"/>
      <c r="X47" s="697"/>
      <c r="Y47" s="697"/>
      <c r="Z47" s="697"/>
      <c r="AA47" s="697"/>
      <c r="AB47" s="697"/>
      <c r="AC47" s="697"/>
      <c r="AD47" s="697"/>
      <c r="AE47" s="697"/>
      <c r="AF47" s="697"/>
      <c r="AG47" s="697"/>
      <c r="AH47" s="697"/>
      <c r="AI47" s="697"/>
      <c r="AJ47" s="697"/>
      <c r="AK47" s="697"/>
      <c r="AL47" s="697"/>
      <c r="AM47" s="697"/>
      <c r="AN47" s="697"/>
      <c r="AO47" s="697"/>
      <c r="AP47" s="697"/>
      <c r="AQ47" s="697"/>
      <c r="AR47" s="697"/>
      <c r="AS47" s="697"/>
      <c r="AT47" s="697"/>
      <c r="AU47" s="697"/>
      <c r="AV47" s="697"/>
      <c r="AW47" s="697"/>
      <c r="AX47" s="697"/>
      <c r="AY47" s="697"/>
      <c r="AZ47" s="697"/>
      <c r="BA47" s="697"/>
      <c r="BB47" s="697"/>
      <c r="BC47" s="697"/>
      <c r="BD47" s="697"/>
      <c r="BE47" s="697"/>
      <c r="BF47" s="697"/>
      <c r="BG47" s="697"/>
      <c r="BH47" s="697"/>
      <c r="BI47" s="697"/>
      <c r="BJ47" s="697"/>
      <c r="BK47" s="697"/>
      <c r="BL47" s="697"/>
      <c r="BM47" s="697"/>
      <c r="BN47" s="697"/>
      <c r="BO47" s="697"/>
      <c r="BP47" s="697"/>
      <c r="BQ47" s="697"/>
      <c r="BR47" s="697"/>
      <c r="BS47" s="697"/>
      <c r="BT47" s="697"/>
      <c r="BU47" s="697"/>
      <c r="BV47" s="697"/>
      <c r="BW47" s="697"/>
      <c r="BX47" s="697"/>
      <c r="BY47" s="697"/>
      <c r="BZ47" s="697"/>
      <c r="CA47" s="697"/>
      <c r="CB47" s="697"/>
      <c r="CC47" s="697"/>
      <c r="CD47" s="697"/>
      <c r="CE47" s="697"/>
      <c r="CF47" s="697"/>
      <c r="CG47" s="697"/>
      <c r="CH47" s="697"/>
      <c r="CI47" s="697"/>
      <c r="CJ47" s="697"/>
      <c r="CK47" s="697"/>
      <c r="CL47" s="697"/>
      <c r="CM47" s="697"/>
      <c r="CN47" s="697"/>
      <c r="CO47" s="697"/>
      <c r="CP47" s="697"/>
      <c r="CQ47" s="697"/>
      <c r="CR47" s="697"/>
      <c r="CS47" s="697"/>
      <c r="CT47" s="697"/>
      <c r="CU47" s="697"/>
      <c r="CV47" s="697"/>
      <c r="CW47" s="697"/>
      <c r="CX47" s="697"/>
      <c r="CY47" s="697"/>
      <c r="CZ47" s="697"/>
      <c r="DA47" s="697"/>
    </row>
    <row r="48" spans="1:105" hidden="1" outlineLevel="1" x14ac:dyDescent="0.2">
      <c r="A48" s="709">
        <f t="shared" si="3"/>
        <v>36800</v>
      </c>
      <c r="B48" s="709" t="str">
        <f t="shared" si="0"/>
        <v>4Q00</v>
      </c>
      <c r="C48" s="709" t="str">
        <f t="shared" si="4"/>
        <v>4Q00</v>
      </c>
      <c r="D48" s="710">
        <f t="shared" si="20"/>
        <v>36889</v>
      </c>
      <c r="E48" s="710">
        <f t="shared" si="20"/>
        <v>36829</v>
      </c>
      <c r="F48" s="712">
        <v>1.629</v>
      </c>
      <c r="G48" s="713">
        <f t="shared" si="1"/>
        <v>9.9999999999999992E-2</v>
      </c>
      <c r="H48" s="713">
        <f t="shared" si="2"/>
        <v>9.9999999999999992E-2</v>
      </c>
      <c r="I48" s="713">
        <f t="shared" si="21"/>
        <v>3.2999999999999958</v>
      </c>
      <c r="J48" s="713">
        <f t="shared" si="6"/>
        <v>3.3499999999999956</v>
      </c>
      <c r="K48" s="713">
        <f t="shared" si="9"/>
        <v>0.44000000000000022</v>
      </c>
      <c r="L48" s="697"/>
      <c r="M48" s="697"/>
      <c r="N48" s="697"/>
      <c r="O48" s="697"/>
      <c r="P48" s="697"/>
      <c r="Q48" s="697"/>
      <c r="R48" s="697"/>
      <c r="S48" s="697"/>
      <c r="T48" s="697"/>
      <c r="U48" s="697"/>
      <c r="V48" s="697"/>
      <c r="W48" s="697"/>
      <c r="X48" s="697"/>
      <c r="Y48" s="697"/>
      <c r="Z48" s="697"/>
      <c r="AA48" s="697"/>
      <c r="AB48" s="697"/>
      <c r="AC48" s="697"/>
      <c r="AD48" s="697"/>
      <c r="AE48" s="697"/>
      <c r="AF48" s="697"/>
      <c r="AG48" s="697"/>
      <c r="AH48" s="697"/>
      <c r="AI48" s="697"/>
      <c r="AJ48" s="697"/>
      <c r="AK48" s="697"/>
      <c r="AL48" s="697"/>
      <c r="AM48" s="697"/>
      <c r="AN48" s="697"/>
      <c r="AO48" s="697"/>
      <c r="AP48" s="697"/>
      <c r="AQ48" s="697"/>
      <c r="AR48" s="697"/>
      <c r="AS48" s="697"/>
      <c r="AT48" s="697"/>
      <c r="AU48" s="697"/>
      <c r="AV48" s="697"/>
      <c r="AW48" s="697"/>
      <c r="AX48" s="697"/>
      <c r="AY48" s="697"/>
      <c r="AZ48" s="697"/>
      <c r="BA48" s="697"/>
      <c r="BB48" s="697"/>
      <c r="BC48" s="697"/>
      <c r="BD48" s="697"/>
      <c r="BE48" s="697"/>
      <c r="BF48" s="697"/>
      <c r="BG48" s="697"/>
      <c r="BH48" s="697"/>
      <c r="BI48" s="697"/>
      <c r="BJ48" s="697"/>
      <c r="BK48" s="697"/>
      <c r="BL48" s="697"/>
      <c r="BM48" s="697"/>
      <c r="BN48" s="697"/>
      <c r="BO48" s="697"/>
      <c r="BP48" s="697"/>
      <c r="BQ48" s="697"/>
      <c r="BR48" s="697"/>
      <c r="BS48" s="697"/>
      <c r="BT48" s="697"/>
      <c r="BU48" s="697"/>
      <c r="BV48" s="697"/>
      <c r="BW48" s="697"/>
      <c r="BX48" s="697"/>
      <c r="BY48" s="697"/>
      <c r="BZ48" s="697"/>
      <c r="CA48" s="697"/>
      <c r="CB48" s="697"/>
      <c r="CC48" s="697"/>
      <c r="CD48" s="697"/>
      <c r="CE48" s="697"/>
      <c r="CF48" s="697"/>
      <c r="CG48" s="697"/>
      <c r="CH48" s="697"/>
      <c r="CI48" s="697"/>
      <c r="CJ48" s="697"/>
      <c r="CK48" s="697"/>
      <c r="CL48" s="697"/>
      <c r="CM48" s="697"/>
      <c r="CN48" s="697"/>
      <c r="CO48" s="697"/>
      <c r="CP48" s="697"/>
      <c r="CQ48" s="697"/>
      <c r="CR48" s="697"/>
      <c r="CS48" s="697"/>
      <c r="CT48" s="697"/>
      <c r="CU48" s="697"/>
      <c r="CV48" s="697"/>
      <c r="CW48" s="697"/>
      <c r="CX48" s="697"/>
      <c r="CY48" s="697"/>
      <c r="CZ48" s="697"/>
      <c r="DA48" s="697"/>
    </row>
    <row r="49" spans="1:105" hidden="1" outlineLevel="1" x14ac:dyDescent="0.2">
      <c r="A49" s="709">
        <f t="shared" si="3"/>
        <v>36831</v>
      </c>
      <c r="B49" s="709" t="str">
        <f t="shared" si="0"/>
        <v>4Q00</v>
      </c>
      <c r="C49" s="709" t="str">
        <f t="shared" si="4"/>
        <v>1Q01</v>
      </c>
      <c r="D49" s="710">
        <f t="shared" si="20"/>
        <v>36896</v>
      </c>
      <c r="E49" s="710">
        <f t="shared" si="20"/>
        <v>36836</v>
      </c>
      <c r="F49" s="712">
        <v>1.61</v>
      </c>
      <c r="G49" s="713">
        <f t="shared" si="1"/>
        <v>9.9999999999999992E-2</v>
      </c>
      <c r="H49" s="713">
        <f t="shared" si="2"/>
        <v>9.9999999999999992E-2</v>
      </c>
      <c r="I49" s="713">
        <f t="shared" si="21"/>
        <v>3.3499999999999956</v>
      </c>
      <c r="J49" s="713">
        <f t="shared" si="6"/>
        <v>3.3999999999999955</v>
      </c>
      <c r="K49" s="713">
        <f t="shared" si="9"/>
        <v>0.45000000000000023</v>
      </c>
      <c r="L49" s="697"/>
      <c r="M49" s="697"/>
      <c r="N49" s="697"/>
      <c r="O49" s="697"/>
      <c r="P49" s="697"/>
      <c r="Q49" s="697"/>
      <c r="R49" s="697"/>
      <c r="S49" s="697"/>
      <c r="T49" s="697"/>
      <c r="U49" s="697"/>
      <c r="V49" s="697"/>
      <c r="W49" s="697"/>
      <c r="X49" s="697"/>
      <c r="Y49" s="697"/>
      <c r="Z49" s="697"/>
      <c r="AA49" s="697"/>
      <c r="AB49" s="697"/>
      <c r="AC49" s="697"/>
      <c r="AD49" s="697"/>
      <c r="AE49" s="697"/>
      <c r="AF49" s="697"/>
      <c r="AG49" s="697"/>
      <c r="AH49" s="697"/>
      <c r="AI49" s="697"/>
      <c r="AJ49" s="697"/>
      <c r="AK49" s="697"/>
      <c r="AL49" s="697"/>
      <c r="AM49" s="697"/>
      <c r="AN49" s="697"/>
      <c r="AO49" s="697"/>
      <c r="AP49" s="697"/>
      <c r="AQ49" s="697"/>
      <c r="AR49" s="697"/>
      <c r="AS49" s="697"/>
      <c r="AT49" s="697"/>
      <c r="AU49" s="697"/>
      <c r="AV49" s="697"/>
      <c r="AW49" s="697"/>
      <c r="AX49" s="697"/>
      <c r="AY49" s="697"/>
      <c r="AZ49" s="697"/>
      <c r="BA49" s="697"/>
      <c r="BB49" s="697"/>
      <c r="BC49" s="697"/>
      <c r="BD49" s="697"/>
      <c r="BE49" s="697"/>
      <c r="BF49" s="697"/>
      <c r="BG49" s="697"/>
      <c r="BH49" s="697"/>
      <c r="BI49" s="697"/>
      <c r="BJ49" s="697"/>
      <c r="BK49" s="697"/>
      <c r="BL49" s="697"/>
      <c r="BM49" s="697"/>
      <c r="BN49" s="697"/>
      <c r="BO49" s="697"/>
      <c r="BP49" s="697"/>
      <c r="BQ49" s="697"/>
      <c r="BR49" s="697"/>
      <c r="BS49" s="697"/>
      <c r="BT49" s="697"/>
      <c r="BU49" s="697"/>
      <c r="BV49" s="697"/>
      <c r="BW49" s="697"/>
      <c r="BX49" s="697"/>
      <c r="BY49" s="697"/>
      <c r="BZ49" s="697"/>
      <c r="CA49" s="697"/>
      <c r="CB49" s="697"/>
      <c r="CC49" s="697"/>
      <c r="CD49" s="697"/>
      <c r="CE49" s="697"/>
      <c r="CF49" s="697"/>
      <c r="CG49" s="697"/>
      <c r="CH49" s="697"/>
      <c r="CI49" s="697"/>
      <c r="CJ49" s="697"/>
      <c r="CK49" s="697"/>
      <c r="CL49" s="697"/>
      <c r="CM49" s="697"/>
      <c r="CN49" s="697"/>
      <c r="CO49" s="697"/>
      <c r="CP49" s="697"/>
      <c r="CQ49" s="697"/>
      <c r="CR49" s="697"/>
      <c r="CS49" s="697"/>
      <c r="CT49" s="697"/>
      <c r="CU49" s="697"/>
      <c r="CV49" s="697"/>
      <c r="CW49" s="697"/>
      <c r="CX49" s="697"/>
      <c r="CY49" s="697"/>
      <c r="CZ49" s="697"/>
      <c r="DA49" s="697"/>
    </row>
    <row r="50" spans="1:105" hidden="1" outlineLevel="1" x14ac:dyDescent="0.2">
      <c r="A50" s="709">
        <f t="shared" si="3"/>
        <v>36831</v>
      </c>
      <c r="B50" s="709" t="str">
        <f t="shared" si="0"/>
        <v>4Q00</v>
      </c>
      <c r="C50" s="709" t="str">
        <f t="shared" si="4"/>
        <v>1Q01</v>
      </c>
      <c r="D50" s="710">
        <f t="shared" si="20"/>
        <v>36903</v>
      </c>
      <c r="E50" s="710">
        <f t="shared" si="20"/>
        <v>36843</v>
      </c>
      <c r="F50" s="712">
        <v>1.6030000000000002</v>
      </c>
      <c r="G50" s="713">
        <f t="shared" si="1"/>
        <v>9.9999999999999992E-2</v>
      </c>
      <c r="H50" s="713">
        <f t="shared" si="2"/>
        <v>9.9999999999999992E-2</v>
      </c>
      <c r="I50" s="713">
        <f t="shared" si="21"/>
        <v>3.3999999999999955</v>
      </c>
      <c r="J50" s="713">
        <f t="shared" si="6"/>
        <v>3.4499999999999953</v>
      </c>
      <c r="K50" s="713">
        <f t="shared" si="9"/>
        <v>0.46000000000000024</v>
      </c>
      <c r="L50" s="697"/>
      <c r="M50" s="697"/>
      <c r="N50" s="697"/>
      <c r="O50" s="697"/>
      <c r="P50" s="697"/>
      <c r="Q50" s="697"/>
      <c r="R50" s="697"/>
      <c r="S50" s="697"/>
      <c r="T50" s="697"/>
      <c r="U50" s="697"/>
      <c r="V50" s="697"/>
      <c r="W50" s="697"/>
      <c r="X50" s="697"/>
      <c r="Y50" s="697"/>
      <c r="Z50" s="697"/>
      <c r="AA50" s="697"/>
      <c r="AB50" s="697"/>
      <c r="AC50" s="697"/>
      <c r="AD50" s="697"/>
      <c r="AE50" s="697"/>
      <c r="AF50" s="697"/>
      <c r="AG50" s="697"/>
      <c r="AH50" s="697"/>
      <c r="AI50" s="697"/>
      <c r="AJ50" s="697"/>
      <c r="AK50" s="697"/>
      <c r="AL50" s="697"/>
      <c r="AM50" s="697"/>
      <c r="AN50" s="697"/>
      <c r="AO50" s="697"/>
      <c r="AP50" s="697"/>
      <c r="AQ50" s="697"/>
      <c r="AR50" s="697"/>
      <c r="AS50" s="697"/>
      <c r="AT50" s="697"/>
      <c r="AU50" s="697"/>
      <c r="AV50" s="697"/>
      <c r="AW50" s="697"/>
      <c r="AX50" s="697"/>
      <c r="AY50" s="697"/>
      <c r="AZ50" s="697"/>
      <c r="BA50" s="697"/>
      <c r="BB50" s="697"/>
      <c r="BC50" s="697"/>
      <c r="BD50" s="697"/>
      <c r="BE50" s="697"/>
      <c r="BF50" s="697"/>
      <c r="BG50" s="697"/>
      <c r="BH50" s="697"/>
      <c r="BI50" s="697"/>
      <c r="BJ50" s="697"/>
      <c r="BK50" s="697"/>
      <c r="BL50" s="697"/>
      <c r="BM50" s="697"/>
      <c r="BN50" s="697"/>
      <c r="BO50" s="697"/>
      <c r="BP50" s="697"/>
      <c r="BQ50" s="697"/>
      <c r="BR50" s="697"/>
      <c r="BS50" s="697"/>
      <c r="BT50" s="697"/>
      <c r="BU50" s="697"/>
      <c r="BV50" s="697"/>
      <c r="BW50" s="697"/>
      <c r="BX50" s="697"/>
      <c r="BY50" s="697"/>
      <c r="BZ50" s="697"/>
      <c r="CA50" s="697"/>
      <c r="CB50" s="697"/>
      <c r="CC50" s="697"/>
      <c r="CD50" s="697"/>
      <c r="CE50" s="697"/>
      <c r="CF50" s="697"/>
      <c r="CG50" s="697"/>
      <c r="CH50" s="697"/>
      <c r="CI50" s="697"/>
      <c r="CJ50" s="697"/>
      <c r="CK50" s="697"/>
      <c r="CL50" s="697"/>
      <c r="CM50" s="697"/>
      <c r="CN50" s="697"/>
      <c r="CO50" s="697"/>
      <c r="CP50" s="697"/>
      <c r="CQ50" s="697"/>
      <c r="CR50" s="697"/>
      <c r="CS50" s="697"/>
      <c r="CT50" s="697"/>
      <c r="CU50" s="697"/>
      <c r="CV50" s="697"/>
      <c r="CW50" s="697"/>
      <c r="CX50" s="697"/>
      <c r="CY50" s="697"/>
      <c r="CZ50" s="697"/>
      <c r="DA50" s="697"/>
    </row>
    <row r="51" spans="1:105" hidden="1" outlineLevel="1" x14ac:dyDescent="0.2">
      <c r="A51" s="709">
        <f t="shared" si="3"/>
        <v>36831</v>
      </c>
      <c r="B51" s="709" t="str">
        <f t="shared" si="0"/>
        <v>4Q00</v>
      </c>
      <c r="C51" s="709" t="str">
        <f t="shared" si="4"/>
        <v>1Q01</v>
      </c>
      <c r="D51" s="710">
        <f t="shared" si="20"/>
        <v>36910</v>
      </c>
      <c r="E51" s="710">
        <f t="shared" si="20"/>
        <v>36850</v>
      </c>
      <c r="F51" s="712">
        <v>1.6269999999999998</v>
      </c>
      <c r="G51" s="713">
        <f t="shared" si="1"/>
        <v>9.9999999999999992E-2</v>
      </c>
      <c r="H51" s="713">
        <f t="shared" si="2"/>
        <v>9.9999999999999992E-2</v>
      </c>
      <c r="I51" s="713">
        <f t="shared" si="21"/>
        <v>3.4499999999999953</v>
      </c>
      <c r="J51" s="713">
        <f t="shared" si="6"/>
        <v>3.4999999999999951</v>
      </c>
      <c r="K51" s="713">
        <f t="shared" si="9"/>
        <v>0.47000000000000025</v>
      </c>
      <c r="L51" s="697"/>
      <c r="M51" s="697"/>
      <c r="N51" s="697"/>
      <c r="O51" s="697"/>
      <c r="P51" s="697"/>
      <c r="Q51" s="697"/>
      <c r="R51" s="697"/>
      <c r="S51" s="697"/>
      <c r="T51" s="697"/>
      <c r="U51" s="697"/>
      <c r="V51" s="697"/>
      <c r="W51" s="697"/>
      <c r="X51" s="697"/>
      <c r="Y51" s="697"/>
      <c r="Z51" s="697"/>
      <c r="AA51" s="697"/>
      <c r="AB51" s="697"/>
      <c r="AC51" s="697"/>
      <c r="AD51" s="697"/>
      <c r="AE51" s="697"/>
      <c r="AF51" s="697"/>
      <c r="AG51" s="697"/>
      <c r="AH51" s="697"/>
      <c r="AI51" s="697"/>
      <c r="AJ51" s="697"/>
      <c r="AK51" s="697"/>
      <c r="AL51" s="697"/>
      <c r="AM51" s="697"/>
      <c r="AN51" s="697"/>
      <c r="AO51" s="697"/>
      <c r="AP51" s="697"/>
      <c r="AQ51" s="697"/>
      <c r="AR51" s="697"/>
      <c r="AS51" s="697"/>
      <c r="AT51" s="697"/>
      <c r="AU51" s="697"/>
      <c r="AV51" s="697"/>
      <c r="AW51" s="697"/>
      <c r="AX51" s="697"/>
      <c r="AY51" s="697"/>
      <c r="AZ51" s="697"/>
      <c r="BA51" s="697"/>
      <c r="BB51" s="697"/>
      <c r="BC51" s="697"/>
      <c r="BD51" s="697"/>
      <c r="BE51" s="697"/>
      <c r="BF51" s="697"/>
      <c r="BG51" s="697"/>
      <c r="BH51" s="697"/>
      <c r="BI51" s="697"/>
      <c r="BJ51" s="697"/>
      <c r="BK51" s="697"/>
      <c r="BL51" s="697"/>
      <c r="BM51" s="697"/>
      <c r="BN51" s="697"/>
      <c r="BO51" s="697"/>
      <c r="BP51" s="697"/>
      <c r="BQ51" s="697"/>
      <c r="BR51" s="697"/>
      <c r="BS51" s="697"/>
      <c r="BT51" s="697"/>
      <c r="BU51" s="697"/>
      <c r="BV51" s="697"/>
      <c r="BW51" s="697"/>
      <c r="BX51" s="697"/>
      <c r="BY51" s="697"/>
      <c r="BZ51" s="697"/>
      <c r="CA51" s="697"/>
      <c r="CB51" s="697"/>
      <c r="CC51" s="697"/>
      <c r="CD51" s="697"/>
      <c r="CE51" s="697"/>
      <c r="CF51" s="697"/>
      <c r="CG51" s="697"/>
      <c r="CH51" s="697"/>
      <c r="CI51" s="697"/>
      <c r="CJ51" s="697"/>
      <c r="CK51" s="697"/>
      <c r="CL51" s="697"/>
      <c r="CM51" s="697"/>
      <c r="CN51" s="697"/>
      <c r="CO51" s="697"/>
      <c r="CP51" s="697"/>
      <c r="CQ51" s="697"/>
      <c r="CR51" s="697"/>
      <c r="CS51" s="697"/>
      <c r="CT51" s="697"/>
      <c r="CU51" s="697"/>
      <c r="CV51" s="697"/>
      <c r="CW51" s="697"/>
      <c r="CX51" s="697"/>
      <c r="CY51" s="697"/>
      <c r="CZ51" s="697"/>
      <c r="DA51" s="697"/>
    </row>
    <row r="52" spans="1:105" hidden="1" outlineLevel="1" x14ac:dyDescent="0.2">
      <c r="A52" s="709">
        <f t="shared" si="3"/>
        <v>36831</v>
      </c>
      <c r="B52" s="709" t="str">
        <f t="shared" si="0"/>
        <v>4Q00</v>
      </c>
      <c r="C52" s="709" t="str">
        <f t="shared" si="4"/>
        <v>1Q01</v>
      </c>
      <c r="D52" s="710">
        <f t="shared" si="20"/>
        <v>36917</v>
      </c>
      <c r="E52" s="710">
        <f t="shared" si="20"/>
        <v>36857</v>
      </c>
      <c r="F52" s="712">
        <v>1.645</v>
      </c>
      <c r="G52" s="713">
        <f t="shared" si="1"/>
        <v>9.9999999999999992E-2</v>
      </c>
      <c r="H52" s="713">
        <f t="shared" si="2"/>
        <v>9.9999999999999992E-2</v>
      </c>
      <c r="I52" s="713">
        <f t="shared" si="21"/>
        <v>3.4999999999999951</v>
      </c>
      <c r="J52" s="713">
        <f t="shared" si="6"/>
        <v>3.5499999999999949</v>
      </c>
      <c r="K52" s="713">
        <f t="shared" si="9"/>
        <v>0.48000000000000026</v>
      </c>
      <c r="L52" s="697"/>
      <c r="M52" s="697"/>
      <c r="N52" s="697"/>
      <c r="O52" s="697"/>
      <c r="P52" s="697"/>
      <c r="Q52" s="697"/>
      <c r="R52" s="697"/>
      <c r="S52" s="697"/>
      <c r="T52" s="697"/>
      <c r="U52" s="697"/>
      <c r="V52" s="697"/>
      <c r="W52" s="697"/>
      <c r="X52" s="697"/>
      <c r="Y52" s="697"/>
      <c r="Z52" s="697"/>
      <c r="AA52" s="697"/>
      <c r="AB52" s="697"/>
      <c r="AC52" s="697"/>
      <c r="AD52" s="697"/>
      <c r="AE52" s="697"/>
      <c r="AF52" s="697"/>
      <c r="AG52" s="697"/>
      <c r="AH52" s="697"/>
      <c r="AI52" s="697"/>
      <c r="AJ52" s="697"/>
      <c r="AK52" s="697"/>
      <c r="AL52" s="697"/>
      <c r="AM52" s="697"/>
      <c r="AN52" s="697"/>
      <c r="AO52" s="697"/>
      <c r="AP52" s="697"/>
      <c r="AQ52" s="697"/>
      <c r="AR52" s="697"/>
      <c r="AS52" s="697"/>
      <c r="AT52" s="697"/>
      <c r="AU52" s="697"/>
      <c r="AV52" s="697"/>
      <c r="AW52" s="697"/>
      <c r="AX52" s="697"/>
      <c r="AY52" s="697"/>
      <c r="AZ52" s="697"/>
      <c r="BA52" s="697"/>
      <c r="BB52" s="697"/>
      <c r="BC52" s="697"/>
      <c r="BD52" s="697"/>
      <c r="BE52" s="697"/>
      <c r="BF52" s="697"/>
      <c r="BG52" s="697"/>
      <c r="BH52" s="697"/>
      <c r="BI52" s="697"/>
      <c r="BJ52" s="697"/>
      <c r="BK52" s="697"/>
      <c r="BL52" s="697"/>
      <c r="BM52" s="697"/>
      <c r="BN52" s="697"/>
      <c r="BO52" s="697"/>
      <c r="BP52" s="697"/>
      <c r="BQ52" s="697"/>
      <c r="BR52" s="697"/>
      <c r="BS52" s="697"/>
      <c r="BT52" s="697"/>
      <c r="BU52" s="697"/>
      <c r="BV52" s="697"/>
      <c r="BW52" s="697"/>
      <c r="BX52" s="697"/>
      <c r="BY52" s="697"/>
      <c r="BZ52" s="697"/>
      <c r="CA52" s="697"/>
      <c r="CB52" s="697"/>
      <c r="CC52" s="697"/>
      <c r="CD52" s="697"/>
      <c r="CE52" s="697"/>
      <c r="CF52" s="697"/>
      <c r="CG52" s="697"/>
      <c r="CH52" s="697"/>
      <c r="CI52" s="697"/>
      <c r="CJ52" s="697"/>
      <c r="CK52" s="697"/>
      <c r="CL52" s="697"/>
      <c r="CM52" s="697"/>
      <c r="CN52" s="697"/>
      <c r="CO52" s="697"/>
      <c r="CP52" s="697"/>
      <c r="CQ52" s="697"/>
      <c r="CR52" s="697"/>
      <c r="CS52" s="697"/>
      <c r="CT52" s="697"/>
      <c r="CU52" s="697"/>
      <c r="CV52" s="697"/>
      <c r="CW52" s="697"/>
      <c r="CX52" s="697"/>
      <c r="CY52" s="697"/>
      <c r="CZ52" s="697"/>
      <c r="DA52" s="697"/>
    </row>
    <row r="53" spans="1:105" hidden="1" outlineLevel="1" x14ac:dyDescent="0.2">
      <c r="A53" s="709">
        <f t="shared" si="3"/>
        <v>36861</v>
      </c>
      <c r="B53" s="709" t="str">
        <f t="shared" si="0"/>
        <v>4Q00</v>
      </c>
      <c r="C53" s="709" t="str">
        <f t="shared" si="4"/>
        <v>1Q01</v>
      </c>
      <c r="D53" s="710">
        <f t="shared" ref="D53:E68" si="22">D52+7</f>
        <v>36924</v>
      </c>
      <c r="E53" s="710">
        <f t="shared" si="22"/>
        <v>36864</v>
      </c>
      <c r="F53" s="712">
        <v>1.6219999999999999</v>
      </c>
      <c r="G53" s="713">
        <f t="shared" si="1"/>
        <v>9.9999999999999992E-2</v>
      </c>
      <c r="H53" s="713">
        <f t="shared" si="2"/>
        <v>0.09</v>
      </c>
      <c r="I53" s="713">
        <f t="shared" si="21"/>
        <v>3.5499999999999949</v>
      </c>
      <c r="J53" s="713">
        <f t="shared" si="6"/>
        <v>3.5999999999999948</v>
      </c>
      <c r="K53" s="713">
        <f t="shared" si="9"/>
        <v>0.49000000000000027</v>
      </c>
      <c r="L53" s="697"/>
      <c r="M53" s="697"/>
      <c r="N53" s="697"/>
      <c r="O53" s="697"/>
      <c r="P53" s="697"/>
      <c r="Q53" s="697"/>
      <c r="R53" s="697"/>
      <c r="S53" s="697"/>
      <c r="T53" s="697"/>
      <c r="U53" s="697"/>
      <c r="V53" s="697"/>
      <c r="W53" s="697"/>
      <c r="X53" s="697"/>
      <c r="Y53" s="697"/>
      <c r="Z53" s="697"/>
      <c r="AA53" s="697"/>
      <c r="AB53" s="697"/>
      <c r="AC53" s="697"/>
      <c r="AD53" s="697"/>
      <c r="AE53" s="697"/>
      <c r="AF53" s="697"/>
      <c r="AG53" s="697"/>
      <c r="AH53" s="697"/>
      <c r="AI53" s="697"/>
      <c r="AJ53" s="697"/>
      <c r="AK53" s="697"/>
      <c r="AL53" s="697"/>
      <c r="AM53" s="697"/>
      <c r="AN53" s="697"/>
      <c r="AO53" s="697"/>
      <c r="AP53" s="697"/>
      <c r="AQ53" s="697"/>
      <c r="AR53" s="697"/>
      <c r="AS53" s="697"/>
      <c r="AT53" s="697"/>
      <c r="AU53" s="697"/>
      <c r="AV53" s="697"/>
      <c r="AW53" s="697"/>
      <c r="AX53" s="697"/>
      <c r="AY53" s="697"/>
      <c r="AZ53" s="697"/>
      <c r="BA53" s="697"/>
      <c r="BB53" s="697"/>
      <c r="BC53" s="697"/>
      <c r="BD53" s="697"/>
      <c r="BE53" s="697"/>
      <c r="BF53" s="697"/>
      <c r="BG53" s="697"/>
      <c r="BH53" s="697"/>
      <c r="BI53" s="697"/>
      <c r="BJ53" s="697"/>
      <c r="BK53" s="697"/>
      <c r="BL53" s="697"/>
      <c r="BM53" s="697"/>
      <c r="BN53" s="697"/>
      <c r="BO53" s="697"/>
      <c r="BP53" s="697"/>
      <c r="BQ53" s="697"/>
      <c r="BR53" s="697"/>
      <c r="BS53" s="697"/>
      <c r="BT53" s="697"/>
      <c r="BU53" s="697"/>
      <c r="BV53" s="697"/>
      <c r="BW53" s="697"/>
      <c r="BX53" s="697"/>
      <c r="BY53" s="697"/>
      <c r="BZ53" s="697"/>
      <c r="CA53" s="697"/>
      <c r="CB53" s="697"/>
      <c r="CC53" s="697"/>
      <c r="CD53" s="697"/>
      <c r="CE53" s="697"/>
      <c r="CF53" s="697"/>
      <c r="CG53" s="697"/>
      <c r="CH53" s="697"/>
      <c r="CI53" s="697"/>
      <c r="CJ53" s="697"/>
      <c r="CK53" s="697"/>
      <c r="CL53" s="697"/>
      <c r="CM53" s="697"/>
      <c r="CN53" s="697"/>
      <c r="CO53" s="697"/>
      <c r="CP53" s="697"/>
      <c r="CQ53" s="697"/>
      <c r="CR53" s="697"/>
      <c r="CS53" s="697"/>
      <c r="CT53" s="697"/>
      <c r="CU53" s="697"/>
      <c r="CV53" s="697"/>
      <c r="CW53" s="697"/>
      <c r="CX53" s="697"/>
      <c r="CY53" s="697"/>
      <c r="CZ53" s="697"/>
      <c r="DA53" s="697"/>
    </row>
    <row r="54" spans="1:105" hidden="1" outlineLevel="1" x14ac:dyDescent="0.2">
      <c r="A54" s="709">
        <f t="shared" si="3"/>
        <v>36861</v>
      </c>
      <c r="B54" s="709" t="str">
        <f t="shared" si="0"/>
        <v>4Q00</v>
      </c>
      <c r="C54" s="709" t="str">
        <f t="shared" si="4"/>
        <v>1Q01</v>
      </c>
      <c r="D54" s="710">
        <f t="shared" si="22"/>
        <v>36931</v>
      </c>
      <c r="E54" s="710">
        <f t="shared" si="22"/>
        <v>36871</v>
      </c>
      <c r="F54" s="712">
        <v>1.577</v>
      </c>
      <c r="G54" s="713">
        <f t="shared" si="1"/>
        <v>0.09</v>
      </c>
      <c r="H54" s="713">
        <f t="shared" si="2"/>
        <v>0.08</v>
      </c>
      <c r="I54" s="713">
        <f t="shared" ref="I54:J69" si="23">I53+0.05</f>
        <v>3.5999999999999948</v>
      </c>
      <c r="J54" s="713">
        <f t="shared" si="6"/>
        <v>3.6499999999999946</v>
      </c>
      <c r="K54" s="713">
        <f t="shared" si="9"/>
        <v>0.50000000000000022</v>
      </c>
      <c r="L54" s="697"/>
      <c r="M54" s="697"/>
      <c r="N54" s="697"/>
      <c r="O54" s="697"/>
      <c r="P54" s="697"/>
      <c r="Q54" s="697"/>
      <c r="R54" s="697"/>
      <c r="S54" s="697"/>
      <c r="T54" s="697"/>
      <c r="U54" s="697"/>
      <c r="V54" s="697"/>
      <c r="W54" s="697"/>
      <c r="X54" s="697"/>
      <c r="Y54" s="697"/>
      <c r="Z54" s="697"/>
      <c r="AA54" s="697"/>
      <c r="AB54" s="697"/>
      <c r="AC54" s="697"/>
      <c r="AD54" s="697"/>
      <c r="AE54" s="697"/>
      <c r="AF54" s="697"/>
      <c r="AG54" s="697"/>
      <c r="AH54" s="697"/>
      <c r="AI54" s="697"/>
      <c r="AJ54" s="697"/>
      <c r="AK54" s="697"/>
      <c r="AL54" s="697"/>
      <c r="AM54" s="697"/>
      <c r="AN54" s="697"/>
      <c r="AO54" s="697"/>
      <c r="AP54" s="697"/>
      <c r="AQ54" s="697"/>
      <c r="AR54" s="697"/>
      <c r="AS54" s="697"/>
      <c r="AT54" s="697"/>
      <c r="AU54" s="697"/>
      <c r="AV54" s="697"/>
      <c r="AW54" s="697"/>
      <c r="AX54" s="697"/>
      <c r="AY54" s="697"/>
      <c r="AZ54" s="697"/>
      <c r="BA54" s="697"/>
      <c r="BB54" s="697"/>
      <c r="BC54" s="697"/>
      <c r="BD54" s="697"/>
      <c r="BE54" s="697"/>
      <c r="BF54" s="697"/>
      <c r="BG54" s="697"/>
      <c r="BH54" s="697"/>
      <c r="BI54" s="697"/>
      <c r="BJ54" s="697"/>
      <c r="BK54" s="697"/>
      <c r="BL54" s="697"/>
      <c r="BM54" s="697"/>
      <c r="BN54" s="697"/>
      <c r="BO54" s="697"/>
      <c r="BP54" s="697"/>
      <c r="BQ54" s="697"/>
      <c r="BR54" s="697"/>
      <c r="BS54" s="697"/>
      <c r="BT54" s="697"/>
      <c r="BU54" s="697"/>
      <c r="BV54" s="697"/>
      <c r="BW54" s="697"/>
      <c r="BX54" s="697"/>
      <c r="BY54" s="697"/>
      <c r="BZ54" s="697"/>
      <c r="CA54" s="697"/>
      <c r="CB54" s="697"/>
      <c r="CC54" s="697"/>
      <c r="CD54" s="697"/>
      <c r="CE54" s="697"/>
      <c r="CF54" s="697"/>
      <c r="CG54" s="697"/>
      <c r="CH54" s="697"/>
      <c r="CI54" s="697"/>
      <c r="CJ54" s="697"/>
      <c r="CK54" s="697"/>
      <c r="CL54" s="697"/>
      <c r="CM54" s="697"/>
      <c r="CN54" s="697"/>
      <c r="CO54" s="697"/>
      <c r="CP54" s="697"/>
      <c r="CQ54" s="697"/>
      <c r="CR54" s="697"/>
      <c r="CS54" s="697"/>
      <c r="CT54" s="697"/>
      <c r="CU54" s="697"/>
      <c r="CV54" s="697"/>
      <c r="CW54" s="697"/>
      <c r="CX54" s="697"/>
      <c r="CY54" s="697"/>
      <c r="CZ54" s="697"/>
      <c r="DA54" s="697"/>
    </row>
    <row r="55" spans="1:105" hidden="1" outlineLevel="1" x14ac:dyDescent="0.2">
      <c r="A55" s="709">
        <f t="shared" si="3"/>
        <v>36861</v>
      </c>
      <c r="B55" s="709" t="str">
        <f t="shared" si="0"/>
        <v>4Q00</v>
      </c>
      <c r="C55" s="709" t="str">
        <f t="shared" si="4"/>
        <v>1Q01</v>
      </c>
      <c r="D55" s="710">
        <f t="shared" si="22"/>
        <v>36938</v>
      </c>
      <c r="E55" s="710">
        <f t="shared" si="22"/>
        <v>36878</v>
      </c>
      <c r="F55" s="712">
        <v>1.5449999999999999</v>
      </c>
      <c r="G55" s="713">
        <f t="shared" si="1"/>
        <v>0.08</v>
      </c>
      <c r="H55" s="713">
        <f t="shared" si="2"/>
        <v>0.08</v>
      </c>
      <c r="I55" s="713">
        <f t="shared" si="23"/>
        <v>3.6499999999999946</v>
      </c>
      <c r="J55" s="713">
        <f t="shared" si="6"/>
        <v>3.6999999999999944</v>
      </c>
      <c r="K55" s="713">
        <f t="shared" si="9"/>
        <v>0.51000000000000023</v>
      </c>
      <c r="L55" s="697"/>
      <c r="M55" s="697"/>
      <c r="N55" s="697"/>
      <c r="O55" s="697"/>
      <c r="P55" s="697"/>
      <c r="Q55" s="697"/>
      <c r="R55" s="697"/>
      <c r="S55" s="697"/>
      <c r="T55" s="697"/>
      <c r="U55" s="697"/>
      <c r="V55" s="697"/>
      <c r="W55" s="697"/>
      <c r="X55" s="697"/>
      <c r="Y55" s="697"/>
      <c r="Z55" s="697"/>
      <c r="AA55" s="697"/>
      <c r="AB55" s="697"/>
      <c r="AC55" s="697"/>
      <c r="AD55" s="697"/>
      <c r="AE55" s="697"/>
      <c r="AF55" s="697"/>
      <c r="AG55" s="697"/>
      <c r="AH55" s="697"/>
      <c r="AI55" s="697"/>
      <c r="AJ55" s="697"/>
      <c r="AK55" s="697"/>
      <c r="AL55" s="697"/>
      <c r="AM55" s="697"/>
      <c r="AN55" s="697"/>
      <c r="AO55" s="697"/>
      <c r="AP55" s="697"/>
      <c r="AQ55" s="697"/>
      <c r="AR55" s="697"/>
      <c r="AS55" s="697"/>
      <c r="AT55" s="697"/>
      <c r="AU55" s="697"/>
      <c r="AV55" s="697"/>
      <c r="AW55" s="697"/>
      <c r="AX55" s="697"/>
      <c r="AY55" s="697"/>
      <c r="AZ55" s="697"/>
      <c r="BA55" s="697"/>
      <c r="BB55" s="697"/>
      <c r="BC55" s="697"/>
      <c r="BD55" s="697"/>
      <c r="BE55" s="697"/>
      <c r="BF55" s="697"/>
      <c r="BG55" s="697"/>
      <c r="BH55" s="697"/>
      <c r="BI55" s="697"/>
      <c r="BJ55" s="697"/>
      <c r="BK55" s="697"/>
      <c r="BL55" s="697"/>
      <c r="BM55" s="697"/>
      <c r="BN55" s="697"/>
      <c r="BO55" s="697"/>
      <c r="BP55" s="697"/>
      <c r="BQ55" s="697"/>
      <c r="BR55" s="697"/>
      <c r="BS55" s="697"/>
      <c r="BT55" s="697"/>
      <c r="BU55" s="697"/>
      <c r="BV55" s="697"/>
      <c r="BW55" s="697"/>
      <c r="BX55" s="697"/>
      <c r="BY55" s="697"/>
      <c r="BZ55" s="697"/>
      <c r="CA55" s="697"/>
      <c r="CB55" s="697"/>
      <c r="CC55" s="697"/>
      <c r="CD55" s="697"/>
      <c r="CE55" s="697"/>
      <c r="CF55" s="697"/>
      <c r="CG55" s="697"/>
      <c r="CH55" s="697"/>
      <c r="CI55" s="697"/>
      <c r="CJ55" s="697"/>
      <c r="CK55" s="697"/>
      <c r="CL55" s="697"/>
      <c r="CM55" s="697"/>
      <c r="CN55" s="697"/>
      <c r="CO55" s="697"/>
      <c r="CP55" s="697"/>
      <c r="CQ55" s="697"/>
      <c r="CR55" s="697"/>
      <c r="CS55" s="697"/>
      <c r="CT55" s="697"/>
      <c r="CU55" s="697"/>
      <c r="CV55" s="697"/>
      <c r="CW55" s="697"/>
      <c r="CX55" s="697"/>
      <c r="CY55" s="697"/>
      <c r="CZ55" s="697"/>
      <c r="DA55" s="697"/>
    </row>
    <row r="56" spans="1:105" hidden="1" outlineLevel="1" x14ac:dyDescent="0.2">
      <c r="A56" s="709">
        <f t="shared" si="3"/>
        <v>36861</v>
      </c>
      <c r="B56" s="709" t="str">
        <f t="shared" si="0"/>
        <v>4Q00</v>
      </c>
      <c r="C56" s="709" t="str">
        <f t="shared" si="4"/>
        <v>1Q01</v>
      </c>
      <c r="D56" s="710">
        <f t="shared" si="22"/>
        <v>36945</v>
      </c>
      <c r="E56" s="710">
        <f t="shared" si="22"/>
        <v>36885</v>
      </c>
      <c r="F56" s="712">
        <v>1.5149999999999999</v>
      </c>
      <c r="G56" s="713">
        <f t="shared" si="1"/>
        <v>0.08</v>
      </c>
      <c r="H56" s="713">
        <f t="shared" si="2"/>
        <v>0.08</v>
      </c>
      <c r="I56" s="713">
        <f t="shared" si="23"/>
        <v>3.6999999999999944</v>
      </c>
      <c r="J56" s="713">
        <f t="shared" si="6"/>
        <v>3.7499999999999942</v>
      </c>
      <c r="K56" s="713">
        <f t="shared" si="9"/>
        <v>0.52000000000000024</v>
      </c>
      <c r="L56" s="697"/>
      <c r="M56" s="697"/>
      <c r="N56" s="697"/>
      <c r="O56" s="697"/>
      <c r="P56" s="697"/>
      <c r="Q56" s="697"/>
      <c r="R56" s="697"/>
      <c r="S56" s="697"/>
      <c r="T56" s="697"/>
      <c r="U56" s="697"/>
      <c r="V56" s="697"/>
      <c r="W56" s="697"/>
      <c r="X56" s="697"/>
      <c r="Y56" s="697"/>
      <c r="Z56" s="697"/>
      <c r="AA56" s="697"/>
      <c r="AB56" s="697"/>
      <c r="AC56" s="697"/>
      <c r="AD56" s="697"/>
      <c r="AE56" s="697"/>
      <c r="AF56" s="697"/>
      <c r="AG56" s="697"/>
      <c r="AH56" s="697"/>
      <c r="AI56" s="697"/>
      <c r="AJ56" s="697"/>
      <c r="AK56" s="697"/>
      <c r="AL56" s="697"/>
      <c r="AM56" s="697"/>
      <c r="AN56" s="697"/>
      <c r="AO56" s="697"/>
      <c r="AP56" s="697"/>
      <c r="AQ56" s="697"/>
      <c r="AR56" s="697"/>
      <c r="AS56" s="697"/>
      <c r="AT56" s="697"/>
      <c r="AU56" s="697"/>
      <c r="AV56" s="697"/>
      <c r="AW56" s="697"/>
      <c r="AX56" s="697"/>
      <c r="AY56" s="697"/>
      <c r="AZ56" s="697"/>
      <c r="BA56" s="697"/>
      <c r="BB56" s="697"/>
      <c r="BC56" s="697"/>
      <c r="BD56" s="697"/>
      <c r="BE56" s="697"/>
      <c r="BF56" s="697"/>
      <c r="BG56" s="697"/>
      <c r="BH56" s="697"/>
      <c r="BI56" s="697"/>
      <c r="BJ56" s="697"/>
      <c r="BK56" s="697"/>
      <c r="BL56" s="697"/>
      <c r="BM56" s="697"/>
      <c r="BN56" s="697"/>
      <c r="BO56" s="697"/>
      <c r="BP56" s="697"/>
      <c r="BQ56" s="697"/>
      <c r="BR56" s="697"/>
      <c r="BS56" s="697"/>
      <c r="BT56" s="697"/>
      <c r="BU56" s="697"/>
      <c r="BV56" s="697"/>
      <c r="BW56" s="697"/>
      <c r="BX56" s="697"/>
      <c r="BY56" s="697"/>
      <c r="BZ56" s="697"/>
      <c r="CA56" s="697"/>
      <c r="CB56" s="697"/>
      <c r="CC56" s="697"/>
      <c r="CD56" s="697"/>
      <c r="CE56" s="697"/>
      <c r="CF56" s="697"/>
      <c r="CG56" s="697"/>
      <c r="CH56" s="697"/>
      <c r="CI56" s="697"/>
      <c r="CJ56" s="697"/>
      <c r="CK56" s="697"/>
      <c r="CL56" s="697"/>
      <c r="CM56" s="697"/>
      <c r="CN56" s="697"/>
      <c r="CO56" s="697"/>
      <c r="CP56" s="697"/>
      <c r="CQ56" s="697"/>
      <c r="CR56" s="697"/>
      <c r="CS56" s="697"/>
      <c r="CT56" s="697"/>
      <c r="CU56" s="697"/>
      <c r="CV56" s="697"/>
      <c r="CW56" s="697"/>
      <c r="CX56" s="697"/>
      <c r="CY56" s="697"/>
      <c r="CZ56" s="697"/>
      <c r="DA56" s="697"/>
    </row>
    <row r="57" spans="1:105" hidden="1" outlineLevel="1" x14ac:dyDescent="0.2">
      <c r="A57" s="709">
        <f t="shared" si="3"/>
        <v>36892</v>
      </c>
      <c r="B57" s="709" t="str">
        <f t="shared" si="0"/>
        <v>1Q01</v>
      </c>
      <c r="C57" s="709" t="str">
        <f t="shared" si="4"/>
        <v>1Q01</v>
      </c>
      <c r="D57" s="710">
        <f t="shared" si="22"/>
        <v>36952</v>
      </c>
      <c r="E57" s="710">
        <f t="shared" si="22"/>
        <v>36892</v>
      </c>
      <c r="F57" s="712">
        <v>1.5219999999999998</v>
      </c>
      <c r="G57" s="713">
        <f t="shared" si="1"/>
        <v>0.08</v>
      </c>
      <c r="H57" s="713">
        <f t="shared" si="2"/>
        <v>0.08</v>
      </c>
      <c r="I57" s="713">
        <f t="shared" si="23"/>
        <v>3.7499999999999942</v>
      </c>
      <c r="J57" s="713">
        <f t="shared" si="6"/>
        <v>3.799999999999994</v>
      </c>
      <c r="K57" s="713">
        <f t="shared" si="9"/>
        <v>0.53000000000000025</v>
      </c>
      <c r="L57" s="697"/>
      <c r="M57" s="697"/>
      <c r="N57" s="697"/>
      <c r="O57" s="697"/>
      <c r="P57" s="697"/>
      <c r="Q57" s="697"/>
      <c r="R57" s="697"/>
      <c r="S57" s="697"/>
      <c r="T57" s="697"/>
      <c r="U57" s="697"/>
      <c r="V57" s="697"/>
      <c r="W57" s="697"/>
      <c r="X57" s="697"/>
      <c r="Y57" s="697"/>
      <c r="Z57" s="697"/>
      <c r="AA57" s="697"/>
      <c r="AB57" s="697"/>
      <c r="AC57" s="697"/>
      <c r="AD57" s="697"/>
      <c r="AE57" s="697"/>
      <c r="AF57" s="697"/>
      <c r="AG57" s="697"/>
      <c r="AH57" s="697"/>
      <c r="AI57" s="697"/>
      <c r="AJ57" s="697"/>
      <c r="AK57" s="697"/>
      <c r="AL57" s="697"/>
      <c r="AM57" s="697"/>
      <c r="AN57" s="697"/>
      <c r="AO57" s="697"/>
      <c r="AP57" s="697"/>
      <c r="AQ57" s="697"/>
      <c r="AR57" s="697"/>
      <c r="AS57" s="697"/>
      <c r="AT57" s="697"/>
      <c r="AU57" s="697"/>
      <c r="AV57" s="697"/>
      <c r="AW57" s="697"/>
      <c r="AX57" s="697"/>
      <c r="AY57" s="697"/>
      <c r="AZ57" s="697"/>
      <c r="BA57" s="697"/>
      <c r="BB57" s="697"/>
      <c r="BC57" s="697"/>
      <c r="BD57" s="697"/>
      <c r="BE57" s="697"/>
      <c r="BF57" s="697"/>
      <c r="BG57" s="697"/>
      <c r="BH57" s="697"/>
      <c r="BI57" s="697"/>
      <c r="BJ57" s="697"/>
      <c r="BK57" s="697"/>
      <c r="BL57" s="697"/>
      <c r="BM57" s="697"/>
      <c r="BN57" s="697"/>
      <c r="BO57" s="697"/>
      <c r="BP57" s="697"/>
      <c r="BQ57" s="697"/>
      <c r="BR57" s="697"/>
      <c r="BS57" s="697"/>
      <c r="BT57" s="697"/>
      <c r="BU57" s="697"/>
      <c r="BV57" s="697"/>
      <c r="BW57" s="697"/>
      <c r="BX57" s="697"/>
      <c r="BY57" s="697"/>
      <c r="BZ57" s="697"/>
      <c r="CA57" s="697"/>
      <c r="CB57" s="697"/>
      <c r="CC57" s="697"/>
      <c r="CD57" s="697"/>
      <c r="CE57" s="697"/>
      <c r="CF57" s="697"/>
      <c r="CG57" s="697"/>
      <c r="CH57" s="697"/>
      <c r="CI57" s="697"/>
      <c r="CJ57" s="697"/>
      <c r="CK57" s="697"/>
      <c r="CL57" s="697"/>
      <c r="CM57" s="697"/>
      <c r="CN57" s="697"/>
      <c r="CO57" s="697"/>
      <c r="CP57" s="697"/>
      <c r="CQ57" s="697"/>
      <c r="CR57" s="697"/>
      <c r="CS57" s="697"/>
      <c r="CT57" s="697"/>
      <c r="CU57" s="697"/>
      <c r="CV57" s="697"/>
      <c r="CW57" s="697"/>
      <c r="CX57" s="697"/>
      <c r="CY57" s="697"/>
      <c r="CZ57" s="697"/>
      <c r="DA57" s="697"/>
    </row>
    <row r="58" spans="1:105" hidden="1" outlineLevel="1" x14ac:dyDescent="0.2">
      <c r="A58" s="709">
        <f t="shared" si="3"/>
        <v>36892</v>
      </c>
      <c r="B58" s="709" t="str">
        <f t="shared" si="0"/>
        <v>1Q01</v>
      </c>
      <c r="C58" s="709" t="str">
        <f t="shared" si="4"/>
        <v>1Q01</v>
      </c>
      <c r="D58" s="710">
        <f t="shared" si="22"/>
        <v>36959</v>
      </c>
      <c r="E58" s="710">
        <f t="shared" si="22"/>
        <v>36899</v>
      </c>
      <c r="F58" s="712">
        <v>1.52</v>
      </c>
      <c r="G58" s="713">
        <f t="shared" si="1"/>
        <v>0.08</v>
      </c>
      <c r="H58" s="713">
        <f t="shared" si="2"/>
        <v>0.08</v>
      </c>
      <c r="I58" s="713">
        <f t="shared" si="23"/>
        <v>3.799999999999994</v>
      </c>
      <c r="J58" s="713">
        <f t="shared" si="6"/>
        <v>3.8499999999999939</v>
      </c>
      <c r="K58" s="713">
        <f t="shared" si="9"/>
        <v>0.54000000000000026</v>
      </c>
      <c r="L58" s="697"/>
      <c r="M58" s="697"/>
      <c r="N58" s="697"/>
      <c r="O58" s="697"/>
      <c r="P58" s="697"/>
      <c r="Q58" s="697"/>
      <c r="R58" s="697"/>
      <c r="S58" s="697"/>
      <c r="T58" s="697"/>
      <c r="U58" s="697"/>
      <c r="V58" s="697"/>
      <c r="W58" s="697"/>
      <c r="X58" s="697"/>
      <c r="Y58" s="697"/>
      <c r="Z58" s="697"/>
      <c r="AA58" s="697"/>
      <c r="AB58" s="697"/>
      <c r="AC58" s="697"/>
      <c r="AD58" s="697"/>
      <c r="AE58" s="697"/>
      <c r="AF58" s="697"/>
      <c r="AG58" s="697"/>
      <c r="AH58" s="697"/>
      <c r="AI58" s="697"/>
      <c r="AJ58" s="697"/>
      <c r="AK58" s="697"/>
      <c r="AL58" s="697"/>
      <c r="AM58" s="697"/>
      <c r="AN58" s="697"/>
      <c r="AO58" s="697"/>
      <c r="AP58" s="697"/>
      <c r="AQ58" s="697"/>
      <c r="AR58" s="697"/>
      <c r="AS58" s="697"/>
      <c r="AT58" s="697"/>
      <c r="AU58" s="697"/>
      <c r="AV58" s="697"/>
      <c r="AW58" s="697"/>
      <c r="AX58" s="697"/>
      <c r="AY58" s="697"/>
      <c r="AZ58" s="697"/>
      <c r="BA58" s="697"/>
      <c r="BB58" s="697"/>
      <c r="BC58" s="697"/>
      <c r="BD58" s="697"/>
      <c r="BE58" s="697"/>
      <c r="BF58" s="697"/>
      <c r="BG58" s="697"/>
      <c r="BH58" s="697"/>
      <c r="BI58" s="697"/>
      <c r="BJ58" s="697"/>
      <c r="BK58" s="697"/>
      <c r="BL58" s="697"/>
      <c r="BM58" s="697"/>
      <c r="BN58" s="697"/>
      <c r="BO58" s="697"/>
      <c r="BP58" s="697"/>
      <c r="BQ58" s="697"/>
      <c r="BR58" s="697"/>
      <c r="BS58" s="697"/>
      <c r="BT58" s="697"/>
      <c r="BU58" s="697"/>
      <c r="BV58" s="697"/>
      <c r="BW58" s="697"/>
      <c r="BX58" s="697"/>
      <c r="BY58" s="697"/>
      <c r="BZ58" s="697"/>
      <c r="CA58" s="697"/>
      <c r="CB58" s="697"/>
      <c r="CC58" s="697"/>
      <c r="CD58" s="697"/>
      <c r="CE58" s="697"/>
      <c r="CF58" s="697"/>
      <c r="CG58" s="697"/>
      <c r="CH58" s="697"/>
      <c r="CI58" s="697"/>
      <c r="CJ58" s="697"/>
      <c r="CK58" s="697"/>
      <c r="CL58" s="697"/>
      <c r="CM58" s="697"/>
      <c r="CN58" s="697"/>
      <c r="CO58" s="697"/>
      <c r="CP58" s="697"/>
      <c r="CQ58" s="697"/>
      <c r="CR58" s="697"/>
      <c r="CS58" s="697"/>
      <c r="CT58" s="697"/>
      <c r="CU58" s="697"/>
      <c r="CV58" s="697"/>
      <c r="CW58" s="697"/>
      <c r="CX58" s="697"/>
      <c r="CY58" s="697"/>
      <c r="CZ58" s="697"/>
      <c r="DA58" s="697"/>
    </row>
    <row r="59" spans="1:105" hidden="1" outlineLevel="1" x14ac:dyDescent="0.2">
      <c r="A59" s="709">
        <f t="shared" si="3"/>
        <v>36892</v>
      </c>
      <c r="B59" s="709" t="str">
        <f t="shared" si="0"/>
        <v>1Q01</v>
      </c>
      <c r="C59" s="709" t="str">
        <f t="shared" si="4"/>
        <v>1Q01</v>
      </c>
      <c r="D59" s="710">
        <f t="shared" si="22"/>
        <v>36966</v>
      </c>
      <c r="E59" s="710">
        <f t="shared" si="22"/>
        <v>36906</v>
      </c>
      <c r="F59" s="712">
        <v>1.5090000000000001</v>
      </c>
      <c r="G59" s="713">
        <f t="shared" si="1"/>
        <v>0.08</v>
      </c>
      <c r="H59" s="713">
        <f t="shared" si="2"/>
        <v>0.08</v>
      </c>
      <c r="I59" s="713">
        <f t="shared" si="23"/>
        <v>3.8499999999999939</v>
      </c>
      <c r="J59" s="713">
        <f t="shared" si="6"/>
        <v>3.8999999999999937</v>
      </c>
      <c r="K59" s="713">
        <f t="shared" si="9"/>
        <v>0.55000000000000027</v>
      </c>
      <c r="L59" s="697"/>
      <c r="M59" s="697"/>
      <c r="N59" s="697"/>
      <c r="O59" s="697"/>
      <c r="P59" s="697"/>
      <c r="Q59" s="697"/>
      <c r="R59" s="697"/>
      <c r="S59" s="697"/>
      <c r="T59" s="697"/>
      <c r="U59" s="697"/>
      <c r="V59" s="697"/>
      <c r="W59" s="697"/>
      <c r="X59" s="697"/>
      <c r="Y59" s="697"/>
      <c r="Z59" s="697"/>
      <c r="AA59" s="697"/>
      <c r="AB59" s="697"/>
      <c r="AC59" s="697"/>
      <c r="AD59" s="697"/>
      <c r="AE59" s="697"/>
      <c r="AF59" s="697"/>
      <c r="AG59" s="697"/>
      <c r="AH59" s="697"/>
      <c r="AI59" s="697"/>
      <c r="AJ59" s="697"/>
      <c r="AK59" s="697"/>
      <c r="AL59" s="697"/>
      <c r="AM59" s="697"/>
      <c r="AN59" s="697"/>
      <c r="AO59" s="697"/>
      <c r="AP59" s="697"/>
      <c r="AQ59" s="697"/>
      <c r="AR59" s="697"/>
      <c r="AS59" s="697"/>
      <c r="AT59" s="697"/>
      <c r="AU59" s="697"/>
      <c r="AV59" s="697"/>
      <c r="AW59" s="697"/>
      <c r="AX59" s="697"/>
      <c r="AY59" s="697"/>
      <c r="AZ59" s="697"/>
      <c r="BA59" s="697"/>
      <c r="BB59" s="697"/>
      <c r="BC59" s="697"/>
      <c r="BD59" s="697"/>
      <c r="BE59" s="697"/>
      <c r="BF59" s="697"/>
      <c r="BG59" s="697"/>
      <c r="BH59" s="697"/>
      <c r="BI59" s="697"/>
      <c r="BJ59" s="697"/>
      <c r="BK59" s="697"/>
      <c r="BL59" s="697"/>
      <c r="BM59" s="697"/>
      <c r="BN59" s="697"/>
      <c r="BO59" s="697"/>
      <c r="BP59" s="697"/>
      <c r="BQ59" s="697"/>
      <c r="BR59" s="697"/>
      <c r="BS59" s="697"/>
      <c r="BT59" s="697"/>
      <c r="BU59" s="697"/>
      <c r="BV59" s="697"/>
      <c r="BW59" s="697"/>
      <c r="BX59" s="697"/>
      <c r="BY59" s="697"/>
      <c r="BZ59" s="697"/>
      <c r="CA59" s="697"/>
      <c r="CB59" s="697"/>
      <c r="CC59" s="697"/>
      <c r="CD59" s="697"/>
      <c r="CE59" s="697"/>
      <c r="CF59" s="697"/>
      <c r="CG59" s="697"/>
      <c r="CH59" s="697"/>
      <c r="CI59" s="697"/>
      <c r="CJ59" s="697"/>
      <c r="CK59" s="697"/>
      <c r="CL59" s="697"/>
      <c r="CM59" s="697"/>
      <c r="CN59" s="697"/>
      <c r="CO59" s="697"/>
      <c r="CP59" s="697"/>
      <c r="CQ59" s="697"/>
      <c r="CR59" s="697"/>
      <c r="CS59" s="697"/>
      <c r="CT59" s="697"/>
      <c r="CU59" s="697"/>
      <c r="CV59" s="697"/>
      <c r="CW59" s="697"/>
      <c r="CX59" s="697"/>
      <c r="CY59" s="697"/>
      <c r="CZ59" s="697"/>
      <c r="DA59" s="697"/>
    </row>
    <row r="60" spans="1:105" hidden="1" outlineLevel="1" x14ac:dyDescent="0.2">
      <c r="A60" s="709">
        <f t="shared" si="3"/>
        <v>36892</v>
      </c>
      <c r="B60" s="709" t="str">
        <f t="shared" si="0"/>
        <v>1Q01</v>
      </c>
      <c r="C60" s="709" t="str">
        <f t="shared" si="4"/>
        <v>1Q01</v>
      </c>
      <c r="D60" s="710">
        <f t="shared" si="22"/>
        <v>36973</v>
      </c>
      <c r="E60" s="710">
        <f t="shared" si="22"/>
        <v>36913</v>
      </c>
      <c r="F60" s="712">
        <v>1.528</v>
      </c>
      <c r="G60" s="713">
        <f t="shared" si="1"/>
        <v>0.08</v>
      </c>
      <c r="H60" s="713">
        <f t="shared" si="2"/>
        <v>0.08</v>
      </c>
      <c r="I60" s="713">
        <f t="shared" si="23"/>
        <v>3.8999999999999937</v>
      </c>
      <c r="J60" s="713">
        <f t="shared" si="6"/>
        <v>3.9499999999999935</v>
      </c>
      <c r="K60" s="713">
        <f t="shared" si="9"/>
        <v>0.56000000000000028</v>
      </c>
      <c r="L60" s="697"/>
      <c r="M60" s="697"/>
      <c r="N60" s="697"/>
      <c r="O60" s="697"/>
      <c r="P60" s="697"/>
      <c r="Q60" s="697"/>
      <c r="R60" s="697"/>
      <c r="S60" s="697"/>
      <c r="T60" s="697"/>
      <c r="U60" s="697"/>
      <c r="V60" s="697"/>
      <c r="W60" s="697"/>
      <c r="X60" s="697"/>
      <c r="Y60" s="697"/>
      <c r="Z60" s="697"/>
      <c r="AA60" s="697"/>
      <c r="AB60" s="697"/>
      <c r="AC60" s="697"/>
      <c r="AD60" s="697"/>
      <c r="AE60" s="697"/>
      <c r="AF60" s="697"/>
      <c r="AG60" s="697"/>
      <c r="AH60" s="697"/>
      <c r="AI60" s="697"/>
      <c r="AJ60" s="697"/>
      <c r="AK60" s="697"/>
      <c r="AL60" s="697"/>
      <c r="AM60" s="697"/>
      <c r="AN60" s="697"/>
      <c r="AO60" s="697"/>
      <c r="AP60" s="697"/>
      <c r="AQ60" s="697"/>
      <c r="AR60" s="697"/>
      <c r="AS60" s="697"/>
      <c r="AT60" s="697"/>
      <c r="AU60" s="697"/>
      <c r="AV60" s="697"/>
      <c r="AW60" s="697"/>
      <c r="AX60" s="697"/>
      <c r="AY60" s="697"/>
      <c r="AZ60" s="697"/>
      <c r="BA60" s="697"/>
      <c r="BB60" s="697"/>
      <c r="BC60" s="697"/>
      <c r="BD60" s="697"/>
      <c r="BE60" s="697"/>
      <c r="BF60" s="697"/>
      <c r="BG60" s="697"/>
      <c r="BH60" s="697"/>
      <c r="BI60" s="697"/>
      <c r="BJ60" s="697"/>
      <c r="BK60" s="697"/>
      <c r="BL60" s="697"/>
      <c r="BM60" s="697"/>
      <c r="BN60" s="697"/>
      <c r="BO60" s="697"/>
      <c r="BP60" s="697"/>
      <c r="BQ60" s="697"/>
      <c r="BR60" s="697"/>
      <c r="BS60" s="697"/>
      <c r="BT60" s="697"/>
      <c r="BU60" s="697"/>
      <c r="BV60" s="697"/>
      <c r="BW60" s="697"/>
      <c r="BX60" s="697"/>
      <c r="BY60" s="697"/>
      <c r="BZ60" s="697"/>
      <c r="CA60" s="697"/>
      <c r="CB60" s="697"/>
      <c r="CC60" s="697"/>
      <c r="CD60" s="697"/>
      <c r="CE60" s="697"/>
      <c r="CF60" s="697"/>
      <c r="CG60" s="697"/>
      <c r="CH60" s="697"/>
      <c r="CI60" s="697"/>
      <c r="CJ60" s="697"/>
      <c r="CK60" s="697"/>
      <c r="CL60" s="697"/>
      <c r="CM60" s="697"/>
      <c r="CN60" s="697"/>
      <c r="CO60" s="697"/>
      <c r="CP60" s="697"/>
      <c r="CQ60" s="697"/>
      <c r="CR60" s="697"/>
      <c r="CS60" s="697"/>
      <c r="CT60" s="697"/>
      <c r="CU60" s="697"/>
      <c r="CV60" s="697"/>
      <c r="CW60" s="697"/>
      <c r="CX60" s="697"/>
      <c r="CY60" s="697"/>
      <c r="CZ60" s="697"/>
      <c r="DA60" s="697"/>
    </row>
    <row r="61" spans="1:105" hidden="1" outlineLevel="1" x14ac:dyDescent="0.2">
      <c r="A61" s="709">
        <f t="shared" si="3"/>
        <v>36892</v>
      </c>
      <c r="B61" s="709" t="str">
        <f t="shared" si="0"/>
        <v>1Q01</v>
      </c>
      <c r="C61" s="709" t="str">
        <f t="shared" si="4"/>
        <v>1Q01</v>
      </c>
      <c r="D61" s="710">
        <f t="shared" si="22"/>
        <v>36980</v>
      </c>
      <c r="E61" s="710">
        <f t="shared" si="22"/>
        <v>36920</v>
      </c>
      <c r="F61" s="712">
        <v>1.5390000000000001</v>
      </c>
      <c r="G61" s="713">
        <f t="shared" si="1"/>
        <v>0.08</v>
      </c>
      <c r="H61" s="713">
        <f t="shared" si="2"/>
        <v>0.08</v>
      </c>
      <c r="I61" s="713">
        <f t="shared" si="23"/>
        <v>3.9499999999999935</v>
      </c>
      <c r="J61" s="713">
        <f t="shared" si="6"/>
        <v>3.9999999999999933</v>
      </c>
      <c r="K61" s="713">
        <f t="shared" si="9"/>
        <v>0.57000000000000028</v>
      </c>
      <c r="L61" s="697"/>
      <c r="M61" s="697"/>
      <c r="N61" s="697"/>
      <c r="O61" s="697"/>
      <c r="P61" s="697"/>
      <c r="Q61" s="697"/>
      <c r="R61" s="697"/>
      <c r="S61" s="697"/>
      <c r="T61" s="697"/>
      <c r="U61" s="697"/>
      <c r="V61" s="697"/>
      <c r="W61" s="697"/>
      <c r="X61" s="697"/>
      <c r="Y61" s="697"/>
      <c r="Z61" s="697"/>
      <c r="AA61" s="697"/>
      <c r="AB61" s="697"/>
      <c r="AC61" s="697"/>
      <c r="AD61" s="697"/>
      <c r="AE61" s="697"/>
      <c r="AF61" s="697"/>
      <c r="AG61" s="697"/>
      <c r="AH61" s="697"/>
      <c r="AI61" s="697"/>
      <c r="AJ61" s="697"/>
      <c r="AK61" s="697"/>
      <c r="AL61" s="697"/>
      <c r="AM61" s="697"/>
      <c r="AN61" s="697"/>
      <c r="AO61" s="697"/>
      <c r="AP61" s="697"/>
      <c r="AQ61" s="697"/>
      <c r="AR61" s="697"/>
      <c r="AS61" s="697"/>
      <c r="AT61" s="697"/>
      <c r="AU61" s="697"/>
      <c r="AV61" s="697"/>
      <c r="AW61" s="697"/>
      <c r="AX61" s="697"/>
      <c r="AY61" s="697"/>
      <c r="AZ61" s="697"/>
      <c r="BA61" s="697"/>
      <c r="BB61" s="697"/>
      <c r="BC61" s="697"/>
      <c r="BD61" s="697"/>
      <c r="BE61" s="697"/>
      <c r="BF61" s="697"/>
      <c r="BG61" s="697"/>
      <c r="BH61" s="697"/>
      <c r="BI61" s="697"/>
      <c r="BJ61" s="697"/>
      <c r="BK61" s="697"/>
      <c r="BL61" s="697"/>
      <c r="BM61" s="697"/>
      <c r="BN61" s="697"/>
      <c r="BO61" s="697"/>
      <c r="BP61" s="697"/>
      <c r="BQ61" s="697"/>
      <c r="BR61" s="697"/>
      <c r="BS61" s="697"/>
      <c r="BT61" s="697"/>
      <c r="BU61" s="697"/>
      <c r="BV61" s="697"/>
      <c r="BW61" s="697"/>
      <c r="BX61" s="697"/>
      <c r="BY61" s="697"/>
      <c r="BZ61" s="697"/>
      <c r="CA61" s="697"/>
      <c r="CB61" s="697"/>
      <c r="CC61" s="697"/>
      <c r="CD61" s="697"/>
      <c r="CE61" s="697"/>
      <c r="CF61" s="697"/>
      <c r="CG61" s="697"/>
      <c r="CH61" s="697"/>
      <c r="CI61" s="697"/>
      <c r="CJ61" s="697"/>
      <c r="CK61" s="697"/>
      <c r="CL61" s="697"/>
      <c r="CM61" s="697"/>
      <c r="CN61" s="697"/>
      <c r="CO61" s="697"/>
      <c r="CP61" s="697"/>
      <c r="CQ61" s="697"/>
      <c r="CR61" s="697"/>
      <c r="CS61" s="697"/>
      <c r="CT61" s="697"/>
      <c r="CU61" s="697"/>
      <c r="CV61" s="697"/>
      <c r="CW61" s="697"/>
      <c r="CX61" s="697"/>
      <c r="CY61" s="697"/>
      <c r="CZ61" s="697"/>
      <c r="DA61" s="697"/>
    </row>
    <row r="62" spans="1:105" hidden="1" outlineLevel="1" x14ac:dyDescent="0.2">
      <c r="A62" s="709">
        <f t="shared" si="3"/>
        <v>36923</v>
      </c>
      <c r="B62" s="709" t="str">
        <f t="shared" si="0"/>
        <v>1Q01</v>
      </c>
      <c r="C62" s="709" t="str">
        <f t="shared" si="4"/>
        <v>2Q01</v>
      </c>
      <c r="D62" s="710">
        <f t="shared" si="22"/>
        <v>36987</v>
      </c>
      <c r="E62" s="710">
        <f t="shared" si="22"/>
        <v>36927</v>
      </c>
      <c r="F62" s="712">
        <v>1.52</v>
      </c>
      <c r="G62" s="713">
        <f t="shared" si="1"/>
        <v>0.08</v>
      </c>
      <c r="H62" s="713">
        <f t="shared" si="2"/>
        <v>0.08</v>
      </c>
      <c r="I62" s="713">
        <f t="shared" si="23"/>
        <v>3.9999999999999933</v>
      </c>
      <c r="J62" s="713">
        <f t="shared" si="6"/>
        <v>4.0499999999999936</v>
      </c>
      <c r="K62" s="713">
        <f t="shared" si="9"/>
        <v>0.58000000000000029</v>
      </c>
      <c r="L62" s="697"/>
      <c r="M62" s="697"/>
      <c r="N62" s="697"/>
      <c r="O62" s="697"/>
      <c r="P62" s="697"/>
      <c r="Q62" s="697"/>
      <c r="R62" s="697"/>
      <c r="S62" s="697"/>
      <c r="T62" s="697"/>
      <c r="U62" s="697"/>
      <c r="V62" s="697"/>
      <c r="W62" s="697"/>
      <c r="X62" s="697"/>
      <c r="Y62" s="697"/>
      <c r="Z62" s="697"/>
      <c r="AA62" s="697"/>
      <c r="AB62" s="697"/>
      <c r="AC62" s="697"/>
      <c r="AD62" s="697"/>
      <c r="AE62" s="697"/>
      <c r="AF62" s="697"/>
      <c r="AG62" s="697"/>
      <c r="AH62" s="697"/>
      <c r="AI62" s="697"/>
      <c r="AJ62" s="697"/>
      <c r="AK62" s="697"/>
      <c r="AL62" s="697"/>
      <c r="AM62" s="697"/>
      <c r="AN62" s="697"/>
      <c r="AO62" s="697"/>
      <c r="AP62" s="697"/>
      <c r="AQ62" s="697"/>
      <c r="AR62" s="697"/>
      <c r="AS62" s="697"/>
      <c r="AT62" s="697"/>
      <c r="AU62" s="697"/>
      <c r="AV62" s="697"/>
      <c r="AW62" s="697"/>
      <c r="AX62" s="697"/>
      <c r="AY62" s="697"/>
      <c r="AZ62" s="697"/>
      <c r="BA62" s="697"/>
      <c r="BB62" s="697"/>
      <c r="BC62" s="697"/>
      <c r="BD62" s="697"/>
      <c r="BE62" s="697"/>
      <c r="BF62" s="697"/>
      <c r="BG62" s="697"/>
      <c r="BH62" s="697"/>
      <c r="BI62" s="697"/>
      <c r="BJ62" s="697"/>
      <c r="BK62" s="697"/>
      <c r="BL62" s="697"/>
      <c r="BM62" s="697"/>
      <c r="BN62" s="697"/>
      <c r="BO62" s="697"/>
      <c r="BP62" s="697"/>
      <c r="BQ62" s="697"/>
      <c r="BR62" s="697"/>
      <c r="BS62" s="697"/>
      <c r="BT62" s="697"/>
      <c r="BU62" s="697"/>
      <c r="BV62" s="697"/>
      <c r="BW62" s="697"/>
      <c r="BX62" s="697"/>
      <c r="BY62" s="697"/>
      <c r="BZ62" s="697"/>
      <c r="CA62" s="697"/>
      <c r="CB62" s="697"/>
      <c r="CC62" s="697"/>
      <c r="CD62" s="697"/>
      <c r="CE62" s="697"/>
      <c r="CF62" s="697"/>
      <c r="CG62" s="697"/>
      <c r="CH62" s="697"/>
      <c r="CI62" s="697"/>
      <c r="CJ62" s="697"/>
      <c r="CK62" s="697"/>
      <c r="CL62" s="697"/>
      <c r="CM62" s="697"/>
      <c r="CN62" s="697"/>
      <c r="CO62" s="697"/>
      <c r="CP62" s="697"/>
      <c r="CQ62" s="697"/>
      <c r="CR62" s="697"/>
      <c r="CS62" s="697"/>
      <c r="CT62" s="697"/>
      <c r="CU62" s="697"/>
      <c r="CV62" s="697"/>
      <c r="CW62" s="697"/>
      <c r="CX62" s="697"/>
      <c r="CY62" s="697"/>
      <c r="CZ62" s="697"/>
      <c r="DA62" s="697"/>
    </row>
    <row r="63" spans="1:105" hidden="1" outlineLevel="1" x14ac:dyDescent="0.2">
      <c r="A63" s="709">
        <f t="shared" si="3"/>
        <v>36923</v>
      </c>
      <c r="B63" s="709" t="str">
        <f t="shared" si="0"/>
        <v>1Q01</v>
      </c>
      <c r="C63" s="709" t="str">
        <f t="shared" si="4"/>
        <v>2Q01</v>
      </c>
      <c r="D63" s="710">
        <f t="shared" si="22"/>
        <v>36994</v>
      </c>
      <c r="E63" s="710">
        <f t="shared" si="22"/>
        <v>36934</v>
      </c>
      <c r="F63" s="712">
        <v>1.518</v>
      </c>
      <c r="G63" s="713">
        <f t="shared" si="1"/>
        <v>0.08</v>
      </c>
      <c r="H63" s="713">
        <f t="shared" si="2"/>
        <v>7.0000000000000007E-2</v>
      </c>
      <c r="I63" s="713">
        <f t="shared" si="23"/>
        <v>4.0499999999999936</v>
      </c>
      <c r="J63" s="713">
        <f t="shared" si="6"/>
        <v>4.0999999999999934</v>
      </c>
      <c r="K63" s="713">
        <f t="shared" si="9"/>
        <v>0.5900000000000003</v>
      </c>
      <c r="L63" s="697"/>
      <c r="M63" s="697"/>
      <c r="N63" s="697"/>
      <c r="O63" s="697"/>
      <c r="P63" s="697"/>
      <c r="Q63" s="697"/>
      <c r="R63" s="697"/>
      <c r="S63" s="697"/>
      <c r="T63" s="697"/>
      <c r="U63" s="697"/>
      <c r="V63" s="697"/>
      <c r="W63" s="697"/>
      <c r="X63" s="697"/>
      <c r="Y63" s="697"/>
      <c r="Z63" s="697"/>
      <c r="AA63" s="697"/>
      <c r="AB63" s="697"/>
      <c r="AC63" s="697"/>
      <c r="AD63" s="697"/>
      <c r="AE63" s="697"/>
      <c r="AF63" s="697"/>
      <c r="AG63" s="697"/>
      <c r="AH63" s="697"/>
      <c r="AI63" s="697"/>
      <c r="AJ63" s="697"/>
      <c r="AK63" s="697"/>
      <c r="AL63" s="697"/>
      <c r="AM63" s="697"/>
      <c r="AN63" s="697"/>
      <c r="AO63" s="697"/>
      <c r="AP63" s="697"/>
      <c r="AQ63" s="697"/>
      <c r="AR63" s="697"/>
      <c r="AS63" s="697"/>
      <c r="AT63" s="697"/>
      <c r="AU63" s="697"/>
      <c r="AV63" s="697"/>
      <c r="AW63" s="697"/>
      <c r="AX63" s="697"/>
      <c r="AY63" s="697"/>
      <c r="AZ63" s="697"/>
      <c r="BA63" s="697"/>
      <c r="BB63" s="697"/>
      <c r="BC63" s="697"/>
      <c r="BD63" s="697"/>
      <c r="BE63" s="697"/>
      <c r="BF63" s="697"/>
      <c r="BG63" s="697"/>
      <c r="BH63" s="697"/>
      <c r="BI63" s="697"/>
      <c r="BJ63" s="697"/>
      <c r="BK63" s="697"/>
      <c r="BL63" s="697"/>
      <c r="BM63" s="697"/>
      <c r="BN63" s="697"/>
      <c r="BO63" s="697"/>
      <c r="BP63" s="697"/>
      <c r="BQ63" s="697"/>
      <c r="BR63" s="697"/>
      <c r="BS63" s="697"/>
      <c r="BT63" s="697"/>
      <c r="BU63" s="697"/>
      <c r="BV63" s="697"/>
      <c r="BW63" s="697"/>
      <c r="BX63" s="697"/>
      <c r="BY63" s="697"/>
      <c r="BZ63" s="697"/>
      <c r="CA63" s="697"/>
      <c r="CB63" s="697"/>
      <c r="CC63" s="697"/>
      <c r="CD63" s="697"/>
      <c r="CE63" s="697"/>
      <c r="CF63" s="697"/>
      <c r="CG63" s="697"/>
      <c r="CH63" s="697"/>
      <c r="CI63" s="697"/>
      <c r="CJ63" s="697"/>
      <c r="CK63" s="697"/>
      <c r="CL63" s="697"/>
      <c r="CM63" s="697"/>
      <c r="CN63" s="697"/>
      <c r="CO63" s="697"/>
      <c r="CP63" s="697"/>
      <c r="CQ63" s="697"/>
      <c r="CR63" s="697"/>
      <c r="CS63" s="697"/>
      <c r="CT63" s="697"/>
      <c r="CU63" s="697"/>
      <c r="CV63" s="697"/>
      <c r="CW63" s="697"/>
      <c r="CX63" s="697"/>
      <c r="CY63" s="697"/>
      <c r="CZ63" s="697"/>
      <c r="DA63" s="697"/>
    </row>
    <row r="64" spans="1:105" hidden="1" outlineLevel="1" x14ac:dyDescent="0.2">
      <c r="A64" s="709">
        <f t="shared" si="3"/>
        <v>36923</v>
      </c>
      <c r="B64" s="709" t="str">
        <f t="shared" si="0"/>
        <v>1Q01</v>
      </c>
      <c r="C64" s="709" t="str">
        <f t="shared" si="4"/>
        <v>2Q01</v>
      </c>
      <c r="D64" s="710">
        <f t="shared" si="22"/>
        <v>37001</v>
      </c>
      <c r="E64" s="710">
        <f t="shared" si="22"/>
        <v>36941</v>
      </c>
      <c r="F64" s="712">
        <v>1.48</v>
      </c>
      <c r="G64" s="713">
        <f t="shared" si="1"/>
        <v>7.0000000000000007E-2</v>
      </c>
      <c r="H64" s="713">
        <f t="shared" si="2"/>
        <v>7.0000000000000007E-2</v>
      </c>
      <c r="I64" s="713">
        <f t="shared" si="23"/>
        <v>4.0999999999999934</v>
      </c>
      <c r="J64" s="713">
        <f t="shared" si="6"/>
        <v>4.1499999999999932</v>
      </c>
      <c r="K64" s="713">
        <f t="shared" si="9"/>
        <v>0.60000000000000031</v>
      </c>
      <c r="L64" s="697"/>
      <c r="M64" s="697"/>
      <c r="N64" s="697"/>
      <c r="O64" s="697"/>
      <c r="P64" s="697"/>
      <c r="Q64" s="697"/>
      <c r="R64" s="697"/>
      <c r="S64" s="697"/>
      <c r="T64" s="697"/>
      <c r="U64" s="697"/>
      <c r="V64" s="697"/>
      <c r="W64" s="697"/>
      <c r="X64" s="697"/>
      <c r="Y64" s="697"/>
      <c r="Z64" s="697"/>
      <c r="AA64" s="697"/>
      <c r="AB64" s="697"/>
      <c r="AC64" s="697"/>
      <c r="AD64" s="697"/>
      <c r="AE64" s="697"/>
      <c r="AF64" s="697"/>
      <c r="AG64" s="697"/>
      <c r="AH64" s="697"/>
      <c r="AI64" s="697"/>
      <c r="AJ64" s="697"/>
      <c r="AK64" s="697"/>
      <c r="AL64" s="697"/>
      <c r="AM64" s="697"/>
      <c r="AN64" s="697"/>
      <c r="AO64" s="697"/>
      <c r="AP64" s="697"/>
      <c r="AQ64" s="697"/>
      <c r="AR64" s="697"/>
      <c r="AS64" s="697"/>
      <c r="AT64" s="697"/>
      <c r="AU64" s="697"/>
      <c r="AV64" s="697"/>
      <c r="AW64" s="697"/>
      <c r="AX64" s="697"/>
      <c r="AY64" s="697"/>
      <c r="AZ64" s="697"/>
      <c r="BA64" s="697"/>
      <c r="BB64" s="697"/>
      <c r="BC64" s="697"/>
      <c r="BD64" s="697"/>
      <c r="BE64" s="697"/>
      <c r="BF64" s="697"/>
      <c r="BG64" s="697"/>
      <c r="BH64" s="697"/>
      <c r="BI64" s="697"/>
      <c r="BJ64" s="697"/>
      <c r="BK64" s="697"/>
      <c r="BL64" s="697"/>
      <c r="BM64" s="697"/>
      <c r="BN64" s="697"/>
      <c r="BO64" s="697"/>
      <c r="BP64" s="697"/>
      <c r="BQ64" s="697"/>
      <c r="BR64" s="697"/>
      <c r="BS64" s="697"/>
      <c r="BT64" s="697"/>
      <c r="BU64" s="697"/>
      <c r="BV64" s="697"/>
      <c r="BW64" s="697"/>
      <c r="BX64" s="697"/>
      <c r="BY64" s="697"/>
      <c r="BZ64" s="697"/>
      <c r="CA64" s="697"/>
      <c r="CB64" s="697"/>
      <c r="CC64" s="697"/>
      <c r="CD64" s="697"/>
      <c r="CE64" s="697"/>
      <c r="CF64" s="697"/>
      <c r="CG64" s="697"/>
      <c r="CH64" s="697"/>
      <c r="CI64" s="697"/>
      <c r="CJ64" s="697"/>
      <c r="CK64" s="697"/>
      <c r="CL64" s="697"/>
      <c r="CM64" s="697"/>
      <c r="CN64" s="697"/>
      <c r="CO64" s="697"/>
      <c r="CP64" s="697"/>
      <c r="CQ64" s="697"/>
      <c r="CR64" s="697"/>
      <c r="CS64" s="697"/>
      <c r="CT64" s="697"/>
      <c r="CU64" s="697"/>
      <c r="CV64" s="697"/>
      <c r="CW64" s="697"/>
      <c r="CX64" s="697"/>
      <c r="CY64" s="697"/>
      <c r="CZ64" s="697"/>
      <c r="DA64" s="697"/>
    </row>
    <row r="65" spans="1:105" hidden="1" outlineLevel="1" x14ac:dyDescent="0.2">
      <c r="A65" s="709">
        <f t="shared" si="3"/>
        <v>36923</v>
      </c>
      <c r="B65" s="709" t="str">
        <f t="shared" si="0"/>
        <v>1Q01</v>
      </c>
      <c r="C65" s="709" t="str">
        <f t="shared" si="4"/>
        <v>2Q01</v>
      </c>
      <c r="D65" s="710">
        <f t="shared" si="22"/>
        <v>37008</v>
      </c>
      <c r="E65" s="710">
        <f t="shared" si="22"/>
        <v>36948</v>
      </c>
      <c r="F65" s="712">
        <v>1.4509999999999998</v>
      </c>
      <c r="G65" s="713">
        <f t="shared" si="1"/>
        <v>7.0000000000000007E-2</v>
      </c>
      <c r="H65" s="713">
        <f t="shared" si="2"/>
        <v>6.0000000000000005E-2</v>
      </c>
      <c r="I65" s="713">
        <f t="shared" si="23"/>
        <v>4.1499999999999932</v>
      </c>
      <c r="J65" s="713">
        <f t="shared" si="6"/>
        <v>4.1999999999999931</v>
      </c>
      <c r="K65" s="713">
        <f t="shared" si="9"/>
        <v>0.61000000000000032</v>
      </c>
      <c r="L65" s="697"/>
      <c r="M65" s="697"/>
      <c r="N65" s="697"/>
      <c r="O65" s="697"/>
      <c r="P65" s="697"/>
      <c r="Q65" s="697"/>
      <c r="R65" s="697"/>
      <c r="S65" s="697"/>
      <c r="T65" s="697"/>
      <c r="U65" s="697"/>
      <c r="V65" s="697"/>
      <c r="W65" s="697"/>
      <c r="X65" s="697"/>
      <c r="Y65" s="697"/>
      <c r="Z65" s="697"/>
      <c r="AA65" s="697"/>
      <c r="AB65" s="697"/>
      <c r="AC65" s="697"/>
      <c r="AD65" s="697"/>
      <c r="AE65" s="697"/>
      <c r="AF65" s="697"/>
      <c r="AG65" s="697"/>
      <c r="AH65" s="697"/>
      <c r="AI65" s="697"/>
      <c r="AJ65" s="697"/>
      <c r="AK65" s="697"/>
      <c r="AL65" s="697"/>
      <c r="AM65" s="697"/>
      <c r="AN65" s="697"/>
      <c r="AO65" s="697"/>
      <c r="AP65" s="697"/>
      <c r="AQ65" s="697"/>
      <c r="AR65" s="697"/>
      <c r="AS65" s="697"/>
      <c r="AT65" s="697"/>
      <c r="AU65" s="697"/>
      <c r="AV65" s="697"/>
      <c r="AW65" s="697"/>
      <c r="AX65" s="697"/>
      <c r="AY65" s="697"/>
      <c r="AZ65" s="697"/>
      <c r="BA65" s="697"/>
      <c r="BB65" s="697"/>
      <c r="BC65" s="697"/>
      <c r="BD65" s="697"/>
      <c r="BE65" s="697"/>
      <c r="BF65" s="697"/>
      <c r="BG65" s="697"/>
      <c r="BH65" s="697"/>
      <c r="BI65" s="697"/>
      <c r="BJ65" s="697"/>
      <c r="BK65" s="697"/>
      <c r="BL65" s="697"/>
      <c r="BM65" s="697"/>
      <c r="BN65" s="697"/>
      <c r="BO65" s="697"/>
      <c r="BP65" s="697"/>
      <c r="BQ65" s="697"/>
      <c r="BR65" s="697"/>
      <c r="BS65" s="697"/>
      <c r="BT65" s="697"/>
      <c r="BU65" s="697"/>
      <c r="BV65" s="697"/>
      <c r="BW65" s="697"/>
      <c r="BX65" s="697"/>
      <c r="BY65" s="697"/>
      <c r="BZ65" s="697"/>
      <c r="CA65" s="697"/>
      <c r="CB65" s="697"/>
      <c r="CC65" s="697"/>
      <c r="CD65" s="697"/>
      <c r="CE65" s="697"/>
      <c r="CF65" s="697"/>
      <c r="CG65" s="697"/>
      <c r="CH65" s="697"/>
      <c r="CI65" s="697"/>
      <c r="CJ65" s="697"/>
      <c r="CK65" s="697"/>
      <c r="CL65" s="697"/>
      <c r="CM65" s="697"/>
      <c r="CN65" s="697"/>
      <c r="CO65" s="697"/>
      <c r="CP65" s="697"/>
      <c r="CQ65" s="697"/>
      <c r="CR65" s="697"/>
      <c r="CS65" s="697"/>
      <c r="CT65" s="697"/>
      <c r="CU65" s="697"/>
      <c r="CV65" s="697"/>
      <c r="CW65" s="697"/>
      <c r="CX65" s="697"/>
      <c r="CY65" s="697"/>
      <c r="CZ65" s="697"/>
      <c r="DA65" s="697"/>
    </row>
    <row r="66" spans="1:105" hidden="1" outlineLevel="1" x14ac:dyDescent="0.2">
      <c r="A66" s="709">
        <f t="shared" si="3"/>
        <v>36951</v>
      </c>
      <c r="B66" s="709" t="str">
        <f t="shared" si="0"/>
        <v>1Q01</v>
      </c>
      <c r="C66" s="709" t="str">
        <f t="shared" si="4"/>
        <v>2Q01</v>
      </c>
      <c r="D66" s="710">
        <f t="shared" si="22"/>
        <v>37015</v>
      </c>
      <c r="E66" s="710">
        <f t="shared" si="22"/>
        <v>36955</v>
      </c>
      <c r="F66" s="712">
        <v>1.42</v>
      </c>
      <c r="G66" s="713">
        <f t="shared" si="1"/>
        <v>6.0000000000000005E-2</v>
      </c>
      <c r="H66" s="713">
        <f t="shared" si="2"/>
        <v>6.0000000000000005E-2</v>
      </c>
      <c r="I66" s="713">
        <f t="shared" si="23"/>
        <v>4.1999999999999931</v>
      </c>
      <c r="J66" s="713">
        <f t="shared" si="6"/>
        <v>4.2499999999999929</v>
      </c>
      <c r="K66" s="713">
        <f t="shared" si="9"/>
        <v>0.62000000000000033</v>
      </c>
      <c r="L66" s="697"/>
      <c r="M66" s="697"/>
      <c r="N66" s="697"/>
      <c r="O66" s="697"/>
      <c r="P66" s="697"/>
      <c r="Q66" s="697"/>
      <c r="R66" s="697"/>
      <c r="S66" s="697"/>
      <c r="T66" s="697"/>
      <c r="U66" s="697"/>
      <c r="V66" s="697"/>
      <c r="W66" s="697"/>
      <c r="X66" s="697"/>
      <c r="Y66" s="697"/>
      <c r="Z66" s="697"/>
      <c r="AA66" s="697"/>
      <c r="AB66" s="697"/>
      <c r="AC66" s="697"/>
      <c r="AD66" s="697"/>
      <c r="AE66" s="697"/>
      <c r="AF66" s="697"/>
      <c r="AG66" s="697"/>
      <c r="AH66" s="697"/>
      <c r="AI66" s="697"/>
      <c r="AJ66" s="697"/>
      <c r="AK66" s="697"/>
      <c r="AL66" s="697"/>
      <c r="AM66" s="697"/>
      <c r="AN66" s="697"/>
      <c r="AO66" s="697"/>
      <c r="AP66" s="697"/>
      <c r="AQ66" s="697"/>
      <c r="AR66" s="697"/>
      <c r="AS66" s="697"/>
      <c r="AT66" s="697"/>
      <c r="AU66" s="697"/>
      <c r="AV66" s="697"/>
      <c r="AW66" s="697"/>
      <c r="AX66" s="697"/>
      <c r="AY66" s="697"/>
      <c r="AZ66" s="697"/>
      <c r="BA66" s="697"/>
      <c r="BB66" s="697"/>
      <c r="BC66" s="697"/>
      <c r="BD66" s="697"/>
      <c r="BE66" s="697"/>
      <c r="BF66" s="697"/>
      <c r="BG66" s="697"/>
      <c r="BH66" s="697"/>
      <c r="BI66" s="697"/>
      <c r="BJ66" s="697"/>
      <c r="BK66" s="697"/>
      <c r="BL66" s="697"/>
      <c r="BM66" s="697"/>
      <c r="BN66" s="697"/>
      <c r="BO66" s="697"/>
      <c r="BP66" s="697"/>
      <c r="BQ66" s="697"/>
      <c r="BR66" s="697"/>
      <c r="BS66" s="697"/>
      <c r="BT66" s="697"/>
      <c r="BU66" s="697"/>
      <c r="BV66" s="697"/>
      <c r="BW66" s="697"/>
      <c r="BX66" s="697"/>
      <c r="BY66" s="697"/>
      <c r="BZ66" s="697"/>
      <c r="CA66" s="697"/>
      <c r="CB66" s="697"/>
      <c r="CC66" s="697"/>
      <c r="CD66" s="697"/>
      <c r="CE66" s="697"/>
      <c r="CF66" s="697"/>
      <c r="CG66" s="697"/>
      <c r="CH66" s="697"/>
      <c r="CI66" s="697"/>
      <c r="CJ66" s="697"/>
      <c r="CK66" s="697"/>
      <c r="CL66" s="697"/>
      <c r="CM66" s="697"/>
      <c r="CN66" s="697"/>
      <c r="CO66" s="697"/>
      <c r="CP66" s="697"/>
      <c r="CQ66" s="697"/>
      <c r="CR66" s="697"/>
      <c r="CS66" s="697"/>
      <c r="CT66" s="697"/>
      <c r="CU66" s="697"/>
      <c r="CV66" s="697"/>
      <c r="CW66" s="697"/>
      <c r="CX66" s="697"/>
      <c r="CY66" s="697"/>
      <c r="CZ66" s="697"/>
      <c r="DA66" s="697"/>
    </row>
    <row r="67" spans="1:105" hidden="1" outlineLevel="1" x14ac:dyDescent="0.2">
      <c r="A67" s="709">
        <f t="shared" si="3"/>
        <v>36951</v>
      </c>
      <c r="B67" s="709" t="str">
        <f t="shared" si="0"/>
        <v>1Q01</v>
      </c>
      <c r="C67" s="709" t="str">
        <f t="shared" si="4"/>
        <v>2Q01</v>
      </c>
      <c r="D67" s="710">
        <f t="shared" si="22"/>
        <v>37022</v>
      </c>
      <c r="E67" s="710">
        <f t="shared" si="22"/>
        <v>36962</v>
      </c>
      <c r="F67" s="712">
        <v>1.4059999999999999</v>
      </c>
      <c r="G67" s="713">
        <f t="shared" si="1"/>
        <v>6.0000000000000005E-2</v>
      </c>
      <c r="H67" s="713">
        <f t="shared" si="2"/>
        <v>0.05</v>
      </c>
      <c r="I67" s="713">
        <f t="shared" si="23"/>
        <v>4.2499999999999929</v>
      </c>
      <c r="J67" s="713">
        <f t="shared" si="6"/>
        <v>4.2999999999999927</v>
      </c>
      <c r="K67" s="713">
        <f t="shared" si="9"/>
        <v>0.63000000000000034</v>
      </c>
      <c r="L67" s="697"/>
      <c r="M67" s="697"/>
      <c r="N67" s="697"/>
      <c r="O67" s="697"/>
      <c r="P67" s="697"/>
      <c r="Q67" s="697"/>
      <c r="R67" s="697"/>
      <c r="S67" s="697"/>
      <c r="T67" s="697"/>
      <c r="U67" s="697"/>
      <c r="V67" s="697"/>
      <c r="W67" s="697"/>
      <c r="X67" s="697"/>
      <c r="Y67" s="697"/>
      <c r="Z67" s="697"/>
      <c r="AA67" s="697"/>
      <c r="AB67" s="697"/>
      <c r="AC67" s="697"/>
      <c r="AD67" s="697"/>
      <c r="AE67" s="697"/>
      <c r="AF67" s="697"/>
      <c r="AG67" s="697"/>
      <c r="AH67" s="697"/>
      <c r="AI67" s="697"/>
      <c r="AJ67" s="697"/>
      <c r="AK67" s="697"/>
      <c r="AL67" s="697"/>
      <c r="AM67" s="697"/>
      <c r="AN67" s="697"/>
      <c r="AO67" s="697"/>
      <c r="AP67" s="697"/>
      <c r="AQ67" s="697"/>
      <c r="AR67" s="697"/>
      <c r="AS67" s="697"/>
      <c r="AT67" s="697"/>
      <c r="AU67" s="697"/>
      <c r="AV67" s="697"/>
      <c r="AW67" s="697"/>
      <c r="AX67" s="697"/>
      <c r="AY67" s="697"/>
      <c r="AZ67" s="697"/>
      <c r="BA67" s="697"/>
      <c r="BB67" s="697"/>
      <c r="BC67" s="697"/>
      <c r="BD67" s="697"/>
      <c r="BE67" s="697"/>
      <c r="BF67" s="697"/>
      <c r="BG67" s="697"/>
      <c r="BH67" s="697"/>
      <c r="BI67" s="697"/>
      <c r="BJ67" s="697"/>
      <c r="BK67" s="697"/>
      <c r="BL67" s="697"/>
      <c r="BM67" s="697"/>
      <c r="BN67" s="697"/>
      <c r="BO67" s="697"/>
      <c r="BP67" s="697"/>
      <c r="BQ67" s="697"/>
      <c r="BR67" s="697"/>
      <c r="BS67" s="697"/>
      <c r="BT67" s="697"/>
      <c r="BU67" s="697"/>
      <c r="BV67" s="697"/>
      <c r="BW67" s="697"/>
      <c r="BX67" s="697"/>
      <c r="BY67" s="697"/>
      <c r="BZ67" s="697"/>
      <c r="CA67" s="697"/>
      <c r="CB67" s="697"/>
      <c r="CC67" s="697"/>
      <c r="CD67" s="697"/>
      <c r="CE67" s="697"/>
      <c r="CF67" s="697"/>
      <c r="CG67" s="697"/>
      <c r="CH67" s="697"/>
      <c r="CI67" s="697"/>
      <c r="CJ67" s="697"/>
      <c r="CK67" s="697"/>
      <c r="CL67" s="697"/>
      <c r="CM67" s="697"/>
      <c r="CN67" s="697"/>
      <c r="CO67" s="697"/>
      <c r="CP67" s="697"/>
      <c r="CQ67" s="697"/>
      <c r="CR67" s="697"/>
      <c r="CS67" s="697"/>
      <c r="CT67" s="697"/>
      <c r="CU67" s="697"/>
      <c r="CV67" s="697"/>
      <c r="CW67" s="697"/>
      <c r="CX67" s="697"/>
      <c r="CY67" s="697"/>
      <c r="CZ67" s="697"/>
      <c r="DA67" s="697"/>
    </row>
    <row r="68" spans="1:105" hidden="1" outlineLevel="1" x14ac:dyDescent="0.2">
      <c r="A68" s="709">
        <f t="shared" si="3"/>
        <v>36951</v>
      </c>
      <c r="B68" s="709" t="str">
        <f t="shared" ref="B68:B131" si="24">VLOOKUP(MONTH(A68),$N$4:$O$16,2,FALSE) &amp; "Q" &amp; RIGHT(YEAR(A68),2)</f>
        <v>1Q01</v>
      </c>
      <c r="C68" s="709" t="str">
        <f t="shared" si="4"/>
        <v>2Q01</v>
      </c>
      <c r="D68" s="710">
        <f t="shared" si="22"/>
        <v>37029</v>
      </c>
      <c r="E68" s="710">
        <f t="shared" si="22"/>
        <v>36969</v>
      </c>
      <c r="F68" s="712">
        <v>1.3919999999999999</v>
      </c>
      <c r="G68" s="713">
        <f t="shared" ref="G68:G131" si="25">INDEX($I$4:$K$153,MATCH(F68,$I$4:$I$153,1),3)</f>
        <v>0.05</v>
      </c>
      <c r="H68" s="713">
        <f t="shared" ref="H68:H131" si="26">G69</f>
        <v>0.05</v>
      </c>
      <c r="I68" s="713">
        <f t="shared" si="23"/>
        <v>4.2999999999999927</v>
      </c>
      <c r="J68" s="713">
        <f t="shared" si="6"/>
        <v>4.3499999999999925</v>
      </c>
      <c r="K68" s="713">
        <f t="shared" si="9"/>
        <v>0.64000000000000035</v>
      </c>
      <c r="L68" s="697"/>
      <c r="M68" s="697"/>
      <c r="N68" s="697"/>
      <c r="O68" s="697"/>
      <c r="P68" s="697"/>
      <c r="Q68" s="697"/>
      <c r="R68" s="697"/>
      <c r="S68" s="697"/>
      <c r="T68" s="697"/>
      <c r="U68" s="697"/>
      <c r="V68" s="697"/>
      <c r="W68" s="697"/>
      <c r="X68" s="697"/>
      <c r="Y68" s="697"/>
      <c r="Z68" s="697"/>
      <c r="AA68" s="697"/>
      <c r="AB68" s="697"/>
      <c r="AC68" s="697"/>
      <c r="AD68" s="697"/>
      <c r="AE68" s="697"/>
      <c r="AF68" s="697"/>
      <c r="AG68" s="697"/>
      <c r="AH68" s="697"/>
      <c r="AI68" s="697"/>
      <c r="AJ68" s="697"/>
      <c r="AK68" s="697"/>
      <c r="AL68" s="697"/>
      <c r="AM68" s="697"/>
      <c r="AN68" s="697"/>
      <c r="AO68" s="697"/>
      <c r="AP68" s="697"/>
      <c r="AQ68" s="697"/>
      <c r="AR68" s="697"/>
      <c r="AS68" s="697"/>
      <c r="AT68" s="697"/>
      <c r="AU68" s="697"/>
      <c r="AV68" s="697"/>
      <c r="AW68" s="697"/>
      <c r="AX68" s="697"/>
      <c r="AY68" s="697"/>
      <c r="AZ68" s="697"/>
      <c r="BA68" s="697"/>
      <c r="BB68" s="697"/>
      <c r="BC68" s="697"/>
      <c r="BD68" s="697"/>
      <c r="BE68" s="697"/>
      <c r="BF68" s="697"/>
      <c r="BG68" s="697"/>
      <c r="BH68" s="697"/>
      <c r="BI68" s="697"/>
      <c r="BJ68" s="697"/>
      <c r="BK68" s="697"/>
      <c r="BL68" s="697"/>
      <c r="BM68" s="697"/>
      <c r="BN68" s="697"/>
      <c r="BO68" s="697"/>
      <c r="BP68" s="697"/>
      <c r="BQ68" s="697"/>
      <c r="BR68" s="697"/>
      <c r="BS68" s="697"/>
      <c r="BT68" s="697"/>
      <c r="BU68" s="697"/>
      <c r="BV68" s="697"/>
      <c r="BW68" s="697"/>
      <c r="BX68" s="697"/>
      <c r="BY68" s="697"/>
      <c r="BZ68" s="697"/>
      <c r="CA68" s="697"/>
      <c r="CB68" s="697"/>
      <c r="CC68" s="697"/>
      <c r="CD68" s="697"/>
      <c r="CE68" s="697"/>
      <c r="CF68" s="697"/>
      <c r="CG68" s="697"/>
      <c r="CH68" s="697"/>
      <c r="CI68" s="697"/>
      <c r="CJ68" s="697"/>
      <c r="CK68" s="697"/>
      <c r="CL68" s="697"/>
      <c r="CM68" s="697"/>
      <c r="CN68" s="697"/>
      <c r="CO68" s="697"/>
      <c r="CP68" s="697"/>
      <c r="CQ68" s="697"/>
      <c r="CR68" s="697"/>
      <c r="CS68" s="697"/>
      <c r="CT68" s="697"/>
      <c r="CU68" s="697"/>
      <c r="CV68" s="697"/>
      <c r="CW68" s="697"/>
      <c r="CX68" s="697"/>
      <c r="CY68" s="697"/>
      <c r="CZ68" s="697"/>
      <c r="DA68" s="697"/>
    </row>
    <row r="69" spans="1:105" hidden="1" outlineLevel="1" x14ac:dyDescent="0.2">
      <c r="A69" s="709">
        <f t="shared" ref="A69:A132" si="27">DATE(YEAR(E69),MONTH(E69),1)</f>
        <v>36951</v>
      </c>
      <c r="B69" s="709" t="str">
        <f t="shared" si="24"/>
        <v>1Q01</v>
      </c>
      <c r="C69" s="709" t="str">
        <f t="shared" ref="C69:C132" si="28">VLOOKUP(MONTH(D69),$N$4:$O$16,2,FALSE) &amp; "Q" &amp; RIGHT(YEAR(D69),2)</f>
        <v>2Q01</v>
      </c>
      <c r="D69" s="710">
        <f t="shared" ref="D69:E84" si="29">D68+7</f>
        <v>37036</v>
      </c>
      <c r="E69" s="710">
        <f t="shared" si="29"/>
        <v>36976</v>
      </c>
      <c r="F69" s="712">
        <v>1.379</v>
      </c>
      <c r="G69" s="713">
        <f t="shared" si="25"/>
        <v>0.05</v>
      </c>
      <c r="H69" s="713">
        <f t="shared" si="26"/>
        <v>0.05</v>
      </c>
      <c r="I69" s="713">
        <f t="shared" si="23"/>
        <v>4.3499999999999925</v>
      </c>
      <c r="J69" s="713">
        <f t="shared" si="23"/>
        <v>4.3999999999999924</v>
      </c>
      <c r="K69" s="713">
        <f t="shared" si="9"/>
        <v>0.65000000000000036</v>
      </c>
      <c r="L69" s="697"/>
      <c r="M69" s="697"/>
      <c r="N69" s="697"/>
      <c r="O69" s="697"/>
      <c r="P69" s="697"/>
      <c r="Q69" s="697"/>
      <c r="R69" s="697"/>
      <c r="S69" s="697"/>
      <c r="T69" s="697"/>
      <c r="U69" s="697"/>
      <c r="V69" s="697"/>
      <c r="W69" s="697"/>
      <c r="X69" s="697"/>
      <c r="Y69" s="697"/>
      <c r="Z69" s="697"/>
      <c r="AA69" s="697"/>
      <c r="AB69" s="697"/>
      <c r="AC69" s="697"/>
      <c r="AD69" s="697"/>
      <c r="AE69" s="697"/>
      <c r="AF69" s="697"/>
      <c r="AG69" s="697"/>
      <c r="AH69" s="697"/>
      <c r="AI69" s="697"/>
      <c r="AJ69" s="697"/>
      <c r="AK69" s="697"/>
      <c r="AL69" s="697"/>
      <c r="AM69" s="697"/>
      <c r="AN69" s="697"/>
      <c r="AO69" s="697"/>
      <c r="AP69" s="697"/>
      <c r="AQ69" s="697"/>
      <c r="AR69" s="697"/>
      <c r="AS69" s="697"/>
      <c r="AT69" s="697"/>
      <c r="AU69" s="697"/>
      <c r="AV69" s="697"/>
      <c r="AW69" s="697"/>
      <c r="AX69" s="697"/>
      <c r="AY69" s="697"/>
      <c r="AZ69" s="697"/>
      <c r="BA69" s="697"/>
      <c r="BB69" s="697"/>
      <c r="BC69" s="697"/>
      <c r="BD69" s="697"/>
      <c r="BE69" s="697"/>
      <c r="BF69" s="697"/>
      <c r="BG69" s="697"/>
      <c r="BH69" s="697"/>
      <c r="BI69" s="697"/>
      <c r="BJ69" s="697"/>
      <c r="BK69" s="697"/>
      <c r="BL69" s="697"/>
      <c r="BM69" s="697"/>
      <c r="BN69" s="697"/>
      <c r="BO69" s="697"/>
      <c r="BP69" s="697"/>
      <c r="BQ69" s="697"/>
      <c r="BR69" s="697"/>
      <c r="BS69" s="697"/>
      <c r="BT69" s="697"/>
      <c r="BU69" s="697"/>
      <c r="BV69" s="697"/>
      <c r="BW69" s="697"/>
      <c r="BX69" s="697"/>
      <c r="BY69" s="697"/>
      <c r="BZ69" s="697"/>
      <c r="CA69" s="697"/>
      <c r="CB69" s="697"/>
      <c r="CC69" s="697"/>
      <c r="CD69" s="697"/>
      <c r="CE69" s="697"/>
      <c r="CF69" s="697"/>
      <c r="CG69" s="697"/>
      <c r="CH69" s="697"/>
      <c r="CI69" s="697"/>
      <c r="CJ69" s="697"/>
      <c r="CK69" s="697"/>
      <c r="CL69" s="697"/>
      <c r="CM69" s="697"/>
      <c r="CN69" s="697"/>
      <c r="CO69" s="697"/>
      <c r="CP69" s="697"/>
      <c r="CQ69" s="697"/>
      <c r="CR69" s="697"/>
      <c r="CS69" s="697"/>
      <c r="CT69" s="697"/>
      <c r="CU69" s="697"/>
      <c r="CV69" s="697"/>
      <c r="CW69" s="697"/>
      <c r="CX69" s="697"/>
      <c r="CY69" s="697"/>
      <c r="CZ69" s="697"/>
      <c r="DA69" s="697"/>
    </row>
    <row r="70" spans="1:105" hidden="1" outlineLevel="1" x14ac:dyDescent="0.2">
      <c r="A70" s="709">
        <f t="shared" si="27"/>
        <v>36982</v>
      </c>
      <c r="B70" s="709" t="str">
        <f t="shared" si="24"/>
        <v>2Q01</v>
      </c>
      <c r="C70" s="709" t="str">
        <f t="shared" si="28"/>
        <v>2Q01</v>
      </c>
      <c r="D70" s="710">
        <f t="shared" si="29"/>
        <v>37043</v>
      </c>
      <c r="E70" s="710">
        <f t="shared" si="29"/>
        <v>36983</v>
      </c>
      <c r="F70" s="712">
        <v>1.391</v>
      </c>
      <c r="G70" s="713">
        <f t="shared" si="25"/>
        <v>0.05</v>
      </c>
      <c r="H70" s="713">
        <f t="shared" si="26"/>
        <v>0.05</v>
      </c>
      <c r="I70" s="713">
        <f t="shared" ref="I70:J85" si="30">I69+0.05</f>
        <v>4.3999999999999924</v>
      </c>
      <c r="J70" s="713">
        <f t="shared" si="30"/>
        <v>4.4499999999999922</v>
      </c>
      <c r="K70" s="713">
        <f t="shared" ref="K70:K133" si="31">K69+0.01</f>
        <v>0.66000000000000036</v>
      </c>
      <c r="L70" s="697"/>
      <c r="M70" s="697"/>
      <c r="N70" s="697"/>
      <c r="O70" s="697"/>
      <c r="P70" s="697"/>
      <c r="Q70" s="697"/>
      <c r="R70" s="697"/>
      <c r="S70" s="697"/>
      <c r="T70" s="697"/>
      <c r="U70" s="697"/>
      <c r="V70" s="697"/>
      <c r="W70" s="697"/>
      <c r="X70" s="697"/>
      <c r="Y70" s="697"/>
      <c r="Z70" s="697"/>
      <c r="AA70" s="697"/>
      <c r="AB70" s="697"/>
      <c r="AC70" s="697"/>
      <c r="AD70" s="697"/>
      <c r="AE70" s="697"/>
      <c r="AF70" s="697"/>
      <c r="AG70" s="697"/>
      <c r="AH70" s="697"/>
      <c r="AI70" s="697"/>
      <c r="AJ70" s="697"/>
      <c r="AK70" s="697"/>
      <c r="AL70" s="697"/>
      <c r="AM70" s="697"/>
      <c r="AN70" s="697"/>
      <c r="AO70" s="697"/>
      <c r="AP70" s="697"/>
      <c r="AQ70" s="697"/>
      <c r="AR70" s="697"/>
      <c r="AS70" s="697"/>
      <c r="AT70" s="697"/>
      <c r="AU70" s="697"/>
      <c r="AV70" s="697"/>
      <c r="AW70" s="697"/>
      <c r="AX70" s="697"/>
      <c r="AY70" s="697"/>
      <c r="AZ70" s="697"/>
      <c r="BA70" s="697"/>
      <c r="BB70" s="697"/>
      <c r="BC70" s="697"/>
      <c r="BD70" s="697"/>
      <c r="BE70" s="697"/>
      <c r="BF70" s="697"/>
      <c r="BG70" s="697"/>
      <c r="BH70" s="697"/>
      <c r="BI70" s="697"/>
      <c r="BJ70" s="697"/>
      <c r="BK70" s="697"/>
      <c r="BL70" s="697"/>
      <c r="BM70" s="697"/>
      <c r="BN70" s="697"/>
      <c r="BO70" s="697"/>
      <c r="BP70" s="697"/>
      <c r="BQ70" s="697"/>
      <c r="BR70" s="697"/>
      <c r="BS70" s="697"/>
      <c r="BT70" s="697"/>
      <c r="BU70" s="697"/>
      <c r="BV70" s="697"/>
      <c r="BW70" s="697"/>
      <c r="BX70" s="697"/>
      <c r="BY70" s="697"/>
      <c r="BZ70" s="697"/>
      <c r="CA70" s="697"/>
      <c r="CB70" s="697"/>
      <c r="CC70" s="697"/>
      <c r="CD70" s="697"/>
      <c r="CE70" s="697"/>
      <c r="CF70" s="697"/>
      <c r="CG70" s="697"/>
      <c r="CH70" s="697"/>
      <c r="CI70" s="697"/>
      <c r="CJ70" s="697"/>
      <c r="CK70" s="697"/>
      <c r="CL70" s="697"/>
      <c r="CM70" s="697"/>
      <c r="CN70" s="697"/>
      <c r="CO70" s="697"/>
      <c r="CP70" s="697"/>
      <c r="CQ70" s="697"/>
      <c r="CR70" s="697"/>
      <c r="CS70" s="697"/>
      <c r="CT70" s="697"/>
      <c r="CU70" s="697"/>
      <c r="CV70" s="697"/>
      <c r="CW70" s="697"/>
      <c r="CX70" s="697"/>
      <c r="CY70" s="697"/>
      <c r="CZ70" s="697"/>
      <c r="DA70" s="697"/>
    </row>
    <row r="71" spans="1:105" hidden="1" outlineLevel="1" x14ac:dyDescent="0.2">
      <c r="A71" s="709">
        <f t="shared" si="27"/>
        <v>36982</v>
      </c>
      <c r="B71" s="709" t="str">
        <f t="shared" si="24"/>
        <v>2Q01</v>
      </c>
      <c r="C71" s="709" t="str">
        <f t="shared" si="28"/>
        <v>2Q01</v>
      </c>
      <c r="D71" s="710">
        <f t="shared" si="29"/>
        <v>37050</v>
      </c>
      <c r="E71" s="710">
        <f t="shared" si="29"/>
        <v>36990</v>
      </c>
      <c r="F71" s="712">
        <v>1.3969999999999998</v>
      </c>
      <c r="G71" s="713">
        <f t="shared" si="25"/>
        <v>0.05</v>
      </c>
      <c r="H71" s="713">
        <f t="shared" si="26"/>
        <v>6.0000000000000005E-2</v>
      </c>
      <c r="I71" s="713">
        <f t="shared" si="30"/>
        <v>4.4499999999999922</v>
      </c>
      <c r="J71" s="713">
        <f t="shared" si="30"/>
        <v>4.499999999999992</v>
      </c>
      <c r="K71" s="713">
        <f t="shared" si="31"/>
        <v>0.67000000000000037</v>
      </c>
      <c r="L71" s="697"/>
      <c r="M71" s="697"/>
      <c r="N71" s="697"/>
      <c r="O71" s="697"/>
      <c r="P71" s="697"/>
      <c r="Q71" s="697"/>
      <c r="R71" s="697"/>
      <c r="S71" s="697"/>
      <c r="T71" s="697"/>
      <c r="U71" s="697"/>
      <c r="V71" s="697"/>
      <c r="W71" s="697"/>
      <c r="X71" s="697"/>
      <c r="Y71" s="697"/>
      <c r="Z71" s="697"/>
      <c r="AA71" s="697"/>
      <c r="AB71" s="697"/>
      <c r="AC71" s="697"/>
      <c r="AD71" s="697"/>
      <c r="AE71" s="697"/>
      <c r="AF71" s="697"/>
      <c r="AG71" s="697"/>
      <c r="AH71" s="697"/>
      <c r="AI71" s="697"/>
      <c r="AJ71" s="697"/>
      <c r="AK71" s="697"/>
      <c r="AL71" s="697"/>
      <c r="AM71" s="697"/>
      <c r="AN71" s="697"/>
      <c r="AO71" s="697"/>
      <c r="AP71" s="697"/>
      <c r="AQ71" s="697"/>
      <c r="AR71" s="697"/>
      <c r="AS71" s="697"/>
      <c r="AT71" s="697"/>
      <c r="AU71" s="697"/>
      <c r="AV71" s="697"/>
      <c r="AW71" s="697"/>
      <c r="AX71" s="697"/>
      <c r="AY71" s="697"/>
      <c r="AZ71" s="697"/>
      <c r="BA71" s="697"/>
      <c r="BB71" s="697"/>
      <c r="BC71" s="697"/>
      <c r="BD71" s="697"/>
      <c r="BE71" s="697"/>
      <c r="BF71" s="697"/>
      <c r="BG71" s="697"/>
      <c r="BH71" s="697"/>
      <c r="BI71" s="697"/>
      <c r="BJ71" s="697"/>
      <c r="BK71" s="697"/>
      <c r="BL71" s="697"/>
      <c r="BM71" s="697"/>
      <c r="BN71" s="697"/>
      <c r="BO71" s="697"/>
      <c r="BP71" s="697"/>
      <c r="BQ71" s="697"/>
      <c r="BR71" s="697"/>
      <c r="BS71" s="697"/>
      <c r="BT71" s="697"/>
      <c r="BU71" s="697"/>
      <c r="BV71" s="697"/>
      <c r="BW71" s="697"/>
      <c r="BX71" s="697"/>
      <c r="BY71" s="697"/>
      <c r="BZ71" s="697"/>
      <c r="CA71" s="697"/>
      <c r="CB71" s="697"/>
      <c r="CC71" s="697"/>
      <c r="CD71" s="697"/>
      <c r="CE71" s="697"/>
      <c r="CF71" s="697"/>
      <c r="CG71" s="697"/>
      <c r="CH71" s="697"/>
      <c r="CI71" s="697"/>
      <c r="CJ71" s="697"/>
      <c r="CK71" s="697"/>
      <c r="CL71" s="697"/>
      <c r="CM71" s="697"/>
      <c r="CN71" s="697"/>
      <c r="CO71" s="697"/>
      <c r="CP71" s="697"/>
      <c r="CQ71" s="697"/>
      <c r="CR71" s="697"/>
      <c r="CS71" s="697"/>
      <c r="CT71" s="697"/>
      <c r="CU71" s="697"/>
      <c r="CV71" s="697"/>
      <c r="CW71" s="697"/>
      <c r="CX71" s="697"/>
      <c r="CY71" s="697"/>
      <c r="CZ71" s="697"/>
      <c r="DA71" s="697"/>
    </row>
    <row r="72" spans="1:105" hidden="1" outlineLevel="1" x14ac:dyDescent="0.2">
      <c r="A72" s="709">
        <f t="shared" si="27"/>
        <v>36982</v>
      </c>
      <c r="B72" s="709" t="str">
        <f t="shared" si="24"/>
        <v>2Q01</v>
      </c>
      <c r="C72" s="709" t="str">
        <f t="shared" si="28"/>
        <v>2Q01</v>
      </c>
      <c r="D72" s="710">
        <f t="shared" si="29"/>
        <v>37057</v>
      </c>
      <c r="E72" s="710">
        <f t="shared" si="29"/>
        <v>36997</v>
      </c>
      <c r="F72" s="712">
        <v>1.4369999999999998</v>
      </c>
      <c r="G72" s="713">
        <f t="shared" si="25"/>
        <v>6.0000000000000005E-2</v>
      </c>
      <c r="H72" s="713">
        <f t="shared" si="26"/>
        <v>6.0000000000000005E-2</v>
      </c>
      <c r="I72" s="713">
        <f t="shared" si="30"/>
        <v>4.499999999999992</v>
      </c>
      <c r="J72" s="713">
        <f t="shared" si="30"/>
        <v>4.5499999999999918</v>
      </c>
      <c r="K72" s="713">
        <f t="shared" si="31"/>
        <v>0.68000000000000038</v>
      </c>
      <c r="L72" s="697"/>
      <c r="M72" s="697"/>
      <c r="N72" s="697"/>
      <c r="O72" s="697"/>
      <c r="P72" s="697"/>
      <c r="Q72" s="697"/>
      <c r="R72" s="697"/>
      <c r="S72" s="697"/>
      <c r="T72" s="697"/>
      <c r="U72" s="697"/>
      <c r="V72" s="697"/>
      <c r="W72" s="697"/>
      <c r="X72" s="697"/>
      <c r="Y72" s="697"/>
      <c r="Z72" s="697"/>
      <c r="AA72" s="697"/>
      <c r="AB72" s="697"/>
      <c r="AC72" s="697"/>
      <c r="AD72" s="697"/>
      <c r="AE72" s="697"/>
      <c r="AF72" s="697"/>
      <c r="AG72" s="697"/>
      <c r="AH72" s="697"/>
      <c r="AI72" s="697"/>
      <c r="AJ72" s="697"/>
      <c r="AK72" s="697"/>
      <c r="AL72" s="697"/>
      <c r="AM72" s="697"/>
      <c r="AN72" s="697"/>
      <c r="AO72" s="697"/>
      <c r="AP72" s="697"/>
      <c r="AQ72" s="697"/>
      <c r="AR72" s="697"/>
      <c r="AS72" s="697"/>
      <c r="AT72" s="697"/>
      <c r="AU72" s="697"/>
      <c r="AV72" s="697"/>
      <c r="AW72" s="697"/>
      <c r="AX72" s="697"/>
      <c r="AY72" s="697"/>
      <c r="AZ72" s="697"/>
      <c r="BA72" s="697"/>
      <c r="BB72" s="697"/>
      <c r="BC72" s="697"/>
      <c r="BD72" s="697"/>
      <c r="BE72" s="697"/>
      <c r="BF72" s="697"/>
      <c r="BG72" s="697"/>
      <c r="BH72" s="697"/>
      <c r="BI72" s="697"/>
      <c r="BJ72" s="697"/>
      <c r="BK72" s="697"/>
      <c r="BL72" s="697"/>
      <c r="BM72" s="697"/>
      <c r="BN72" s="697"/>
      <c r="BO72" s="697"/>
      <c r="BP72" s="697"/>
      <c r="BQ72" s="697"/>
      <c r="BR72" s="697"/>
      <c r="BS72" s="697"/>
      <c r="BT72" s="697"/>
      <c r="BU72" s="697"/>
      <c r="BV72" s="697"/>
      <c r="BW72" s="697"/>
      <c r="BX72" s="697"/>
      <c r="BY72" s="697"/>
      <c r="BZ72" s="697"/>
      <c r="CA72" s="697"/>
      <c r="CB72" s="697"/>
      <c r="CC72" s="697"/>
      <c r="CD72" s="697"/>
      <c r="CE72" s="697"/>
      <c r="CF72" s="697"/>
      <c r="CG72" s="697"/>
      <c r="CH72" s="697"/>
      <c r="CI72" s="697"/>
      <c r="CJ72" s="697"/>
      <c r="CK72" s="697"/>
      <c r="CL72" s="697"/>
      <c r="CM72" s="697"/>
      <c r="CN72" s="697"/>
      <c r="CO72" s="697"/>
      <c r="CP72" s="697"/>
      <c r="CQ72" s="697"/>
      <c r="CR72" s="697"/>
      <c r="CS72" s="697"/>
      <c r="CT72" s="697"/>
      <c r="CU72" s="697"/>
      <c r="CV72" s="697"/>
      <c r="CW72" s="697"/>
      <c r="CX72" s="697"/>
      <c r="CY72" s="697"/>
      <c r="CZ72" s="697"/>
      <c r="DA72" s="697"/>
    </row>
    <row r="73" spans="1:105" hidden="1" outlineLevel="1" x14ac:dyDescent="0.2">
      <c r="A73" s="709">
        <f t="shared" si="27"/>
        <v>36982</v>
      </c>
      <c r="B73" s="709" t="str">
        <f t="shared" si="24"/>
        <v>2Q01</v>
      </c>
      <c r="C73" s="709" t="str">
        <f t="shared" si="28"/>
        <v>2Q01</v>
      </c>
      <c r="D73" s="710">
        <f t="shared" si="29"/>
        <v>37064</v>
      </c>
      <c r="E73" s="710">
        <f t="shared" si="29"/>
        <v>37004</v>
      </c>
      <c r="F73" s="712">
        <v>1.4430000000000001</v>
      </c>
      <c r="G73" s="713">
        <f t="shared" si="25"/>
        <v>6.0000000000000005E-2</v>
      </c>
      <c r="H73" s="713">
        <f t="shared" si="26"/>
        <v>6.0000000000000005E-2</v>
      </c>
      <c r="I73" s="713">
        <f t="shared" si="30"/>
        <v>4.5499999999999918</v>
      </c>
      <c r="J73" s="713">
        <f t="shared" si="30"/>
        <v>4.5999999999999917</v>
      </c>
      <c r="K73" s="713">
        <f t="shared" si="31"/>
        <v>0.69000000000000039</v>
      </c>
      <c r="L73" s="697"/>
      <c r="M73" s="697"/>
      <c r="N73" s="697"/>
      <c r="O73" s="697"/>
      <c r="P73" s="697"/>
      <c r="Q73" s="697"/>
      <c r="R73" s="697"/>
      <c r="S73" s="697"/>
      <c r="T73" s="697"/>
      <c r="U73" s="697"/>
      <c r="V73" s="697"/>
      <c r="W73" s="697"/>
      <c r="X73" s="697"/>
      <c r="Y73" s="697"/>
      <c r="Z73" s="697"/>
      <c r="AA73" s="697"/>
      <c r="AB73" s="697"/>
      <c r="AC73" s="697"/>
      <c r="AD73" s="697"/>
      <c r="AE73" s="697"/>
      <c r="AF73" s="697"/>
      <c r="AG73" s="697"/>
      <c r="AH73" s="697"/>
      <c r="AI73" s="697"/>
      <c r="AJ73" s="697"/>
      <c r="AK73" s="697"/>
      <c r="AL73" s="697"/>
      <c r="AM73" s="697"/>
      <c r="AN73" s="697"/>
      <c r="AO73" s="697"/>
      <c r="AP73" s="697"/>
      <c r="AQ73" s="697"/>
      <c r="AR73" s="697"/>
      <c r="AS73" s="697"/>
      <c r="AT73" s="697"/>
      <c r="AU73" s="697"/>
      <c r="AV73" s="697"/>
      <c r="AW73" s="697"/>
      <c r="AX73" s="697"/>
      <c r="AY73" s="697"/>
      <c r="AZ73" s="697"/>
      <c r="BA73" s="697"/>
      <c r="BB73" s="697"/>
      <c r="BC73" s="697"/>
      <c r="BD73" s="697"/>
      <c r="BE73" s="697"/>
      <c r="BF73" s="697"/>
      <c r="BG73" s="697"/>
      <c r="BH73" s="697"/>
      <c r="BI73" s="697"/>
      <c r="BJ73" s="697"/>
      <c r="BK73" s="697"/>
      <c r="BL73" s="697"/>
      <c r="BM73" s="697"/>
      <c r="BN73" s="697"/>
      <c r="BO73" s="697"/>
      <c r="BP73" s="697"/>
      <c r="BQ73" s="697"/>
      <c r="BR73" s="697"/>
      <c r="BS73" s="697"/>
      <c r="BT73" s="697"/>
      <c r="BU73" s="697"/>
      <c r="BV73" s="697"/>
      <c r="BW73" s="697"/>
      <c r="BX73" s="697"/>
      <c r="BY73" s="697"/>
      <c r="BZ73" s="697"/>
      <c r="CA73" s="697"/>
      <c r="CB73" s="697"/>
      <c r="CC73" s="697"/>
      <c r="CD73" s="697"/>
      <c r="CE73" s="697"/>
      <c r="CF73" s="697"/>
      <c r="CG73" s="697"/>
      <c r="CH73" s="697"/>
      <c r="CI73" s="697"/>
      <c r="CJ73" s="697"/>
      <c r="CK73" s="697"/>
      <c r="CL73" s="697"/>
      <c r="CM73" s="697"/>
      <c r="CN73" s="697"/>
      <c r="CO73" s="697"/>
      <c r="CP73" s="697"/>
      <c r="CQ73" s="697"/>
      <c r="CR73" s="697"/>
      <c r="CS73" s="697"/>
      <c r="CT73" s="697"/>
      <c r="CU73" s="697"/>
      <c r="CV73" s="697"/>
      <c r="CW73" s="697"/>
      <c r="CX73" s="697"/>
      <c r="CY73" s="697"/>
      <c r="CZ73" s="697"/>
      <c r="DA73" s="697"/>
    </row>
    <row r="74" spans="1:105" hidden="1" outlineLevel="1" x14ac:dyDescent="0.2">
      <c r="A74" s="709">
        <f t="shared" si="27"/>
        <v>36982</v>
      </c>
      <c r="B74" s="709" t="str">
        <f t="shared" si="24"/>
        <v>2Q01</v>
      </c>
      <c r="C74" s="709" t="str">
        <f t="shared" si="28"/>
        <v>2Q01</v>
      </c>
      <c r="D74" s="710">
        <f t="shared" si="29"/>
        <v>37071</v>
      </c>
      <c r="E74" s="710">
        <f t="shared" si="29"/>
        <v>37011</v>
      </c>
      <c r="F74" s="712">
        <v>1.4419999999999999</v>
      </c>
      <c r="G74" s="713">
        <f t="shared" si="25"/>
        <v>6.0000000000000005E-2</v>
      </c>
      <c r="H74" s="713">
        <f t="shared" si="26"/>
        <v>7.0000000000000007E-2</v>
      </c>
      <c r="I74" s="713">
        <f t="shared" si="30"/>
        <v>4.5999999999999917</v>
      </c>
      <c r="J74" s="713">
        <f t="shared" si="30"/>
        <v>4.6499999999999915</v>
      </c>
      <c r="K74" s="713">
        <f t="shared" si="31"/>
        <v>0.7000000000000004</v>
      </c>
      <c r="L74" s="697"/>
      <c r="M74" s="697"/>
      <c r="N74" s="697"/>
      <c r="O74" s="697"/>
      <c r="P74" s="697"/>
      <c r="Q74" s="697"/>
      <c r="R74" s="697"/>
      <c r="S74" s="697"/>
      <c r="T74" s="697"/>
      <c r="U74" s="697"/>
      <c r="V74" s="697"/>
      <c r="W74" s="697"/>
      <c r="X74" s="697"/>
      <c r="Y74" s="697"/>
      <c r="Z74" s="697"/>
      <c r="AA74" s="697"/>
      <c r="AB74" s="697"/>
      <c r="AC74" s="697"/>
      <c r="AD74" s="697"/>
      <c r="AE74" s="697"/>
      <c r="AF74" s="697"/>
      <c r="AG74" s="697"/>
      <c r="AH74" s="697"/>
      <c r="AI74" s="697"/>
      <c r="AJ74" s="697"/>
      <c r="AK74" s="697"/>
      <c r="AL74" s="697"/>
      <c r="AM74" s="697"/>
      <c r="AN74" s="697"/>
      <c r="AO74" s="697"/>
      <c r="AP74" s="697"/>
      <c r="AQ74" s="697"/>
      <c r="AR74" s="697"/>
      <c r="AS74" s="697"/>
      <c r="AT74" s="697"/>
      <c r="AU74" s="697"/>
      <c r="AV74" s="697"/>
      <c r="AW74" s="697"/>
      <c r="AX74" s="697"/>
      <c r="AY74" s="697"/>
      <c r="AZ74" s="697"/>
      <c r="BA74" s="697"/>
      <c r="BB74" s="697"/>
      <c r="BC74" s="697"/>
      <c r="BD74" s="697"/>
      <c r="BE74" s="697"/>
      <c r="BF74" s="697"/>
      <c r="BG74" s="697"/>
      <c r="BH74" s="697"/>
      <c r="BI74" s="697"/>
      <c r="BJ74" s="697"/>
      <c r="BK74" s="697"/>
      <c r="BL74" s="697"/>
      <c r="BM74" s="697"/>
      <c r="BN74" s="697"/>
      <c r="BO74" s="697"/>
      <c r="BP74" s="697"/>
      <c r="BQ74" s="697"/>
      <c r="BR74" s="697"/>
      <c r="BS74" s="697"/>
      <c r="BT74" s="697"/>
      <c r="BU74" s="697"/>
      <c r="BV74" s="697"/>
      <c r="BW74" s="697"/>
      <c r="BX74" s="697"/>
      <c r="BY74" s="697"/>
      <c r="BZ74" s="697"/>
      <c r="CA74" s="697"/>
      <c r="CB74" s="697"/>
      <c r="CC74" s="697"/>
      <c r="CD74" s="697"/>
      <c r="CE74" s="697"/>
      <c r="CF74" s="697"/>
      <c r="CG74" s="697"/>
      <c r="CH74" s="697"/>
      <c r="CI74" s="697"/>
      <c r="CJ74" s="697"/>
      <c r="CK74" s="697"/>
      <c r="CL74" s="697"/>
      <c r="CM74" s="697"/>
      <c r="CN74" s="697"/>
      <c r="CO74" s="697"/>
      <c r="CP74" s="697"/>
      <c r="CQ74" s="697"/>
      <c r="CR74" s="697"/>
      <c r="CS74" s="697"/>
      <c r="CT74" s="697"/>
      <c r="CU74" s="697"/>
      <c r="CV74" s="697"/>
      <c r="CW74" s="697"/>
      <c r="CX74" s="697"/>
      <c r="CY74" s="697"/>
      <c r="CZ74" s="697"/>
      <c r="DA74" s="697"/>
    </row>
    <row r="75" spans="1:105" hidden="1" outlineLevel="1" x14ac:dyDescent="0.2">
      <c r="A75" s="709">
        <f t="shared" si="27"/>
        <v>37012</v>
      </c>
      <c r="B75" s="709" t="str">
        <f t="shared" si="24"/>
        <v>2Q01</v>
      </c>
      <c r="C75" s="709" t="str">
        <f t="shared" si="28"/>
        <v>3Q01</v>
      </c>
      <c r="D75" s="710">
        <f t="shared" si="29"/>
        <v>37078</v>
      </c>
      <c r="E75" s="710">
        <f t="shared" si="29"/>
        <v>37018</v>
      </c>
      <c r="F75" s="712">
        <v>1.47</v>
      </c>
      <c r="G75" s="713">
        <f t="shared" si="25"/>
        <v>7.0000000000000007E-2</v>
      </c>
      <c r="H75" s="713">
        <f t="shared" si="26"/>
        <v>7.0000000000000007E-2</v>
      </c>
      <c r="I75" s="713">
        <f t="shared" si="30"/>
        <v>4.6499999999999915</v>
      </c>
      <c r="J75" s="713">
        <f t="shared" si="30"/>
        <v>4.6999999999999913</v>
      </c>
      <c r="K75" s="713">
        <f t="shared" si="31"/>
        <v>0.71000000000000041</v>
      </c>
      <c r="L75" s="697"/>
      <c r="M75" s="697"/>
      <c r="N75" s="697"/>
      <c r="O75" s="697"/>
      <c r="P75" s="697"/>
      <c r="Q75" s="697"/>
      <c r="R75" s="697"/>
      <c r="S75" s="697"/>
      <c r="T75" s="697"/>
      <c r="U75" s="697"/>
      <c r="V75" s="697"/>
      <c r="W75" s="697"/>
      <c r="X75" s="697"/>
      <c r="Y75" s="697"/>
      <c r="Z75" s="697"/>
      <c r="AA75" s="697"/>
      <c r="AB75" s="697"/>
      <c r="AC75" s="697"/>
      <c r="AD75" s="697"/>
      <c r="AE75" s="697"/>
      <c r="AF75" s="697"/>
      <c r="AG75" s="697"/>
      <c r="AH75" s="697"/>
      <c r="AI75" s="697"/>
      <c r="AJ75" s="697"/>
      <c r="AK75" s="697"/>
      <c r="AL75" s="697"/>
      <c r="AM75" s="697"/>
      <c r="AN75" s="697"/>
      <c r="AO75" s="697"/>
      <c r="AP75" s="697"/>
      <c r="AQ75" s="697"/>
      <c r="AR75" s="697"/>
      <c r="AS75" s="697"/>
      <c r="AT75" s="697"/>
      <c r="AU75" s="697"/>
      <c r="AV75" s="697"/>
      <c r="AW75" s="697"/>
      <c r="AX75" s="697"/>
      <c r="AY75" s="697"/>
      <c r="AZ75" s="697"/>
      <c r="BA75" s="697"/>
      <c r="BB75" s="697"/>
      <c r="BC75" s="697"/>
      <c r="BD75" s="697"/>
      <c r="BE75" s="697"/>
      <c r="BF75" s="697"/>
      <c r="BG75" s="697"/>
      <c r="BH75" s="697"/>
      <c r="BI75" s="697"/>
      <c r="BJ75" s="697"/>
      <c r="BK75" s="697"/>
      <c r="BL75" s="697"/>
      <c r="BM75" s="697"/>
      <c r="BN75" s="697"/>
      <c r="BO75" s="697"/>
      <c r="BP75" s="697"/>
      <c r="BQ75" s="697"/>
      <c r="BR75" s="697"/>
      <c r="BS75" s="697"/>
      <c r="BT75" s="697"/>
      <c r="BU75" s="697"/>
      <c r="BV75" s="697"/>
      <c r="BW75" s="697"/>
      <c r="BX75" s="697"/>
      <c r="BY75" s="697"/>
      <c r="BZ75" s="697"/>
      <c r="CA75" s="697"/>
      <c r="CB75" s="697"/>
      <c r="CC75" s="697"/>
      <c r="CD75" s="697"/>
      <c r="CE75" s="697"/>
      <c r="CF75" s="697"/>
      <c r="CG75" s="697"/>
      <c r="CH75" s="697"/>
      <c r="CI75" s="697"/>
      <c r="CJ75" s="697"/>
      <c r="CK75" s="697"/>
      <c r="CL75" s="697"/>
      <c r="CM75" s="697"/>
      <c r="CN75" s="697"/>
      <c r="CO75" s="697"/>
      <c r="CP75" s="697"/>
      <c r="CQ75" s="697"/>
      <c r="CR75" s="697"/>
      <c r="CS75" s="697"/>
      <c r="CT75" s="697"/>
      <c r="CU75" s="697"/>
      <c r="CV75" s="697"/>
      <c r="CW75" s="697"/>
      <c r="CX75" s="697"/>
      <c r="CY75" s="697"/>
      <c r="CZ75" s="697"/>
      <c r="DA75" s="697"/>
    </row>
    <row r="76" spans="1:105" hidden="1" outlineLevel="1" x14ac:dyDescent="0.2">
      <c r="A76" s="709">
        <f t="shared" si="27"/>
        <v>37012</v>
      </c>
      <c r="B76" s="709" t="str">
        <f t="shared" si="24"/>
        <v>2Q01</v>
      </c>
      <c r="C76" s="709" t="str">
        <f t="shared" si="28"/>
        <v>3Q01</v>
      </c>
      <c r="D76" s="710">
        <f t="shared" si="29"/>
        <v>37085</v>
      </c>
      <c r="E76" s="710">
        <f t="shared" si="29"/>
        <v>37025</v>
      </c>
      <c r="F76" s="712">
        <v>1.4909999999999999</v>
      </c>
      <c r="G76" s="713">
        <f t="shared" si="25"/>
        <v>7.0000000000000007E-2</v>
      </c>
      <c r="H76" s="713">
        <f t="shared" si="26"/>
        <v>7.0000000000000007E-2</v>
      </c>
      <c r="I76" s="713">
        <f t="shared" si="30"/>
        <v>4.6999999999999913</v>
      </c>
      <c r="J76" s="713">
        <f t="shared" si="30"/>
        <v>4.7499999999999911</v>
      </c>
      <c r="K76" s="713">
        <f t="shared" si="31"/>
        <v>0.72000000000000042</v>
      </c>
      <c r="L76" s="697"/>
      <c r="M76" s="697"/>
      <c r="N76" s="697"/>
      <c r="O76" s="697"/>
      <c r="P76" s="697"/>
      <c r="Q76" s="697"/>
      <c r="R76" s="697"/>
      <c r="S76" s="697"/>
      <c r="T76" s="697"/>
      <c r="U76" s="697"/>
      <c r="V76" s="697"/>
      <c r="W76" s="697"/>
      <c r="X76" s="697"/>
      <c r="Y76" s="697"/>
      <c r="Z76" s="697"/>
      <c r="AA76" s="697"/>
      <c r="AB76" s="697"/>
      <c r="AC76" s="697"/>
      <c r="AD76" s="697"/>
      <c r="AE76" s="697"/>
      <c r="AF76" s="697"/>
      <c r="AG76" s="697"/>
      <c r="AH76" s="697"/>
      <c r="AI76" s="697"/>
      <c r="AJ76" s="697"/>
      <c r="AK76" s="697"/>
      <c r="AL76" s="697"/>
      <c r="AM76" s="697"/>
      <c r="AN76" s="697"/>
      <c r="AO76" s="697"/>
      <c r="AP76" s="697"/>
      <c r="AQ76" s="697"/>
      <c r="AR76" s="697"/>
      <c r="AS76" s="697"/>
      <c r="AT76" s="697"/>
      <c r="AU76" s="697"/>
      <c r="AV76" s="697"/>
      <c r="AW76" s="697"/>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697"/>
      <c r="BU76" s="697"/>
      <c r="BV76" s="697"/>
      <c r="BW76" s="697"/>
      <c r="BX76" s="697"/>
      <c r="BY76" s="697"/>
      <c r="BZ76" s="697"/>
      <c r="CA76" s="697"/>
      <c r="CB76" s="697"/>
      <c r="CC76" s="697"/>
      <c r="CD76" s="697"/>
      <c r="CE76" s="697"/>
      <c r="CF76" s="697"/>
      <c r="CG76" s="697"/>
      <c r="CH76" s="697"/>
      <c r="CI76" s="697"/>
      <c r="CJ76" s="697"/>
      <c r="CK76" s="697"/>
      <c r="CL76" s="697"/>
      <c r="CM76" s="697"/>
      <c r="CN76" s="697"/>
      <c r="CO76" s="697"/>
      <c r="CP76" s="697"/>
      <c r="CQ76" s="697"/>
      <c r="CR76" s="697"/>
      <c r="CS76" s="697"/>
      <c r="CT76" s="697"/>
      <c r="CU76" s="697"/>
      <c r="CV76" s="697"/>
      <c r="CW76" s="697"/>
      <c r="CX76" s="697"/>
      <c r="CY76" s="697"/>
      <c r="CZ76" s="697"/>
      <c r="DA76" s="697"/>
    </row>
    <row r="77" spans="1:105" hidden="1" outlineLevel="1" x14ac:dyDescent="0.2">
      <c r="A77" s="709">
        <f t="shared" si="27"/>
        <v>37012</v>
      </c>
      <c r="B77" s="709" t="str">
        <f t="shared" si="24"/>
        <v>2Q01</v>
      </c>
      <c r="C77" s="709" t="str">
        <f t="shared" si="28"/>
        <v>3Q01</v>
      </c>
      <c r="D77" s="710">
        <f t="shared" si="29"/>
        <v>37092</v>
      </c>
      <c r="E77" s="710">
        <f t="shared" si="29"/>
        <v>37032</v>
      </c>
      <c r="F77" s="712">
        <v>1.494</v>
      </c>
      <c r="G77" s="713">
        <f t="shared" si="25"/>
        <v>7.0000000000000007E-2</v>
      </c>
      <c r="H77" s="713">
        <f t="shared" si="26"/>
        <v>0.08</v>
      </c>
      <c r="I77" s="713">
        <f t="shared" si="30"/>
        <v>4.7499999999999911</v>
      </c>
      <c r="J77" s="713">
        <f t="shared" si="30"/>
        <v>4.7999999999999909</v>
      </c>
      <c r="K77" s="713">
        <f t="shared" si="31"/>
        <v>0.73000000000000043</v>
      </c>
      <c r="L77" s="697"/>
      <c r="M77" s="697"/>
      <c r="N77" s="697"/>
      <c r="O77" s="697"/>
      <c r="P77" s="697"/>
      <c r="Q77" s="697"/>
      <c r="R77" s="697"/>
      <c r="S77" s="697"/>
      <c r="T77" s="697"/>
      <c r="U77" s="697"/>
      <c r="V77" s="697"/>
      <c r="W77" s="697"/>
      <c r="X77" s="697"/>
      <c r="Y77" s="697"/>
      <c r="Z77" s="697"/>
      <c r="AA77" s="697"/>
      <c r="AB77" s="697"/>
      <c r="AC77" s="697"/>
      <c r="AD77" s="697"/>
      <c r="AE77" s="697"/>
      <c r="AF77" s="697"/>
      <c r="AG77" s="697"/>
      <c r="AH77" s="697"/>
      <c r="AI77" s="697"/>
      <c r="AJ77" s="697"/>
      <c r="AK77" s="697"/>
      <c r="AL77" s="697"/>
      <c r="AM77" s="697"/>
      <c r="AN77" s="697"/>
      <c r="AO77" s="697"/>
      <c r="AP77" s="697"/>
      <c r="AQ77" s="697"/>
      <c r="AR77" s="697"/>
      <c r="AS77" s="697"/>
      <c r="AT77" s="697"/>
      <c r="AU77" s="697"/>
      <c r="AV77" s="697"/>
      <c r="AW77" s="697"/>
      <c r="AX77" s="697"/>
      <c r="AY77" s="697"/>
      <c r="AZ77" s="697"/>
      <c r="BA77" s="697"/>
      <c r="BB77" s="697"/>
      <c r="BC77" s="697"/>
      <c r="BD77" s="697"/>
      <c r="BE77" s="697"/>
      <c r="BF77" s="697"/>
      <c r="BG77" s="697"/>
      <c r="BH77" s="697"/>
      <c r="BI77" s="697"/>
      <c r="BJ77" s="697"/>
      <c r="BK77" s="697"/>
      <c r="BL77" s="697"/>
      <c r="BM77" s="697"/>
      <c r="BN77" s="697"/>
      <c r="BO77" s="697"/>
      <c r="BP77" s="697"/>
      <c r="BQ77" s="697"/>
      <c r="BR77" s="697"/>
      <c r="BS77" s="697"/>
      <c r="BT77" s="697"/>
      <c r="BU77" s="697"/>
      <c r="BV77" s="697"/>
      <c r="BW77" s="697"/>
      <c r="BX77" s="697"/>
      <c r="BY77" s="697"/>
      <c r="BZ77" s="697"/>
      <c r="CA77" s="697"/>
      <c r="CB77" s="697"/>
      <c r="CC77" s="697"/>
      <c r="CD77" s="697"/>
      <c r="CE77" s="697"/>
      <c r="CF77" s="697"/>
      <c r="CG77" s="697"/>
      <c r="CH77" s="697"/>
      <c r="CI77" s="697"/>
      <c r="CJ77" s="697"/>
      <c r="CK77" s="697"/>
      <c r="CL77" s="697"/>
      <c r="CM77" s="697"/>
      <c r="CN77" s="697"/>
      <c r="CO77" s="697"/>
      <c r="CP77" s="697"/>
      <c r="CQ77" s="697"/>
      <c r="CR77" s="697"/>
      <c r="CS77" s="697"/>
      <c r="CT77" s="697"/>
      <c r="CU77" s="697"/>
      <c r="CV77" s="697"/>
      <c r="CW77" s="697"/>
      <c r="CX77" s="697"/>
      <c r="CY77" s="697"/>
      <c r="CZ77" s="697"/>
      <c r="DA77" s="697"/>
    </row>
    <row r="78" spans="1:105" hidden="1" outlineLevel="1" x14ac:dyDescent="0.2">
      <c r="A78" s="709">
        <f t="shared" si="27"/>
        <v>37012</v>
      </c>
      <c r="B78" s="709" t="str">
        <f t="shared" si="24"/>
        <v>2Q01</v>
      </c>
      <c r="C78" s="709" t="str">
        <f t="shared" si="28"/>
        <v>3Q01</v>
      </c>
      <c r="D78" s="710">
        <f t="shared" si="29"/>
        <v>37099</v>
      </c>
      <c r="E78" s="710">
        <f t="shared" si="29"/>
        <v>37039</v>
      </c>
      <c r="F78" s="712">
        <v>1.5290000000000001</v>
      </c>
      <c r="G78" s="713">
        <f t="shared" si="25"/>
        <v>0.08</v>
      </c>
      <c r="H78" s="713">
        <f t="shared" si="26"/>
        <v>0.08</v>
      </c>
      <c r="I78" s="713">
        <f t="shared" si="30"/>
        <v>4.7999999999999909</v>
      </c>
      <c r="J78" s="713">
        <f t="shared" si="30"/>
        <v>4.8499999999999908</v>
      </c>
      <c r="K78" s="713">
        <f t="shared" si="31"/>
        <v>0.74000000000000044</v>
      </c>
      <c r="L78" s="697"/>
      <c r="M78" s="697"/>
      <c r="N78" s="697"/>
      <c r="O78" s="697"/>
      <c r="P78" s="697"/>
      <c r="Q78" s="697"/>
      <c r="R78" s="697"/>
      <c r="S78" s="697"/>
      <c r="T78" s="697"/>
      <c r="U78" s="697"/>
      <c r="V78" s="697"/>
      <c r="W78" s="697"/>
      <c r="X78" s="697"/>
      <c r="Y78" s="697"/>
      <c r="Z78" s="697"/>
      <c r="AA78" s="697"/>
      <c r="AB78" s="697"/>
      <c r="AC78" s="697"/>
      <c r="AD78" s="697"/>
      <c r="AE78" s="697"/>
      <c r="AF78" s="697"/>
      <c r="AG78" s="697"/>
      <c r="AH78" s="697"/>
      <c r="AI78" s="697"/>
      <c r="AJ78" s="697"/>
      <c r="AK78" s="697"/>
      <c r="AL78" s="697"/>
      <c r="AM78" s="697"/>
      <c r="AN78" s="697"/>
      <c r="AO78" s="697"/>
      <c r="AP78" s="697"/>
      <c r="AQ78" s="697"/>
      <c r="AR78" s="697"/>
      <c r="AS78" s="697"/>
      <c r="AT78" s="697"/>
      <c r="AU78" s="697"/>
      <c r="AV78" s="697"/>
      <c r="AW78" s="697"/>
      <c r="AX78" s="697"/>
      <c r="AY78" s="697"/>
      <c r="AZ78" s="697"/>
      <c r="BA78" s="697"/>
      <c r="BB78" s="697"/>
      <c r="BC78" s="697"/>
      <c r="BD78" s="697"/>
      <c r="BE78" s="697"/>
      <c r="BF78" s="697"/>
      <c r="BG78" s="697"/>
      <c r="BH78" s="697"/>
      <c r="BI78" s="697"/>
      <c r="BJ78" s="697"/>
      <c r="BK78" s="697"/>
      <c r="BL78" s="697"/>
      <c r="BM78" s="697"/>
      <c r="BN78" s="697"/>
      <c r="BO78" s="697"/>
      <c r="BP78" s="697"/>
      <c r="BQ78" s="697"/>
      <c r="BR78" s="697"/>
      <c r="BS78" s="697"/>
      <c r="BT78" s="697"/>
      <c r="BU78" s="697"/>
      <c r="BV78" s="697"/>
      <c r="BW78" s="697"/>
      <c r="BX78" s="697"/>
      <c r="BY78" s="697"/>
      <c r="BZ78" s="697"/>
      <c r="CA78" s="697"/>
      <c r="CB78" s="697"/>
      <c r="CC78" s="697"/>
      <c r="CD78" s="697"/>
      <c r="CE78" s="697"/>
      <c r="CF78" s="697"/>
      <c r="CG78" s="697"/>
      <c r="CH78" s="697"/>
      <c r="CI78" s="697"/>
      <c r="CJ78" s="697"/>
      <c r="CK78" s="697"/>
      <c r="CL78" s="697"/>
      <c r="CM78" s="697"/>
      <c r="CN78" s="697"/>
      <c r="CO78" s="697"/>
      <c r="CP78" s="697"/>
      <c r="CQ78" s="697"/>
      <c r="CR78" s="697"/>
      <c r="CS78" s="697"/>
      <c r="CT78" s="697"/>
      <c r="CU78" s="697"/>
      <c r="CV78" s="697"/>
      <c r="CW78" s="697"/>
      <c r="CX78" s="697"/>
      <c r="CY78" s="697"/>
      <c r="CZ78" s="697"/>
      <c r="DA78" s="697"/>
    </row>
    <row r="79" spans="1:105" hidden="1" outlineLevel="1" x14ac:dyDescent="0.2">
      <c r="A79" s="709">
        <f t="shared" si="27"/>
        <v>37043</v>
      </c>
      <c r="B79" s="709" t="str">
        <f t="shared" si="24"/>
        <v>2Q01</v>
      </c>
      <c r="C79" s="709" t="str">
        <f t="shared" si="28"/>
        <v>3Q01</v>
      </c>
      <c r="D79" s="710">
        <f t="shared" si="29"/>
        <v>37106</v>
      </c>
      <c r="E79" s="710">
        <f t="shared" si="29"/>
        <v>37046</v>
      </c>
      <c r="F79" s="712">
        <v>1.514</v>
      </c>
      <c r="G79" s="713">
        <f t="shared" si="25"/>
        <v>0.08</v>
      </c>
      <c r="H79" s="713">
        <f t="shared" si="26"/>
        <v>7.0000000000000007E-2</v>
      </c>
      <c r="I79" s="713">
        <f t="shared" si="30"/>
        <v>4.8499999999999908</v>
      </c>
      <c r="J79" s="713">
        <f t="shared" si="30"/>
        <v>4.8999999999999906</v>
      </c>
      <c r="K79" s="713">
        <f t="shared" si="31"/>
        <v>0.75000000000000044</v>
      </c>
      <c r="L79" s="697"/>
      <c r="M79" s="697"/>
      <c r="N79" s="697"/>
      <c r="O79" s="697"/>
      <c r="P79" s="697"/>
      <c r="Q79" s="697"/>
      <c r="R79" s="697"/>
      <c r="S79" s="697"/>
      <c r="T79" s="697"/>
      <c r="U79" s="697"/>
      <c r="V79" s="697"/>
      <c r="W79" s="697"/>
      <c r="X79" s="697"/>
      <c r="Y79" s="697"/>
      <c r="Z79" s="697"/>
      <c r="AA79" s="697"/>
      <c r="AB79" s="697"/>
      <c r="AC79" s="697"/>
      <c r="AD79" s="697"/>
      <c r="AE79" s="697"/>
      <c r="AF79" s="697"/>
      <c r="AG79" s="697"/>
      <c r="AH79" s="697"/>
      <c r="AI79" s="697"/>
      <c r="AJ79" s="697"/>
      <c r="AK79" s="697"/>
      <c r="AL79" s="697"/>
      <c r="AM79" s="697"/>
      <c r="AN79" s="697"/>
      <c r="AO79" s="697"/>
      <c r="AP79" s="697"/>
      <c r="AQ79" s="697"/>
      <c r="AR79" s="697"/>
      <c r="AS79" s="697"/>
      <c r="AT79" s="697"/>
      <c r="AU79" s="697"/>
      <c r="AV79" s="697"/>
      <c r="AW79" s="697"/>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697"/>
      <c r="BU79" s="697"/>
      <c r="BV79" s="697"/>
      <c r="BW79" s="697"/>
      <c r="BX79" s="697"/>
      <c r="BY79" s="697"/>
      <c r="BZ79" s="697"/>
      <c r="CA79" s="697"/>
      <c r="CB79" s="697"/>
      <c r="CC79" s="697"/>
      <c r="CD79" s="697"/>
      <c r="CE79" s="697"/>
      <c r="CF79" s="697"/>
      <c r="CG79" s="697"/>
      <c r="CH79" s="697"/>
      <c r="CI79" s="697"/>
      <c r="CJ79" s="697"/>
      <c r="CK79" s="697"/>
      <c r="CL79" s="697"/>
      <c r="CM79" s="697"/>
      <c r="CN79" s="697"/>
      <c r="CO79" s="697"/>
      <c r="CP79" s="697"/>
      <c r="CQ79" s="697"/>
      <c r="CR79" s="697"/>
      <c r="CS79" s="697"/>
      <c r="CT79" s="697"/>
      <c r="CU79" s="697"/>
      <c r="CV79" s="697"/>
      <c r="CW79" s="697"/>
      <c r="CX79" s="697"/>
      <c r="CY79" s="697"/>
      <c r="CZ79" s="697"/>
      <c r="DA79" s="697"/>
    </row>
    <row r="80" spans="1:105" hidden="1" outlineLevel="1" x14ac:dyDescent="0.2">
      <c r="A80" s="709">
        <f t="shared" si="27"/>
        <v>37043</v>
      </c>
      <c r="B80" s="709" t="str">
        <f t="shared" si="24"/>
        <v>2Q01</v>
      </c>
      <c r="C80" s="709" t="str">
        <f t="shared" si="28"/>
        <v>3Q01</v>
      </c>
      <c r="D80" s="710">
        <f t="shared" si="29"/>
        <v>37113</v>
      </c>
      <c r="E80" s="710">
        <f t="shared" si="29"/>
        <v>37053</v>
      </c>
      <c r="F80" s="712">
        <v>1.486</v>
      </c>
      <c r="G80" s="713">
        <f t="shared" si="25"/>
        <v>7.0000000000000007E-2</v>
      </c>
      <c r="H80" s="713">
        <f t="shared" si="26"/>
        <v>7.0000000000000007E-2</v>
      </c>
      <c r="I80" s="713">
        <f t="shared" si="30"/>
        <v>4.8999999999999906</v>
      </c>
      <c r="J80" s="713">
        <f t="shared" si="30"/>
        <v>4.9499999999999904</v>
      </c>
      <c r="K80" s="713">
        <f t="shared" si="31"/>
        <v>0.76000000000000045</v>
      </c>
      <c r="L80" s="697"/>
      <c r="M80" s="697"/>
      <c r="N80" s="697"/>
      <c r="O80" s="697"/>
      <c r="P80" s="697"/>
      <c r="Q80" s="697"/>
      <c r="R80" s="697"/>
      <c r="S80" s="697"/>
      <c r="T80" s="697"/>
      <c r="U80" s="697"/>
      <c r="V80" s="697"/>
      <c r="W80" s="697"/>
      <c r="X80" s="697"/>
      <c r="Y80" s="697"/>
      <c r="Z80" s="697"/>
      <c r="AA80" s="697"/>
      <c r="AB80" s="697"/>
      <c r="AC80" s="697"/>
      <c r="AD80" s="697"/>
      <c r="AE80" s="697"/>
      <c r="AF80" s="697"/>
      <c r="AG80" s="697"/>
      <c r="AH80" s="697"/>
      <c r="AI80" s="697"/>
      <c r="AJ80" s="697"/>
      <c r="AK80" s="697"/>
      <c r="AL80" s="697"/>
      <c r="AM80" s="697"/>
      <c r="AN80" s="697"/>
      <c r="AO80" s="697"/>
      <c r="AP80" s="697"/>
      <c r="AQ80" s="697"/>
      <c r="AR80" s="697"/>
      <c r="AS80" s="697"/>
      <c r="AT80" s="697"/>
      <c r="AU80" s="697"/>
      <c r="AV80" s="697"/>
      <c r="AW80" s="697"/>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697"/>
      <c r="BU80" s="697"/>
      <c r="BV80" s="697"/>
      <c r="BW80" s="697"/>
      <c r="BX80" s="697"/>
      <c r="BY80" s="697"/>
      <c r="BZ80" s="697"/>
      <c r="CA80" s="697"/>
      <c r="CB80" s="697"/>
      <c r="CC80" s="697"/>
      <c r="CD80" s="697"/>
      <c r="CE80" s="697"/>
      <c r="CF80" s="697"/>
      <c r="CG80" s="697"/>
      <c r="CH80" s="697"/>
      <c r="CI80" s="697"/>
      <c r="CJ80" s="697"/>
      <c r="CK80" s="697"/>
      <c r="CL80" s="697"/>
      <c r="CM80" s="697"/>
      <c r="CN80" s="697"/>
      <c r="CO80" s="697"/>
      <c r="CP80" s="697"/>
      <c r="CQ80" s="697"/>
      <c r="CR80" s="697"/>
      <c r="CS80" s="697"/>
      <c r="CT80" s="697"/>
      <c r="CU80" s="697"/>
      <c r="CV80" s="697"/>
      <c r="CW80" s="697"/>
      <c r="CX80" s="697"/>
      <c r="CY80" s="697"/>
      <c r="CZ80" s="697"/>
      <c r="DA80" s="697"/>
    </row>
    <row r="81" spans="1:105" hidden="1" outlineLevel="1" x14ac:dyDescent="0.2">
      <c r="A81" s="709">
        <f t="shared" si="27"/>
        <v>37043</v>
      </c>
      <c r="B81" s="709" t="str">
        <f t="shared" si="24"/>
        <v>2Q01</v>
      </c>
      <c r="C81" s="709" t="str">
        <f t="shared" si="28"/>
        <v>3Q01</v>
      </c>
      <c r="D81" s="710">
        <f t="shared" si="29"/>
        <v>37120</v>
      </c>
      <c r="E81" s="710">
        <f t="shared" si="29"/>
        <v>37060</v>
      </c>
      <c r="F81" s="712">
        <v>1.48</v>
      </c>
      <c r="G81" s="713">
        <f t="shared" si="25"/>
        <v>7.0000000000000007E-2</v>
      </c>
      <c r="H81" s="713">
        <f t="shared" si="26"/>
        <v>6.0000000000000005E-2</v>
      </c>
      <c r="I81" s="713">
        <f t="shared" si="30"/>
        <v>4.9499999999999904</v>
      </c>
      <c r="J81" s="713">
        <f t="shared" si="30"/>
        <v>4.9999999999999902</v>
      </c>
      <c r="K81" s="713">
        <f t="shared" si="31"/>
        <v>0.77000000000000046</v>
      </c>
      <c r="L81" s="697"/>
      <c r="M81" s="697"/>
      <c r="N81" s="697"/>
      <c r="O81" s="697"/>
      <c r="P81" s="697"/>
      <c r="Q81" s="697"/>
      <c r="R81" s="697"/>
      <c r="S81" s="697"/>
      <c r="T81" s="697"/>
      <c r="U81" s="697"/>
      <c r="V81" s="697"/>
      <c r="W81" s="697"/>
      <c r="X81" s="697"/>
      <c r="Y81" s="697"/>
      <c r="Z81" s="697"/>
      <c r="AA81" s="697"/>
      <c r="AB81" s="697"/>
      <c r="AC81" s="697"/>
      <c r="AD81" s="697"/>
      <c r="AE81" s="697"/>
      <c r="AF81" s="697"/>
      <c r="AG81" s="697"/>
      <c r="AH81" s="697"/>
      <c r="AI81" s="697"/>
      <c r="AJ81" s="697"/>
      <c r="AK81" s="697"/>
      <c r="AL81" s="697"/>
      <c r="AM81" s="697"/>
      <c r="AN81" s="697"/>
      <c r="AO81" s="697"/>
      <c r="AP81" s="697"/>
      <c r="AQ81" s="697"/>
      <c r="AR81" s="697"/>
      <c r="AS81" s="697"/>
      <c r="AT81" s="697"/>
      <c r="AU81" s="697"/>
      <c r="AV81" s="697"/>
      <c r="AW81" s="697"/>
      <c r="AX81" s="697"/>
      <c r="AY81" s="697"/>
      <c r="AZ81" s="697"/>
      <c r="BA81" s="697"/>
      <c r="BB81" s="697"/>
      <c r="BC81" s="697"/>
      <c r="BD81" s="697"/>
      <c r="BE81" s="697"/>
      <c r="BF81" s="697"/>
      <c r="BG81" s="697"/>
      <c r="BH81" s="697"/>
      <c r="BI81" s="697"/>
      <c r="BJ81" s="697"/>
      <c r="BK81" s="697"/>
      <c r="BL81" s="697"/>
      <c r="BM81" s="697"/>
      <c r="BN81" s="697"/>
      <c r="BO81" s="697"/>
      <c r="BP81" s="697"/>
      <c r="BQ81" s="697"/>
      <c r="BR81" s="697"/>
      <c r="BS81" s="697"/>
      <c r="BT81" s="697"/>
      <c r="BU81" s="697"/>
      <c r="BV81" s="697"/>
      <c r="BW81" s="697"/>
      <c r="BX81" s="697"/>
      <c r="BY81" s="697"/>
      <c r="BZ81" s="697"/>
      <c r="CA81" s="697"/>
      <c r="CB81" s="697"/>
      <c r="CC81" s="697"/>
      <c r="CD81" s="697"/>
      <c r="CE81" s="697"/>
      <c r="CF81" s="697"/>
      <c r="CG81" s="697"/>
      <c r="CH81" s="697"/>
      <c r="CI81" s="697"/>
      <c r="CJ81" s="697"/>
      <c r="CK81" s="697"/>
      <c r="CL81" s="697"/>
      <c r="CM81" s="697"/>
      <c r="CN81" s="697"/>
      <c r="CO81" s="697"/>
      <c r="CP81" s="697"/>
      <c r="CQ81" s="697"/>
      <c r="CR81" s="697"/>
      <c r="CS81" s="697"/>
      <c r="CT81" s="697"/>
      <c r="CU81" s="697"/>
      <c r="CV81" s="697"/>
      <c r="CW81" s="697"/>
      <c r="CX81" s="697"/>
      <c r="CY81" s="697"/>
      <c r="CZ81" s="697"/>
      <c r="DA81" s="697"/>
    </row>
    <row r="82" spans="1:105" hidden="1" outlineLevel="1" x14ac:dyDescent="0.2">
      <c r="A82" s="709">
        <f t="shared" si="27"/>
        <v>37043</v>
      </c>
      <c r="B82" s="709" t="str">
        <f t="shared" si="24"/>
        <v>2Q01</v>
      </c>
      <c r="C82" s="709" t="str">
        <f t="shared" si="28"/>
        <v>3Q01</v>
      </c>
      <c r="D82" s="710">
        <f t="shared" si="29"/>
        <v>37127</v>
      </c>
      <c r="E82" s="710">
        <f t="shared" si="29"/>
        <v>37067</v>
      </c>
      <c r="F82" s="712">
        <v>1.4469999999999998</v>
      </c>
      <c r="G82" s="713">
        <f t="shared" si="25"/>
        <v>6.0000000000000005E-2</v>
      </c>
      <c r="H82" s="713">
        <f t="shared" si="26"/>
        <v>6.0000000000000005E-2</v>
      </c>
      <c r="I82" s="713">
        <f t="shared" si="30"/>
        <v>4.9999999999999902</v>
      </c>
      <c r="J82" s="713">
        <f t="shared" si="30"/>
        <v>5.0499999999999901</v>
      </c>
      <c r="K82" s="713">
        <f t="shared" si="31"/>
        <v>0.78000000000000047</v>
      </c>
      <c r="L82" s="697"/>
      <c r="M82" s="697"/>
      <c r="N82" s="697"/>
      <c r="O82" s="697"/>
      <c r="P82" s="697"/>
      <c r="Q82" s="697"/>
      <c r="R82" s="697"/>
      <c r="S82" s="697"/>
      <c r="T82" s="697"/>
      <c r="U82" s="697"/>
      <c r="V82" s="697"/>
      <c r="W82" s="697"/>
      <c r="X82" s="697"/>
      <c r="Y82" s="697"/>
      <c r="Z82" s="697"/>
      <c r="AA82" s="697"/>
      <c r="AB82" s="697"/>
      <c r="AC82" s="697"/>
      <c r="AD82" s="697"/>
      <c r="AE82" s="697"/>
      <c r="AF82" s="697"/>
      <c r="AG82" s="697"/>
      <c r="AH82" s="697"/>
      <c r="AI82" s="697"/>
      <c r="AJ82" s="697"/>
      <c r="AK82" s="697"/>
      <c r="AL82" s="697"/>
      <c r="AM82" s="697"/>
      <c r="AN82" s="697"/>
      <c r="AO82" s="697"/>
      <c r="AP82" s="697"/>
      <c r="AQ82" s="697"/>
      <c r="AR82" s="697"/>
      <c r="AS82" s="697"/>
      <c r="AT82" s="697"/>
      <c r="AU82" s="697"/>
      <c r="AV82" s="697"/>
      <c r="AW82" s="697"/>
      <c r="AX82" s="697"/>
      <c r="AY82" s="697"/>
      <c r="AZ82" s="697"/>
      <c r="BA82" s="697"/>
      <c r="BB82" s="697"/>
      <c r="BC82" s="697"/>
      <c r="BD82" s="697"/>
      <c r="BE82" s="697"/>
      <c r="BF82" s="697"/>
      <c r="BG82" s="697"/>
      <c r="BH82" s="697"/>
      <c r="BI82" s="697"/>
      <c r="BJ82" s="697"/>
      <c r="BK82" s="697"/>
      <c r="BL82" s="697"/>
      <c r="BM82" s="697"/>
      <c r="BN82" s="697"/>
      <c r="BO82" s="697"/>
      <c r="BP82" s="697"/>
      <c r="BQ82" s="697"/>
      <c r="BR82" s="697"/>
      <c r="BS82" s="697"/>
      <c r="BT82" s="697"/>
      <c r="BU82" s="697"/>
      <c r="BV82" s="697"/>
      <c r="BW82" s="697"/>
      <c r="BX82" s="697"/>
      <c r="BY82" s="697"/>
      <c r="BZ82" s="697"/>
      <c r="CA82" s="697"/>
      <c r="CB82" s="697"/>
      <c r="CC82" s="697"/>
      <c r="CD82" s="697"/>
      <c r="CE82" s="697"/>
      <c r="CF82" s="697"/>
      <c r="CG82" s="697"/>
      <c r="CH82" s="697"/>
      <c r="CI82" s="697"/>
      <c r="CJ82" s="697"/>
      <c r="CK82" s="697"/>
      <c r="CL82" s="697"/>
      <c r="CM82" s="697"/>
      <c r="CN82" s="697"/>
      <c r="CO82" s="697"/>
      <c r="CP82" s="697"/>
      <c r="CQ82" s="697"/>
      <c r="CR82" s="697"/>
      <c r="CS82" s="697"/>
      <c r="CT82" s="697"/>
      <c r="CU82" s="697"/>
      <c r="CV82" s="697"/>
      <c r="CW82" s="697"/>
      <c r="CX82" s="697"/>
      <c r="CY82" s="697"/>
      <c r="CZ82" s="697"/>
      <c r="DA82" s="697"/>
    </row>
    <row r="83" spans="1:105" hidden="1" outlineLevel="1" x14ac:dyDescent="0.2">
      <c r="A83" s="709">
        <f t="shared" si="27"/>
        <v>37073</v>
      </c>
      <c r="B83" s="709" t="str">
        <f t="shared" si="24"/>
        <v>3Q01</v>
      </c>
      <c r="C83" s="709" t="str">
        <f t="shared" si="28"/>
        <v>3Q01</v>
      </c>
      <c r="D83" s="710">
        <f t="shared" si="29"/>
        <v>37134</v>
      </c>
      <c r="E83" s="710">
        <f t="shared" si="29"/>
        <v>37074</v>
      </c>
      <c r="F83" s="712">
        <v>1.4069999999999998</v>
      </c>
      <c r="G83" s="713">
        <f t="shared" si="25"/>
        <v>6.0000000000000005E-2</v>
      </c>
      <c r="H83" s="713">
        <f t="shared" si="26"/>
        <v>0.05</v>
      </c>
      <c r="I83" s="713">
        <f t="shared" si="30"/>
        <v>5.0499999999999901</v>
      </c>
      <c r="J83" s="713">
        <f t="shared" si="30"/>
        <v>5.0999999999999899</v>
      </c>
      <c r="K83" s="713">
        <f t="shared" si="31"/>
        <v>0.79000000000000048</v>
      </c>
      <c r="L83" s="697"/>
      <c r="M83" s="697"/>
      <c r="N83" s="697"/>
      <c r="O83" s="697"/>
      <c r="P83" s="697"/>
      <c r="Q83" s="697"/>
      <c r="R83" s="697"/>
      <c r="S83" s="697"/>
      <c r="T83" s="697"/>
      <c r="U83" s="697"/>
      <c r="V83" s="697"/>
      <c r="W83" s="697"/>
      <c r="X83" s="697"/>
      <c r="Y83" s="697"/>
      <c r="Z83" s="697"/>
      <c r="AA83" s="697"/>
      <c r="AB83" s="697"/>
      <c r="AC83" s="697"/>
      <c r="AD83" s="697"/>
      <c r="AE83" s="697"/>
      <c r="AF83" s="697"/>
      <c r="AG83" s="697"/>
      <c r="AH83" s="697"/>
      <c r="AI83" s="697"/>
      <c r="AJ83" s="697"/>
      <c r="AK83" s="697"/>
      <c r="AL83" s="697"/>
      <c r="AM83" s="697"/>
      <c r="AN83" s="697"/>
      <c r="AO83" s="697"/>
      <c r="AP83" s="697"/>
      <c r="AQ83" s="697"/>
      <c r="AR83" s="697"/>
      <c r="AS83" s="697"/>
      <c r="AT83" s="697"/>
      <c r="AU83" s="697"/>
      <c r="AV83" s="697"/>
      <c r="AW83" s="697"/>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697"/>
      <c r="BU83" s="697"/>
      <c r="BV83" s="697"/>
      <c r="BW83" s="697"/>
      <c r="BX83" s="697"/>
      <c r="BY83" s="697"/>
      <c r="BZ83" s="697"/>
      <c r="CA83" s="697"/>
      <c r="CB83" s="697"/>
      <c r="CC83" s="697"/>
      <c r="CD83" s="697"/>
      <c r="CE83" s="697"/>
      <c r="CF83" s="697"/>
      <c r="CG83" s="697"/>
      <c r="CH83" s="697"/>
      <c r="CI83" s="697"/>
      <c r="CJ83" s="697"/>
      <c r="CK83" s="697"/>
      <c r="CL83" s="697"/>
      <c r="CM83" s="697"/>
      <c r="CN83" s="697"/>
      <c r="CO83" s="697"/>
      <c r="CP83" s="697"/>
      <c r="CQ83" s="697"/>
      <c r="CR83" s="697"/>
      <c r="CS83" s="697"/>
      <c r="CT83" s="697"/>
      <c r="CU83" s="697"/>
      <c r="CV83" s="697"/>
      <c r="CW83" s="697"/>
      <c r="CX83" s="697"/>
      <c r="CY83" s="697"/>
      <c r="CZ83" s="697"/>
      <c r="DA83" s="697"/>
    </row>
    <row r="84" spans="1:105" hidden="1" outlineLevel="1" x14ac:dyDescent="0.2">
      <c r="A84" s="709">
        <f t="shared" si="27"/>
        <v>37073</v>
      </c>
      <c r="B84" s="709" t="str">
        <f t="shared" si="24"/>
        <v>3Q01</v>
      </c>
      <c r="C84" s="709" t="str">
        <f t="shared" si="28"/>
        <v>3Q01</v>
      </c>
      <c r="D84" s="710">
        <f t="shared" si="29"/>
        <v>37141</v>
      </c>
      <c r="E84" s="710">
        <f t="shared" si="29"/>
        <v>37081</v>
      </c>
      <c r="F84" s="712">
        <v>1.3919999999999999</v>
      </c>
      <c r="G84" s="713">
        <f t="shared" si="25"/>
        <v>0.05</v>
      </c>
      <c r="H84" s="713">
        <f t="shared" si="26"/>
        <v>0.05</v>
      </c>
      <c r="I84" s="713">
        <f t="shared" si="30"/>
        <v>5.0999999999999899</v>
      </c>
      <c r="J84" s="713">
        <f t="shared" si="30"/>
        <v>5.1499999999999897</v>
      </c>
      <c r="K84" s="713">
        <f t="shared" si="31"/>
        <v>0.80000000000000049</v>
      </c>
      <c r="L84" s="697"/>
      <c r="M84" s="697"/>
      <c r="N84" s="697"/>
      <c r="O84" s="697"/>
      <c r="P84" s="697"/>
      <c r="Q84" s="697"/>
      <c r="R84" s="697"/>
      <c r="S84" s="697"/>
      <c r="T84" s="697"/>
      <c r="U84" s="697"/>
      <c r="V84" s="697"/>
      <c r="W84" s="697"/>
      <c r="X84" s="697"/>
      <c r="Y84" s="697"/>
      <c r="Z84" s="697"/>
      <c r="AA84" s="697"/>
      <c r="AB84" s="697"/>
      <c r="AC84" s="697"/>
      <c r="AD84" s="697"/>
      <c r="AE84" s="697"/>
      <c r="AF84" s="697"/>
      <c r="AG84" s="697"/>
      <c r="AH84" s="697"/>
      <c r="AI84" s="697"/>
      <c r="AJ84" s="697"/>
      <c r="AK84" s="697"/>
      <c r="AL84" s="697"/>
      <c r="AM84" s="697"/>
      <c r="AN84" s="697"/>
      <c r="AO84" s="697"/>
      <c r="AP84" s="697"/>
      <c r="AQ84" s="697"/>
      <c r="AR84" s="697"/>
      <c r="AS84" s="697"/>
      <c r="AT84" s="697"/>
      <c r="AU84" s="697"/>
      <c r="AV84" s="697"/>
      <c r="AW84" s="697"/>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697"/>
      <c r="BU84" s="697"/>
      <c r="BV84" s="697"/>
      <c r="BW84" s="697"/>
      <c r="BX84" s="697"/>
      <c r="BY84" s="697"/>
      <c r="BZ84" s="697"/>
      <c r="CA84" s="697"/>
      <c r="CB84" s="697"/>
      <c r="CC84" s="697"/>
      <c r="CD84" s="697"/>
      <c r="CE84" s="697"/>
      <c r="CF84" s="697"/>
      <c r="CG84" s="697"/>
      <c r="CH84" s="697"/>
      <c r="CI84" s="697"/>
      <c r="CJ84" s="697"/>
      <c r="CK84" s="697"/>
      <c r="CL84" s="697"/>
      <c r="CM84" s="697"/>
      <c r="CN84" s="697"/>
      <c r="CO84" s="697"/>
      <c r="CP84" s="697"/>
      <c r="CQ84" s="697"/>
      <c r="CR84" s="697"/>
      <c r="CS84" s="697"/>
      <c r="CT84" s="697"/>
      <c r="CU84" s="697"/>
      <c r="CV84" s="697"/>
      <c r="CW84" s="697"/>
      <c r="CX84" s="697"/>
      <c r="CY84" s="697"/>
      <c r="CZ84" s="697"/>
      <c r="DA84" s="697"/>
    </row>
    <row r="85" spans="1:105" hidden="1" outlineLevel="1" x14ac:dyDescent="0.2">
      <c r="A85" s="709">
        <f t="shared" si="27"/>
        <v>37073</v>
      </c>
      <c r="B85" s="709" t="str">
        <f t="shared" si="24"/>
        <v>3Q01</v>
      </c>
      <c r="C85" s="709" t="str">
        <f t="shared" si="28"/>
        <v>3Q01</v>
      </c>
      <c r="D85" s="710">
        <f t="shared" ref="D85:E100" si="32">D84+7</f>
        <v>37148</v>
      </c>
      <c r="E85" s="710">
        <f t="shared" si="32"/>
        <v>37088</v>
      </c>
      <c r="F85" s="712">
        <v>1.38</v>
      </c>
      <c r="G85" s="713">
        <f t="shared" si="25"/>
        <v>0.05</v>
      </c>
      <c r="H85" s="713">
        <f t="shared" si="26"/>
        <v>0.04</v>
      </c>
      <c r="I85" s="713">
        <f t="shared" si="30"/>
        <v>5.1499999999999897</v>
      </c>
      <c r="J85" s="713">
        <f t="shared" si="30"/>
        <v>5.1999999999999895</v>
      </c>
      <c r="K85" s="713">
        <f t="shared" si="31"/>
        <v>0.8100000000000005</v>
      </c>
      <c r="L85" s="697"/>
      <c r="M85" s="697"/>
      <c r="N85" s="697"/>
      <c r="O85" s="697"/>
      <c r="P85" s="697"/>
      <c r="Q85" s="697"/>
      <c r="R85" s="697"/>
      <c r="S85" s="697"/>
      <c r="T85" s="697"/>
      <c r="U85" s="697"/>
      <c r="V85" s="697"/>
      <c r="W85" s="697"/>
      <c r="X85" s="697"/>
      <c r="Y85" s="697"/>
      <c r="Z85" s="697"/>
      <c r="AA85" s="697"/>
      <c r="AB85" s="697"/>
      <c r="AC85" s="697"/>
      <c r="AD85" s="697"/>
      <c r="AE85" s="697"/>
      <c r="AF85" s="697"/>
      <c r="AG85" s="697"/>
      <c r="AH85" s="697"/>
      <c r="AI85" s="697"/>
      <c r="AJ85" s="697"/>
      <c r="AK85" s="697"/>
      <c r="AL85" s="697"/>
      <c r="AM85" s="697"/>
      <c r="AN85" s="697"/>
      <c r="AO85" s="697"/>
      <c r="AP85" s="697"/>
      <c r="AQ85" s="697"/>
      <c r="AR85" s="697"/>
      <c r="AS85" s="697"/>
      <c r="AT85" s="697"/>
      <c r="AU85" s="697"/>
      <c r="AV85" s="697"/>
      <c r="AW85" s="697"/>
      <c r="AX85" s="697"/>
      <c r="AY85" s="697"/>
      <c r="AZ85" s="697"/>
      <c r="BA85" s="697"/>
      <c r="BB85" s="697"/>
      <c r="BC85" s="697"/>
      <c r="BD85" s="697"/>
      <c r="BE85" s="697"/>
      <c r="BF85" s="697"/>
      <c r="BG85" s="697"/>
      <c r="BH85" s="697"/>
      <c r="BI85" s="697"/>
      <c r="BJ85" s="697"/>
      <c r="BK85" s="697"/>
      <c r="BL85" s="697"/>
      <c r="BM85" s="697"/>
      <c r="BN85" s="697"/>
      <c r="BO85" s="697"/>
      <c r="BP85" s="697"/>
      <c r="BQ85" s="697"/>
      <c r="BR85" s="697"/>
      <c r="BS85" s="697"/>
      <c r="BT85" s="697"/>
      <c r="BU85" s="697"/>
      <c r="BV85" s="697"/>
      <c r="BW85" s="697"/>
      <c r="BX85" s="697"/>
      <c r="BY85" s="697"/>
      <c r="BZ85" s="697"/>
      <c r="CA85" s="697"/>
      <c r="CB85" s="697"/>
      <c r="CC85" s="697"/>
      <c r="CD85" s="697"/>
      <c r="CE85" s="697"/>
      <c r="CF85" s="697"/>
      <c r="CG85" s="697"/>
      <c r="CH85" s="697"/>
      <c r="CI85" s="697"/>
      <c r="CJ85" s="697"/>
      <c r="CK85" s="697"/>
      <c r="CL85" s="697"/>
      <c r="CM85" s="697"/>
      <c r="CN85" s="697"/>
      <c r="CO85" s="697"/>
      <c r="CP85" s="697"/>
      <c r="CQ85" s="697"/>
      <c r="CR85" s="697"/>
      <c r="CS85" s="697"/>
      <c r="CT85" s="697"/>
      <c r="CU85" s="697"/>
      <c r="CV85" s="697"/>
      <c r="CW85" s="697"/>
      <c r="CX85" s="697"/>
      <c r="CY85" s="697"/>
      <c r="CZ85" s="697"/>
      <c r="DA85" s="697"/>
    </row>
    <row r="86" spans="1:105" hidden="1" outlineLevel="1" x14ac:dyDescent="0.2">
      <c r="A86" s="709">
        <f t="shared" si="27"/>
        <v>37073</v>
      </c>
      <c r="B86" s="709" t="str">
        <f t="shared" si="24"/>
        <v>3Q01</v>
      </c>
      <c r="C86" s="709" t="str">
        <f t="shared" si="28"/>
        <v>3Q01</v>
      </c>
      <c r="D86" s="710">
        <f t="shared" si="32"/>
        <v>37155</v>
      </c>
      <c r="E86" s="710">
        <f t="shared" si="32"/>
        <v>37095</v>
      </c>
      <c r="F86" s="712">
        <v>1.3480000000000001</v>
      </c>
      <c r="G86" s="713">
        <f t="shared" si="25"/>
        <v>0.04</v>
      </c>
      <c r="H86" s="713">
        <f t="shared" si="26"/>
        <v>0.04</v>
      </c>
      <c r="I86" s="713">
        <f t="shared" ref="I86:J101" si="33">I85+0.05</f>
        <v>5.1999999999999895</v>
      </c>
      <c r="J86" s="713">
        <f t="shared" si="33"/>
        <v>5.2499999999999893</v>
      </c>
      <c r="K86" s="713">
        <f t="shared" si="31"/>
        <v>0.82000000000000051</v>
      </c>
      <c r="L86" s="697"/>
      <c r="M86" s="697"/>
      <c r="N86" s="697"/>
      <c r="O86" s="697"/>
      <c r="P86" s="697"/>
      <c r="Q86" s="697"/>
      <c r="R86" s="697"/>
      <c r="S86" s="697"/>
      <c r="T86" s="697"/>
      <c r="U86" s="697"/>
      <c r="V86" s="697"/>
      <c r="W86" s="697"/>
      <c r="X86" s="697"/>
      <c r="Y86" s="697"/>
      <c r="Z86" s="697"/>
      <c r="AA86" s="697"/>
      <c r="AB86" s="697"/>
      <c r="AC86" s="697"/>
      <c r="AD86" s="697"/>
      <c r="AE86" s="697"/>
      <c r="AF86" s="697"/>
      <c r="AG86" s="697"/>
      <c r="AH86" s="697"/>
      <c r="AI86" s="697"/>
      <c r="AJ86" s="697"/>
      <c r="AK86" s="697"/>
      <c r="AL86" s="697"/>
      <c r="AM86" s="697"/>
      <c r="AN86" s="697"/>
      <c r="AO86" s="697"/>
      <c r="AP86" s="697"/>
      <c r="AQ86" s="697"/>
      <c r="AR86" s="697"/>
      <c r="AS86" s="697"/>
      <c r="AT86" s="697"/>
      <c r="AU86" s="697"/>
      <c r="AV86" s="697"/>
      <c r="AW86" s="697"/>
      <c r="AX86" s="697"/>
      <c r="AY86" s="697"/>
      <c r="AZ86" s="697"/>
      <c r="BA86" s="697"/>
      <c r="BB86" s="697"/>
      <c r="BC86" s="697"/>
      <c r="BD86" s="697"/>
      <c r="BE86" s="697"/>
      <c r="BF86" s="697"/>
      <c r="BG86" s="697"/>
      <c r="BH86" s="697"/>
      <c r="BI86" s="697"/>
      <c r="BJ86" s="697"/>
      <c r="BK86" s="697"/>
      <c r="BL86" s="697"/>
      <c r="BM86" s="697"/>
      <c r="BN86" s="697"/>
      <c r="BO86" s="697"/>
      <c r="BP86" s="697"/>
      <c r="BQ86" s="697"/>
      <c r="BR86" s="697"/>
      <c r="BS86" s="697"/>
      <c r="BT86" s="697"/>
      <c r="BU86" s="697"/>
      <c r="BV86" s="697"/>
      <c r="BW86" s="697"/>
      <c r="BX86" s="697"/>
      <c r="BY86" s="697"/>
      <c r="BZ86" s="697"/>
      <c r="CA86" s="697"/>
      <c r="CB86" s="697"/>
      <c r="CC86" s="697"/>
      <c r="CD86" s="697"/>
      <c r="CE86" s="697"/>
      <c r="CF86" s="697"/>
      <c r="CG86" s="697"/>
      <c r="CH86" s="697"/>
      <c r="CI86" s="697"/>
      <c r="CJ86" s="697"/>
      <c r="CK86" s="697"/>
      <c r="CL86" s="697"/>
      <c r="CM86" s="697"/>
      <c r="CN86" s="697"/>
      <c r="CO86" s="697"/>
      <c r="CP86" s="697"/>
      <c r="CQ86" s="697"/>
      <c r="CR86" s="697"/>
      <c r="CS86" s="697"/>
      <c r="CT86" s="697"/>
      <c r="CU86" s="697"/>
      <c r="CV86" s="697"/>
      <c r="CW86" s="697"/>
      <c r="CX86" s="697"/>
      <c r="CY86" s="697"/>
      <c r="CZ86" s="697"/>
      <c r="DA86" s="697"/>
    </row>
    <row r="87" spans="1:105" hidden="1" outlineLevel="1" x14ac:dyDescent="0.2">
      <c r="A87" s="709">
        <f t="shared" si="27"/>
        <v>37073</v>
      </c>
      <c r="B87" s="709" t="str">
        <f t="shared" si="24"/>
        <v>3Q01</v>
      </c>
      <c r="C87" s="709" t="str">
        <f t="shared" si="28"/>
        <v>3Q01</v>
      </c>
      <c r="D87" s="710">
        <f t="shared" si="32"/>
        <v>37162</v>
      </c>
      <c r="E87" s="710">
        <f t="shared" si="32"/>
        <v>37102</v>
      </c>
      <c r="F87" s="712">
        <v>1.347</v>
      </c>
      <c r="G87" s="713">
        <f t="shared" si="25"/>
        <v>0.04</v>
      </c>
      <c r="H87" s="713">
        <f t="shared" si="26"/>
        <v>0.04</v>
      </c>
      <c r="I87" s="713">
        <f t="shared" si="33"/>
        <v>5.2499999999999893</v>
      </c>
      <c r="J87" s="713">
        <f t="shared" si="33"/>
        <v>5.2999999999999892</v>
      </c>
      <c r="K87" s="713">
        <f t="shared" si="31"/>
        <v>0.83000000000000052</v>
      </c>
      <c r="L87" s="697"/>
      <c r="M87" s="697"/>
      <c r="N87" s="697"/>
      <c r="O87" s="697"/>
      <c r="P87" s="697"/>
      <c r="Q87" s="697"/>
      <c r="R87" s="697"/>
      <c r="S87" s="697"/>
      <c r="T87" s="697"/>
      <c r="U87" s="697"/>
      <c r="V87" s="697"/>
      <c r="W87" s="697"/>
      <c r="X87" s="697"/>
      <c r="Y87" s="697"/>
      <c r="Z87" s="697"/>
      <c r="AA87" s="697"/>
      <c r="AB87" s="697"/>
      <c r="AC87" s="697"/>
      <c r="AD87" s="697"/>
      <c r="AE87" s="697"/>
      <c r="AF87" s="697"/>
      <c r="AG87" s="697"/>
      <c r="AH87" s="697"/>
      <c r="AI87" s="697"/>
      <c r="AJ87" s="697"/>
      <c r="AK87" s="697"/>
      <c r="AL87" s="697"/>
      <c r="AM87" s="697"/>
      <c r="AN87" s="697"/>
      <c r="AO87" s="697"/>
      <c r="AP87" s="697"/>
      <c r="AQ87" s="697"/>
      <c r="AR87" s="697"/>
      <c r="AS87" s="697"/>
      <c r="AT87" s="697"/>
      <c r="AU87" s="697"/>
      <c r="AV87" s="697"/>
      <c r="AW87" s="697"/>
      <c r="AX87" s="697"/>
      <c r="AY87" s="697"/>
      <c r="AZ87" s="697"/>
      <c r="BA87" s="697"/>
      <c r="BB87" s="697"/>
      <c r="BC87" s="697"/>
      <c r="BD87" s="697"/>
      <c r="BE87" s="697"/>
      <c r="BF87" s="697"/>
      <c r="BG87" s="697"/>
      <c r="BH87" s="697"/>
      <c r="BI87" s="697"/>
      <c r="BJ87" s="697"/>
      <c r="BK87" s="697"/>
      <c r="BL87" s="697"/>
      <c r="BM87" s="697"/>
      <c r="BN87" s="697"/>
      <c r="BO87" s="697"/>
      <c r="BP87" s="697"/>
      <c r="BQ87" s="697"/>
      <c r="BR87" s="697"/>
      <c r="BS87" s="697"/>
      <c r="BT87" s="697"/>
      <c r="BU87" s="697"/>
      <c r="BV87" s="697"/>
      <c r="BW87" s="697"/>
      <c r="BX87" s="697"/>
      <c r="BY87" s="697"/>
      <c r="BZ87" s="697"/>
      <c r="CA87" s="697"/>
      <c r="CB87" s="697"/>
      <c r="CC87" s="697"/>
      <c r="CD87" s="697"/>
      <c r="CE87" s="697"/>
      <c r="CF87" s="697"/>
      <c r="CG87" s="697"/>
      <c r="CH87" s="697"/>
      <c r="CI87" s="697"/>
      <c r="CJ87" s="697"/>
      <c r="CK87" s="697"/>
      <c r="CL87" s="697"/>
      <c r="CM87" s="697"/>
      <c r="CN87" s="697"/>
      <c r="CO87" s="697"/>
      <c r="CP87" s="697"/>
      <c r="CQ87" s="697"/>
      <c r="CR87" s="697"/>
      <c r="CS87" s="697"/>
      <c r="CT87" s="697"/>
      <c r="CU87" s="697"/>
      <c r="CV87" s="697"/>
      <c r="CW87" s="697"/>
      <c r="CX87" s="697"/>
      <c r="CY87" s="697"/>
      <c r="CZ87" s="697"/>
      <c r="DA87" s="697"/>
    </row>
    <row r="88" spans="1:105" hidden="1" outlineLevel="1" x14ac:dyDescent="0.2">
      <c r="A88" s="709">
        <f t="shared" si="27"/>
        <v>37104</v>
      </c>
      <c r="B88" s="709" t="str">
        <f t="shared" si="24"/>
        <v>3Q01</v>
      </c>
      <c r="C88" s="709" t="str">
        <f t="shared" si="28"/>
        <v>4Q01</v>
      </c>
      <c r="D88" s="710">
        <f t="shared" si="32"/>
        <v>37169</v>
      </c>
      <c r="E88" s="710">
        <f t="shared" si="32"/>
        <v>37109</v>
      </c>
      <c r="F88" s="712">
        <v>1.345</v>
      </c>
      <c r="G88" s="713">
        <f t="shared" si="25"/>
        <v>0.04</v>
      </c>
      <c r="H88" s="713">
        <f t="shared" si="26"/>
        <v>0.05</v>
      </c>
      <c r="I88" s="713">
        <f t="shared" si="33"/>
        <v>5.2999999999999892</v>
      </c>
      <c r="J88" s="713">
        <f t="shared" si="33"/>
        <v>5.349999999999989</v>
      </c>
      <c r="K88" s="713">
        <f t="shared" si="31"/>
        <v>0.84000000000000052</v>
      </c>
      <c r="L88" s="697"/>
      <c r="M88" s="697"/>
      <c r="N88" s="697"/>
      <c r="O88" s="697"/>
      <c r="P88" s="697"/>
      <c r="Q88" s="697"/>
      <c r="R88" s="697"/>
      <c r="S88" s="697"/>
      <c r="T88" s="697"/>
      <c r="U88" s="697"/>
      <c r="V88" s="697"/>
      <c r="W88" s="697"/>
      <c r="X88" s="697"/>
      <c r="Y88" s="697"/>
      <c r="Z88" s="697"/>
      <c r="AA88" s="697"/>
      <c r="AB88" s="697"/>
      <c r="AC88" s="697"/>
      <c r="AD88" s="697"/>
      <c r="AE88" s="697"/>
      <c r="AF88" s="697"/>
      <c r="AG88" s="697"/>
      <c r="AH88" s="697"/>
      <c r="AI88" s="697"/>
      <c r="AJ88" s="697"/>
      <c r="AK88" s="697"/>
      <c r="AL88" s="697"/>
      <c r="AM88" s="697"/>
      <c r="AN88" s="697"/>
      <c r="AO88" s="697"/>
      <c r="AP88" s="697"/>
      <c r="AQ88" s="697"/>
      <c r="AR88" s="697"/>
      <c r="AS88" s="697"/>
      <c r="AT88" s="697"/>
      <c r="AU88" s="697"/>
      <c r="AV88" s="697"/>
      <c r="AW88" s="697"/>
      <c r="AX88" s="697"/>
      <c r="AY88" s="697"/>
      <c r="AZ88" s="697"/>
      <c r="BA88" s="697"/>
      <c r="BB88" s="697"/>
      <c r="BC88" s="697"/>
      <c r="BD88" s="697"/>
      <c r="BE88" s="697"/>
      <c r="BF88" s="697"/>
      <c r="BG88" s="697"/>
      <c r="BH88" s="697"/>
      <c r="BI88" s="697"/>
      <c r="BJ88" s="697"/>
      <c r="BK88" s="697"/>
      <c r="BL88" s="697"/>
      <c r="BM88" s="697"/>
      <c r="BN88" s="697"/>
      <c r="BO88" s="697"/>
      <c r="BP88" s="697"/>
      <c r="BQ88" s="697"/>
      <c r="BR88" s="697"/>
      <c r="BS88" s="697"/>
      <c r="BT88" s="697"/>
      <c r="BU88" s="697"/>
      <c r="BV88" s="697"/>
      <c r="BW88" s="697"/>
      <c r="BX88" s="697"/>
      <c r="BY88" s="697"/>
      <c r="BZ88" s="697"/>
      <c r="CA88" s="697"/>
      <c r="CB88" s="697"/>
      <c r="CC88" s="697"/>
      <c r="CD88" s="697"/>
      <c r="CE88" s="697"/>
      <c r="CF88" s="697"/>
      <c r="CG88" s="697"/>
      <c r="CH88" s="697"/>
      <c r="CI88" s="697"/>
      <c r="CJ88" s="697"/>
      <c r="CK88" s="697"/>
      <c r="CL88" s="697"/>
      <c r="CM88" s="697"/>
      <c r="CN88" s="697"/>
      <c r="CO88" s="697"/>
      <c r="CP88" s="697"/>
      <c r="CQ88" s="697"/>
      <c r="CR88" s="697"/>
      <c r="CS88" s="697"/>
      <c r="CT88" s="697"/>
      <c r="CU88" s="697"/>
      <c r="CV88" s="697"/>
      <c r="CW88" s="697"/>
      <c r="CX88" s="697"/>
      <c r="CY88" s="697"/>
      <c r="CZ88" s="697"/>
      <c r="DA88" s="697"/>
    </row>
    <row r="89" spans="1:105" hidden="1" outlineLevel="1" x14ac:dyDescent="0.2">
      <c r="A89" s="709">
        <f t="shared" si="27"/>
        <v>37104</v>
      </c>
      <c r="B89" s="709" t="str">
        <f t="shared" si="24"/>
        <v>3Q01</v>
      </c>
      <c r="C89" s="709" t="str">
        <f t="shared" si="28"/>
        <v>4Q01</v>
      </c>
      <c r="D89" s="710">
        <f t="shared" si="32"/>
        <v>37176</v>
      </c>
      <c r="E89" s="710">
        <f t="shared" si="32"/>
        <v>37116</v>
      </c>
      <c r="F89" s="712">
        <v>1.367</v>
      </c>
      <c r="G89" s="713">
        <f t="shared" si="25"/>
        <v>0.05</v>
      </c>
      <c r="H89" s="713">
        <f t="shared" si="26"/>
        <v>0.05</v>
      </c>
      <c r="I89" s="713">
        <f t="shared" si="33"/>
        <v>5.349999999999989</v>
      </c>
      <c r="J89" s="713">
        <f t="shared" si="33"/>
        <v>5.3999999999999888</v>
      </c>
      <c r="K89" s="713">
        <f t="shared" si="31"/>
        <v>0.85000000000000053</v>
      </c>
      <c r="L89" s="697"/>
      <c r="M89" s="697"/>
      <c r="N89" s="697"/>
      <c r="O89" s="697"/>
      <c r="P89" s="697"/>
      <c r="Q89" s="697"/>
      <c r="R89" s="697"/>
      <c r="S89" s="697"/>
      <c r="T89" s="697"/>
      <c r="U89" s="697"/>
      <c r="V89" s="697"/>
      <c r="W89" s="697"/>
      <c r="X89" s="697"/>
      <c r="Y89" s="697"/>
      <c r="Z89" s="697"/>
      <c r="AA89" s="697"/>
      <c r="AB89" s="697"/>
      <c r="AC89" s="697"/>
      <c r="AD89" s="697"/>
      <c r="AE89" s="697"/>
      <c r="AF89" s="697"/>
      <c r="AG89" s="697"/>
      <c r="AH89" s="697"/>
      <c r="AI89" s="697"/>
      <c r="AJ89" s="697"/>
      <c r="AK89" s="697"/>
      <c r="AL89" s="697"/>
      <c r="AM89" s="697"/>
      <c r="AN89" s="697"/>
      <c r="AO89" s="697"/>
      <c r="AP89" s="697"/>
      <c r="AQ89" s="697"/>
      <c r="AR89" s="697"/>
      <c r="AS89" s="697"/>
      <c r="AT89" s="697"/>
      <c r="AU89" s="697"/>
      <c r="AV89" s="697"/>
      <c r="AW89" s="697"/>
      <c r="AX89" s="697"/>
      <c r="AY89" s="697"/>
      <c r="AZ89" s="697"/>
      <c r="BA89" s="697"/>
      <c r="BB89" s="697"/>
      <c r="BC89" s="697"/>
      <c r="BD89" s="697"/>
      <c r="BE89" s="697"/>
      <c r="BF89" s="697"/>
      <c r="BG89" s="697"/>
      <c r="BH89" s="697"/>
      <c r="BI89" s="697"/>
      <c r="BJ89" s="697"/>
      <c r="BK89" s="697"/>
      <c r="BL89" s="697"/>
      <c r="BM89" s="697"/>
      <c r="BN89" s="697"/>
      <c r="BO89" s="697"/>
      <c r="BP89" s="697"/>
      <c r="BQ89" s="697"/>
      <c r="BR89" s="697"/>
      <c r="BS89" s="697"/>
      <c r="BT89" s="697"/>
      <c r="BU89" s="697"/>
      <c r="BV89" s="697"/>
      <c r="BW89" s="697"/>
      <c r="BX89" s="697"/>
      <c r="BY89" s="697"/>
      <c r="BZ89" s="697"/>
      <c r="CA89" s="697"/>
      <c r="CB89" s="697"/>
      <c r="CC89" s="697"/>
      <c r="CD89" s="697"/>
      <c r="CE89" s="697"/>
      <c r="CF89" s="697"/>
      <c r="CG89" s="697"/>
      <c r="CH89" s="697"/>
      <c r="CI89" s="697"/>
      <c r="CJ89" s="697"/>
      <c r="CK89" s="697"/>
      <c r="CL89" s="697"/>
      <c r="CM89" s="697"/>
      <c r="CN89" s="697"/>
      <c r="CO89" s="697"/>
      <c r="CP89" s="697"/>
      <c r="CQ89" s="697"/>
      <c r="CR89" s="697"/>
      <c r="CS89" s="697"/>
      <c r="CT89" s="697"/>
      <c r="CU89" s="697"/>
      <c r="CV89" s="697"/>
      <c r="CW89" s="697"/>
      <c r="CX89" s="697"/>
      <c r="CY89" s="697"/>
      <c r="CZ89" s="697"/>
      <c r="DA89" s="697"/>
    </row>
    <row r="90" spans="1:105" hidden="1" outlineLevel="1" x14ac:dyDescent="0.2">
      <c r="A90" s="709">
        <f t="shared" si="27"/>
        <v>37104</v>
      </c>
      <c r="B90" s="709" t="str">
        <f t="shared" si="24"/>
        <v>3Q01</v>
      </c>
      <c r="C90" s="709" t="str">
        <f t="shared" si="28"/>
        <v>4Q01</v>
      </c>
      <c r="D90" s="710">
        <f t="shared" si="32"/>
        <v>37183</v>
      </c>
      <c r="E90" s="710">
        <f t="shared" si="32"/>
        <v>37123</v>
      </c>
      <c r="F90" s="712">
        <v>1.3940000000000001</v>
      </c>
      <c r="G90" s="713">
        <f t="shared" si="25"/>
        <v>0.05</v>
      </c>
      <c r="H90" s="713">
        <f t="shared" si="26"/>
        <v>7.0000000000000007E-2</v>
      </c>
      <c r="I90" s="713">
        <f t="shared" si="33"/>
        <v>5.3999999999999888</v>
      </c>
      <c r="J90" s="713">
        <f t="shared" si="33"/>
        <v>5.4499999999999886</v>
      </c>
      <c r="K90" s="713">
        <f t="shared" si="31"/>
        <v>0.86000000000000054</v>
      </c>
      <c r="L90" s="697"/>
      <c r="M90" s="697"/>
      <c r="N90" s="697"/>
      <c r="O90" s="697"/>
      <c r="P90" s="697"/>
      <c r="Q90" s="697"/>
      <c r="R90" s="697"/>
      <c r="S90" s="697"/>
      <c r="T90" s="697"/>
      <c r="U90" s="697"/>
      <c r="V90" s="697"/>
      <c r="W90" s="697"/>
      <c r="X90" s="697"/>
      <c r="Y90" s="697"/>
      <c r="Z90" s="697"/>
      <c r="AA90" s="697"/>
      <c r="AB90" s="697"/>
      <c r="AC90" s="697"/>
      <c r="AD90" s="697"/>
      <c r="AE90" s="697"/>
      <c r="AF90" s="697"/>
      <c r="AG90" s="697"/>
      <c r="AH90" s="697"/>
      <c r="AI90" s="697"/>
      <c r="AJ90" s="697"/>
      <c r="AK90" s="697"/>
      <c r="AL90" s="697"/>
      <c r="AM90" s="697"/>
      <c r="AN90" s="697"/>
      <c r="AO90" s="697"/>
      <c r="AP90" s="697"/>
      <c r="AQ90" s="697"/>
      <c r="AR90" s="697"/>
      <c r="AS90" s="697"/>
      <c r="AT90" s="697"/>
      <c r="AU90" s="697"/>
      <c r="AV90" s="697"/>
      <c r="AW90" s="697"/>
      <c r="AX90" s="697"/>
      <c r="AY90" s="697"/>
      <c r="AZ90" s="697"/>
      <c r="BA90" s="697"/>
      <c r="BB90" s="697"/>
      <c r="BC90" s="697"/>
      <c r="BD90" s="697"/>
      <c r="BE90" s="697"/>
      <c r="BF90" s="697"/>
      <c r="BG90" s="697"/>
      <c r="BH90" s="697"/>
      <c r="BI90" s="697"/>
      <c r="BJ90" s="697"/>
      <c r="BK90" s="697"/>
      <c r="BL90" s="697"/>
      <c r="BM90" s="697"/>
      <c r="BN90" s="697"/>
      <c r="BO90" s="697"/>
      <c r="BP90" s="697"/>
      <c r="BQ90" s="697"/>
      <c r="BR90" s="697"/>
      <c r="BS90" s="697"/>
      <c r="BT90" s="697"/>
      <c r="BU90" s="697"/>
      <c r="BV90" s="697"/>
      <c r="BW90" s="697"/>
      <c r="BX90" s="697"/>
      <c r="BY90" s="697"/>
      <c r="BZ90" s="697"/>
      <c r="CA90" s="697"/>
      <c r="CB90" s="697"/>
      <c r="CC90" s="697"/>
      <c r="CD90" s="697"/>
      <c r="CE90" s="697"/>
      <c r="CF90" s="697"/>
      <c r="CG90" s="697"/>
      <c r="CH90" s="697"/>
      <c r="CI90" s="697"/>
      <c r="CJ90" s="697"/>
      <c r="CK90" s="697"/>
      <c r="CL90" s="697"/>
      <c r="CM90" s="697"/>
      <c r="CN90" s="697"/>
      <c r="CO90" s="697"/>
      <c r="CP90" s="697"/>
      <c r="CQ90" s="697"/>
      <c r="CR90" s="697"/>
      <c r="CS90" s="697"/>
      <c r="CT90" s="697"/>
      <c r="CU90" s="697"/>
      <c r="CV90" s="697"/>
      <c r="CW90" s="697"/>
      <c r="CX90" s="697"/>
      <c r="CY90" s="697"/>
      <c r="CZ90" s="697"/>
      <c r="DA90" s="697"/>
    </row>
    <row r="91" spans="1:105" hidden="1" outlineLevel="1" x14ac:dyDescent="0.2">
      <c r="A91" s="709">
        <f t="shared" si="27"/>
        <v>37104</v>
      </c>
      <c r="B91" s="709" t="str">
        <f t="shared" si="24"/>
        <v>3Q01</v>
      </c>
      <c r="C91" s="709" t="str">
        <f t="shared" si="28"/>
        <v>4Q01</v>
      </c>
      <c r="D91" s="710">
        <f t="shared" si="32"/>
        <v>37190</v>
      </c>
      <c r="E91" s="710">
        <f t="shared" si="32"/>
        <v>37130</v>
      </c>
      <c r="F91" s="712">
        <v>1.452</v>
      </c>
      <c r="G91" s="713">
        <f t="shared" si="25"/>
        <v>7.0000000000000007E-2</v>
      </c>
      <c r="H91" s="713">
        <f t="shared" si="26"/>
        <v>7.0000000000000007E-2</v>
      </c>
      <c r="I91" s="713">
        <f t="shared" si="33"/>
        <v>5.4499999999999886</v>
      </c>
      <c r="J91" s="713">
        <f t="shared" si="33"/>
        <v>5.4999999999999885</v>
      </c>
      <c r="K91" s="713">
        <f t="shared" si="31"/>
        <v>0.87000000000000055</v>
      </c>
      <c r="L91" s="697"/>
      <c r="M91" s="697"/>
      <c r="N91" s="697"/>
      <c r="O91" s="697"/>
      <c r="P91" s="697"/>
      <c r="Q91" s="697"/>
      <c r="R91" s="697"/>
      <c r="S91" s="697"/>
      <c r="T91" s="697"/>
      <c r="U91" s="697"/>
      <c r="V91" s="697"/>
      <c r="W91" s="697"/>
      <c r="X91" s="697"/>
      <c r="Y91" s="697"/>
      <c r="Z91" s="697"/>
      <c r="AA91" s="697"/>
      <c r="AB91" s="697"/>
      <c r="AC91" s="697"/>
      <c r="AD91" s="697"/>
      <c r="AE91" s="697"/>
      <c r="AF91" s="697"/>
      <c r="AG91" s="697"/>
      <c r="AH91" s="697"/>
      <c r="AI91" s="697"/>
      <c r="AJ91" s="697"/>
      <c r="AK91" s="697"/>
      <c r="AL91" s="697"/>
      <c r="AM91" s="697"/>
      <c r="AN91" s="697"/>
      <c r="AO91" s="697"/>
      <c r="AP91" s="697"/>
      <c r="AQ91" s="697"/>
      <c r="AR91" s="697"/>
      <c r="AS91" s="697"/>
      <c r="AT91" s="697"/>
      <c r="AU91" s="697"/>
      <c r="AV91" s="697"/>
      <c r="AW91" s="697"/>
      <c r="AX91" s="697"/>
      <c r="AY91" s="697"/>
      <c r="AZ91" s="697"/>
      <c r="BA91" s="697"/>
      <c r="BB91" s="697"/>
      <c r="BC91" s="697"/>
      <c r="BD91" s="697"/>
      <c r="BE91" s="697"/>
      <c r="BF91" s="697"/>
      <c r="BG91" s="697"/>
      <c r="BH91" s="697"/>
      <c r="BI91" s="697"/>
      <c r="BJ91" s="697"/>
      <c r="BK91" s="697"/>
      <c r="BL91" s="697"/>
      <c r="BM91" s="697"/>
      <c r="BN91" s="697"/>
      <c r="BO91" s="697"/>
      <c r="BP91" s="697"/>
      <c r="BQ91" s="697"/>
      <c r="BR91" s="697"/>
      <c r="BS91" s="697"/>
      <c r="BT91" s="697"/>
      <c r="BU91" s="697"/>
      <c r="BV91" s="697"/>
      <c r="BW91" s="697"/>
      <c r="BX91" s="697"/>
      <c r="BY91" s="697"/>
      <c r="BZ91" s="697"/>
      <c r="CA91" s="697"/>
      <c r="CB91" s="697"/>
      <c r="CC91" s="697"/>
      <c r="CD91" s="697"/>
      <c r="CE91" s="697"/>
      <c r="CF91" s="697"/>
      <c r="CG91" s="697"/>
      <c r="CH91" s="697"/>
      <c r="CI91" s="697"/>
      <c r="CJ91" s="697"/>
      <c r="CK91" s="697"/>
      <c r="CL91" s="697"/>
      <c r="CM91" s="697"/>
      <c r="CN91" s="697"/>
      <c r="CO91" s="697"/>
      <c r="CP91" s="697"/>
      <c r="CQ91" s="697"/>
      <c r="CR91" s="697"/>
      <c r="CS91" s="697"/>
      <c r="CT91" s="697"/>
      <c r="CU91" s="697"/>
      <c r="CV91" s="697"/>
      <c r="CW91" s="697"/>
      <c r="CX91" s="697"/>
      <c r="CY91" s="697"/>
      <c r="CZ91" s="697"/>
      <c r="DA91" s="697"/>
    </row>
    <row r="92" spans="1:105" hidden="1" outlineLevel="1" x14ac:dyDescent="0.2">
      <c r="A92" s="709">
        <f t="shared" si="27"/>
        <v>37135</v>
      </c>
      <c r="B92" s="709" t="str">
        <f t="shared" si="24"/>
        <v>3Q01</v>
      </c>
      <c r="C92" s="709" t="str">
        <f t="shared" si="28"/>
        <v>4Q01</v>
      </c>
      <c r="D92" s="710">
        <f t="shared" si="32"/>
        <v>37197</v>
      </c>
      <c r="E92" s="710">
        <f t="shared" si="32"/>
        <v>37137</v>
      </c>
      <c r="F92" s="712">
        <v>1.4880000000000002</v>
      </c>
      <c r="G92" s="713">
        <f t="shared" si="25"/>
        <v>7.0000000000000007E-2</v>
      </c>
      <c r="H92" s="713">
        <f t="shared" si="26"/>
        <v>7.0000000000000007E-2</v>
      </c>
      <c r="I92" s="713">
        <f t="shared" si="33"/>
        <v>5.4999999999999885</v>
      </c>
      <c r="J92" s="713">
        <f t="shared" si="33"/>
        <v>5.5499999999999883</v>
      </c>
      <c r="K92" s="713">
        <f t="shared" si="31"/>
        <v>0.88000000000000056</v>
      </c>
      <c r="L92" s="697"/>
      <c r="M92" s="697"/>
      <c r="N92" s="697"/>
      <c r="O92" s="697"/>
      <c r="P92" s="697"/>
      <c r="Q92" s="697"/>
      <c r="R92" s="697"/>
      <c r="S92" s="697"/>
      <c r="T92" s="697"/>
      <c r="U92" s="697"/>
      <c r="V92" s="697"/>
      <c r="W92" s="697"/>
      <c r="X92" s="697"/>
      <c r="Y92" s="697"/>
      <c r="Z92" s="697"/>
      <c r="AA92" s="697"/>
      <c r="AB92" s="697"/>
      <c r="AC92" s="697"/>
      <c r="AD92" s="697"/>
      <c r="AE92" s="697"/>
      <c r="AF92" s="697"/>
      <c r="AG92" s="697"/>
      <c r="AH92" s="697"/>
      <c r="AI92" s="697"/>
      <c r="AJ92" s="697"/>
      <c r="AK92" s="697"/>
      <c r="AL92" s="697"/>
      <c r="AM92" s="697"/>
      <c r="AN92" s="697"/>
      <c r="AO92" s="697"/>
      <c r="AP92" s="697"/>
      <c r="AQ92" s="697"/>
      <c r="AR92" s="697"/>
      <c r="AS92" s="697"/>
      <c r="AT92" s="697"/>
      <c r="AU92" s="697"/>
      <c r="AV92" s="697"/>
      <c r="AW92" s="697"/>
      <c r="AX92" s="697"/>
      <c r="AY92" s="697"/>
      <c r="AZ92" s="697"/>
      <c r="BA92" s="697"/>
      <c r="BB92" s="697"/>
      <c r="BC92" s="697"/>
      <c r="BD92" s="697"/>
      <c r="BE92" s="697"/>
      <c r="BF92" s="697"/>
      <c r="BG92" s="697"/>
      <c r="BH92" s="697"/>
      <c r="BI92" s="697"/>
      <c r="BJ92" s="697"/>
      <c r="BK92" s="697"/>
      <c r="BL92" s="697"/>
      <c r="BM92" s="697"/>
      <c r="BN92" s="697"/>
      <c r="BO92" s="697"/>
      <c r="BP92" s="697"/>
      <c r="BQ92" s="697"/>
      <c r="BR92" s="697"/>
      <c r="BS92" s="697"/>
      <c r="BT92" s="697"/>
      <c r="BU92" s="697"/>
      <c r="BV92" s="697"/>
      <c r="BW92" s="697"/>
      <c r="BX92" s="697"/>
      <c r="BY92" s="697"/>
      <c r="BZ92" s="697"/>
      <c r="CA92" s="697"/>
      <c r="CB92" s="697"/>
      <c r="CC92" s="697"/>
      <c r="CD92" s="697"/>
      <c r="CE92" s="697"/>
      <c r="CF92" s="697"/>
      <c r="CG92" s="697"/>
      <c r="CH92" s="697"/>
      <c r="CI92" s="697"/>
      <c r="CJ92" s="697"/>
      <c r="CK92" s="697"/>
      <c r="CL92" s="697"/>
      <c r="CM92" s="697"/>
      <c r="CN92" s="697"/>
      <c r="CO92" s="697"/>
      <c r="CP92" s="697"/>
      <c r="CQ92" s="697"/>
      <c r="CR92" s="697"/>
      <c r="CS92" s="697"/>
      <c r="CT92" s="697"/>
      <c r="CU92" s="697"/>
      <c r="CV92" s="697"/>
      <c r="CW92" s="697"/>
      <c r="CX92" s="697"/>
      <c r="CY92" s="697"/>
      <c r="CZ92" s="697"/>
      <c r="DA92" s="697"/>
    </row>
    <row r="93" spans="1:105" hidden="1" outlineLevel="1" x14ac:dyDescent="0.2">
      <c r="A93" s="709">
        <f t="shared" si="27"/>
        <v>37135</v>
      </c>
      <c r="B93" s="709" t="str">
        <f t="shared" si="24"/>
        <v>3Q01</v>
      </c>
      <c r="C93" s="709" t="str">
        <f t="shared" si="28"/>
        <v>4Q01</v>
      </c>
      <c r="D93" s="710">
        <f t="shared" si="32"/>
        <v>37204</v>
      </c>
      <c r="E93" s="710">
        <f t="shared" si="32"/>
        <v>37144</v>
      </c>
      <c r="F93" s="712">
        <v>1.492</v>
      </c>
      <c r="G93" s="713">
        <f t="shared" si="25"/>
        <v>7.0000000000000007E-2</v>
      </c>
      <c r="H93" s="713">
        <f t="shared" si="26"/>
        <v>0.08</v>
      </c>
      <c r="I93" s="713">
        <f t="shared" si="33"/>
        <v>5.5499999999999883</v>
      </c>
      <c r="J93" s="713">
        <f t="shared" si="33"/>
        <v>5.5999999999999881</v>
      </c>
      <c r="K93" s="713">
        <f t="shared" si="31"/>
        <v>0.89000000000000057</v>
      </c>
      <c r="L93" s="697"/>
      <c r="M93" s="697"/>
      <c r="N93" s="697"/>
      <c r="O93" s="697"/>
      <c r="P93" s="697"/>
      <c r="Q93" s="697"/>
      <c r="R93" s="697"/>
      <c r="S93" s="697"/>
      <c r="T93" s="697"/>
      <c r="U93" s="697"/>
      <c r="V93" s="697"/>
      <c r="W93" s="697"/>
      <c r="X93" s="697"/>
      <c r="Y93" s="697"/>
      <c r="Z93" s="697"/>
      <c r="AA93" s="697"/>
      <c r="AB93" s="697"/>
      <c r="AC93" s="697"/>
      <c r="AD93" s="697"/>
      <c r="AE93" s="697"/>
      <c r="AF93" s="697"/>
      <c r="AG93" s="697"/>
      <c r="AH93" s="697"/>
      <c r="AI93" s="697"/>
      <c r="AJ93" s="697"/>
      <c r="AK93" s="697"/>
      <c r="AL93" s="697"/>
      <c r="AM93" s="697"/>
      <c r="AN93" s="697"/>
      <c r="AO93" s="697"/>
      <c r="AP93" s="697"/>
      <c r="AQ93" s="697"/>
      <c r="AR93" s="697"/>
      <c r="AS93" s="697"/>
      <c r="AT93" s="697"/>
      <c r="AU93" s="697"/>
      <c r="AV93" s="697"/>
      <c r="AW93" s="697"/>
      <c r="AX93" s="697"/>
      <c r="AY93" s="697"/>
      <c r="AZ93" s="697"/>
      <c r="BA93" s="697"/>
      <c r="BB93" s="697"/>
      <c r="BC93" s="697"/>
      <c r="BD93" s="697"/>
      <c r="BE93" s="697"/>
      <c r="BF93" s="697"/>
      <c r="BG93" s="697"/>
      <c r="BH93" s="697"/>
      <c r="BI93" s="697"/>
      <c r="BJ93" s="697"/>
      <c r="BK93" s="697"/>
      <c r="BL93" s="697"/>
      <c r="BM93" s="697"/>
      <c r="BN93" s="697"/>
      <c r="BO93" s="697"/>
      <c r="BP93" s="697"/>
      <c r="BQ93" s="697"/>
      <c r="BR93" s="697"/>
      <c r="BS93" s="697"/>
      <c r="BT93" s="697"/>
      <c r="BU93" s="697"/>
      <c r="BV93" s="697"/>
      <c r="BW93" s="697"/>
      <c r="BX93" s="697"/>
      <c r="BY93" s="697"/>
      <c r="BZ93" s="697"/>
      <c r="CA93" s="697"/>
      <c r="CB93" s="697"/>
      <c r="CC93" s="697"/>
      <c r="CD93" s="697"/>
      <c r="CE93" s="697"/>
      <c r="CF93" s="697"/>
      <c r="CG93" s="697"/>
      <c r="CH93" s="697"/>
      <c r="CI93" s="697"/>
      <c r="CJ93" s="697"/>
      <c r="CK93" s="697"/>
      <c r="CL93" s="697"/>
      <c r="CM93" s="697"/>
      <c r="CN93" s="697"/>
      <c r="CO93" s="697"/>
      <c r="CP93" s="697"/>
      <c r="CQ93" s="697"/>
      <c r="CR93" s="697"/>
      <c r="CS93" s="697"/>
      <c r="CT93" s="697"/>
      <c r="CU93" s="697"/>
      <c r="CV93" s="697"/>
      <c r="CW93" s="697"/>
      <c r="CX93" s="697"/>
      <c r="CY93" s="697"/>
      <c r="CZ93" s="697"/>
      <c r="DA93" s="697"/>
    </row>
    <row r="94" spans="1:105" hidden="1" outlineLevel="1" x14ac:dyDescent="0.2">
      <c r="A94" s="709">
        <f t="shared" si="27"/>
        <v>37135</v>
      </c>
      <c r="B94" s="709" t="str">
        <f t="shared" si="24"/>
        <v>3Q01</v>
      </c>
      <c r="C94" s="709" t="str">
        <f t="shared" si="28"/>
        <v>4Q01</v>
      </c>
      <c r="D94" s="710">
        <f t="shared" si="32"/>
        <v>37211</v>
      </c>
      <c r="E94" s="710">
        <f t="shared" si="32"/>
        <v>37151</v>
      </c>
      <c r="F94" s="712">
        <v>1.5269999999999999</v>
      </c>
      <c r="G94" s="713">
        <f t="shared" si="25"/>
        <v>0.08</v>
      </c>
      <c r="H94" s="713">
        <f t="shared" si="26"/>
        <v>7.0000000000000007E-2</v>
      </c>
      <c r="I94" s="713">
        <f t="shared" si="33"/>
        <v>5.5999999999999881</v>
      </c>
      <c r="J94" s="713">
        <f t="shared" si="33"/>
        <v>5.6499999999999879</v>
      </c>
      <c r="K94" s="713">
        <f t="shared" si="31"/>
        <v>0.90000000000000058</v>
      </c>
      <c r="L94" s="697"/>
      <c r="M94" s="697"/>
      <c r="N94" s="697"/>
      <c r="O94" s="697"/>
      <c r="P94" s="697"/>
      <c r="Q94" s="697"/>
      <c r="R94" s="697"/>
      <c r="S94" s="697"/>
      <c r="T94" s="697"/>
      <c r="U94" s="697"/>
      <c r="V94" s="697"/>
      <c r="W94" s="697"/>
      <c r="X94" s="697"/>
      <c r="Y94" s="697"/>
      <c r="Z94" s="697"/>
      <c r="AA94" s="697"/>
      <c r="AB94" s="697"/>
      <c r="AC94" s="697"/>
      <c r="AD94" s="697"/>
      <c r="AE94" s="697"/>
      <c r="AF94" s="697"/>
      <c r="AG94" s="697"/>
      <c r="AH94" s="697"/>
      <c r="AI94" s="697"/>
      <c r="AJ94" s="697"/>
      <c r="AK94" s="697"/>
      <c r="AL94" s="697"/>
      <c r="AM94" s="697"/>
      <c r="AN94" s="697"/>
      <c r="AO94" s="697"/>
      <c r="AP94" s="697"/>
      <c r="AQ94" s="697"/>
      <c r="AR94" s="697"/>
      <c r="AS94" s="697"/>
      <c r="AT94" s="697"/>
      <c r="AU94" s="697"/>
      <c r="AV94" s="697"/>
      <c r="AW94" s="697"/>
      <c r="AX94" s="697"/>
      <c r="AY94" s="697"/>
      <c r="AZ94" s="697"/>
      <c r="BA94" s="697"/>
      <c r="BB94" s="697"/>
      <c r="BC94" s="697"/>
      <c r="BD94" s="697"/>
      <c r="BE94" s="697"/>
      <c r="BF94" s="697"/>
      <c r="BG94" s="697"/>
      <c r="BH94" s="697"/>
      <c r="BI94" s="697"/>
      <c r="BJ94" s="697"/>
      <c r="BK94" s="697"/>
      <c r="BL94" s="697"/>
      <c r="BM94" s="697"/>
      <c r="BN94" s="697"/>
      <c r="BO94" s="697"/>
      <c r="BP94" s="697"/>
      <c r="BQ94" s="697"/>
      <c r="BR94" s="697"/>
      <c r="BS94" s="697"/>
      <c r="BT94" s="697"/>
      <c r="BU94" s="697"/>
      <c r="BV94" s="697"/>
      <c r="BW94" s="697"/>
      <c r="BX94" s="697"/>
      <c r="BY94" s="697"/>
      <c r="BZ94" s="697"/>
      <c r="CA94" s="697"/>
      <c r="CB94" s="697"/>
      <c r="CC94" s="697"/>
      <c r="CD94" s="697"/>
      <c r="CE94" s="697"/>
      <c r="CF94" s="697"/>
      <c r="CG94" s="697"/>
      <c r="CH94" s="697"/>
      <c r="CI94" s="697"/>
      <c r="CJ94" s="697"/>
      <c r="CK94" s="697"/>
      <c r="CL94" s="697"/>
      <c r="CM94" s="697"/>
      <c r="CN94" s="697"/>
      <c r="CO94" s="697"/>
      <c r="CP94" s="697"/>
      <c r="CQ94" s="697"/>
      <c r="CR94" s="697"/>
      <c r="CS94" s="697"/>
      <c r="CT94" s="697"/>
      <c r="CU94" s="697"/>
      <c r="CV94" s="697"/>
      <c r="CW94" s="697"/>
      <c r="CX94" s="697"/>
      <c r="CY94" s="697"/>
      <c r="CZ94" s="697"/>
      <c r="DA94" s="697"/>
    </row>
    <row r="95" spans="1:105" hidden="1" outlineLevel="1" x14ac:dyDescent="0.2">
      <c r="A95" s="709">
        <f t="shared" si="27"/>
        <v>37135</v>
      </c>
      <c r="B95" s="709" t="str">
        <f t="shared" si="24"/>
        <v>3Q01</v>
      </c>
      <c r="C95" s="709" t="str">
        <f t="shared" si="28"/>
        <v>4Q01</v>
      </c>
      <c r="D95" s="710">
        <f t="shared" si="32"/>
        <v>37218</v>
      </c>
      <c r="E95" s="710">
        <f t="shared" si="32"/>
        <v>37158</v>
      </c>
      <c r="F95" s="712">
        <v>1.4730000000000001</v>
      </c>
      <c r="G95" s="713">
        <f t="shared" si="25"/>
        <v>7.0000000000000007E-2</v>
      </c>
      <c r="H95" s="713">
        <f t="shared" si="26"/>
        <v>0.05</v>
      </c>
      <c r="I95" s="713">
        <f t="shared" si="33"/>
        <v>5.6499999999999879</v>
      </c>
      <c r="J95" s="713">
        <f t="shared" si="33"/>
        <v>5.6999999999999877</v>
      </c>
      <c r="K95" s="713">
        <f t="shared" si="31"/>
        <v>0.91000000000000059</v>
      </c>
      <c r="L95" s="697"/>
      <c r="M95" s="697"/>
      <c r="N95" s="697"/>
      <c r="O95" s="697"/>
      <c r="P95" s="697"/>
      <c r="Q95" s="697"/>
      <c r="R95" s="697"/>
      <c r="S95" s="697"/>
      <c r="T95" s="697"/>
      <c r="U95" s="697"/>
      <c r="V95" s="697"/>
      <c r="W95" s="697"/>
      <c r="X95" s="697"/>
      <c r="Y95" s="697"/>
      <c r="Z95" s="697"/>
      <c r="AA95" s="697"/>
      <c r="AB95" s="697"/>
      <c r="AC95" s="697"/>
      <c r="AD95" s="697"/>
      <c r="AE95" s="697"/>
      <c r="AF95" s="697"/>
      <c r="AG95" s="697"/>
      <c r="AH95" s="697"/>
      <c r="AI95" s="697"/>
      <c r="AJ95" s="697"/>
      <c r="AK95" s="697"/>
      <c r="AL95" s="697"/>
      <c r="AM95" s="697"/>
      <c r="AN95" s="697"/>
      <c r="AO95" s="697"/>
      <c r="AP95" s="697"/>
      <c r="AQ95" s="697"/>
      <c r="AR95" s="697"/>
      <c r="AS95" s="697"/>
      <c r="AT95" s="697"/>
      <c r="AU95" s="697"/>
      <c r="AV95" s="697"/>
      <c r="AW95" s="697"/>
      <c r="AX95" s="697"/>
      <c r="AY95" s="697"/>
      <c r="AZ95" s="697"/>
      <c r="BA95" s="697"/>
      <c r="BB95" s="697"/>
      <c r="BC95" s="697"/>
      <c r="BD95" s="697"/>
      <c r="BE95" s="697"/>
      <c r="BF95" s="697"/>
      <c r="BG95" s="697"/>
      <c r="BH95" s="697"/>
      <c r="BI95" s="697"/>
      <c r="BJ95" s="697"/>
      <c r="BK95" s="697"/>
      <c r="BL95" s="697"/>
      <c r="BM95" s="697"/>
      <c r="BN95" s="697"/>
      <c r="BO95" s="697"/>
      <c r="BP95" s="697"/>
      <c r="BQ95" s="697"/>
      <c r="BR95" s="697"/>
      <c r="BS95" s="697"/>
      <c r="BT95" s="697"/>
      <c r="BU95" s="697"/>
      <c r="BV95" s="697"/>
      <c r="BW95" s="697"/>
      <c r="BX95" s="697"/>
      <c r="BY95" s="697"/>
      <c r="BZ95" s="697"/>
      <c r="CA95" s="697"/>
      <c r="CB95" s="697"/>
      <c r="CC95" s="697"/>
      <c r="CD95" s="697"/>
      <c r="CE95" s="697"/>
      <c r="CF95" s="697"/>
      <c r="CG95" s="697"/>
      <c r="CH95" s="697"/>
      <c r="CI95" s="697"/>
      <c r="CJ95" s="697"/>
      <c r="CK95" s="697"/>
      <c r="CL95" s="697"/>
      <c r="CM95" s="697"/>
      <c r="CN95" s="697"/>
      <c r="CO95" s="697"/>
      <c r="CP95" s="697"/>
      <c r="CQ95" s="697"/>
      <c r="CR95" s="697"/>
      <c r="CS95" s="697"/>
      <c r="CT95" s="697"/>
      <c r="CU95" s="697"/>
      <c r="CV95" s="697"/>
      <c r="CW95" s="697"/>
      <c r="CX95" s="697"/>
      <c r="CY95" s="697"/>
      <c r="CZ95" s="697"/>
      <c r="DA95" s="697"/>
    </row>
    <row r="96" spans="1:105" hidden="1" outlineLevel="1" x14ac:dyDescent="0.2">
      <c r="A96" s="709">
        <f t="shared" si="27"/>
        <v>37165</v>
      </c>
      <c r="B96" s="709" t="str">
        <f t="shared" si="24"/>
        <v>4Q01</v>
      </c>
      <c r="C96" s="709" t="str">
        <f t="shared" si="28"/>
        <v>4Q01</v>
      </c>
      <c r="D96" s="710">
        <f t="shared" si="32"/>
        <v>37225</v>
      </c>
      <c r="E96" s="710">
        <f t="shared" si="32"/>
        <v>37165</v>
      </c>
      <c r="F96" s="712">
        <v>1.39</v>
      </c>
      <c r="G96" s="713">
        <f t="shared" si="25"/>
        <v>0.05</v>
      </c>
      <c r="H96" s="713">
        <f t="shared" si="26"/>
        <v>0.05</v>
      </c>
      <c r="I96" s="713">
        <f t="shared" si="33"/>
        <v>5.6999999999999877</v>
      </c>
      <c r="J96" s="713">
        <f t="shared" si="33"/>
        <v>5.7499999999999876</v>
      </c>
      <c r="K96" s="713">
        <f t="shared" si="31"/>
        <v>0.9200000000000006</v>
      </c>
      <c r="L96" s="697"/>
      <c r="M96" s="697"/>
      <c r="N96" s="697"/>
      <c r="O96" s="697"/>
      <c r="P96" s="697"/>
      <c r="Q96" s="697"/>
      <c r="R96" s="697"/>
      <c r="S96" s="697"/>
      <c r="T96" s="697"/>
      <c r="U96" s="697"/>
      <c r="V96" s="697"/>
      <c r="W96" s="697"/>
      <c r="X96" s="697"/>
      <c r="Y96" s="697"/>
      <c r="Z96" s="697"/>
      <c r="AA96" s="697"/>
      <c r="AB96" s="697"/>
      <c r="AC96" s="697"/>
      <c r="AD96" s="697"/>
      <c r="AE96" s="697"/>
      <c r="AF96" s="697"/>
      <c r="AG96" s="697"/>
      <c r="AH96" s="697"/>
      <c r="AI96" s="697"/>
      <c r="AJ96" s="697"/>
      <c r="AK96" s="697"/>
      <c r="AL96" s="697"/>
      <c r="AM96" s="697"/>
      <c r="AN96" s="697"/>
      <c r="AO96" s="697"/>
      <c r="AP96" s="697"/>
      <c r="AQ96" s="697"/>
      <c r="AR96" s="697"/>
      <c r="AS96" s="697"/>
      <c r="AT96" s="697"/>
      <c r="AU96" s="697"/>
      <c r="AV96" s="697"/>
      <c r="AW96" s="697"/>
      <c r="AX96" s="697"/>
      <c r="AY96" s="697"/>
      <c r="AZ96" s="697"/>
      <c r="BA96" s="697"/>
      <c r="BB96" s="697"/>
      <c r="BC96" s="697"/>
      <c r="BD96" s="697"/>
      <c r="BE96" s="697"/>
      <c r="BF96" s="697"/>
      <c r="BG96" s="697"/>
      <c r="BH96" s="697"/>
      <c r="BI96" s="697"/>
      <c r="BJ96" s="697"/>
      <c r="BK96" s="697"/>
      <c r="BL96" s="697"/>
      <c r="BM96" s="697"/>
      <c r="BN96" s="697"/>
      <c r="BO96" s="697"/>
      <c r="BP96" s="697"/>
      <c r="BQ96" s="697"/>
      <c r="BR96" s="697"/>
      <c r="BS96" s="697"/>
      <c r="BT96" s="697"/>
      <c r="BU96" s="697"/>
      <c r="BV96" s="697"/>
      <c r="BW96" s="697"/>
      <c r="BX96" s="697"/>
      <c r="BY96" s="697"/>
      <c r="BZ96" s="697"/>
      <c r="CA96" s="697"/>
      <c r="CB96" s="697"/>
      <c r="CC96" s="697"/>
      <c r="CD96" s="697"/>
      <c r="CE96" s="697"/>
      <c r="CF96" s="697"/>
      <c r="CG96" s="697"/>
      <c r="CH96" s="697"/>
      <c r="CI96" s="697"/>
      <c r="CJ96" s="697"/>
      <c r="CK96" s="697"/>
      <c r="CL96" s="697"/>
      <c r="CM96" s="697"/>
      <c r="CN96" s="697"/>
      <c r="CO96" s="697"/>
      <c r="CP96" s="697"/>
      <c r="CQ96" s="697"/>
      <c r="CR96" s="697"/>
      <c r="CS96" s="697"/>
      <c r="CT96" s="697"/>
      <c r="CU96" s="697"/>
      <c r="CV96" s="697"/>
      <c r="CW96" s="697"/>
      <c r="CX96" s="697"/>
      <c r="CY96" s="697"/>
      <c r="CZ96" s="697"/>
      <c r="DA96" s="697"/>
    </row>
    <row r="97" spans="1:105" hidden="1" outlineLevel="1" x14ac:dyDescent="0.2">
      <c r="A97" s="709">
        <f t="shared" si="27"/>
        <v>37165</v>
      </c>
      <c r="B97" s="709" t="str">
        <f t="shared" si="24"/>
        <v>4Q01</v>
      </c>
      <c r="C97" s="709" t="str">
        <f t="shared" si="28"/>
        <v>4Q01</v>
      </c>
      <c r="D97" s="710">
        <f t="shared" si="32"/>
        <v>37232</v>
      </c>
      <c r="E97" s="710">
        <f t="shared" si="32"/>
        <v>37172</v>
      </c>
      <c r="F97" s="712">
        <v>1.371</v>
      </c>
      <c r="G97" s="713">
        <f t="shared" si="25"/>
        <v>0.05</v>
      </c>
      <c r="H97" s="713">
        <f t="shared" si="26"/>
        <v>0.05</v>
      </c>
      <c r="I97" s="713">
        <f t="shared" si="33"/>
        <v>5.7499999999999876</v>
      </c>
      <c r="J97" s="713">
        <f t="shared" si="33"/>
        <v>5.7999999999999874</v>
      </c>
      <c r="K97" s="713">
        <f t="shared" si="31"/>
        <v>0.9300000000000006</v>
      </c>
      <c r="L97" s="697"/>
      <c r="M97" s="697"/>
      <c r="N97" s="697"/>
      <c r="O97" s="697"/>
      <c r="P97" s="697"/>
      <c r="Q97" s="697"/>
      <c r="R97" s="697"/>
      <c r="S97" s="697"/>
      <c r="T97" s="697"/>
      <c r="U97" s="697"/>
      <c r="V97" s="697"/>
      <c r="W97" s="697"/>
      <c r="X97" s="697"/>
      <c r="Y97" s="697"/>
      <c r="Z97" s="697"/>
      <c r="AA97" s="697"/>
      <c r="AB97" s="697"/>
      <c r="AC97" s="697"/>
      <c r="AD97" s="697"/>
      <c r="AE97" s="697"/>
      <c r="AF97" s="697"/>
      <c r="AG97" s="697"/>
      <c r="AH97" s="697"/>
      <c r="AI97" s="697"/>
      <c r="AJ97" s="697"/>
      <c r="AK97" s="697"/>
      <c r="AL97" s="697"/>
      <c r="AM97" s="697"/>
      <c r="AN97" s="697"/>
      <c r="AO97" s="697"/>
      <c r="AP97" s="697"/>
      <c r="AQ97" s="697"/>
      <c r="AR97" s="697"/>
      <c r="AS97" s="697"/>
      <c r="AT97" s="697"/>
      <c r="AU97" s="697"/>
      <c r="AV97" s="697"/>
      <c r="AW97" s="697"/>
      <c r="AX97" s="697"/>
      <c r="AY97" s="697"/>
      <c r="AZ97" s="697"/>
      <c r="BA97" s="697"/>
      <c r="BB97" s="697"/>
      <c r="BC97" s="697"/>
      <c r="BD97" s="697"/>
      <c r="BE97" s="697"/>
      <c r="BF97" s="697"/>
      <c r="BG97" s="697"/>
      <c r="BH97" s="697"/>
      <c r="BI97" s="697"/>
      <c r="BJ97" s="697"/>
      <c r="BK97" s="697"/>
      <c r="BL97" s="697"/>
      <c r="BM97" s="697"/>
      <c r="BN97" s="697"/>
      <c r="BO97" s="697"/>
      <c r="BP97" s="697"/>
      <c r="BQ97" s="697"/>
      <c r="BR97" s="697"/>
      <c r="BS97" s="697"/>
      <c r="BT97" s="697"/>
      <c r="BU97" s="697"/>
      <c r="BV97" s="697"/>
      <c r="BW97" s="697"/>
      <c r="BX97" s="697"/>
      <c r="BY97" s="697"/>
      <c r="BZ97" s="697"/>
      <c r="CA97" s="697"/>
      <c r="CB97" s="697"/>
      <c r="CC97" s="697"/>
      <c r="CD97" s="697"/>
      <c r="CE97" s="697"/>
      <c r="CF97" s="697"/>
      <c r="CG97" s="697"/>
      <c r="CH97" s="697"/>
      <c r="CI97" s="697"/>
      <c r="CJ97" s="697"/>
      <c r="CK97" s="697"/>
      <c r="CL97" s="697"/>
      <c r="CM97" s="697"/>
      <c r="CN97" s="697"/>
      <c r="CO97" s="697"/>
      <c r="CP97" s="697"/>
      <c r="CQ97" s="697"/>
      <c r="CR97" s="697"/>
      <c r="CS97" s="697"/>
      <c r="CT97" s="697"/>
      <c r="CU97" s="697"/>
      <c r="CV97" s="697"/>
      <c r="CW97" s="697"/>
      <c r="CX97" s="697"/>
      <c r="CY97" s="697"/>
      <c r="CZ97" s="697"/>
      <c r="DA97" s="697"/>
    </row>
    <row r="98" spans="1:105" hidden="1" outlineLevel="1" x14ac:dyDescent="0.2">
      <c r="A98" s="709">
        <f t="shared" si="27"/>
        <v>37165</v>
      </c>
      <c r="B98" s="709" t="str">
        <f t="shared" si="24"/>
        <v>4Q01</v>
      </c>
      <c r="C98" s="709" t="str">
        <f t="shared" si="28"/>
        <v>4Q01</v>
      </c>
      <c r="D98" s="710">
        <f t="shared" si="32"/>
        <v>37239</v>
      </c>
      <c r="E98" s="710">
        <f t="shared" si="32"/>
        <v>37179</v>
      </c>
      <c r="F98" s="712">
        <v>1.3530000000000002</v>
      </c>
      <c r="G98" s="713">
        <f t="shared" si="25"/>
        <v>0.05</v>
      </c>
      <c r="H98" s="713">
        <f t="shared" si="26"/>
        <v>0.04</v>
      </c>
      <c r="I98" s="713">
        <f t="shared" si="33"/>
        <v>5.7999999999999874</v>
      </c>
      <c r="J98" s="713">
        <f t="shared" si="33"/>
        <v>5.8499999999999872</v>
      </c>
      <c r="K98" s="713">
        <f t="shared" si="31"/>
        <v>0.94000000000000061</v>
      </c>
      <c r="L98" s="697"/>
      <c r="M98" s="697"/>
      <c r="N98" s="697"/>
      <c r="O98" s="697"/>
      <c r="P98" s="697"/>
      <c r="Q98" s="697"/>
      <c r="R98" s="697"/>
      <c r="S98" s="697"/>
      <c r="T98" s="697"/>
      <c r="U98" s="697"/>
      <c r="V98" s="697"/>
      <c r="W98" s="697"/>
      <c r="X98" s="697"/>
      <c r="Y98" s="697"/>
      <c r="Z98" s="697"/>
      <c r="AA98" s="697"/>
      <c r="AB98" s="697"/>
      <c r="AC98" s="697"/>
      <c r="AD98" s="697"/>
      <c r="AE98" s="697"/>
      <c r="AF98" s="697"/>
      <c r="AG98" s="697"/>
      <c r="AH98" s="697"/>
      <c r="AI98" s="697"/>
      <c r="AJ98" s="697"/>
      <c r="AK98" s="697"/>
      <c r="AL98" s="697"/>
      <c r="AM98" s="697"/>
      <c r="AN98" s="697"/>
      <c r="AO98" s="697"/>
      <c r="AP98" s="697"/>
      <c r="AQ98" s="697"/>
      <c r="AR98" s="697"/>
      <c r="AS98" s="697"/>
      <c r="AT98" s="697"/>
      <c r="AU98" s="697"/>
      <c r="AV98" s="697"/>
      <c r="AW98" s="697"/>
      <c r="AX98" s="697"/>
      <c r="AY98" s="697"/>
      <c r="AZ98" s="697"/>
      <c r="BA98" s="697"/>
      <c r="BB98" s="697"/>
      <c r="BC98" s="697"/>
      <c r="BD98" s="697"/>
      <c r="BE98" s="697"/>
      <c r="BF98" s="697"/>
      <c r="BG98" s="697"/>
      <c r="BH98" s="697"/>
      <c r="BI98" s="697"/>
      <c r="BJ98" s="697"/>
      <c r="BK98" s="697"/>
      <c r="BL98" s="697"/>
      <c r="BM98" s="697"/>
      <c r="BN98" s="697"/>
      <c r="BO98" s="697"/>
      <c r="BP98" s="697"/>
      <c r="BQ98" s="697"/>
      <c r="BR98" s="697"/>
      <c r="BS98" s="697"/>
      <c r="BT98" s="697"/>
      <c r="BU98" s="697"/>
      <c r="BV98" s="697"/>
      <c r="BW98" s="697"/>
      <c r="BX98" s="697"/>
      <c r="BY98" s="697"/>
      <c r="BZ98" s="697"/>
      <c r="CA98" s="697"/>
      <c r="CB98" s="697"/>
      <c r="CC98" s="697"/>
      <c r="CD98" s="697"/>
      <c r="CE98" s="697"/>
      <c r="CF98" s="697"/>
      <c r="CG98" s="697"/>
      <c r="CH98" s="697"/>
      <c r="CI98" s="697"/>
      <c r="CJ98" s="697"/>
      <c r="CK98" s="697"/>
      <c r="CL98" s="697"/>
      <c r="CM98" s="697"/>
      <c r="CN98" s="697"/>
      <c r="CO98" s="697"/>
      <c r="CP98" s="697"/>
      <c r="CQ98" s="697"/>
      <c r="CR98" s="697"/>
      <c r="CS98" s="697"/>
      <c r="CT98" s="697"/>
      <c r="CU98" s="697"/>
      <c r="CV98" s="697"/>
      <c r="CW98" s="697"/>
      <c r="CX98" s="697"/>
      <c r="CY98" s="697"/>
      <c r="CZ98" s="697"/>
      <c r="DA98" s="697"/>
    </row>
    <row r="99" spans="1:105" hidden="1" outlineLevel="1" x14ac:dyDescent="0.2">
      <c r="A99" s="709">
        <f t="shared" si="27"/>
        <v>37165</v>
      </c>
      <c r="B99" s="709" t="str">
        <f t="shared" si="24"/>
        <v>4Q01</v>
      </c>
      <c r="C99" s="709" t="str">
        <f t="shared" si="28"/>
        <v>4Q01</v>
      </c>
      <c r="D99" s="710">
        <f t="shared" si="32"/>
        <v>37246</v>
      </c>
      <c r="E99" s="710">
        <f t="shared" si="32"/>
        <v>37186</v>
      </c>
      <c r="F99" s="712">
        <v>1.3180000000000001</v>
      </c>
      <c r="G99" s="713">
        <f t="shared" si="25"/>
        <v>0.04</v>
      </c>
      <c r="H99" s="713">
        <f t="shared" si="26"/>
        <v>0.04</v>
      </c>
      <c r="I99" s="713">
        <f t="shared" si="33"/>
        <v>5.8499999999999872</v>
      </c>
      <c r="J99" s="713">
        <f t="shared" si="33"/>
        <v>5.899999999999987</v>
      </c>
      <c r="K99" s="713">
        <f t="shared" si="31"/>
        <v>0.95000000000000062</v>
      </c>
      <c r="L99" s="697"/>
      <c r="M99" s="697"/>
      <c r="N99" s="697"/>
      <c r="O99" s="697"/>
      <c r="P99" s="697"/>
      <c r="Q99" s="697"/>
      <c r="R99" s="697"/>
      <c r="S99" s="697"/>
      <c r="T99" s="697"/>
      <c r="U99" s="697"/>
      <c r="V99" s="697"/>
      <c r="W99" s="697"/>
      <c r="X99" s="697"/>
      <c r="Y99" s="697"/>
      <c r="Z99" s="697"/>
      <c r="AA99" s="697"/>
      <c r="AB99" s="697"/>
      <c r="AC99" s="697"/>
      <c r="AD99" s="697"/>
      <c r="AE99" s="697"/>
      <c r="AF99" s="697"/>
      <c r="AG99" s="697"/>
      <c r="AH99" s="697"/>
      <c r="AI99" s="697"/>
      <c r="AJ99" s="697"/>
      <c r="AK99" s="697"/>
      <c r="AL99" s="697"/>
      <c r="AM99" s="697"/>
      <c r="AN99" s="697"/>
      <c r="AO99" s="697"/>
      <c r="AP99" s="697"/>
      <c r="AQ99" s="697"/>
      <c r="AR99" s="697"/>
      <c r="AS99" s="697"/>
      <c r="AT99" s="697"/>
      <c r="AU99" s="697"/>
      <c r="AV99" s="697"/>
      <c r="AW99" s="697"/>
      <c r="AX99" s="697"/>
      <c r="AY99" s="697"/>
      <c r="AZ99" s="697"/>
      <c r="BA99" s="697"/>
      <c r="BB99" s="697"/>
      <c r="BC99" s="697"/>
      <c r="BD99" s="697"/>
      <c r="BE99" s="697"/>
      <c r="BF99" s="697"/>
      <c r="BG99" s="697"/>
      <c r="BH99" s="697"/>
      <c r="BI99" s="697"/>
      <c r="BJ99" s="697"/>
      <c r="BK99" s="697"/>
      <c r="BL99" s="697"/>
      <c r="BM99" s="697"/>
      <c r="BN99" s="697"/>
      <c r="BO99" s="697"/>
      <c r="BP99" s="697"/>
      <c r="BQ99" s="697"/>
      <c r="BR99" s="697"/>
      <c r="BS99" s="697"/>
      <c r="BT99" s="697"/>
      <c r="BU99" s="697"/>
      <c r="BV99" s="697"/>
      <c r="BW99" s="697"/>
      <c r="BX99" s="697"/>
      <c r="BY99" s="697"/>
      <c r="BZ99" s="697"/>
      <c r="CA99" s="697"/>
      <c r="CB99" s="697"/>
      <c r="CC99" s="697"/>
      <c r="CD99" s="697"/>
      <c r="CE99" s="697"/>
      <c r="CF99" s="697"/>
      <c r="CG99" s="697"/>
      <c r="CH99" s="697"/>
      <c r="CI99" s="697"/>
      <c r="CJ99" s="697"/>
      <c r="CK99" s="697"/>
      <c r="CL99" s="697"/>
      <c r="CM99" s="697"/>
      <c r="CN99" s="697"/>
      <c r="CO99" s="697"/>
      <c r="CP99" s="697"/>
      <c r="CQ99" s="697"/>
      <c r="CR99" s="697"/>
      <c r="CS99" s="697"/>
      <c r="CT99" s="697"/>
      <c r="CU99" s="697"/>
      <c r="CV99" s="697"/>
      <c r="CW99" s="697"/>
      <c r="CX99" s="697"/>
      <c r="CY99" s="697"/>
      <c r="CZ99" s="697"/>
      <c r="DA99" s="697"/>
    </row>
    <row r="100" spans="1:105" hidden="1" outlineLevel="1" x14ac:dyDescent="0.2">
      <c r="A100" s="709">
        <f t="shared" si="27"/>
        <v>37165</v>
      </c>
      <c r="B100" s="709" t="str">
        <f t="shared" si="24"/>
        <v>4Q01</v>
      </c>
      <c r="C100" s="709" t="str">
        <f t="shared" si="28"/>
        <v>4Q01</v>
      </c>
      <c r="D100" s="710">
        <f t="shared" si="32"/>
        <v>37253</v>
      </c>
      <c r="E100" s="710">
        <f t="shared" si="32"/>
        <v>37193</v>
      </c>
      <c r="F100" s="712">
        <v>1.31</v>
      </c>
      <c r="G100" s="713">
        <f t="shared" si="25"/>
        <v>0.04</v>
      </c>
      <c r="H100" s="713">
        <f t="shared" si="26"/>
        <v>0.03</v>
      </c>
      <c r="I100" s="713">
        <f t="shared" si="33"/>
        <v>5.899999999999987</v>
      </c>
      <c r="J100" s="713">
        <f t="shared" si="33"/>
        <v>5.9499999999999869</v>
      </c>
      <c r="K100" s="713">
        <f t="shared" si="31"/>
        <v>0.96000000000000063</v>
      </c>
      <c r="L100" s="697"/>
      <c r="M100" s="697"/>
      <c r="N100" s="697"/>
      <c r="O100" s="697"/>
      <c r="P100" s="697"/>
      <c r="Q100" s="697"/>
      <c r="R100" s="697"/>
      <c r="S100" s="697"/>
      <c r="T100" s="697"/>
      <c r="U100" s="697"/>
      <c r="V100" s="697"/>
      <c r="W100" s="697"/>
      <c r="X100" s="697"/>
      <c r="Y100" s="697"/>
      <c r="Z100" s="697"/>
      <c r="AA100" s="697"/>
      <c r="AB100" s="697"/>
      <c r="AC100" s="697"/>
      <c r="AD100" s="697"/>
      <c r="AE100" s="697"/>
      <c r="AF100" s="697"/>
      <c r="AG100" s="697"/>
      <c r="AH100" s="697"/>
      <c r="AI100" s="697"/>
      <c r="AJ100" s="697"/>
      <c r="AK100" s="697"/>
      <c r="AL100" s="697"/>
      <c r="AM100" s="697"/>
      <c r="AN100" s="697"/>
      <c r="AO100" s="697"/>
      <c r="AP100" s="697"/>
      <c r="AQ100" s="697"/>
      <c r="AR100" s="697"/>
      <c r="AS100" s="697"/>
      <c r="AT100" s="697"/>
      <c r="AU100" s="697"/>
      <c r="AV100" s="697"/>
      <c r="AW100" s="697"/>
      <c r="AX100" s="697"/>
      <c r="AY100" s="697"/>
      <c r="AZ100" s="697"/>
      <c r="BA100" s="697"/>
      <c r="BB100" s="697"/>
      <c r="BC100" s="697"/>
      <c r="BD100" s="697"/>
      <c r="BE100" s="697"/>
      <c r="BF100" s="697"/>
      <c r="BG100" s="697"/>
      <c r="BH100" s="697"/>
      <c r="BI100" s="697"/>
      <c r="BJ100" s="697"/>
      <c r="BK100" s="697"/>
      <c r="BL100" s="697"/>
      <c r="BM100" s="697"/>
      <c r="BN100" s="697"/>
      <c r="BO100" s="697"/>
      <c r="BP100" s="697"/>
      <c r="BQ100" s="697"/>
      <c r="BR100" s="697"/>
      <c r="BS100" s="697"/>
      <c r="BT100" s="697"/>
      <c r="BU100" s="697"/>
      <c r="BV100" s="697"/>
      <c r="BW100" s="697"/>
      <c r="BX100" s="697"/>
      <c r="BY100" s="697"/>
      <c r="BZ100" s="697"/>
      <c r="CA100" s="697"/>
      <c r="CB100" s="697"/>
      <c r="CC100" s="697"/>
      <c r="CD100" s="697"/>
      <c r="CE100" s="697"/>
      <c r="CF100" s="697"/>
      <c r="CG100" s="697"/>
      <c r="CH100" s="697"/>
      <c r="CI100" s="697"/>
      <c r="CJ100" s="697"/>
      <c r="CK100" s="697"/>
      <c r="CL100" s="697"/>
      <c r="CM100" s="697"/>
      <c r="CN100" s="697"/>
      <c r="CO100" s="697"/>
      <c r="CP100" s="697"/>
      <c r="CQ100" s="697"/>
      <c r="CR100" s="697"/>
      <c r="CS100" s="697"/>
      <c r="CT100" s="697"/>
      <c r="CU100" s="697"/>
      <c r="CV100" s="697"/>
      <c r="CW100" s="697"/>
      <c r="CX100" s="697"/>
      <c r="CY100" s="697"/>
      <c r="CZ100" s="697"/>
      <c r="DA100" s="697"/>
    </row>
    <row r="101" spans="1:105" hidden="1" outlineLevel="1" x14ac:dyDescent="0.2">
      <c r="A101" s="709">
        <f t="shared" si="27"/>
        <v>37196</v>
      </c>
      <c r="B101" s="709" t="str">
        <f t="shared" si="24"/>
        <v>4Q01</v>
      </c>
      <c r="C101" s="709" t="str">
        <f t="shared" si="28"/>
        <v>1Q02</v>
      </c>
      <c r="D101" s="710">
        <f t="shared" ref="D101:E116" si="34">D100+7</f>
        <v>37260</v>
      </c>
      <c r="E101" s="710">
        <f t="shared" si="34"/>
        <v>37200</v>
      </c>
      <c r="F101" s="712">
        <v>1.2909999999999999</v>
      </c>
      <c r="G101" s="713">
        <f t="shared" si="25"/>
        <v>0.03</v>
      </c>
      <c r="H101" s="713">
        <f t="shared" si="26"/>
        <v>0.03</v>
      </c>
      <c r="I101" s="713">
        <f t="shared" si="33"/>
        <v>5.9499999999999869</v>
      </c>
      <c r="J101" s="713">
        <f t="shared" si="33"/>
        <v>5.9999999999999867</v>
      </c>
      <c r="K101" s="713">
        <f t="shared" si="31"/>
        <v>0.97000000000000064</v>
      </c>
      <c r="L101" s="697"/>
      <c r="M101" s="697"/>
      <c r="N101" s="697"/>
      <c r="O101" s="697"/>
      <c r="P101" s="697"/>
      <c r="Q101" s="697"/>
      <c r="R101" s="697"/>
      <c r="S101" s="697"/>
      <c r="T101" s="697"/>
      <c r="U101" s="697"/>
      <c r="V101" s="697"/>
      <c r="W101" s="697"/>
      <c r="X101" s="697"/>
      <c r="Y101" s="697"/>
      <c r="Z101" s="697"/>
      <c r="AA101" s="697"/>
      <c r="AB101" s="697"/>
      <c r="AC101" s="697"/>
      <c r="AD101" s="697"/>
      <c r="AE101" s="697"/>
      <c r="AF101" s="697"/>
      <c r="AG101" s="697"/>
      <c r="AH101" s="697"/>
      <c r="AI101" s="697"/>
      <c r="AJ101" s="697"/>
      <c r="AK101" s="697"/>
      <c r="AL101" s="697"/>
      <c r="AM101" s="697"/>
      <c r="AN101" s="697"/>
      <c r="AO101" s="697"/>
      <c r="AP101" s="697"/>
      <c r="AQ101" s="697"/>
      <c r="AR101" s="697"/>
      <c r="AS101" s="697"/>
      <c r="AT101" s="697"/>
      <c r="AU101" s="697"/>
      <c r="AV101" s="697"/>
      <c r="AW101" s="697"/>
      <c r="AX101" s="697"/>
      <c r="AY101" s="697"/>
      <c r="AZ101" s="697"/>
      <c r="BA101" s="697"/>
      <c r="BB101" s="697"/>
      <c r="BC101" s="697"/>
      <c r="BD101" s="697"/>
      <c r="BE101" s="697"/>
      <c r="BF101" s="697"/>
      <c r="BG101" s="697"/>
      <c r="BH101" s="697"/>
      <c r="BI101" s="697"/>
      <c r="BJ101" s="697"/>
      <c r="BK101" s="697"/>
      <c r="BL101" s="697"/>
      <c r="BM101" s="697"/>
      <c r="BN101" s="697"/>
      <c r="BO101" s="697"/>
      <c r="BP101" s="697"/>
      <c r="BQ101" s="697"/>
      <c r="BR101" s="697"/>
      <c r="BS101" s="697"/>
      <c r="BT101" s="697"/>
      <c r="BU101" s="697"/>
      <c r="BV101" s="697"/>
      <c r="BW101" s="697"/>
      <c r="BX101" s="697"/>
      <c r="BY101" s="697"/>
      <c r="BZ101" s="697"/>
      <c r="CA101" s="697"/>
      <c r="CB101" s="697"/>
      <c r="CC101" s="697"/>
      <c r="CD101" s="697"/>
      <c r="CE101" s="697"/>
      <c r="CF101" s="697"/>
      <c r="CG101" s="697"/>
      <c r="CH101" s="697"/>
      <c r="CI101" s="697"/>
      <c r="CJ101" s="697"/>
      <c r="CK101" s="697"/>
      <c r="CL101" s="697"/>
      <c r="CM101" s="697"/>
      <c r="CN101" s="697"/>
      <c r="CO101" s="697"/>
      <c r="CP101" s="697"/>
      <c r="CQ101" s="697"/>
      <c r="CR101" s="697"/>
      <c r="CS101" s="697"/>
      <c r="CT101" s="697"/>
      <c r="CU101" s="697"/>
      <c r="CV101" s="697"/>
      <c r="CW101" s="697"/>
      <c r="CX101" s="697"/>
      <c r="CY101" s="697"/>
      <c r="CZ101" s="697"/>
      <c r="DA101" s="697"/>
    </row>
    <row r="102" spans="1:105" hidden="1" outlineLevel="1" x14ac:dyDescent="0.2">
      <c r="A102" s="709">
        <f t="shared" si="27"/>
        <v>37196</v>
      </c>
      <c r="B102" s="709" t="str">
        <f t="shared" si="24"/>
        <v>4Q01</v>
      </c>
      <c r="C102" s="709" t="str">
        <f t="shared" si="28"/>
        <v>1Q02</v>
      </c>
      <c r="D102" s="710">
        <f t="shared" si="34"/>
        <v>37267</v>
      </c>
      <c r="E102" s="710">
        <f t="shared" si="34"/>
        <v>37207</v>
      </c>
      <c r="F102" s="712">
        <v>1.2690000000000001</v>
      </c>
      <c r="G102" s="713">
        <f t="shared" si="25"/>
        <v>0.03</v>
      </c>
      <c r="H102" s="713">
        <f t="shared" si="26"/>
        <v>0.03</v>
      </c>
      <c r="I102" s="713">
        <f t="shared" ref="I102:J117" si="35">I101+0.05</f>
        <v>5.9999999999999867</v>
      </c>
      <c r="J102" s="713">
        <f t="shared" si="35"/>
        <v>6.0499999999999865</v>
      </c>
      <c r="K102" s="713">
        <f t="shared" si="31"/>
        <v>0.98000000000000065</v>
      </c>
      <c r="L102" s="697"/>
      <c r="M102" s="697"/>
      <c r="N102" s="697"/>
      <c r="O102" s="697"/>
      <c r="P102" s="697"/>
      <c r="Q102" s="697"/>
      <c r="R102" s="697"/>
      <c r="S102" s="697"/>
      <c r="T102" s="697"/>
      <c r="U102" s="697"/>
      <c r="V102" s="697"/>
      <c r="W102" s="697"/>
      <c r="X102" s="697"/>
      <c r="Y102" s="697"/>
      <c r="Z102" s="697"/>
      <c r="AA102" s="697"/>
      <c r="AB102" s="697"/>
      <c r="AC102" s="697"/>
      <c r="AD102" s="697"/>
      <c r="AE102" s="697"/>
      <c r="AF102" s="697"/>
      <c r="AG102" s="697"/>
      <c r="AH102" s="697"/>
      <c r="AI102" s="697"/>
      <c r="AJ102" s="697"/>
      <c r="AK102" s="697"/>
      <c r="AL102" s="697"/>
      <c r="AM102" s="697"/>
      <c r="AN102" s="697"/>
      <c r="AO102" s="697"/>
      <c r="AP102" s="697"/>
      <c r="AQ102" s="697"/>
      <c r="AR102" s="697"/>
      <c r="AS102" s="697"/>
      <c r="AT102" s="697"/>
      <c r="AU102" s="697"/>
      <c r="AV102" s="697"/>
      <c r="AW102" s="697"/>
      <c r="AX102" s="697"/>
      <c r="AY102" s="697"/>
      <c r="AZ102" s="697"/>
      <c r="BA102" s="697"/>
      <c r="BB102" s="697"/>
      <c r="BC102" s="697"/>
      <c r="BD102" s="697"/>
      <c r="BE102" s="697"/>
      <c r="BF102" s="697"/>
      <c r="BG102" s="697"/>
      <c r="BH102" s="697"/>
      <c r="BI102" s="697"/>
      <c r="BJ102" s="697"/>
      <c r="BK102" s="697"/>
      <c r="BL102" s="697"/>
      <c r="BM102" s="697"/>
      <c r="BN102" s="697"/>
      <c r="BO102" s="697"/>
      <c r="BP102" s="697"/>
      <c r="BQ102" s="697"/>
      <c r="BR102" s="697"/>
      <c r="BS102" s="697"/>
      <c r="BT102" s="697"/>
      <c r="BU102" s="697"/>
      <c r="BV102" s="697"/>
      <c r="BW102" s="697"/>
      <c r="BX102" s="697"/>
      <c r="BY102" s="697"/>
      <c r="BZ102" s="697"/>
      <c r="CA102" s="697"/>
      <c r="CB102" s="697"/>
      <c r="CC102" s="697"/>
      <c r="CD102" s="697"/>
      <c r="CE102" s="697"/>
      <c r="CF102" s="697"/>
      <c r="CG102" s="697"/>
      <c r="CH102" s="697"/>
      <c r="CI102" s="697"/>
      <c r="CJ102" s="697"/>
      <c r="CK102" s="697"/>
      <c r="CL102" s="697"/>
      <c r="CM102" s="697"/>
      <c r="CN102" s="697"/>
      <c r="CO102" s="697"/>
      <c r="CP102" s="697"/>
      <c r="CQ102" s="697"/>
      <c r="CR102" s="697"/>
      <c r="CS102" s="697"/>
      <c r="CT102" s="697"/>
      <c r="CU102" s="697"/>
      <c r="CV102" s="697"/>
      <c r="CW102" s="697"/>
      <c r="CX102" s="697"/>
      <c r="CY102" s="697"/>
      <c r="CZ102" s="697"/>
      <c r="DA102" s="697"/>
    </row>
    <row r="103" spans="1:105" hidden="1" outlineLevel="1" x14ac:dyDescent="0.2">
      <c r="A103" s="709">
        <f t="shared" si="27"/>
        <v>37196</v>
      </c>
      <c r="B103" s="709" t="str">
        <f t="shared" si="24"/>
        <v>4Q01</v>
      </c>
      <c r="C103" s="709" t="str">
        <f t="shared" si="28"/>
        <v>1Q02</v>
      </c>
      <c r="D103" s="710">
        <f t="shared" si="34"/>
        <v>37274</v>
      </c>
      <c r="E103" s="710">
        <f t="shared" si="34"/>
        <v>37214</v>
      </c>
      <c r="F103" s="712">
        <v>1.252</v>
      </c>
      <c r="G103" s="713">
        <f t="shared" si="25"/>
        <v>0.03</v>
      </c>
      <c r="H103" s="713">
        <f t="shared" si="26"/>
        <v>0.02</v>
      </c>
      <c r="I103" s="713">
        <f t="shared" si="35"/>
        <v>6.0499999999999865</v>
      </c>
      <c r="J103" s="713">
        <f t="shared" si="35"/>
        <v>6.0999999999999863</v>
      </c>
      <c r="K103" s="713">
        <f t="shared" si="31"/>
        <v>0.99000000000000066</v>
      </c>
      <c r="L103" s="697"/>
      <c r="M103" s="697"/>
      <c r="N103" s="697"/>
      <c r="O103" s="697"/>
      <c r="P103" s="697"/>
      <c r="Q103" s="697"/>
      <c r="R103" s="697"/>
      <c r="S103" s="697"/>
      <c r="T103" s="697"/>
      <c r="U103" s="697"/>
      <c r="V103" s="697"/>
      <c r="W103" s="697"/>
      <c r="X103" s="697"/>
      <c r="Y103" s="697"/>
      <c r="Z103" s="697"/>
      <c r="AA103" s="697"/>
      <c r="AB103" s="697"/>
      <c r="AC103" s="697"/>
      <c r="AD103" s="697"/>
      <c r="AE103" s="697"/>
      <c r="AF103" s="697"/>
      <c r="AG103" s="697"/>
      <c r="AH103" s="697"/>
      <c r="AI103" s="697"/>
      <c r="AJ103" s="697"/>
      <c r="AK103" s="697"/>
      <c r="AL103" s="697"/>
      <c r="AM103" s="697"/>
      <c r="AN103" s="697"/>
      <c r="AO103" s="697"/>
      <c r="AP103" s="697"/>
      <c r="AQ103" s="697"/>
      <c r="AR103" s="697"/>
      <c r="AS103" s="697"/>
      <c r="AT103" s="697"/>
      <c r="AU103" s="697"/>
      <c r="AV103" s="697"/>
      <c r="AW103" s="697"/>
      <c r="AX103" s="697"/>
      <c r="AY103" s="697"/>
      <c r="AZ103" s="697"/>
      <c r="BA103" s="697"/>
      <c r="BB103" s="697"/>
      <c r="BC103" s="697"/>
      <c r="BD103" s="697"/>
      <c r="BE103" s="697"/>
      <c r="BF103" s="697"/>
      <c r="BG103" s="697"/>
      <c r="BH103" s="697"/>
      <c r="BI103" s="697"/>
      <c r="BJ103" s="697"/>
      <c r="BK103" s="697"/>
      <c r="BL103" s="697"/>
      <c r="BM103" s="697"/>
      <c r="BN103" s="697"/>
      <c r="BO103" s="697"/>
      <c r="BP103" s="697"/>
      <c r="BQ103" s="697"/>
      <c r="BR103" s="697"/>
      <c r="BS103" s="697"/>
      <c r="BT103" s="697"/>
      <c r="BU103" s="697"/>
      <c r="BV103" s="697"/>
      <c r="BW103" s="697"/>
      <c r="BX103" s="697"/>
      <c r="BY103" s="697"/>
      <c r="BZ103" s="697"/>
      <c r="CA103" s="697"/>
      <c r="CB103" s="697"/>
      <c r="CC103" s="697"/>
      <c r="CD103" s="697"/>
      <c r="CE103" s="697"/>
      <c r="CF103" s="697"/>
      <c r="CG103" s="697"/>
      <c r="CH103" s="697"/>
      <c r="CI103" s="697"/>
      <c r="CJ103" s="697"/>
      <c r="CK103" s="697"/>
      <c r="CL103" s="697"/>
      <c r="CM103" s="697"/>
      <c r="CN103" s="697"/>
      <c r="CO103" s="697"/>
      <c r="CP103" s="697"/>
      <c r="CQ103" s="697"/>
      <c r="CR103" s="697"/>
      <c r="CS103" s="697"/>
      <c r="CT103" s="697"/>
      <c r="CU103" s="697"/>
      <c r="CV103" s="697"/>
      <c r="CW103" s="697"/>
      <c r="CX103" s="697"/>
      <c r="CY103" s="697"/>
      <c r="CZ103" s="697"/>
      <c r="DA103" s="697"/>
    </row>
    <row r="104" spans="1:105" hidden="1" outlineLevel="1" x14ac:dyDescent="0.2">
      <c r="A104" s="709">
        <f t="shared" si="27"/>
        <v>37196</v>
      </c>
      <c r="B104" s="709" t="str">
        <f t="shared" si="24"/>
        <v>4Q01</v>
      </c>
      <c r="C104" s="709" t="str">
        <f t="shared" si="28"/>
        <v>1Q02</v>
      </c>
      <c r="D104" s="710">
        <f t="shared" si="34"/>
        <v>37281</v>
      </c>
      <c r="E104" s="710">
        <f t="shared" si="34"/>
        <v>37221</v>
      </c>
      <c r="F104" s="712">
        <v>1.2229999999999999</v>
      </c>
      <c r="G104" s="713">
        <f t="shared" si="25"/>
        <v>0.02</v>
      </c>
      <c r="H104" s="713">
        <f t="shared" si="26"/>
        <v>0.01</v>
      </c>
      <c r="I104" s="713">
        <f t="shared" si="35"/>
        <v>6.0999999999999863</v>
      </c>
      <c r="J104" s="713">
        <f t="shared" si="35"/>
        <v>6.1499999999999861</v>
      </c>
      <c r="K104" s="713">
        <f t="shared" si="31"/>
        <v>1.0000000000000007</v>
      </c>
      <c r="L104" s="697"/>
      <c r="M104" s="697"/>
      <c r="N104" s="697"/>
      <c r="O104" s="697"/>
      <c r="P104" s="697"/>
      <c r="Q104" s="697"/>
      <c r="R104" s="697"/>
      <c r="S104" s="697"/>
      <c r="T104" s="697"/>
      <c r="U104" s="697"/>
      <c r="V104" s="697"/>
      <c r="W104" s="697"/>
      <c r="X104" s="697"/>
      <c r="Y104" s="697"/>
      <c r="Z104" s="697"/>
      <c r="AA104" s="697"/>
      <c r="AB104" s="697"/>
      <c r="AC104" s="697"/>
      <c r="AD104" s="697"/>
      <c r="AE104" s="697"/>
      <c r="AF104" s="697"/>
      <c r="AG104" s="697"/>
      <c r="AH104" s="697"/>
      <c r="AI104" s="697"/>
      <c r="AJ104" s="697"/>
      <c r="AK104" s="697"/>
      <c r="AL104" s="697"/>
      <c r="AM104" s="697"/>
      <c r="AN104" s="697"/>
      <c r="AO104" s="697"/>
      <c r="AP104" s="697"/>
      <c r="AQ104" s="697"/>
      <c r="AR104" s="697"/>
      <c r="AS104" s="697"/>
      <c r="AT104" s="697"/>
      <c r="AU104" s="697"/>
      <c r="AV104" s="697"/>
      <c r="AW104" s="697"/>
      <c r="AX104" s="697"/>
      <c r="AY104" s="697"/>
      <c r="AZ104" s="697"/>
      <c r="BA104" s="697"/>
      <c r="BB104" s="697"/>
      <c r="BC104" s="697"/>
      <c r="BD104" s="697"/>
      <c r="BE104" s="697"/>
      <c r="BF104" s="697"/>
      <c r="BG104" s="697"/>
      <c r="BH104" s="697"/>
      <c r="BI104" s="697"/>
      <c r="BJ104" s="697"/>
      <c r="BK104" s="697"/>
      <c r="BL104" s="697"/>
      <c r="BM104" s="697"/>
      <c r="BN104" s="697"/>
      <c r="BO104" s="697"/>
      <c r="BP104" s="697"/>
      <c r="BQ104" s="697"/>
      <c r="BR104" s="697"/>
      <c r="BS104" s="697"/>
      <c r="BT104" s="697"/>
      <c r="BU104" s="697"/>
      <c r="BV104" s="697"/>
      <c r="BW104" s="697"/>
      <c r="BX104" s="697"/>
      <c r="BY104" s="697"/>
      <c r="BZ104" s="697"/>
      <c r="CA104" s="697"/>
      <c r="CB104" s="697"/>
      <c r="CC104" s="697"/>
      <c r="CD104" s="697"/>
      <c r="CE104" s="697"/>
      <c r="CF104" s="697"/>
      <c r="CG104" s="697"/>
      <c r="CH104" s="697"/>
      <c r="CI104" s="697"/>
      <c r="CJ104" s="697"/>
      <c r="CK104" s="697"/>
      <c r="CL104" s="697"/>
      <c r="CM104" s="697"/>
      <c r="CN104" s="697"/>
      <c r="CO104" s="697"/>
      <c r="CP104" s="697"/>
      <c r="CQ104" s="697"/>
      <c r="CR104" s="697"/>
      <c r="CS104" s="697"/>
      <c r="CT104" s="697"/>
      <c r="CU104" s="697"/>
      <c r="CV104" s="697"/>
      <c r="CW104" s="697"/>
      <c r="CX104" s="697"/>
      <c r="CY104" s="697"/>
      <c r="CZ104" s="697"/>
      <c r="DA104" s="697"/>
    </row>
    <row r="105" spans="1:105" hidden="1" outlineLevel="1" x14ac:dyDescent="0.2">
      <c r="A105" s="709">
        <f t="shared" si="27"/>
        <v>37226</v>
      </c>
      <c r="B105" s="709" t="str">
        <f t="shared" si="24"/>
        <v>4Q01</v>
      </c>
      <c r="C105" s="709" t="str">
        <f t="shared" si="28"/>
        <v>1Q02</v>
      </c>
      <c r="D105" s="710">
        <f t="shared" si="34"/>
        <v>37288</v>
      </c>
      <c r="E105" s="710">
        <f t="shared" si="34"/>
        <v>37228</v>
      </c>
      <c r="F105" s="712">
        <v>1.194</v>
      </c>
      <c r="G105" s="713">
        <f t="shared" si="25"/>
        <v>0.01</v>
      </c>
      <c r="H105" s="713">
        <f t="shared" si="26"/>
        <v>0.01</v>
      </c>
      <c r="I105" s="713">
        <f t="shared" si="35"/>
        <v>6.1499999999999861</v>
      </c>
      <c r="J105" s="713">
        <f t="shared" si="35"/>
        <v>6.199999999999986</v>
      </c>
      <c r="K105" s="713">
        <f t="shared" si="31"/>
        <v>1.0100000000000007</v>
      </c>
      <c r="L105" s="697"/>
      <c r="M105" s="697"/>
      <c r="N105" s="697"/>
      <c r="O105" s="697"/>
      <c r="P105" s="697"/>
      <c r="Q105" s="697"/>
      <c r="R105" s="697"/>
      <c r="S105" s="697"/>
      <c r="T105" s="697"/>
      <c r="U105" s="697"/>
      <c r="V105" s="697"/>
      <c r="W105" s="697"/>
      <c r="X105" s="697"/>
      <c r="Y105" s="697"/>
      <c r="Z105" s="697"/>
      <c r="AA105" s="697"/>
      <c r="AB105" s="697"/>
      <c r="AC105" s="697"/>
      <c r="AD105" s="697"/>
      <c r="AE105" s="697"/>
      <c r="AF105" s="697"/>
      <c r="AG105" s="697"/>
      <c r="AH105" s="697"/>
      <c r="AI105" s="697"/>
      <c r="AJ105" s="697"/>
      <c r="AK105" s="697"/>
      <c r="AL105" s="697"/>
      <c r="AM105" s="697"/>
      <c r="AN105" s="697"/>
      <c r="AO105" s="697"/>
      <c r="AP105" s="697"/>
      <c r="AQ105" s="697"/>
      <c r="AR105" s="697"/>
      <c r="AS105" s="697"/>
      <c r="AT105" s="697"/>
      <c r="AU105" s="697"/>
      <c r="AV105" s="697"/>
      <c r="AW105" s="697"/>
      <c r="AX105" s="697"/>
      <c r="AY105" s="697"/>
      <c r="AZ105" s="697"/>
      <c r="BA105" s="697"/>
      <c r="BB105" s="697"/>
      <c r="BC105" s="697"/>
      <c r="BD105" s="697"/>
      <c r="BE105" s="697"/>
      <c r="BF105" s="697"/>
      <c r="BG105" s="697"/>
      <c r="BH105" s="697"/>
      <c r="BI105" s="697"/>
      <c r="BJ105" s="697"/>
      <c r="BK105" s="697"/>
      <c r="BL105" s="697"/>
      <c r="BM105" s="697"/>
      <c r="BN105" s="697"/>
      <c r="BO105" s="697"/>
      <c r="BP105" s="697"/>
      <c r="BQ105" s="697"/>
      <c r="BR105" s="697"/>
      <c r="BS105" s="697"/>
      <c r="BT105" s="697"/>
      <c r="BU105" s="697"/>
      <c r="BV105" s="697"/>
      <c r="BW105" s="697"/>
      <c r="BX105" s="697"/>
      <c r="BY105" s="697"/>
      <c r="BZ105" s="697"/>
      <c r="CA105" s="697"/>
      <c r="CB105" s="697"/>
      <c r="CC105" s="697"/>
      <c r="CD105" s="697"/>
      <c r="CE105" s="697"/>
      <c r="CF105" s="697"/>
      <c r="CG105" s="697"/>
      <c r="CH105" s="697"/>
      <c r="CI105" s="697"/>
      <c r="CJ105" s="697"/>
      <c r="CK105" s="697"/>
      <c r="CL105" s="697"/>
      <c r="CM105" s="697"/>
      <c r="CN105" s="697"/>
      <c r="CO105" s="697"/>
      <c r="CP105" s="697"/>
      <c r="CQ105" s="697"/>
      <c r="CR105" s="697"/>
      <c r="CS105" s="697"/>
      <c r="CT105" s="697"/>
      <c r="CU105" s="697"/>
      <c r="CV105" s="697"/>
      <c r="CW105" s="697"/>
      <c r="CX105" s="697"/>
      <c r="CY105" s="697"/>
      <c r="CZ105" s="697"/>
      <c r="DA105" s="697"/>
    </row>
    <row r="106" spans="1:105" hidden="1" outlineLevel="1" x14ac:dyDescent="0.2">
      <c r="A106" s="709">
        <f t="shared" si="27"/>
        <v>37226</v>
      </c>
      <c r="B106" s="709" t="str">
        <f t="shared" si="24"/>
        <v>4Q01</v>
      </c>
      <c r="C106" s="709" t="str">
        <f t="shared" si="28"/>
        <v>1Q02</v>
      </c>
      <c r="D106" s="710">
        <f t="shared" si="34"/>
        <v>37295</v>
      </c>
      <c r="E106" s="710">
        <f t="shared" si="34"/>
        <v>37235</v>
      </c>
      <c r="F106" s="712">
        <v>1.173</v>
      </c>
      <c r="G106" s="713">
        <f t="shared" si="25"/>
        <v>0.01</v>
      </c>
      <c r="H106" s="713">
        <f t="shared" si="26"/>
        <v>0</v>
      </c>
      <c r="I106" s="713">
        <f t="shared" si="35"/>
        <v>6.199999999999986</v>
      </c>
      <c r="J106" s="713">
        <f t="shared" si="35"/>
        <v>6.2499999999999858</v>
      </c>
      <c r="K106" s="713">
        <f t="shared" si="31"/>
        <v>1.0200000000000007</v>
      </c>
      <c r="L106" s="697"/>
      <c r="M106" s="697"/>
      <c r="N106" s="697"/>
      <c r="O106" s="697"/>
      <c r="P106" s="697"/>
      <c r="Q106" s="697"/>
      <c r="R106" s="697"/>
      <c r="S106" s="697"/>
      <c r="T106" s="697"/>
      <c r="U106" s="697"/>
      <c r="V106" s="697"/>
      <c r="W106" s="697"/>
      <c r="X106" s="697"/>
      <c r="Y106" s="697"/>
      <c r="Z106" s="697"/>
      <c r="AA106" s="697"/>
      <c r="AB106" s="697"/>
      <c r="AC106" s="697"/>
      <c r="AD106" s="697"/>
      <c r="AE106" s="697"/>
      <c r="AF106" s="697"/>
      <c r="AG106" s="697"/>
      <c r="AH106" s="697"/>
      <c r="AI106" s="697"/>
      <c r="AJ106" s="697"/>
      <c r="AK106" s="697"/>
      <c r="AL106" s="697"/>
      <c r="AM106" s="697"/>
      <c r="AN106" s="697"/>
      <c r="AO106" s="697"/>
      <c r="AP106" s="697"/>
      <c r="AQ106" s="697"/>
      <c r="AR106" s="697"/>
      <c r="AS106" s="697"/>
      <c r="AT106" s="697"/>
      <c r="AU106" s="697"/>
      <c r="AV106" s="697"/>
      <c r="AW106" s="697"/>
      <c r="AX106" s="697"/>
      <c r="AY106" s="697"/>
      <c r="AZ106" s="697"/>
      <c r="BA106" s="697"/>
      <c r="BB106" s="697"/>
      <c r="BC106" s="697"/>
      <c r="BD106" s="697"/>
      <c r="BE106" s="697"/>
      <c r="BF106" s="697"/>
      <c r="BG106" s="697"/>
      <c r="BH106" s="697"/>
      <c r="BI106" s="697"/>
      <c r="BJ106" s="697"/>
      <c r="BK106" s="697"/>
      <c r="BL106" s="697"/>
      <c r="BM106" s="697"/>
      <c r="BN106" s="697"/>
      <c r="BO106" s="697"/>
      <c r="BP106" s="697"/>
      <c r="BQ106" s="697"/>
      <c r="BR106" s="697"/>
      <c r="BS106" s="697"/>
      <c r="BT106" s="697"/>
      <c r="BU106" s="697"/>
      <c r="BV106" s="697"/>
      <c r="BW106" s="697"/>
      <c r="BX106" s="697"/>
      <c r="BY106" s="697"/>
      <c r="BZ106" s="697"/>
      <c r="CA106" s="697"/>
      <c r="CB106" s="697"/>
      <c r="CC106" s="697"/>
      <c r="CD106" s="697"/>
      <c r="CE106" s="697"/>
      <c r="CF106" s="697"/>
      <c r="CG106" s="697"/>
      <c r="CH106" s="697"/>
      <c r="CI106" s="697"/>
      <c r="CJ106" s="697"/>
      <c r="CK106" s="697"/>
      <c r="CL106" s="697"/>
      <c r="CM106" s="697"/>
      <c r="CN106" s="697"/>
      <c r="CO106" s="697"/>
      <c r="CP106" s="697"/>
      <c r="CQ106" s="697"/>
      <c r="CR106" s="697"/>
      <c r="CS106" s="697"/>
      <c r="CT106" s="697"/>
      <c r="CU106" s="697"/>
      <c r="CV106" s="697"/>
      <c r="CW106" s="697"/>
      <c r="CX106" s="697"/>
      <c r="CY106" s="697"/>
      <c r="CZ106" s="697"/>
      <c r="DA106" s="697"/>
    </row>
    <row r="107" spans="1:105" hidden="1" outlineLevel="1" x14ac:dyDescent="0.2">
      <c r="A107" s="709">
        <f t="shared" si="27"/>
        <v>37226</v>
      </c>
      <c r="B107" s="709" t="str">
        <f t="shared" si="24"/>
        <v>4Q01</v>
      </c>
      <c r="C107" s="709" t="str">
        <f t="shared" si="28"/>
        <v>1Q02</v>
      </c>
      <c r="D107" s="710">
        <f t="shared" si="34"/>
        <v>37302</v>
      </c>
      <c r="E107" s="710">
        <f t="shared" si="34"/>
        <v>37242</v>
      </c>
      <c r="F107" s="712">
        <v>1.143</v>
      </c>
      <c r="G107" s="713">
        <f t="shared" si="25"/>
        <v>0</v>
      </c>
      <c r="H107" s="713">
        <f t="shared" si="26"/>
        <v>0.01</v>
      </c>
      <c r="I107" s="713">
        <f t="shared" si="35"/>
        <v>6.2499999999999858</v>
      </c>
      <c r="J107" s="713">
        <f t="shared" si="35"/>
        <v>6.2999999999999856</v>
      </c>
      <c r="K107" s="713">
        <f t="shared" si="31"/>
        <v>1.0300000000000007</v>
      </c>
      <c r="L107" s="697"/>
      <c r="M107" s="697"/>
      <c r="N107" s="697"/>
      <c r="O107" s="697"/>
      <c r="P107" s="697"/>
      <c r="Q107" s="697"/>
      <c r="R107" s="697"/>
      <c r="S107" s="697"/>
      <c r="T107" s="697"/>
      <c r="U107" s="697"/>
      <c r="V107" s="697"/>
      <c r="W107" s="697"/>
      <c r="X107" s="697"/>
      <c r="Y107" s="697"/>
      <c r="Z107" s="697"/>
      <c r="AA107" s="697"/>
      <c r="AB107" s="697"/>
      <c r="AC107" s="697"/>
      <c r="AD107" s="697"/>
      <c r="AE107" s="697"/>
      <c r="AF107" s="697"/>
      <c r="AG107" s="697"/>
      <c r="AH107" s="697"/>
      <c r="AI107" s="697"/>
      <c r="AJ107" s="697"/>
      <c r="AK107" s="697"/>
      <c r="AL107" s="697"/>
      <c r="AM107" s="697"/>
      <c r="AN107" s="697"/>
      <c r="AO107" s="697"/>
      <c r="AP107" s="697"/>
      <c r="AQ107" s="697"/>
      <c r="AR107" s="697"/>
      <c r="AS107" s="697"/>
      <c r="AT107" s="697"/>
      <c r="AU107" s="697"/>
      <c r="AV107" s="697"/>
      <c r="AW107" s="697"/>
      <c r="AX107" s="697"/>
      <c r="AY107" s="697"/>
      <c r="AZ107" s="697"/>
      <c r="BA107" s="697"/>
      <c r="BB107" s="697"/>
      <c r="BC107" s="697"/>
      <c r="BD107" s="697"/>
      <c r="BE107" s="697"/>
      <c r="BF107" s="697"/>
      <c r="BG107" s="697"/>
      <c r="BH107" s="697"/>
      <c r="BI107" s="697"/>
      <c r="BJ107" s="697"/>
      <c r="BK107" s="697"/>
      <c r="BL107" s="697"/>
      <c r="BM107" s="697"/>
      <c r="BN107" s="697"/>
      <c r="BO107" s="697"/>
      <c r="BP107" s="697"/>
      <c r="BQ107" s="697"/>
      <c r="BR107" s="697"/>
      <c r="BS107" s="697"/>
      <c r="BT107" s="697"/>
      <c r="BU107" s="697"/>
      <c r="BV107" s="697"/>
      <c r="BW107" s="697"/>
      <c r="BX107" s="697"/>
      <c r="BY107" s="697"/>
      <c r="BZ107" s="697"/>
      <c r="CA107" s="697"/>
      <c r="CB107" s="697"/>
      <c r="CC107" s="697"/>
      <c r="CD107" s="697"/>
      <c r="CE107" s="697"/>
      <c r="CF107" s="697"/>
      <c r="CG107" s="697"/>
      <c r="CH107" s="697"/>
      <c r="CI107" s="697"/>
      <c r="CJ107" s="697"/>
      <c r="CK107" s="697"/>
      <c r="CL107" s="697"/>
      <c r="CM107" s="697"/>
      <c r="CN107" s="697"/>
      <c r="CO107" s="697"/>
      <c r="CP107" s="697"/>
      <c r="CQ107" s="697"/>
      <c r="CR107" s="697"/>
      <c r="CS107" s="697"/>
      <c r="CT107" s="697"/>
      <c r="CU107" s="697"/>
      <c r="CV107" s="697"/>
      <c r="CW107" s="697"/>
      <c r="CX107" s="697"/>
      <c r="CY107" s="697"/>
      <c r="CZ107" s="697"/>
      <c r="DA107" s="697"/>
    </row>
    <row r="108" spans="1:105" hidden="1" outlineLevel="1" x14ac:dyDescent="0.2">
      <c r="A108" s="709">
        <f t="shared" si="27"/>
        <v>37226</v>
      </c>
      <c r="B108" s="709" t="str">
        <f t="shared" si="24"/>
        <v>4Q01</v>
      </c>
      <c r="C108" s="709" t="str">
        <f t="shared" si="28"/>
        <v>1Q02</v>
      </c>
      <c r="D108" s="710">
        <f t="shared" si="34"/>
        <v>37309</v>
      </c>
      <c r="E108" s="710">
        <f t="shared" si="34"/>
        <v>37249</v>
      </c>
      <c r="F108" s="712">
        <v>1.1540000000000001</v>
      </c>
      <c r="G108" s="713">
        <f t="shared" si="25"/>
        <v>0.01</v>
      </c>
      <c r="H108" s="713">
        <f t="shared" si="26"/>
        <v>0.01</v>
      </c>
      <c r="I108" s="713">
        <f t="shared" si="35"/>
        <v>6.2999999999999856</v>
      </c>
      <c r="J108" s="713">
        <f t="shared" si="35"/>
        <v>6.3499999999999854</v>
      </c>
      <c r="K108" s="713">
        <f t="shared" si="31"/>
        <v>1.0400000000000007</v>
      </c>
      <c r="L108" s="697"/>
      <c r="M108" s="697"/>
      <c r="N108" s="697"/>
      <c r="O108" s="697"/>
      <c r="P108" s="697"/>
      <c r="Q108" s="697"/>
      <c r="R108" s="697"/>
      <c r="S108" s="697"/>
      <c r="T108" s="697"/>
      <c r="U108" s="697"/>
      <c r="V108" s="697"/>
      <c r="W108" s="697"/>
      <c r="X108" s="697"/>
      <c r="Y108" s="697"/>
      <c r="Z108" s="697"/>
      <c r="AA108" s="697"/>
      <c r="AB108" s="697"/>
      <c r="AC108" s="697"/>
      <c r="AD108" s="697"/>
      <c r="AE108" s="697"/>
      <c r="AF108" s="697"/>
      <c r="AG108" s="697"/>
      <c r="AH108" s="697"/>
      <c r="AI108" s="697"/>
      <c r="AJ108" s="697"/>
      <c r="AK108" s="697"/>
      <c r="AL108" s="697"/>
      <c r="AM108" s="697"/>
      <c r="AN108" s="697"/>
      <c r="AO108" s="697"/>
      <c r="AP108" s="697"/>
      <c r="AQ108" s="697"/>
      <c r="AR108" s="697"/>
      <c r="AS108" s="697"/>
      <c r="AT108" s="697"/>
      <c r="AU108" s="697"/>
      <c r="AV108" s="697"/>
      <c r="AW108" s="697"/>
      <c r="AX108" s="697"/>
      <c r="AY108" s="697"/>
      <c r="AZ108" s="697"/>
      <c r="BA108" s="697"/>
      <c r="BB108" s="697"/>
      <c r="BC108" s="697"/>
      <c r="BD108" s="697"/>
      <c r="BE108" s="697"/>
      <c r="BF108" s="697"/>
      <c r="BG108" s="697"/>
      <c r="BH108" s="697"/>
      <c r="BI108" s="697"/>
      <c r="BJ108" s="697"/>
      <c r="BK108" s="697"/>
      <c r="BL108" s="697"/>
      <c r="BM108" s="697"/>
      <c r="BN108" s="697"/>
      <c r="BO108" s="697"/>
      <c r="BP108" s="697"/>
      <c r="BQ108" s="697"/>
      <c r="BR108" s="697"/>
      <c r="BS108" s="697"/>
      <c r="BT108" s="697"/>
      <c r="BU108" s="697"/>
      <c r="BV108" s="697"/>
      <c r="BW108" s="697"/>
      <c r="BX108" s="697"/>
      <c r="BY108" s="697"/>
      <c r="BZ108" s="697"/>
      <c r="CA108" s="697"/>
      <c r="CB108" s="697"/>
      <c r="CC108" s="697"/>
      <c r="CD108" s="697"/>
      <c r="CE108" s="697"/>
      <c r="CF108" s="697"/>
      <c r="CG108" s="697"/>
      <c r="CH108" s="697"/>
      <c r="CI108" s="697"/>
      <c r="CJ108" s="697"/>
      <c r="CK108" s="697"/>
      <c r="CL108" s="697"/>
      <c r="CM108" s="697"/>
      <c r="CN108" s="697"/>
      <c r="CO108" s="697"/>
      <c r="CP108" s="697"/>
      <c r="CQ108" s="697"/>
      <c r="CR108" s="697"/>
      <c r="CS108" s="697"/>
      <c r="CT108" s="697"/>
      <c r="CU108" s="697"/>
      <c r="CV108" s="697"/>
      <c r="CW108" s="697"/>
      <c r="CX108" s="697"/>
      <c r="CY108" s="697"/>
      <c r="CZ108" s="697"/>
      <c r="DA108" s="697"/>
    </row>
    <row r="109" spans="1:105" hidden="1" outlineLevel="1" x14ac:dyDescent="0.2">
      <c r="A109" s="709">
        <f t="shared" si="27"/>
        <v>37226</v>
      </c>
      <c r="B109" s="709" t="str">
        <f t="shared" si="24"/>
        <v>4Q01</v>
      </c>
      <c r="C109" s="709" t="str">
        <f t="shared" si="28"/>
        <v>1Q02</v>
      </c>
      <c r="D109" s="710">
        <f t="shared" si="34"/>
        <v>37316</v>
      </c>
      <c r="E109" s="710">
        <f t="shared" si="34"/>
        <v>37256</v>
      </c>
      <c r="F109" s="712">
        <v>1.169</v>
      </c>
      <c r="G109" s="713">
        <f t="shared" si="25"/>
        <v>0.01</v>
      </c>
      <c r="H109" s="713">
        <f t="shared" si="26"/>
        <v>0.01</v>
      </c>
      <c r="I109" s="713">
        <f t="shared" si="35"/>
        <v>6.3499999999999854</v>
      </c>
      <c r="J109" s="713">
        <f t="shared" si="35"/>
        <v>6.3999999999999853</v>
      </c>
      <c r="K109" s="713">
        <f t="shared" si="31"/>
        <v>1.0500000000000007</v>
      </c>
      <c r="L109" s="697"/>
      <c r="M109" s="697"/>
      <c r="N109" s="697"/>
      <c r="O109" s="697"/>
      <c r="P109" s="697"/>
      <c r="Q109" s="697"/>
      <c r="R109" s="697"/>
      <c r="S109" s="697"/>
      <c r="T109" s="697"/>
      <c r="U109" s="697"/>
      <c r="V109" s="697"/>
      <c r="W109" s="697"/>
      <c r="X109" s="697"/>
      <c r="Y109" s="697"/>
      <c r="Z109" s="697"/>
      <c r="AA109" s="697"/>
      <c r="AB109" s="697"/>
      <c r="AC109" s="697"/>
      <c r="AD109" s="697"/>
      <c r="AE109" s="697"/>
      <c r="AF109" s="697"/>
      <c r="AG109" s="697"/>
      <c r="AH109" s="697"/>
      <c r="AI109" s="697"/>
      <c r="AJ109" s="697"/>
      <c r="AK109" s="697"/>
      <c r="AL109" s="697"/>
      <c r="AM109" s="697"/>
      <c r="AN109" s="697"/>
      <c r="AO109" s="697"/>
      <c r="AP109" s="697"/>
      <c r="AQ109" s="697"/>
      <c r="AR109" s="697"/>
      <c r="AS109" s="697"/>
      <c r="AT109" s="697"/>
      <c r="AU109" s="697"/>
      <c r="AV109" s="697"/>
      <c r="AW109" s="697"/>
      <c r="AX109" s="697"/>
      <c r="AY109" s="697"/>
      <c r="AZ109" s="697"/>
      <c r="BA109" s="697"/>
      <c r="BB109" s="697"/>
      <c r="BC109" s="697"/>
      <c r="BD109" s="697"/>
      <c r="BE109" s="697"/>
      <c r="BF109" s="697"/>
      <c r="BG109" s="697"/>
      <c r="BH109" s="697"/>
      <c r="BI109" s="697"/>
      <c r="BJ109" s="697"/>
      <c r="BK109" s="697"/>
      <c r="BL109" s="697"/>
      <c r="BM109" s="697"/>
      <c r="BN109" s="697"/>
      <c r="BO109" s="697"/>
      <c r="BP109" s="697"/>
      <c r="BQ109" s="697"/>
      <c r="BR109" s="697"/>
      <c r="BS109" s="697"/>
      <c r="BT109" s="697"/>
      <c r="BU109" s="697"/>
      <c r="BV109" s="697"/>
      <c r="BW109" s="697"/>
      <c r="BX109" s="697"/>
      <c r="BY109" s="697"/>
      <c r="BZ109" s="697"/>
      <c r="CA109" s="697"/>
      <c r="CB109" s="697"/>
      <c r="CC109" s="697"/>
      <c r="CD109" s="697"/>
      <c r="CE109" s="697"/>
      <c r="CF109" s="697"/>
      <c r="CG109" s="697"/>
      <c r="CH109" s="697"/>
      <c r="CI109" s="697"/>
      <c r="CJ109" s="697"/>
      <c r="CK109" s="697"/>
      <c r="CL109" s="697"/>
      <c r="CM109" s="697"/>
      <c r="CN109" s="697"/>
      <c r="CO109" s="697"/>
      <c r="CP109" s="697"/>
      <c r="CQ109" s="697"/>
      <c r="CR109" s="697"/>
      <c r="CS109" s="697"/>
      <c r="CT109" s="697"/>
      <c r="CU109" s="697"/>
      <c r="CV109" s="697"/>
      <c r="CW109" s="697"/>
      <c r="CX109" s="697"/>
      <c r="CY109" s="697"/>
      <c r="CZ109" s="697"/>
      <c r="DA109" s="697"/>
    </row>
    <row r="110" spans="1:105" hidden="1" outlineLevel="1" x14ac:dyDescent="0.2">
      <c r="A110" s="709">
        <f t="shared" si="27"/>
        <v>37257</v>
      </c>
      <c r="B110" s="709" t="str">
        <f t="shared" si="24"/>
        <v>1Q02</v>
      </c>
      <c r="C110" s="709" t="str">
        <f t="shared" si="28"/>
        <v>1Q02</v>
      </c>
      <c r="D110" s="710">
        <f t="shared" si="34"/>
        <v>37323</v>
      </c>
      <c r="E110" s="710">
        <f t="shared" si="34"/>
        <v>37263</v>
      </c>
      <c r="F110" s="712">
        <v>1.1679999999999999</v>
      </c>
      <c r="G110" s="713">
        <f t="shared" si="25"/>
        <v>0.01</v>
      </c>
      <c r="H110" s="713">
        <f t="shared" si="26"/>
        <v>0.01</v>
      </c>
      <c r="I110" s="713">
        <f t="shared" si="35"/>
        <v>6.3999999999999853</v>
      </c>
      <c r="J110" s="713">
        <f t="shared" si="35"/>
        <v>6.4499999999999851</v>
      </c>
      <c r="K110" s="713">
        <f t="shared" si="31"/>
        <v>1.0600000000000007</v>
      </c>
      <c r="L110" s="697"/>
      <c r="M110" s="697"/>
      <c r="N110" s="697"/>
      <c r="O110" s="697"/>
      <c r="P110" s="697"/>
      <c r="Q110" s="697"/>
      <c r="R110" s="697"/>
      <c r="S110" s="697"/>
      <c r="T110" s="697"/>
      <c r="U110" s="697"/>
      <c r="V110" s="697"/>
      <c r="W110" s="697"/>
      <c r="X110" s="697"/>
      <c r="Y110" s="697"/>
      <c r="Z110" s="697"/>
      <c r="AA110" s="697"/>
      <c r="AB110" s="697"/>
      <c r="AC110" s="697"/>
      <c r="AD110" s="697"/>
      <c r="AE110" s="697"/>
      <c r="AF110" s="697"/>
      <c r="AG110" s="697"/>
      <c r="AH110" s="697"/>
      <c r="AI110" s="697"/>
      <c r="AJ110" s="697"/>
      <c r="AK110" s="697"/>
      <c r="AL110" s="697"/>
      <c r="AM110" s="697"/>
      <c r="AN110" s="697"/>
      <c r="AO110" s="697"/>
      <c r="AP110" s="697"/>
      <c r="AQ110" s="697"/>
      <c r="AR110" s="697"/>
      <c r="AS110" s="697"/>
      <c r="AT110" s="697"/>
      <c r="AU110" s="697"/>
      <c r="AV110" s="697"/>
      <c r="AW110" s="697"/>
      <c r="AX110" s="697"/>
      <c r="AY110" s="697"/>
      <c r="AZ110" s="697"/>
      <c r="BA110" s="697"/>
      <c r="BB110" s="697"/>
      <c r="BC110" s="697"/>
      <c r="BD110" s="697"/>
      <c r="BE110" s="697"/>
      <c r="BF110" s="697"/>
      <c r="BG110" s="697"/>
      <c r="BH110" s="697"/>
      <c r="BI110" s="697"/>
      <c r="BJ110" s="697"/>
      <c r="BK110" s="697"/>
      <c r="BL110" s="697"/>
      <c r="BM110" s="697"/>
      <c r="BN110" s="697"/>
      <c r="BO110" s="697"/>
      <c r="BP110" s="697"/>
      <c r="BQ110" s="697"/>
      <c r="BR110" s="697"/>
      <c r="BS110" s="697"/>
      <c r="BT110" s="697"/>
      <c r="BU110" s="697"/>
      <c r="BV110" s="697"/>
      <c r="BW110" s="697"/>
      <c r="BX110" s="697"/>
      <c r="BY110" s="697"/>
      <c r="BZ110" s="697"/>
      <c r="CA110" s="697"/>
      <c r="CB110" s="697"/>
      <c r="CC110" s="697"/>
      <c r="CD110" s="697"/>
      <c r="CE110" s="697"/>
      <c r="CF110" s="697"/>
      <c r="CG110" s="697"/>
      <c r="CH110" s="697"/>
      <c r="CI110" s="697"/>
      <c r="CJ110" s="697"/>
      <c r="CK110" s="697"/>
      <c r="CL110" s="697"/>
      <c r="CM110" s="697"/>
      <c r="CN110" s="697"/>
      <c r="CO110" s="697"/>
      <c r="CP110" s="697"/>
      <c r="CQ110" s="697"/>
      <c r="CR110" s="697"/>
      <c r="CS110" s="697"/>
      <c r="CT110" s="697"/>
      <c r="CU110" s="697"/>
      <c r="CV110" s="697"/>
      <c r="CW110" s="697"/>
      <c r="CX110" s="697"/>
      <c r="CY110" s="697"/>
      <c r="CZ110" s="697"/>
      <c r="DA110" s="697"/>
    </row>
    <row r="111" spans="1:105" hidden="1" outlineLevel="1" x14ac:dyDescent="0.2">
      <c r="A111" s="709">
        <f t="shared" si="27"/>
        <v>37257</v>
      </c>
      <c r="B111" s="709" t="str">
        <f t="shared" si="24"/>
        <v>1Q02</v>
      </c>
      <c r="C111" s="709" t="str">
        <f t="shared" si="28"/>
        <v>1Q02</v>
      </c>
      <c r="D111" s="710">
        <f t="shared" si="34"/>
        <v>37330</v>
      </c>
      <c r="E111" s="710">
        <f t="shared" si="34"/>
        <v>37270</v>
      </c>
      <c r="F111" s="712">
        <v>1.159</v>
      </c>
      <c r="G111" s="713">
        <f t="shared" si="25"/>
        <v>0.01</v>
      </c>
      <c r="H111" s="713">
        <f t="shared" si="26"/>
        <v>0</v>
      </c>
      <c r="I111" s="713">
        <f t="shared" si="35"/>
        <v>6.4499999999999851</v>
      </c>
      <c r="J111" s="713">
        <f t="shared" si="35"/>
        <v>6.4999999999999849</v>
      </c>
      <c r="K111" s="713">
        <f t="shared" si="31"/>
        <v>1.0700000000000007</v>
      </c>
      <c r="L111" s="697"/>
      <c r="M111" s="697"/>
      <c r="N111" s="697"/>
      <c r="O111" s="697"/>
      <c r="P111" s="697"/>
      <c r="Q111" s="697"/>
      <c r="R111" s="697"/>
      <c r="S111" s="697"/>
      <c r="T111" s="697"/>
      <c r="U111" s="697"/>
      <c r="V111" s="697"/>
      <c r="W111" s="697"/>
      <c r="X111" s="697"/>
      <c r="Y111" s="697"/>
      <c r="Z111" s="697"/>
      <c r="AA111" s="697"/>
      <c r="AB111" s="697"/>
      <c r="AC111" s="697"/>
      <c r="AD111" s="697"/>
      <c r="AE111" s="697"/>
      <c r="AF111" s="697"/>
      <c r="AG111" s="697"/>
      <c r="AH111" s="697"/>
      <c r="AI111" s="697"/>
      <c r="AJ111" s="697"/>
      <c r="AK111" s="697"/>
      <c r="AL111" s="697"/>
      <c r="AM111" s="697"/>
      <c r="AN111" s="697"/>
      <c r="AO111" s="697"/>
      <c r="AP111" s="697"/>
      <c r="AQ111" s="697"/>
      <c r="AR111" s="697"/>
      <c r="AS111" s="697"/>
      <c r="AT111" s="697"/>
      <c r="AU111" s="697"/>
      <c r="AV111" s="697"/>
      <c r="AW111" s="697"/>
      <c r="AX111" s="697"/>
      <c r="AY111" s="697"/>
      <c r="AZ111" s="697"/>
      <c r="BA111" s="697"/>
      <c r="BB111" s="697"/>
      <c r="BC111" s="697"/>
      <c r="BD111" s="697"/>
      <c r="BE111" s="697"/>
      <c r="BF111" s="697"/>
      <c r="BG111" s="697"/>
      <c r="BH111" s="697"/>
      <c r="BI111" s="697"/>
      <c r="BJ111" s="697"/>
      <c r="BK111" s="697"/>
      <c r="BL111" s="697"/>
      <c r="BM111" s="697"/>
      <c r="BN111" s="697"/>
      <c r="BO111" s="697"/>
      <c r="BP111" s="697"/>
      <c r="BQ111" s="697"/>
      <c r="BR111" s="697"/>
      <c r="BS111" s="697"/>
      <c r="BT111" s="697"/>
      <c r="BU111" s="697"/>
      <c r="BV111" s="697"/>
      <c r="BW111" s="697"/>
      <c r="BX111" s="697"/>
      <c r="BY111" s="697"/>
      <c r="BZ111" s="697"/>
      <c r="CA111" s="697"/>
      <c r="CB111" s="697"/>
      <c r="CC111" s="697"/>
      <c r="CD111" s="697"/>
      <c r="CE111" s="697"/>
      <c r="CF111" s="697"/>
      <c r="CG111" s="697"/>
      <c r="CH111" s="697"/>
      <c r="CI111" s="697"/>
      <c r="CJ111" s="697"/>
      <c r="CK111" s="697"/>
      <c r="CL111" s="697"/>
      <c r="CM111" s="697"/>
      <c r="CN111" s="697"/>
      <c r="CO111" s="697"/>
      <c r="CP111" s="697"/>
      <c r="CQ111" s="697"/>
      <c r="CR111" s="697"/>
      <c r="CS111" s="697"/>
      <c r="CT111" s="697"/>
      <c r="CU111" s="697"/>
      <c r="CV111" s="697"/>
      <c r="CW111" s="697"/>
      <c r="CX111" s="697"/>
      <c r="CY111" s="697"/>
      <c r="CZ111" s="697"/>
      <c r="DA111" s="697"/>
    </row>
    <row r="112" spans="1:105" hidden="1" outlineLevel="1" x14ac:dyDescent="0.2">
      <c r="A112" s="709">
        <f t="shared" si="27"/>
        <v>37257</v>
      </c>
      <c r="B112" s="709" t="str">
        <f t="shared" si="24"/>
        <v>1Q02</v>
      </c>
      <c r="C112" s="709" t="str">
        <f t="shared" si="28"/>
        <v>1Q02</v>
      </c>
      <c r="D112" s="710">
        <f t="shared" si="34"/>
        <v>37337</v>
      </c>
      <c r="E112" s="710">
        <f t="shared" si="34"/>
        <v>37277</v>
      </c>
      <c r="F112" s="712">
        <v>1.1399999999999999</v>
      </c>
      <c r="G112" s="713">
        <f t="shared" si="25"/>
        <v>0</v>
      </c>
      <c r="H112" s="713">
        <f t="shared" si="26"/>
        <v>0</v>
      </c>
      <c r="I112" s="713">
        <f t="shared" si="35"/>
        <v>6.4999999999999849</v>
      </c>
      <c r="J112" s="713">
        <f t="shared" si="35"/>
        <v>6.5499999999999847</v>
      </c>
      <c r="K112" s="713">
        <f t="shared" si="31"/>
        <v>1.0800000000000007</v>
      </c>
      <c r="L112" s="697"/>
      <c r="M112" s="697"/>
      <c r="N112" s="697"/>
      <c r="O112" s="697"/>
      <c r="P112" s="697"/>
      <c r="Q112" s="697"/>
      <c r="R112" s="697"/>
      <c r="S112" s="697"/>
      <c r="T112" s="697"/>
      <c r="U112" s="697"/>
      <c r="V112" s="697"/>
      <c r="W112" s="697"/>
      <c r="X112" s="697"/>
      <c r="Y112" s="697"/>
      <c r="Z112" s="697"/>
      <c r="AA112" s="697"/>
      <c r="AB112" s="697"/>
      <c r="AC112" s="697"/>
      <c r="AD112" s="697"/>
      <c r="AE112" s="697"/>
      <c r="AF112" s="697"/>
      <c r="AG112" s="697"/>
      <c r="AH112" s="697"/>
      <c r="AI112" s="697"/>
      <c r="AJ112" s="697"/>
      <c r="AK112" s="697"/>
      <c r="AL112" s="697"/>
      <c r="AM112" s="697"/>
      <c r="AN112" s="697"/>
      <c r="AO112" s="697"/>
      <c r="AP112" s="697"/>
      <c r="AQ112" s="697"/>
      <c r="AR112" s="697"/>
      <c r="AS112" s="697"/>
      <c r="AT112" s="697"/>
      <c r="AU112" s="697"/>
      <c r="AV112" s="697"/>
      <c r="AW112" s="697"/>
      <c r="AX112" s="697"/>
      <c r="AY112" s="697"/>
      <c r="AZ112" s="697"/>
      <c r="BA112" s="697"/>
      <c r="BB112" s="697"/>
      <c r="BC112" s="697"/>
      <c r="BD112" s="697"/>
      <c r="BE112" s="697"/>
      <c r="BF112" s="697"/>
      <c r="BG112" s="697"/>
      <c r="BH112" s="697"/>
      <c r="BI112" s="697"/>
      <c r="BJ112" s="697"/>
      <c r="BK112" s="697"/>
      <c r="BL112" s="697"/>
      <c r="BM112" s="697"/>
      <c r="BN112" s="697"/>
      <c r="BO112" s="697"/>
      <c r="BP112" s="697"/>
      <c r="BQ112" s="697"/>
      <c r="BR112" s="697"/>
      <c r="BS112" s="697"/>
      <c r="BT112" s="697"/>
      <c r="BU112" s="697"/>
      <c r="BV112" s="697"/>
      <c r="BW112" s="697"/>
      <c r="BX112" s="697"/>
      <c r="BY112" s="697"/>
      <c r="BZ112" s="697"/>
      <c r="CA112" s="697"/>
      <c r="CB112" s="697"/>
      <c r="CC112" s="697"/>
      <c r="CD112" s="697"/>
      <c r="CE112" s="697"/>
      <c r="CF112" s="697"/>
      <c r="CG112" s="697"/>
      <c r="CH112" s="697"/>
      <c r="CI112" s="697"/>
      <c r="CJ112" s="697"/>
      <c r="CK112" s="697"/>
      <c r="CL112" s="697"/>
      <c r="CM112" s="697"/>
      <c r="CN112" s="697"/>
      <c r="CO112" s="697"/>
      <c r="CP112" s="697"/>
      <c r="CQ112" s="697"/>
      <c r="CR112" s="697"/>
      <c r="CS112" s="697"/>
      <c r="CT112" s="697"/>
      <c r="CU112" s="697"/>
      <c r="CV112" s="697"/>
      <c r="CW112" s="697"/>
      <c r="CX112" s="697"/>
      <c r="CY112" s="697"/>
      <c r="CZ112" s="697"/>
      <c r="DA112" s="697"/>
    </row>
    <row r="113" spans="1:105" hidden="1" outlineLevel="1" x14ac:dyDescent="0.2">
      <c r="A113" s="709">
        <f t="shared" si="27"/>
        <v>37257</v>
      </c>
      <c r="B113" s="709" t="str">
        <f t="shared" si="24"/>
        <v>1Q02</v>
      </c>
      <c r="C113" s="709" t="str">
        <f t="shared" si="28"/>
        <v>1Q02</v>
      </c>
      <c r="D113" s="710">
        <f t="shared" si="34"/>
        <v>37344</v>
      </c>
      <c r="E113" s="710">
        <f t="shared" si="34"/>
        <v>37284</v>
      </c>
      <c r="F113" s="712">
        <v>1.1440000000000001</v>
      </c>
      <c r="G113" s="713">
        <f t="shared" si="25"/>
        <v>0</v>
      </c>
      <c r="H113" s="713">
        <f t="shared" si="26"/>
        <v>0</v>
      </c>
      <c r="I113" s="713">
        <f t="shared" si="35"/>
        <v>6.5499999999999847</v>
      </c>
      <c r="J113" s="713">
        <f t="shared" si="35"/>
        <v>6.5999999999999845</v>
      </c>
      <c r="K113" s="713">
        <f t="shared" si="31"/>
        <v>1.0900000000000007</v>
      </c>
      <c r="L113" s="697"/>
      <c r="M113" s="697"/>
      <c r="N113" s="697"/>
      <c r="O113" s="697"/>
      <c r="P113" s="697"/>
      <c r="Q113" s="697"/>
      <c r="R113" s="697"/>
      <c r="S113" s="697"/>
      <c r="T113" s="697"/>
      <c r="U113" s="697"/>
      <c r="V113" s="697"/>
      <c r="W113" s="697"/>
      <c r="X113" s="697"/>
      <c r="Y113" s="697"/>
      <c r="Z113" s="697"/>
      <c r="AA113" s="697"/>
      <c r="AB113" s="697"/>
      <c r="AC113" s="697"/>
      <c r="AD113" s="697"/>
      <c r="AE113" s="697"/>
      <c r="AF113" s="697"/>
      <c r="AG113" s="697"/>
      <c r="AH113" s="697"/>
      <c r="AI113" s="697"/>
      <c r="AJ113" s="697"/>
      <c r="AK113" s="697"/>
      <c r="AL113" s="697"/>
      <c r="AM113" s="697"/>
      <c r="AN113" s="697"/>
      <c r="AO113" s="697"/>
      <c r="AP113" s="697"/>
      <c r="AQ113" s="697"/>
      <c r="AR113" s="697"/>
      <c r="AS113" s="697"/>
      <c r="AT113" s="697"/>
      <c r="AU113" s="697"/>
      <c r="AV113" s="697"/>
      <c r="AW113" s="697"/>
      <c r="AX113" s="697"/>
      <c r="AY113" s="697"/>
      <c r="AZ113" s="697"/>
      <c r="BA113" s="697"/>
      <c r="BB113" s="697"/>
      <c r="BC113" s="697"/>
      <c r="BD113" s="697"/>
      <c r="BE113" s="697"/>
      <c r="BF113" s="697"/>
      <c r="BG113" s="697"/>
      <c r="BH113" s="697"/>
      <c r="BI113" s="697"/>
      <c r="BJ113" s="697"/>
      <c r="BK113" s="697"/>
      <c r="BL113" s="697"/>
      <c r="BM113" s="697"/>
      <c r="BN113" s="697"/>
      <c r="BO113" s="697"/>
      <c r="BP113" s="697"/>
      <c r="BQ113" s="697"/>
      <c r="BR113" s="697"/>
      <c r="BS113" s="697"/>
      <c r="BT113" s="697"/>
      <c r="BU113" s="697"/>
      <c r="BV113" s="697"/>
      <c r="BW113" s="697"/>
      <c r="BX113" s="697"/>
      <c r="BY113" s="697"/>
      <c r="BZ113" s="697"/>
      <c r="CA113" s="697"/>
      <c r="CB113" s="697"/>
      <c r="CC113" s="697"/>
      <c r="CD113" s="697"/>
      <c r="CE113" s="697"/>
      <c r="CF113" s="697"/>
      <c r="CG113" s="697"/>
      <c r="CH113" s="697"/>
      <c r="CI113" s="697"/>
      <c r="CJ113" s="697"/>
      <c r="CK113" s="697"/>
      <c r="CL113" s="697"/>
      <c r="CM113" s="697"/>
      <c r="CN113" s="697"/>
      <c r="CO113" s="697"/>
      <c r="CP113" s="697"/>
      <c r="CQ113" s="697"/>
      <c r="CR113" s="697"/>
      <c r="CS113" s="697"/>
      <c r="CT113" s="697"/>
      <c r="CU113" s="697"/>
      <c r="CV113" s="697"/>
      <c r="CW113" s="697"/>
      <c r="CX113" s="697"/>
      <c r="CY113" s="697"/>
      <c r="CZ113" s="697"/>
      <c r="DA113" s="697"/>
    </row>
    <row r="114" spans="1:105" hidden="1" outlineLevel="1" x14ac:dyDescent="0.2">
      <c r="A114" s="709">
        <f t="shared" si="27"/>
        <v>37288</v>
      </c>
      <c r="B114" s="709" t="str">
        <f t="shared" si="24"/>
        <v>1Q02</v>
      </c>
      <c r="C114" s="709" t="str">
        <f t="shared" si="28"/>
        <v>2Q02</v>
      </c>
      <c r="D114" s="710">
        <f t="shared" si="34"/>
        <v>37351</v>
      </c>
      <c r="E114" s="710">
        <f t="shared" si="34"/>
        <v>37291</v>
      </c>
      <c r="F114" s="712">
        <v>1.1440000000000001</v>
      </c>
      <c r="G114" s="713">
        <f t="shared" si="25"/>
        <v>0</v>
      </c>
      <c r="H114" s="713">
        <f t="shared" si="26"/>
        <v>0.01</v>
      </c>
      <c r="I114" s="713">
        <f t="shared" si="35"/>
        <v>6.5999999999999845</v>
      </c>
      <c r="J114" s="713">
        <f t="shared" si="35"/>
        <v>6.6499999999999844</v>
      </c>
      <c r="K114" s="713">
        <f t="shared" si="31"/>
        <v>1.1000000000000008</v>
      </c>
      <c r="L114" s="697"/>
      <c r="M114" s="697"/>
      <c r="N114" s="697"/>
      <c r="O114" s="697"/>
      <c r="P114" s="697"/>
      <c r="Q114" s="697"/>
      <c r="R114" s="697"/>
      <c r="S114" s="697"/>
      <c r="T114" s="697"/>
      <c r="U114" s="697"/>
      <c r="V114" s="697"/>
      <c r="W114" s="697"/>
      <c r="X114" s="697"/>
      <c r="Y114" s="697"/>
      <c r="Z114" s="697"/>
      <c r="AA114" s="697"/>
      <c r="AB114" s="697"/>
      <c r="AC114" s="697"/>
      <c r="AD114" s="697"/>
      <c r="AE114" s="697"/>
      <c r="AF114" s="697"/>
      <c r="AG114" s="697"/>
      <c r="AH114" s="697"/>
      <c r="AI114" s="697"/>
      <c r="AJ114" s="697"/>
      <c r="AK114" s="697"/>
      <c r="AL114" s="697"/>
      <c r="AM114" s="697"/>
      <c r="AN114" s="697"/>
      <c r="AO114" s="697"/>
      <c r="AP114" s="697"/>
      <c r="AQ114" s="697"/>
      <c r="AR114" s="697"/>
      <c r="AS114" s="697"/>
      <c r="AT114" s="697"/>
      <c r="AU114" s="697"/>
      <c r="AV114" s="697"/>
      <c r="AW114" s="697"/>
      <c r="AX114" s="697"/>
      <c r="AY114" s="697"/>
      <c r="AZ114" s="697"/>
      <c r="BA114" s="697"/>
      <c r="BB114" s="697"/>
      <c r="BC114" s="697"/>
      <c r="BD114" s="697"/>
      <c r="BE114" s="697"/>
      <c r="BF114" s="697"/>
      <c r="BG114" s="697"/>
      <c r="BH114" s="697"/>
      <c r="BI114" s="697"/>
      <c r="BJ114" s="697"/>
      <c r="BK114" s="697"/>
      <c r="BL114" s="697"/>
      <c r="BM114" s="697"/>
      <c r="BN114" s="697"/>
      <c r="BO114" s="697"/>
      <c r="BP114" s="697"/>
      <c r="BQ114" s="697"/>
      <c r="BR114" s="697"/>
      <c r="BS114" s="697"/>
      <c r="BT114" s="697"/>
      <c r="BU114" s="697"/>
      <c r="BV114" s="697"/>
      <c r="BW114" s="697"/>
      <c r="BX114" s="697"/>
      <c r="BY114" s="697"/>
      <c r="BZ114" s="697"/>
      <c r="CA114" s="697"/>
      <c r="CB114" s="697"/>
      <c r="CC114" s="697"/>
      <c r="CD114" s="697"/>
      <c r="CE114" s="697"/>
      <c r="CF114" s="697"/>
      <c r="CG114" s="697"/>
      <c r="CH114" s="697"/>
      <c r="CI114" s="697"/>
      <c r="CJ114" s="697"/>
      <c r="CK114" s="697"/>
      <c r="CL114" s="697"/>
      <c r="CM114" s="697"/>
      <c r="CN114" s="697"/>
      <c r="CO114" s="697"/>
      <c r="CP114" s="697"/>
      <c r="CQ114" s="697"/>
      <c r="CR114" s="697"/>
      <c r="CS114" s="697"/>
      <c r="CT114" s="697"/>
      <c r="CU114" s="697"/>
      <c r="CV114" s="697"/>
      <c r="CW114" s="697"/>
      <c r="CX114" s="697"/>
      <c r="CY114" s="697"/>
      <c r="CZ114" s="697"/>
      <c r="DA114" s="697"/>
    </row>
    <row r="115" spans="1:105" hidden="1" outlineLevel="1" x14ac:dyDescent="0.2">
      <c r="A115" s="709">
        <f t="shared" si="27"/>
        <v>37288</v>
      </c>
      <c r="B115" s="709" t="str">
        <f t="shared" si="24"/>
        <v>1Q02</v>
      </c>
      <c r="C115" s="709" t="str">
        <f t="shared" si="28"/>
        <v>2Q02</v>
      </c>
      <c r="D115" s="710">
        <f t="shared" si="34"/>
        <v>37358</v>
      </c>
      <c r="E115" s="710">
        <f t="shared" si="34"/>
        <v>37298</v>
      </c>
      <c r="F115" s="712">
        <v>1.153</v>
      </c>
      <c r="G115" s="713">
        <f t="shared" si="25"/>
        <v>0.01</v>
      </c>
      <c r="H115" s="713">
        <f t="shared" si="26"/>
        <v>0.01</v>
      </c>
      <c r="I115" s="713">
        <f t="shared" si="35"/>
        <v>6.6499999999999844</v>
      </c>
      <c r="J115" s="713">
        <f t="shared" si="35"/>
        <v>6.6999999999999842</v>
      </c>
      <c r="K115" s="713">
        <f t="shared" si="31"/>
        <v>1.1100000000000008</v>
      </c>
      <c r="L115" s="697"/>
      <c r="M115" s="697"/>
      <c r="N115" s="697"/>
      <c r="O115" s="697"/>
      <c r="P115" s="697"/>
      <c r="Q115" s="697"/>
      <c r="R115" s="697"/>
      <c r="S115" s="697"/>
      <c r="T115" s="697"/>
      <c r="U115" s="697"/>
      <c r="V115" s="697"/>
      <c r="W115" s="697"/>
      <c r="X115" s="697"/>
      <c r="Y115" s="697"/>
      <c r="Z115" s="697"/>
      <c r="AA115" s="697"/>
      <c r="AB115" s="697"/>
      <c r="AC115" s="697"/>
      <c r="AD115" s="697"/>
      <c r="AE115" s="697"/>
      <c r="AF115" s="697"/>
      <c r="AG115" s="697"/>
      <c r="AH115" s="697"/>
      <c r="AI115" s="697"/>
      <c r="AJ115" s="697"/>
      <c r="AK115" s="697"/>
      <c r="AL115" s="697"/>
      <c r="AM115" s="697"/>
      <c r="AN115" s="697"/>
      <c r="AO115" s="697"/>
      <c r="AP115" s="697"/>
      <c r="AQ115" s="697"/>
      <c r="AR115" s="697"/>
      <c r="AS115" s="697"/>
      <c r="AT115" s="697"/>
      <c r="AU115" s="697"/>
      <c r="AV115" s="697"/>
      <c r="AW115" s="697"/>
      <c r="AX115" s="697"/>
      <c r="AY115" s="697"/>
      <c r="AZ115" s="697"/>
      <c r="BA115" s="697"/>
      <c r="BB115" s="697"/>
      <c r="BC115" s="697"/>
      <c r="BD115" s="697"/>
      <c r="BE115" s="697"/>
      <c r="BF115" s="697"/>
      <c r="BG115" s="697"/>
      <c r="BH115" s="697"/>
      <c r="BI115" s="697"/>
      <c r="BJ115" s="697"/>
      <c r="BK115" s="697"/>
      <c r="BL115" s="697"/>
      <c r="BM115" s="697"/>
      <c r="BN115" s="697"/>
      <c r="BO115" s="697"/>
      <c r="BP115" s="697"/>
      <c r="BQ115" s="697"/>
      <c r="BR115" s="697"/>
      <c r="BS115" s="697"/>
      <c r="BT115" s="697"/>
      <c r="BU115" s="697"/>
      <c r="BV115" s="697"/>
      <c r="BW115" s="697"/>
      <c r="BX115" s="697"/>
      <c r="BY115" s="697"/>
      <c r="BZ115" s="697"/>
      <c r="CA115" s="697"/>
      <c r="CB115" s="697"/>
      <c r="CC115" s="697"/>
      <c r="CD115" s="697"/>
      <c r="CE115" s="697"/>
      <c r="CF115" s="697"/>
      <c r="CG115" s="697"/>
      <c r="CH115" s="697"/>
      <c r="CI115" s="697"/>
      <c r="CJ115" s="697"/>
      <c r="CK115" s="697"/>
      <c r="CL115" s="697"/>
      <c r="CM115" s="697"/>
      <c r="CN115" s="697"/>
      <c r="CO115" s="697"/>
      <c r="CP115" s="697"/>
      <c r="CQ115" s="697"/>
      <c r="CR115" s="697"/>
      <c r="CS115" s="697"/>
      <c r="CT115" s="697"/>
      <c r="CU115" s="697"/>
      <c r="CV115" s="697"/>
      <c r="CW115" s="697"/>
      <c r="CX115" s="697"/>
      <c r="CY115" s="697"/>
      <c r="CZ115" s="697"/>
      <c r="DA115" s="697"/>
    </row>
    <row r="116" spans="1:105" hidden="1" outlineLevel="1" x14ac:dyDescent="0.2">
      <c r="A116" s="709">
        <f t="shared" si="27"/>
        <v>37288</v>
      </c>
      <c r="B116" s="709" t="str">
        <f t="shared" si="24"/>
        <v>1Q02</v>
      </c>
      <c r="C116" s="709" t="str">
        <f t="shared" si="28"/>
        <v>2Q02</v>
      </c>
      <c r="D116" s="710">
        <f t="shared" si="34"/>
        <v>37365</v>
      </c>
      <c r="E116" s="710">
        <f t="shared" si="34"/>
        <v>37305</v>
      </c>
      <c r="F116" s="712">
        <v>1.1559999999999999</v>
      </c>
      <c r="G116" s="713">
        <f t="shared" si="25"/>
        <v>0.01</v>
      </c>
      <c r="H116" s="713">
        <f t="shared" si="26"/>
        <v>0.01</v>
      </c>
      <c r="I116" s="713">
        <f t="shared" si="35"/>
        <v>6.6999999999999842</v>
      </c>
      <c r="J116" s="713">
        <f t="shared" si="35"/>
        <v>6.749999999999984</v>
      </c>
      <c r="K116" s="713">
        <f t="shared" si="31"/>
        <v>1.1200000000000008</v>
      </c>
      <c r="L116" s="697"/>
      <c r="M116" s="697"/>
      <c r="N116" s="697"/>
      <c r="O116" s="697"/>
      <c r="P116" s="697"/>
      <c r="Q116" s="697"/>
      <c r="R116" s="697"/>
      <c r="S116" s="697"/>
      <c r="T116" s="697"/>
      <c r="U116" s="697"/>
      <c r="V116" s="697"/>
      <c r="W116" s="697"/>
      <c r="X116" s="697"/>
      <c r="Y116" s="697"/>
      <c r="Z116" s="697"/>
      <c r="AA116" s="697"/>
      <c r="AB116" s="697"/>
      <c r="AC116" s="697"/>
      <c r="AD116" s="697"/>
      <c r="AE116" s="697"/>
      <c r="AF116" s="697"/>
      <c r="AG116" s="697"/>
      <c r="AH116" s="697"/>
      <c r="AI116" s="697"/>
      <c r="AJ116" s="697"/>
      <c r="AK116" s="697"/>
      <c r="AL116" s="697"/>
      <c r="AM116" s="697"/>
      <c r="AN116" s="697"/>
      <c r="AO116" s="697"/>
      <c r="AP116" s="697"/>
      <c r="AQ116" s="697"/>
      <c r="AR116" s="697"/>
      <c r="AS116" s="697"/>
      <c r="AT116" s="697"/>
      <c r="AU116" s="697"/>
      <c r="AV116" s="697"/>
      <c r="AW116" s="697"/>
      <c r="AX116" s="697"/>
      <c r="AY116" s="697"/>
      <c r="AZ116" s="697"/>
      <c r="BA116" s="697"/>
      <c r="BB116" s="697"/>
      <c r="BC116" s="697"/>
      <c r="BD116" s="697"/>
      <c r="BE116" s="697"/>
      <c r="BF116" s="697"/>
      <c r="BG116" s="697"/>
      <c r="BH116" s="697"/>
      <c r="BI116" s="697"/>
      <c r="BJ116" s="697"/>
      <c r="BK116" s="697"/>
      <c r="BL116" s="697"/>
      <c r="BM116" s="697"/>
      <c r="BN116" s="697"/>
      <c r="BO116" s="697"/>
      <c r="BP116" s="697"/>
      <c r="BQ116" s="697"/>
      <c r="BR116" s="697"/>
      <c r="BS116" s="697"/>
      <c r="BT116" s="697"/>
      <c r="BU116" s="697"/>
      <c r="BV116" s="697"/>
      <c r="BW116" s="697"/>
      <c r="BX116" s="697"/>
      <c r="BY116" s="697"/>
      <c r="BZ116" s="697"/>
      <c r="CA116" s="697"/>
      <c r="CB116" s="697"/>
      <c r="CC116" s="697"/>
      <c r="CD116" s="697"/>
      <c r="CE116" s="697"/>
      <c r="CF116" s="697"/>
      <c r="CG116" s="697"/>
      <c r="CH116" s="697"/>
      <c r="CI116" s="697"/>
      <c r="CJ116" s="697"/>
      <c r="CK116" s="697"/>
      <c r="CL116" s="697"/>
      <c r="CM116" s="697"/>
      <c r="CN116" s="697"/>
      <c r="CO116" s="697"/>
      <c r="CP116" s="697"/>
      <c r="CQ116" s="697"/>
      <c r="CR116" s="697"/>
      <c r="CS116" s="697"/>
      <c r="CT116" s="697"/>
      <c r="CU116" s="697"/>
      <c r="CV116" s="697"/>
      <c r="CW116" s="697"/>
      <c r="CX116" s="697"/>
      <c r="CY116" s="697"/>
      <c r="CZ116" s="697"/>
      <c r="DA116" s="697"/>
    </row>
    <row r="117" spans="1:105" hidden="1" outlineLevel="1" x14ac:dyDescent="0.2">
      <c r="A117" s="709">
        <f t="shared" si="27"/>
        <v>37288</v>
      </c>
      <c r="B117" s="709" t="str">
        <f t="shared" si="24"/>
        <v>1Q02</v>
      </c>
      <c r="C117" s="709" t="str">
        <f t="shared" si="28"/>
        <v>2Q02</v>
      </c>
      <c r="D117" s="710">
        <f t="shared" ref="D117:E132" si="36">D116+7</f>
        <v>37372</v>
      </c>
      <c r="E117" s="710">
        <f t="shared" si="36"/>
        <v>37312</v>
      </c>
      <c r="F117" s="712">
        <v>1.1540000000000001</v>
      </c>
      <c r="G117" s="713">
        <f t="shared" si="25"/>
        <v>0.01</v>
      </c>
      <c r="H117" s="713">
        <f t="shared" si="26"/>
        <v>0.01</v>
      </c>
      <c r="I117" s="713">
        <f t="shared" si="35"/>
        <v>6.749999999999984</v>
      </c>
      <c r="J117" s="713">
        <f t="shared" si="35"/>
        <v>6.7999999999999838</v>
      </c>
      <c r="K117" s="713">
        <f t="shared" si="31"/>
        <v>1.1300000000000008</v>
      </c>
      <c r="L117" s="697"/>
      <c r="M117" s="697"/>
      <c r="N117" s="697"/>
      <c r="O117" s="697"/>
      <c r="P117" s="697"/>
      <c r="Q117" s="697"/>
      <c r="R117" s="697"/>
      <c r="S117" s="697"/>
      <c r="T117" s="697"/>
      <c r="U117" s="697"/>
      <c r="V117" s="697"/>
      <c r="W117" s="697"/>
      <c r="X117" s="697"/>
      <c r="Y117" s="697"/>
      <c r="Z117" s="697"/>
      <c r="AA117" s="697"/>
      <c r="AB117" s="697"/>
      <c r="AC117" s="697"/>
      <c r="AD117" s="697"/>
      <c r="AE117" s="697"/>
      <c r="AF117" s="697"/>
      <c r="AG117" s="697"/>
      <c r="AH117" s="697"/>
      <c r="AI117" s="697"/>
      <c r="AJ117" s="697"/>
      <c r="AK117" s="697"/>
      <c r="AL117" s="697"/>
      <c r="AM117" s="697"/>
      <c r="AN117" s="697"/>
      <c r="AO117" s="697"/>
      <c r="AP117" s="697"/>
      <c r="AQ117" s="697"/>
      <c r="AR117" s="697"/>
      <c r="AS117" s="697"/>
      <c r="AT117" s="697"/>
      <c r="AU117" s="697"/>
      <c r="AV117" s="697"/>
      <c r="AW117" s="697"/>
      <c r="AX117" s="697"/>
      <c r="AY117" s="697"/>
      <c r="AZ117" s="697"/>
      <c r="BA117" s="697"/>
      <c r="BB117" s="697"/>
      <c r="BC117" s="697"/>
      <c r="BD117" s="697"/>
      <c r="BE117" s="697"/>
      <c r="BF117" s="697"/>
      <c r="BG117" s="697"/>
      <c r="BH117" s="697"/>
      <c r="BI117" s="697"/>
      <c r="BJ117" s="697"/>
      <c r="BK117" s="697"/>
      <c r="BL117" s="697"/>
      <c r="BM117" s="697"/>
      <c r="BN117" s="697"/>
      <c r="BO117" s="697"/>
      <c r="BP117" s="697"/>
      <c r="BQ117" s="697"/>
      <c r="BR117" s="697"/>
      <c r="BS117" s="697"/>
      <c r="BT117" s="697"/>
      <c r="BU117" s="697"/>
      <c r="BV117" s="697"/>
      <c r="BW117" s="697"/>
      <c r="BX117" s="697"/>
      <c r="BY117" s="697"/>
      <c r="BZ117" s="697"/>
      <c r="CA117" s="697"/>
      <c r="CB117" s="697"/>
      <c r="CC117" s="697"/>
      <c r="CD117" s="697"/>
      <c r="CE117" s="697"/>
      <c r="CF117" s="697"/>
      <c r="CG117" s="697"/>
      <c r="CH117" s="697"/>
      <c r="CI117" s="697"/>
      <c r="CJ117" s="697"/>
      <c r="CK117" s="697"/>
      <c r="CL117" s="697"/>
      <c r="CM117" s="697"/>
      <c r="CN117" s="697"/>
      <c r="CO117" s="697"/>
      <c r="CP117" s="697"/>
      <c r="CQ117" s="697"/>
      <c r="CR117" s="697"/>
      <c r="CS117" s="697"/>
      <c r="CT117" s="697"/>
      <c r="CU117" s="697"/>
      <c r="CV117" s="697"/>
      <c r="CW117" s="697"/>
      <c r="CX117" s="697"/>
      <c r="CY117" s="697"/>
      <c r="CZ117" s="697"/>
      <c r="DA117" s="697"/>
    </row>
    <row r="118" spans="1:105" hidden="1" outlineLevel="1" x14ac:dyDescent="0.2">
      <c r="A118" s="709">
        <f t="shared" si="27"/>
        <v>37316</v>
      </c>
      <c r="B118" s="709" t="str">
        <f t="shared" si="24"/>
        <v>1Q02</v>
      </c>
      <c r="C118" s="709" t="str">
        <f t="shared" si="28"/>
        <v>2Q02</v>
      </c>
      <c r="D118" s="710">
        <f t="shared" si="36"/>
        <v>37379</v>
      </c>
      <c r="E118" s="710">
        <f t="shared" si="36"/>
        <v>37319</v>
      </c>
      <c r="F118" s="712">
        <v>1.173</v>
      </c>
      <c r="G118" s="713">
        <f t="shared" si="25"/>
        <v>0.01</v>
      </c>
      <c r="H118" s="713">
        <f t="shared" si="26"/>
        <v>0.02</v>
      </c>
      <c r="I118" s="713">
        <f t="shared" ref="I118:J133" si="37">I117+0.05</f>
        <v>6.7999999999999838</v>
      </c>
      <c r="J118" s="713">
        <f t="shared" si="37"/>
        <v>6.8499999999999837</v>
      </c>
      <c r="K118" s="713">
        <f t="shared" si="31"/>
        <v>1.1400000000000008</v>
      </c>
      <c r="L118" s="697"/>
      <c r="M118" s="697"/>
      <c r="N118" s="697"/>
      <c r="O118" s="697"/>
      <c r="P118" s="697"/>
      <c r="Q118" s="697"/>
      <c r="R118" s="697"/>
      <c r="S118" s="697"/>
      <c r="T118" s="697"/>
      <c r="U118" s="697"/>
      <c r="V118" s="697"/>
      <c r="W118" s="697"/>
      <c r="X118" s="697"/>
      <c r="Y118" s="697"/>
      <c r="Z118" s="697"/>
      <c r="AA118" s="697"/>
      <c r="AB118" s="697"/>
      <c r="AC118" s="697"/>
      <c r="AD118" s="697"/>
      <c r="AE118" s="697"/>
      <c r="AF118" s="697"/>
      <c r="AG118" s="697"/>
      <c r="AH118" s="697"/>
      <c r="AI118" s="697"/>
      <c r="AJ118" s="697"/>
      <c r="AK118" s="697"/>
      <c r="AL118" s="697"/>
      <c r="AM118" s="697"/>
      <c r="AN118" s="697"/>
      <c r="AO118" s="697"/>
      <c r="AP118" s="697"/>
      <c r="AQ118" s="697"/>
      <c r="AR118" s="697"/>
      <c r="AS118" s="697"/>
      <c r="AT118" s="697"/>
      <c r="AU118" s="697"/>
      <c r="AV118" s="697"/>
      <c r="AW118" s="697"/>
      <c r="AX118" s="697"/>
      <c r="AY118" s="697"/>
      <c r="AZ118" s="697"/>
      <c r="BA118" s="697"/>
      <c r="BB118" s="697"/>
      <c r="BC118" s="697"/>
      <c r="BD118" s="697"/>
      <c r="BE118" s="697"/>
      <c r="BF118" s="697"/>
      <c r="BG118" s="697"/>
      <c r="BH118" s="697"/>
      <c r="BI118" s="697"/>
      <c r="BJ118" s="697"/>
      <c r="BK118" s="697"/>
      <c r="BL118" s="697"/>
      <c r="BM118" s="697"/>
      <c r="BN118" s="697"/>
      <c r="BO118" s="697"/>
      <c r="BP118" s="697"/>
      <c r="BQ118" s="697"/>
      <c r="BR118" s="697"/>
      <c r="BS118" s="697"/>
      <c r="BT118" s="697"/>
      <c r="BU118" s="697"/>
      <c r="BV118" s="697"/>
      <c r="BW118" s="697"/>
      <c r="BX118" s="697"/>
      <c r="BY118" s="697"/>
      <c r="BZ118" s="697"/>
      <c r="CA118" s="697"/>
      <c r="CB118" s="697"/>
      <c r="CC118" s="697"/>
      <c r="CD118" s="697"/>
      <c r="CE118" s="697"/>
      <c r="CF118" s="697"/>
      <c r="CG118" s="697"/>
      <c r="CH118" s="697"/>
      <c r="CI118" s="697"/>
      <c r="CJ118" s="697"/>
      <c r="CK118" s="697"/>
      <c r="CL118" s="697"/>
      <c r="CM118" s="697"/>
      <c r="CN118" s="697"/>
      <c r="CO118" s="697"/>
      <c r="CP118" s="697"/>
      <c r="CQ118" s="697"/>
      <c r="CR118" s="697"/>
      <c r="CS118" s="697"/>
      <c r="CT118" s="697"/>
      <c r="CU118" s="697"/>
      <c r="CV118" s="697"/>
      <c r="CW118" s="697"/>
      <c r="CX118" s="697"/>
      <c r="CY118" s="697"/>
      <c r="CZ118" s="697"/>
      <c r="DA118" s="697"/>
    </row>
    <row r="119" spans="1:105" hidden="1" outlineLevel="1" x14ac:dyDescent="0.2">
      <c r="A119" s="709">
        <f t="shared" si="27"/>
        <v>37316</v>
      </c>
      <c r="B119" s="709" t="str">
        <f t="shared" si="24"/>
        <v>1Q02</v>
      </c>
      <c r="C119" s="709" t="str">
        <f t="shared" si="28"/>
        <v>2Q02</v>
      </c>
      <c r="D119" s="710">
        <f t="shared" si="36"/>
        <v>37386</v>
      </c>
      <c r="E119" s="710">
        <f t="shared" si="36"/>
        <v>37326</v>
      </c>
      <c r="F119" s="712">
        <v>1.216</v>
      </c>
      <c r="G119" s="713">
        <f t="shared" si="25"/>
        <v>0.02</v>
      </c>
      <c r="H119" s="713">
        <f t="shared" si="26"/>
        <v>0.03</v>
      </c>
      <c r="I119" s="713">
        <f t="shared" si="37"/>
        <v>6.8499999999999837</v>
      </c>
      <c r="J119" s="713">
        <f t="shared" si="37"/>
        <v>6.8999999999999835</v>
      </c>
      <c r="K119" s="713">
        <f t="shared" si="31"/>
        <v>1.1500000000000008</v>
      </c>
      <c r="L119" s="697"/>
      <c r="M119" s="697"/>
      <c r="N119" s="697"/>
      <c r="O119" s="697"/>
      <c r="P119" s="697"/>
      <c r="Q119" s="697"/>
      <c r="R119" s="697"/>
      <c r="S119" s="697"/>
      <c r="T119" s="697"/>
      <c r="U119" s="697"/>
      <c r="V119" s="697"/>
      <c r="W119" s="697"/>
      <c r="X119" s="697"/>
      <c r="Y119" s="697"/>
      <c r="Z119" s="697"/>
      <c r="AA119" s="697"/>
      <c r="AB119" s="697"/>
      <c r="AC119" s="697"/>
      <c r="AD119" s="697"/>
      <c r="AE119" s="697"/>
      <c r="AF119" s="697"/>
      <c r="AG119" s="697"/>
      <c r="AH119" s="697"/>
      <c r="AI119" s="697"/>
      <c r="AJ119" s="697"/>
      <c r="AK119" s="697"/>
      <c r="AL119" s="697"/>
      <c r="AM119" s="697"/>
      <c r="AN119" s="697"/>
      <c r="AO119" s="697"/>
      <c r="AP119" s="697"/>
      <c r="AQ119" s="697"/>
      <c r="AR119" s="697"/>
      <c r="AS119" s="697"/>
      <c r="AT119" s="697"/>
      <c r="AU119" s="697"/>
      <c r="AV119" s="697"/>
      <c r="AW119" s="697"/>
      <c r="AX119" s="697"/>
      <c r="AY119" s="697"/>
      <c r="AZ119" s="697"/>
      <c r="BA119" s="697"/>
      <c r="BB119" s="697"/>
      <c r="BC119" s="697"/>
      <c r="BD119" s="697"/>
      <c r="BE119" s="697"/>
      <c r="BF119" s="697"/>
      <c r="BG119" s="697"/>
      <c r="BH119" s="697"/>
      <c r="BI119" s="697"/>
      <c r="BJ119" s="697"/>
      <c r="BK119" s="697"/>
      <c r="BL119" s="697"/>
      <c r="BM119" s="697"/>
      <c r="BN119" s="697"/>
      <c r="BO119" s="697"/>
      <c r="BP119" s="697"/>
      <c r="BQ119" s="697"/>
      <c r="BR119" s="697"/>
      <c r="BS119" s="697"/>
      <c r="BT119" s="697"/>
      <c r="BU119" s="697"/>
      <c r="BV119" s="697"/>
      <c r="BW119" s="697"/>
      <c r="BX119" s="697"/>
      <c r="BY119" s="697"/>
      <c r="BZ119" s="697"/>
      <c r="CA119" s="697"/>
      <c r="CB119" s="697"/>
      <c r="CC119" s="697"/>
      <c r="CD119" s="697"/>
      <c r="CE119" s="697"/>
      <c r="CF119" s="697"/>
      <c r="CG119" s="697"/>
      <c r="CH119" s="697"/>
      <c r="CI119" s="697"/>
      <c r="CJ119" s="697"/>
      <c r="CK119" s="697"/>
      <c r="CL119" s="697"/>
      <c r="CM119" s="697"/>
      <c r="CN119" s="697"/>
      <c r="CO119" s="697"/>
      <c r="CP119" s="697"/>
      <c r="CQ119" s="697"/>
      <c r="CR119" s="697"/>
      <c r="CS119" s="697"/>
      <c r="CT119" s="697"/>
      <c r="CU119" s="697"/>
      <c r="CV119" s="697"/>
      <c r="CW119" s="697"/>
      <c r="CX119" s="697"/>
      <c r="CY119" s="697"/>
      <c r="CZ119" s="697"/>
      <c r="DA119" s="697"/>
    </row>
    <row r="120" spans="1:105" hidden="1" outlineLevel="1" x14ac:dyDescent="0.2">
      <c r="A120" s="709">
        <f t="shared" si="27"/>
        <v>37316</v>
      </c>
      <c r="B120" s="709" t="str">
        <f t="shared" si="24"/>
        <v>1Q02</v>
      </c>
      <c r="C120" s="709" t="str">
        <f t="shared" si="28"/>
        <v>2Q02</v>
      </c>
      <c r="D120" s="710">
        <f t="shared" si="36"/>
        <v>37393</v>
      </c>
      <c r="E120" s="710">
        <f t="shared" si="36"/>
        <v>37333</v>
      </c>
      <c r="F120" s="712">
        <v>1.2509999999999999</v>
      </c>
      <c r="G120" s="713">
        <f t="shared" si="25"/>
        <v>0.03</v>
      </c>
      <c r="H120" s="713">
        <f t="shared" si="26"/>
        <v>0.03</v>
      </c>
      <c r="I120" s="713">
        <f t="shared" si="37"/>
        <v>6.8999999999999835</v>
      </c>
      <c r="J120" s="713">
        <f t="shared" si="37"/>
        <v>6.9499999999999833</v>
      </c>
      <c r="K120" s="713">
        <f t="shared" si="31"/>
        <v>1.1600000000000008</v>
      </c>
      <c r="L120" s="697"/>
      <c r="M120" s="697"/>
      <c r="N120" s="697"/>
      <c r="O120" s="697"/>
      <c r="P120" s="697"/>
      <c r="Q120" s="697"/>
      <c r="R120" s="697"/>
      <c r="S120" s="697"/>
      <c r="T120" s="697"/>
      <c r="U120" s="697"/>
      <c r="V120" s="697"/>
      <c r="W120" s="697"/>
      <c r="X120" s="697"/>
      <c r="Y120" s="697"/>
      <c r="Z120" s="697"/>
      <c r="AA120" s="697"/>
      <c r="AB120" s="697"/>
      <c r="AC120" s="697"/>
      <c r="AD120" s="697"/>
      <c r="AE120" s="697"/>
      <c r="AF120" s="697"/>
      <c r="AG120" s="697"/>
      <c r="AH120" s="697"/>
      <c r="AI120" s="697"/>
      <c r="AJ120" s="697"/>
      <c r="AK120" s="697"/>
      <c r="AL120" s="697"/>
      <c r="AM120" s="697"/>
      <c r="AN120" s="697"/>
      <c r="AO120" s="697"/>
      <c r="AP120" s="697"/>
      <c r="AQ120" s="697"/>
      <c r="AR120" s="697"/>
      <c r="AS120" s="697"/>
      <c r="AT120" s="697"/>
      <c r="AU120" s="697"/>
      <c r="AV120" s="697"/>
      <c r="AW120" s="697"/>
      <c r="AX120" s="697"/>
      <c r="AY120" s="697"/>
      <c r="AZ120" s="697"/>
      <c r="BA120" s="697"/>
      <c r="BB120" s="697"/>
      <c r="BC120" s="697"/>
      <c r="BD120" s="697"/>
      <c r="BE120" s="697"/>
      <c r="BF120" s="697"/>
      <c r="BG120" s="697"/>
      <c r="BH120" s="697"/>
      <c r="BI120" s="697"/>
      <c r="BJ120" s="697"/>
      <c r="BK120" s="697"/>
      <c r="BL120" s="697"/>
      <c r="BM120" s="697"/>
      <c r="BN120" s="697"/>
      <c r="BO120" s="697"/>
      <c r="BP120" s="697"/>
      <c r="BQ120" s="697"/>
      <c r="BR120" s="697"/>
      <c r="BS120" s="697"/>
      <c r="BT120" s="697"/>
      <c r="BU120" s="697"/>
      <c r="BV120" s="697"/>
      <c r="BW120" s="697"/>
      <c r="BX120" s="697"/>
      <c r="BY120" s="697"/>
      <c r="BZ120" s="697"/>
      <c r="CA120" s="697"/>
      <c r="CB120" s="697"/>
      <c r="CC120" s="697"/>
      <c r="CD120" s="697"/>
      <c r="CE120" s="697"/>
      <c r="CF120" s="697"/>
      <c r="CG120" s="697"/>
      <c r="CH120" s="697"/>
      <c r="CI120" s="697"/>
      <c r="CJ120" s="697"/>
      <c r="CK120" s="697"/>
      <c r="CL120" s="697"/>
      <c r="CM120" s="697"/>
      <c r="CN120" s="697"/>
      <c r="CO120" s="697"/>
      <c r="CP120" s="697"/>
      <c r="CQ120" s="697"/>
      <c r="CR120" s="697"/>
      <c r="CS120" s="697"/>
      <c r="CT120" s="697"/>
      <c r="CU120" s="697"/>
      <c r="CV120" s="697"/>
      <c r="CW120" s="697"/>
      <c r="CX120" s="697"/>
      <c r="CY120" s="697"/>
      <c r="CZ120" s="697"/>
      <c r="DA120" s="697"/>
    </row>
    <row r="121" spans="1:105" hidden="1" outlineLevel="1" x14ac:dyDescent="0.2">
      <c r="A121" s="709">
        <f t="shared" si="27"/>
        <v>37316</v>
      </c>
      <c r="B121" s="709" t="str">
        <f t="shared" si="24"/>
        <v>1Q02</v>
      </c>
      <c r="C121" s="709" t="str">
        <f t="shared" si="28"/>
        <v>2Q02</v>
      </c>
      <c r="D121" s="710">
        <f t="shared" si="36"/>
        <v>37400</v>
      </c>
      <c r="E121" s="710">
        <f t="shared" si="36"/>
        <v>37340</v>
      </c>
      <c r="F121" s="712">
        <v>1.2809999999999999</v>
      </c>
      <c r="G121" s="713">
        <f t="shared" si="25"/>
        <v>0.03</v>
      </c>
      <c r="H121" s="713">
        <f t="shared" si="26"/>
        <v>0.03</v>
      </c>
      <c r="I121" s="713">
        <f t="shared" si="37"/>
        <v>6.9499999999999833</v>
      </c>
      <c r="J121" s="713">
        <f t="shared" si="37"/>
        <v>6.9999999999999831</v>
      </c>
      <c r="K121" s="713">
        <f t="shared" si="31"/>
        <v>1.1700000000000008</v>
      </c>
      <c r="L121" s="697"/>
      <c r="M121" s="697"/>
      <c r="N121" s="697"/>
      <c r="O121" s="697"/>
      <c r="P121" s="697"/>
      <c r="Q121" s="697"/>
      <c r="R121" s="697"/>
      <c r="S121" s="697"/>
      <c r="T121" s="697"/>
      <c r="U121" s="697"/>
      <c r="V121" s="697"/>
      <c r="W121" s="697"/>
      <c r="X121" s="697"/>
      <c r="Y121" s="697"/>
      <c r="Z121" s="697"/>
      <c r="AA121" s="697"/>
      <c r="AB121" s="697"/>
      <c r="AC121" s="697"/>
      <c r="AD121" s="697"/>
      <c r="AE121" s="697"/>
      <c r="AF121" s="697"/>
      <c r="AG121" s="697"/>
      <c r="AH121" s="697"/>
      <c r="AI121" s="697"/>
      <c r="AJ121" s="697"/>
      <c r="AK121" s="697"/>
      <c r="AL121" s="697"/>
      <c r="AM121" s="697"/>
      <c r="AN121" s="697"/>
      <c r="AO121" s="697"/>
      <c r="AP121" s="697"/>
      <c r="AQ121" s="697"/>
      <c r="AR121" s="697"/>
      <c r="AS121" s="697"/>
      <c r="AT121" s="697"/>
      <c r="AU121" s="697"/>
      <c r="AV121" s="697"/>
      <c r="AW121" s="697"/>
      <c r="AX121" s="697"/>
      <c r="AY121" s="697"/>
      <c r="AZ121" s="697"/>
      <c r="BA121" s="697"/>
      <c r="BB121" s="697"/>
      <c r="BC121" s="697"/>
      <c r="BD121" s="697"/>
      <c r="BE121" s="697"/>
      <c r="BF121" s="697"/>
      <c r="BG121" s="697"/>
      <c r="BH121" s="697"/>
      <c r="BI121" s="697"/>
      <c r="BJ121" s="697"/>
      <c r="BK121" s="697"/>
      <c r="BL121" s="697"/>
      <c r="BM121" s="697"/>
      <c r="BN121" s="697"/>
      <c r="BO121" s="697"/>
      <c r="BP121" s="697"/>
      <c r="BQ121" s="697"/>
      <c r="BR121" s="697"/>
      <c r="BS121" s="697"/>
      <c r="BT121" s="697"/>
      <c r="BU121" s="697"/>
      <c r="BV121" s="697"/>
      <c r="BW121" s="697"/>
      <c r="BX121" s="697"/>
      <c r="BY121" s="697"/>
      <c r="BZ121" s="697"/>
      <c r="CA121" s="697"/>
      <c r="CB121" s="697"/>
      <c r="CC121" s="697"/>
      <c r="CD121" s="697"/>
      <c r="CE121" s="697"/>
      <c r="CF121" s="697"/>
      <c r="CG121" s="697"/>
      <c r="CH121" s="697"/>
      <c r="CI121" s="697"/>
      <c r="CJ121" s="697"/>
      <c r="CK121" s="697"/>
      <c r="CL121" s="697"/>
      <c r="CM121" s="697"/>
      <c r="CN121" s="697"/>
      <c r="CO121" s="697"/>
      <c r="CP121" s="697"/>
      <c r="CQ121" s="697"/>
      <c r="CR121" s="697"/>
      <c r="CS121" s="697"/>
      <c r="CT121" s="697"/>
      <c r="CU121" s="697"/>
      <c r="CV121" s="697"/>
      <c r="CW121" s="697"/>
      <c r="CX121" s="697"/>
      <c r="CY121" s="697"/>
      <c r="CZ121" s="697"/>
      <c r="DA121" s="697"/>
    </row>
    <row r="122" spans="1:105" hidden="1" outlineLevel="1" x14ac:dyDescent="0.2">
      <c r="A122" s="709">
        <f t="shared" si="27"/>
        <v>37347</v>
      </c>
      <c r="B122" s="709" t="str">
        <f t="shared" si="24"/>
        <v>2Q02</v>
      </c>
      <c r="C122" s="709" t="str">
        <f t="shared" si="28"/>
        <v>2Q02</v>
      </c>
      <c r="D122" s="710">
        <f t="shared" si="36"/>
        <v>37407</v>
      </c>
      <c r="E122" s="710">
        <f t="shared" si="36"/>
        <v>37347</v>
      </c>
      <c r="F122" s="712">
        <v>1.2949999999999999</v>
      </c>
      <c r="G122" s="713">
        <f t="shared" si="25"/>
        <v>0.03</v>
      </c>
      <c r="H122" s="713">
        <f t="shared" si="26"/>
        <v>0.04</v>
      </c>
      <c r="I122" s="713">
        <f t="shared" si="37"/>
        <v>6.9999999999999831</v>
      </c>
      <c r="J122" s="713">
        <f t="shared" si="37"/>
        <v>7.0499999999999829</v>
      </c>
      <c r="K122" s="713">
        <f t="shared" si="31"/>
        <v>1.1800000000000008</v>
      </c>
      <c r="L122" s="697"/>
      <c r="M122" s="697"/>
      <c r="N122" s="697"/>
      <c r="O122" s="697"/>
      <c r="P122" s="697"/>
      <c r="Q122" s="697"/>
      <c r="R122" s="697"/>
      <c r="S122" s="697"/>
      <c r="T122" s="697"/>
      <c r="U122" s="697"/>
      <c r="V122" s="697"/>
      <c r="W122" s="697"/>
      <c r="X122" s="697"/>
      <c r="Y122" s="697"/>
      <c r="Z122" s="697"/>
      <c r="AA122" s="697"/>
      <c r="AB122" s="697"/>
      <c r="AC122" s="697"/>
      <c r="AD122" s="697"/>
      <c r="AE122" s="697"/>
      <c r="AF122" s="697"/>
      <c r="AG122" s="697"/>
      <c r="AH122" s="697"/>
      <c r="AI122" s="697"/>
      <c r="AJ122" s="697"/>
      <c r="AK122" s="697"/>
      <c r="AL122" s="697"/>
      <c r="AM122" s="697"/>
      <c r="AN122" s="697"/>
      <c r="AO122" s="697"/>
      <c r="AP122" s="697"/>
      <c r="AQ122" s="697"/>
      <c r="AR122" s="697"/>
      <c r="AS122" s="697"/>
      <c r="AT122" s="697"/>
      <c r="AU122" s="697"/>
      <c r="AV122" s="697"/>
      <c r="AW122" s="697"/>
      <c r="AX122" s="697"/>
      <c r="AY122" s="697"/>
      <c r="AZ122" s="697"/>
      <c r="BA122" s="697"/>
      <c r="BB122" s="697"/>
      <c r="BC122" s="697"/>
      <c r="BD122" s="697"/>
      <c r="BE122" s="697"/>
      <c r="BF122" s="697"/>
      <c r="BG122" s="697"/>
      <c r="BH122" s="697"/>
      <c r="BI122" s="697"/>
      <c r="BJ122" s="697"/>
      <c r="BK122" s="697"/>
      <c r="BL122" s="697"/>
      <c r="BM122" s="697"/>
      <c r="BN122" s="697"/>
      <c r="BO122" s="697"/>
      <c r="BP122" s="697"/>
      <c r="BQ122" s="697"/>
      <c r="BR122" s="697"/>
      <c r="BS122" s="697"/>
      <c r="BT122" s="697"/>
      <c r="BU122" s="697"/>
      <c r="BV122" s="697"/>
      <c r="BW122" s="697"/>
      <c r="BX122" s="697"/>
      <c r="BY122" s="697"/>
      <c r="BZ122" s="697"/>
      <c r="CA122" s="697"/>
      <c r="CB122" s="697"/>
      <c r="CC122" s="697"/>
      <c r="CD122" s="697"/>
      <c r="CE122" s="697"/>
      <c r="CF122" s="697"/>
      <c r="CG122" s="697"/>
      <c r="CH122" s="697"/>
      <c r="CI122" s="697"/>
      <c r="CJ122" s="697"/>
      <c r="CK122" s="697"/>
      <c r="CL122" s="697"/>
      <c r="CM122" s="697"/>
      <c r="CN122" s="697"/>
      <c r="CO122" s="697"/>
      <c r="CP122" s="697"/>
      <c r="CQ122" s="697"/>
      <c r="CR122" s="697"/>
      <c r="CS122" s="697"/>
      <c r="CT122" s="697"/>
      <c r="CU122" s="697"/>
      <c r="CV122" s="697"/>
      <c r="CW122" s="697"/>
      <c r="CX122" s="697"/>
      <c r="CY122" s="697"/>
      <c r="CZ122" s="697"/>
      <c r="DA122" s="697"/>
    </row>
    <row r="123" spans="1:105" hidden="1" outlineLevel="1" x14ac:dyDescent="0.2">
      <c r="A123" s="709">
        <f t="shared" si="27"/>
        <v>37347</v>
      </c>
      <c r="B123" s="709" t="str">
        <f t="shared" si="24"/>
        <v>2Q02</v>
      </c>
      <c r="C123" s="709" t="str">
        <f t="shared" si="28"/>
        <v>2Q02</v>
      </c>
      <c r="D123" s="710">
        <f t="shared" si="36"/>
        <v>37414</v>
      </c>
      <c r="E123" s="710">
        <f t="shared" si="36"/>
        <v>37354</v>
      </c>
      <c r="F123" s="712">
        <v>1.3230000000000002</v>
      </c>
      <c r="G123" s="713">
        <f t="shared" si="25"/>
        <v>0.04</v>
      </c>
      <c r="H123" s="713">
        <f t="shared" si="26"/>
        <v>0.04</v>
      </c>
      <c r="I123" s="713">
        <f t="shared" si="37"/>
        <v>7.0499999999999829</v>
      </c>
      <c r="J123" s="713">
        <f t="shared" si="37"/>
        <v>7.0999999999999828</v>
      </c>
      <c r="K123" s="713">
        <f t="shared" si="31"/>
        <v>1.1900000000000008</v>
      </c>
      <c r="L123" s="697"/>
      <c r="M123" s="697"/>
      <c r="N123" s="697"/>
      <c r="O123" s="697"/>
      <c r="P123" s="697"/>
      <c r="Q123" s="697"/>
      <c r="R123" s="697"/>
      <c r="S123" s="697"/>
      <c r="T123" s="697"/>
      <c r="U123" s="697"/>
      <c r="V123" s="697"/>
      <c r="W123" s="697"/>
      <c r="X123" s="697"/>
      <c r="Y123" s="697"/>
      <c r="Z123" s="697"/>
      <c r="AA123" s="697"/>
      <c r="AB123" s="697"/>
      <c r="AC123" s="697"/>
      <c r="AD123" s="697"/>
      <c r="AE123" s="697"/>
      <c r="AF123" s="697"/>
      <c r="AG123" s="697"/>
      <c r="AH123" s="697"/>
      <c r="AI123" s="697"/>
      <c r="AJ123" s="697"/>
      <c r="AK123" s="697"/>
      <c r="AL123" s="697"/>
      <c r="AM123" s="697"/>
      <c r="AN123" s="697"/>
      <c r="AO123" s="697"/>
      <c r="AP123" s="697"/>
      <c r="AQ123" s="697"/>
      <c r="AR123" s="697"/>
      <c r="AS123" s="697"/>
      <c r="AT123" s="697"/>
      <c r="AU123" s="697"/>
      <c r="AV123" s="697"/>
      <c r="AW123" s="697"/>
      <c r="AX123" s="697"/>
      <c r="AY123" s="697"/>
      <c r="AZ123" s="697"/>
      <c r="BA123" s="697"/>
      <c r="BB123" s="697"/>
      <c r="BC123" s="697"/>
      <c r="BD123" s="697"/>
      <c r="BE123" s="697"/>
      <c r="BF123" s="697"/>
      <c r="BG123" s="697"/>
      <c r="BH123" s="697"/>
      <c r="BI123" s="697"/>
      <c r="BJ123" s="697"/>
      <c r="BK123" s="697"/>
      <c r="BL123" s="697"/>
      <c r="BM123" s="697"/>
      <c r="BN123" s="697"/>
      <c r="BO123" s="697"/>
      <c r="BP123" s="697"/>
      <c r="BQ123" s="697"/>
      <c r="BR123" s="697"/>
      <c r="BS123" s="697"/>
      <c r="BT123" s="697"/>
      <c r="BU123" s="697"/>
      <c r="BV123" s="697"/>
      <c r="BW123" s="697"/>
      <c r="BX123" s="697"/>
      <c r="BY123" s="697"/>
      <c r="BZ123" s="697"/>
      <c r="CA123" s="697"/>
      <c r="CB123" s="697"/>
      <c r="CC123" s="697"/>
      <c r="CD123" s="697"/>
      <c r="CE123" s="697"/>
      <c r="CF123" s="697"/>
      <c r="CG123" s="697"/>
      <c r="CH123" s="697"/>
      <c r="CI123" s="697"/>
      <c r="CJ123" s="697"/>
      <c r="CK123" s="697"/>
      <c r="CL123" s="697"/>
      <c r="CM123" s="697"/>
      <c r="CN123" s="697"/>
      <c r="CO123" s="697"/>
      <c r="CP123" s="697"/>
      <c r="CQ123" s="697"/>
      <c r="CR123" s="697"/>
      <c r="CS123" s="697"/>
      <c r="CT123" s="697"/>
      <c r="CU123" s="697"/>
      <c r="CV123" s="697"/>
      <c r="CW123" s="697"/>
      <c r="CX123" s="697"/>
      <c r="CY123" s="697"/>
      <c r="CZ123" s="697"/>
      <c r="DA123" s="697"/>
    </row>
    <row r="124" spans="1:105" hidden="1" outlineLevel="1" x14ac:dyDescent="0.2">
      <c r="A124" s="709">
        <f t="shared" si="27"/>
        <v>37347</v>
      </c>
      <c r="B124" s="709" t="str">
        <f t="shared" si="24"/>
        <v>2Q02</v>
      </c>
      <c r="C124" s="709" t="str">
        <f t="shared" si="28"/>
        <v>2Q02</v>
      </c>
      <c r="D124" s="710">
        <f t="shared" si="36"/>
        <v>37421</v>
      </c>
      <c r="E124" s="710">
        <f t="shared" si="36"/>
        <v>37361</v>
      </c>
      <c r="F124" s="712">
        <v>1.32</v>
      </c>
      <c r="G124" s="713">
        <f t="shared" si="25"/>
        <v>0.04</v>
      </c>
      <c r="H124" s="713">
        <f t="shared" si="26"/>
        <v>0.04</v>
      </c>
      <c r="I124" s="713">
        <f t="shared" si="37"/>
        <v>7.0999999999999828</v>
      </c>
      <c r="J124" s="713">
        <f t="shared" si="37"/>
        <v>7.1499999999999826</v>
      </c>
      <c r="K124" s="713">
        <f t="shared" si="31"/>
        <v>1.2000000000000008</v>
      </c>
      <c r="L124" s="697"/>
      <c r="M124" s="697"/>
      <c r="N124" s="697"/>
      <c r="O124" s="697"/>
      <c r="P124" s="697"/>
      <c r="Q124" s="697"/>
      <c r="R124" s="697"/>
      <c r="S124" s="697"/>
      <c r="T124" s="697"/>
      <c r="U124" s="697"/>
      <c r="V124" s="697"/>
      <c r="W124" s="697"/>
      <c r="X124" s="697"/>
      <c r="Y124" s="697"/>
      <c r="Z124" s="697"/>
      <c r="AA124" s="697"/>
      <c r="AB124" s="697"/>
      <c r="AC124" s="697"/>
      <c r="AD124" s="697"/>
      <c r="AE124" s="697"/>
      <c r="AF124" s="697"/>
      <c r="AG124" s="697"/>
      <c r="AH124" s="697"/>
      <c r="AI124" s="697"/>
      <c r="AJ124" s="697"/>
      <c r="AK124" s="697"/>
      <c r="AL124" s="697"/>
      <c r="AM124" s="697"/>
      <c r="AN124" s="697"/>
      <c r="AO124" s="697"/>
      <c r="AP124" s="697"/>
      <c r="AQ124" s="697"/>
      <c r="AR124" s="697"/>
      <c r="AS124" s="697"/>
      <c r="AT124" s="697"/>
      <c r="AU124" s="697"/>
      <c r="AV124" s="697"/>
      <c r="AW124" s="697"/>
      <c r="AX124" s="697"/>
      <c r="AY124" s="697"/>
      <c r="AZ124" s="697"/>
      <c r="BA124" s="697"/>
      <c r="BB124" s="697"/>
      <c r="BC124" s="697"/>
      <c r="BD124" s="697"/>
      <c r="BE124" s="697"/>
      <c r="BF124" s="697"/>
      <c r="BG124" s="697"/>
      <c r="BH124" s="697"/>
      <c r="BI124" s="697"/>
      <c r="BJ124" s="697"/>
      <c r="BK124" s="697"/>
      <c r="BL124" s="697"/>
      <c r="BM124" s="697"/>
      <c r="BN124" s="697"/>
      <c r="BO124" s="697"/>
      <c r="BP124" s="697"/>
      <c r="BQ124" s="697"/>
      <c r="BR124" s="697"/>
      <c r="BS124" s="697"/>
      <c r="BT124" s="697"/>
      <c r="BU124" s="697"/>
      <c r="BV124" s="697"/>
      <c r="BW124" s="697"/>
      <c r="BX124" s="697"/>
      <c r="BY124" s="697"/>
      <c r="BZ124" s="697"/>
      <c r="CA124" s="697"/>
      <c r="CB124" s="697"/>
      <c r="CC124" s="697"/>
      <c r="CD124" s="697"/>
      <c r="CE124" s="697"/>
      <c r="CF124" s="697"/>
      <c r="CG124" s="697"/>
      <c r="CH124" s="697"/>
      <c r="CI124" s="697"/>
      <c r="CJ124" s="697"/>
      <c r="CK124" s="697"/>
      <c r="CL124" s="697"/>
      <c r="CM124" s="697"/>
      <c r="CN124" s="697"/>
      <c r="CO124" s="697"/>
      <c r="CP124" s="697"/>
      <c r="CQ124" s="697"/>
      <c r="CR124" s="697"/>
      <c r="CS124" s="697"/>
      <c r="CT124" s="697"/>
      <c r="CU124" s="697"/>
      <c r="CV124" s="697"/>
      <c r="CW124" s="697"/>
      <c r="CX124" s="697"/>
      <c r="CY124" s="697"/>
      <c r="CZ124" s="697"/>
      <c r="DA124" s="697"/>
    </row>
    <row r="125" spans="1:105" hidden="1" outlineLevel="1" x14ac:dyDescent="0.2">
      <c r="A125" s="709">
        <f t="shared" si="27"/>
        <v>37347</v>
      </c>
      <c r="B125" s="709" t="str">
        <f t="shared" si="24"/>
        <v>2Q02</v>
      </c>
      <c r="C125" s="709" t="str">
        <f t="shared" si="28"/>
        <v>2Q02</v>
      </c>
      <c r="D125" s="710">
        <f t="shared" si="36"/>
        <v>37428</v>
      </c>
      <c r="E125" s="710">
        <f t="shared" si="36"/>
        <v>37368</v>
      </c>
      <c r="F125" s="712">
        <v>1.304</v>
      </c>
      <c r="G125" s="713">
        <f t="shared" si="25"/>
        <v>0.04</v>
      </c>
      <c r="H125" s="713">
        <f t="shared" si="26"/>
        <v>0.04</v>
      </c>
      <c r="I125" s="713">
        <f t="shared" si="37"/>
        <v>7.1499999999999826</v>
      </c>
      <c r="J125" s="713">
        <f t="shared" si="37"/>
        <v>7.1999999999999824</v>
      </c>
      <c r="K125" s="713">
        <f t="shared" si="31"/>
        <v>1.2100000000000009</v>
      </c>
      <c r="L125" s="697"/>
      <c r="M125" s="697"/>
      <c r="N125" s="697"/>
      <c r="O125" s="697"/>
      <c r="P125" s="697"/>
      <c r="Q125" s="697"/>
      <c r="R125" s="697"/>
      <c r="S125" s="697"/>
      <c r="T125" s="697"/>
      <c r="U125" s="697"/>
      <c r="V125" s="697"/>
      <c r="W125" s="697"/>
      <c r="X125" s="697"/>
      <c r="Y125" s="697"/>
      <c r="Z125" s="697"/>
      <c r="AA125" s="697"/>
      <c r="AB125" s="697"/>
      <c r="AC125" s="697"/>
      <c r="AD125" s="697"/>
      <c r="AE125" s="697"/>
      <c r="AF125" s="697"/>
      <c r="AG125" s="697"/>
      <c r="AH125" s="697"/>
      <c r="AI125" s="697"/>
      <c r="AJ125" s="697"/>
      <c r="AK125" s="697"/>
      <c r="AL125" s="697"/>
      <c r="AM125" s="697"/>
      <c r="AN125" s="697"/>
      <c r="AO125" s="697"/>
      <c r="AP125" s="697"/>
      <c r="AQ125" s="697"/>
      <c r="AR125" s="697"/>
      <c r="AS125" s="697"/>
      <c r="AT125" s="697"/>
      <c r="AU125" s="697"/>
      <c r="AV125" s="697"/>
      <c r="AW125" s="697"/>
      <c r="AX125" s="697"/>
      <c r="AY125" s="697"/>
      <c r="AZ125" s="697"/>
      <c r="BA125" s="697"/>
      <c r="BB125" s="697"/>
      <c r="BC125" s="697"/>
      <c r="BD125" s="697"/>
      <c r="BE125" s="697"/>
      <c r="BF125" s="697"/>
      <c r="BG125" s="697"/>
      <c r="BH125" s="697"/>
      <c r="BI125" s="697"/>
      <c r="BJ125" s="697"/>
      <c r="BK125" s="697"/>
      <c r="BL125" s="697"/>
      <c r="BM125" s="697"/>
      <c r="BN125" s="697"/>
      <c r="BO125" s="697"/>
      <c r="BP125" s="697"/>
      <c r="BQ125" s="697"/>
      <c r="BR125" s="697"/>
      <c r="BS125" s="697"/>
      <c r="BT125" s="697"/>
      <c r="BU125" s="697"/>
      <c r="BV125" s="697"/>
      <c r="BW125" s="697"/>
      <c r="BX125" s="697"/>
      <c r="BY125" s="697"/>
      <c r="BZ125" s="697"/>
      <c r="CA125" s="697"/>
      <c r="CB125" s="697"/>
      <c r="CC125" s="697"/>
      <c r="CD125" s="697"/>
      <c r="CE125" s="697"/>
      <c r="CF125" s="697"/>
      <c r="CG125" s="697"/>
      <c r="CH125" s="697"/>
      <c r="CI125" s="697"/>
      <c r="CJ125" s="697"/>
      <c r="CK125" s="697"/>
      <c r="CL125" s="697"/>
      <c r="CM125" s="697"/>
      <c r="CN125" s="697"/>
      <c r="CO125" s="697"/>
      <c r="CP125" s="697"/>
      <c r="CQ125" s="697"/>
      <c r="CR125" s="697"/>
      <c r="CS125" s="697"/>
      <c r="CT125" s="697"/>
      <c r="CU125" s="697"/>
      <c r="CV125" s="697"/>
      <c r="CW125" s="697"/>
      <c r="CX125" s="697"/>
      <c r="CY125" s="697"/>
      <c r="CZ125" s="697"/>
      <c r="DA125" s="697"/>
    </row>
    <row r="126" spans="1:105" hidden="1" outlineLevel="1" x14ac:dyDescent="0.2">
      <c r="A126" s="709">
        <f t="shared" si="27"/>
        <v>37347</v>
      </c>
      <c r="B126" s="709" t="str">
        <f t="shared" si="24"/>
        <v>2Q02</v>
      </c>
      <c r="C126" s="709" t="str">
        <f t="shared" si="28"/>
        <v>2Q02</v>
      </c>
      <c r="D126" s="710">
        <f t="shared" si="36"/>
        <v>37435</v>
      </c>
      <c r="E126" s="710">
        <f t="shared" si="36"/>
        <v>37375</v>
      </c>
      <c r="F126" s="712">
        <v>1.3019999999999998</v>
      </c>
      <c r="G126" s="713">
        <f t="shared" si="25"/>
        <v>0.04</v>
      </c>
      <c r="H126" s="713">
        <f t="shared" si="26"/>
        <v>0.04</v>
      </c>
      <c r="I126" s="713">
        <f t="shared" si="37"/>
        <v>7.1999999999999824</v>
      </c>
      <c r="J126" s="713">
        <f t="shared" si="37"/>
        <v>7.2499999999999822</v>
      </c>
      <c r="K126" s="713">
        <f t="shared" si="31"/>
        <v>1.2200000000000009</v>
      </c>
      <c r="L126" s="697"/>
      <c r="M126" s="697"/>
      <c r="N126" s="697"/>
      <c r="O126" s="697"/>
      <c r="P126" s="697"/>
      <c r="Q126" s="697"/>
      <c r="R126" s="697"/>
      <c r="S126" s="697"/>
      <c r="T126" s="697"/>
      <c r="U126" s="697"/>
      <c r="V126" s="697"/>
      <c r="W126" s="697"/>
      <c r="X126" s="697"/>
      <c r="Y126" s="697"/>
      <c r="Z126" s="697"/>
      <c r="AA126" s="697"/>
      <c r="AB126" s="697"/>
      <c r="AC126" s="697"/>
      <c r="AD126" s="697"/>
      <c r="AE126" s="697"/>
      <c r="AF126" s="697"/>
      <c r="AG126" s="697"/>
      <c r="AH126" s="697"/>
      <c r="AI126" s="697"/>
      <c r="AJ126" s="697"/>
      <c r="AK126" s="697"/>
      <c r="AL126" s="697"/>
      <c r="AM126" s="697"/>
      <c r="AN126" s="697"/>
      <c r="AO126" s="697"/>
      <c r="AP126" s="697"/>
      <c r="AQ126" s="697"/>
      <c r="AR126" s="697"/>
      <c r="AS126" s="697"/>
      <c r="AT126" s="697"/>
      <c r="AU126" s="697"/>
      <c r="AV126" s="697"/>
      <c r="AW126" s="697"/>
      <c r="AX126" s="697"/>
      <c r="AY126" s="697"/>
      <c r="AZ126" s="697"/>
      <c r="BA126" s="697"/>
      <c r="BB126" s="697"/>
      <c r="BC126" s="697"/>
      <c r="BD126" s="697"/>
      <c r="BE126" s="697"/>
      <c r="BF126" s="697"/>
      <c r="BG126" s="697"/>
      <c r="BH126" s="697"/>
      <c r="BI126" s="697"/>
      <c r="BJ126" s="697"/>
      <c r="BK126" s="697"/>
      <c r="BL126" s="697"/>
      <c r="BM126" s="697"/>
      <c r="BN126" s="697"/>
      <c r="BO126" s="697"/>
      <c r="BP126" s="697"/>
      <c r="BQ126" s="697"/>
      <c r="BR126" s="697"/>
      <c r="BS126" s="697"/>
      <c r="BT126" s="697"/>
      <c r="BU126" s="697"/>
      <c r="BV126" s="697"/>
      <c r="BW126" s="697"/>
      <c r="BX126" s="697"/>
      <c r="BY126" s="697"/>
      <c r="BZ126" s="697"/>
      <c r="CA126" s="697"/>
      <c r="CB126" s="697"/>
      <c r="CC126" s="697"/>
      <c r="CD126" s="697"/>
      <c r="CE126" s="697"/>
      <c r="CF126" s="697"/>
      <c r="CG126" s="697"/>
      <c r="CH126" s="697"/>
      <c r="CI126" s="697"/>
      <c r="CJ126" s="697"/>
      <c r="CK126" s="697"/>
      <c r="CL126" s="697"/>
      <c r="CM126" s="697"/>
      <c r="CN126" s="697"/>
      <c r="CO126" s="697"/>
      <c r="CP126" s="697"/>
      <c r="CQ126" s="697"/>
      <c r="CR126" s="697"/>
      <c r="CS126" s="697"/>
      <c r="CT126" s="697"/>
      <c r="CU126" s="697"/>
      <c r="CV126" s="697"/>
      <c r="CW126" s="697"/>
      <c r="CX126" s="697"/>
      <c r="CY126" s="697"/>
      <c r="CZ126" s="697"/>
      <c r="DA126" s="697"/>
    </row>
    <row r="127" spans="1:105" hidden="1" outlineLevel="1" x14ac:dyDescent="0.2">
      <c r="A127" s="709">
        <f t="shared" si="27"/>
        <v>37377</v>
      </c>
      <c r="B127" s="709" t="str">
        <f t="shared" si="24"/>
        <v>2Q02</v>
      </c>
      <c r="C127" s="709" t="str">
        <f t="shared" si="28"/>
        <v>3Q02</v>
      </c>
      <c r="D127" s="710">
        <f t="shared" si="36"/>
        <v>37442</v>
      </c>
      <c r="E127" s="710">
        <f t="shared" si="36"/>
        <v>37382</v>
      </c>
      <c r="F127" s="712">
        <v>1.3049999999999999</v>
      </c>
      <c r="G127" s="713">
        <f t="shared" si="25"/>
        <v>0.04</v>
      </c>
      <c r="H127" s="713">
        <f t="shared" si="26"/>
        <v>0.03</v>
      </c>
      <c r="I127" s="713">
        <f t="shared" si="37"/>
        <v>7.2499999999999822</v>
      </c>
      <c r="J127" s="713">
        <f t="shared" si="37"/>
        <v>7.2999999999999821</v>
      </c>
      <c r="K127" s="713">
        <f t="shared" si="31"/>
        <v>1.2300000000000009</v>
      </c>
      <c r="L127" s="697"/>
      <c r="M127" s="697"/>
      <c r="N127" s="697"/>
      <c r="O127" s="697"/>
      <c r="P127" s="697"/>
      <c r="Q127" s="697"/>
      <c r="R127" s="697"/>
      <c r="S127" s="697"/>
      <c r="T127" s="697"/>
      <c r="U127" s="697"/>
      <c r="V127" s="697"/>
      <c r="W127" s="697"/>
      <c r="X127" s="697"/>
      <c r="Y127" s="697"/>
      <c r="Z127" s="697"/>
      <c r="AA127" s="697"/>
      <c r="AB127" s="697"/>
      <c r="AC127" s="697"/>
      <c r="AD127" s="697"/>
      <c r="AE127" s="697"/>
      <c r="AF127" s="697"/>
      <c r="AG127" s="697"/>
      <c r="AH127" s="697"/>
      <c r="AI127" s="697"/>
      <c r="AJ127" s="697"/>
      <c r="AK127" s="697"/>
      <c r="AL127" s="697"/>
      <c r="AM127" s="697"/>
      <c r="AN127" s="697"/>
      <c r="AO127" s="697"/>
      <c r="AP127" s="697"/>
      <c r="AQ127" s="697"/>
      <c r="AR127" s="697"/>
      <c r="AS127" s="697"/>
      <c r="AT127" s="697"/>
      <c r="AU127" s="697"/>
      <c r="AV127" s="697"/>
      <c r="AW127" s="697"/>
      <c r="AX127" s="697"/>
      <c r="AY127" s="697"/>
      <c r="AZ127" s="697"/>
      <c r="BA127" s="697"/>
      <c r="BB127" s="697"/>
      <c r="BC127" s="697"/>
      <c r="BD127" s="697"/>
      <c r="BE127" s="697"/>
      <c r="BF127" s="697"/>
      <c r="BG127" s="697"/>
      <c r="BH127" s="697"/>
      <c r="BI127" s="697"/>
      <c r="BJ127" s="697"/>
      <c r="BK127" s="697"/>
      <c r="BL127" s="697"/>
      <c r="BM127" s="697"/>
      <c r="BN127" s="697"/>
      <c r="BO127" s="697"/>
      <c r="BP127" s="697"/>
      <c r="BQ127" s="697"/>
      <c r="BR127" s="697"/>
      <c r="BS127" s="697"/>
      <c r="BT127" s="697"/>
      <c r="BU127" s="697"/>
      <c r="BV127" s="697"/>
      <c r="BW127" s="697"/>
      <c r="BX127" s="697"/>
      <c r="BY127" s="697"/>
      <c r="BZ127" s="697"/>
      <c r="CA127" s="697"/>
      <c r="CB127" s="697"/>
      <c r="CC127" s="697"/>
      <c r="CD127" s="697"/>
      <c r="CE127" s="697"/>
      <c r="CF127" s="697"/>
      <c r="CG127" s="697"/>
      <c r="CH127" s="697"/>
      <c r="CI127" s="697"/>
      <c r="CJ127" s="697"/>
      <c r="CK127" s="697"/>
      <c r="CL127" s="697"/>
      <c r="CM127" s="697"/>
      <c r="CN127" s="697"/>
      <c r="CO127" s="697"/>
      <c r="CP127" s="697"/>
      <c r="CQ127" s="697"/>
      <c r="CR127" s="697"/>
      <c r="CS127" s="697"/>
      <c r="CT127" s="697"/>
      <c r="CU127" s="697"/>
      <c r="CV127" s="697"/>
      <c r="CW127" s="697"/>
      <c r="CX127" s="697"/>
      <c r="CY127" s="697"/>
      <c r="CZ127" s="697"/>
      <c r="DA127" s="697"/>
    </row>
    <row r="128" spans="1:105" hidden="1" outlineLevel="1" x14ac:dyDescent="0.2">
      <c r="A128" s="709">
        <f t="shared" si="27"/>
        <v>37377</v>
      </c>
      <c r="B128" s="709" t="str">
        <f t="shared" si="24"/>
        <v>2Q02</v>
      </c>
      <c r="C128" s="709" t="str">
        <f t="shared" si="28"/>
        <v>3Q02</v>
      </c>
      <c r="D128" s="710">
        <f t="shared" si="36"/>
        <v>37449</v>
      </c>
      <c r="E128" s="710">
        <f t="shared" si="36"/>
        <v>37389</v>
      </c>
      <c r="F128" s="712">
        <v>1.2990000000000002</v>
      </c>
      <c r="G128" s="713">
        <f t="shared" si="25"/>
        <v>0.03</v>
      </c>
      <c r="H128" s="713">
        <f t="shared" si="26"/>
        <v>0.04</v>
      </c>
      <c r="I128" s="713">
        <f t="shared" si="37"/>
        <v>7.2999999999999821</v>
      </c>
      <c r="J128" s="713">
        <f t="shared" si="37"/>
        <v>7.3499999999999819</v>
      </c>
      <c r="K128" s="713">
        <f t="shared" si="31"/>
        <v>1.2400000000000009</v>
      </c>
      <c r="L128" s="697"/>
      <c r="M128" s="697"/>
      <c r="N128" s="697"/>
      <c r="O128" s="697"/>
      <c r="P128" s="697"/>
      <c r="Q128" s="697"/>
      <c r="R128" s="697"/>
      <c r="S128" s="697"/>
      <c r="T128" s="697"/>
      <c r="U128" s="697"/>
      <c r="V128" s="697"/>
      <c r="W128" s="697"/>
      <c r="X128" s="697"/>
      <c r="Y128" s="697"/>
      <c r="Z128" s="697"/>
      <c r="AA128" s="697"/>
      <c r="AB128" s="697"/>
      <c r="AC128" s="697"/>
      <c r="AD128" s="697"/>
      <c r="AE128" s="697"/>
      <c r="AF128" s="697"/>
      <c r="AG128" s="697"/>
      <c r="AH128" s="697"/>
      <c r="AI128" s="697"/>
      <c r="AJ128" s="697"/>
      <c r="AK128" s="697"/>
      <c r="AL128" s="697"/>
      <c r="AM128" s="697"/>
      <c r="AN128" s="697"/>
      <c r="AO128" s="697"/>
      <c r="AP128" s="697"/>
      <c r="AQ128" s="697"/>
      <c r="AR128" s="697"/>
      <c r="AS128" s="697"/>
      <c r="AT128" s="697"/>
      <c r="AU128" s="697"/>
      <c r="AV128" s="697"/>
      <c r="AW128" s="697"/>
      <c r="AX128" s="697"/>
      <c r="AY128" s="697"/>
      <c r="AZ128" s="697"/>
      <c r="BA128" s="697"/>
      <c r="BB128" s="697"/>
      <c r="BC128" s="697"/>
      <c r="BD128" s="697"/>
      <c r="BE128" s="697"/>
      <c r="BF128" s="697"/>
      <c r="BG128" s="697"/>
      <c r="BH128" s="697"/>
      <c r="BI128" s="697"/>
      <c r="BJ128" s="697"/>
      <c r="BK128" s="697"/>
      <c r="BL128" s="697"/>
      <c r="BM128" s="697"/>
      <c r="BN128" s="697"/>
      <c r="BO128" s="697"/>
      <c r="BP128" s="697"/>
      <c r="BQ128" s="697"/>
      <c r="BR128" s="697"/>
      <c r="BS128" s="697"/>
      <c r="BT128" s="697"/>
      <c r="BU128" s="697"/>
      <c r="BV128" s="697"/>
      <c r="BW128" s="697"/>
      <c r="BX128" s="697"/>
      <c r="BY128" s="697"/>
      <c r="BZ128" s="697"/>
      <c r="CA128" s="697"/>
      <c r="CB128" s="697"/>
      <c r="CC128" s="697"/>
      <c r="CD128" s="697"/>
      <c r="CE128" s="697"/>
      <c r="CF128" s="697"/>
      <c r="CG128" s="697"/>
      <c r="CH128" s="697"/>
      <c r="CI128" s="697"/>
      <c r="CJ128" s="697"/>
      <c r="CK128" s="697"/>
      <c r="CL128" s="697"/>
      <c r="CM128" s="697"/>
      <c r="CN128" s="697"/>
      <c r="CO128" s="697"/>
      <c r="CP128" s="697"/>
      <c r="CQ128" s="697"/>
      <c r="CR128" s="697"/>
      <c r="CS128" s="697"/>
      <c r="CT128" s="697"/>
      <c r="CU128" s="697"/>
      <c r="CV128" s="697"/>
      <c r="CW128" s="697"/>
      <c r="CX128" s="697"/>
      <c r="CY128" s="697"/>
      <c r="CZ128" s="697"/>
      <c r="DA128" s="697"/>
    </row>
    <row r="129" spans="1:105" hidden="1" outlineLevel="1" x14ac:dyDescent="0.2">
      <c r="A129" s="709">
        <f t="shared" si="27"/>
        <v>37377</v>
      </c>
      <c r="B129" s="709" t="str">
        <f t="shared" si="24"/>
        <v>2Q02</v>
      </c>
      <c r="C129" s="709" t="str">
        <f t="shared" si="28"/>
        <v>3Q02</v>
      </c>
      <c r="D129" s="710">
        <f t="shared" si="36"/>
        <v>37456</v>
      </c>
      <c r="E129" s="710">
        <f t="shared" si="36"/>
        <v>37396</v>
      </c>
      <c r="F129" s="712">
        <v>1.3090000000000002</v>
      </c>
      <c r="G129" s="713">
        <f t="shared" si="25"/>
        <v>0.04</v>
      </c>
      <c r="H129" s="713">
        <f t="shared" si="26"/>
        <v>0.04</v>
      </c>
      <c r="I129" s="713">
        <f t="shared" si="37"/>
        <v>7.3499999999999819</v>
      </c>
      <c r="J129" s="713">
        <f t="shared" si="37"/>
        <v>7.3999999999999817</v>
      </c>
      <c r="K129" s="713">
        <f t="shared" si="31"/>
        <v>1.2500000000000009</v>
      </c>
      <c r="L129" s="697"/>
      <c r="M129" s="697"/>
      <c r="N129" s="697"/>
      <c r="O129" s="697"/>
      <c r="P129" s="697"/>
      <c r="Q129" s="697"/>
      <c r="R129" s="697"/>
      <c r="S129" s="697"/>
      <c r="T129" s="697"/>
      <c r="U129" s="697"/>
      <c r="V129" s="697"/>
      <c r="W129" s="697"/>
      <c r="X129" s="697"/>
      <c r="Y129" s="697"/>
      <c r="Z129" s="697"/>
      <c r="AA129" s="697"/>
      <c r="AB129" s="697"/>
      <c r="AC129" s="697"/>
      <c r="AD129" s="697"/>
      <c r="AE129" s="697"/>
      <c r="AF129" s="697"/>
      <c r="AG129" s="697"/>
      <c r="AH129" s="697"/>
      <c r="AI129" s="697"/>
      <c r="AJ129" s="697"/>
      <c r="AK129" s="697"/>
      <c r="AL129" s="697"/>
      <c r="AM129" s="697"/>
      <c r="AN129" s="697"/>
      <c r="AO129" s="697"/>
      <c r="AP129" s="697"/>
      <c r="AQ129" s="697"/>
      <c r="AR129" s="697"/>
      <c r="AS129" s="697"/>
      <c r="AT129" s="697"/>
      <c r="AU129" s="697"/>
      <c r="AV129" s="697"/>
      <c r="AW129" s="697"/>
      <c r="AX129" s="697"/>
      <c r="AY129" s="697"/>
      <c r="AZ129" s="697"/>
      <c r="BA129" s="697"/>
      <c r="BB129" s="697"/>
      <c r="BC129" s="697"/>
      <c r="BD129" s="697"/>
      <c r="BE129" s="697"/>
      <c r="BF129" s="697"/>
      <c r="BG129" s="697"/>
      <c r="BH129" s="697"/>
      <c r="BI129" s="697"/>
      <c r="BJ129" s="697"/>
      <c r="BK129" s="697"/>
      <c r="BL129" s="697"/>
      <c r="BM129" s="697"/>
      <c r="BN129" s="697"/>
      <c r="BO129" s="697"/>
      <c r="BP129" s="697"/>
      <c r="BQ129" s="697"/>
      <c r="BR129" s="697"/>
      <c r="BS129" s="697"/>
      <c r="BT129" s="697"/>
      <c r="BU129" s="697"/>
      <c r="BV129" s="697"/>
      <c r="BW129" s="697"/>
      <c r="BX129" s="697"/>
      <c r="BY129" s="697"/>
      <c r="BZ129" s="697"/>
      <c r="CA129" s="697"/>
      <c r="CB129" s="697"/>
      <c r="CC129" s="697"/>
      <c r="CD129" s="697"/>
      <c r="CE129" s="697"/>
      <c r="CF129" s="697"/>
      <c r="CG129" s="697"/>
      <c r="CH129" s="697"/>
      <c r="CI129" s="697"/>
      <c r="CJ129" s="697"/>
      <c r="CK129" s="697"/>
      <c r="CL129" s="697"/>
      <c r="CM129" s="697"/>
      <c r="CN129" s="697"/>
      <c r="CO129" s="697"/>
      <c r="CP129" s="697"/>
      <c r="CQ129" s="697"/>
      <c r="CR129" s="697"/>
      <c r="CS129" s="697"/>
      <c r="CT129" s="697"/>
      <c r="CU129" s="697"/>
      <c r="CV129" s="697"/>
      <c r="CW129" s="697"/>
      <c r="CX129" s="697"/>
      <c r="CY129" s="697"/>
      <c r="CZ129" s="697"/>
      <c r="DA129" s="697"/>
    </row>
    <row r="130" spans="1:105" hidden="1" outlineLevel="1" x14ac:dyDescent="0.2">
      <c r="A130" s="709">
        <f t="shared" si="27"/>
        <v>37377</v>
      </c>
      <c r="B130" s="709" t="str">
        <f t="shared" si="24"/>
        <v>2Q02</v>
      </c>
      <c r="C130" s="709" t="str">
        <f t="shared" si="28"/>
        <v>3Q02</v>
      </c>
      <c r="D130" s="710">
        <f t="shared" si="36"/>
        <v>37463</v>
      </c>
      <c r="E130" s="710">
        <f t="shared" si="36"/>
        <v>37403</v>
      </c>
      <c r="F130" s="712">
        <v>1.3080000000000001</v>
      </c>
      <c r="G130" s="713">
        <f t="shared" si="25"/>
        <v>0.04</v>
      </c>
      <c r="H130" s="713">
        <f t="shared" si="26"/>
        <v>0.04</v>
      </c>
      <c r="I130" s="713">
        <f t="shared" si="37"/>
        <v>7.3999999999999817</v>
      </c>
      <c r="J130" s="713">
        <f t="shared" si="37"/>
        <v>7.4499999999999815</v>
      </c>
      <c r="K130" s="713">
        <f t="shared" si="31"/>
        <v>1.2600000000000009</v>
      </c>
      <c r="L130" s="697"/>
      <c r="M130" s="697"/>
      <c r="N130" s="697"/>
      <c r="O130" s="697"/>
      <c r="P130" s="697"/>
      <c r="Q130" s="697"/>
      <c r="R130" s="697"/>
      <c r="S130" s="697"/>
      <c r="T130" s="697"/>
      <c r="U130" s="697"/>
      <c r="V130" s="697"/>
      <c r="W130" s="697"/>
      <c r="X130" s="697"/>
      <c r="Y130" s="697"/>
      <c r="Z130" s="697"/>
      <c r="AA130" s="697"/>
      <c r="AB130" s="697"/>
      <c r="AC130" s="697"/>
      <c r="AD130" s="697"/>
      <c r="AE130" s="697"/>
      <c r="AF130" s="697"/>
      <c r="AG130" s="697"/>
      <c r="AH130" s="697"/>
      <c r="AI130" s="697"/>
      <c r="AJ130" s="697"/>
      <c r="AK130" s="697"/>
      <c r="AL130" s="697"/>
      <c r="AM130" s="697"/>
      <c r="AN130" s="697"/>
      <c r="AO130" s="697"/>
      <c r="AP130" s="697"/>
      <c r="AQ130" s="697"/>
      <c r="AR130" s="697"/>
      <c r="AS130" s="697"/>
      <c r="AT130" s="697"/>
      <c r="AU130" s="697"/>
      <c r="AV130" s="697"/>
      <c r="AW130" s="697"/>
      <c r="AX130" s="697"/>
      <c r="AY130" s="697"/>
      <c r="AZ130" s="697"/>
      <c r="BA130" s="697"/>
      <c r="BB130" s="697"/>
      <c r="BC130" s="697"/>
      <c r="BD130" s="697"/>
      <c r="BE130" s="697"/>
      <c r="BF130" s="697"/>
      <c r="BG130" s="697"/>
      <c r="BH130" s="697"/>
      <c r="BI130" s="697"/>
      <c r="BJ130" s="697"/>
      <c r="BK130" s="697"/>
      <c r="BL130" s="697"/>
      <c r="BM130" s="697"/>
      <c r="BN130" s="697"/>
      <c r="BO130" s="697"/>
      <c r="BP130" s="697"/>
      <c r="BQ130" s="697"/>
      <c r="BR130" s="697"/>
      <c r="BS130" s="697"/>
      <c r="BT130" s="697"/>
      <c r="BU130" s="697"/>
      <c r="BV130" s="697"/>
      <c r="BW130" s="697"/>
      <c r="BX130" s="697"/>
      <c r="BY130" s="697"/>
      <c r="BZ130" s="697"/>
      <c r="CA130" s="697"/>
      <c r="CB130" s="697"/>
      <c r="CC130" s="697"/>
      <c r="CD130" s="697"/>
      <c r="CE130" s="697"/>
      <c r="CF130" s="697"/>
      <c r="CG130" s="697"/>
      <c r="CH130" s="697"/>
      <c r="CI130" s="697"/>
      <c r="CJ130" s="697"/>
      <c r="CK130" s="697"/>
      <c r="CL130" s="697"/>
      <c r="CM130" s="697"/>
      <c r="CN130" s="697"/>
      <c r="CO130" s="697"/>
      <c r="CP130" s="697"/>
      <c r="CQ130" s="697"/>
      <c r="CR130" s="697"/>
      <c r="CS130" s="697"/>
      <c r="CT130" s="697"/>
      <c r="CU130" s="697"/>
      <c r="CV130" s="697"/>
      <c r="CW130" s="697"/>
      <c r="CX130" s="697"/>
      <c r="CY130" s="697"/>
      <c r="CZ130" s="697"/>
      <c r="DA130" s="697"/>
    </row>
    <row r="131" spans="1:105" hidden="1" outlineLevel="1" x14ac:dyDescent="0.2">
      <c r="A131" s="709">
        <f t="shared" si="27"/>
        <v>37408</v>
      </c>
      <c r="B131" s="709" t="str">
        <f t="shared" si="24"/>
        <v>2Q02</v>
      </c>
      <c r="C131" s="709" t="str">
        <f t="shared" si="28"/>
        <v>3Q02</v>
      </c>
      <c r="D131" s="710">
        <f t="shared" si="36"/>
        <v>37470</v>
      </c>
      <c r="E131" s="710">
        <f t="shared" si="36"/>
        <v>37410</v>
      </c>
      <c r="F131" s="712">
        <v>1.3</v>
      </c>
      <c r="G131" s="713">
        <f t="shared" si="25"/>
        <v>0.04</v>
      </c>
      <c r="H131" s="713">
        <f t="shared" si="26"/>
        <v>0.03</v>
      </c>
      <c r="I131" s="713">
        <f t="shared" si="37"/>
        <v>7.4499999999999815</v>
      </c>
      <c r="J131" s="713">
        <f t="shared" si="37"/>
        <v>7.4999999999999813</v>
      </c>
      <c r="K131" s="713">
        <f t="shared" si="31"/>
        <v>1.2700000000000009</v>
      </c>
      <c r="L131" s="697"/>
      <c r="M131" s="697"/>
      <c r="N131" s="697"/>
      <c r="O131" s="697"/>
      <c r="P131" s="697"/>
      <c r="Q131" s="697"/>
      <c r="R131" s="697"/>
      <c r="S131" s="697"/>
      <c r="T131" s="697"/>
      <c r="U131" s="697"/>
      <c r="V131" s="697"/>
      <c r="W131" s="697"/>
      <c r="X131" s="697"/>
      <c r="Y131" s="697"/>
      <c r="Z131" s="697"/>
      <c r="AA131" s="697"/>
      <c r="AB131" s="697"/>
      <c r="AC131" s="697"/>
      <c r="AD131" s="697"/>
      <c r="AE131" s="697"/>
      <c r="AF131" s="697"/>
      <c r="AG131" s="697"/>
      <c r="AH131" s="697"/>
      <c r="AI131" s="697"/>
      <c r="AJ131" s="697"/>
      <c r="AK131" s="697"/>
      <c r="AL131" s="697"/>
      <c r="AM131" s="697"/>
      <c r="AN131" s="697"/>
      <c r="AO131" s="697"/>
      <c r="AP131" s="697"/>
      <c r="AQ131" s="697"/>
      <c r="AR131" s="697"/>
      <c r="AS131" s="697"/>
      <c r="AT131" s="697"/>
      <c r="AU131" s="697"/>
      <c r="AV131" s="697"/>
      <c r="AW131" s="697"/>
      <c r="AX131" s="697"/>
      <c r="AY131" s="697"/>
      <c r="AZ131" s="697"/>
      <c r="BA131" s="697"/>
      <c r="BB131" s="697"/>
      <c r="BC131" s="697"/>
      <c r="BD131" s="697"/>
      <c r="BE131" s="697"/>
      <c r="BF131" s="697"/>
      <c r="BG131" s="697"/>
      <c r="BH131" s="697"/>
      <c r="BI131" s="697"/>
      <c r="BJ131" s="697"/>
      <c r="BK131" s="697"/>
      <c r="BL131" s="697"/>
      <c r="BM131" s="697"/>
      <c r="BN131" s="697"/>
      <c r="BO131" s="697"/>
      <c r="BP131" s="697"/>
      <c r="BQ131" s="697"/>
      <c r="BR131" s="697"/>
      <c r="BS131" s="697"/>
      <c r="BT131" s="697"/>
      <c r="BU131" s="697"/>
      <c r="BV131" s="697"/>
      <c r="BW131" s="697"/>
      <c r="BX131" s="697"/>
      <c r="BY131" s="697"/>
      <c r="BZ131" s="697"/>
      <c r="CA131" s="697"/>
      <c r="CB131" s="697"/>
      <c r="CC131" s="697"/>
      <c r="CD131" s="697"/>
      <c r="CE131" s="697"/>
      <c r="CF131" s="697"/>
      <c r="CG131" s="697"/>
      <c r="CH131" s="697"/>
      <c r="CI131" s="697"/>
      <c r="CJ131" s="697"/>
      <c r="CK131" s="697"/>
      <c r="CL131" s="697"/>
      <c r="CM131" s="697"/>
      <c r="CN131" s="697"/>
      <c r="CO131" s="697"/>
      <c r="CP131" s="697"/>
      <c r="CQ131" s="697"/>
      <c r="CR131" s="697"/>
      <c r="CS131" s="697"/>
      <c r="CT131" s="697"/>
      <c r="CU131" s="697"/>
      <c r="CV131" s="697"/>
      <c r="CW131" s="697"/>
      <c r="CX131" s="697"/>
      <c r="CY131" s="697"/>
      <c r="CZ131" s="697"/>
      <c r="DA131" s="697"/>
    </row>
    <row r="132" spans="1:105" hidden="1" outlineLevel="1" x14ac:dyDescent="0.2">
      <c r="A132" s="709">
        <f t="shared" si="27"/>
        <v>37408</v>
      </c>
      <c r="B132" s="709" t="str">
        <f t="shared" ref="B132:B195" si="38">VLOOKUP(MONTH(A132),$N$4:$O$16,2,FALSE) &amp; "Q" &amp; RIGHT(YEAR(A132),2)</f>
        <v>2Q02</v>
      </c>
      <c r="C132" s="709" t="str">
        <f t="shared" si="28"/>
        <v>3Q02</v>
      </c>
      <c r="D132" s="710">
        <f t="shared" si="36"/>
        <v>37477</v>
      </c>
      <c r="E132" s="710">
        <f t="shared" si="36"/>
        <v>37417</v>
      </c>
      <c r="F132" s="712">
        <v>1.286</v>
      </c>
      <c r="G132" s="713">
        <f t="shared" ref="G132:G195" si="39">INDEX($I$4:$K$153,MATCH(F132,$I$4:$I$153,1),3)</f>
        <v>0.03</v>
      </c>
      <c r="H132" s="713">
        <f t="shared" ref="H132:H195" si="40">G133</f>
        <v>0.03</v>
      </c>
      <c r="I132" s="713">
        <f t="shared" si="37"/>
        <v>7.4999999999999813</v>
      </c>
      <c r="J132" s="713">
        <f t="shared" si="37"/>
        <v>7.5499999999999812</v>
      </c>
      <c r="K132" s="713">
        <f t="shared" si="31"/>
        <v>1.2800000000000009</v>
      </c>
      <c r="L132" s="697"/>
      <c r="M132" s="697"/>
      <c r="N132" s="697"/>
      <c r="O132" s="697"/>
      <c r="P132" s="697"/>
      <c r="Q132" s="697"/>
      <c r="R132" s="697"/>
      <c r="S132" s="697"/>
      <c r="T132" s="697"/>
      <c r="U132" s="697"/>
      <c r="V132" s="697"/>
      <c r="W132" s="697"/>
      <c r="X132" s="697"/>
      <c r="Y132" s="697"/>
      <c r="Z132" s="697"/>
      <c r="AA132" s="697"/>
      <c r="AB132" s="697"/>
      <c r="AC132" s="697"/>
      <c r="AD132" s="697"/>
      <c r="AE132" s="697"/>
      <c r="AF132" s="697"/>
      <c r="AG132" s="697"/>
      <c r="AH132" s="697"/>
      <c r="AI132" s="697"/>
      <c r="AJ132" s="697"/>
      <c r="AK132" s="697"/>
      <c r="AL132" s="697"/>
      <c r="AM132" s="697"/>
      <c r="AN132" s="697"/>
      <c r="AO132" s="697"/>
      <c r="AP132" s="697"/>
      <c r="AQ132" s="697"/>
      <c r="AR132" s="697"/>
      <c r="AS132" s="697"/>
      <c r="AT132" s="697"/>
      <c r="AU132" s="697"/>
      <c r="AV132" s="697"/>
      <c r="AW132" s="697"/>
      <c r="AX132" s="697"/>
      <c r="AY132" s="697"/>
      <c r="AZ132" s="697"/>
      <c r="BA132" s="697"/>
      <c r="BB132" s="697"/>
      <c r="BC132" s="697"/>
      <c r="BD132" s="697"/>
      <c r="BE132" s="697"/>
      <c r="BF132" s="697"/>
      <c r="BG132" s="697"/>
      <c r="BH132" s="697"/>
      <c r="BI132" s="697"/>
      <c r="BJ132" s="697"/>
      <c r="BK132" s="697"/>
      <c r="BL132" s="697"/>
      <c r="BM132" s="697"/>
      <c r="BN132" s="697"/>
      <c r="BO132" s="697"/>
      <c r="BP132" s="697"/>
      <c r="BQ132" s="697"/>
      <c r="BR132" s="697"/>
      <c r="BS132" s="697"/>
      <c r="BT132" s="697"/>
      <c r="BU132" s="697"/>
      <c r="BV132" s="697"/>
      <c r="BW132" s="697"/>
      <c r="BX132" s="697"/>
      <c r="BY132" s="697"/>
      <c r="BZ132" s="697"/>
      <c r="CA132" s="697"/>
      <c r="CB132" s="697"/>
      <c r="CC132" s="697"/>
      <c r="CD132" s="697"/>
      <c r="CE132" s="697"/>
      <c r="CF132" s="697"/>
      <c r="CG132" s="697"/>
      <c r="CH132" s="697"/>
      <c r="CI132" s="697"/>
      <c r="CJ132" s="697"/>
      <c r="CK132" s="697"/>
      <c r="CL132" s="697"/>
      <c r="CM132" s="697"/>
      <c r="CN132" s="697"/>
      <c r="CO132" s="697"/>
      <c r="CP132" s="697"/>
      <c r="CQ132" s="697"/>
      <c r="CR132" s="697"/>
      <c r="CS132" s="697"/>
      <c r="CT132" s="697"/>
      <c r="CU132" s="697"/>
      <c r="CV132" s="697"/>
      <c r="CW132" s="697"/>
      <c r="CX132" s="697"/>
      <c r="CY132" s="697"/>
      <c r="CZ132" s="697"/>
      <c r="DA132" s="697"/>
    </row>
    <row r="133" spans="1:105" hidden="1" outlineLevel="1" x14ac:dyDescent="0.2">
      <c r="A133" s="709">
        <f t="shared" ref="A133:A196" si="41">DATE(YEAR(E133),MONTH(E133),1)</f>
        <v>37408</v>
      </c>
      <c r="B133" s="709" t="str">
        <f t="shared" si="38"/>
        <v>2Q02</v>
      </c>
      <c r="C133" s="709" t="str">
        <f t="shared" ref="C133:C196" si="42">VLOOKUP(MONTH(D133),$N$4:$O$16,2,FALSE) &amp; "Q" &amp; RIGHT(YEAR(D133),2)</f>
        <v>3Q02</v>
      </c>
      <c r="D133" s="710">
        <f t="shared" ref="D133:E148" si="43">D132+7</f>
        <v>37484</v>
      </c>
      <c r="E133" s="710">
        <f t="shared" si="43"/>
        <v>37424</v>
      </c>
      <c r="F133" s="712">
        <v>1.2749999999999999</v>
      </c>
      <c r="G133" s="713">
        <f t="shared" si="39"/>
        <v>0.03</v>
      </c>
      <c r="H133" s="713">
        <f t="shared" si="40"/>
        <v>0.03</v>
      </c>
      <c r="I133" s="713">
        <f t="shared" si="37"/>
        <v>7.5499999999999812</v>
      </c>
      <c r="J133" s="713">
        <f t="shared" si="37"/>
        <v>7.599999999999981</v>
      </c>
      <c r="K133" s="713">
        <f t="shared" si="31"/>
        <v>1.2900000000000009</v>
      </c>
      <c r="L133" s="697"/>
      <c r="M133" s="697"/>
      <c r="N133" s="697"/>
      <c r="O133" s="697"/>
      <c r="P133" s="697"/>
      <c r="Q133" s="697"/>
      <c r="R133" s="697"/>
      <c r="S133" s="697"/>
      <c r="T133" s="697"/>
      <c r="U133" s="697"/>
      <c r="V133" s="697"/>
      <c r="W133" s="697"/>
      <c r="X133" s="697"/>
      <c r="Y133" s="697"/>
      <c r="Z133" s="697"/>
      <c r="AA133" s="697"/>
      <c r="AB133" s="697"/>
      <c r="AC133" s="697"/>
      <c r="AD133" s="697"/>
      <c r="AE133" s="697"/>
      <c r="AF133" s="697"/>
      <c r="AG133" s="697"/>
      <c r="AH133" s="697"/>
      <c r="AI133" s="697"/>
      <c r="AJ133" s="697"/>
      <c r="AK133" s="697"/>
      <c r="AL133" s="697"/>
      <c r="AM133" s="697"/>
      <c r="AN133" s="697"/>
      <c r="AO133" s="697"/>
      <c r="AP133" s="697"/>
      <c r="AQ133" s="697"/>
      <c r="AR133" s="697"/>
      <c r="AS133" s="697"/>
      <c r="AT133" s="697"/>
      <c r="AU133" s="697"/>
      <c r="AV133" s="697"/>
      <c r="AW133" s="697"/>
      <c r="AX133" s="697"/>
      <c r="AY133" s="697"/>
      <c r="AZ133" s="697"/>
      <c r="BA133" s="697"/>
      <c r="BB133" s="697"/>
      <c r="BC133" s="697"/>
      <c r="BD133" s="697"/>
      <c r="BE133" s="697"/>
      <c r="BF133" s="697"/>
      <c r="BG133" s="697"/>
      <c r="BH133" s="697"/>
      <c r="BI133" s="697"/>
      <c r="BJ133" s="697"/>
      <c r="BK133" s="697"/>
      <c r="BL133" s="697"/>
      <c r="BM133" s="697"/>
      <c r="BN133" s="697"/>
      <c r="BO133" s="697"/>
      <c r="BP133" s="697"/>
      <c r="BQ133" s="697"/>
      <c r="BR133" s="697"/>
      <c r="BS133" s="697"/>
      <c r="BT133" s="697"/>
      <c r="BU133" s="697"/>
      <c r="BV133" s="697"/>
      <c r="BW133" s="697"/>
      <c r="BX133" s="697"/>
      <c r="BY133" s="697"/>
      <c r="BZ133" s="697"/>
      <c r="CA133" s="697"/>
      <c r="CB133" s="697"/>
      <c r="CC133" s="697"/>
      <c r="CD133" s="697"/>
      <c r="CE133" s="697"/>
      <c r="CF133" s="697"/>
      <c r="CG133" s="697"/>
      <c r="CH133" s="697"/>
      <c r="CI133" s="697"/>
      <c r="CJ133" s="697"/>
      <c r="CK133" s="697"/>
      <c r="CL133" s="697"/>
      <c r="CM133" s="697"/>
      <c r="CN133" s="697"/>
      <c r="CO133" s="697"/>
      <c r="CP133" s="697"/>
      <c r="CQ133" s="697"/>
      <c r="CR133" s="697"/>
      <c r="CS133" s="697"/>
      <c r="CT133" s="697"/>
      <c r="CU133" s="697"/>
      <c r="CV133" s="697"/>
      <c r="CW133" s="697"/>
      <c r="CX133" s="697"/>
      <c r="CY133" s="697"/>
      <c r="CZ133" s="697"/>
      <c r="DA133" s="697"/>
    </row>
    <row r="134" spans="1:105" hidden="1" outlineLevel="1" x14ac:dyDescent="0.2">
      <c r="A134" s="709">
        <f t="shared" si="41"/>
        <v>37408</v>
      </c>
      <c r="B134" s="709" t="str">
        <f t="shared" si="38"/>
        <v>2Q02</v>
      </c>
      <c r="C134" s="709" t="str">
        <f t="shared" si="42"/>
        <v>3Q02</v>
      </c>
      <c r="D134" s="710">
        <f t="shared" si="43"/>
        <v>37491</v>
      </c>
      <c r="E134" s="710">
        <f t="shared" si="43"/>
        <v>37431</v>
      </c>
      <c r="F134" s="712">
        <v>1.2809999999999999</v>
      </c>
      <c r="G134" s="713">
        <f t="shared" si="39"/>
        <v>0.03</v>
      </c>
      <c r="H134" s="713">
        <f t="shared" si="40"/>
        <v>0.03</v>
      </c>
      <c r="I134" s="713">
        <f t="shared" ref="I134:J149" si="44">I133+0.05</f>
        <v>7.599999999999981</v>
      </c>
      <c r="J134" s="713">
        <f t="shared" si="44"/>
        <v>7.6499999999999808</v>
      </c>
      <c r="K134" s="713">
        <f t="shared" ref="K134:K153" si="45">K133+0.01</f>
        <v>1.3000000000000009</v>
      </c>
      <c r="L134" s="697"/>
      <c r="M134" s="697"/>
      <c r="N134" s="697"/>
      <c r="O134" s="697"/>
      <c r="P134" s="697"/>
      <c r="Q134" s="697"/>
      <c r="R134" s="697"/>
      <c r="S134" s="697"/>
      <c r="T134" s="697"/>
      <c r="U134" s="697"/>
      <c r="V134" s="697"/>
      <c r="W134" s="697"/>
      <c r="X134" s="697"/>
      <c r="Y134" s="697"/>
      <c r="Z134" s="697"/>
      <c r="AA134" s="697"/>
      <c r="AB134" s="697"/>
      <c r="AC134" s="697"/>
      <c r="AD134" s="697"/>
      <c r="AE134" s="697"/>
      <c r="AF134" s="697"/>
      <c r="AG134" s="697"/>
      <c r="AH134" s="697"/>
      <c r="AI134" s="697"/>
      <c r="AJ134" s="697"/>
      <c r="AK134" s="697"/>
      <c r="AL134" s="697"/>
      <c r="AM134" s="697"/>
      <c r="AN134" s="697"/>
      <c r="AO134" s="697"/>
      <c r="AP134" s="697"/>
      <c r="AQ134" s="697"/>
      <c r="AR134" s="697"/>
      <c r="AS134" s="697"/>
      <c r="AT134" s="697"/>
      <c r="AU134" s="697"/>
      <c r="AV134" s="697"/>
      <c r="AW134" s="697"/>
      <c r="AX134" s="697"/>
      <c r="AY134" s="697"/>
      <c r="AZ134" s="697"/>
      <c r="BA134" s="697"/>
      <c r="BB134" s="697"/>
      <c r="BC134" s="697"/>
      <c r="BD134" s="697"/>
      <c r="BE134" s="697"/>
      <c r="BF134" s="697"/>
      <c r="BG134" s="697"/>
      <c r="BH134" s="697"/>
      <c r="BI134" s="697"/>
      <c r="BJ134" s="697"/>
      <c r="BK134" s="697"/>
      <c r="BL134" s="697"/>
      <c r="BM134" s="697"/>
      <c r="BN134" s="697"/>
      <c r="BO134" s="697"/>
      <c r="BP134" s="697"/>
      <c r="BQ134" s="697"/>
      <c r="BR134" s="697"/>
      <c r="BS134" s="697"/>
      <c r="BT134" s="697"/>
      <c r="BU134" s="697"/>
      <c r="BV134" s="697"/>
      <c r="BW134" s="697"/>
      <c r="BX134" s="697"/>
      <c r="BY134" s="697"/>
      <c r="BZ134" s="697"/>
      <c r="CA134" s="697"/>
      <c r="CB134" s="697"/>
      <c r="CC134" s="697"/>
      <c r="CD134" s="697"/>
      <c r="CE134" s="697"/>
      <c r="CF134" s="697"/>
      <c r="CG134" s="697"/>
      <c r="CH134" s="697"/>
      <c r="CI134" s="697"/>
      <c r="CJ134" s="697"/>
      <c r="CK134" s="697"/>
      <c r="CL134" s="697"/>
      <c r="CM134" s="697"/>
      <c r="CN134" s="697"/>
      <c r="CO134" s="697"/>
      <c r="CP134" s="697"/>
      <c r="CQ134" s="697"/>
      <c r="CR134" s="697"/>
      <c r="CS134" s="697"/>
      <c r="CT134" s="697"/>
      <c r="CU134" s="697"/>
      <c r="CV134" s="697"/>
      <c r="CW134" s="697"/>
      <c r="CX134" s="697"/>
      <c r="CY134" s="697"/>
      <c r="CZ134" s="697"/>
      <c r="DA134" s="697"/>
    </row>
    <row r="135" spans="1:105" hidden="1" outlineLevel="1" x14ac:dyDescent="0.2">
      <c r="A135" s="709">
        <f t="shared" si="41"/>
        <v>37438</v>
      </c>
      <c r="B135" s="709" t="str">
        <f t="shared" si="38"/>
        <v>3Q02</v>
      </c>
      <c r="C135" s="709" t="str">
        <f t="shared" si="42"/>
        <v>3Q02</v>
      </c>
      <c r="D135" s="710">
        <f t="shared" si="43"/>
        <v>37498</v>
      </c>
      <c r="E135" s="710">
        <f t="shared" si="43"/>
        <v>37438</v>
      </c>
      <c r="F135" s="712">
        <v>1.2890000000000001</v>
      </c>
      <c r="G135" s="713">
        <f t="shared" si="39"/>
        <v>0.03</v>
      </c>
      <c r="H135" s="713">
        <f t="shared" si="40"/>
        <v>0.03</v>
      </c>
      <c r="I135" s="713">
        <f t="shared" si="44"/>
        <v>7.6499999999999808</v>
      </c>
      <c r="J135" s="713">
        <f t="shared" si="44"/>
        <v>7.6999999999999806</v>
      </c>
      <c r="K135" s="713">
        <f t="shared" si="45"/>
        <v>1.3100000000000009</v>
      </c>
      <c r="L135" s="697"/>
      <c r="M135" s="697"/>
      <c r="N135" s="697"/>
      <c r="O135" s="697"/>
      <c r="P135" s="697"/>
      <c r="Q135" s="697"/>
      <c r="R135" s="697"/>
      <c r="S135" s="697"/>
      <c r="T135" s="697"/>
      <c r="U135" s="697"/>
      <c r="V135" s="697"/>
      <c r="W135" s="697"/>
      <c r="X135" s="697"/>
      <c r="Y135" s="697"/>
      <c r="Z135" s="697"/>
      <c r="AA135" s="697"/>
      <c r="AB135" s="697"/>
      <c r="AC135" s="697"/>
      <c r="AD135" s="697"/>
      <c r="AE135" s="697"/>
      <c r="AF135" s="697"/>
      <c r="AG135" s="697"/>
      <c r="AH135" s="697"/>
      <c r="AI135" s="697"/>
      <c r="AJ135" s="697"/>
      <c r="AK135" s="697"/>
      <c r="AL135" s="697"/>
      <c r="AM135" s="697"/>
      <c r="AN135" s="697"/>
      <c r="AO135" s="697"/>
      <c r="AP135" s="697"/>
      <c r="AQ135" s="697"/>
      <c r="AR135" s="697"/>
      <c r="AS135" s="697"/>
      <c r="AT135" s="697"/>
      <c r="AU135" s="697"/>
      <c r="AV135" s="697"/>
      <c r="AW135" s="697"/>
      <c r="AX135" s="697"/>
      <c r="AY135" s="697"/>
      <c r="AZ135" s="697"/>
      <c r="BA135" s="697"/>
      <c r="BB135" s="697"/>
      <c r="BC135" s="697"/>
      <c r="BD135" s="697"/>
      <c r="BE135" s="697"/>
      <c r="BF135" s="697"/>
      <c r="BG135" s="697"/>
      <c r="BH135" s="697"/>
      <c r="BI135" s="697"/>
      <c r="BJ135" s="697"/>
      <c r="BK135" s="697"/>
      <c r="BL135" s="697"/>
      <c r="BM135" s="697"/>
      <c r="BN135" s="697"/>
      <c r="BO135" s="697"/>
      <c r="BP135" s="697"/>
      <c r="BQ135" s="697"/>
      <c r="BR135" s="697"/>
      <c r="BS135" s="697"/>
      <c r="BT135" s="697"/>
      <c r="BU135" s="697"/>
      <c r="BV135" s="697"/>
      <c r="BW135" s="697"/>
      <c r="BX135" s="697"/>
      <c r="BY135" s="697"/>
      <c r="BZ135" s="697"/>
      <c r="CA135" s="697"/>
      <c r="CB135" s="697"/>
      <c r="CC135" s="697"/>
      <c r="CD135" s="697"/>
      <c r="CE135" s="697"/>
      <c r="CF135" s="697"/>
      <c r="CG135" s="697"/>
      <c r="CH135" s="697"/>
      <c r="CI135" s="697"/>
      <c r="CJ135" s="697"/>
      <c r="CK135" s="697"/>
      <c r="CL135" s="697"/>
      <c r="CM135" s="697"/>
      <c r="CN135" s="697"/>
      <c r="CO135" s="697"/>
      <c r="CP135" s="697"/>
      <c r="CQ135" s="697"/>
      <c r="CR135" s="697"/>
      <c r="CS135" s="697"/>
      <c r="CT135" s="697"/>
      <c r="CU135" s="697"/>
      <c r="CV135" s="697"/>
      <c r="CW135" s="697"/>
      <c r="CX135" s="697"/>
      <c r="CY135" s="697"/>
      <c r="CZ135" s="697"/>
      <c r="DA135" s="697"/>
    </row>
    <row r="136" spans="1:105" hidden="1" outlineLevel="1" x14ac:dyDescent="0.2">
      <c r="A136" s="709">
        <f t="shared" si="41"/>
        <v>37438</v>
      </c>
      <c r="B136" s="709" t="str">
        <f t="shared" si="38"/>
        <v>3Q02</v>
      </c>
      <c r="C136" s="709" t="str">
        <f t="shared" si="42"/>
        <v>3Q02</v>
      </c>
      <c r="D136" s="710">
        <f t="shared" si="43"/>
        <v>37505</v>
      </c>
      <c r="E136" s="710">
        <f t="shared" si="43"/>
        <v>37445</v>
      </c>
      <c r="F136" s="712">
        <v>1.294</v>
      </c>
      <c r="G136" s="713">
        <f t="shared" si="39"/>
        <v>0.03</v>
      </c>
      <c r="H136" s="713">
        <f t="shared" si="40"/>
        <v>0.04</v>
      </c>
      <c r="I136" s="713">
        <f t="shared" si="44"/>
        <v>7.6999999999999806</v>
      </c>
      <c r="J136" s="713">
        <f t="shared" si="44"/>
        <v>7.7499999999999805</v>
      </c>
      <c r="K136" s="713">
        <f t="shared" si="45"/>
        <v>1.320000000000001</v>
      </c>
      <c r="L136" s="697"/>
      <c r="M136" s="697"/>
      <c r="N136" s="697"/>
      <c r="O136" s="697"/>
      <c r="P136" s="697"/>
      <c r="Q136" s="697"/>
      <c r="R136" s="697"/>
      <c r="S136" s="697"/>
      <c r="T136" s="697"/>
      <c r="U136" s="697"/>
      <c r="V136" s="697"/>
      <c r="W136" s="697"/>
      <c r="X136" s="697"/>
      <c r="Y136" s="697"/>
      <c r="Z136" s="697"/>
      <c r="AA136" s="697"/>
      <c r="AB136" s="697"/>
      <c r="AC136" s="697"/>
      <c r="AD136" s="697"/>
      <c r="AE136" s="697"/>
      <c r="AF136" s="697"/>
      <c r="AG136" s="697"/>
      <c r="AH136" s="697"/>
      <c r="AI136" s="697"/>
      <c r="AJ136" s="697"/>
      <c r="AK136" s="697"/>
      <c r="AL136" s="697"/>
      <c r="AM136" s="697"/>
      <c r="AN136" s="697"/>
      <c r="AO136" s="697"/>
      <c r="AP136" s="697"/>
      <c r="AQ136" s="697"/>
      <c r="AR136" s="697"/>
      <c r="AS136" s="697"/>
      <c r="AT136" s="697"/>
      <c r="AU136" s="697"/>
      <c r="AV136" s="697"/>
      <c r="AW136" s="697"/>
      <c r="AX136" s="697"/>
      <c r="AY136" s="697"/>
      <c r="AZ136" s="697"/>
      <c r="BA136" s="697"/>
      <c r="BB136" s="697"/>
      <c r="BC136" s="697"/>
      <c r="BD136" s="697"/>
      <c r="BE136" s="697"/>
      <c r="BF136" s="697"/>
      <c r="BG136" s="697"/>
      <c r="BH136" s="697"/>
      <c r="BI136" s="697"/>
      <c r="BJ136" s="697"/>
      <c r="BK136" s="697"/>
      <c r="BL136" s="697"/>
      <c r="BM136" s="697"/>
      <c r="BN136" s="697"/>
      <c r="BO136" s="697"/>
      <c r="BP136" s="697"/>
      <c r="BQ136" s="697"/>
      <c r="BR136" s="697"/>
      <c r="BS136" s="697"/>
      <c r="BT136" s="697"/>
      <c r="BU136" s="697"/>
      <c r="BV136" s="697"/>
      <c r="BW136" s="697"/>
      <c r="BX136" s="697"/>
      <c r="BY136" s="697"/>
      <c r="BZ136" s="697"/>
      <c r="CA136" s="697"/>
      <c r="CB136" s="697"/>
      <c r="CC136" s="697"/>
      <c r="CD136" s="697"/>
      <c r="CE136" s="697"/>
      <c r="CF136" s="697"/>
      <c r="CG136" s="697"/>
      <c r="CH136" s="697"/>
      <c r="CI136" s="697"/>
      <c r="CJ136" s="697"/>
      <c r="CK136" s="697"/>
      <c r="CL136" s="697"/>
      <c r="CM136" s="697"/>
      <c r="CN136" s="697"/>
      <c r="CO136" s="697"/>
      <c r="CP136" s="697"/>
      <c r="CQ136" s="697"/>
      <c r="CR136" s="697"/>
      <c r="CS136" s="697"/>
      <c r="CT136" s="697"/>
      <c r="CU136" s="697"/>
      <c r="CV136" s="697"/>
      <c r="CW136" s="697"/>
      <c r="CX136" s="697"/>
      <c r="CY136" s="697"/>
      <c r="CZ136" s="697"/>
      <c r="DA136" s="697"/>
    </row>
    <row r="137" spans="1:105" hidden="1" outlineLevel="1" x14ac:dyDescent="0.2">
      <c r="A137" s="709">
        <f t="shared" si="41"/>
        <v>37438</v>
      </c>
      <c r="B137" s="709" t="str">
        <f t="shared" si="38"/>
        <v>3Q02</v>
      </c>
      <c r="C137" s="709" t="str">
        <f t="shared" si="42"/>
        <v>3Q02</v>
      </c>
      <c r="D137" s="710">
        <f t="shared" si="43"/>
        <v>37512</v>
      </c>
      <c r="E137" s="710">
        <f t="shared" si="43"/>
        <v>37452</v>
      </c>
      <c r="F137" s="712">
        <v>1.3</v>
      </c>
      <c r="G137" s="713">
        <f t="shared" si="39"/>
        <v>0.04</v>
      </c>
      <c r="H137" s="713">
        <f t="shared" si="40"/>
        <v>0.04</v>
      </c>
      <c r="I137" s="713">
        <f t="shared" si="44"/>
        <v>7.7499999999999805</v>
      </c>
      <c r="J137" s="713">
        <f t="shared" si="44"/>
        <v>7.7999999999999803</v>
      </c>
      <c r="K137" s="713">
        <f t="shared" si="45"/>
        <v>1.330000000000001</v>
      </c>
      <c r="L137" s="697"/>
      <c r="M137" s="697"/>
      <c r="N137" s="697"/>
      <c r="O137" s="697"/>
      <c r="P137" s="697"/>
      <c r="Q137" s="697"/>
      <c r="R137" s="697"/>
      <c r="S137" s="697"/>
      <c r="T137" s="697"/>
      <c r="U137" s="697"/>
      <c r="V137" s="697"/>
      <c r="W137" s="697"/>
      <c r="X137" s="697"/>
      <c r="Y137" s="697"/>
      <c r="Z137" s="697"/>
      <c r="AA137" s="697"/>
      <c r="AB137" s="697"/>
      <c r="AC137" s="697"/>
      <c r="AD137" s="697"/>
      <c r="AE137" s="697"/>
      <c r="AF137" s="697"/>
      <c r="AG137" s="697"/>
      <c r="AH137" s="697"/>
      <c r="AI137" s="697"/>
      <c r="AJ137" s="697"/>
      <c r="AK137" s="697"/>
      <c r="AL137" s="697"/>
      <c r="AM137" s="697"/>
      <c r="AN137" s="697"/>
      <c r="AO137" s="697"/>
      <c r="AP137" s="697"/>
      <c r="AQ137" s="697"/>
      <c r="AR137" s="697"/>
      <c r="AS137" s="697"/>
      <c r="AT137" s="697"/>
      <c r="AU137" s="697"/>
      <c r="AV137" s="697"/>
      <c r="AW137" s="697"/>
      <c r="AX137" s="697"/>
      <c r="AY137" s="697"/>
      <c r="AZ137" s="697"/>
      <c r="BA137" s="697"/>
      <c r="BB137" s="697"/>
      <c r="BC137" s="697"/>
      <c r="BD137" s="697"/>
      <c r="BE137" s="697"/>
      <c r="BF137" s="697"/>
      <c r="BG137" s="697"/>
      <c r="BH137" s="697"/>
      <c r="BI137" s="697"/>
      <c r="BJ137" s="697"/>
      <c r="BK137" s="697"/>
      <c r="BL137" s="697"/>
      <c r="BM137" s="697"/>
      <c r="BN137" s="697"/>
      <c r="BO137" s="697"/>
      <c r="BP137" s="697"/>
      <c r="BQ137" s="697"/>
      <c r="BR137" s="697"/>
      <c r="BS137" s="697"/>
      <c r="BT137" s="697"/>
      <c r="BU137" s="697"/>
      <c r="BV137" s="697"/>
      <c r="BW137" s="697"/>
      <c r="BX137" s="697"/>
      <c r="BY137" s="697"/>
      <c r="BZ137" s="697"/>
      <c r="CA137" s="697"/>
      <c r="CB137" s="697"/>
      <c r="CC137" s="697"/>
      <c r="CD137" s="697"/>
      <c r="CE137" s="697"/>
      <c r="CF137" s="697"/>
      <c r="CG137" s="697"/>
      <c r="CH137" s="697"/>
      <c r="CI137" s="697"/>
      <c r="CJ137" s="697"/>
      <c r="CK137" s="697"/>
      <c r="CL137" s="697"/>
      <c r="CM137" s="697"/>
      <c r="CN137" s="697"/>
      <c r="CO137" s="697"/>
      <c r="CP137" s="697"/>
      <c r="CQ137" s="697"/>
      <c r="CR137" s="697"/>
      <c r="CS137" s="697"/>
      <c r="CT137" s="697"/>
      <c r="CU137" s="697"/>
      <c r="CV137" s="697"/>
      <c r="CW137" s="697"/>
      <c r="CX137" s="697"/>
      <c r="CY137" s="697"/>
      <c r="CZ137" s="697"/>
      <c r="DA137" s="697"/>
    </row>
    <row r="138" spans="1:105" hidden="1" outlineLevel="1" x14ac:dyDescent="0.2">
      <c r="A138" s="709">
        <f t="shared" si="41"/>
        <v>37438</v>
      </c>
      <c r="B138" s="709" t="str">
        <f t="shared" si="38"/>
        <v>3Q02</v>
      </c>
      <c r="C138" s="709" t="str">
        <f t="shared" si="42"/>
        <v>3Q02</v>
      </c>
      <c r="D138" s="710">
        <f t="shared" si="43"/>
        <v>37519</v>
      </c>
      <c r="E138" s="710">
        <f t="shared" si="43"/>
        <v>37459</v>
      </c>
      <c r="F138" s="712">
        <v>1.3109999999999999</v>
      </c>
      <c r="G138" s="713">
        <f t="shared" si="39"/>
        <v>0.04</v>
      </c>
      <c r="H138" s="713">
        <f t="shared" si="40"/>
        <v>0.04</v>
      </c>
      <c r="I138" s="713">
        <f t="shared" si="44"/>
        <v>7.7999999999999803</v>
      </c>
      <c r="J138" s="713">
        <f t="shared" si="44"/>
        <v>7.8499999999999801</v>
      </c>
      <c r="K138" s="713">
        <f t="shared" si="45"/>
        <v>1.340000000000001</v>
      </c>
      <c r="L138" s="697"/>
      <c r="M138" s="697"/>
      <c r="N138" s="697"/>
      <c r="O138" s="697"/>
      <c r="P138" s="697"/>
      <c r="Q138" s="697"/>
      <c r="R138" s="697"/>
      <c r="S138" s="697"/>
      <c r="T138" s="697"/>
      <c r="U138" s="697"/>
      <c r="V138" s="697"/>
      <c r="W138" s="697"/>
      <c r="X138" s="697"/>
      <c r="Y138" s="697"/>
      <c r="Z138" s="697"/>
      <c r="AA138" s="697"/>
      <c r="AB138" s="697"/>
      <c r="AC138" s="697"/>
      <c r="AD138" s="697"/>
      <c r="AE138" s="697"/>
      <c r="AF138" s="697"/>
      <c r="AG138" s="697"/>
      <c r="AH138" s="697"/>
      <c r="AI138" s="697"/>
      <c r="AJ138" s="697"/>
      <c r="AK138" s="697"/>
      <c r="AL138" s="697"/>
      <c r="AM138" s="697"/>
      <c r="AN138" s="697"/>
      <c r="AO138" s="697"/>
      <c r="AP138" s="697"/>
      <c r="AQ138" s="697"/>
      <c r="AR138" s="697"/>
      <c r="AS138" s="697"/>
      <c r="AT138" s="697"/>
      <c r="AU138" s="697"/>
      <c r="AV138" s="697"/>
      <c r="AW138" s="697"/>
      <c r="AX138" s="697"/>
      <c r="AY138" s="697"/>
      <c r="AZ138" s="697"/>
      <c r="BA138" s="697"/>
      <c r="BB138" s="697"/>
      <c r="BC138" s="697"/>
      <c r="BD138" s="697"/>
      <c r="BE138" s="697"/>
      <c r="BF138" s="697"/>
      <c r="BG138" s="697"/>
      <c r="BH138" s="697"/>
      <c r="BI138" s="697"/>
      <c r="BJ138" s="697"/>
      <c r="BK138" s="697"/>
      <c r="BL138" s="697"/>
      <c r="BM138" s="697"/>
      <c r="BN138" s="697"/>
      <c r="BO138" s="697"/>
      <c r="BP138" s="697"/>
      <c r="BQ138" s="697"/>
      <c r="BR138" s="697"/>
      <c r="BS138" s="697"/>
      <c r="BT138" s="697"/>
      <c r="BU138" s="697"/>
      <c r="BV138" s="697"/>
      <c r="BW138" s="697"/>
      <c r="BX138" s="697"/>
      <c r="BY138" s="697"/>
      <c r="BZ138" s="697"/>
      <c r="CA138" s="697"/>
      <c r="CB138" s="697"/>
      <c r="CC138" s="697"/>
      <c r="CD138" s="697"/>
      <c r="CE138" s="697"/>
      <c r="CF138" s="697"/>
      <c r="CG138" s="697"/>
      <c r="CH138" s="697"/>
      <c r="CI138" s="697"/>
      <c r="CJ138" s="697"/>
      <c r="CK138" s="697"/>
      <c r="CL138" s="697"/>
      <c r="CM138" s="697"/>
      <c r="CN138" s="697"/>
      <c r="CO138" s="697"/>
      <c r="CP138" s="697"/>
      <c r="CQ138" s="697"/>
      <c r="CR138" s="697"/>
      <c r="CS138" s="697"/>
      <c r="CT138" s="697"/>
      <c r="CU138" s="697"/>
      <c r="CV138" s="697"/>
      <c r="CW138" s="697"/>
      <c r="CX138" s="697"/>
      <c r="CY138" s="697"/>
      <c r="CZ138" s="697"/>
      <c r="DA138" s="697"/>
    </row>
    <row r="139" spans="1:105" hidden="1" outlineLevel="1" x14ac:dyDescent="0.2">
      <c r="A139" s="709">
        <f t="shared" si="41"/>
        <v>37438</v>
      </c>
      <c r="B139" s="709" t="str">
        <f t="shared" si="38"/>
        <v>3Q02</v>
      </c>
      <c r="C139" s="709" t="str">
        <f t="shared" si="42"/>
        <v>3Q02</v>
      </c>
      <c r="D139" s="710">
        <f t="shared" si="43"/>
        <v>37526</v>
      </c>
      <c r="E139" s="710">
        <f t="shared" si="43"/>
        <v>37466</v>
      </c>
      <c r="F139" s="712">
        <v>1.3030000000000002</v>
      </c>
      <c r="G139" s="713">
        <f t="shared" si="39"/>
        <v>0.04</v>
      </c>
      <c r="H139" s="713">
        <f t="shared" si="40"/>
        <v>0.04</v>
      </c>
      <c r="I139" s="713">
        <f t="shared" si="44"/>
        <v>7.8499999999999801</v>
      </c>
      <c r="J139" s="713">
        <f t="shared" si="44"/>
        <v>7.8999999999999799</v>
      </c>
      <c r="K139" s="713">
        <f t="shared" si="45"/>
        <v>1.350000000000001</v>
      </c>
      <c r="L139" s="697"/>
      <c r="M139" s="697"/>
      <c r="N139" s="697"/>
      <c r="O139" s="697"/>
      <c r="P139" s="697"/>
      <c r="Q139" s="697"/>
      <c r="R139" s="697"/>
      <c r="S139" s="697"/>
      <c r="T139" s="697"/>
      <c r="U139" s="697"/>
      <c r="V139" s="697"/>
      <c r="W139" s="697"/>
      <c r="X139" s="697"/>
      <c r="Y139" s="697"/>
      <c r="Z139" s="697"/>
      <c r="AA139" s="697"/>
      <c r="AB139" s="697"/>
      <c r="AC139" s="697"/>
      <c r="AD139" s="697"/>
      <c r="AE139" s="697"/>
      <c r="AF139" s="697"/>
      <c r="AG139" s="697"/>
      <c r="AH139" s="697"/>
      <c r="AI139" s="697"/>
      <c r="AJ139" s="697"/>
      <c r="AK139" s="697"/>
      <c r="AL139" s="697"/>
      <c r="AM139" s="697"/>
      <c r="AN139" s="697"/>
      <c r="AO139" s="697"/>
      <c r="AP139" s="697"/>
      <c r="AQ139" s="697"/>
      <c r="AR139" s="697"/>
      <c r="AS139" s="697"/>
      <c r="AT139" s="697"/>
      <c r="AU139" s="697"/>
      <c r="AV139" s="697"/>
      <c r="AW139" s="697"/>
      <c r="AX139" s="697"/>
      <c r="AY139" s="697"/>
      <c r="AZ139" s="697"/>
      <c r="BA139" s="697"/>
      <c r="BB139" s="697"/>
      <c r="BC139" s="697"/>
      <c r="BD139" s="697"/>
      <c r="BE139" s="697"/>
      <c r="BF139" s="697"/>
      <c r="BG139" s="697"/>
      <c r="BH139" s="697"/>
      <c r="BI139" s="697"/>
      <c r="BJ139" s="697"/>
      <c r="BK139" s="697"/>
      <c r="BL139" s="697"/>
      <c r="BM139" s="697"/>
      <c r="BN139" s="697"/>
      <c r="BO139" s="697"/>
      <c r="BP139" s="697"/>
      <c r="BQ139" s="697"/>
      <c r="BR139" s="697"/>
      <c r="BS139" s="697"/>
      <c r="BT139" s="697"/>
      <c r="BU139" s="697"/>
      <c r="BV139" s="697"/>
      <c r="BW139" s="697"/>
      <c r="BX139" s="697"/>
      <c r="BY139" s="697"/>
      <c r="BZ139" s="697"/>
      <c r="CA139" s="697"/>
      <c r="CB139" s="697"/>
      <c r="CC139" s="697"/>
      <c r="CD139" s="697"/>
      <c r="CE139" s="697"/>
      <c r="CF139" s="697"/>
      <c r="CG139" s="697"/>
      <c r="CH139" s="697"/>
      <c r="CI139" s="697"/>
      <c r="CJ139" s="697"/>
      <c r="CK139" s="697"/>
      <c r="CL139" s="697"/>
      <c r="CM139" s="697"/>
      <c r="CN139" s="697"/>
      <c r="CO139" s="697"/>
      <c r="CP139" s="697"/>
      <c r="CQ139" s="697"/>
      <c r="CR139" s="697"/>
      <c r="CS139" s="697"/>
      <c r="CT139" s="697"/>
      <c r="CU139" s="697"/>
      <c r="CV139" s="697"/>
      <c r="CW139" s="697"/>
      <c r="CX139" s="697"/>
      <c r="CY139" s="697"/>
      <c r="CZ139" s="697"/>
      <c r="DA139" s="697"/>
    </row>
    <row r="140" spans="1:105" hidden="1" outlineLevel="1" x14ac:dyDescent="0.2">
      <c r="A140" s="709">
        <f t="shared" si="41"/>
        <v>37469</v>
      </c>
      <c r="B140" s="709" t="str">
        <f t="shared" si="38"/>
        <v>3Q02</v>
      </c>
      <c r="C140" s="709" t="str">
        <f t="shared" si="42"/>
        <v>4Q02</v>
      </c>
      <c r="D140" s="710">
        <f t="shared" si="43"/>
        <v>37533</v>
      </c>
      <c r="E140" s="710">
        <f t="shared" si="43"/>
        <v>37473</v>
      </c>
      <c r="F140" s="712">
        <v>1.304</v>
      </c>
      <c r="G140" s="713">
        <f t="shared" si="39"/>
        <v>0.04</v>
      </c>
      <c r="H140" s="713">
        <f t="shared" si="40"/>
        <v>0.04</v>
      </c>
      <c r="I140" s="713">
        <f t="shared" si="44"/>
        <v>7.8999999999999799</v>
      </c>
      <c r="J140" s="713">
        <f t="shared" si="44"/>
        <v>7.9499999999999797</v>
      </c>
      <c r="K140" s="713">
        <f t="shared" si="45"/>
        <v>1.360000000000001</v>
      </c>
      <c r="L140" s="697"/>
      <c r="M140" s="697"/>
      <c r="N140" s="697"/>
      <c r="O140" s="697"/>
      <c r="P140" s="697"/>
      <c r="Q140" s="697"/>
      <c r="R140" s="697"/>
      <c r="S140" s="697"/>
      <c r="T140" s="697"/>
      <c r="U140" s="697"/>
      <c r="V140" s="697"/>
      <c r="W140" s="697"/>
      <c r="X140" s="697"/>
      <c r="Y140" s="697"/>
      <c r="Z140" s="697"/>
      <c r="AA140" s="697"/>
      <c r="AB140" s="697"/>
      <c r="AC140" s="697"/>
      <c r="AD140" s="697"/>
      <c r="AE140" s="697"/>
      <c r="AF140" s="697"/>
      <c r="AG140" s="697"/>
      <c r="AH140" s="697"/>
      <c r="AI140" s="697"/>
      <c r="AJ140" s="697"/>
      <c r="AK140" s="697"/>
      <c r="AL140" s="697"/>
      <c r="AM140" s="697"/>
      <c r="AN140" s="697"/>
      <c r="AO140" s="697"/>
      <c r="AP140" s="697"/>
      <c r="AQ140" s="697"/>
      <c r="AR140" s="697"/>
      <c r="AS140" s="697"/>
      <c r="AT140" s="697"/>
      <c r="AU140" s="697"/>
      <c r="AV140" s="697"/>
      <c r="AW140" s="697"/>
      <c r="AX140" s="697"/>
      <c r="AY140" s="697"/>
      <c r="AZ140" s="697"/>
      <c r="BA140" s="697"/>
      <c r="BB140" s="697"/>
      <c r="BC140" s="697"/>
      <c r="BD140" s="697"/>
      <c r="BE140" s="697"/>
      <c r="BF140" s="697"/>
      <c r="BG140" s="697"/>
      <c r="BH140" s="697"/>
      <c r="BI140" s="697"/>
      <c r="BJ140" s="697"/>
      <c r="BK140" s="697"/>
      <c r="BL140" s="697"/>
      <c r="BM140" s="697"/>
      <c r="BN140" s="697"/>
      <c r="BO140" s="697"/>
      <c r="BP140" s="697"/>
      <c r="BQ140" s="697"/>
      <c r="BR140" s="697"/>
      <c r="BS140" s="697"/>
      <c r="BT140" s="697"/>
      <c r="BU140" s="697"/>
      <c r="BV140" s="697"/>
      <c r="BW140" s="697"/>
      <c r="BX140" s="697"/>
      <c r="BY140" s="697"/>
      <c r="BZ140" s="697"/>
      <c r="CA140" s="697"/>
      <c r="CB140" s="697"/>
      <c r="CC140" s="697"/>
      <c r="CD140" s="697"/>
      <c r="CE140" s="697"/>
      <c r="CF140" s="697"/>
      <c r="CG140" s="697"/>
      <c r="CH140" s="697"/>
      <c r="CI140" s="697"/>
      <c r="CJ140" s="697"/>
      <c r="CK140" s="697"/>
      <c r="CL140" s="697"/>
      <c r="CM140" s="697"/>
      <c r="CN140" s="697"/>
      <c r="CO140" s="697"/>
      <c r="CP140" s="697"/>
      <c r="CQ140" s="697"/>
      <c r="CR140" s="697"/>
      <c r="CS140" s="697"/>
      <c r="CT140" s="697"/>
      <c r="CU140" s="697"/>
      <c r="CV140" s="697"/>
      <c r="CW140" s="697"/>
      <c r="CX140" s="697"/>
      <c r="CY140" s="697"/>
      <c r="CZ140" s="697"/>
      <c r="DA140" s="697"/>
    </row>
    <row r="141" spans="1:105" hidden="1" outlineLevel="1" x14ac:dyDescent="0.2">
      <c r="A141" s="709">
        <f t="shared" si="41"/>
        <v>37469</v>
      </c>
      <c r="B141" s="709" t="str">
        <f t="shared" si="38"/>
        <v>3Q02</v>
      </c>
      <c r="C141" s="709" t="str">
        <f t="shared" si="42"/>
        <v>4Q02</v>
      </c>
      <c r="D141" s="710">
        <f t="shared" si="43"/>
        <v>37540</v>
      </c>
      <c r="E141" s="710">
        <f t="shared" si="43"/>
        <v>37480</v>
      </c>
      <c r="F141" s="712">
        <v>1.3030000000000002</v>
      </c>
      <c r="G141" s="713">
        <f t="shared" si="39"/>
        <v>0.04</v>
      </c>
      <c r="H141" s="713">
        <f t="shared" si="40"/>
        <v>0.04</v>
      </c>
      <c r="I141" s="713">
        <f t="shared" si="44"/>
        <v>7.9499999999999797</v>
      </c>
      <c r="J141" s="713">
        <f t="shared" si="44"/>
        <v>7.9999999999999796</v>
      </c>
      <c r="K141" s="713">
        <f t="shared" si="45"/>
        <v>1.370000000000001</v>
      </c>
      <c r="L141" s="697"/>
      <c r="M141" s="697"/>
      <c r="N141" s="697"/>
      <c r="O141" s="697"/>
      <c r="P141" s="697"/>
      <c r="Q141" s="697"/>
      <c r="R141" s="697"/>
      <c r="S141" s="697"/>
      <c r="T141" s="697"/>
      <c r="U141" s="697"/>
      <c r="V141" s="697"/>
      <c r="W141" s="697"/>
      <c r="X141" s="697"/>
      <c r="Y141" s="697"/>
      <c r="Z141" s="697"/>
      <c r="AA141" s="697"/>
      <c r="AB141" s="697"/>
      <c r="AC141" s="697"/>
      <c r="AD141" s="697"/>
      <c r="AE141" s="697"/>
      <c r="AF141" s="697"/>
      <c r="AG141" s="697"/>
      <c r="AH141" s="697"/>
      <c r="AI141" s="697"/>
      <c r="AJ141" s="697"/>
      <c r="AK141" s="697"/>
      <c r="AL141" s="697"/>
      <c r="AM141" s="697"/>
      <c r="AN141" s="697"/>
      <c r="AO141" s="697"/>
      <c r="AP141" s="697"/>
      <c r="AQ141" s="697"/>
      <c r="AR141" s="697"/>
      <c r="AS141" s="697"/>
      <c r="AT141" s="697"/>
      <c r="AU141" s="697"/>
      <c r="AV141" s="697"/>
      <c r="AW141" s="697"/>
      <c r="AX141" s="697"/>
      <c r="AY141" s="697"/>
      <c r="AZ141" s="697"/>
      <c r="BA141" s="697"/>
      <c r="BB141" s="697"/>
      <c r="BC141" s="697"/>
      <c r="BD141" s="697"/>
      <c r="BE141" s="697"/>
      <c r="BF141" s="697"/>
      <c r="BG141" s="697"/>
      <c r="BH141" s="697"/>
      <c r="BI141" s="697"/>
      <c r="BJ141" s="697"/>
      <c r="BK141" s="697"/>
      <c r="BL141" s="697"/>
      <c r="BM141" s="697"/>
      <c r="BN141" s="697"/>
      <c r="BO141" s="697"/>
      <c r="BP141" s="697"/>
      <c r="BQ141" s="697"/>
      <c r="BR141" s="697"/>
      <c r="BS141" s="697"/>
      <c r="BT141" s="697"/>
      <c r="BU141" s="697"/>
      <c r="BV141" s="697"/>
      <c r="BW141" s="697"/>
      <c r="BX141" s="697"/>
      <c r="BY141" s="697"/>
      <c r="BZ141" s="697"/>
      <c r="CA141" s="697"/>
      <c r="CB141" s="697"/>
      <c r="CC141" s="697"/>
      <c r="CD141" s="697"/>
      <c r="CE141" s="697"/>
      <c r="CF141" s="697"/>
      <c r="CG141" s="697"/>
      <c r="CH141" s="697"/>
      <c r="CI141" s="697"/>
      <c r="CJ141" s="697"/>
      <c r="CK141" s="697"/>
      <c r="CL141" s="697"/>
      <c r="CM141" s="697"/>
      <c r="CN141" s="697"/>
      <c r="CO141" s="697"/>
      <c r="CP141" s="697"/>
      <c r="CQ141" s="697"/>
      <c r="CR141" s="697"/>
      <c r="CS141" s="697"/>
      <c r="CT141" s="697"/>
      <c r="CU141" s="697"/>
      <c r="CV141" s="697"/>
      <c r="CW141" s="697"/>
      <c r="CX141" s="697"/>
      <c r="CY141" s="697"/>
      <c r="CZ141" s="697"/>
      <c r="DA141" s="697"/>
    </row>
    <row r="142" spans="1:105" hidden="1" outlineLevel="1" x14ac:dyDescent="0.2">
      <c r="A142" s="709">
        <f t="shared" si="41"/>
        <v>37469</v>
      </c>
      <c r="B142" s="709" t="str">
        <f t="shared" si="38"/>
        <v>3Q02</v>
      </c>
      <c r="C142" s="709" t="str">
        <f t="shared" si="42"/>
        <v>4Q02</v>
      </c>
      <c r="D142" s="710">
        <f t="shared" si="43"/>
        <v>37547</v>
      </c>
      <c r="E142" s="710">
        <f t="shared" si="43"/>
        <v>37487</v>
      </c>
      <c r="F142" s="712">
        <v>1.3330000000000002</v>
      </c>
      <c r="G142" s="713">
        <f t="shared" si="39"/>
        <v>0.04</v>
      </c>
      <c r="H142" s="713">
        <f t="shared" si="40"/>
        <v>0.05</v>
      </c>
      <c r="I142" s="713">
        <f t="shared" si="44"/>
        <v>7.9999999999999796</v>
      </c>
      <c r="J142" s="713">
        <f t="shared" si="44"/>
        <v>8.0499999999999794</v>
      </c>
      <c r="K142" s="713">
        <f t="shared" si="45"/>
        <v>1.380000000000001</v>
      </c>
      <c r="L142" s="697"/>
      <c r="M142" s="697"/>
      <c r="N142" s="697"/>
      <c r="O142" s="697"/>
      <c r="P142" s="697"/>
      <c r="Q142" s="697"/>
      <c r="R142" s="697"/>
      <c r="S142" s="697"/>
      <c r="T142" s="697"/>
      <c r="U142" s="697"/>
      <c r="V142" s="697"/>
      <c r="W142" s="697"/>
      <c r="X142" s="697"/>
      <c r="Y142" s="697"/>
      <c r="Z142" s="697"/>
      <c r="AA142" s="697"/>
      <c r="AB142" s="697"/>
      <c r="AC142" s="697"/>
      <c r="AD142" s="697"/>
      <c r="AE142" s="697"/>
      <c r="AF142" s="697"/>
      <c r="AG142" s="697"/>
      <c r="AH142" s="697"/>
      <c r="AI142" s="697"/>
      <c r="AJ142" s="697"/>
      <c r="AK142" s="697"/>
      <c r="AL142" s="697"/>
      <c r="AM142" s="697"/>
      <c r="AN142" s="697"/>
      <c r="AO142" s="697"/>
      <c r="AP142" s="697"/>
      <c r="AQ142" s="697"/>
      <c r="AR142" s="697"/>
      <c r="AS142" s="697"/>
      <c r="AT142" s="697"/>
      <c r="AU142" s="697"/>
      <c r="AV142" s="697"/>
      <c r="AW142" s="697"/>
      <c r="AX142" s="697"/>
      <c r="AY142" s="697"/>
      <c r="AZ142" s="697"/>
      <c r="BA142" s="697"/>
      <c r="BB142" s="697"/>
      <c r="BC142" s="697"/>
      <c r="BD142" s="697"/>
      <c r="BE142" s="697"/>
      <c r="BF142" s="697"/>
      <c r="BG142" s="697"/>
      <c r="BH142" s="697"/>
      <c r="BI142" s="697"/>
      <c r="BJ142" s="697"/>
      <c r="BK142" s="697"/>
      <c r="BL142" s="697"/>
      <c r="BM142" s="697"/>
      <c r="BN142" s="697"/>
      <c r="BO142" s="697"/>
      <c r="BP142" s="697"/>
      <c r="BQ142" s="697"/>
      <c r="BR142" s="697"/>
      <c r="BS142" s="697"/>
      <c r="BT142" s="697"/>
      <c r="BU142" s="697"/>
      <c r="BV142" s="697"/>
      <c r="BW142" s="697"/>
      <c r="BX142" s="697"/>
      <c r="BY142" s="697"/>
      <c r="BZ142" s="697"/>
      <c r="CA142" s="697"/>
      <c r="CB142" s="697"/>
      <c r="CC142" s="697"/>
      <c r="CD142" s="697"/>
      <c r="CE142" s="697"/>
      <c r="CF142" s="697"/>
      <c r="CG142" s="697"/>
      <c r="CH142" s="697"/>
      <c r="CI142" s="697"/>
      <c r="CJ142" s="697"/>
      <c r="CK142" s="697"/>
      <c r="CL142" s="697"/>
      <c r="CM142" s="697"/>
      <c r="CN142" s="697"/>
      <c r="CO142" s="697"/>
      <c r="CP142" s="697"/>
      <c r="CQ142" s="697"/>
      <c r="CR142" s="697"/>
      <c r="CS142" s="697"/>
      <c r="CT142" s="697"/>
      <c r="CU142" s="697"/>
      <c r="CV142" s="697"/>
      <c r="CW142" s="697"/>
      <c r="CX142" s="697"/>
      <c r="CY142" s="697"/>
      <c r="CZ142" s="697"/>
      <c r="DA142" s="697"/>
    </row>
    <row r="143" spans="1:105" hidden="1" outlineLevel="1" x14ac:dyDescent="0.2">
      <c r="A143" s="709">
        <f t="shared" si="41"/>
        <v>37469</v>
      </c>
      <c r="B143" s="709" t="str">
        <f t="shared" si="38"/>
        <v>3Q02</v>
      </c>
      <c r="C143" s="709" t="str">
        <f t="shared" si="42"/>
        <v>4Q02</v>
      </c>
      <c r="D143" s="710">
        <f t="shared" si="43"/>
        <v>37554</v>
      </c>
      <c r="E143" s="710">
        <f t="shared" si="43"/>
        <v>37494</v>
      </c>
      <c r="F143" s="712">
        <v>1.37</v>
      </c>
      <c r="G143" s="713">
        <f t="shared" si="39"/>
        <v>0.05</v>
      </c>
      <c r="H143" s="713">
        <f t="shared" si="40"/>
        <v>0.05</v>
      </c>
      <c r="I143" s="713">
        <f t="shared" si="44"/>
        <v>8.0499999999999794</v>
      </c>
      <c r="J143" s="713">
        <f t="shared" si="44"/>
        <v>8.0999999999999801</v>
      </c>
      <c r="K143" s="713">
        <f t="shared" si="45"/>
        <v>1.390000000000001</v>
      </c>
      <c r="L143" s="697"/>
      <c r="M143" s="697"/>
      <c r="N143" s="697"/>
      <c r="O143" s="697"/>
      <c r="P143" s="697"/>
      <c r="Q143" s="697"/>
      <c r="R143" s="697"/>
      <c r="S143" s="697"/>
      <c r="T143" s="697"/>
      <c r="U143" s="697"/>
      <c r="V143" s="697"/>
      <c r="W143" s="697"/>
      <c r="X143" s="697"/>
      <c r="Y143" s="697"/>
      <c r="Z143" s="697"/>
      <c r="AA143" s="697"/>
      <c r="AB143" s="697"/>
      <c r="AC143" s="697"/>
      <c r="AD143" s="697"/>
      <c r="AE143" s="697"/>
      <c r="AF143" s="697"/>
      <c r="AG143" s="697"/>
      <c r="AH143" s="697"/>
      <c r="AI143" s="697"/>
      <c r="AJ143" s="697"/>
      <c r="AK143" s="697"/>
      <c r="AL143" s="697"/>
      <c r="AM143" s="697"/>
      <c r="AN143" s="697"/>
      <c r="AO143" s="697"/>
      <c r="AP143" s="697"/>
      <c r="AQ143" s="697"/>
      <c r="AR143" s="697"/>
      <c r="AS143" s="697"/>
      <c r="AT143" s="697"/>
      <c r="AU143" s="697"/>
      <c r="AV143" s="697"/>
      <c r="AW143" s="697"/>
      <c r="AX143" s="697"/>
      <c r="AY143" s="697"/>
      <c r="AZ143" s="697"/>
      <c r="BA143" s="697"/>
      <c r="BB143" s="697"/>
      <c r="BC143" s="697"/>
      <c r="BD143" s="697"/>
      <c r="BE143" s="697"/>
      <c r="BF143" s="697"/>
      <c r="BG143" s="697"/>
      <c r="BH143" s="697"/>
      <c r="BI143" s="697"/>
      <c r="BJ143" s="697"/>
      <c r="BK143" s="697"/>
      <c r="BL143" s="697"/>
      <c r="BM143" s="697"/>
      <c r="BN143" s="697"/>
      <c r="BO143" s="697"/>
      <c r="BP143" s="697"/>
      <c r="BQ143" s="697"/>
      <c r="BR143" s="697"/>
      <c r="BS143" s="697"/>
      <c r="BT143" s="697"/>
      <c r="BU143" s="697"/>
      <c r="BV143" s="697"/>
      <c r="BW143" s="697"/>
      <c r="BX143" s="697"/>
      <c r="BY143" s="697"/>
      <c r="BZ143" s="697"/>
      <c r="CA143" s="697"/>
      <c r="CB143" s="697"/>
      <c r="CC143" s="697"/>
      <c r="CD143" s="697"/>
      <c r="CE143" s="697"/>
      <c r="CF143" s="697"/>
      <c r="CG143" s="697"/>
      <c r="CH143" s="697"/>
      <c r="CI143" s="697"/>
      <c r="CJ143" s="697"/>
      <c r="CK143" s="697"/>
      <c r="CL143" s="697"/>
      <c r="CM143" s="697"/>
      <c r="CN143" s="697"/>
      <c r="CO143" s="697"/>
      <c r="CP143" s="697"/>
      <c r="CQ143" s="697"/>
      <c r="CR143" s="697"/>
      <c r="CS143" s="697"/>
      <c r="CT143" s="697"/>
      <c r="CU143" s="697"/>
      <c r="CV143" s="697"/>
      <c r="CW143" s="697"/>
      <c r="CX143" s="697"/>
      <c r="CY143" s="697"/>
      <c r="CZ143" s="697"/>
      <c r="DA143" s="697"/>
    </row>
    <row r="144" spans="1:105" hidden="1" outlineLevel="1" x14ac:dyDescent="0.2">
      <c r="A144" s="709">
        <f t="shared" si="41"/>
        <v>37500</v>
      </c>
      <c r="B144" s="709" t="str">
        <f t="shared" si="38"/>
        <v>3Q02</v>
      </c>
      <c r="C144" s="709" t="str">
        <f t="shared" si="42"/>
        <v>4Q02</v>
      </c>
      <c r="D144" s="710">
        <f t="shared" si="43"/>
        <v>37561</v>
      </c>
      <c r="E144" s="710">
        <f t="shared" si="43"/>
        <v>37501</v>
      </c>
      <c r="F144" s="712">
        <v>1.3880000000000001</v>
      </c>
      <c r="G144" s="713">
        <f t="shared" si="39"/>
        <v>0.05</v>
      </c>
      <c r="H144" s="713">
        <f t="shared" si="40"/>
        <v>0.05</v>
      </c>
      <c r="I144" s="713">
        <f t="shared" si="44"/>
        <v>8.0999999999999801</v>
      </c>
      <c r="J144" s="713">
        <f t="shared" si="44"/>
        <v>8.1499999999999808</v>
      </c>
      <c r="K144" s="713">
        <f t="shared" si="45"/>
        <v>1.400000000000001</v>
      </c>
      <c r="L144" s="697"/>
      <c r="M144" s="697"/>
      <c r="N144" s="697"/>
      <c r="O144" s="697"/>
      <c r="P144" s="697"/>
      <c r="Q144" s="697"/>
      <c r="R144" s="697"/>
      <c r="S144" s="697"/>
      <c r="T144" s="697"/>
      <c r="U144" s="697"/>
      <c r="V144" s="697"/>
      <c r="W144" s="697"/>
      <c r="X144" s="697"/>
      <c r="Y144" s="697"/>
      <c r="Z144" s="697"/>
      <c r="AA144" s="697"/>
      <c r="AB144" s="697"/>
      <c r="AC144" s="697"/>
      <c r="AD144" s="697"/>
      <c r="AE144" s="697"/>
      <c r="AF144" s="697"/>
      <c r="AG144" s="697"/>
      <c r="AH144" s="697"/>
      <c r="AI144" s="697"/>
      <c r="AJ144" s="697"/>
      <c r="AK144" s="697"/>
      <c r="AL144" s="697"/>
      <c r="AM144" s="697"/>
      <c r="AN144" s="697"/>
      <c r="AO144" s="697"/>
      <c r="AP144" s="697"/>
      <c r="AQ144" s="697"/>
      <c r="AR144" s="697"/>
      <c r="AS144" s="697"/>
      <c r="AT144" s="697"/>
      <c r="AU144" s="697"/>
      <c r="AV144" s="697"/>
      <c r="AW144" s="697"/>
      <c r="AX144" s="697"/>
      <c r="AY144" s="697"/>
      <c r="AZ144" s="697"/>
      <c r="BA144" s="697"/>
      <c r="BB144" s="697"/>
      <c r="BC144" s="697"/>
      <c r="BD144" s="697"/>
      <c r="BE144" s="697"/>
      <c r="BF144" s="697"/>
      <c r="BG144" s="697"/>
      <c r="BH144" s="697"/>
      <c r="BI144" s="697"/>
      <c r="BJ144" s="697"/>
      <c r="BK144" s="697"/>
      <c r="BL144" s="697"/>
      <c r="BM144" s="697"/>
      <c r="BN144" s="697"/>
      <c r="BO144" s="697"/>
      <c r="BP144" s="697"/>
      <c r="BQ144" s="697"/>
      <c r="BR144" s="697"/>
      <c r="BS144" s="697"/>
      <c r="BT144" s="697"/>
      <c r="BU144" s="697"/>
      <c r="BV144" s="697"/>
      <c r="BW144" s="697"/>
      <c r="BX144" s="697"/>
      <c r="BY144" s="697"/>
      <c r="BZ144" s="697"/>
      <c r="CA144" s="697"/>
      <c r="CB144" s="697"/>
      <c r="CC144" s="697"/>
      <c r="CD144" s="697"/>
      <c r="CE144" s="697"/>
      <c r="CF144" s="697"/>
      <c r="CG144" s="697"/>
      <c r="CH144" s="697"/>
      <c r="CI144" s="697"/>
      <c r="CJ144" s="697"/>
      <c r="CK144" s="697"/>
      <c r="CL144" s="697"/>
      <c r="CM144" s="697"/>
      <c r="CN144" s="697"/>
      <c r="CO144" s="697"/>
      <c r="CP144" s="697"/>
      <c r="CQ144" s="697"/>
      <c r="CR144" s="697"/>
      <c r="CS144" s="697"/>
      <c r="CT144" s="697"/>
      <c r="CU144" s="697"/>
      <c r="CV144" s="697"/>
      <c r="CW144" s="697"/>
      <c r="CX144" s="697"/>
      <c r="CY144" s="697"/>
      <c r="CZ144" s="697"/>
      <c r="DA144" s="697"/>
    </row>
    <row r="145" spans="1:105" hidden="1" outlineLevel="1" x14ac:dyDescent="0.2">
      <c r="A145" s="709">
        <f t="shared" si="41"/>
        <v>37500</v>
      </c>
      <c r="B145" s="709" t="str">
        <f t="shared" si="38"/>
        <v>3Q02</v>
      </c>
      <c r="C145" s="709" t="str">
        <f t="shared" si="42"/>
        <v>4Q02</v>
      </c>
      <c r="D145" s="710">
        <f t="shared" si="43"/>
        <v>37568</v>
      </c>
      <c r="E145" s="710">
        <f t="shared" si="43"/>
        <v>37508</v>
      </c>
      <c r="F145" s="712">
        <v>1.3959999999999999</v>
      </c>
      <c r="G145" s="713">
        <f t="shared" si="39"/>
        <v>0.05</v>
      </c>
      <c r="H145" s="713">
        <f t="shared" si="40"/>
        <v>6.0000000000000005E-2</v>
      </c>
      <c r="I145" s="713">
        <f t="shared" si="44"/>
        <v>8.1499999999999808</v>
      </c>
      <c r="J145" s="713">
        <f t="shared" si="44"/>
        <v>8.1999999999999815</v>
      </c>
      <c r="K145" s="713">
        <f t="shared" si="45"/>
        <v>1.410000000000001</v>
      </c>
      <c r="L145" s="697"/>
      <c r="M145" s="697"/>
      <c r="N145" s="697"/>
      <c r="O145" s="697"/>
      <c r="P145" s="697"/>
      <c r="Q145" s="697"/>
      <c r="R145" s="697"/>
      <c r="S145" s="697"/>
      <c r="T145" s="697"/>
      <c r="U145" s="697"/>
      <c r="V145" s="697"/>
      <c r="W145" s="697"/>
      <c r="X145" s="697"/>
      <c r="Y145" s="697"/>
      <c r="Z145" s="697"/>
      <c r="AA145" s="697"/>
      <c r="AB145" s="697"/>
      <c r="AC145" s="697"/>
      <c r="AD145" s="697"/>
      <c r="AE145" s="697"/>
      <c r="AF145" s="697"/>
      <c r="AG145" s="697"/>
      <c r="AH145" s="697"/>
      <c r="AI145" s="697"/>
      <c r="AJ145" s="697"/>
      <c r="AK145" s="697"/>
      <c r="AL145" s="697"/>
      <c r="AM145" s="697"/>
      <c r="AN145" s="697"/>
      <c r="AO145" s="697"/>
      <c r="AP145" s="697"/>
      <c r="AQ145" s="697"/>
      <c r="AR145" s="697"/>
      <c r="AS145" s="697"/>
      <c r="AT145" s="697"/>
      <c r="AU145" s="697"/>
      <c r="AV145" s="697"/>
      <c r="AW145" s="697"/>
      <c r="AX145" s="697"/>
      <c r="AY145" s="697"/>
      <c r="AZ145" s="697"/>
      <c r="BA145" s="697"/>
      <c r="BB145" s="697"/>
      <c r="BC145" s="697"/>
      <c r="BD145" s="697"/>
      <c r="BE145" s="697"/>
      <c r="BF145" s="697"/>
      <c r="BG145" s="697"/>
      <c r="BH145" s="697"/>
      <c r="BI145" s="697"/>
      <c r="BJ145" s="697"/>
      <c r="BK145" s="697"/>
      <c r="BL145" s="697"/>
      <c r="BM145" s="697"/>
      <c r="BN145" s="697"/>
      <c r="BO145" s="697"/>
      <c r="BP145" s="697"/>
      <c r="BQ145" s="697"/>
      <c r="BR145" s="697"/>
      <c r="BS145" s="697"/>
      <c r="BT145" s="697"/>
      <c r="BU145" s="697"/>
      <c r="BV145" s="697"/>
      <c r="BW145" s="697"/>
      <c r="BX145" s="697"/>
      <c r="BY145" s="697"/>
      <c r="BZ145" s="697"/>
      <c r="CA145" s="697"/>
      <c r="CB145" s="697"/>
      <c r="CC145" s="697"/>
      <c r="CD145" s="697"/>
      <c r="CE145" s="697"/>
      <c r="CF145" s="697"/>
      <c r="CG145" s="697"/>
      <c r="CH145" s="697"/>
      <c r="CI145" s="697"/>
      <c r="CJ145" s="697"/>
      <c r="CK145" s="697"/>
      <c r="CL145" s="697"/>
      <c r="CM145" s="697"/>
      <c r="CN145" s="697"/>
      <c r="CO145" s="697"/>
      <c r="CP145" s="697"/>
      <c r="CQ145" s="697"/>
      <c r="CR145" s="697"/>
      <c r="CS145" s="697"/>
      <c r="CT145" s="697"/>
      <c r="CU145" s="697"/>
      <c r="CV145" s="697"/>
      <c r="CW145" s="697"/>
      <c r="CX145" s="697"/>
      <c r="CY145" s="697"/>
      <c r="CZ145" s="697"/>
      <c r="DA145" s="697"/>
    </row>
    <row r="146" spans="1:105" hidden="1" outlineLevel="1" x14ac:dyDescent="0.2">
      <c r="A146" s="709">
        <f t="shared" si="41"/>
        <v>37500</v>
      </c>
      <c r="B146" s="709" t="str">
        <f t="shared" si="38"/>
        <v>3Q02</v>
      </c>
      <c r="C146" s="709" t="str">
        <f t="shared" si="42"/>
        <v>4Q02</v>
      </c>
      <c r="D146" s="710">
        <f t="shared" si="43"/>
        <v>37575</v>
      </c>
      <c r="E146" s="710">
        <f t="shared" si="43"/>
        <v>37515</v>
      </c>
      <c r="F146" s="712">
        <v>1.4140000000000001</v>
      </c>
      <c r="G146" s="713">
        <f t="shared" si="39"/>
        <v>6.0000000000000005E-2</v>
      </c>
      <c r="H146" s="713">
        <f t="shared" si="40"/>
        <v>6.0000000000000005E-2</v>
      </c>
      <c r="I146" s="713">
        <f t="shared" si="44"/>
        <v>8.1999999999999815</v>
      </c>
      <c r="J146" s="713">
        <f t="shared" si="44"/>
        <v>8.2499999999999822</v>
      </c>
      <c r="K146" s="713">
        <f t="shared" si="45"/>
        <v>1.420000000000001</v>
      </c>
      <c r="L146" s="697"/>
      <c r="M146" s="697"/>
      <c r="N146" s="697"/>
      <c r="O146" s="697"/>
      <c r="P146" s="697"/>
      <c r="Q146" s="697"/>
      <c r="R146" s="697"/>
      <c r="S146" s="697"/>
      <c r="T146" s="697"/>
      <c r="U146" s="697"/>
      <c r="V146" s="697"/>
      <c r="W146" s="697"/>
      <c r="X146" s="697"/>
      <c r="Y146" s="697"/>
      <c r="Z146" s="697"/>
      <c r="AA146" s="697"/>
      <c r="AB146" s="697"/>
      <c r="AC146" s="697"/>
      <c r="AD146" s="697"/>
      <c r="AE146" s="697"/>
      <c r="AF146" s="697"/>
      <c r="AG146" s="697"/>
      <c r="AH146" s="697"/>
      <c r="AI146" s="697"/>
      <c r="AJ146" s="697"/>
      <c r="AK146" s="697"/>
      <c r="AL146" s="697"/>
      <c r="AM146" s="697"/>
      <c r="AN146" s="697"/>
      <c r="AO146" s="697"/>
      <c r="AP146" s="697"/>
      <c r="AQ146" s="697"/>
      <c r="AR146" s="697"/>
      <c r="AS146" s="697"/>
      <c r="AT146" s="697"/>
      <c r="AU146" s="697"/>
      <c r="AV146" s="697"/>
      <c r="AW146" s="697"/>
      <c r="AX146" s="697"/>
      <c r="AY146" s="697"/>
      <c r="AZ146" s="697"/>
      <c r="BA146" s="697"/>
      <c r="BB146" s="697"/>
      <c r="BC146" s="697"/>
      <c r="BD146" s="697"/>
      <c r="BE146" s="697"/>
      <c r="BF146" s="697"/>
      <c r="BG146" s="697"/>
      <c r="BH146" s="697"/>
      <c r="BI146" s="697"/>
      <c r="BJ146" s="697"/>
      <c r="BK146" s="697"/>
      <c r="BL146" s="697"/>
      <c r="BM146" s="697"/>
      <c r="BN146" s="697"/>
      <c r="BO146" s="697"/>
      <c r="BP146" s="697"/>
      <c r="BQ146" s="697"/>
      <c r="BR146" s="697"/>
      <c r="BS146" s="697"/>
      <c r="BT146" s="697"/>
      <c r="BU146" s="697"/>
      <c r="BV146" s="697"/>
      <c r="BW146" s="697"/>
      <c r="BX146" s="697"/>
      <c r="BY146" s="697"/>
      <c r="BZ146" s="697"/>
      <c r="CA146" s="697"/>
      <c r="CB146" s="697"/>
      <c r="CC146" s="697"/>
      <c r="CD146" s="697"/>
      <c r="CE146" s="697"/>
      <c r="CF146" s="697"/>
      <c r="CG146" s="697"/>
      <c r="CH146" s="697"/>
      <c r="CI146" s="697"/>
      <c r="CJ146" s="697"/>
      <c r="CK146" s="697"/>
      <c r="CL146" s="697"/>
      <c r="CM146" s="697"/>
      <c r="CN146" s="697"/>
      <c r="CO146" s="697"/>
      <c r="CP146" s="697"/>
      <c r="CQ146" s="697"/>
      <c r="CR146" s="697"/>
      <c r="CS146" s="697"/>
      <c r="CT146" s="697"/>
      <c r="CU146" s="697"/>
      <c r="CV146" s="697"/>
      <c r="CW146" s="697"/>
      <c r="CX146" s="697"/>
      <c r="CY146" s="697"/>
      <c r="CZ146" s="697"/>
      <c r="DA146" s="697"/>
    </row>
    <row r="147" spans="1:105" hidden="1" outlineLevel="1" x14ac:dyDescent="0.2">
      <c r="A147" s="709">
        <f t="shared" si="41"/>
        <v>37500</v>
      </c>
      <c r="B147" s="709" t="str">
        <f t="shared" si="38"/>
        <v>3Q02</v>
      </c>
      <c r="C147" s="709" t="str">
        <f t="shared" si="42"/>
        <v>4Q02</v>
      </c>
      <c r="D147" s="710">
        <f t="shared" si="43"/>
        <v>37582</v>
      </c>
      <c r="E147" s="710">
        <f t="shared" si="43"/>
        <v>37522</v>
      </c>
      <c r="F147" s="712">
        <v>1.4169999999999998</v>
      </c>
      <c r="G147" s="713">
        <f t="shared" si="39"/>
        <v>6.0000000000000005E-2</v>
      </c>
      <c r="H147" s="713">
        <f t="shared" si="40"/>
        <v>6.0000000000000005E-2</v>
      </c>
      <c r="I147" s="713">
        <f t="shared" si="44"/>
        <v>8.2499999999999822</v>
      </c>
      <c r="J147" s="713">
        <f t="shared" si="44"/>
        <v>8.2999999999999829</v>
      </c>
      <c r="K147" s="713">
        <f t="shared" si="45"/>
        <v>1.430000000000001</v>
      </c>
      <c r="L147" s="697"/>
      <c r="M147" s="697"/>
      <c r="N147" s="697"/>
      <c r="O147" s="697"/>
      <c r="P147" s="697"/>
      <c r="Q147" s="697"/>
      <c r="R147" s="697"/>
      <c r="S147" s="697"/>
      <c r="T147" s="697"/>
      <c r="U147" s="697"/>
      <c r="V147" s="697"/>
      <c r="W147" s="697"/>
      <c r="X147" s="697"/>
      <c r="Y147" s="697"/>
      <c r="Z147" s="697"/>
      <c r="AA147" s="697"/>
      <c r="AB147" s="697"/>
      <c r="AC147" s="697"/>
      <c r="AD147" s="697"/>
      <c r="AE147" s="697"/>
      <c r="AF147" s="697"/>
      <c r="AG147" s="697"/>
      <c r="AH147" s="697"/>
      <c r="AI147" s="697"/>
      <c r="AJ147" s="697"/>
      <c r="AK147" s="697"/>
      <c r="AL147" s="697"/>
      <c r="AM147" s="697"/>
      <c r="AN147" s="697"/>
      <c r="AO147" s="697"/>
      <c r="AP147" s="697"/>
      <c r="AQ147" s="697"/>
      <c r="AR147" s="697"/>
      <c r="AS147" s="697"/>
      <c r="AT147" s="697"/>
      <c r="AU147" s="697"/>
      <c r="AV147" s="697"/>
      <c r="AW147" s="697"/>
      <c r="AX147" s="697"/>
      <c r="AY147" s="697"/>
      <c r="AZ147" s="697"/>
      <c r="BA147" s="697"/>
      <c r="BB147" s="697"/>
      <c r="BC147" s="697"/>
      <c r="BD147" s="697"/>
      <c r="BE147" s="697"/>
      <c r="BF147" s="697"/>
      <c r="BG147" s="697"/>
      <c r="BH147" s="697"/>
      <c r="BI147" s="697"/>
      <c r="BJ147" s="697"/>
      <c r="BK147" s="697"/>
      <c r="BL147" s="697"/>
      <c r="BM147" s="697"/>
      <c r="BN147" s="697"/>
      <c r="BO147" s="697"/>
      <c r="BP147" s="697"/>
      <c r="BQ147" s="697"/>
      <c r="BR147" s="697"/>
      <c r="BS147" s="697"/>
      <c r="BT147" s="697"/>
      <c r="BU147" s="697"/>
      <c r="BV147" s="697"/>
      <c r="BW147" s="697"/>
      <c r="BX147" s="697"/>
      <c r="BY147" s="697"/>
      <c r="BZ147" s="697"/>
      <c r="CA147" s="697"/>
      <c r="CB147" s="697"/>
      <c r="CC147" s="697"/>
      <c r="CD147" s="697"/>
      <c r="CE147" s="697"/>
      <c r="CF147" s="697"/>
      <c r="CG147" s="697"/>
      <c r="CH147" s="697"/>
      <c r="CI147" s="697"/>
      <c r="CJ147" s="697"/>
      <c r="CK147" s="697"/>
      <c r="CL147" s="697"/>
      <c r="CM147" s="697"/>
      <c r="CN147" s="697"/>
      <c r="CO147" s="697"/>
      <c r="CP147" s="697"/>
      <c r="CQ147" s="697"/>
      <c r="CR147" s="697"/>
      <c r="CS147" s="697"/>
      <c r="CT147" s="697"/>
      <c r="CU147" s="697"/>
      <c r="CV147" s="697"/>
      <c r="CW147" s="697"/>
      <c r="CX147" s="697"/>
      <c r="CY147" s="697"/>
      <c r="CZ147" s="697"/>
      <c r="DA147" s="697"/>
    </row>
    <row r="148" spans="1:105" hidden="1" outlineLevel="1" x14ac:dyDescent="0.2">
      <c r="A148" s="709">
        <f t="shared" si="41"/>
        <v>37500</v>
      </c>
      <c r="B148" s="709" t="str">
        <f t="shared" si="38"/>
        <v>3Q02</v>
      </c>
      <c r="C148" s="709" t="str">
        <f t="shared" si="42"/>
        <v>4Q02</v>
      </c>
      <c r="D148" s="710">
        <f t="shared" si="43"/>
        <v>37589</v>
      </c>
      <c r="E148" s="710">
        <f t="shared" si="43"/>
        <v>37529</v>
      </c>
      <c r="F148" s="712">
        <v>1.4380000000000002</v>
      </c>
      <c r="G148" s="713">
        <f t="shared" si="39"/>
        <v>6.0000000000000005E-2</v>
      </c>
      <c r="H148" s="713">
        <f t="shared" si="40"/>
        <v>7.0000000000000007E-2</v>
      </c>
      <c r="I148" s="713">
        <f t="shared" si="44"/>
        <v>8.2999999999999829</v>
      </c>
      <c r="J148" s="713">
        <f t="shared" si="44"/>
        <v>8.3499999999999837</v>
      </c>
      <c r="K148" s="713">
        <f t="shared" si="45"/>
        <v>1.4400000000000011</v>
      </c>
      <c r="L148" s="697"/>
      <c r="M148" s="697"/>
      <c r="N148" s="697"/>
      <c r="O148" s="697"/>
      <c r="P148" s="697"/>
      <c r="Q148" s="697"/>
      <c r="R148" s="697"/>
      <c r="S148" s="697"/>
      <c r="T148" s="697"/>
      <c r="U148" s="697"/>
      <c r="V148" s="697"/>
      <c r="W148" s="697"/>
      <c r="X148" s="697"/>
      <c r="Y148" s="697"/>
      <c r="Z148" s="697"/>
      <c r="AA148" s="697"/>
      <c r="AB148" s="697"/>
      <c r="AC148" s="697"/>
      <c r="AD148" s="697"/>
      <c r="AE148" s="697"/>
      <c r="AF148" s="697"/>
      <c r="AG148" s="697"/>
      <c r="AH148" s="697"/>
      <c r="AI148" s="697"/>
      <c r="AJ148" s="697"/>
      <c r="AK148" s="697"/>
      <c r="AL148" s="697"/>
      <c r="AM148" s="697"/>
      <c r="AN148" s="697"/>
      <c r="AO148" s="697"/>
      <c r="AP148" s="697"/>
      <c r="AQ148" s="697"/>
      <c r="AR148" s="697"/>
      <c r="AS148" s="697"/>
      <c r="AT148" s="697"/>
      <c r="AU148" s="697"/>
      <c r="AV148" s="697"/>
      <c r="AW148" s="697"/>
      <c r="AX148" s="697"/>
      <c r="AY148" s="697"/>
      <c r="AZ148" s="697"/>
      <c r="BA148" s="697"/>
      <c r="BB148" s="697"/>
      <c r="BC148" s="697"/>
      <c r="BD148" s="697"/>
      <c r="BE148" s="697"/>
      <c r="BF148" s="697"/>
      <c r="BG148" s="697"/>
      <c r="BH148" s="697"/>
      <c r="BI148" s="697"/>
      <c r="BJ148" s="697"/>
      <c r="BK148" s="697"/>
      <c r="BL148" s="697"/>
      <c r="BM148" s="697"/>
      <c r="BN148" s="697"/>
      <c r="BO148" s="697"/>
      <c r="BP148" s="697"/>
      <c r="BQ148" s="697"/>
      <c r="BR148" s="697"/>
      <c r="BS148" s="697"/>
      <c r="BT148" s="697"/>
      <c r="BU148" s="697"/>
      <c r="BV148" s="697"/>
      <c r="BW148" s="697"/>
      <c r="BX148" s="697"/>
      <c r="BY148" s="697"/>
      <c r="BZ148" s="697"/>
      <c r="CA148" s="697"/>
      <c r="CB148" s="697"/>
      <c r="CC148" s="697"/>
      <c r="CD148" s="697"/>
      <c r="CE148" s="697"/>
      <c r="CF148" s="697"/>
      <c r="CG148" s="697"/>
      <c r="CH148" s="697"/>
      <c r="CI148" s="697"/>
      <c r="CJ148" s="697"/>
      <c r="CK148" s="697"/>
      <c r="CL148" s="697"/>
      <c r="CM148" s="697"/>
      <c r="CN148" s="697"/>
      <c r="CO148" s="697"/>
      <c r="CP148" s="697"/>
      <c r="CQ148" s="697"/>
      <c r="CR148" s="697"/>
      <c r="CS148" s="697"/>
      <c r="CT148" s="697"/>
      <c r="CU148" s="697"/>
      <c r="CV148" s="697"/>
      <c r="CW148" s="697"/>
      <c r="CX148" s="697"/>
      <c r="CY148" s="697"/>
      <c r="CZ148" s="697"/>
      <c r="DA148" s="697"/>
    </row>
    <row r="149" spans="1:105" hidden="1" outlineLevel="1" x14ac:dyDescent="0.2">
      <c r="A149" s="709">
        <f t="shared" si="41"/>
        <v>37530</v>
      </c>
      <c r="B149" s="709" t="str">
        <f t="shared" si="38"/>
        <v>4Q02</v>
      </c>
      <c r="C149" s="709" t="str">
        <f t="shared" si="42"/>
        <v>4Q02</v>
      </c>
      <c r="D149" s="710">
        <f t="shared" ref="D149:E164" si="46">D148+7</f>
        <v>37596</v>
      </c>
      <c r="E149" s="710">
        <f t="shared" si="46"/>
        <v>37536</v>
      </c>
      <c r="F149" s="712">
        <v>1.46</v>
      </c>
      <c r="G149" s="713">
        <f t="shared" si="39"/>
        <v>7.0000000000000007E-2</v>
      </c>
      <c r="H149" s="713">
        <f t="shared" si="40"/>
        <v>7.0000000000000007E-2</v>
      </c>
      <c r="I149" s="713">
        <f t="shared" si="44"/>
        <v>8.3499999999999837</v>
      </c>
      <c r="J149" s="713">
        <f t="shared" si="44"/>
        <v>8.3999999999999844</v>
      </c>
      <c r="K149" s="713">
        <f t="shared" si="45"/>
        <v>1.4500000000000011</v>
      </c>
      <c r="L149" s="697"/>
      <c r="M149" s="697"/>
      <c r="N149" s="697"/>
      <c r="O149" s="697"/>
      <c r="P149" s="697"/>
      <c r="Q149" s="697"/>
      <c r="R149" s="697"/>
      <c r="S149" s="697"/>
      <c r="T149" s="697"/>
      <c r="U149" s="697"/>
      <c r="V149" s="697"/>
      <c r="W149" s="697"/>
      <c r="X149" s="697"/>
      <c r="Y149" s="697"/>
      <c r="Z149" s="697"/>
      <c r="AA149" s="697"/>
      <c r="AB149" s="697"/>
      <c r="AC149" s="697"/>
      <c r="AD149" s="697"/>
      <c r="AE149" s="697"/>
      <c r="AF149" s="697"/>
      <c r="AG149" s="697"/>
      <c r="AH149" s="697"/>
      <c r="AI149" s="697"/>
      <c r="AJ149" s="697"/>
      <c r="AK149" s="697"/>
      <c r="AL149" s="697"/>
      <c r="AM149" s="697"/>
      <c r="AN149" s="697"/>
      <c r="AO149" s="697"/>
      <c r="AP149" s="697"/>
      <c r="AQ149" s="697"/>
      <c r="AR149" s="697"/>
      <c r="AS149" s="697"/>
      <c r="AT149" s="697"/>
      <c r="AU149" s="697"/>
      <c r="AV149" s="697"/>
      <c r="AW149" s="697"/>
      <c r="AX149" s="697"/>
      <c r="AY149" s="697"/>
      <c r="AZ149" s="697"/>
      <c r="BA149" s="697"/>
      <c r="BB149" s="697"/>
      <c r="BC149" s="697"/>
      <c r="BD149" s="697"/>
      <c r="BE149" s="697"/>
      <c r="BF149" s="697"/>
      <c r="BG149" s="697"/>
      <c r="BH149" s="697"/>
      <c r="BI149" s="697"/>
      <c r="BJ149" s="697"/>
      <c r="BK149" s="697"/>
      <c r="BL149" s="697"/>
      <c r="BM149" s="697"/>
      <c r="BN149" s="697"/>
      <c r="BO149" s="697"/>
      <c r="BP149" s="697"/>
      <c r="BQ149" s="697"/>
      <c r="BR149" s="697"/>
      <c r="BS149" s="697"/>
      <c r="BT149" s="697"/>
      <c r="BU149" s="697"/>
      <c r="BV149" s="697"/>
      <c r="BW149" s="697"/>
      <c r="BX149" s="697"/>
      <c r="BY149" s="697"/>
      <c r="BZ149" s="697"/>
      <c r="CA149" s="697"/>
      <c r="CB149" s="697"/>
      <c r="CC149" s="697"/>
      <c r="CD149" s="697"/>
      <c r="CE149" s="697"/>
      <c r="CF149" s="697"/>
      <c r="CG149" s="697"/>
      <c r="CH149" s="697"/>
      <c r="CI149" s="697"/>
      <c r="CJ149" s="697"/>
      <c r="CK149" s="697"/>
      <c r="CL149" s="697"/>
      <c r="CM149" s="697"/>
      <c r="CN149" s="697"/>
      <c r="CO149" s="697"/>
      <c r="CP149" s="697"/>
      <c r="CQ149" s="697"/>
      <c r="CR149" s="697"/>
      <c r="CS149" s="697"/>
      <c r="CT149" s="697"/>
      <c r="CU149" s="697"/>
      <c r="CV149" s="697"/>
      <c r="CW149" s="697"/>
      <c r="CX149" s="697"/>
      <c r="CY149" s="697"/>
      <c r="CZ149" s="697"/>
      <c r="DA149" s="697"/>
    </row>
    <row r="150" spans="1:105" hidden="1" outlineLevel="1" x14ac:dyDescent="0.2">
      <c r="A150" s="709">
        <f t="shared" si="41"/>
        <v>37530</v>
      </c>
      <c r="B150" s="709" t="str">
        <f t="shared" si="38"/>
        <v>4Q02</v>
      </c>
      <c r="C150" s="709" t="str">
        <f t="shared" si="42"/>
        <v>4Q02</v>
      </c>
      <c r="D150" s="710">
        <f t="shared" si="46"/>
        <v>37603</v>
      </c>
      <c r="E150" s="710">
        <f t="shared" si="46"/>
        <v>37543</v>
      </c>
      <c r="F150" s="712">
        <v>1.4609999999999999</v>
      </c>
      <c r="G150" s="713">
        <f t="shared" si="39"/>
        <v>7.0000000000000007E-2</v>
      </c>
      <c r="H150" s="713">
        <f t="shared" si="40"/>
        <v>7.0000000000000007E-2</v>
      </c>
      <c r="I150" s="713">
        <f t="shared" ref="I150:J153" si="47">I149+0.05</f>
        <v>8.3999999999999844</v>
      </c>
      <c r="J150" s="713">
        <f t="shared" si="47"/>
        <v>8.4499999999999851</v>
      </c>
      <c r="K150" s="713">
        <f t="shared" si="45"/>
        <v>1.4600000000000011</v>
      </c>
      <c r="L150" s="697"/>
      <c r="M150" s="697"/>
      <c r="N150" s="697"/>
      <c r="O150" s="697"/>
      <c r="P150" s="697"/>
      <c r="Q150" s="697"/>
      <c r="R150" s="697"/>
      <c r="S150" s="697"/>
      <c r="T150" s="697"/>
      <c r="U150" s="697"/>
      <c r="V150" s="697"/>
      <c r="W150" s="697"/>
      <c r="X150" s="697"/>
      <c r="Y150" s="697"/>
      <c r="Z150" s="697"/>
      <c r="AA150" s="697"/>
      <c r="AB150" s="697"/>
      <c r="AC150" s="697"/>
      <c r="AD150" s="697"/>
      <c r="AE150" s="697"/>
      <c r="AF150" s="697"/>
      <c r="AG150" s="697"/>
      <c r="AH150" s="697"/>
      <c r="AI150" s="697"/>
      <c r="AJ150" s="697"/>
      <c r="AK150" s="697"/>
      <c r="AL150" s="697"/>
      <c r="AM150" s="697"/>
      <c r="AN150" s="697"/>
      <c r="AO150" s="697"/>
      <c r="AP150" s="697"/>
      <c r="AQ150" s="697"/>
      <c r="AR150" s="697"/>
      <c r="AS150" s="697"/>
      <c r="AT150" s="697"/>
      <c r="AU150" s="697"/>
      <c r="AV150" s="697"/>
      <c r="AW150" s="697"/>
      <c r="AX150" s="697"/>
      <c r="AY150" s="697"/>
      <c r="AZ150" s="697"/>
      <c r="BA150" s="697"/>
      <c r="BB150" s="697"/>
      <c r="BC150" s="697"/>
      <c r="BD150" s="697"/>
      <c r="BE150" s="697"/>
      <c r="BF150" s="697"/>
      <c r="BG150" s="697"/>
      <c r="BH150" s="697"/>
      <c r="BI150" s="697"/>
      <c r="BJ150" s="697"/>
      <c r="BK150" s="697"/>
      <c r="BL150" s="697"/>
      <c r="BM150" s="697"/>
      <c r="BN150" s="697"/>
      <c r="BO150" s="697"/>
      <c r="BP150" s="697"/>
      <c r="BQ150" s="697"/>
      <c r="BR150" s="697"/>
      <c r="BS150" s="697"/>
      <c r="BT150" s="697"/>
      <c r="BU150" s="697"/>
      <c r="BV150" s="697"/>
      <c r="BW150" s="697"/>
      <c r="BX150" s="697"/>
      <c r="BY150" s="697"/>
      <c r="BZ150" s="697"/>
      <c r="CA150" s="697"/>
      <c r="CB150" s="697"/>
      <c r="CC150" s="697"/>
      <c r="CD150" s="697"/>
      <c r="CE150" s="697"/>
      <c r="CF150" s="697"/>
      <c r="CG150" s="697"/>
      <c r="CH150" s="697"/>
      <c r="CI150" s="697"/>
      <c r="CJ150" s="697"/>
      <c r="CK150" s="697"/>
      <c r="CL150" s="697"/>
      <c r="CM150" s="697"/>
      <c r="CN150" s="697"/>
      <c r="CO150" s="697"/>
      <c r="CP150" s="697"/>
      <c r="CQ150" s="697"/>
      <c r="CR150" s="697"/>
      <c r="CS150" s="697"/>
      <c r="CT150" s="697"/>
      <c r="CU150" s="697"/>
      <c r="CV150" s="697"/>
      <c r="CW150" s="697"/>
      <c r="CX150" s="697"/>
      <c r="CY150" s="697"/>
      <c r="CZ150" s="697"/>
      <c r="DA150" s="697"/>
    </row>
    <row r="151" spans="1:105" hidden="1" outlineLevel="1" x14ac:dyDescent="0.2">
      <c r="A151" s="709">
        <f t="shared" si="41"/>
        <v>37530</v>
      </c>
      <c r="B151" s="709" t="str">
        <f t="shared" si="38"/>
        <v>4Q02</v>
      </c>
      <c r="C151" s="709" t="str">
        <f t="shared" si="42"/>
        <v>4Q02</v>
      </c>
      <c r="D151" s="710">
        <f t="shared" si="46"/>
        <v>37610</v>
      </c>
      <c r="E151" s="710">
        <f t="shared" si="46"/>
        <v>37550</v>
      </c>
      <c r="F151" s="712">
        <v>1.4690000000000001</v>
      </c>
      <c r="G151" s="713">
        <f t="shared" si="39"/>
        <v>7.0000000000000007E-2</v>
      </c>
      <c r="H151" s="713">
        <f t="shared" si="40"/>
        <v>7.0000000000000007E-2</v>
      </c>
      <c r="I151" s="713">
        <f t="shared" si="47"/>
        <v>8.4499999999999851</v>
      </c>
      <c r="J151" s="713">
        <f t="shared" si="47"/>
        <v>8.4999999999999858</v>
      </c>
      <c r="K151" s="713">
        <f t="shared" si="45"/>
        <v>1.4700000000000011</v>
      </c>
      <c r="L151" s="697"/>
      <c r="M151" s="697"/>
      <c r="N151" s="697"/>
      <c r="O151" s="697"/>
      <c r="P151" s="697"/>
      <c r="Q151" s="697"/>
      <c r="R151" s="697"/>
      <c r="S151" s="697"/>
      <c r="T151" s="697"/>
      <c r="U151" s="697"/>
      <c r="V151" s="697"/>
      <c r="W151" s="697"/>
      <c r="X151" s="697"/>
      <c r="Y151" s="697"/>
      <c r="Z151" s="697"/>
      <c r="AA151" s="697"/>
      <c r="AB151" s="697"/>
      <c r="AC151" s="697"/>
      <c r="AD151" s="697"/>
      <c r="AE151" s="697"/>
      <c r="AF151" s="697"/>
      <c r="AG151" s="697"/>
      <c r="AH151" s="697"/>
      <c r="AI151" s="697"/>
      <c r="AJ151" s="697"/>
      <c r="AK151" s="697"/>
      <c r="AL151" s="697"/>
      <c r="AM151" s="697"/>
      <c r="AN151" s="697"/>
      <c r="AO151" s="697"/>
      <c r="AP151" s="697"/>
      <c r="AQ151" s="697"/>
      <c r="AR151" s="697"/>
      <c r="AS151" s="697"/>
      <c r="AT151" s="697"/>
      <c r="AU151" s="697"/>
      <c r="AV151" s="697"/>
      <c r="AW151" s="697"/>
      <c r="AX151" s="697"/>
      <c r="AY151" s="697"/>
      <c r="AZ151" s="697"/>
      <c r="BA151" s="697"/>
      <c r="BB151" s="697"/>
      <c r="BC151" s="697"/>
      <c r="BD151" s="697"/>
      <c r="BE151" s="697"/>
      <c r="BF151" s="697"/>
      <c r="BG151" s="697"/>
      <c r="BH151" s="697"/>
      <c r="BI151" s="697"/>
      <c r="BJ151" s="697"/>
      <c r="BK151" s="697"/>
      <c r="BL151" s="697"/>
      <c r="BM151" s="697"/>
      <c r="BN151" s="697"/>
      <c r="BO151" s="697"/>
      <c r="BP151" s="697"/>
      <c r="BQ151" s="697"/>
      <c r="BR151" s="697"/>
      <c r="BS151" s="697"/>
      <c r="BT151" s="697"/>
      <c r="BU151" s="697"/>
      <c r="BV151" s="697"/>
      <c r="BW151" s="697"/>
      <c r="BX151" s="697"/>
      <c r="BY151" s="697"/>
      <c r="BZ151" s="697"/>
      <c r="CA151" s="697"/>
      <c r="CB151" s="697"/>
      <c r="CC151" s="697"/>
      <c r="CD151" s="697"/>
      <c r="CE151" s="697"/>
      <c r="CF151" s="697"/>
      <c r="CG151" s="697"/>
      <c r="CH151" s="697"/>
      <c r="CI151" s="697"/>
      <c r="CJ151" s="697"/>
      <c r="CK151" s="697"/>
      <c r="CL151" s="697"/>
      <c r="CM151" s="697"/>
      <c r="CN151" s="697"/>
      <c r="CO151" s="697"/>
      <c r="CP151" s="697"/>
      <c r="CQ151" s="697"/>
      <c r="CR151" s="697"/>
      <c r="CS151" s="697"/>
      <c r="CT151" s="697"/>
      <c r="CU151" s="697"/>
      <c r="CV151" s="697"/>
      <c r="CW151" s="697"/>
      <c r="CX151" s="697"/>
      <c r="CY151" s="697"/>
      <c r="CZ151" s="697"/>
      <c r="DA151" s="697"/>
    </row>
    <row r="152" spans="1:105" hidden="1" outlineLevel="1" x14ac:dyDescent="0.2">
      <c r="A152" s="709">
        <f t="shared" si="41"/>
        <v>37530</v>
      </c>
      <c r="B152" s="709" t="str">
        <f t="shared" si="38"/>
        <v>4Q02</v>
      </c>
      <c r="C152" s="709" t="str">
        <f t="shared" si="42"/>
        <v>4Q02</v>
      </c>
      <c r="D152" s="710">
        <f t="shared" si="46"/>
        <v>37617</v>
      </c>
      <c r="E152" s="710">
        <f t="shared" si="46"/>
        <v>37557</v>
      </c>
      <c r="F152" s="712">
        <v>1.456</v>
      </c>
      <c r="G152" s="713">
        <f t="shared" si="39"/>
        <v>7.0000000000000007E-2</v>
      </c>
      <c r="H152" s="713">
        <f t="shared" si="40"/>
        <v>6.0000000000000005E-2</v>
      </c>
      <c r="I152" s="713">
        <f t="shared" si="47"/>
        <v>8.4999999999999858</v>
      </c>
      <c r="J152" s="713">
        <f t="shared" si="47"/>
        <v>8.5499999999999865</v>
      </c>
      <c r="K152" s="713">
        <f t="shared" si="45"/>
        <v>1.4800000000000011</v>
      </c>
      <c r="L152" s="697"/>
      <c r="M152" s="697"/>
      <c r="N152" s="697"/>
      <c r="O152" s="697"/>
      <c r="P152" s="697"/>
      <c r="Q152" s="697"/>
      <c r="R152" s="697"/>
      <c r="S152" s="697"/>
      <c r="T152" s="697"/>
      <c r="U152" s="697"/>
      <c r="V152" s="697"/>
      <c r="W152" s="697"/>
      <c r="X152" s="697"/>
      <c r="Y152" s="697"/>
      <c r="Z152" s="697"/>
      <c r="AA152" s="697"/>
      <c r="AB152" s="697"/>
      <c r="AC152" s="697"/>
      <c r="AD152" s="697"/>
      <c r="AE152" s="697"/>
      <c r="AF152" s="697"/>
      <c r="AG152" s="697"/>
      <c r="AH152" s="697"/>
      <c r="AI152" s="697"/>
      <c r="AJ152" s="697"/>
      <c r="AK152" s="697"/>
      <c r="AL152" s="697"/>
      <c r="AM152" s="697"/>
      <c r="AN152" s="697"/>
      <c r="AO152" s="697"/>
      <c r="AP152" s="697"/>
      <c r="AQ152" s="697"/>
      <c r="AR152" s="697"/>
      <c r="AS152" s="697"/>
      <c r="AT152" s="697"/>
      <c r="AU152" s="697"/>
      <c r="AV152" s="697"/>
      <c r="AW152" s="697"/>
      <c r="AX152" s="697"/>
      <c r="AY152" s="697"/>
      <c r="AZ152" s="697"/>
      <c r="BA152" s="697"/>
      <c r="BB152" s="697"/>
      <c r="BC152" s="697"/>
      <c r="BD152" s="697"/>
      <c r="BE152" s="697"/>
      <c r="BF152" s="697"/>
      <c r="BG152" s="697"/>
      <c r="BH152" s="697"/>
      <c r="BI152" s="697"/>
      <c r="BJ152" s="697"/>
      <c r="BK152" s="697"/>
      <c r="BL152" s="697"/>
      <c r="BM152" s="697"/>
      <c r="BN152" s="697"/>
      <c r="BO152" s="697"/>
      <c r="BP152" s="697"/>
      <c r="BQ152" s="697"/>
      <c r="BR152" s="697"/>
      <c r="BS152" s="697"/>
      <c r="BT152" s="697"/>
      <c r="BU152" s="697"/>
      <c r="BV152" s="697"/>
      <c r="BW152" s="697"/>
      <c r="BX152" s="697"/>
      <c r="BY152" s="697"/>
      <c r="BZ152" s="697"/>
      <c r="CA152" s="697"/>
      <c r="CB152" s="697"/>
      <c r="CC152" s="697"/>
      <c r="CD152" s="697"/>
      <c r="CE152" s="697"/>
      <c r="CF152" s="697"/>
      <c r="CG152" s="697"/>
      <c r="CH152" s="697"/>
      <c r="CI152" s="697"/>
      <c r="CJ152" s="697"/>
      <c r="CK152" s="697"/>
      <c r="CL152" s="697"/>
      <c r="CM152" s="697"/>
      <c r="CN152" s="697"/>
      <c r="CO152" s="697"/>
      <c r="CP152" s="697"/>
      <c r="CQ152" s="697"/>
      <c r="CR152" s="697"/>
      <c r="CS152" s="697"/>
      <c r="CT152" s="697"/>
      <c r="CU152" s="697"/>
      <c r="CV152" s="697"/>
      <c r="CW152" s="697"/>
      <c r="CX152" s="697"/>
      <c r="CY152" s="697"/>
      <c r="CZ152" s="697"/>
      <c r="DA152" s="697"/>
    </row>
    <row r="153" spans="1:105" hidden="1" outlineLevel="1" x14ac:dyDescent="0.2">
      <c r="A153" s="709">
        <f t="shared" si="41"/>
        <v>37561</v>
      </c>
      <c r="B153" s="709" t="str">
        <f t="shared" si="38"/>
        <v>4Q02</v>
      </c>
      <c r="C153" s="709" t="str">
        <f t="shared" si="42"/>
        <v>1Q03</v>
      </c>
      <c r="D153" s="710">
        <f t="shared" si="46"/>
        <v>37624</v>
      </c>
      <c r="E153" s="710">
        <f t="shared" si="46"/>
        <v>37564</v>
      </c>
      <c r="F153" s="712">
        <v>1.4419999999999999</v>
      </c>
      <c r="G153" s="713">
        <f t="shared" si="39"/>
        <v>6.0000000000000005E-2</v>
      </c>
      <c r="H153" s="713">
        <f t="shared" si="40"/>
        <v>6.0000000000000005E-2</v>
      </c>
      <c r="I153" s="713">
        <f t="shared" si="47"/>
        <v>8.5499999999999865</v>
      </c>
      <c r="J153" s="713">
        <f t="shared" si="47"/>
        <v>8.5999999999999872</v>
      </c>
      <c r="K153" s="713">
        <f t="shared" si="45"/>
        <v>1.4900000000000011</v>
      </c>
      <c r="L153" s="697"/>
      <c r="M153" s="697"/>
      <c r="N153" s="697"/>
      <c r="O153" s="697"/>
      <c r="P153" s="697"/>
      <c r="Q153" s="697"/>
      <c r="R153" s="697"/>
      <c r="S153" s="697"/>
      <c r="T153" s="697"/>
      <c r="U153" s="697"/>
      <c r="V153" s="697"/>
      <c r="W153" s="697"/>
      <c r="X153" s="697"/>
      <c r="Y153" s="697"/>
      <c r="Z153" s="697"/>
      <c r="AA153" s="697"/>
      <c r="AB153" s="697"/>
      <c r="AC153" s="697"/>
      <c r="AD153" s="697"/>
      <c r="AE153" s="697"/>
      <c r="AF153" s="697"/>
      <c r="AG153" s="697"/>
      <c r="AH153" s="697"/>
      <c r="AI153" s="697"/>
      <c r="AJ153" s="697"/>
      <c r="AK153" s="697"/>
      <c r="AL153" s="697"/>
      <c r="AM153" s="697"/>
      <c r="AN153" s="697"/>
      <c r="AO153" s="697"/>
      <c r="AP153" s="697"/>
      <c r="AQ153" s="697"/>
      <c r="AR153" s="697"/>
      <c r="AS153" s="697"/>
      <c r="AT153" s="697"/>
      <c r="AU153" s="697"/>
      <c r="AV153" s="697"/>
      <c r="AW153" s="697"/>
      <c r="AX153" s="697"/>
      <c r="AY153" s="697"/>
      <c r="AZ153" s="697"/>
      <c r="BA153" s="697"/>
      <c r="BB153" s="697"/>
      <c r="BC153" s="697"/>
      <c r="BD153" s="697"/>
      <c r="BE153" s="697"/>
      <c r="BF153" s="697"/>
      <c r="BG153" s="697"/>
      <c r="BH153" s="697"/>
      <c r="BI153" s="697"/>
      <c r="BJ153" s="697"/>
      <c r="BK153" s="697"/>
      <c r="BL153" s="697"/>
      <c r="BM153" s="697"/>
      <c r="BN153" s="697"/>
      <c r="BO153" s="697"/>
      <c r="BP153" s="697"/>
      <c r="BQ153" s="697"/>
      <c r="BR153" s="697"/>
      <c r="BS153" s="697"/>
      <c r="BT153" s="697"/>
      <c r="BU153" s="697"/>
      <c r="BV153" s="697"/>
      <c r="BW153" s="697"/>
      <c r="BX153" s="697"/>
      <c r="BY153" s="697"/>
      <c r="BZ153" s="697"/>
      <c r="CA153" s="697"/>
      <c r="CB153" s="697"/>
      <c r="CC153" s="697"/>
      <c r="CD153" s="697"/>
      <c r="CE153" s="697"/>
      <c r="CF153" s="697"/>
      <c r="CG153" s="697"/>
      <c r="CH153" s="697"/>
      <c r="CI153" s="697"/>
      <c r="CJ153" s="697"/>
      <c r="CK153" s="697"/>
      <c r="CL153" s="697"/>
      <c r="CM153" s="697"/>
      <c r="CN153" s="697"/>
      <c r="CO153" s="697"/>
      <c r="CP153" s="697"/>
      <c r="CQ153" s="697"/>
      <c r="CR153" s="697"/>
      <c r="CS153" s="697"/>
      <c r="CT153" s="697"/>
      <c r="CU153" s="697"/>
      <c r="CV153" s="697"/>
      <c r="CW153" s="697"/>
      <c r="CX153" s="697"/>
      <c r="CY153" s="697"/>
      <c r="CZ153" s="697"/>
      <c r="DA153" s="697"/>
    </row>
    <row r="154" spans="1:105" hidden="1" outlineLevel="1" x14ac:dyDescent="0.2">
      <c r="A154" s="709">
        <f t="shared" si="41"/>
        <v>37561</v>
      </c>
      <c r="B154" s="709" t="str">
        <f t="shared" si="38"/>
        <v>4Q02</v>
      </c>
      <c r="C154" s="709" t="str">
        <f t="shared" si="42"/>
        <v>1Q03</v>
      </c>
      <c r="D154" s="710">
        <f t="shared" si="46"/>
        <v>37631</v>
      </c>
      <c r="E154" s="710">
        <f t="shared" si="46"/>
        <v>37571</v>
      </c>
      <c r="F154" s="712">
        <v>1.4269999999999998</v>
      </c>
      <c r="G154" s="713">
        <f t="shared" si="39"/>
        <v>6.0000000000000005E-2</v>
      </c>
      <c r="H154" s="713">
        <f t="shared" si="40"/>
        <v>6.0000000000000005E-2</v>
      </c>
      <c r="I154" s="713"/>
      <c r="J154" s="713"/>
      <c r="K154" s="713"/>
      <c r="L154" s="697"/>
      <c r="M154" s="697"/>
      <c r="N154" s="697"/>
      <c r="O154" s="697"/>
      <c r="P154" s="697"/>
      <c r="Q154" s="697"/>
      <c r="R154" s="697"/>
      <c r="S154" s="697"/>
      <c r="T154" s="697"/>
      <c r="U154" s="697"/>
      <c r="V154" s="697"/>
      <c r="W154" s="697"/>
      <c r="X154" s="697"/>
      <c r="Y154" s="697"/>
      <c r="Z154" s="697"/>
      <c r="AA154" s="697"/>
      <c r="AB154" s="697"/>
      <c r="AC154" s="697"/>
      <c r="AD154" s="697"/>
      <c r="AE154" s="697"/>
      <c r="AF154" s="697"/>
      <c r="AG154" s="697"/>
      <c r="AH154" s="697"/>
      <c r="AI154" s="697"/>
      <c r="AJ154" s="697"/>
      <c r="AK154" s="697"/>
      <c r="AL154" s="697"/>
      <c r="AM154" s="697"/>
      <c r="AN154" s="697"/>
      <c r="AO154" s="697"/>
      <c r="AP154" s="697"/>
      <c r="AQ154" s="697"/>
      <c r="AR154" s="697"/>
      <c r="AS154" s="697"/>
      <c r="AT154" s="697"/>
      <c r="AU154" s="697"/>
      <c r="AV154" s="697"/>
      <c r="AW154" s="697"/>
      <c r="AX154" s="697"/>
      <c r="AY154" s="697"/>
      <c r="AZ154" s="697"/>
      <c r="BA154" s="697"/>
      <c r="BB154" s="697"/>
      <c r="BC154" s="697"/>
      <c r="BD154" s="697"/>
      <c r="BE154" s="697"/>
      <c r="BF154" s="697"/>
      <c r="BG154" s="697"/>
      <c r="BH154" s="697"/>
      <c r="BI154" s="697"/>
      <c r="BJ154" s="697"/>
      <c r="BK154" s="697"/>
      <c r="BL154" s="697"/>
      <c r="BM154" s="697"/>
      <c r="BN154" s="697"/>
      <c r="BO154" s="697"/>
      <c r="BP154" s="697"/>
      <c r="BQ154" s="697"/>
      <c r="BR154" s="697"/>
      <c r="BS154" s="697"/>
      <c r="BT154" s="697"/>
      <c r="BU154" s="697"/>
      <c r="BV154" s="697"/>
      <c r="BW154" s="697"/>
      <c r="BX154" s="697"/>
      <c r="BY154" s="697"/>
      <c r="BZ154" s="697"/>
      <c r="CA154" s="697"/>
      <c r="CB154" s="697"/>
      <c r="CC154" s="697"/>
      <c r="CD154" s="697"/>
      <c r="CE154" s="697"/>
      <c r="CF154" s="697"/>
      <c r="CG154" s="697"/>
      <c r="CH154" s="697"/>
      <c r="CI154" s="697"/>
      <c r="CJ154" s="697"/>
      <c r="CK154" s="697"/>
      <c r="CL154" s="697"/>
      <c r="CM154" s="697"/>
      <c r="CN154" s="697"/>
      <c r="CO154" s="697"/>
      <c r="CP154" s="697"/>
      <c r="CQ154" s="697"/>
      <c r="CR154" s="697"/>
      <c r="CS154" s="697"/>
      <c r="CT154" s="697"/>
      <c r="CU154" s="697"/>
      <c r="CV154" s="697"/>
      <c r="CW154" s="697"/>
      <c r="CX154" s="697"/>
      <c r="CY154" s="697"/>
      <c r="CZ154" s="697"/>
      <c r="DA154" s="697"/>
    </row>
    <row r="155" spans="1:105" hidden="1" outlineLevel="1" x14ac:dyDescent="0.2">
      <c r="A155" s="709">
        <f t="shared" si="41"/>
        <v>37561</v>
      </c>
      <c r="B155" s="709" t="str">
        <f t="shared" si="38"/>
        <v>4Q02</v>
      </c>
      <c r="C155" s="709" t="str">
        <f t="shared" si="42"/>
        <v>1Q03</v>
      </c>
      <c r="D155" s="710">
        <f t="shared" si="46"/>
        <v>37638</v>
      </c>
      <c r="E155" s="710">
        <f t="shared" si="46"/>
        <v>37578</v>
      </c>
      <c r="F155" s="712">
        <v>1.405</v>
      </c>
      <c r="G155" s="713">
        <f t="shared" si="39"/>
        <v>6.0000000000000005E-2</v>
      </c>
      <c r="H155" s="713">
        <f t="shared" si="40"/>
        <v>6.0000000000000005E-2</v>
      </c>
      <c r="I155" s="713"/>
      <c r="J155" s="713"/>
      <c r="K155" s="713"/>
      <c r="L155" s="697"/>
      <c r="M155" s="697"/>
      <c r="N155" s="697"/>
      <c r="O155" s="697"/>
      <c r="P155" s="697"/>
      <c r="Q155" s="697"/>
      <c r="R155" s="697"/>
      <c r="S155" s="697"/>
      <c r="T155" s="697"/>
      <c r="U155" s="697"/>
      <c r="V155" s="697"/>
      <c r="W155" s="697"/>
      <c r="X155" s="697"/>
      <c r="Y155" s="697"/>
      <c r="Z155" s="697"/>
      <c r="AA155" s="697"/>
      <c r="AB155" s="697"/>
      <c r="AC155" s="697"/>
      <c r="AD155" s="697"/>
      <c r="AE155" s="697"/>
      <c r="AF155" s="697"/>
      <c r="AG155" s="697"/>
      <c r="AH155" s="697"/>
      <c r="AI155" s="697"/>
      <c r="AJ155" s="697"/>
      <c r="AK155" s="697"/>
      <c r="AL155" s="697"/>
      <c r="AM155" s="697"/>
      <c r="AN155" s="697"/>
      <c r="AO155" s="697"/>
      <c r="AP155" s="697"/>
      <c r="AQ155" s="697"/>
      <c r="AR155" s="697"/>
      <c r="AS155" s="697"/>
      <c r="AT155" s="697"/>
      <c r="AU155" s="697"/>
      <c r="AV155" s="697"/>
      <c r="AW155" s="697"/>
      <c r="AX155" s="697"/>
      <c r="AY155" s="697"/>
      <c r="AZ155" s="697"/>
      <c r="BA155" s="697"/>
      <c r="BB155" s="697"/>
      <c r="BC155" s="697"/>
      <c r="BD155" s="697"/>
      <c r="BE155" s="697"/>
      <c r="BF155" s="697"/>
      <c r="BG155" s="697"/>
      <c r="BH155" s="697"/>
      <c r="BI155" s="697"/>
      <c r="BJ155" s="697"/>
      <c r="BK155" s="697"/>
      <c r="BL155" s="697"/>
      <c r="BM155" s="697"/>
      <c r="BN155" s="697"/>
      <c r="BO155" s="697"/>
      <c r="BP155" s="697"/>
      <c r="BQ155" s="697"/>
      <c r="BR155" s="697"/>
      <c r="BS155" s="697"/>
      <c r="BT155" s="697"/>
      <c r="BU155" s="697"/>
      <c r="BV155" s="697"/>
      <c r="BW155" s="697"/>
      <c r="BX155" s="697"/>
      <c r="BY155" s="697"/>
      <c r="BZ155" s="697"/>
      <c r="CA155" s="697"/>
      <c r="CB155" s="697"/>
      <c r="CC155" s="697"/>
      <c r="CD155" s="697"/>
      <c r="CE155" s="697"/>
      <c r="CF155" s="697"/>
      <c r="CG155" s="697"/>
      <c r="CH155" s="697"/>
      <c r="CI155" s="697"/>
      <c r="CJ155" s="697"/>
      <c r="CK155" s="697"/>
      <c r="CL155" s="697"/>
      <c r="CM155" s="697"/>
      <c r="CN155" s="697"/>
      <c r="CO155" s="697"/>
      <c r="CP155" s="697"/>
      <c r="CQ155" s="697"/>
      <c r="CR155" s="697"/>
      <c r="CS155" s="697"/>
      <c r="CT155" s="697"/>
      <c r="CU155" s="697"/>
      <c r="CV155" s="697"/>
      <c r="CW155" s="697"/>
      <c r="CX155" s="697"/>
      <c r="CY155" s="697"/>
      <c r="CZ155" s="697"/>
      <c r="DA155" s="697"/>
    </row>
    <row r="156" spans="1:105" hidden="1" outlineLevel="1" x14ac:dyDescent="0.2">
      <c r="A156" s="709">
        <f t="shared" si="41"/>
        <v>37561</v>
      </c>
      <c r="B156" s="709" t="str">
        <f t="shared" si="38"/>
        <v>4Q02</v>
      </c>
      <c r="C156" s="709" t="str">
        <f t="shared" si="42"/>
        <v>1Q03</v>
      </c>
      <c r="D156" s="710">
        <f t="shared" si="46"/>
        <v>37645</v>
      </c>
      <c r="E156" s="710">
        <f t="shared" si="46"/>
        <v>37585</v>
      </c>
      <c r="F156" s="712">
        <v>1.405</v>
      </c>
      <c r="G156" s="713">
        <f t="shared" si="39"/>
        <v>6.0000000000000005E-2</v>
      </c>
      <c r="H156" s="713">
        <f t="shared" si="40"/>
        <v>6.0000000000000005E-2</v>
      </c>
      <c r="I156" s="713"/>
      <c r="J156" s="713"/>
      <c r="K156" s="713"/>
      <c r="L156" s="697"/>
      <c r="M156" s="697"/>
      <c r="N156" s="697"/>
      <c r="O156" s="697"/>
      <c r="P156" s="697"/>
      <c r="Q156" s="697"/>
      <c r="R156" s="697"/>
      <c r="S156" s="697"/>
      <c r="T156" s="697"/>
      <c r="U156" s="697"/>
      <c r="V156" s="697"/>
      <c r="W156" s="697"/>
      <c r="X156" s="697"/>
      <c r="Y156" s="697"/>
      <c r="Z156" s="697"/>
      <c r="AA156" s="697"/>
      <c r="AB156" s="697"/>
      <c r="AC156" s="697"/>
      <c r="AD156" s="697"/>
      <c r="AE156" s="697"/>
      <c r="AF156" s="697"/>
      <c r="AG156" s="697"/>
      <c r="AH156" s="697"/>
      <c r="AI156" s="697"/>
      <c r="AJ156" s="697"/>
      <c r="AK156" s="697"/>
      <c r="AL156" s="697"/>
      <c r="AM156" s="697"/>
      <c r="AN156" s="697"/>
      <c r="AO156" s="697"/>
      <c r="AP156" s="697"/>
      <c r="AQ156" s="697"/>
      <c r="AR156" s="697"/>
      <c r="AS156" s="697"/>
      <c r="AT156" s="697"/>
      <c r="AU156" s="697"/>
      <c r="AV156" s="697"/>
      <c r="AW156" s="697"/>
      <c r="AX156" s="697"/>
      <c r="AY156" s="697"/>
      <c r="AZ156" s="697"/>
      <c r="BA156" s="697"/>
      <c r="BB156" s="697"/>
      <c r="BC156" s="697"/>
      <c r="BD156" s="697"/>
      <c r="BE156" s="697"/>
      <c r="BF156" s="697"/>
      <c r="BG156" s="697"/>
      <c r="BH156" s="697"/>
      <c r="BI156" s="697"/>
      <c r="BJ156" s="697"/>
      <c r="BK156" s="697"/>
      <c r="BL156" s="697"/>
      <c r="BM156" s="697"/>
      <c r="BN156" s="697"/>
      <c r="BO156" s="697"/>
      <c r="BP156" s="697"/>
      <c r="BQ156" s="697"/>
      <c r="BR156" s="697"/>
      <c r="BS156" s="697"/>
      <c r="BT156" s="697"/>
      <c r="BU156" s="697"/>
      <c r="BV156" s="697"/>
      <c r="BW156" s="697"/>
      <c r="BX156" s="697"/>
      <c r="BY156" s="697"/>
      <c r="BZ156" s="697"/>
      <c r="CA156" s="697"/>
      <c r="CB156" s="697"/>
      <c r="CC156" s="697"/>
      <c r="CD156" s="697"/>
      <c r="CE156" s="697"/>
      <c r="CF156" s="697"/>
      <c r="CG156" s="697"/>
      <c r="CH156" s="697"/>
      <c r="CI156" s="697"/>
      <c r="CJ156" s="697"/>
      <c r="CK156" s="697"/>
      <c r="CL156" s="697"/>
      <c r="CM156" s="697"/>
      <c r="CN156" s="697"/>
      <c r="CO156" s="697"/>
      <c r="CP156" s="697"/>
      <c r="CQ156" s="697"/>
      <c r="CR156" s="697"/>
      <c r="CS156" s="697"/>
      <c r="CT156" s="697"/>
      <c r="CU156" s="697"/>
      <c r="CV156" s="697"/>
      <c r="CW156" s="697"/>
      <c r="CX156" s="697"/>
      <c r="CY156" s="697"/>
      <c r="CZ156" s="697"/>
      <c r="DA156" s="697"/>
    </row>
    <row r="157" spans="1:105" hidden="1" outlineLevel="1" x14ac:dyDescent="0.2">
      <c r="A157" s="709">
        <f t="shared" si="41"/>
        <v>37591</v>
      </c>
      <c r="B157" s="709" t="str">
        <f t="shared" si="38"/>
        <v>4Q02</v>
      </c>
      <c r="C157" s="709" t="str">
        <f t="shared" si="42"/>
        <v>1Q03</v>
      </c>
      <c r="D157" s="710">
        <f t="shared" si="46"/>
        <v>37652</v>
      </c>
      <c r="E157" s="710">
        <f t="shared" si="46"/>
        <v>37592</v>
      </c>
      <c r="F157" s="712">
        <v>1.4069999999999998</v>
      </c>
      <c r="G157" s="713">
        <f t="shared" si="39"/>
        <v>6.0000000000000005E-2</v>
      </c>
      <c r="H157" s="713">
        <f t="shared" si="40"/>
        <v>6.0000000000000005E-2</v>
      </c>
      <c r="I157" s="713"/>
      <c r="J157" s="713"/>
      <c r="K157" s="713"/>
      <c r="L157" s="697"/>
      <c r="M157" s="697"/>
      <c r="N157" s="697"/>
      <c r="O157" s="697"/>
      <c r="P157" s="697"/>
      <c r="Q157" s="697"/>
      <c r="R157" s="697"/>
      <c r="S157" s="697"/>
      <c r="T157" s="697"/>
      <c r="U157" s="697"/>
      <c r="V157" s="697"/>
      <c r="W157" s="697"/>
      <c r="X157" s="697"/>
      <c r="Y157" s="697"/>
      <c r="Z157" s="697"/>
      <c r="AA157" s="697"/>
      <c r="AB157" s="697"/>
      <c r="AC157" s="697"/>
      <c r="AD157" s="697"/>
      <c r="AE157" s="697"/>
      <c r="AF157" s="697"/>
      <c r="AG157" s="697"/>
      <c r="AH157" s="697"/>
      <c r="AI157" s="697"/>
      <c r="AJ157" s="697"/>
      <c r="AK157" s="697"/>
      <c r="AL157" s="697"/>
      <c r="AM157" s="697"/>
      <c r="AN157" s="697"/>
      <c r="AO157" s="697"/>
      <c r="AP157" s="697"/>
      <c r="AQ157" s="697"/>
      <c r="AR157" s="697"/>
      <c r="AS157" s="697"/>
      <c r="AT157" s="697"/>
      <c r="AU157" s="697"/>
      <c r="AV157" s="697"/>
      <c r="AW157" s="697"/>
      <c r="AX157" s="697"/>
      <c r="AY157" s="697"/>
      <c r="AZ157" s="697"/>
      <c r="BA157" s="697"/>
      <c r="BB157" s="697"/>
      <c r="BC157" s="697"/>
      <c r="BD157" s="697"/>
      <c r="BE157" s="697"/>
      <c r="BF157" s="697"/>
      <c r="BG157" s="697"/>
      <c r="BH157" s="697"/>
      <c r="BI157" s="697"/>
      <c r="BJ157" s="697"/>
      <c r="BK157" s="697"/>
      <c r="BL157" s="697"/>
      <c r="BM157" s="697"/>
      <c r="BN157" s="697"/>
      <c r="BO157" s="697"/>
      <c r="BP157" s="697"/>
      <c r="BQ157" s="697"/>
      <c r="BR157" s="697"/>
      <c r="BS157" s="697"/>
      <c r="BT157" s="697"/>
      <c r="BU157" s="697"/>
      <c r="BV157" s="697"/>
      <c r="BW157" s="697"/>
      <c r="BX157" s="697"/>
      <c r="BY157" s="697"/>
      <c r="BZ157" s="697"/>
      <c r="CA157" s="697"/>
      <c r="CB157" s="697"/>
      <c r="CC157" s="697"/>
      <c r="CD157" s="697"/>
      <c r="CE157" s="697"/>
      <c r="CF157" s="697"/>
      <c r="CG157" s="697"/>
      <c r="CH157" s="697"/>
      <c r="CI157" s="697"/>
      <c r="CJ157" s="697"/>
      <c r="CK157" s="697"/>
      <c r="CL157" s="697"/>
      <c r="CM157" s="697"/>
      <c r="CN157" s="697"/>
      <c r="CO157" s="697"/>
      <c r="CP157" s="697"/>
      <c r="CQ157" s="697"/>
      <c r="CR157" s="697"/>
      <c r="CS157" s="697"/>
      <c r="CT157" s="697"/>
      <c r="CU157" s="697"/>
      <c r="CV157" s="697"/>
      <c r="CW157" s="697"/>
      <c r="CX157" s="697"/>
      <c r="CY157" s="697"/>
      <c r="CZ157" s="697"/>
      <c r="DA157" s="697"/>
    </row>
    <row r="158" spans="1:105" hidden="1" outlineLevel="1" x14ac:dyDescent="0.2">
      <c r="A158" s="709">
        <f t="shared" si="41"/>
        <v>37591</v>
      </c>
      <c r="B158" s="709" t="str">
        <f t="shared" si="38"/>
        <v>4Q02</v>
      </c>
      <c r="C158" s="709" t="str">
        <f t="shared" si="42"/>
        <v>1Q03</v>
      </c>
      <c r="D158" s="710">
        <f t="shared" si="46"/>
        <v>37659</v>
      </c>
      <c r="E158" s="710">
        <f t="shared" si="46"/>
        <v>37599</v>
      </c>
      <c r="F158" s="712">
        <v>1.405</v>
      </c>
      <c r="G158" s="713">
        <f t="shared" si="39"/>
        <v>6.0000000000000005E-2</v>
      </c>
      <c r="H158" s="713">
        <f t="shared" si="40"/>
        <v>6.0000000000000005E-2</v>
      </c>
      <c r="I158" s="713"/>
      <c r="J158" s="713"/>
      <c r="K158" s="713"/>
      <c r="L158" s="697"/>
      <c r="M158" s="697"/>
      <c r="N158" s="697"/>
      <c r="O158" s="697"/>
      <c r="P158" s="697"/>
      <c r="Q158" s="697"/>
      <c r="R158" s="697"/>
      <c r="S158" s="697"/>
      <c r="T158" s="697"/>
      <c r="U158" s="697"/>
      <c r="V158" s="697"/>
      <c r="W158" s="697"/>
      <c r="X158" s="697"/>
      <c r="Y158" s="697"/>
      <c r="Z158" s="697"/>
      <c r="AA158" s="697"/>
      <c r="AB158" s="697"/>
      <c r="AC158" s="697"/>
      <c r="AD158" s="697"/>
      <c r="AE158" s="697"/>
      <c r="AF158" s="697"/>
      <c r="AG158" s="697"/>
      <c r="AH158" s="697"/>
      <c r="AI158" s="697"/>
      <c r="AJ158" s="697"/>
      <c r="AK158" s="697"/>
      <c r="AL158" s="697"/>
      <c r="AM158" s="697"/>
      <c r="AN158" s="697"/>
      <c r="AO158" s="697"/>
      <c r="AP158" s="697"/>
      <c r="AQ158" s="697"/>
      <c r="AR158" s="697"/>
      <c r="AS158" s="697"/>
      <c r="AT158" s="697"/>
      <c r="AU158" s="697"/>
      <c r="AV158" s="697"/>
      <c r="AW158" s="697"/>
      <c r="AX158" s="697"/>
      <c r="AY158" s="697"/>
      <c r="AZ158" s="697"/>
      <c r="BA158" s="697"/>
      <c r="BB158" s="697"/>
      <c r="BC158" s="697"/>
      <c r="BD158" s="697"/>
      <c r="BE158" s="697"/>
      <c r="BF158" s="697"/>
      <c r="BG158" s="697"/>
      <c r="BH158" s="697"/>
      <c r="BI158" s="697"/>
      <c r="BJ158" s="697"/>
      <c r="BK158" s="697"/>
      <c r="BL158" s="697"/>
      <c r="BM158" s="697"/>
      <c r="BN158" s="697"/>
      <c r="BO158" s="697"/>
      <c r="BP158" s="697"/>
      <c r="BQ158" s="697"/>
      <c r="BR158" s="697"/>
      <c r="BS158" s="697"/>
      <c r="BT158" s="697"/>
      <c r="BU158" s="697"/>
      <c r="BV158" s="697"/>
      <c r="BW158" s="697"/>
      <c r="BX158" s="697"/>
      <c r="BY158" s="697"/>
      <c r="BZ158" s="697"/>
      <c r="CA158" s="697"/>
      <c r="CB158" s="697"/>
      <c r="CC158" s="697"/>
      <c r="CD158" s="697"/>
      <c r="CE158" s="697"/>
      <c r="CF158" s="697"/>
      <c r="CG158" s="697"/>
      <c r="CH158" s="697"/>
      <c r="CI158" s="697"/>
      <c r="CJ158" s="697"/>
      <c r="CK158" s="697"/>
      <c r="CL158" s="697"/>
      <c r="CM158" s="697"/>
      <c r="CN158" s="697"/>
      <c r="CO158" s="697"/>
      <c r="CP158" s="697"/>
      <c r="CQ158" s="697"/>
      <c r="CR158" s="697"/>
      <c r="CS158" s="697"/>
      <c r="CT158" s="697"/>
      <c r="CU158" s="697"/>
      <c r="CV158" s="697"/>
      <c r="CW158" s="697"/>
      <c r="CX158" s="697"/>
      <c r="CY158" s="697"/>
      <c r="CZ158" s="697"/>
      <c r="DA158" s="697"/>
    </row>
    <row r="159" spans="1:105" hidden="1" outlineLevel="1" x14ac:dyDescent="0.2">
      <c r="A159" s="709">
        <f t="shared" si="41"/>
        <v>37591</v>
      </c>
      <c r="B159" s="709" t="str">
        <f t="shared" si="38"/>
        <v>4Q02</v>
      </c>
      <c r="C159" s="709" t="str">
        <f t="shared" si="42"/>
        <v>1Q03</v>
      </c>
      <c r="D159" s="710">
        <f t="shared" si="46"/>
        <v>37666</v>
      </c>
      <c r="E159" s="710">
        <f t="shared" si="46"/>
        <v>37606</v>
      </c>
      <c r="F159" s="712">
        <v>1.401</v>
      </c>
      <c r="G159" s="713">
        <f t="shared" si="39"/>
        <v>6.0000000000000005E-2</v>
      </c>
      <c r="H159" s="713">
        <f t="shared" si="40"/>
        <v>6.0000000000000005E-2</v>
      </c>
      <c r="I159" s="713"/>
      <c r="J159" s="713"/>
      <c r="K159" s="713"/>
      <c r="L159" s="697"/>
      <c r="M159" s="697"/>
      <c r="N159" s="697"/>
      <c r="O159" s="697"/>
      <c r="P159" s="697"/>
      <c r="Q159" s="697"/>
      <c r="R159" s="697"/>
      <c r="S159" s="697"/>
      <c r="T159" s="697"/>
      <c r="U159" s="697"/>
      <c r="V159" s="697"/>
      <c r="W159" s="697"/>
      <c r="X159" s="697"/>
      <c r="Y159" s="697"/>
      <c r="Z159" s="697"/>
      <c r="AA159" s="697"/>
      <c r="AB159" s="697"/>
      <c r="AC159" s="697"/>
      <c r="AD159" s="697"/>
      <c r="AE159" s="697"/>
      <c r="AF159" s="697"/>
      <c r="AG159" s="697"/>
      <c r="AH159" s="697"/>
      <c r="AI159" s="697"/>
      <c r="AJ159" s="697"/>
      <c r="AK159" s="697"/>
      <c r="AL159" s="697"/>
      <c r="AM159" s="697"/>
      <c r="AN159" s="697"/>
      <c r="AO159" s="697"/>
      <c r="AP159" s="697"/>
      <c r="AQ159" s="697"/>
      <c r="AR159" s="697"/>
      <c r="AS159" s="697"/>
      <c r="AT159" s="697"/>
      <c r="AU159" s="697"/>
      <c r="AV159" s="697"/>
      <c r="AW159" s="697"/>
      <c r="AX159" s="697"/>
      <c r="AY159" s="697"/>
      <c r="AZ159" s="697"/>
      <c r="BA159" s="697"/>
      <c r="BB159" s="697"/>
      <c r="BC159" s="697"/>
      <c r="BD159" s="697"/>
      <c r="BE159" s="697"/>
      <c r="BF159" s="697"/>
      <c r="BG159" s="697"/>
      <c r="BH159" s="697"/>
      <c r="BI159" s="697"/>
      <c r="BJ159" s="697"/>
      <c r="BK159" s="697"/>
      <c r="BL159" s="697"/>
      <c r="BM159" s="697"/>
      <c r="BN159" s="697"/>
      <c r="BO159" s="697"/>
      <c r="BP159" s="697"/>
      <c r="BQ159" s="697"/>
      <c r="BR159" s="697"/>
      <c r="BS159" s="697"/>
      <c r="BT159" s="697"/>
      <c r="BU159" s="697"/>
      <c r="BV159" s="697"/>
      <c r="BW159" s="697"/>
      <c r="BX159" s="697"/>
      <c r="BY159" s="697"/>
      <c r="BZ159" s="697"/>
      <c r="CA159" s="697"/>
      <c r="CB159" s="697"/>
      <c r="CC159" s="697"/>
      <c r="CD159" s="697"/>
      <c r="CE159" s="697"/>
      <c r="CF159" s="697"/>
      <c r="CG159" s="697"/>
      <c r="CH159" s="697"/>
      <c r="CI159" s="697"/>
      <c r="CJ159" s="697"/>
      <c r="CK159" s="697"/>
      <c r="CL159" s="697"/>
      <c r="CM159" s="697"/>
      <c r="CN159" s="697"/>
      <c r="CO159" s="697"/>
      <c r="CP159" s="697"/>
      <c r="CQ159" s="697"/>
      <c r="CR159" s="697"/>
      <c r="CS159" s="697"/>
      <c r="CT159" s="697"/>
      <c r="CU159" s="697"/>
      <c r="CV159" s="697"/>
      <c r="CW159" s="697"/>
      <c r="CX159" s="697"/>
      <c r="CY159" s="697"/>
      <c r="CZ159" s="697"/>
      <c r="DA159" s="697"/>
    </row>
    <row r="160" spans="1:105" hidden="1" outlineLevel="1" x14ac:dyDescent="0.2">
      <c r="A160" s="709">
        <f t="shared" si="41"/>
        <v>37591</v>
      </c>
      <c r="B160" s="709" t="str">
        <f t="shared" si="38"/>
        <v>4Q02</v>
      </c>
      <c r="C160" s="709" t="str">
        <f t="shared" si="42"/>
        <v>1Q03</v>
      </c>
      <c r="D160" s="710">
        <f t="shared" si="46"/>
        <v>37673</v>
      </c>
      <c r="E160" s="710">
        <f t="shared" si="46"/>
        <v>37613</v>
      </c>
      <c r="F160" s="712">
        <v>1.44</v>
      </c>
      <c r="G160" s="713">
        <f t="shared" si="39"/>
        <v>6.0000000000000005E-2</v>
      </c>
      <c r="H160" s="713">
        <f t="shared" si="40"/>
        <v>7.0000000000000007E-2</v>
      </c>
      <c r="I160" s="713"/>
      <c r="J160" s="713"/>
      <c r="K160" s="713"/>
      <c r="L160" s="697"/>
      <c r="M160" s="697"/>
      <c r="N160" s="697"/>
      <c r="O160" s="697"/>
      <c r="P160" s="697"/>
      <c r="Q160" s="697"/>
      <c r="R160" s="697"/>
      <c r="S160" s="697"/>
      <c r="T160" s="697"/>
      <c r="U160" s="697"/>
      <c r="V160" s="697"/>
      <c r="W160" s="697"/>
      <c r="X160" s="697"/>
      <c r="Y160" s="697"/>
      <c r="Z160" s="697"/>
      <c r="AA160" s="697"/>
      <c r="AB160" s="697"/>
      <c r="AC160" s="697"/>
      <c r="AD160" s="697"/>
      <c r="AE160" s="697"/>
      <c r="AF160" s="697"/>
      <c r="AG160" s="697"/>
      <c r="AH160" s="697"/>
      <c r="AI160" s="697"/>
      <c r="AJ160" s="697"/>
      <c r="AK160" s="697"/>
      <c r="AL160" s="697"/>
      <c r="AM160" s="697"/>
      <c r="AN160" s="697"/>
      <c r="AO160" s="697"/>
      <c r="AP160" s="697"/>
      <c r="AQ160" s="697"/>
      <c r="AR160" s="697"/>
      <c r="AS160" s="697"/>
      <c r="AT160" s="697"/>
      <c r="AU160" s="697"/>
      <c r="AV160" s="697"/>
      <c r="AW160" s="697"/>
      <c r="AX160" s="697"/>
      <c r="AY160" s="697"/>
      <c r="AZ160" s="697"/>
      <c r="BA160" s="697"/>
      <c r="BB160" s="697"/>
      <c r="BC160" s="697"/>
      <c r="BD160" s="697"/>
      <c r="BE160" s="697"/>
      <c r="BF160" s="697"/>
      <c r="BG160" s="697"/>
      <c r="BH160" s="697"/>
      <c r="BI160" s="697"/>
      <c r="BJ160" s="697"/>
      <c r="BK160" s="697"/>
      <c r="BL160" s="697"/>
      <c r="BM160" s="697"/>
      <c r="BN160" s="697"/>
      <c r="BO160" s="697"/>
      <c r="BP160" s="697"/>
      <c r="BQ160" s="697"/>
      <c r="BR160" s="697"/>
      <c r="BS160" s="697"/>
      <c r="BT160" s="697"/>
      <c r="BU160" s="697"/>
      <c r="BV160" s="697"/>
      <c r="BW160" s="697"/>
      <c r="BX160" s="697"/>
      <c r="BY160" s="697"/>
      <c r="BZ160" s="697"/>
      <c r="CA160" s="697"/>
      <c r="CB160" s="697"/>
      <c r="CC160" s="697"/>
      <c r="CD160" s="697"/>
      <c r="CE160" s="697"/>
      <c r="CF160" s="697"/>
      <c r="CG160" s="697"/>
      <c r="CH160" s="697"/>
      <c r="CI160" s="697"/>
      <c r="CJ160" s="697"/>
      <c r="CK160" s="697"/>
      <c r="CL160" s="697"/>
      <c r="CM160" s="697"/>
      <c r="CN160" s="697"/>
      <c r="CO160" s="697"/>
      <c r="CP160" s="697"/>
      <c r="CQ160" s="697"/>
      <c r="CR160" s="697"/>
      <c r="CS160" s="697"/>
      <c r="CT160" s="697"/>
      <c r="CU160" s="697"/>
      <c r="CV160" s="697"/>
      <c r="CW160" s="697"/>
      <c r="CX160" s="697"/>
      <c r="CY160" s="697"/>
      <c r="CZ160" s="697"/>
      <c r="DA160" s="697"/>
    </row>
    <row r="161" spans="1:105" hidden="1" outlineLevel="1" x14ac:dyDescent="0.2">
      <c r="A161" s="709">
        <f t="shared" si="41"/>
        <v>37591</v>
      </c>
      <c r="B161" s="709" t="str">
        <f t="shared" si="38"/>
        <v>4Q02</v>
      </c>
      <c r="C161" s="709" t="str">
        <f t="shared" si="42"/>
        <v>1Q03</v>
      </c>
      <c r="D161" s="710">
        <f t="shared" si="46"/>
        <v>37680</v>
      </c>
      <c r="E161" s="710">
        <f t="shared" si="46"/>
        <v>37620</v>
      </c>
      <c r="F161" s="712">
        <v>1.4909999999999999</v>
      </c>
      <c r="G161" s="713">
        <f t="shared" si="39"/>
        <v>7.0000000000000007E-2</v>
      </c>
      <c r="H161" s="713">
        <f t="shared" si="40"/>
        <v>0.08</v>
      </c>
      <c r="I161" s="713"/>
      <c r="J161" s="713"/>
      <c r="K161" s="713"/>
      <c r="L161" s="697"/>
      <c r="M161" s="697"/>
      <c r="N161" s="697"/>
      <c r="O161" s="697"/>
      <c r="P161" s="697"/>
      <c r="Q161" s="697"/>
      <c r="R161" s="697"/>
      <c r="S161" s="697"/>
      <c r="T161" s="697"/>
      <c r="U161" s="697"/>
      <c r="V161" s="697"/>
      <c r="W161" s="697"/>
      <c r="X161" s="697"/>
      <c r="Y161" s="697"/>
      <c r="Z161" s="697"/>
      <c r="AA161" s="697"/>
      <c r="AB161" s="697"/>
      <c r="AC161" s="697"/>
      <c r="AD161" s="697"/>
      <c r="AE161" s="697"/>
      <c r="AF161" s="697"/>
      <c r="AG161" s="697"/>
      <c r="AH161" s="697"/>
      <c r="AI161" s="697"/>
      <c r="AJ161" s="697"/>
      <c r="AK161" s="697"/>
      <c r="AL161" s="697"/>
      <c r="AM161" s="697"/>
      <c r="AN161" s="697"/>
      <c r="AO161" s="697"/>
      <c r="AP161" s="697"/>
      <c r="AQ161" s="697"/>
      <c r="AR161" s="697"/>
      <c r="AS161" s="697"/>
      <c r="AT161" s="697"/>
      <c r="AU161" s="697"/>
      <c r="AV161" s="697"/>
      <c r="AW161" s="697"/>
      <c r="AX161" s="697"/>
      <c r="AY161" s="697"/>
      <c r="AZ161" s="697"/>
      <c r="BA161" s="697"/>
      <c r="BB161" s="697"/>
      <c r="BC161" s="697"/>
      <c r="BD161" s="697"/>
      <c r="BE161" s="697"/>
      <c r="BF161" s="697"/>
      <c r="BG161" s="697"/>
      <c r="BH161" s="697"/>
      <c r="BI161" s="697"/>
      <c r="BJ161" s="697"/>
      <c r="BK161" s="697"/>
      <c r="BL161" s="697"/>
      <c r="BM161" s="697"/>
      <c r="BN161" s="697"/>
      <c r="BO161" s="697"/>
      <c r="BP161" s="697"/>
      <c r="BQ161" s="697"/>
      <c r="BR161" s="697"/>
      <c r="BS161" s="697"/>
      <c r="BT161" s="697"/>
      <c r="BU161" s="697"/>
      <c r="BV161" s="697"/>
      <c r="BW161" s="697"/>
      <c r="BX161" s="697"/>
      <c r="BY161" s="697"/>
      <c r="BZ161" s="697"/>
      <c r="CA161" s="697"/>
      <c r="CB161" s="697"/>
      <c r="CC161" s="697"/>
      <c r="CD161" s="697"/>
      <c r="CE161" s="697"/>
      <c r="CF161" s="697"/>
      <c r="CG161" s="697"/>
      <c r="CH161" s="697"/>
      <c r="CI161" s="697"/>
      <c r="CJ161" s="697"/>
      <c r="CK161" s="697"/>
      <c r="CL161" s="697"/>
      <c r="CM161" s="697"/>
      <c r="CN161" s="697"/>
      <c r="CO161" s="697"/>
      <c r="CP161" s="697"/>
      <c r="CQ161" s="697"/>
      <c r="CR161" s="697"/>
      <c r="CS161" s="697"/>
      <c r="CT161" s="697"/>
      <c r="CU161" s="697"/>
      <c r="CV161" s="697"/>
      <c r="CW161" s="697"/>
      <c r="CX161" s="697"/>
      <c r="CY161" s="697"/>
      <c r="CZ161" s="697"/>
      <c r="DA161" s="697"/>
    </row>
    <row r="162" spans="1:105" hidden="1" outlineLevel="1" x14ac:dyDescent="0.2">
      <c r="A162" s="709">
        <f t="shared" si="41"/>
        <v>37622</v>
      </c>
      <c r="B162" s="709" t="str">
        <f t="shared" si="38"/>
        <v>1Q03</v>
      </c>
      <c r="C162" s="709" t="str">
        <f t="shared" si="42"/>
        <v>1Q03</v>
      </c>
      <c r="D162" s="710">
        <f t="shared" si="46"/>
        <v>37687</v>
      </c>
      <c r="E162" s="710">
        <f t="shared" si="46"/>
        <v>37627</v>
      </c>
      <c r="F162" s="712">
        <v>1.5009999999999999</v>
      </c>
      <c r="G162" s="713">
        <f t="shared" si="39"/>
        <v>0.08</v>
      </c>
      <c r="H162" s="713">
        <f t="shared" si="40"/>
        <v>7.0000000000000007E-2</v>
      </c>
      <c r="I162" s="713"/>
      <c r="J162" s="713"/>
      <c r="K162" s="713"/>
      <c r="L162" s="697"/>
      <c r="M162" s="697"/>
      <c r="N162" s="697"/>
      <c r="O162" s="697"/>
      <c r="P162" s="697"/>
      <c r="Q162" s="697"/>
      <c r="R162" s="697"/>
      <c r="S162" s="697"/>
      <c r="T162" s="697"/>
      <c r="U162" s="697"/>
      <c r="V162" s="697"/>
      <c r="W162" s="697"/>
      <c r="X162" s="697"/>
      <c r="Y162" s="697"/>
      <c r="Z162" s="697"/>
      <c r="AA162" s="697"/>
      <c r="AB162" s="697"/>
      <c r="AC162" s="697"/>
      <c r="AD162" s="697"/>
      <c r="AE162" s="697"/>
      <c r="AF162" s="697"/>
      <c r="AG162" s="697"/>
      <c r="AH162" s="697"/>
      <c r="AI162" s="697"/>
      <c r="AJ162" s="697"/>
      <c r="AK162" s="697"/>
      <c r="AL162" s="697"/>
      <c r="AM162" s="697"/>
      <c r="AN162" s="697"/>
      <c r="AO162" s="697"/>
      <c r="AP162" s="697"/>
      <c r="AQ162" s="697"/>
      <c r="AR162" s="697"/>
      <c r="AS162" s="697"/>
      <c r="AT162" s="697"/>
      <c r="AU162" s="697"/>
      <c r="AV162" s="697"/>
      <c r="AW162" s="697"/>
      <c r="AX162" s="697"/>
      <c r="AY162" s="697"/>
      <c r="AZ162" s="697"/>
      <c r="BA162" s="697"/>
      <c r="BB162" s="697"/>
      <c r="BC162" s="697"/>
      <c r="BD162" s="697"/>
      <c r="BE162" s="697"/>
      <c r="BF162" s="697"/>
      <c r="BG162" s="697"/>
      <c r="BH162" s="697"/>
      <c r="BI162" s="697"/>
      <c r="BJ162" s="697"/>
      <c r="BK162" s="697"/>
      <c r="BL162" s="697"/>
      <c r="BM162" s="697"/>
      <c r="BN162" s="697"/>
      <c r="BO162" s="697"/>
      <c r="BP162" s="697"/>
      <c r="BQ162" s="697"/>
      <c r="BR162" s="697"/>
      <c r="BS162" s="697"/>
      <c r="BT162" s="697"/>
      <c r="BU162" s="697"/>
      <c r="BV162" s="697"/>
      <c r="BW162" s="697"/>
      <c r="BX162" s="697"/>
      <c r="BY162" s="697"/>
      <c r="BZ162" s="697"/>
      <c r="CA162" s="697"/>
      <c r="CB162" s="697"/>
      <c r="CC162" s="697"/>
      <c r="CD162" s="697"/>
      <c r="CE162" s="697"/>
      <c r="CF162" s="697"/>
      <c r="CG162" s="697"/>
      <c r="CH162" s="697"/>
      <c r="CI162" s="697"/>
      <c r="CJ162" s="697"/>
      <c r="CK162" s="697"/>
      <c r="CL162" s="697"/>
      <c r="CM162" s="697"/>
      <c r="CN162" s="697"/>
      <c r="CO162" s="697"/>
      <c r="CP162" s="697"/>
      <c r="CQ162" s="697"/>
      <c r="CR162" s="697"/>
      <c r="CS162" s="697"/>
      <c r="CT162" s="697"/>
      <c r="CU162" s="697"/>
      <c r="CV162" s="697"/>
      <c r="CW162" s="697"/>
      <c r="CX162" s="697"/>
      <c r="CY162" s="697"/>
      <c r="CZ162" s="697"/>
      <c r="DA162" s="697"/>
    </row>
    <row r="163" spans="1:105" hidden="1" outlineLevel="1" x14ac:dyDescent="0.2">
      <c r="A163" s="709">
        <f t="shared" si="41"/>
        <v>37622</v>
      </c>
      <c r="B163" s="709" t="str">
        <f t="shared" si="38"/>
        <v>1Q03</v>
      </c>
      <c r="C163" s="709" t="str">
        <f t="shared" si="42"/>
        <v>1Q03</v>
      </c>
      <c r="D163" s="710">
        <f t="shared" si="46"/>
        <v>37694</v>
      </c>
      <c r="E163" s="710">
        <f t="shared" si="46"/>
        <v>37634</v>
      </c>
      <c r="F163" s="712">
        <v>1.4780000000000002</v>
      </c>
      <c r="G163" s="713">
        <f t="shared" si="39"/>
        <v>7.0000000000000007E-2</v>
      </c>
      <c r="H163" s="713">
        <f t="shared" si="40"/>
        <v>7.0000000000000007E-2</v>
      </c>
      <c r="I163" s="713"/>
      <c r="J163" s="713"/>
      <c r="K163" s="713"/>
      <c r="L163" s="697"/>
      <c r="M163" s="697"/>
      <c r="N163" s="697"/>
      <c r="O163" s="697"/>
      <c r="P163" s="697"/>
      <c r="Q163" s="697"/>
      <c r="R163" s="697"/>
      <c r="S163" s="697"/>
      <c r="T163" s="697"/>
      <c r="U163" s="697"/>
      <c r="V163" s="697"/>
      <c r="W163" s="697"/>
      <c r="X163" s="697"/>
      <c r="Y163" s="697"/>
      <c r="Z163" s="697"/>
      <c r="AA163" s="697"/>
      <c r="AB163" s="697"/>
      <c r="AC163" s="697"/>
      <c r="AD163" s="697"/>
      <c r="AE163" s="697"/>
      <c r="AF163" s="697"/>
      <c r="AG163" s="697"/>
      <c r="AH163" s="697"/>
      <c r="AI163" s="697"/>
      <c r="AJ163" s="697"/>
      <c r="AK163" s="697"/>
      <c r="AL163" s="697"/>
      <c r="AM163" s="697"/>
      <c r="AN163" s="697"/>
      <c r="AO163" s="697"/>
      <c r="AP163" s="697"/>
      <c r="AQ163" s="697"/>
      <c r="AR163" s="697"/>
      <c r="AS163" s="697"/>
      <c r="AT163" s="697"/>
      <c r="AU163" s="697"/>
      <c r="AV163" s="697"/>
      <c r="AW163" s="697"/>
      <c r="AX163" s="697"/>
      <c r="AY163" s="697"/>
      <c r="AZ163" s="697"/>
      <c r="BA163" s="697"/>
      <c r="BB163" s="697"/>
      <c r="BC163" s="697"/>
      <c r="BD163" s="697"/>
      <c r="BE163" s="697"/>
      <c r="BF163" s="697"/>
      <c r="BG163" s="697"/>
      <c r="BH163" s="697"/>
      <c r="BI163" s="697"/>
      <c r="BJ163" s="697"/>
      <c r="BK163" s="697"/>
      <c r="BL163" s="697"/>
      <c r="BM163" s="697"/>
      <c r="BN163" s="697"/>
      <c r="BO163" s="697"/>
      <c r="BP163" s="697"/>
      <c r="BQ163" s="697"/>
      <c r="BR163" s="697"/>
      <c r="BS163" s="697"/>
      <c r="BT163" s="697"/>
      <c r="BU163" s="697"/>
      <c r="BV163" s="697"/>
      <c r="BW163" s="697"/>
      <c r="BX163" s="697"/>
      <c r="BY163" s="697"/>
      <c r="BZ163" s="697"/>
      <c r="CA163" s="697"/>
      <c r="CB163" s="697"/>
      <c r="CC163" s="697"/>
      <c r="CD163" s="697"/>
      <c r="CE163" s="697"/>
      <c r="CF163" s="697"/>
      <c r="CG163" s="697"/>
      <c r="CH163" s="697"/>
      <c r="CI163" s="697"/>
      <c r="CJ163" s="697"/>
      <c r="CK163" s="697"/>
      <c r="CL163" s="697"/>
      <c r="CM163" s="697"/>
      <c r="CN163" s="697"/>
      <c r="CO163" s="697"/>
      <c r="CP163" s="697"/>
      <c r="CQ163" s="697"/>
      <c r="CR163" s="697"/>
      <c r="CS163" s="697"/>
      <c r="CT163" s="697"/>
      <c r="CU163" s="697"/>
      <c r="CV163" s="697"/>
      <c r="CW163" s="697"/>
      <c r="CX163" s="697"/>
      <c r="CY163" s="697"/>
      <c r="CZ163" s="697"/>
      <c r="DA163" s="697"/>
    </row>
    <row r="164" spans="1:105" hidden="1" outlineLevel="1" x14ac:dyDescent="0.2">
      <c r="A164" s="709">
        <f t="shared" si="41"/>
        <v>37622</v>
      </c>
      <c r="B164" s="709" t="str">
        <f t="shared" si="38"/>
        <v>1Q03</v>
      </c>
      <c r="C164" s="709" t="str">
        <f t="shared" si="42"/>
        <v>1Q03</v>
      </c>
      <c r="D164" s="710">
        <f t="shared" si="46"/>
        <v>37701</v>
      </c>
      <c r="E164" s="710">
        <f t="shared" si="46"/>
        <v>37641</v>
      </c>
      <c r="F164" s="712">
        <v>1.48</v>
      </c>
      <c r="G164" s="713">
        <f t="shared" si="39"/>
        <v>7.0000000000000007E-2</v>
      </c>
      <c r="H164" s="713">
        <f t="shared" si="40"/>
        <v>7.0000000000000007E-2</v>
      </c>
      <c r="I164" s="713"/>
      <c r="J164" s="713"/>
      <c r="K164" s="713"/>
      <c r="L164" s="697"/>
      <c r="M164" s="697"/>
      <c r="N164" s="697"/>
      <c r="O164" s="697"/>
      <c r="P164" s="697"/>
      <c r="Q164" s="697"/>
      <c r="R164" s="697"/>
      <c r="S164" s="697"/>
      <c r="T164" s="697"/>
      <c r="U164" s="697"/>
      <c r="V164" s="697"/>
      <c r="W164" s="697"/>
      <c r="X164" s="697"/>
      <c r="Y164" s="697"/>
      <c r="Z164" s="697"/>
      <c r="AA164" s="697"/>
      <c r="AB164" s="697"/>
      <c r="AC164" s="697"/>
      <c r="AD164" s="697"/>
      <c r="AE164" s="697"/>
      <c r="AF164" s="697"/>
      <c r="AG164" s="697"/>
      <c r="AH164" s="697"/>
      <c r="AI164" s="697"/>
      <c r="AJ164" s="697"/>
      <c r="AK164" s="697"/>
      <c r="AL164" s="697"/>
      <c r="AM164" s="697"/>
      <c r="AN164" s="697"/>
      <c r="AO164" s="697"/>
      <c r="AP164" s="697"/>
      <c r="AQ164" s="697"/>
      <c r="AR164" s="697"/>
      <c r="AS164" s="697"/>
      <c r="AT164" s="697"/>
      <c r="AU164" s="697"/>
      <c r="AV164" s="697"/>
      <c r="AW164" s="697"/>
      <c r="AX164" s="697"/>
      <c r="AY164" s="697"/>
      <c r="AZ164" s="697"/>
      <c r="BA164" s="697"/>
      <c r="BB164" s="697"/>
      <c r="BC164" s="697"/>
      <c r="BD164" s="697"/>
      <c r="BE164" s="697"/>
      <c r="BF164" s="697"/>
      <c r="BG164" s="697"/>
      <c r="BH164" s="697"/>
      <c r="BI164" s="697"/>
      <c r="BJ164" s="697"/>
      <c r="BK164" s="697"/>
      <c r="BL164" s="697"/>
      <c r="BM164" s="697"/>
      <c r="BN164" s="697"/>
      <c r="BO164" s="697"/>
      <c r="BP164" s="697"/>
      <c r="BQ164" s="697"/>
      <c r="BR164" s="697"/>
      <c r="BS164" s="697"/>
      <c r="BT164" s="697"/>
      <c r="BU164" s="697"/>
      <c r="BV164" s="697"/>
      <c r="BW164" s="697"/>
      <c r="BX164" s="697"/>
      <c r="BY164" s="697"/>
      <c r="BZ164" s="697"/>
      <c r="CA164" s="697"/>
      <c r="CB164" s="697"/>
      <c r="CC164" s="697"/>
      <c r="CD164" s="697"/>
      <c r="CE164" s="697"/>
      <c r="CF164" s="697"/>
      <c r="CG164" s="697"/>
      <c r="CH164" s="697"/>
      <c r="CI164" s="697"/>
      <c r="CJ164" s="697"/>
      <c r="CK164" s="697"/>
      <c r="CL164" s="697"/>
      <c r="CM164" s="697"/>
      <c r="CN164" s="697"/>
      <c r="CO164" s="697"/>
      <c r="CP164" s="697"/>
      <c r="CQ164" s="697"/>
      <c r="CR164" s="697"/>
      <c r="CS164" s="697"/>
      <c r="CT164" s="697"/>
      <c r="CU164" s="697"/>
      <c r="CV164" s="697"/>
      <c r="CW164" s="697"/>
      <c r="CX164" s="697"/>
      <c r="CY164" s="697"/>
      <c r="CZ164" s="697"/>
      <c r="DA164" s="697"/>
    </row>
    <row r="165" spans="1:105" hidden="1" outlineLevel="1" x14ac:dyDescent="0.2">
      <c r="A165" s="709">
        <f t="shared" si="41"/>
        <v>37622</v>
      </c>
      <c r="B165" s="709" t="str">
        <f t="shared" si="38"/>
        <v>1Q03</v>
      </c>
      <c r="C165" s="709" t="str">
        <f t="shared" si="42"/>
        <v>1Q03</v>
      </c>
      <c r="D165" s="710">
        <f t="shared" ref="D165:E180" si="48">D164+7</f>
        <v>37708</v>
      </c>
      <c r="E165" s="710">
        <f t="shared" si="48"/>
        <v>37648</v>
      </c>
      <c r="F165" s="712">
        <v>1.492</v>
      </c>
      <c r="G165" s="713">
        <f t="shared" si="39"/>
        <v>7.0000000000000007E-2</v>
      </c>
      <c r="H165" s="713">
        <f t="shared" si="40"/>
        <v>0.08</v>
      </c>
      <c r="I165" s="713"/>
      <c r="J165" s="713"/>
      <c r="K165" s="713"/>
      <c r="L165" s="697"/>
      <c r="M165" s="697"/>
      <c r="N165" s="697"/>
      <c r="O165" s="697"/>
      <c r="P165" s="697"/>
      <c r="Q165" s="697"/>
      <c r="R165" s="697"/>
      <c r="S165" s="697"/>
      <c r="T165" s="697"/>
      <c r="U165" s="697"/>
      <c r="V165" s="697"/>
      <c r="W165" s="697"/>
      <c r="X165" s="697"/>
      <c r="Y165" s="697"/>
      <c r="Z165" s="697"/>
      <c r="AA165" s="697"/>
      <c r="AB165" s="697"/>
      <c r="AC165" s="697"/>
      <c r="AD165" s="697"/>
      <c r="AE165" s="697"/>
      <c r="AF165" s="697"/>
      <c r="AG165" s="697"/>
      <c r="AH165" s="697"/>
      <c r="AI165" s="697"/>
      <c r="AJ165" s="697"/>
      <c r="AK165" s="697"/>
      <c r="AL165" s="697"/>
      <c r="AM165" s="697"/>
      <c r="AN165" s="697"/>
      <c r="AO165" s="697"/>
      <c r="AP165" s="697"/>
      <c r="AQ165" s="697"/>
      <c r="AR165" s="697"/>
      <c r="AS165" s="697"/>
      <c r="AT165" s="697"/>
      <c r="AU165" s="697"/>
      <c r="AV165" s="697"/>
      <c r="AW165" s="697"/>
      <c r="AX165" s="697"/>
      <c r="AY165" s="697"/>
      <c r="AZ165" s="697"/>
      <c r="BA165" s="697"/>
      <c r="BB165" s="697"/>
      <c r="BC165" s="697"/>
      <c r="BD165" s="697"/>
      <c r="BE165" s="697"/>
      <c r="BF165" s="697"/>
      <c r="BG165" s="697"/>
      <c r="BH165" s="697"/>
      <c r="BI165" s="697"/>
      <c r="BJ165" s="697"/>
      <c r="BK165" s="697"/>
      <c r="BL165" s="697"/>
      <c r="BM165" s="697"/>
      <c r="BN165" s="697"/>
      <c r="BO165" s="697"/>
      <c r="BP165" s="697"/>
      <c r="BQ165" s="697"/>
      <c r="BR165" s="697"/>
      <c r="BS165" s="697"/>
      <c r="BT165" s="697"/>
      <c r="BU165" s="697"/>
      <c r="BV165" s="697"/>
      <c r="BW165" s="697"/>
      <c r="BX165" s="697"/>
      <c r="BY165" s="697"/>
      <c r="BZ165" s="697"/>
      <c r="CA165" s="697"/>
      <c r="CB165" s="697"/>
      <c r="CC165" s="697"/>
      <c r="CD165" s="697"/>
      <c r="CE165" s="697"/>
      <c r="CF165" s="697"/>
      <c r="CG165" s="697"/>
      <c r="CH165" s="697"/>
      <c r="CI165" s="697"/>
      <c r="CJ165" s="697"/>
      <c r="CK165" s="697"/>
      <c r="CL165" s="697"/>
      <c r="CM165" s="697"/>
      <c r="CN165" s="697"/>
      <c r="CO165" s="697"/>
      <c r="CP165" s="697"/>
      <c r="CQ165" s="697"/>
      <c r="CR165" s="697"/>
      <c r="CS165" s="697"/>
      <c r="CT165" s="697"/>
      <c r="CU165" s="697"/>
      <c r="CV165" s="697"/>
      <c r="CW165" s="697"/>
      <c r="CX165" s="697"/>
      <c r="CY165" s="697"/>
      <c r="CZ165" s="697"/>
      <c r="DA165" s="697"/>
    </row>
    <row r="166" spans="1:105" hidden="1" outlineLevel="1" x14ac:dyDescent="0.2">
      <c r="A166" s="709">
        <f t="shared" si="41"/>
        <v>37653</v>
      </c>
      <c r="B166" s="709" t="str">
        <f t="shared" si="38"/>
        <v>1Q03</v>
      </c>
      <c r="C166" s="709" t="str">
        <f t="shared" si="42"/>
        <v>2Q03</v>
      </c>
      <c r="D166" s="710">
        <f t="shared" si="48"/>
        <v>37715</v>
      </c>
      <c r="E166" s="710">
        <f t="shared" si="48"/>
        <v>37655</v>
      </c>
      <c r="F166" s="712">
        <v>1.5419999999999998</v>
      </c>
      <c r="G166" s="713">
        <f t="shared" si="39"/>
        <v>0.08</v>
      </c>
      <c r="H166" s="713">
        <f t="shared" si="40"/>
        <v>0.10999999999999999</v>
      </c>
      <c r="I166" s="713"/>
      <c r="J166" s="713"/>
      <c r="K166" s="713"/>
      <c r="L166" s="697"/>
      <c r="M166" s="697"/>
      <c r="N166" s="697"/>
      <c r="O166" s="697"/>
      <c r="P166" s="697"/>
      <c r="Q166" s="697"/>
      <c r="R166" s="697"/>
      <c r="S166" s="697"/>
      <c r="T166" s="697"/>
      <c r="U166" s="697"/>
      <c r="V166" s="697"/>
      <c r="W166" s="697"/>
      <c r="X166" s="697"/>
      <c r="Y166" s="697"/>
      <c r="Z166" s="697"/>
      <c r="AA166" s="697"/>
      <c r="AB166" s="697"/>
      <c r="AC166" s="697"/>
      <c r="AD166" s="697"/>
      <c r="AE166" s="697"/>
      <c r="AF166" s="697"/>
      <c r="AG166" s="697"/>
      <c r="AH166" s="697"/>
      <c r="AI166" s="697"/>
      <c r="AJ166" s="697"/>
      <c r="AK166" s="697"/>
      <c r="AL166" s="697"/>
      <c r="AM166" s="697"/>
      <c r="AN166" s="697"/>
      <c r="AO166" s="697"/>
      <c r="AP166" s="697"/>
      <c r="AQ166" s="697"/>
      <c r="AR166" s="697"/>
      <c r="AS166" s="697"/>
      <c r="AT166" s="697"/>
      <c r="AU166" s="697"/>
      <c r="AV166" s="697"/>
      <c r="AW166" s="697"/>
      <c r="AX166" s="697"/>
      <c r="AY166" s="697"/>
      <c r="AZ166" s="697"/>
      <c r="BA166" s="697"/>
      <c r="BB166" s="697"/>
      <c r="BC166" s="697"/>
      <c r="BD166" s="697"/>
      <c r="BE166" s="697"/>
      <c r="BF166" s="697"/>
      <c r="BG166" s="697"/>
      <c r="BH166" s="697"/>
      <c r="BI166" s="697"/>
      <c r="BJ166" s="697"/>
      <c r="BK166" s="697"/>
      <c r="BL166" s="697"/>
      <c r="BM166" s="697"/>
      <c r="BN166" s="697"/>
      <c r="BO166" s="697"/>
      <c r="BP166" s="697"/>
      <c r="BQ166" s="697"/>
      <c r="BR166" s="697"/>
      <c r="BS166" s="697"/>
      <c r="BT166" s="697"/>
      <c r="BU166" s="697"/>
      <c r="BV166" s="697"/>
      <c r="BW166" s="697"/>
      <c r="BX166" s="697"/>
      <c r="BY166" s="697"/>
      <c r="BZ166" s="697"/>
      <c r="CA166" s="697"/>
      <c r="CB166" s="697"/>
      <c r="CC166" s="697"/>
      <c r="CD166" s="697"/>
      <c r="CE166" s="697"/>
      <c r="CF166" s="697"/>
      <c r="CG166" s="697"/>
      <c r="CH166" s="697"/>
      <c r="CI166" s="697"/>
      <c r="CJ166" s="697"/>
      <c r="CK166" s="697"/>
      <c r="CL166" s="697"/>
      <c r="CM166" s="697"/>
      <c r="CN166" s="697"/>
      <c r="CO166" s="697"/>
      <c r="CP166" s="697"/>
      <c r="CQ166" s="697"/>
      <c r="CR166" s="697"/>
      <c r="CS166" s="697"/>
      <c r="CT166" s="697"/>
      <c r="CU166" s="697"/>
      <c r="CV166" s="697"/>
      <c r="CW166" s="697"/>
      <c r="CX166" s="697"/>
      <c r="CY166" s="697"/>
      <c r="CZ166" s="697"/>
      <c r="DA166" s="697"/>
    </row>
    <row r="167" spans="1:105" hidden="1" outlineLevel="1" x14ac:dyDescent="0.2">
      <c r="A167" s="709">
        <f t="shared" si="41"/>
        <v>37653</v>
      </c>
      <c r="B167" s="709" t="str">
        <f t="shared" si="38"/>
        <v>1Q03</v>
      </c>
      <c r="C167" s="709" t="str">
        <f t="shared" si="42"/>
        <v>2Q03</v>
      </c>
      <c r="D167" s="710">
        <f t="shared" si="48"/>
        <v>37722</v>
      </c>
      <c r="E167" s="710">
        <f t="shared" si="48"/>
        <v>37662</v>
      </c>
      <c r="F167" s="712">
        <v>1.6619999999999999</v>
      </c>
      <c r="G167" s="713">
        <f t="shared" si="39"/>
        <v>0.10999999999999999</v>
      </c>
      <c r="H167" s="713">
        <f t="shared" si="40"/>
        <v>0.11999999999999998</v>
      </c>
      <c r="I167" s="713"/>
      <c r="J167" s="713"/>
      <c r="K167" s="713"/>
      <c r="L167" s="697"/>
      <c r="M167" s="697"/>
      <c r="N167" s="697"/>
      <c r="O167" s="697"/>
      <c r="P167" s="697"/>
      <c r="Q167" s="697"/>
      <c r="R167" s="697"/>
      <c r="S167" s="697"/>
      <c r="T167" s="697"/>
      <c r="U167" s="697"/>
      <c r="V167" s="697"/>
      <c r="W167" s="697"/>
      <c r="X167" s="697"/>
      <c r="Y167" s="697"/>
      <c r="Z167" s="697"/>
      <c r="AA167" s="697"/>
      <c r="AB167" s="697"/>
      <c r="AC167" s="697"/>
      <c r="AD167" s="697"/>
      <c r="AE167" s="697"/>
      <c r="AF167" s="697"/>
      <c r="AG167" s="697"/>
      <c r="AH167" s="697"/>
      <c r="AI167" s="697"/>
      <c r="AJ167" s="697"/>
      <c r="AK167" s="697"/>
      <c r="AL167" s="697"/>
      <c r="AM167" s="697"/>
      <c r="AN167" s="697"/>
      <c r="AO167" s="697"/>
      <c r="AP167" s="697"/>
      <c r="AQ167" s="697"/>
      <c r="AR167" s="697"/>
      <c r="AS167" s="697"/>
      <c r="AT167" s="697"/>
      <c r="AU167" s="697"/>
      <c r="AV167" s="697"/>
      <c r="AW167" s="697"/>
      <c r="AX167" s="697"/>
      <c r="AY167" s="697"/>
      <c r="AZ167" s="697"/>
      <c r="BA167" s="697"/>
      <c r="BB167" s="697"/>
      <c r="BC167" s="697"/>
      <c r="BD167" s="697"/>
      <c r="BE167" s="697"/>
      <c r="BF167" s="697"/>
      <c r="BG167" s="697"/>
      <c r="BH167" s="697"/>
      <c r="BI167" s="697"/>
      <c r="BJ167" s="697"/>
      <c r="BK167" s="697"/>
      <c r="BL167" s="697"/>
      <c r="BM167" s="697"/>
      <c r="BN167" s="697"/>
      <c r="BO167" s="697"/>
      <c r="BP167" s="697"/>
      <c r="BQ167" s="697"/>
      <c r="BR167" s="697"/>
      <c r="BS167" s="697"/>
      <c r="BT167" s="697"/>
      <c r="BU167" s="697"/>
      <c r="BV167" s="697"/>
      <c r="BW167" s="697"/>
      <c r="BX167" s="697"/>
      <c r="BY167" s="697"/>
      <c r="BZ167" s="697"/>
      <c r="CA167" s="697"/>
      <c r="CB167" s="697"/>
      <c r="CC167" s="697"/>
      <c r="CD167" s="697"/>
      <c r="CE167" s="697"/>
      <c r="CF167" s="697"/>
      <c r="CG167" s="697"/>
      <c r="CH167" s="697"/>
      <c r="CI167" s="697"/>
      <c r="CJ167" s="697"/>
      <c r="CK167" s="697"/>
      <c r="CL167" s="697"/>
      <c r="CM167" s="697"/>
      <c r="CN167" s="697"/>
      <c r="CO167" s="697"/>
      <c r="CP167" s="697"/>
      <c r="CQ167" s="697"/>
      <c r="CR167" s="697"/>
      <c r="CS167" s="697"/>
      <c r="CT167" s="697"/>
      <c r="CU167" s="697"/>
      <c r="CV167" s="697"/>
      <c r="CW167" s="697"/>
      <c r="CX167" s="697"/>
      <c r="CY167" s="697"/>
      <c r="CZ167" s="697"/>
      <c r="DA167" s="697"/>
    </row>
    <row r="168" spans="1:105" hidden="1" outlineLevel="1" x14ac:dyDescent="0.2">
      <c r="A168" s="709">
        <f t="shared" si="41"/>
        <v>37653</v>
      </c>
      <c r="B168" s="709" t="str">
        <f t="shared" si="38"/>
        <v>1Q03</v>
      </c>
      <c r="C168" s="709" t="str">
        <f t="shared" si="42"/>
        <v>2Q03</v>
      </c>
      <c r="D168" s="710">
        <f t="shared" si="48"/>
        <v>37729</v>
      </c>
      <c r="E168" s="710">
        <f t="shared" si="48"/>
        <v>37669</v>
      </c>
      <c r="F168" s="712">
        <v>1.704</v>
      </c>
      <c r="G168" s="713">
        <f t="shared" si="39"/>
        <v>0.11999999999999998</v>
      </c>
      <c r="H168" s="713">
        <f t="shared" si="40"/>
        <v>0.11999999999999998</v>
      </c>
      <c r="I168" s="713"/>
      <c r="J168" s="713"/>
      <c r="K168" s="713"/>
      <c r="L168" s="697"/>
      <c r="M168" s="697"/>
      <c r="N168" s="697"/>
      <c r="O168" s="697"/>
      <c r="P168" s="697"/>
      <c r="Q168" s="697"/>
      <c r="R168" s="697"/>
      <c r="S168" s="697"/>
      <c r="T168" s="697"/>
      <c r="U168" s="697"/>
      <c r="V168" s="697"/>
      <c r="W168" s="697"/>
      <c r="X168" s="697"/>
      <c r="Y168" s="697"/>
      <c r="Z168" s="697"/>
      <c r="AA168" s="697"/>
      <c r="AB168" s="697"/>
      <c r="AC168" s="697"/>
      <c r="AD168" s="697"/>
      <c r="AE168" s="697"/>
      <c r="AF168" s="697"/>
      <c r="AG168" s="697"/>
      <c r="AH168" s="697"/>
      <c r="AI168" s="697"/>
      <c r="AJ168" s="697"/>
      <c r="AK168" s="697"/>
      <c r="AL168" s="697"/>
      <c r="AM168" s="697"/>
      <c r="AN168" s="697"/>
      <c r="AO168" s="697"/>
      <c r="AP168" s="697"/>
      <c r="AQ168" s="697"/>
      <c r="AR168" s="697"/>
      <c r="AS168" s="697"/>
      <c r="AT168" s="697"/>
      <c r="AU168" s="697"/>
      <c r="AV168" s="697"/>
      <c r="AW168" s="697"/>
      <c r="AX168" s="697"/>
      <c r="AY168" s="697"/>
      <c r="AZ168" s="697"/>
      <c r="BA168" s="697"/>
      <c r="BB168" s="697"/>
      <c r="BC168" s="697"/>
      <c r="BD168" s="697"/>
      <c r="BE168" s="697"/>
      <c r="BF168" s="697"/>
      <c r="BG168" s="697"/>
      <c r="BH168" s="697"/>
      <c r="BI168" s="697"/>
      <c r="BJ168" s="697"/>
      <c r="BK168" s="697"/>
      <c r="BL168" s="697"/>
      <c r="BM168" s="697"/>
      <c r="BN168" s="697"/>
      <c r="BO168" s="697"/>
      <c r="BP168" s="697"/>
      <c r="BQ168" s="697"/>
      <c r="BR168" s="697"/>
      <c r="BS168" s="697"/>
      <c r="BT168" s="697"/>
      <c r="BU168" s="697"/>
      <c r="BV168" s="697"/>
      <c r="BW168" s="697"/>
      <c r="BX168" s="697"/>
      <c r="BY168" s="697"/>
      <c r="BZ168" s="697"/>
      <c r="CA168" s="697"/>
      <c r="CB168" s="697"/>
      <c r="CC168" s="697"/>
      <c r="CD168" s="697"/>
      <c r="CE168" s="697"/>
      <c r="CF168" s="697"/>
      <c r="CG168" s="697"/>
      <c r="CH168" s="697"/>
      <c r="CI168" s="697"/>
      <c r="CJ168" s="697"/>
      <c r="CK168" s="697"/>
      <c r="CL168" s="697"/>
      <c r="CM168" s="697"/>
      <c r="CN168" s="697"/>
      <c r="CO168" s="697"/>
      <c r="CP168" s="697"/>
      <c r="CQ168" s="697"/>
      <c r="CR168" s="697"/>
      <c r="CS168" s="697"/>
      <c r="CT168" s="697"/>
      <c r="CU168" s="697"/>
      <c r="CV168" s="697"/>
      <c r="CW168" s="697"/>
      <c r="CX168" s="697"/>
      <c r="CY168" s="697"/>
      <c r="CZ168" s="697"/>
      <c r="DA168" s="697"/>
    </row>
    <row r="169" spans="1:105" hidden="1" outlineLevel="1" x14ac:dyDescent="0.2">
      <c r="A169" s="709">
        <f t="shared" si="41"/>
        <v>37653</v>
      </c>
      <c r="B169" s="709" t="str">
        <f t="shared" si="38"/>
        <v>1Q03</v>
      </c>
      <c r="C169" s="709" t="str">
        <f t="shared" si="42"/>
        <v>2Q03</v>
      </c>
      <c r="D169" s="710">
        <f t="shared" si="48"/>
        <v>37736</v>
      </c>
      <c r="E169" s="710">
        <f t="shared" si="48"/>
        <v>37676</v>
      </c>
      <c r="F169" s="712">
        <v>1.7090000000000001</v>
      </c>
      <c r="G169" s="713">
        <f t="shared" si="39"/>
        <v>0.11999999999999998</v>
      </c>
      <c r="H169" s="713">
        <f t="shared" si="40"/>
        <v>0.12999999999999998</v>
      </c>
      <c r="I169" s="713"/>
      <c r="J169" s="713"/>
      <c r="K169" s="713"/>
      <c r="L169" s="697"/>
      <c r="M169" s="697"/>
      <c r="N169" s="697"/>
      <c r="O169" s="697"/>
      <c r="P169" s="697"/>
      <c r="Q169" s="697"/>
      <c r="R169" s="697"/>
      <c r="S169" s="697"/>
      <c r="T169" s="697"/>
      <c r="U169" s="697"/>
      <c r="V169" s="697"/>
      <c r="W169" s="697"/>
      <c r="X169" s="697"/>
      <c r="Y169" s="697"/>
      <c r="Z169" s="697"/>
      <c r="AA169" s="697"/>
      <c r="AB169" s="697"/>
      <c r="AC169" s="697"/>
      <c r="AD169" s="697"/>
      <c r="AE169" s="697"/>
      <c r="AF169" s="697"/>
      <c r="AG169" s="697"/>
      <c r="AH169" s="697"/>
      <c r="AI169" s="697"/>
      <c r="AJ169" s="697"/>
      <c r="AK169" s="697"/>
      <c r="AL169" s="697"/>
      <c r="AM169" s="697"/>
      <c r="AN169" s="697"/>
      <c r="AO169" s="697"/>
      <c r="AP169" s="697"/>
      <c r="AQ169" s="697"/>
      <c r="AR169" s="697"/>
      <c r="AS169" s="697"/>
      <c r="AT169" s="697"/>
      <c r="AU169" s="697"/>
      <c r="AV169" s="697"/>
      <c r="AW169" s="697"/>
      <c r="AX169" s="697"/>
      <c r="AY169" s="697"/>
      <c r="AZ169" s="697"/>
      <c r="BA169" s="697"/>
      <c r="BB169" s="697"/>
      <c r="BC169" s="697"/>
      <c r="BD169" s="697"/>
      <c r="BE169" s="697"/>
      <c r="BF169" s="697"/>
      <c r="BG169" s="697"/>
      <c r="BH169" s="697"/>
      <c r="BI169" s="697"/>
      <c r="BJ169" s="697"/>
      <c r="BK169" s="697"/>
      <c r="BL169" s="697"/>
      <c r="BM169" s="697"/>
      <c r="BN169" s="697"/>
      <c r="BO169" s="697"/>
      <c r="BP169" s="697"/>
      <c r="BQ169" s="697"/>
      <c r="BR169" s="697"/>
      <c r="BS169" s="697"/>
      <c r="BT169" s="697"/>
      <c r="BU169" s="697"/>
      <c r="BV169" s="697"/>
      <c r="BW169" s="697"/>
      <c r="BX169" s="697"/>
      <c r="BY169" s="697"/>
      <c r="BZ169" s="697"/>
      <c r="CA169" s="697"/>
      <c r="CB169" s="697"/>
      <c r="CC169" s="697"/>
      <c r="CD169" s="697"/>
      <c r="CE169" s="697"/>
      <c r="CF169" s="697"/>
      <c r="CG169" s="697"/>
      <c r="CH169" s="697"/>
      <c r="CI169" s="697"/>
      <c r="CJ169" s="697"/>
      <c r="CK169" s="697"/>
      <c r="CL169" s="697"/>
      <c r="CM169" s="697"/>
      <c r="CN169" s="697"/>
      <c r="CO169" s="697"/>
      <c r="CP169" s="697"/>
      <c r="CQ169" s="697"/>
      <c r="CR169" s="697"/>
      <c r="CS169" s="697"/>
      <c r="CT169" s="697"/>
      <c r="CU169" s="697"/>
      <c r="CV169" s="697"/>
      <c r="CW169" s="697"/>
      <c r="CX169" s="697"/>
      <c r="CY169" s="697"/>
      <c r="CZ169" s="697"/>
      <c r="DA169" s="697"/>
    </row>
    <row r="170" spans="1:105" hidden="1" outlineLevel="1" x14ac:dyDescent="0.2">
      <c r="A170" s="709">
        <f t="shared" si="41"/>
        <v>37681</v>
      </c>
      <c r="B170" s="709" t="str">
        <f t="shared" si="38"/>
        <v>1Q03</v>
      </c>
      <c r="C170" s="709" t="str">
        <f t="shared" si="42"/>
        <v>2Q03</v>
      </c>
      <c r="D170" s="710">
        <f t="shared" si="48"/>
        <v>37743</v>
      </c>
      <c r="E170" s="710">
        <f t="shared" si="48"/>
        <v>37683</v>
      </c>
      <c r="F170" s="712">
        <v>1.7530000000000001</v>
      </c>
      <c r="G170" s="713">
        <f t="shared" si="39"/>
        <v>0.12999999999999998</v>
      </c>
      <c r="H170" s="713">
        <f t="shared" si="40"/>
        <v>0.12999999999999998</v>
      </c>
      <c r="I170" s="713"/>
      <c r="J170" s="713"/>
      <c r="K170" s="713"/>
      <c r="L170" s="697"/>
      <c r="M170" s="697"/>
      <c r="N170" s="697"/>
      <c r="O170" s="697"/>
      <c r="P170" s="697"/>
      <c r="Q170" s="697"/>
      <c r="R170" s="697"/>
      <c r="S170" s="697"/>
      <c r="T170" s="697"/>
      <c r="U170" s="697"/>
      <c r="V170" s="697"/>
      <c r="W170" s="697"/>
      <c r="X170" s="697"/>
      <c r="Y170" s="697"/>
      <c r="Z170" s="697"/>
      <c r="AA170" s="697"/>
      <c r="AB170" s="697"/>
      <c r="AC170" s="697"/>
      <c r="AD170" s="697"/>
      <c r="AE170" s="697"/>
      <c r="AF170" s="697"/>
      <c r="AG170" s="697"/>
      <c r="AH170" s="697"/>
      <c r="AI170" s="697"/>
      <c r="AJ170" s="697"/>
      <c r="AK170" s="697"/>
      <c r="AL170" s="697"/>
      <c r="AM170" s="697"/>
      <c r="AN170" s="697"/>
      <c r="AO170" s="697"/>
      <c r="AP170" s="697"/>
      <c r="AQ170" s="697"/>
      <c r="AR170" s="697"/>
      <c r="AS170" s="697"/>
      <c r="AT170" s="697"/>
      <c r="AU170" s="697"/>
      <c r="AV170" s="697"/>
      <c r="AW170" s="697"/>
      <c r="AX170" s="697"/>
      <c r="AY170" s="697"/>
      <c r="AZ170" s="697"/>
      <c r="BA170" s="697"/>
      <c r="BB170" s="697"/>
      <c r="BC170" s="697"/>
      <c r="BD170" s="697"/>
      <c r="BE170" s="697"/>
      <c r="BF170" s="697"/>
      <c r="BG170" s="697"/>
      <c r="BH170" s="697"/>
      <c r="BI170" s="697"/>
      <c r="BJ170" s="697"/>
      <c r="BK170" s="697"/>
      <c r="BL170" s="697"/>
      <c r="BM170" s="697"/>
      <c r="BN170" s="697"/>
      <c r="BO170" s="697"/>
      <c r="BP170" s="697"/>
      <c r="BQ170" s="697"/>
      <c r="BR170" s="697"/>
      <c r="BS170" s="697"/>
      <c r="BT170" s="697"/>
      <c r="BU170" s="697"/>
      <c r="BV170" s="697"/>
      <c r="BW170" s="697"/>
      <c r="BX170" s="697"/>
      <c r="BY170" s="697"/>
      <c r="BZ170" s="697"/>
      <c r="CA170" s="697"/>
      <c r="CB170" s="697"/>
      <c r="CC170" s="697"/>
      <c r="CD170" s="697"/>
      <c r="CE170" s="697"/>
      <c r="CF170" s="697"/>
      <c r="CG170" s="697"/>
      <c r="CH170" s="697"/>
      <c r="CI170" s="697"/>
      <c r="CJ170" s="697"/>
      <c r="CK170" s="697"/>
      <c r="CL170" s="697"/>
      <c r="CM170" s="697"/>
      <c r="CN170" s="697"/>
      <c r="CO170" s="697"/>
      <c r="CP170" s="697"/>
      <c r="CQ170" s="697"/>
      <c r="CR170" s="697"/>
      <c r="CS170" s="697"/>
      <c r="CT170" s="697"/>
      <c r="CU170" s="697"/>
      <c r="CV170" s="697"/>
      <c r="CW170" s="697"/>
      <c r="CX170" s="697"/>
      <c r="CY170" s="697"/>
      <c r="CZ170" s="697"/>
      <c r="DA170" s="697"/>
    </row>
    <row r="171" spans="1:105" hidden="1" outlineLevel="1" x14ac:dyDescent="0.2">
      <c r="A171" s="709">
        <f t="shared" si="41"/>
        <v>37681</v>
      </c>
      <c r="B171" s="709" t="str">
        <f t="shared" si="38"/>
        <v>1Q03</v>
      </c>
      <c r="C171" s="709" t="str">
        <f t="shared" si="42"/>
        <v>2Q03</v>
      </c>
      <c r="D171" s="710">
        <f t="shared" si="48"/>
        <v>37750</v>
      </c>
      <c r="E171" s="710">
        <f t="shared" si="48"/>
        <v>37690</v>
      </c>
      <c r="F171" s="712">
        <v>1.7709999999999999</v>
      </c>
      <c r="G171" s="713">
        <f t="shared" si="39"/>
        <v>0.12999999999999998</v>
      </c>
      <c r="H171" s="713">
        <f t="shared" si="40"/>
        <v>0.12999999999999998</v>
      </c>
      <c r="I171" s="713"/>
      <c r="J171" s="713"/>
      <c r="K171" s="713"/>
      <c r="L171" s="697"/>
      <c r="M171" s="697"/>
      <c r="N171" s="697"/>
      <c r="O171" s="697"/>
      <c r="P171" s="697"/>
      <c r="Q171" s="697"/>
      <c r="R171" s="697"/>
      <c r="S171" s="697"/>
      <c r="T171" s="697"/>
      <c r="U171" s="697"/>
      <c r="V171" s="697"/>
      <c r="W171" s="697"/>
      <c r="X171" s="697"/>
      <c r="Y171" s="697"/>
      <c r="Z171" s="697"/>
      <c r="AA171" s="697"/>
      <c r="AB171" s="697"/>
      <c r="AC171" s="697"/>
      <c r="AD171" s="697"/>
      <c r="AE171" s="697"/>
      <c r="AF171" s="697"/>
      <c r="AG171" s="697"/>
      <c r="AH171" s="697"/>
      <c r="AI171" s="697"/>
      <c r="AJ171" s="697"/>
      <c r="AK171" s="697"/>
      <c r="AL171" s="697"/>
      <c r="AM171" s="697"/>
      <c r="AN171" s="697"/>
      <c r="AO171" s="697"/>
      <c r="AP171" s="697"/>
      <c r="AQ171" s="697"/>
      <c r="AR171" s="697"/>
      <c r="AS171" s="697"/>
      <c r="AT171" s="697"/>
      <c r="AU171" s="697"/>
      <c r="AV171" s="697"/>
      <c r="AW171" s="697"/>
      <c r="AX171" s="697"/>
      <c r="AY171" s="697"/>
      <c r="AZ171" s="697"/>
      <c r="BA171" s="697"/>
      <c r="BB171" s="697"/>
      <c r="BC171" s="697"/>
      <c r="BD171" s="697"/>
      <c r="BE171" s="697"/>
      <c r="BF171" s="697"/>
      <c r="BG171" s="697"/>
      <c r="BH171" s="697"/>
      <c r="BI171" s="697"/>
      <c r="BJ171" s="697"/>
      <c r="BK171" s="697"/>
      <c r="BL171" s="697"/>
      <c r="BM171" s="697"/>
      <c r="BN171" s="697"/>
      <c r="BO171" s="697"/>
      <c r="BP171" s="697"/>
      <c r="BQ171" s="697"/>
      <c r="BR171" s="697"/>
      <c r="BS171" s="697"/>
      <c r="BT171" s="697"/>
      <c r="BU171" s="697"/>
      <c r="BV171" s="697"/>
      <c r="BW171" s="697"/>
      <c r="BX171" s="697"/>
      <c r="BY171" s="697"/>
      <c r="BZ171" s="697"/>
      <c r="CA171" s="697"/>
      <c r="CB171" s="697"/>
      <c r="CC171" s="697"/>
      <c r="CD171" s="697"/>
      <c r="CE171" s="697"/>
      <c r="CF171" s="697"/>
      <c r="CG171" s="697"/>
      <c r="CH171" s="697"/>
      <c r="CI171" s="697"/>
      <c r="CJ171" s="697"/>
      <c r="CK171" s="697"/>
      <c r="CL171" s="697"/>
      <c r="CM171" s="697"/>
      <c r="CN171" s="697"/>
      <c r="CO171" s="697"/>
      <c r="CP171" s="697"/>
      <c r="CQ171" s="697"/>
      <c r="CR171" s="697"/>
      <c r="CS171" s="697"/>
      <c r="CT171" s="697"/>
      <c r="CU171" s="697"/>
      <c r="CV171" s="697"/>
      <c r="CW171" s="697"/>
      <c r="CX171" s="697"/>
      <c r="CY171" s="697"/>
      <c r="CZ171" s="697"/>
      <c r="DA171" s="697"/>
    </row>
    <row r="172" spans="1:105" hidden="1" outlineLevel="1" x14ac:dyDescent="0.2">
      <c r="A172" s="709">
        <f t="shared" si="41"/>
        <v>37681</v>
      </c>
      <c r="B172" s="709" t="str">
        <f t="shared" si="38"/>
        <v>1Q03</v>
      </c>
      <c r="C172" s="709" t="str">
        <f t="shared" si="42"/>
        <v>2Q03</v>
      </c>
      <c r="D172" s="710">
        <f t="shared" si="48"/>
        <v>37757</v>
      </c>
      <c r="E172" s="710">
        <f t="shared" si="48"/>
        <v>37697</v>
      </c>
      <c r="F172" s="712">
        <v>1.7519999999999998</v>
      </c>
      <c r="G172" s="713">
        <f t="shared" si="39"/>
        <v>0.12999999999999998</v>
      </c>
      <c r="H172" s="713">
        <f t="shared" si="40"/>
        <v>0.10999999999999999</v>
      </c>
      <c r="I172" s="713"/>
      <c r="J172" s="713"/>
      <c r="K172" s="713"/>
      <c r="L172" s="697"/>
      <c r="M172" s="697"/>
      <c r="N172" s="697"/>
      <c r="O172" s="697"/>
      <c r="P172" s="697"/>
      <c r="Q172" s="697"/>
      <c r="R172" s="697"/>
      <c r="S172" s="697"/>
      <c r="T172" s="697"/>
      <c r="U172" s="697"/>
      <c r="V172" s="697"/>
      <c r="W172" s="697"/>
      <c r="X172" s="697"/>
      <c r="Y172" s="697"/>
      <c r="Z172" s="697"/>
      <c r="AA172" s="697"/>
      <c r="AB172" s="697"/>
      <c r="AC172" s="697"/>
      <c r="AD172" s="697"/>
      <c r="AE172" s="697"/>
      <c r="AF172" s="697"/>
      <c r="AG172" s="697"/>
      <c r="AH172" s="697"/>
      <c r="AI172" s="697"/>
      <c r="AJ172" s="697"/>
      <c r="AK172" s="697"/>
      <c r="AL172" s="697"/>
      <c r="AM172" s="697"/>
      <c r="AN172" s="697"/>
      <c r="AO172" s="697"/>
      <c r="AP172" s="697"/>
      <c r="AQ172" s="697"/>
      <c r="AR172" s="697"/>
      <c r="AS172" s="697"/>
      <c r="AT172" s="697"/>
      <c r="AU172" s="697"/>
      <c r="AV172" s="697"/>
      <c r="AW172" s="697"/>
      <c r="AX172" s="697"/>
      <c r="AY172" s="697"/>
      <c r="AZ172" s="697"/>
      <c r="BA172" s="697"/>
      <c r="BB172" s="697"/>
      <c r="BC172" s="697"/>
      <c r="BD172" s="697"/>
      <c r="BE172" s="697"/>
      <c r="BF172" s="697"/>
      <c r="BG172" s="697"/>
      <c r="BH172" s="697"/>
      <c r="BI172" s="697"/>
      <c r="BJ172" s="697"/>
      <c r="BK172" s="697"/>
      <c r="BL172" s="697"/>
      <c r="BM172" s="697"/>
      <c r="BN172" s="697"/>
      <c r="BO172" s="697"/>
      <c r="BP172" s="697"/>
      <c r="BQ172" s="697"/>
      <c r="BR172" s="697"/>
      <c r="BS172" s="697"/>
      <c r="BT172" s="697"/>
      <c r="BU172" s="697"/>
      <c r="BV172" s="697"/>
      <c r="BW172" s="697"/>
      <c r="BX172" s="697"/>
      <c r="BY172" s="697"/>
      <c r="BZ172" s="697"/>
      <c r="CA172" s="697"/>
      <c r="CB172" s="697"/>
      <c r="CC172" s="697"/>
      <c r="CD172" s="697"/>
      <c r="CE172" s="697"/>
      <c r="CF172" s="697"/>
      <c r="CG172" s="697"/>
      <c r="CH172" s="697"/>
      <c r="CI172" s="697"/>
      <c r="CJ172" s="697"/>
      <c r="CK172" s="697"/>
      <c r="CL172" s="697"/>
      <c r="CM172" s="697"/>
      <c r="CN172" s="697"/>
      <c r="CO172" s="697"/>
      <c r="CP172" s="697"/>
      <c r="CQ172" s="697"/>
      <c r="CR172" s="697"/>
      <c r="CS172" s="697"/>
      <c r="CT172" s="697"/>
      <c r="CU172" s="697"/>
      <c r="CV172" s="697"/>
      <c r="CW172" s="697"/>
      <c r="CX172" s="697"/>
      <c r="CY172" s="697"/>
      <c r="CZ172" s="697"/>
      <c r="DA172" s="697"/>
    </row>
    <row r="173" spans="1:105" hidden="1" outlineLevel="1" x14ac:dyDescent="0.2">
      <c r="A173" s="709">
        <f t="shared" si="41"/>
        <v>37681</v>
      </c>
      <c r="B173" s="709" t="str">
        <f t="shared" si="38"/>
        <v>1Q03</v>
      </c>
      <c r="C173" s="709" t="str">
        <f t="shared" si="42"/>
        <v>2Q03</v>
      </c>
      <c r="D173" s="710">
        <f t="shared" si="48"/>
        <v>37764</v>
      </c>
      <c r="E173" s="710">
        <f t="shared" si="48"/>
        <v>37704</v>
      </c>
      <c r="F173" s="712">
        <v>1.6619999999999999</v>
      </c>
      <c r="G173" s="713">
        <f t="shared" si="39"/>
        <v>0.10999999999999999</v>
      </c>
      <c r="H173" s="713">
        <f t="shared" si="40"/>
        <v>9.9999999999999992E-2</v>
      </c>
      <c r="I173" s="713"/>
      <c r="J173" s="713"/>
      <c r="K173" s="713"/>
      <c r="L173" s="697"/>
      <c r="M173" s="697"/>
      <c r="N173" s="697"/>
      <c r="O173" s="697"/>
      <c r="P173" s="697"/>
      <c r="Q173" s="697"/>
      <c r="R173" s="697"/>
      <c r="S173" s="697"/>
      <c r="T173" s="697"/>
      <c r="U173" s="697"/>
      <c r="V173" s="697"/>
      <c r="W173" s="697"/>
      <c r="X173" s="697"/>
      <c r="Y173" s="697"/>
      <c r="Z173" s="697"/>
      <c r="AA173" s="697"/>
      <c r="AB173" s="697"/>
      <c r="AC173" s="697"/>
      <c r="AD173" s="697"/>
      <c r="AE173" s="697"/>
      <c r="AF173" s="697"/>
      <c r="AG173" s="697"/>
      <c r="AH173" s="697"/>
      <c r="AI173" s="697"/>
      <c r="AJ173" s="697"/>
      <c r="AK173" s="697"/>
      <c r="AL173" s="697"/>
      <c r="AM173" s="697"/>
      <c r="AN173" s="697"/>
      <c r="AO173" s="697"/>
      <c r="AP173" s="697"/>
      <c r="AQ173" s="697"/>
      <c r="AR173" s="697"/>
      <c r="AS173" s="697"/>
      <c r="AT173" s="697"/>
      <c r="AU173" s="697"/>
      <c r="AV173" s="697"/>
      <c r="AW173" s="697"/>
      <c r="AX173" s="697"/>
      <c r="AY173" s="697"/>
      <c r="AZ173" s="697"/>
      <c r="BA173" s="697"/>
      <c r="BB173" s="697"/>
      <c r="BC173" s="697"/>
      <c r="BD173" s="697"/>
      <c r="BE173" s="697"/>
      <c r="BF173" s="697"/>
      <c r="BG173" s="697"/>
      <c r="BH173" s="697"/>
      <c r="BI173" s="697"/>
      <c r="BJ173" s="697"/>
      <c r="BK173" s="697"/>
      <c r="BL173" s="697"/>
      <c r="BM173" s="697"/>
      <c r="BN173" s="697"/>
      <c r="BO173" s="697"/>
      <c r="BP173" s="697"/>
      <c r="BQ173" s="697"/>
      <c r="BR173" s="697"/>
      <c r="BS173" s="697"/>
      <c r="BT173" s="697"/>
      <c r="BU173" s="697"/>
      <c r="BV173" s="697"/>
      <c r="BW173" s="697"/>
      <c r="BX173" s="697"/>
      <c r="BY173" s="697"/>
      <c r="BZ173" s="697"/>
      <c r="CA173" s="697"/>
      <c r="CB173" s="697"/>
      <c r="CC173" s="697"/>
      <c r="CD173" s="697"/>
      <c r="CE173" s="697"/>
      <c r="CF173" s="697"/>
      <c r="CG173" s="697"/>
      <c r="CH173" s="697"/>
      <c r="CI173" s="697"/>
      <c r="CJ173" s="697"/>
      <c r="CK173" s="697"/>
      <c r="CL173" s="697"/>
      <c r="CM173" s="697"/>
      <c r="CN173" s="697"/>
      <c r="CO173" s="697"/>
      <c r="CP173" s="697"/>
      <c r="CQ173" s="697"/>
      <c r="CR173" s="697"/>
      <c r="CS173" s="697"/>
      <c r="CT173" s="697"/>
      <c r="CU173" s="697"/>
      <c r="CV173" s="697"/>
      <c r="CW173" s="697"/>
      <c r="CX173" s="697"/>
      <c r="CY173" s="697"/>
      <c r="CZ173" s="697"/>
      <c r="DA173" s="697"/>
    </row>
    <row r="174" spans="1:105" hidden="1" outlineLevel="1" x14ac:dyDescent="0.2">
      <c r="A174" s="709">
        <f t="shared" si="41"/>
        <v>37681</v>
      </c>
      <c r="B174" s="709" t="str">
        <f t="shared" si="38"/>
        <v>1Q03</v>
      </c>
      <c r="C174" s="709" t="str">
        <f t="shared" si="42"/>
        <v>2Q03</v>
      </c>
      <c r="D174" s="710">
        <f t="shared" si="48"/>
        <v>37771</v>
      </c>
      <c r="E174" s="710">
        <f t="shared" si="48"/>
        <v>37711</v>
      </c>
      <c r="F174" s="712">
        <v>1.6019999999999999</v>
      </c>
      <c r="G174" s="713">
        <f t="shared" si="39"/>
        <v>9.9999999999999992E-2</v>
      </c>
      <c r="H174" s="713">
        <f t="shared" si="40"/>
        <v>0.09</v>
      </c>
      <c r="I174" s="713"/>
      <c r="J174" s="713"/>
      <c r="K174" s="713"/>
      <c r="L174" s="697"/>
      <c r="M174" s="697"/>
      <c r="N174" s="697"/>
      <c r="O174" s="697"/>
      <c r="P174" s="697"/>
      <c r="Q174" s="697"/>
      <c r="R174" s="697"/>
      <c r="S174" s="697"/>
      <c r="T174" s="697"/>
      <c r="U174" s="697"/>
      <c r="V174" s="697"/>
      <c r="W174" s="697"/>
      <c r="X174" s="697"/>
      <c r="Y174" s="697"/>
      <c r="Z174" s="697"/>
      <c r="AA174" s="697"/>
      <c r="AB174" s="697"/>
      <c r="AC174" s="697"/>
      <c r="AD174" s="697"/>
      <c r="AE174" s="697"/>
      <c r="AF174" s="697"/>
      <c r="AG174" s="697"/>
      <c r="AH174" s="697"/>
      <c r="AI174" s="697"/>
      <c r="AJ174" s="697"/>
      <c r="AK174" s="697"/>
      <c r="AL174" s="697"/>
      <c r="AM174" s="697"/>
      <c r="AN174" s="697"/>
      <c r="AO174" s="697"/>
      <c r="AP174" s="697"/>
      <c r="AQ174" s="697"/>
      <c r="AR174" s="697"/>
      <c r="AS174" s="697"/>
      <c r="AT174" s="697"/>
      <c r="AU174" s="697"/>
      <c r="AV174" s="697"/>
      <c r="AW174" s="697"/>
      <c r="AX174" s="697"/>
      <c r="AY174" s="697"/>
      <c r="AZ174" s="697"/>
      <c r="BA174" s="697"/>
      <c r="BB174" s="697"/>
      <c r="BC174" s="697"/>
      <c r="BD174" s="697"/>
      <c r="BE174" s="697"/>
      <c r="BF174" s="697"/>
      <c r="BG174" s="697"/>
      <c r="BH174" s="697"/>
      <c r="BI174" s="697"/>
      <c r="BJ174" s="697"/>
      <c r="BK174" s="697"/>
      <c r="BL174" s="697"/>
      <c r="BM174" s="697"/>
      <c r="BN174" s="697"/>
      <c r="BO174" s="697"/>
      <c r="BP174" s="697"/>
      <c r="BQ174" s="697"/>
      <c r="BR174" s="697"/>
      <c r="BS174" s="697"/>
      <c r="BT174" s="697"/>
      <c r="BU174" s="697"/>
      <c r="BV174" s="697"/>
      <c r="BW174" s="697"/>
      <c r="BX174" s="697"/>
      <c r="BY174" s="697"/>
      <c r="BZ174" s="697"/>
      <c r="CA174" s="697"/>
      <c r="CB174" s="697"/>
      <c r="CC174" s="697"/>
      <c r="CD174" s="697"/>
      <c r="CE174" s="697"/>
      <c r="CF174" s="697"/>
      <c r="CG174" s="697"/>
      <c r="CH174" s="697"/>
      <c r="CI174" s="697"/>
      <c r="CJ174" s="697"/>
      <c r="CK174" s="697"/>
      <c r="CL174" s="697"/>
      <c r="CM174" s="697"/>
      <c r="CN174" s="697"/>
      <c r="CO174" s="697"/>
      <c r="CP174" s="697"/>
      <c r="CQ174" s="697"/>
      <c r="CR174" s="697"/>
      <c r="CS174" s="697"/>
      <c r="CT174" s="697"/>
      <c r="CU174" s="697"/>
      <c r="CV174" s="697"/>
      <c r="CW174" s="697"/>
      <c r="CX174" s="697"/>
      <c r="CY174" s="697"/>
      <c r="CZ174" s="697"/>
      <c r="DA174" s="697"/>
    </row>
    <row r="175" spans="1:105" hidden="1" outlineLevel="1" x14ac:dyDescent="0.2">
      <c r="A175" s="709">
        <f t="shared" si="41"/>
        <v>37712</v>
      </c>
      <c r="B175" s="709" t="str">
        <f t="shared" si="38"/>
        <v>2Q03</v>
      </c>
      <c r="C175" s="709" t="str">
        <f t="shared" si="42"/>
        <v>2Q03</v>
      </c>
      <c r="D175" s="710">
        <f t="shared" si="48"/>
        <v>37778</v>
      </c>
      <c r="E175" s="710">
        <f t="shared" si="48"/>
        <v>37718</v>
      </c>
      <c r="F175" s="712">
        <v>1.554</v>
      </c>
      <c r="G175" s="713">
        <f t="shared" si="39"/>
        <v>0.09</v>
      </c>
      <c r="H175" s="713">
        <f t="shared" si="40"/>
        <v>0.08</v>
      </c>
      <c r="I175" s="713"/>
      <c r="J175" s="713"/>
      <c r="K175" s="713"/>
      <c r="L175" s="697"/>
      <c r="M175" s="697"/>
      <c r="N175" s="697"/>
      <c r="O175" s="697"/>
      <c r="P175" s="697"/>
      <c r="Q175" s="697"/>
      <c r="R175" s="697"/>
      <c r="S175" s="697"/>
      <c r="T175" s="697"/>
      <c r="U175" s="697"/>
      <c r="V175" s="697"/>
      <c r="W175" s="697"/>
      <c r="X175" s="697"/>
      <c r="Y175" s="697"/>
      <c r="Z175" s="697"/>
      <c r="AA175" s="697"/>
      <c r="AB175" s="697"/>
      <c r="AC175" s="697"/>
      <c r="AD175" s="697"/>
      <c r="AE175" s="697"/>
      <c r="AF175" s="697"/>
      <c r="AG175" s="697"/>
      <c r="AH175" s="697"/>
      <c r="AI175" s="697"/>
      <c r="AJ175" s="697"/>
      <c r="AK175" s="697"/>
      <c r="AL175" s="697"/>
      <c r="AM175" s="697"/>
      <c r="AN175" s="697"/>
      <c r="AO175" s="697"/>
      <c r="AP175" s="697"/>
      <c r="AQ175" s="697"/>
      <c r="AR175" s="697"/>
      <c r="AS175" s="697"/>
      <c r="AT175" s="697"/>
      <c r="AU175" s="697"/>
      <c r="AV175" s="697"/>
      <c r="AW175" s="697"/>
      <c r="AX175" s="697"/>
      <c r="AY175" s="697"/>
      <c r="AZ175" s="697"/>
      <c r="BA175" s="697"/>
      <c r="BB175" s="697"/>
      <c r="BC175" s="697"/>
      <c r="BD175" s="697"/>
      <c r="BE175" s="697"/>
      <c r="BF175" s="697"/>
      <c r="BG175" s="697"/>
      <c r="BH175" s="697"/>
      <c r="BI175" s="697"/>
      <c r="BJ175" s="697"/>
      <c r="BK175" s="697"/>
      <c r="BL175" s="697"/>
      <c r="BM175" s="697"/>
      <c r="BN175" s="697"/>
      <c r="BO175" s="697"/>
      <c r="BP175" s="697"/>
      <c r="BQ175" s="697"/>
      <c r="BR175" s="697"/>
      <c r="BS175" s="697"/>
      <c r="BT175" s="697"/>
      <c r="BU175" s="697"/>
      <c r="BV175" s="697"/>
      <c r="BW175" s="697"/>
      <c r="BX175" s="697"/>
      <c r="BY175" s="697"/>
      <c r="BZ175" s="697"/>
      <c r="CA175" s="697"/>
      <c r="CB175" s="697"/>
      <c r="CC175" s="697"/>
      <c r="CD175" s="697"/>
      <c r="CE175" s="697"/>
      <c r="CF175" s="697"/>
      <c r="CG175" s="697"/>
      <c r="CH175" s="697"/>
      <c r="CI175" s="697"/>
      <c r="CJ175" s="697"/>
      <c r="CK175" s="697"/>
      <c r="CL175" s="697"/>
      <c r="CM175" s="697"/>
      <c r="CN175" s="697"/>
      <c r="CO175" s="697"/>
      <c r="CP175" s="697"/>
      <c r="CQ175" s="697"/>
      <c r="CR175" s="697"/>
      <c r="CS175" s="697"/>
      <c r="CT175" s="697"/>
      <c r="CU175" s="697"/>
      <c r="CV175" s="697"/>
      <c r="CW175" s="697"/>
      <c r="CX175" s="697"/>
      <c r="CY175" s="697"/>
      <c r="CZ175" s="697"/>
      <c r="DA175" s="697"/>
    </row>
    <row r="176" spans="1:105" hidden="1" outlineLevel="1" x14ac:dyDescent="0.2">
      <c r="A176" s="709">
        <f t="shared" si="41"/>
        <v>37712</v>
      </c>
      <c r="B176" s="709" t="str">
        <f t="shared" si="38"/>
        <v>2Q03</v>
      </c>
      <c r="C176" s="709" t="str">
        <f t="shared" si="42"/>
        <v>2Q03</v>
      </c>
      <c r="D176" s="710">
        <f t="shared" si="48"/>
        <v>37785</v>
      </c>
      <c r="E176" s="710">
        <f t="shared" si="48"/>
        <v>37725</v>
      </c>
      <c r="F176" s="712">
        <v>1.5390000000000001</v>
      </c>
      <c r="G176" s="713">
        <f t="shared" si="39"/>
        <v>0.08</v>
      </c>
      <c r="H176" s="713">
        <f t="shared" si="40"/>
        <v>0.08</v>
      </c>
      <c r="I176" s="713"/>
      <c r="J176" s="713"/>
      <c r="K176" s="713"/>
      <c r="L176" s="697"/>
      <c r="M176" s="697"/>
      <c r="N176" s="697"/>
      <c r="O176" s="697"/>
      <c r="P176" s="697"/>
      <c r="Q176" s="697"/>
      <c r="R176" s="697"/>
      <c r="S176" s="697"/>
      <c r="T176" s="697"/>
      <c r="U176" s="697"/>
      <c r="V176" s="697"/>
      <c r="W176" s="697"/>
      <c r="X176" s="697"/>
      <c r="Y176" s="697"/>
      <c r="Z176" s="697"/>
      <c r="AA176" s="697"/>
      <c r="AB176" s="697"/>
      <c r="AC176" s="697"/>
      <c r="AD176" s="697"/>
      <c r="AE176" s="697"/>
      <c r="AF176" s="697"/>
      <c r="AG176" s="697"/>
      <c r="AH176" s="697"/>
      <c r="AI176" s="697"/>
      <c r="AJ176" s="697"/>
      <c r="AK176" s="697"/>
      <c r="AL176" s="697"/>
      <c r="AM176" s="697"/>
      <c r="AN176" s="697"/>
      <c r="AO176" s="697"/>
      <c r="AP176" s="697"/>
      <c r="AQ176" s="697"/>
      <c r="AR176" s="697"/>
      <c r="AS176" s="697"/>
      <c r="AT176" s="697"/>
      <c r="AU176" s="697"/>
      <c r="AV176" s="697"/>
      <c r="AW176" s="697"/>
      <c r="AX176" s="697"/>
      <c r="AY176" s="697"/>
      <c r="AZ176" s="697"/>
      <c r="BA176" s="697"/>
      <c r="BB176" s="697"/>
      <c r="BC176" s="697"/>
      <c r="BD176" s="697"/>
      <c r="BE176" s="697"/>
      <c r="BF176" s="697"/>
      <c r="BG176" s="697"/>
      <c r="BH176" s="697"/>
      <c r="BI176" s="697"/>
      <c r="BJ176" s="697"/>
      <c r="BK176" s="697"/>
      <c r="BL176" s="697"/>
      <c r="BM176" s="697"/>
      <c r="BN176" s="697"/>
      <c r="BO176" s="697"/>
      <c r="BP176" s="697"/>
      <c r="BQ176" s="697"/>
      <c r="BR176" s="697"/>
      <c r="BS176" s="697"/>
      <c r="BT176" s="697"/>
      <c r="BU176" s="697"/>
      <c r="BV176" s="697"/>
      <c r="BW176" s="697"/>
      <c r="BX176" s="697"/>
      <c r="BY176" s="697"/>
      <c r="BZ176" s="697"/>
      <c r="CA176" s="697"/>
      <c r="CB176" s="697"/>
      <c r="CC176" s="697"/>
      <c r="CD176" s="697"/>
      <c r="CE176" s="697"/>
      <c r="CF176" s="697"/>
      <c r="CG176" s="697"/>
      <c r="CH176" s="697"/>
      <c r="CI176" s="697"/>
      <c r="CJ176" s="697"/>
      <c r="CK176" s="697"/>
      <c r="CL176" s="697"/>
      <c r="CM176" s="697"/>
      <c r="CN176" s="697"/>
      <c r="CO176" s="697"/>
      <c r="CP176" s="697"/>
      <c r="CQ176" s="697"/>
      <c r="CR176" s="697"/>
      <c r="CS176" s="697"/>
      <c r="CT176" s="697"/>
      <c r="CU176" s="697"/>
      <c r="CV176" s="697"/>
      <c r="CW176" s="697"/>
      <c r="CX176" s="697"/>
      <c r="CY176" s="697"/>
      <c r="CZ176" s="697"/>
      <c r="DA176" s="697"/>
    </row>
    <row r="177" spans="1:105" hidden="1" outlineLevel="1" x14ac:dyDescent="0.2">
      <c r="A177" s="709">
        <f t="shared" si="41"/>
        <v>37712</v>
      </c>
      <c r="B177" s="709" t="str">
        <f t="shared" si="38"/>
        <v>2Q03</v>
      </c>
      <c r="C177" s="709" t="str">
        <f t="shared" si="42"/>
        <v>2Q03</v>
      </c>
      <c r="D177" s="710">
        <f t="shared" si="48"/>
        <v>37792</v>
      </c>
      <c r="E177" s="710">
        <f t="shared" si="48"/>
        <v>37732</v>
      </c>
      <c r="F177" s="712">
        <v>1.5290000000000001</v>
      </c>
      <c r="G177" s="713">
        <f t="shared" si="39"/>
        <v>0.08</v>
      </c>
      <c r="H177" s="713">
        <f t="shared" si="40"/>
        <v>0.08</v>
      </c>
      <c r="I177" s="713"/>
      <c r="J177" s="713"/>
      <c r="K177" s="713"/>
      <c r="L177" s="697"/>
      <c r="M177" s="697"/>
      <c r="N177" s="697"/>
      <c r="O177" s="697"/>
      <c r="P177" s="697"/>
      <c r="Q177" s="697"/>
      <c r="R177" s="697"/>
      <c r="S177" s="697"/>
      <c r="T177" s="697"/>
      <c r="U177" s="697"/>
      <c r="V177" s="697"/>
      <c r="W177" s="697"/>
      <c r="X177" s="697"/>
      <c r="Y177" s="697"/>
      <c r="Z177" s="697"/>
      <c r="AA177" s="697"/>
      <c r="AB177" s="697"/>
      <c r="AC177" s="697"/>
      <c r="AD177" s="697"/>
      <c r="AE177" s="697"/>
      <c r="AF177" s="697"/>
      <c r="AG177" s="697"/>
      <c r="AH177" s="697"/>
      <c r="AI177" s="697"/>
      <c r="AJ177" s="697"/>
      <c r="AK177" s="697"/>
      <c r="AL177" s="697"/>
      <c r="AM177" s="697"/>
      <c r="AN177" s="697"/>
      <c r="AO177" s="697"/>
      <c r="AP177" s="697"/>
      <c r="AQ177" s="697"/>
      <c r="AR177" s="697"/>
      <c r="AS177" s="697"/>
      <c r="AT177" s="697"/>
      <c r="AU177" s="697"/>
      <c r="AV177" s="697"/>
      <c r="AW177" s="697"/>
      <c r="AX177" s="697"/>
      <c r="AY177" s="697"/>
      <c r="AZ177" s="697"/>
      <c r="BA177" s="697"/>
      <c r="BB177" s="697"/>
      <c r="BC177" s="697"/>
      <c r="BD177" s="697"/>
      <c r="BE177" s="697"/>
      <c r="BF177" s="697"/>
      <c r="BG177" s="697"/>
      <c r="BH177" s="697"/>
      <c r="BI177" s="697"/>
      <c r="BJ177" s="697"/>
      <c r="BK177" s="697"/>
      <c r="BL177" s="697"/>
      <c r="BM177" s="697"/>
      <c r="BN177" s="697"/>
      <c r="BO177" s="697"/>
      <c r="BP177" s="697"/>
      <c r="BQ177" s="697"/>
      <c r="BR177" s="697"/>
      <c r="BS177" s="697"/>
      <c r="BT177" s="697"/>
      <c r="BU177" s="697"/>
      <c r="BV177" s="697"/>
      <c r="BW177" s="697"/>
      <c r="BX177" s="697"/>
      <c r="BY177" s="697"/>
      <c r="BZ177" s="697"/>
      <c r="CA177" s="697"/>
      <c r="CB177" s="697"/>
      <c r="CC177" s="697"/>
      <c r="CD177" s="697"/>
      <c r="CE177" s="697"/>
      <c r="CF177" s="697"/>
      <c r="CG177" s="697"/>
      <c r="CH177" s="697"/>
      <c r="CI177" s="697"/>
      <c r="CJ177" s="697"/>
      <c r="CK177" s="697"/>
      <c r="CL177" s="697"/>
      <c r="CM177" s="697"/>
      <c r="CN177" s="697"/>
      <c r="CO177" s="697"/>
      <c r="CP177" s="697"/>
      <c r="CQ177" s="697"/>
      <c r="CR177" s="697"/>
      <c r="CS177" s="697"/>
      <c r="CT177" s="697"/>
      <c r="CU177" s="697"/>
      <c r="CV177" s="697"/>
      <c r="CW177" s="697"/>
      <c r="CX177" s="697"/>
      <c r="CY177" s="697"/>
      <c r="CZ177" s="697"/>
      <c r="DA177" s="697"/>
    </row>
    <row r="178" spans="1:105" hidden="1" outlineLevel="1" x14ac:dyDescent="0.2">
      <c r="A178" s="709">
        <f t="shared" si="41"/>
        <v>37712</v>
      </c>
      <c r="B178" s="709" t="str">
        <f t="shared" si="38"/>
        <v>2Q03</v>
      </c>
      <c r="C178" s="709" t="str">
        <f t="shared" si="42"/>
        <v>2Q03</v>
      </c>
      <c r="D178" s="710">
        <f t="shared" si="48"/>
        <v>37799</v>
      </c>
      <c r="E178" s="710">
        <f t="shared" si="48"/>
        <v>37739</v>
      </c>
      <c r="F178" s="712">
        <v>1.508</v>
      </c>
      <c r="G178" s="713">
        <f t="shared" si="39"/>
        <v>0.08</v>
      </c>
      <c r="H178" s="713">
        <f t="shared" si="40"/>
        <v>7.0000000000000007E-2</v>
      </c>
      <c r="I178" s="713"/>
      <c r="J178" s="713"/>
      <c r="K178" s="713"/>
      <c r="L178" s="697"/>
      <c r="M178" s="697"/>
      <c r="N178" s="697"/>
      <c r="O178" s="697"/>
      <c r="P178" s="697"/>
      <c r="Q178" s="697"/>
      <c r="R178" s="697"/>
      <c r="S178" s="697"/>
      <c r="T178" s="697"/>
      <c r="U178" s="697"/>
      <c r="V178" s="697"/>
      <c r="W178" s="697"/>
      <c r="X178" s="697"/>
      <c r="Y178" s="697"/>
      <c r="Z178" s="697"/>
      <c r="AA178" s="697"/>
      <c r="AB178" s="697"/>
      <c r="AC178" s="697"/>
      <c r="AD178" s="697"/>
      <c r="AE178" s="697"/>
      <c r="AF178" s="697"/>
      <c r="AG178" s="697"/>
      <c r="AH178" s="697"/>
      <c r="AI178" s="697"/>
      <c r="AJ178" s="697"/>
      <c r="AK178" s="697"/>
      <c r="AL178" s="697"/>
      <c r="AM178" s="697"/>
      <c r="AN178" s="697"/>
      <c r="AO178" s="697"/>
      <c r="AP178" s="697"/>
      <c r="AQ178" s="697"/>
      <c r="AR178" s="697"/>
      <c r="AS178" s="697"/>
      <c r="AT178" s="697"/>
      <c r="AU178" s="697"/>
      <c r="AV178" s="697"/>
      <c r="AW178" s="697"/>
      <c r="AX178" s="697"/>
      <c r="AY178" s="697"/>
      <c r="AZ178" s="697"/>
      <c r="BA178" s="697"/>
      <c r="BB178" s="697"/>
      <c r="BC178" s="697"/>
      <c r="BD178" s="697"/>
      <c r="BE178" s="697"/>
      <c r="BF178" s="697"/>
      <c r="BG178" s="697"/>
      <c r="BH178" s="697"/>
      <c r="BI178" s="697"/>
      <c r="BJ178" s="697"/>
      <c r="BK178" s="697"/>
      <c r="BL178" s="697"/>
      <c r="BM178" s="697"/>
      <c r="BN178" s="697"/>
      <c r="BO178" s="697"/>
      <c r="BP178" s="697"/>
      <c r="BQ178" s="697"/>
      <c r="BR178" s="697"/>
      <c r="BS178" s="697"/>
      <c r="BT178" s="697"/>
      <c r="BU178" s="697"/>
      <c r="BV178" s="697"/>
      <c r="BW178" s="697"/>
      <c r="BX178" s="697"/>
      <c r="BY178" s="697"/>
      <c r="BZ178" s="697"/>
      <c r="CA178" s="697"/>
      <c r="CB178" s="697"/>
      <c r="CC178" s="697"/>
      <c r="CD178" s="697"/>
      <c r="CE178" s="697"/>
      <c r="CF178" s="697"/>
      <c r="CG178" s="697"/>
      <c r="CH178" s="697"/>
      <c r="CI178" s="697"/>
      <c r="CJ178" s="697"/>
      <c r="CK178" s="697"/>
      <c r="CL178" s="697"/>
      <c r="CM178" s="697"/>
      <c r="CN178" s="697"/>
      <c r="CO178" s="697"/>
      <c r="CP178" s="697"/>
      <c r="CQ178" s="697"/>
      <c r="CR178" s="697"/>
      <c r="CS178" s="697"/>
      <c r="CT178" s="697"/>
      <c r="CU178" s="697"/>
      <c r="CV178" s="697"/>
      <c r="CW178" s="697"/>
      <c r="CX178" s="697"/>
      <c r="CY178" s="697"/>
      <c r="CZ178" s="697"/>
      <c r="DA178" s="697"/>
    </row>
    <row r="179" spans="1:105" hidden="1" outlineLevel="1" x14ac:dyDescent="0.2">
      <c r="A179" s="709">
        <f t="shared" si="41"/>
        <v>37742</v>
      </c>
      <c r="B179" s="709" t="str">
        <f t="shared" si="38"/>
        <v>2Q03</v>
      </c>
      <c r="C179" s="709" t="str">
        <f t="shared" si="42"/>
        <v>3Q03</v>
      </c>
      <c r="D179" s="710">
        <f t="shared" si="48"/>
        <v>37806</v>
      </c>
      <c r="E179" s="710">
        <f t="shared" si="48"/>
        <v>37746</v>
      </c>
      <c r="F179" s="712">
        <v>1.484</v>
      </c>
      <c r="G179" s="713">
        <f t="shared" si="39"/>
        <v>7.0000000000000007E-2</v>
      </c>
      <c r="H179" s="713">
        <f t="shared" si="40"/>
        <v>6.0000000000000005E-2</v>
      </c>
      <c r="I179" s="713"/>
      <c r="J179" s="713"/>
      <c r="K179" s="713"/>
      <c r="L179" s="697"/>
      <c r="M179" s="697"/>
      <c r="N179" s="697"/>
      <c r="O179" s="697"/>
      <c r="P179" s="697"/>
      <c r="Q179" s="697"/>
      <c r="R179" s="697"/>
      <c r="S179" s="697"/>
      <c r="T179" s="697"/>
      <c r="U179" s="697"/>
      <c r="V179" s="697"/>
      <c r="W179" s="697"/>
      <c r="X179" s="697"/>
      <c r="Y179" s="697"/>
      <c r="Z179" s="697"/>
      <c r="AA179" s="697"/>
      <c r="AB179" s="697"/>
      <c r="AC179" s="697"/>
      <c r="AD179" s="697"/>
      <c r="AE179" s="697"/>
      <c r="AF179" s="697"/>
      <c r="AG179" s="697"/>
      <c r="AH179" s="697"/>
      <c r="AI179" s="697"/>
      <c r="AJ179" s="697"/>
      <c r="AK179" s="697"/>
      <c r="AL179" s="697"/>
      <c r="AM179" s="697"/>
      <c r="AN179" s="697"/>
      <c r="AO179" s="697"/>
      <c r="AP179" s="697"/>
      <c r="AQ179" s="697"/>
      <c r="AR179" s="697"/>
      <c r="AS179" s="697"/>
      <c r="AT179" s="697"/>
      <c r="AU179" s="697"/>
      <c r="AV179" s="697"/>
      <c r="AW179" s="697"/>
      <c r="AX179" s="697"/>
      <c r="AY179" s="697"/>
      <c r="AZ179" s="697"/>
      <c r="BA179" s="697"/>
      <c r="BB179" s="697"/>
      <c r="BC179" s="697"/>
      <c r="BD179" s="697"/>
      <c r="BE179" s="697"/>
      <c r="BF179" s="697"/>
      <c r="BG179" s="697"/>
      <c r="BH179" s="697"/>
      <c r="BI179" s="697"/>
      <c r="BJ179" s="697"/>
      <c r="BK179" s="697"/>
      <c r="BL179" s="697"/>
      <c r="BM179" s="697"/>
      <c r="BN179" s="697"/>
      <c r="BO179" s="697"/>
      <c r="BP179" s="697"/>
      <c r="BQ179" s="697"/>
      <c r="BR179" s="697"/>
      <c r="BS179" s="697"/>
      <c r="BT179" s="697"/>
      <c r="BU179" s="697"/>
      <c r="BV179" s="697"/>
      <c r="BW179" s="697"/>
      <c r="BX179" s="697"/>
      <c r="BY179" s="697"/>
      <c r="BZ179" s="697"/>
      <c r="CA179" s="697"/>
      <c r="CB179" s="697"/>
      <c r="CC179" s="697"/>
      <c r="CD179" s="697"/>
      <c r="CE179" s="697"/>
      <c r="CF179" s="697"/>
      <c r="CG179" s="697"/>
      <c r="CH179" s="697"/>
      <c r="CI179" s="697"/>
      <c r="CJ179" s="697"/>
      <c r="CK179" s="697"/>
      <c r="CL179" s="697"/>
      <c r="CM179" s="697"/>
      <c r="CN179" s="697"/>
      <c r="CO179" s="697"/>
      <c r="CP179" s="697"/>
      <c r="CQ179" s="697"/>
      <c r="CR179" s="697"/>
      <c r="CS179" s="697"/>
      <c r="CT179" s="697"/>
      <c r="CU179" s="697"/>
      <c r="CV179" s="697"/>
      <c r="CW179" s="697"/>
      <c r="CX179" s="697"/>
      <c r="CY179" s="697"/>
      <c r="CZ179" s="697"/>
      <c r="DA179" s="697"/>
    </row>
    <row r="180" spans="1:105" hidden="1" outlineLevel="1" x14ac:dyDescent="0.2">
      <c r="A180" s="709">
        <f t="shared" si="41"/>
        <v>37742</v>
      </c>
      <c r="B180" s="709" t="str">
        <f t="shared" si="38"/>
        <v>2Q03</v>
      </c>
      <c r="C180" s="709" t="str">
        <f t="shared" si="42"/>
        <v>3Q03</v>
      </c>
      <c r="D180" s="710">
        <f t="shared" si="48"/>
        <v>37813</v>
      </c>
      <c r="E180" s="710">
        <f t="shared" si="48"/>
        <v>37753</v>
      </c>
      <c r="F180" s="712">
        <v>1.444</v>
      </c>
      <c r="G180" s="713">
        <f t="shared" si="39"/>
        <v>6.0000000000000005E-2</v>
      </c>
      <c r="H180" s="713">
        <f t="shared" si="40"/>
        <v>6.0000000000000005E-2</v>
      </c>
      <c r="I180" s="713"/>
      <c r="J180" s="713"/>
      <c r="K180" s="713"/>
      <c r="L180" s="697"/>
      <c r="M180" s="697"/>
      <c r="N180" s="697"/>
      <c r="O180" s="697"/>
      <c r="P180" s="697"/>
      <c r="Q180" s="697"/>
      <c r="R180" s="697"/>
      <c r="S180" s="697"/>
      <c r="T180" s="697"/>
      <c r="U180" s="697"/>
      <c r="V180" s="697"/>
      <c r="W180" s="697"/>
      <c r="X180" s="697"/>
      <c r="Y180" s="697"/>
      <c r="Z180" s="697"/>
      <c r="AA180" s="697"/>
      <c r="AB180" s="697"/>
      <c r="AC180" s="697"/>
      <c r="AD180" s="697"/>
      <c r="AE180" s="697"/>
      <c r="AF180" s="697"/>
      <c r="AG180" s="697"/>
      <c r="AH180" s="697"/>
      <c r="AI180" s="697"/>
      <c r="AJ180" s="697"/>
      <c r="AK180" s="697"/>
      <c r="AL180" s="697"/>
      <c r="AM180" s="697"/>
      <c r="AN180" s="697"/>
      <c r="AO180" s="697"/>
      <c r="AP180" s="697"/>
      <c r="AQ180" s="697"/>
      <c r="AR180" s="697"/>
      <c r="AS180" s="697"/>
      <c r="AT180" s="697"/>
      <c r="AU180" s="697"/>
      <c r="AV180" s="697"/>
      <c r="AW180" s="697"/>
      <c r="AX180" s="697"/>
      <c r="AY180" s="697"/>
      <c r="AZ180" s="697"/>
      <c r="BA180" s="697"/>
      <c r="BB180" s="697"/>
      <c r="BC180" s="697"/>
      <c r="BD180" s="697"/>
      <c r="BE180" s="697"/>
      <c r="BF180" s="697"/>
      <c r="BG180" s="697"/>
      <c r="BH180" s="697"/>
      <c r="BI180" s="697"/>
      <c r="BJ180" s="697"/>
      <c r="BK180" s="697"/>
      <c r="BL180" s="697"/>
      <c r="BM180" s="697"/>
      <c r="BN180" s="697"/>
      <c r="BO180" s="697"/>
      <c r="BP180" s="697"/>
      <c r="BQ180" s="697"/>
      <c r="BR180" s="697"/>
      <c r="BS180" s="697"/>
      <c r="BT180" s="697"/>
      <c r="BU180" s="697"/>
      <c r="BV180" s="697"/>
      <c r="BW180" s="697"/>
      <c r="BX180" s="697"/>
      <c r="BY180" s="697"/>
      <c r="BZ180" s="697"/>
      <c r="CA180" s="697"/>
      <c r="CB180" s="697"/>
      <c r="CC180" s="697"/>
      <c r="CD180" s="697"/>
      <c r="CE180" s="697"/>
      <c r="CF180" s="697"/>
      <c r="CG180" s="697"/>
      <c r="CH180" s="697"/>
      <c r="CI180" s="697"/>
      <c r="CJ180" s="697"/>
      <c r="CK180" s="697"/>
      <c r="CL180" s="697"/>
      <c r="CM180" s="697"/>
      <c r="CN180" s="697"/>
      <c r="CO180" s="697"/>
      <c r="CP180" s="697"/>
      <c r="CQ180" s="697"/>
      <c r="CR180" s="697"/>
      <c r="CS180" s="697"/>
      <c r="CT180" s="697"/>
      <c r="CU180" s="697"/>
      <c r="CV180" s="697"/>
      <c r="CW180" s="697"/>
      <c r="CX180" s="697"/>
      <c r="CY180" s="697"/>
      <c r="CZ180" s="697"/>
      <c r="DA180" s="697"/>
    </row>
    <row r="181" spans="1:105" hidden="1" outlineLevel="1" x14ac:dyDescent="0.2">
      <c r="A181" s="709">
        <f t="shared" si="41"/>
        <v>37742</v>
      </c>
      <c r="B181" s="709" t="str">
        <f t="shared" si="38"/>
        <v>2Q03</v>
      </c>
      <c r="C181" s="709" t="str">
        <f t="shared" si="42"/>
        <v>3Q03</v>
      </c>
      <c r="D181" s="710">
        <f t="shared" ref="D181:E196" si="49">D180+7</f>
        <v>37820</v>
      </c>
      <c r="E181" s="710">
        <f t="shared" si="49"/>
        <v>37760</v>
      </c>
      <c r="F181" s="712">
        <v>1.4430000000000001</v>
      </c>
      <c r="G181" s="713">
        <f t="shared" si="39"/>
        <v>6.0000000000000005E-2</v>
      </c>
      <c r="H181" s="713">
        <f t="shared" si="40"/>
        <v>6.0000000000000005E-2</v>
      </c>
      <c r="I181" s="713"/>
      <c r="J181" s="713"/>
      <c r="K181" s="713"/>
      <c r="L181" s="697"/>
      <c r="M181" s="697"/>
      <c r="N181" s="697"/>
      <c r="O181" s="697"/>
      <c r="P181" s="697"/>
      <c r="Q181" s="697"/>
      <c r="R181" s="697"/>
      <c r="S181" s="697"/>
      <c r="T181" s="697"/>
      <c r="U181" s="697"/>
      <c r="V181" s="697"/>
      <c r="W181" s="697"/>
      <c r="X181" s="697"/>
      <c r="Y181" s="697"/>
      <c r="Z181" s="697"/>
      <c r="AA181" s="697"/>
      <c r="AB181" s="697"/>
      <c r="AC181" s="697"/>
      <c r="AD181" s="697"/>
      <c r="AE181" s="697"/>
      <c r="AF181" s="697"/>
      <c r="AG181" s="697"/>
      <c r="AH181" s="697"/>
      <c r="AI181" s="697"/>
      <c r="AJ181" s="697"/>
      <c r="AK181" s="697"/>
      <c r="AL181" s="697"/>
      <c r="AM181" s="697"/>
      <c r="AN181" s="697"/>
      <c r="AO181" s="697"/>
      <c r="AP181" s="697"/>
      <c r="AQ181" s="697"/>
      <c r="AR181" s="697"/>
      <c r="AS181" s="697"/>
      <c r="AT181" s="697"/>
      <c r="AU181" s="697"/>
      <c r="AV181" s="697"/>
      <c r="AW181" s="697"/>
      <c r="AX181" s="697"/>
      <c r="AY181" s="697"/>
      <c r="AZ181" s="697"/>
      <c r="BA181" s="697"/>
      <c r="BB181" s="697"/>
      <c r="BC181" s="697"/>
      <c r="BD181" s="697"/>
      <c r="BE181" s="697"/>
      <c r="BF181" s="697"/>
      <c r="BG181" s="697"/>
      <c r="BH181" s="697"/>
      <c r="BI181" s="697"/>
      <c r="BJ181" s="697"/>
      <c r="BK181" s="697"/>
      <c r="BL181" s="697"/>
      <c r="BM181" s="697"/>
      <c r="BN181" s="697"/>
      <c r="BO181" s="697"/>
      <c r="BP181" s="697"/>
      <c r="BQ181" s="697"/>
      <c r="BR181" s="697"/>
      <c r="BS181" s="697"/>
      <c r="BT181" s="697"/>
      <c r="BU181" s="697"/>
      <c r="BV181" s="697"/>
      <c r="BW181" s="697"/>
      <c r="BX181" s="697"/>
      <c r="BY181" s="697"/>
      <c r="BZ181" s="697"/>
      <c r="CA181" s="697"/>
      <c r="CB181" s="697"/>
      <c r="CC181" s="697"/>
      <c r="CD181" s="697"/>
      <c r="CE181" s="697"/>
      <c r="CF181" s="697"/>
      <c r="CG181" s="697"/>
      <c r="CH181" s="697"/>
      <c r="CI181" s="697"/>
      <c r="CJ181" s="697"/>
      <c r="CK181" s="697"/>
      <c r="CL181" s="697"/>
      <c r="CM181" s="697"/>
      <c r="CN181" s="697"/>
      <c r="CO181" s="697"/>
      <c r="CP181" s="697"/>
      <c r="CQ181" s="697"/>
      <c r="CR181" s="697"/>
      <c r="CS181" s="697"/>
      <c r="CT181" s="697"/>
      <c r="CU181" s="697"/>
      <c r="CV181" s="697"/>
      <c r="CW181" s="697"/>
      <c r="CX181" s="697"/>
      <c r="CY181" s="697"/>
      <c r="CZ181" s="697"/>
      <c r="DA181" s="697"/>
    </row>
    <row r="182" spans="1:105" hidden="1" outlineLevel="1" x14ac:dyDescent="0.2">
      <c r="A182" s="709">
        <f t="shared" si="41"/>
        <v>37742</v>
      </c>
      <c r="B182" s="709" t="str">
        <f t="shared" si="38"/>
        <v>2Q03</v>
      </c>
      <c r="C182" s="709" t="str">
        <f t="shared" si="42"/>
        <v>3Q03</v>
      </c>
      <c r="D182" s="710">
        <f t="shared" si="49"/>
        <v>37827</v>
      </c>
      <c r="E182" s="710">
        <f t="shared" si="49"/>
        <v>37767</v>
      </c>
      <c r="F182" s="712">
        <v>1.4340000000000002</v>
      </c>
      <c r="G182" s="713">
        <f t="shared" si="39"/>
        <v>6.0000000000000005E-2</v>
      </c>
      <c r="H182" s="713">
        <f t="shared" si="40"/>
        <v>6.0000000000000005E-2</v>
      </c>
      <c r="I182" s="713"/>
      <c r="J182" s="713"/>
      <c r="K182" s="713"/>
      <c r="L182" s="697"/>
      <c r="M182" s="697"/>
      <c r="N182" s="697"/>
      <c r="O182" s="697"/>
      <c r="P182" s="697"/>
      <c r="Q182" s="697"/>
      <c r="R182" s="697"/>
      <c r="S182" s="697"/>
      <c r="T182" s="697"/>
      <c r="U182" s="697"/>
      <c r="V182" s="697"/>
      <c r="W182" s="697"/>
      <c r="X182" s="697"/>
      <c r="Y182" s="697"/>
      <c r="Z182" s="697"/>
      <c r="AA182" s="697"/>
      <c r="AB182" s="697"/>
      <c r="AC182" s="697"/>
      <c r="AD182" s="697"/>
      <c r="AE182" s="697"/>
      <c r="AF182" s="697"/>
      <c r="AG182" s="697"/>
      <c r="AH182" s="697"/>
      <c r="AI182" s="697"/>
      <c r="AJ182" s="697"/>
      <c r="AK182" s="697"/>
      <c r="AL182" s="697"/>
      <c r="AM182" s="697"/>
      <c r="AN182" s="697"/>
      <c r="AO182" s="697"/>
      <c r="AP182" s="697"/>
      <c r="AQ182" s="697"/>
      <c r="AR182" s="697"/>
      <c r="AS182" s="697"/>
      <c r="AT182" s="697"/>
      <c r="AU182" s="697"/>
      <c r="AV182" s="697"/>
      <c r="AW182" s="697"/>
      <c r="AX182" s="697"/>
      <c r="AY182" s="697"/>
      <c r="AZ182" s="697"/>
      <c r="BA182" s="697"/>
      <c r="BB182" s="697"/>
      <c r="BC182" s="697"/>
      <c r="BD182" s="697"/>
      <c r="BE182" s="697"/>
      <c r="BF182" s="697"/>
      <c r="BG182" s="697"/>
      <c r="BH182" s="697"/>
      <c r="BI182" s="697"/>
      <c r="BJ182" s="697"/>
      <c r="BK182" s="697"/>
      <c r="BL182" s="697"/>
      <c r="BM182" s="697"/>
      <c r="BN182" s="697"/>
      <c r="BO182" s="697"/>
      <c r="BP182" s="697"/>
      <c r="BQ182" s="697"/>
      <c r="BR182" s="697"/>
      <c r="BS182" s="697"/>
      <c r="BT182" s="697"/>
      <c r="BU182" s="697"/>
      <c r="BV182" s="697"/>
      <c r="BW182" s="697"/>
      <c r="BX182" s="697"/>
      <c r="BY182" s="697"/>
      <c r="BZ182" s="697"/>
      <c r="CA182" s="697"/>
      <c r="CB182" s="697"/>
      <c r="CC182" s="697"/>
      <c r="CD182" s="697"/>
      <c r="CE182" s="697"/>
      <c r="CF182" s="697"/>
      <c r="CG182" s="697"/>
      <c r="CH182" s="697"/>
      <c r="CI182" s="697"/>
      <c r="CJ182" s="697"/>
      <c r="CK182" s="697"/>
      <c r="CL182" s="697"/>
      <c r="CM182" s="697"/>
      <c r="CN182" s="697"/>
      <c r="CO182" s="697"/>
      <c r="CP182" s="697"/>
      <c r="CQ182" s="697"/>
      <c r="CR182" s="697"/>
      <c r="CS182" s="697"/>
      <c r="CT182" s="697"/>
      <c r="CU182" s="697"/>
      <c r="CV182" s="697"/>
      <c r="CW182" s="697"/>
      <c r="CX182" s="697"/>
      <c r="CY182" s="697"/>
      <c r="CZ182" s="697"/>
      <c r="DA182" s="697"/>
    </row>
    <row r="183" spans="1:105" hidden="1" outlineLevel="1" x14ac:dyDescent="0.2">
      <c r="A183" s="709">
        <f t="shared" si="41"/>
        <v>37773</v>
      </c>
      <c r="B183" s="709" t="str">
        <f t="shared" si="38"/>
        <v>2Q03</v>
      </c>
      <c r="C183" s="709" t="str">
        <f t="shared" si="42"/>
        <v>3Q03</v>
      </c>
      <c r="D183" s="710">
        <f t="shared" si="49"/>
        <v>37834</v>
      </c>
      <c r="E183" s="710">
        <f t="shared" si="49"/>
        <v>37774</v>
      </c>
      <c r="F183" s="712">
        <v>1.423</v>
      </c>
      <c r="G183" s="713">
        <f t="shared" si="39"/>
        <v>6.0000000000000005E-2</v>
      </c>
      <c r="H183" s="713">
        <f t="shared" si="40"/>
        <v>6.0000000000000005E-2</v>
      </c>
      <c r="I183" s="713"/>
      <c r="J183" s="713"/>
      <c r="K183" s="713"/>
      <c r="L183" s="697"/>
      <c r="M183" s="697"/>
      <c r="N183" s="697"/>
      <c r="O183" s="697"/>
      <c r="P183" s="697"/>
      <c r="Q183" s="697"/>
      <c r="R183" s="697"/>
      <c r="S183" s="697"/>
      <c r="T183" s="697"/>
      <c r="U183" s="697"/>
      <c r="V183" s="697"/>
      <c r="W183" s="697"/>
      <c r="X183" s="697"/>
      <c r="Y183" s="697"/>
      <c r="Z183" s="697"/>
      <c r="AA183" s="697"/>
      <c r="AB183" s="697"/>
      <c r="AC183" s="697"/>
      <c r="AD183" s="697"/>
      <c r="AE183" s="697"/>
      <c r="AF183" s="697"/>
      <c r="AG183" s="697"/>
      <c r="AH183" s="697"/>
      <c r="AI183" s="697"/>
      <c r="AJ183" s="697"/>
      <c r="AK183" s="697"/>
      <c r="AL183" s="697"/>
      <c r="AM183" s="697"/>
      <c r="AN183" s="697"/>
      <c r="AO183" s="697"/>
      <c r="AP183" s="697"/>
      <c r="AQ183" s="697"/>
      <c r="AR183" s="697"/>
      <c r="AS183" s="697"/>
      <c r="AT183" s="697"/>
      <c r="AU183" s="697"/>
      <c r="AV183" s="697"/>
      <c r="AW183" s="697"/>
      <c r="AX183" s="697"/>
      <c r="AY183" s="697"/>
      <c r="AZ183" s="697"/>
      <c r="BA183" s="697"/>
      <c r="BB183" s="697"/>
      <c r="BC183" s="697"/>
      <c r="BD183" s="697"/>
      <c r="BE183" s="697"/>
      <c r="BF183" s="697"/>
      <c r="BG183" s="697"/>
      <c r="BH183" s="697"/>
      <c r="BI183" s="697"/>
      <c r="BJ183" s="697"/>
      <c r="BK183" s="697"/>
      <c r="BL183" s="697"/>
      <c r="BM183" s="697"/>
      <c r="BN183" s="697"/>
      <c r="BO183" s="697"/>
      <c r="BP183" s="697"/>
      <c r="BQ183" s="697"/>
      <c r="BR183" s="697"/>
      <c r="BS183" s="697"/>
      <c r="BT183" s="697"/>
      <c r="BU183" s="697"/>
      <c r="BV183" s="697"/>
      <c r="BW183" s="697"/>
      <c r="BX183" s="697"/>
      <c r="BY183" s="697"/>
      <c r="BZ183" s="697"/>
      <c r="CA183" s="697"/>
      <c r="CB183" s="697"/>
      <c r="CC183" s="697"/>
      <c r="CD183" s="697"/>
      <c r="CE183" s="697"/>
      <c r="CF183" s="697"/>
      <c r="CG183" s="697"/>
      <c r="CH183" s="697"/>
      <c r="CI183" s="697"/>
      <c r="CJ183" s="697"/>
      <c r="CK183" s="697"/>
      <c r="CL183" s="697"/>
      <c r="CM183" s="697"/>
      <c r="CN183" s="697"/>
      <c r="CO183" s="697"/>
      <c r="CP183" s="697"/>
      <c r="CQ183" s="697"/>
      <c r="CR183" s="697"/>
      <c r="CS183" s="697"/>
      <c r="CT183" s="697"/>
      <c r="CU183" s="697"/>
      <c r="CV183" s="697"/>
      <c r="CW183" s="697"/>
      <c r="CX183" s="697"/>
      <c r="CY183" s="697"/>
      <c r="CZ183" s="697"/>
      <c r="DA183" s="697"/>
    </row>
    <row r="184" spans="1:105" hidden="1" outlineLevel="1" x14ac:dyDescent="0.2">
      <c r="A184" s="709">
        <f t="shared" si="41"/>
        <v>37773</v>
      </c>
      <c r="B184" s="709" t="str">
        <f t="shared" si="38"/>
        <v>2Q03</v>
      </c>
      <c r="C184" s="709" t="str">
        <f t="shared" si="42"/>
        <v>3Q03</v>
      </c>
      <c r="D184" s="710">
        <f t="shared" si="49"/>
        <v>37841</v>
      </c>
      <c r="E184" s="710">
        <f t="shared" si="49"/>
        <v>37781</v>
      </c>
      <c r="F184" s="712">
        <v>1.4219999999999999</v>
      </c>
      <c r="G184" s="713">
        <f t="shared" si="39"/>
        <v>6.0000000000000005E-2</v>
      </c>
      <c r="H184" s="713">
        <f t="shared" si="40"/>
        <v>6.0000000000000005E-2</v>
      </c>
      <c r="I184" s="713"/>
      <c r="J184" s="713"/>
      <c r="K184" s="713"/>
      <c r="L184" s="697"/>
      <c r="M184" s="697"/>
      <c r="N184" s="697"/>
      <c r="O184" s="697"/>
      <c r="P184" s="697"/>
      <c r="Q184" s="697"/>
      <c r="R184" s="697"/>
      <c r="S184" s="697"/>
      <c r="T184" s="697"/>
      <c r="U184" s="697"/>
      <c r="V184" s="697"/>
      <c r="W184" s="697"/>
      <c r="X184" s="697"/>
      <c r="Y184" s="697"/>
      <c r="Z184" s="697"/>
      <c r="AA184" s="697"/>
      <c r="AB184" s="697"/>
      <c r="AC184" s="697"/>
      <c r="AD184" s="697"/>
      <c r="AE184" s="697"/>
      <c r="AF184" s="697"/>
      <c r="AG184" s="697"/>
      <c r="AH184" s="697"/>
      <c r="AI184" s="697"/>
      <c r="AJ184" s="697"/>
      <c r="AK184" s="697"/>
      <c r="AL184" s="697"/>
      <c r="AM184" s="697"/>
      <c r="AN184" s="697"/>
      <c r="AO184" s="697"/>
      <c r="AP184" s="697"/>
      <c r="AQ184" s="697"/>
      <c r="AR184" s="697"/>
      <c r="AS184" s="697"/>
      <c r="AT184" s="697"/>
      <c r="AU184" s="697"/>
      <c r="AV184" s="697"/>
      <c r="AW184" s="697"/>
      <c r="AX184" s="697"/>
      <c r="AY184" s="697"/>
      <c r="AZ184" s="697"/>
      <c r="BA184" s="697"/>
      <c r="BB184" s="697"/>
      <c r="BC184" s="697"/>
      <c r="BD184" s="697"/>
      <c r="BE184" s="697"/>
      <c r="BF184" s="697"/>
      <c r="BG184" s="697"/>
      <c r="BH184" s="697"/>
      <c r="BI184" s="697"/>
      <c r="BJ184" s="697"/>
      <c r="BK184" s="697"/>
      <c r="BL184" s="697"/>
      <c r="BM184" s="697"/>
      <c r="BN184" s="697"/>
      <c r="BO184" s="697"/>
      <c r="BP184" s="697"/>
      <c r="BQ184" s="697"/>
      <c r="BR184" s="697"/>
      <c r="BS184" s="697"/>
      <c r="BT184" s="697"/>
      <c r="BU184" s="697"/>
      <c r="BV184" s="697"/>
      <c r="BW184" s="697"/>
      <c r="BX184" s="697"/>
      <c r="BY184" s="697"/>
      <c r="BZ184" s="697"/>
      <c r="CA184" s="697"/>
      <c r="CB184" s="697"/>
      <c r="CC184" s="697"/>
      <c r="CD184" s="697"/>
      <c r="CE184" s="697"/>
      <c r="CF184" s="697"/>
      <c r="CG184" s="697"/>
      <c r="CH184" s="697"/>
      <c r="CI184" s="697"/>
      <c r="CJ184" s="697"/>
      <c r="CK184" s="697"/>
      <c r="CL184" s="697"/>
      <c r="CM184" s="697"/>
      <c r="CN184" s="697"/>
      <c r="CO184" s="697"/>
      <c r="CP184" s="697"/>
      <c r="CQ184" s="697"/>
      <c r="CR184" s="697"/>
      <c r="CS184" s="697"/>
      <c r="CT184" s="697"/>
      <c r="CU184" s="697"/>
      <c r="CV184" s="697"/>
      <c r="CW184" s="697"/>
      <c r="CX184" s="697"/>
      <c r="CY184" s="697"/>
      <c r="CZ184" s="697"/>
      <c r="DA184" s="697"/>
    </row>
    <row r="185" spans="1:105" hidden="1" outlineLevel="1" x14ac:dyDescent="0.2">
      <c r="A185" s="709">
        <f t="shared" si="41"/>
        <v>37773</v>
      </c>
      <c r="B185" s="709" t="str">
        <f t="shared" si="38"/>
        <v>2Q03</v>
      </c>
      <c r="C185" s="709" t="str">
        <f t="shared" si="42"/>
        <v>3Q03</v>
      </c>
      <c r="D185" s="710">
        <f t="shared" si="49"/>
        <v>37848</v>
      </c>
      <c r="E185" s="710">
        <f t="shared" si="49"/>
        <v>37788</v>
      </c>
      <c r="F185" s="712">
        <v>1.4319999999999999</v>
      </c>
      <c r="G185" s="713">
        <f t="shared" si="39"/>
        <v>6.0000000000000005E-2</v>
      </c>
      <c r="H185" s="713">
        <f t="shared" si="40"/>
        <v>6.0000000000000005E-2</v>
      </c>
      <c r="I185" s="713"/>
      <c r="J185" s="713"/>
      <c r="K185" s="713"/>
      <c r="L185" s="697"/>
      <c r="M185" s="697"/>
      <c r="N185" s="697"/>
      <c r="O185" s="697"/>
      <c r="P185" s="697"/>
      <c r="Q185" s="697"/>
      <c r="R185" s="697"/>
      <c r="S185" s="697"/>
      <c r="T185" s="697"/>
      <c r="U185" s="697"/>
      <c r="V185" s="697"/>
      <c r="W185" s="697"/>
      <c r="X185" s="697"/>
      <c r="Y185" s="697"/>
      <c r="Z185" s="697"/>
      <c r="AA185" s="697"/>
      <c r="AB185" s="697"/>
      <c r="AC185" s="697"/>
      <c r="AD185" s="697"/>
      <c r="AE185" s="697"/>
      <c r="AF185" s="697"/>
      <c r="AG185" s="697"/>
      <c r="AH185" s="697"/>
      <c r="AI185" s="697"/>
      <c r="AJ185" s="697"/>
      <c r="AK185" s="697"/>
      <c r="AL185" s="697"/>
      <c r="AM185" s="697"/>
      <c r="AN185" s="697"/>
      <c r="AO185" s="697"/>
      <c r="AP185" s="697"/>
      <c r="AQ185" s="697"/>
      <c r="AR185" s="697"/>
      <c r="AS185" s="697"/>
      <c r="AT185" s="697"/>
      <c r="AU185" s="697"/>
      <c r="AV185" s="697"/>
      <c r="AW185" s="697"/>
      <c r="AX185" s="697"/>
      <c r="AY185" s="697"/>
      <c r="AZ185" s="697"/>
      <c r="BA185" s="697"/>
      <c r="BB185" s="697"/>
      <c r="BC185" s="697"/>
      <c r="BD185" s="697"/>
      <c r="BE185" s="697"/>
      <c r="BF185" s="697"/>
      <c r="BG185" s="697"/>
      <c r="BH185" s="697"/>
      <c r="BI185" s="697"/>
      <c r="BJ185" s="697"/>
      <c r="BK185" s="697"/>
      <c r="BL185" s="697"/>
      <c r="BM185" s="697"/>
      <c r="BN185" s="697"/>
      <c r="BO185" s="697"/>
      <c r="BP185" s="697"/>
      <c r="BQ185" s="697"/>
      <c r="BR185" s="697"/>
      <c r="BS185" s="697"/>
      <c r="BT185" s="697"/>
      <c r="BU185" s="697"/>
      <c r="BV185" s="697"/>
      <c r="BW185" s="697"/>
      <c r="BX185" s="697"/>
      <c r="BY185" s="697"/>
      <c r="BZ185" s="697"/>
      <c r="CA185" s="697"/>
      <c r="CB185" s="697"/>
      <c r="CC185" s="697"/>
      <c r="CD185" s="697"/>
      <c r="CE185" s="697"/>
      <c r="CF185" s="697"/>
      <c r="CG185" s="697"/>
      <c r="CH185" s="697"/>
      <c r="CI185" s="697"/>
      <c r="CJ185" s="697"/>
      <c r="CK185" s="697"/>
      <c r="CL185" s="697"/>
      <c r="CM185" s="697"/>
      <c r="CN185" s="697"/>
      <c r="CO185" s="697"/>
      <c r="CP185" s="697"/>
      <c r="CQ185" s="697"/>
      <c r="CR185" s="697"/>
      <c r="CS185" s="697"/>
      <c r="CT185" s="697"/>
      <c r="CU185" s="697"/>
      <c r="CV185" s="697"/>
      <c r="CW185" s="697"/>
      <c r="CX185" s="697"/>
      <c r="CY185" s="697"/>
      <c r="CZ185" s="697"/>
      <c r="DA185" s="697"/>
    </row>
    <row r="186" spans="1:105" hidden="1" outlineLevel="1" x14ac:dyDescent="0.2">
      <c r="A186" s="709">
        <f t="shared" si="41"/>
        <v>37773</v>
      </c>
      <c r="B186" s="709" t="str">
        <f t="shared" si="38"/>
        <v>2Q03</v>
      </c>
      <c r="C186" s="709" t="str">
        <f t="shared" si="42"/>
        <v>3Q03</v>
      </c>
      <c r="D186" s="710">
        <f t="shared" si="49"/>
        <v>37855</v>
      </c>
      <c r="E186" s="710">
        <f t="shared" si="49"/>
        <v>37795</v>
      </c>
      <c r="F186" s="712">
        <v>1.423</v>
      </c>
      <c r="G186" s="713">
        <f t="shared" si="39"/>
        <v>6.0000000000000005E-2</v>
      </c>
      <c r="H186" s="713">
        <f t="shared" si="40"/>
        <v>6.0000000000000005E-2</v>
      </c>
      <c r="I186" s="713"/>
      <c r="J186" s="713"/>
      <c r="K186" s="713"/>
      <c r="L186" s="697"/>
      <c r="M186" s="697"/>
      <c r="N186" s="697"/>
      <c r="O186" s="697"/>
      <c r="P186" s="697"/>
      <c r="Q186" s="697"/>
      <c r="R186" s="697"/>
      <c r="S186" s="697"/>
      <c r="T186" s="697"/>
      <c r="U186" s="697"/>
      <c r="V186" s="697"/>
      <c r="W186" s="697"/>
      <c r="X186" s="697"/>
      <c r="Y186" s="697"/>
      <c r="Z186" s="697"/>
      <c r="AA186" s="697"/>
      <c r="AB186" s="697"/>
      <c r="AC186" s="697"/>
      <c r="AD186" s="697"/>
      <c r="AE186" s="697"/>
      <c r="AF186" s="697"/>
      <c r="AG186" s="697"/>
      <c r="AH186" s="697"/>
      <c r="AI186" s="697"/>
      <c r="AJ186" s="697"/>
      <c r="AK186" s="697"/>
      <c r="AL186" s="697"/>
      <c r="AM186" s="697"/>
      <c r="AN186" s="697"/>
      <c r="AO186" s="697"/>
      <c r="AP186" s="697"/>
      <c r="AQ186" s="697"/>
      <c r="AR186" s="697"/>
      <c r="AS186" s="697"/>
      <c r="AT186" s="697"/>
      <c r="AU186" s="697"/>
      <c r="AV186" s="697"/>
      <c r="AW186" s="697"/>
      <c r="AX186" s="697"/>
      <c r="AY186" s="697"/>
      <c r="AZ186" s="697"/>
      <c r="BA186" s="697"/>
      <c r="BB186" s="697"/>
      <c r="BC186" s="697"/>
      <c r="BD186" s="697"/>
      <c r="BE186" s="697"/>
      <c r="BF186" s="697"/>
      <c r="BG186" s="697"/>
      <c r="BH186" s="697"/>
      <c r="BI186" s="697"/>
      <c r="BJ186" s="697"/>
      <c r="BK186" s="697"/>
      <c r="BL186" s="697"/>
      <c r="BM186" s="697"/>
      <c r="BN186" s="697"/>
      <c r="BO186" s="697"/>
      <c r="BP186" s="697"/>
      <c r="BQ186" s="697"/>
      <c r="BR186" s="697"/>
      <c r="BS186" s="697"/>
      <c r="BT186" s="697"/>
      <c r="BU186" s="697"/>
      <c r="BV186" s="697"/>
      <c r="BW186" s="697"/>
      <c r="BX186" s="697"/>
      <c r="BY186" s="697"/>
      <c r="BZ186" s="697"/>
      <c r="CA186" s="697"/>
      <c r="CB186" s="697"/>
      <c r="CC186" s="697"/>
      <c r="CD186" s="697"/>
      <c r="CE186" s="697"/>
      <c r="CF186" s="697"/>
      <c r="CG186" s="697"/>
      <c r="CH186" s="697"/>
      <c r="CI186" s="697"/>
      <c r="CJ186" s="697"/>
      <c r="CK186" s="697"/>
      <c r="CL186" s="697"/>
      <c r="CM186" s="697"/>
      <c r="CN186" s="697"/>
      <c r="CO186" s="697"/>
      <c r="CP186" s="697"/>
      <c r="CQ186" s="697"/>
      <c r="CR186" s="697"/>
      <c r="CS186" s="697"/>
      <c r="CT186" s="697"/>
      <c r="CU186" s="697"/>
      <c r="CV186" s="697"/>
      <c r="CW186" s="697"/>
      <c r="CX186" s="697"/>
      <c r="CY186" s="697"/>
      <c r="CZ186" s="697"/>
      <c r="DA186" s="697"/>
    </row>
    <row r="187" spans="1:105" hidden="1" outlineLevel="1" x14ac:dyDescent="0.2">
      <c r="A187" s="709">
        <f t="shared" si="41"/>
        <v>37773</v>
      </c>
      <c r="B187" s="709" t="str">
        <f t="shared" si="38"/>
        <v>2Q03</v>
      </c>
      <c r="C187" s="709" t="str">
        <f t="shared" si="42"/>
        <v>3Q03</v>
      </c>
      <c r="D187" s="710">
        <f t="shared" si="49"/>
        <v>37862</v>
      </c>
      <c r="E187" s="710">
        <f t="shared" si="49"/>
        <v>37802</v>
      </c>
      <c r="F187" s="712">
        <v>1.42</v>
      </c>
      <c r="G187" s="713">
        <f t="shared" si="39"/>
        <v>6.0000000000000005E-2</v>
      </c>
      <c r="H187" s="713">
        <f t="shared" si="40"/>
        <v>6.0000000000000005E-2</v>
      </c>
      <c r="I187" s="713"/>
      <c r="J187" s="713"/>
      <c r="K187" s="713"/>
      <c r="L187" s="697"/>
      <c r="M187" s="697"/>
      <c r="N187" s="697"/>
      <c r="O187" s="697"/>
      <c r="P187" s="697"/>
      <c r="Q187" s="697"/>
      <c r="R187" s="697"/>
      <c r="S187" s="697"/>
      <c r="T187" s="697"/>
      <c r="U187" s="697"/>
      <c r="V187" s="697"/>
      <c r="W187" s="697"/>
      <c r="X187" s="697"/>
      <c r="Y187" s="697"/>
      <c r="Z187" s="697"/>
      <c r="AA187" s="697"/>
      <c r="AB187" s="697"/>
      <c r="AC187" s="697"/>
      <c r="AD187" s="697"/>
      <c r="AE187" s="697"/>
      <c r="AF187" s="697"/>
      <c r="AG187" s="697"/>
      <c r="AH187" s="697"/>
      <c r="AI187" s="697"/>
      <c r="AJ187" s="697"/>
      <c r="AK187" s="697"/>
      <c r="AL187" s="697"/>
      <c r="AM187" s="697"/>
      <c r="AN187" s="697"/>
      <c r="AO187" s="697"/>
      <c r="AP187" s="697"/>
      <c r="AQ187" s="697"/>
      <c r="AR187" s="697"/>
      <c r="AS187" s="697"/>
      <c r="AT187" s="697"/>
      <c r="AU187" s="697"/>
      <c r="AV187" s="697"/>
      <c r="AW187" s="697"/>
      <c r="AX187" s="697"/>
      <c r="AY187" s="697"/>
      <c r="AZ187" s="697"/>
      <c r="BA187" s="697"/>
      <c r="BB187" s="697"/>
      <c r="BC187" s="697"/>
      <c r="BD187" s="697"/>
      <c r="BE187" s="697"/>
      <c r="BF187" s="697"/>
      <c r="BG187" s="697"/>
      <c r="BH187" s="697"/>
      <c r="BI187" s="697"/>
      <c r="BJ187" s="697"/>
      <c r="BK187" s="697"/>
      <c r="BL187" s="697"/>
      <c r="BM187" s="697"/>
      <c r="BN187" s="697"/>
      <c r="BO187" s="697"/>
      <c r="BP187" s="697"/>
      <c r="BQ187" s="697"/>
      <c r="BR187" s="697"/>
      <c r="BS187" s="697"/>
      <c r="BT187" s="697"/>
      <c r="BU187" s="697"/>
      <c r="BV187" s="697"/>
      <c r="BW187" s="697"/>
      <c r="BX187" s="697"/>
      <c r="BY187" s="697"/>
      <c r="BZ187" s="697"/>
      <c r="CA187" s="697"/>
      <c r="CB187" s="697"/>
      <c r="CC187" s="697"/>
      <c r="CD187" s="697"/>
      <c r="CE187" s="697"/>
      <c r="CF187" s="697"/>
      <c r="CG187" s="697"/>
      <c r="CH187" s="697"/>
      <c r="CI187" s="697"/>
      <c r="CJ187" s="697"/>
      <c r="CK187" s="697"/>
      <c r="CL187" s="697"/>
      <c r="CM187" s="697"/>
      <c r="CN187" s="697"/>
      <c r="CO187" s="697"/>
      <c r="CP187" s="697"/>
      <c r="CQ187" s="697"/>
      <c r="CR187" s="697"/>
      <c r="CS187" s="697"/>
      <c r="CT187" s="697"/>
      <c r="CU187" s="697"/>
      <c r="CV187" s="697"/>
      <c r="CW187" s="697"/>
      <c r="CX187" s="697"/>
      <c r="CY187" s="697"/>
      <c r="CZ187" s="697"/>
      <c r="DA187" s="697"/>
    </row>
    <row r="188" spans="1:105" hidden="1" outlineLevel="1" x14ac:dyDescent="0.2">
      <c r="A188" s="709">
        <f t="shared" si="41"/>
        <v>37803</v>
      </c>
      <c r="B188" s="709" t="str">
        <f t="shared" si="38"/>
        <v>3Q03</v>
      </c>
      <c r="C188" s="709" t="str">
        <f t="shared" si="42"/>
        <v>3Q03</v>
      </c>
      <c r="D188" s="710">
        <f t="shared" si="49"/>
        <v>37869</v>
      </c>
      <c r="E188" s="710">
        <f t="shared" si="49"/>
        <v>37809</v>
      </c>
      <c r="F188" s="712">
        <v>1.4280000000000002</v>
      </c>
      <c r="G188" s="713">
        <f t="shared" si="39"/>
        <v>6.0000000000000005E-2</v>
      </c>
      <c r="H188" s="713">
        <f t="shared" si="40"/>
        <v>6.0000000000000005E-2</v>
      </c>
      <c r="I188" s="713"/>
      <c r="J188" s="713"/>
      <c r="K188" s="713"/>
      <c r="L188" s="697"/>
      <c r="M188" s="697"/>
      <c r="N188" s="697"/>
      <c r="O188" s="697"/>
      <c r="P188" s="697"/>
      <c r="Q188" s="697"/>
      <c r="R188" s="697"/>
      <c r="S188" s="697"/>
      <c r="T188" s="697"/>
      <c r="U188" s="697"/>
      <c r="V188" s="697"/>
      <c r="W188" s="697"/>
      <c r="X188" s="697"/>
      <c r="Y188" s="697"/>
      <c r="Z188" s="697"/>
      <c r="AA188" s="697"/>
      <c r="AB188" s="697"/>
      <c r="AC188" s="697"/>
      <c r="AD188" s="697"/>
      <c r="AE188" s="697"/>
      <c r="AF188" s="697"/>
      <c r="AG188" s="697"/>
      <c r="AH188" s="697"/>
      <c r="AI188" s="697"/>
      <c r="AJ188" s="697"/>
      <c r="AK188" s="697"/>
      <c r="AL188" s="697"/>
      <c r="AM188" s="697"/>
      <c r="AN188" s="697"/>
      <c r="AO188" s="697"/>
      <c r="AP188" s="697"/>
      <c r="AQ188" s="697"/>
      <c r="AR188" s="697"/>
      <c r="AS188" s="697"/>
      <c r="AT188" s="697"/>
      <c r="AU188" s="697"/>
      <c r="AV188" s="697"/>
      <c r="AW188" s="697"/>
      <c r="AX188" s="697"/>
      <c r="AY188" s="697"/>
      <c r="AZ188" s="697"/>
      <c r="BA188" s="697"/>
      <c r="BB188" s="697"/>
      <c r="BC188" s="697"/>
      <c r="BD188" s="697"/>
      <c r="BE188" s="697"/>
      <c r="BF188" s="697"/>
      <c r="BG188" s="697"/>
      <c r="BH188" s="697"/>
      <c r="BI188" s="697"/>
      <c r="BJ188" s="697"/>
      <c r="BK188" s="697"/>
      <c r="BL188" s="697"/>
      <c r="BM188" s="697"/>
      <c r="BN188" s="697"/>
      <c r="BO188" s="697"/>
      <c r="BP188" s="697"/>
      <c r="BQ188" s="697"/>
      <c r="BR188" s="697"/>
      <c r="BS188" s="697"/>
      <c r="BT188" s="697"/>
      <c r="BU188" s="697"/>
      <c r="BV188" s="697"/>
      <c r="BW188" s="697"/>
      <c r="BX188" s="697"/>
      <c r="BY188" s="697"/>
      <c r="BZ188" s="697"/>
      <c r="CA188" s="697"/>
      <c r="CB188" s="697"/>
      <c r="CC188" s="697"/>
      <c r="CD188" s="697"/>
      <c r="CE188" s="697"/>
      <c r="CF188" s="697"/>
      <c r="CG188" s="697"/>
      <c r="CH188" s="697"/>
      <c r="CI188" s="697"/>
      <c r="CJ188" s="697"/>
      <c r="CK188" s="697"/>
      <c r="CL188" s="697"/>
      <c r="CM188" s="697"/>
      <c r="CN188" s="697"/>
      <c r="CO188" s="697"/>
      <c r="CP188" s="697"/>
      <c r="CQ188" s="697"/>
      <c r="CR188" s="697"/>
      <c r="CS188" s="697"/>
      <c r="CT188" s="697"/>
      <c r="CU188" s="697"/>
      <c r="CV188" s="697"/>
      <c r="CW188" s="697"/>
      <c r="CX188" s="697"/>
      <c r="CY188" s="697"/>
      <c r="CZ188" s="697"/>
      <c r="DA188" s="697"/>
    </row>
    <row r="189" spans="1:105" hidden="1" outlineLevel="1" x14ac:dyDescent="0.2">
      <c r="A189" s="709">
        <f t="shared" si="41"/>
        <v>37803</v>
      </c>
      <c r="B189" s="709" t="str">
        <f t="shared" si="38"/>
        <v>3Q03</v>
      </c>
      <c r="C189" s="709" t="str">
        <f t="shared" si="42"/>
        <v>3Q03</v>
      </c>
      <c r="D189" s="710">
        <f t="shared" si="49"/>
        <v>37876</v>
      </c>
      <c r="E189" s="710">
        <f t="shared" si="49"/>
        <v>37816</v>
      </c>
      <c r="F189" s="712">
        <v>1.4350000000000001</v>
      </c>
      <c r="G189" s="713">
        <f t="shared" si="39"/>
        <v>6.0000000000000005E-2</v>
      </c>
      <c r="H189" s="713">
        <f t="shared" si="40"/>
        <v>6.0000000000000005E-2</v>
      </c>
      <c r="I189" s="713"/>
      <c r="J189" s="713"/>
      <c r="K189" s="713"/>
      <c r="L189" s="697"/>
      <c r="M189" s="697"/>
      <c r="N189" s="697"/>
      <c r="O189" s="697"/>
      <c r="P189" s="697"/>
      <c r="Q189" s="697"/>
      <c r="R189" s="697"/>
      <c r="S189" s="697"/>
      <c r="T189" s="697"/>
      <c r="U189" s="697"/>
      <c r="V189" s="697"/>
      <c r="W189" s="697"/>
      <c r="X189" s="697"/>
      <c r="Y189" s="697"/>
      <c r="Z189" s="697"/>
      <c r="AA189" s="697"/>
      <c r="AB189" s="697"/>
      <c r="AC189" s="697"/>
      <c r="AD189" s="697"/>
      <c r="AE189" s="697"/>
      <c r="AF189" s="697"/>
      <c r="AG189" s="697"/>
      <c r="AH189" s="697"/>
      <c r="AI189" s="697"/>
      <c r="AJ189" s="697"/>
      <c r="AK189" s="697"/>
      <c r="AL189" s="697"/>
      <c r="AM189" s="697"/>
      <c r="AN189" s="697"/>
      <c r="AO189" s="697"/>
      <c r="AP189" s="697"/>
      <c r="AQ189" s="697"/>
      <c r="AR189" s="697"/>
      <c r="AS189" s="697"/>
      <c r="AT189" s="697"/>
      <c r="AU189" s="697"/>
      <c r="AV189" s="697"/>
      <c r="AW189" s="697"/>
      <c r="AX189" s="697"/>
      <c r="AY189" s="697"/>
      <c r="AZ189" s="697"/>
      <c r="BA189" s="697"/>
      <c r="BB189" s="697"/>
      <c r="BC189" s="697"/>
      <c r="BD189" s="697"/>
      <c r="BE189" s="697"/>
      <c r="BF189" s="697"/>
      <c r="BG189" s="697"/>
      <c r="BH189" s="697"/>
      <c r="BI189" s="697"/>
      <c r="BJ189" s="697"/>
      <c r="BK189" s="697"/>
      <c r="BL189" s="697"/>
      <c r="BM189" s="697"/>
      <c r="BN189" s="697"/>
      <c r="BO189" s="697"/>
      <c r="BP189" s="697"/>
      <c r="BQ189" s="697"/>
      <c r="BR189" s="697"/>
      <c r="BS189" s="697"/>
      <c r="BT189" s="697"/>
      <c r="BU189" s="697"/>
      <c r="BV189" s="697"/>
      <c r="BW189" s="697"/>
      <c r="BX189" s="697"/>
      <c r="BY189" s="697"/>
      <c r="BZ189" s="697"/>
      <c r="CA189" s="697"/>
      <c r="CB189" s="697"/>
      <c r="CC189" s="697"/>
      <c r="CD189" s="697"/>
      <c r="CE189" s="697"/>
      <c r="CF189" s="697"/>
      <c r="CG189" s="697"/>
      <c r="CH189" s="697"/>
      <c r="CI189" s="697"/>
      <c r="CJ189" s="697"/>
      <c r="CK189" s="697"/>
      <c r="CL189" s="697"/>
      <c r="CM189" s="697"/>
      <c r="CN189" s="697"/>
      <c r="CO189" s="697"/>
      <c r="CP189" s="697"/>
      <c r="CQ189" s="697"/>
      <c r="CR189" s="697"/>
      <c r="CS189" s="697"/>
      <c r="CT189" s="697"/>
      <c r="CU189" s="697"/>
      <c r="CV189" s="697"/>
      <c r="CW189" s="697"/>
      <c r="CX189" s="697"/>
      <c r="CY189" s="697"/>
      <c r="CZ189" s="697"/>
      <c r="DA189" s="697"/>
    </row>
    <row r="190" spans="1:105" hidden="1" outlineLevel="1" x14ac:dyDescent="0.2">
      <c r="A190" s="709">
        <f t="shared" si="41"/>
        <v>37803</v>
      </c>
      <c r="B190" s="709" t="str">
        <f t="shared" si="38"/>
        <v>3Q03</v>
      </c>
      <c r="C190" s="709" t="str">
        <f t="shared" si="42"/>
        <v>3Q03</v>
      </c>
      <c r="D190" s="710">
        <f t="shared" si="49"/>
        <v>37883</v>
      </c>
      <c r="E190" s="710">
        <f t="shared" si="49"/>
        <v>37823</v>
      </c>
      <c r="F190" s="712">
        <v>1.4390000000000001</v>
      </c>
      <c r="G190" s="713">
        <f t="shared" si="39"/>
        <v>6.0000000000000005E-2</v>
      </c>
      <c r="H190" s="713">
        <f t="shared" si="40"/>
        <v>6.0000000000000005E-2</v>
      </c>
      <c r="I190" s="713"/>
      <c r="J190" s="713"/>
      <c r="K190" s="713"/>
      <c r="L190" s="697"/>
      <c r="M190" s="697"/>
      <c r="N190" s="697"/>
      <c r="O190" s="697"/>
      <c r="P190" s="697"/>
      <c r="Q190" s="697"/>
      <c r="R190" s="697"/>
      <c r="S190" s="697"/>
      <c r="T190" s="697"/>
      <c r="U190" s="697"/>
      <c r="V190" s="697"/>
      <c r="W190" s="697"/>
      <c r="X190" s="697"/>
      <c r="Y190" s="697"/>
      <c r="Z190" s="697"/>
      <c r="AA190" s="697"/>
      <c r="AB190" s="697"/>
      <c r="AC190" s="697"/>
      <c r="AD190" s="697"/>
      <c r="AE190" s="697"/>
      <c r="AF190" s="697"/>
      <c r="AG190" s="697"/>
      <c r="AH190" s="697"/>
      <c r="AI190" s="697"/>
      <c r="AJ190" s="697"/>
      <c r="AK190" s="697"/>
      <c r="AL190" s="697"/>
      <c r="AM190" s="697"/>
      <c r="AN190" s="697"/>
      <c r="AO190" s="697"/>
      <c r="AP190" s="697"/>
      <c r="AQ190" s="697"/>
      <c r="AR190" s="697"/>
      <c r="AS190" s="697"/>
      <c r="AT190" s="697"/>
      <c r="AU190" s="697"/>
      <c r="AV190" s="697"/>
      <c r="AW190" s="697"/>
      <c r="AX190" s="697"/>
      <c r="AY190" s="697"/>
      <c r="AZ190" s="697"/>
      <c r="BA190" s="697"/>
      <c r="BB190" s="697"/>
      <c r="BC190" s="697"/>
      <c r="BD190" s="697"/>
      <c r="BE190" s="697"/>
      <c r="BF190" s="697"/>
      <c r="BG190" s="697"/>
      <c r="BH190" s="697"/>
      <c r="BI190" s="697"/>
      <c r="BJ190" s="697"/>
      <c r="BK190" s="697"/>
      <c r="BL190" s="697"/>
      <c r="BM190" s="697"/>
      <c r="BN190" s="697"/>
      <c r="BO190" s="697"/>
      <c r="BP190" s="697"/>
      <c r="BQ190" s="697"/>
      <c r="BR190" s="697"/>
      <c r="BS190" s="697"/>
      <c r="BT190" s="697"/>
      <c r="BU190" s="697"/>
      <c r="BV190" s="697"/>
      <c r="BW190" s="697"/>
      <c r="BX190" s="697"/>
      <c r="BY190" s="697"/>
      <c r="BZ190" s="697"/>
      <c r="CA190" s="697"/>
      <c r="CB190" s="697"/>
      <c r="CC190" s="697"/>
      <c r="CD190" s="697"/>
      <c r="CE190" s="697"/>
      <c r="CF190" s="697"/>
      <c r="CG190" s="697"/>
      <c r="CH190" s="697"/>
      <c r="CI190" s="697"/>
      <c r="CJ190" s="697"/>
      <c r="CK190" s="697"/>
      <c r="CL190" s="697"/>
      <c r="CM190" s="697"/>
      <c r="CN190" s="697"/>
      <c r="CO190" s="697"/>
      <c r="CP190" s="697"/>
      <c r="CQ190" s="697"/>
      <c r="CR190" s="697"/>
      <c r="CS190" s="697"/>
      <c r="CT190" s="697"/>
      <c r="CU190" s="697"/>
      <c r="CV190" s="697"/>
      <c r="CW190" s="697"/>
      <c r="CX190" s="697"/>
      <c r="CY190" s="697"/>
      <c r="CZ190" s="697"/>
      <c r="DA190" s="697"/>
    </row>
    <row r="191" spans="1:105" hidden="1" outlineLevel="1" x14ac:dyDescent="0.2">
      <c r="A191" s="709">
        <f t="shared" si="41"/>
        <v>37803</v>
      </c>
      <c r="B191" s="709" t="str">
        <f t="shared" si="38"/>
        <v>3Q03</v>
      </c>
      <c r="C191" s="709" t="str">
        <f t="shared" si="42"/>
        <v>3Q03</v>
      </c>
      <c r="D191" s="710">
        <f t="shared" si="49"/>
        <v>37890</v>
      </c>
      <c r="E191" s="710">
        <f t="shared" si="49"/>
        <v>37830</v>
      </c>
      <c r="F191" s="712">
        <v>1.4380000000000002</v>
      </c>
      <c r="G191" s="713">
        <f t="shared" si="39"/>
        <v>6.0000000000000005E-2</v>
      </c>
      <c r="H191" s="713">
        <f t="shared" si="40"/>
        <v>7.0000000000000007E-2</v>
      </c>
      <c r="I191" s="713"/>
      <c r="J191" s="713"/>
      <c r="K191" s="713"/>
      <c r="L191" s="697"/>
      <c r="M191" s="697"/>
      <c r="N191" s="697"/>
      <c r="O191" s="697"/>
      <c r="P191" s="697"/>
      <c r="Q191" s="697"/>
      <c r="R191" s="697"/>
      <c r="S191" s="697"/>
      <c r="T191" s="697"/>
      <c r="U191" s="697"/>
      <c r="V191" s="697"/>
      <c r="W191" s="697"/>
      <c r="X191" s="697"/>
      <c r="Y191" s="697"/>
      <c r="Z191" s="697"/>
      <c r="AA191" s="697"/>
      <c r="AB191" s="697"/>
      <c r="AC191" s="697"/>
      <c r="AD191" s="697"/>
      <c r="AE191" s="697"/>
      <c r="AF191" s="697"/>
      <c r="AG191" s="697"/>
      <c r="AH191" s="697"/>
      <c r="AI191" s="697"/>
      <c r="AJ191" s="697"/>
      <c r="AK191" s="697"/>
      <c r="AL191" s="697"/>
      <c r="AM191" s="697"/>
      <c r="AN191" s="697"/>
      <c r="AO191" s="697"/>
      <c r="AP191" s="697"/>
      <c r="AQ191" s="697"/>
      <c r="AR191" s="697"/>
      <c r="AS191" s="697"/>
      <c r="AT191" s="697"/>
      <c r="AU191" s="697"/>
      <c r="AV191" s="697"/>
      <c r="AW191" s="697"/>
      <c r="AX191" s="697"/>
      <c r="AY191" s="697"/>
      <c r="AZ191" s="697"/>
      <c r="BA191" s="697"/>
      <c r="BB191" s="697"/>
      <c r="BC191" s="697"/>
      <c r="BD191" s="697"/>
      <c r="BE191" s="697"/>
      <c r="BF191" s="697"/>
      <c r="BG191" s="697"/>
      <c r="BH191" s="697"/>
      <c r="BI191" s="697"/>
      <c r="BJ191" s="697"/>
      <c r="BK191" s="697"/>
      <c r="BL191" s="697"/>
      <c r="BM191" s="697"/>
      <c r="BN191" s="697"/>
      <c r="BO191" s="697"/>
      <c r="BP191" s="697"/>
      <c r="BQ191" s="697"/>
      <c r="BR191" s="697"/>
      <c r="BS191" s="697"/>
      <c r="BT191" s="697"/>
      <c r="BU191" s="697"/>
      <c r="BV191" s="697"/>
      <c r="BW191" s="697"/>
      <c r="BX191" s="697"/>
      <c r="BY191" s="697"/>
      <c r="BZ191" s="697"/>
      <c r="CA191" s="697"/>
      <c r="CB191" s="697"/>
      <c r="CC191" s="697"/>
      <c r="CD191" s="697"/>
      <c r="CE191" s="697"/>
      <c r="CF191" s="697"/>
      <c r="CG191" s="697"/>
      <c r="CH191" s="697"/>
      <c r="CI191" s="697"/>
      <c r="CJ191" s="697"/>
      <c r="CK191" s="697"/>
      <c r="CL191" s="697"/>
      <c r="CM191" s="697"/>
      <c r="CN191" s="697"/>
      <c r="CO191" s="697"/>
      <c r="CP191" s="697"/>
      <c r="CQ191" s="697"/>
      <c r="CR191" s="697"/>
      <c r="CS191" s="697"/>
      <c r="CT191" s="697"/>
      <c r="CU191" s="697"/>
      <c r="CV191" s="697"/>
      <c r="CW191" s="697"/>
      <c r="CX191" s="697"/>
      <c r="CY191" s="697"/>
      <c r="CZ191" s="697"/>
      <c r="DA191" s="697"/>
    </row>
    <row r="192" spans="1:105" hidden="1" outlineLevel="1" x14ac:dyDescent="0.2">
      <c r="A192" s="709">
        <f t="shared" si="41"/>
        <v>37834</v>
      </c>
      <c r="B192" s="709" t="str">
        <f t="shared" si="38"/>
        <v>3Q03</v>
      </c>
      <c r="C192" s="709" t="str">
        <f t="shared" si="42"/>
        <v>4Q03</v>
      </c>
      <c r="D192" s="710">
        <f t="shared" si="49"/>
        <v>37897</v>
      </c>
      <c r="E192" s="710">
        <f t="shared" si="49"/>
        <v>37837</v>
      </c>
      <c r="F192" s="712">
        <v>1.4530000000000001</v>
      </c>
      <c r="G192" s="713">
        <f t="shared" si="39"/>
        <v>7.0000000000000007E-2</v>
      </c>
      <c r="H192" s="713">
        <f t="shared" si="40"/>
        <v>7.0000000000000007E-2</v>
      </c>
      <c r="I192" s="713"/>
      <c r="J192" s="713"/>
      <c r="K192" s="713"/>
      <c r="L192" s="697"/>
      <c r="M192" s="697"/>
      <c r="N192" s="697"/>
      <c r="O192" s="697"/>
      <c r="P192" s="697"/>
      <c r="Q192" s="697"/>
      <c r="R192" s="697"/>
      <c r="S192" s="697"/>
      <c r="T192" s="697"/>
      <c r="U192" s="697"/>
      <c r="V192" s="697"/>
      <c r="W192" s="697"/>
      <c r="X192" s="697"/>
      <c r="Y192" s="697"/>
      <c r="Z192" s="697"/>
      <c r="AA192" s="697"/>
      <c r="AB192" s="697"/>
      <c r="AC192" s="697"/>
      <c r="AD192" s="697"/>
      <c r="AE192" s="697"/>
      <c r="AF192" s="697"/>
      <c r="AG192" s="697"/>
      <c r="AH192" s="697"/>
      <c r="AI192" s="697"/>
      <c r="AJ192" s="697"/>
      <c r="AK192" s="697"/>
      <c r="AL192" s="697"/>
      <c r="AM192" s="697"/>
      <c r="AN192" s="697"/>
      <c r="AO192" s="697"/>
      <c r="AP192" s="697"/>
      <c r="AQ192" s="697"/>
      <c r="AR192" s="697"/>
      <c r="AS192" s="697"/>
      <c r="AT192" s="697"/>
      <c r="AU192" s="697"/>
      <c r="AV192" s="697"/>
      <c r="AW192" s="697"/>
      <c r="AX192" s="697"/>
      <c r="AY192" s="697"/>
      <c r="AZ192" s="697"/>
      <c r="BA192" s="697"/>
      <c r="BB192" s="697"/>
      <c r="BC192" s="697"/>
      <c r="BD192" s="697"/>
      <c r="BE192" s="697"/>
      <c r="BF192" s="697"/>
      <c r="BG192" s="697"/>
      <c r="BH192" s="697"/>
      <c r="BI192" s="697"/>
      <c r="BJ192" s="697"/>
      <c r="BK192" s="697"/>
      <c r="BL192" s="697"/>
      <c r="BM192" s="697"/>
      <c r="BN192" s="697"/>
      <c r="BO192" s="697"/>
      <c r="BP192" s="697"/>
      <c r="BQ192" s="697"/>
      <c r="BR192" s="697"/>
      <c r="BS192" s="697"/>
      <c r="BT192" s="697"/>
      <c r="BU192" s="697"/>
      <c r="BV192" s="697"/>
      <c r="BW192" s="697"/>
      <c r="BX192" s="697"/>
      <c r="BY192" s="697"/>
      <c r="BZ192" s="697"/>
      <c r="CA192" s="697"/>
      <c r="CB192" s="697"/>
      <c r="CC192" s="697"/>
      <c r="CD192" s="697"/>
      <c r="CE192" s="697"/>
      <c r="CF192" s="697"/>
      <c r="CG192" s="697"/>
      <c r="CH192" s="697"/>
      <c r="CI192" s="697"/>
      <c r="CJ192" s="697"/>
      <c r="CK192" s="697"/>
      <c r="CL192" s="697"/>
      <c r="CM192" s="697"/>
      <c r="CN192" s="697"/>
      <c r="CO192" s="697"/>
      <c r="CP192" s="697"/>
      <c r="CQ192" s="697"/>
      <c r="CR192" s="697"/>
      <c r="CS192" s="697"/>
      <c r="CT192" s="697"/>
      <c r="CU192" s="697"/>
      <c r="CV192" s="697"/>
      <c r="CW192" s="697"/>
      <c r="CX192" s="697"/>
      <c r="CY192" s="697"/>
      <c r="CZ192" s="697"/>
      <c r="DA192" s="697"/>
    </row>
    <row r="193" spans="1:105" hidden="1" outlineLevel="1" x14ac:dyDescent="0.2">
      <c r="A193" s="709">
        <f t="shared" si="41"/>
        <v>37834</v>
      </c>
      <c r="B193" s="709" t="str">
        <f t="shared" si="38"/>
        <v>3Q03</v>
      </c>
      <c r="C193" s="709" t="str">
        <f t="shared" si="42"/>
        <v>4Q03</v>
      </c>
      <c r="D193" s="710">
        <f t="shared" si="49"/>
        <v>37904</v>
      </c>
      <c r="E193" s="710">
        <f t="shared" si="49"/>
        <v>37844</v>
      </c>
      <c r="F193" s="712">
        <v>1.492</v>
      </c>
      <c r="G193" s="713">
        <f t="shared" si="39"/>
        <v>7.0000000000000007E-2</v>
      </c>
      <c r="H193" s="713">
        <f t="shared" si="40"/>
        <v>7.0000000000000007E-2</v>
      </c>
      <c r="I193" s="713"/>
      <c r="J193" s="713"/>
      <c r="K193" s="713"/>
      <c r="L193" s="697"/>
      <c r="M193" s="697"/>
      <c r="N193" s="697"/>
      <c r="O193" s="697"/>
      <c r="P193" s="697"/>
      <c r="Q193" s="697"/>
      <c r="R193" s="697"/>
      <c r="S193" s="697"/>
      <c r="T193" s="697"/>
      <c r="U193" s="697"/>
      <c r="V193" s="697"/>
      <c r="W193" s="697"/>
      <c r="X193" s="697"/>
      <c r="Y193" s="697"/>
      <c r="Z193" s="697"/>
      <c r="AA193" s="697"/>
      <c r="AB193" s="697"/>
      <c r="AC193" s="697"/>
      <c r="AD193" s="697"/>
      <c r="AE193" s="697"/>
      <c r="AF193" s="697"/>
      <c r="AG193" s="697"/>
      <c r="AH193" s="697"/>
      <c r="AI193" s="697"/>
      <c r="AJ193" s="697"/>
      <c r="AK193" s="697"/>
      <c r="AL193" s="697"/>
      <c r="AM193" s="697"/>
      <c r="AN193" s="697"/>
      <c r="AO193" s="697"/>
      <c r="AP193" s="697"/>
      <c r="AQ193" s="697"/>
      <c r="AR193" s="697"/>
      <c r="AS193" s="697"/>
      <c r="AT193" s="697"/>
      <c r="AU193" s="697"/>
      <c r="AV193" s="697"/>
      <c r="AW193" s="697"/>
      <c r="AX193" s="697"/>
      <c r="AY193" s="697"/>
      <c r="AZ193" s="697"/>
      <c r="BA193" s="697"/>
      <c r="BB193" s="697"/>
      <c r="BC193" s="697"/>
      <c r="BD193" s="697"/>
      <c r="BE193" s="697"/>
      <c r="BF193" s="697"/>
      <c r="BG193" s="697"/>
      <c r="BH193" s="697"/>
      <c r="BI193" s="697"/>
      <c r="BJ193" s="697"/>
      <c r="BK193" s="697"/>
      <c r="BL193" s="697"/>
      <c r="BM193" s="697"/>
      <c r="BN193" s="697"/>
      <c r="BO193" s="697"/>
      <c r="BP193" s="697"/>
      <c r="BQ193" s="697"/>
      <c r="BR193" s="697"/>
      <c r="BS193" s="697"/>
      <c r="BT193" s="697"/>
      <c r="BU193" s="697"/>
      <c r="BV193" s="697"/>
      <c r="BW193" s="697"/>
      <c r="BX193" s="697"/>
      <c r="BY193" s="697"/>
      <c r="BZ193" s="697"/>
      <c r="CA193" s="697"/>
      <c r="CB193" s="697"/>
      <c r="CC193" s="697"/>
      <c r="CD193" s="697"/>
      <c r="CE193" s="697"/>
      <c r="CF193" s="697"/>
      <c r="CG193" s="697"/>
      <c r="CH193" s="697"/>
      <c r="CI193" s="697"/>
      <c r="CJ193" s="697"/>
      <c r="CK193" s="697"/>
      <c r="CL193" s="697"/>
      <c r="CM193" s="697"/>
      <c r="CN193" s="697"/>
      <c r="CO193" s="697"/>
      <c r="CP193" s="697"/>
      <c r="CQ193" s="697"/>
      <c r="CR193" s="697"/>
      <c r="CS193" s="697"/>
      <c r="CT193" s="697"/>
      <c r="CU193" s="697"/>
      <c r="CV193" s="697"/>
      <c r="CW193" s="697"/>
      <c r="CX193" s="697"/>
      <c r="CY193" s="697"/>
      <c r="CZ193" s="697"/>
      <c r="DA193" s="697"/>
    </row>
    <row r="194" spans="1:105" hidden="1" outlineLevel="1" x14ac:dyDescent="0.2">
      <c r="A194" s="709">
        <f t="shared" si="41"/>
        <v>37834</v>
      </c>
      <c r="B194" s="709" t="str">
        <f t="shared" si="38"/>
        <v>3Q03</v>
      </c>
      <c r="C194" s="709" t="str">
        <f t="shared" si="42"/>
        <v>4Q03</v>
      </c>
      <c r="D194" s="710">
        <f t="shared" si="49"/>
        <v>37911</v>
      </c>
      <c r="E194" s="710">
        <f t="shared" si="49"/>
        <v>37851</v>
      </c>
      <c r="F194" s="712">
        <v>1.4980000000000002</v>
      </c>
      <c r="G194" s="713">
        <f t="shared" si="39"/>
        <v>7.0000000000000007E-2</v>
      </c>
      <c r="H194" s="713">
        <f t="shared" si="40"/>
        <v>0.08</v>
      </c>
      <c r="I194" s="713"/>
      <c r="J194" s="713"/>
      <c r="K194" s="713"/>
      <c r="L194" s="697"/>
      <c r="M194" s="697"/>
      <c r="N194" s="697"/>
      <c r="O194" s="697"/>
      <c r="P194" s="697"/>
      <c r="Q194" s="697"/>
      <c r="R194" s="697"/>
      <c r="S194" s="697"/>
      <c r="T194" s="697"/>
      <c r="U194" s="697"/>
      <c r="V194" s="697"/>
      <c r="W194" s="697"/>
      <c r="X194" s="697"/>
      <c r="Y194" s="697"/>
      <c r="Z194" s="697"/>
      <c r="AA194" s="697"/>
      <c r="AB194" s="697"/>
      <c r="AC194" s="697"/>
      <c r="AD194" s="697"/>
      <c r="AE194" s="697"/>
      <c r="AF194" s="697"/>
      <c r="AG194" s="697"/>
      <c r="AH194" s="697"/>
      <c r="AI194" s="697"/>
      <c r="AJ194" s="697"/>
      <c r="AK194" s="697"/>
      <c r="AL194" s="697"/>
      <c r="AM194" s="697"/>
      <c r="AN194" s="697"/>
      <c r="AO194" s="697"/>
      <c r="AP194" s="697"/>
      <c r="AQ194" s="697"/>
      <c r="AR194" s="697"/>
      <c r="AS194" s="697"/>
      <c r="AT194" s="697"/>
      <c r="AU194" s="697"/>
      <c r="AV194" s="697"/>
      <c r="AW194" s="697"/>
      <c r="AX194" s="697"/>
      <c r="AY194" s="697"/>
      <c r="AZ194" s="697"/>
      <c r="BA194" s="697"/>
      <c r="BB194" s="697"/>
      <c r="BC194" s="697"/>
      <c r="BD194" s="697"/>
      <c r="BE194" s="697"/>
      <c r="BF194" s="697"/>
      <c r="BG194" s="697"/>
      <c r="BH194" s="697"/>
      <c r="BI194" s="697"/>
      <c r="BJ194" s="697"/>
      <c r="BK194" s="697"/>
      <c r="BL194" s="697"/>
      <c r="BM194" s="697"/>
      <c r="BN194" s="697"/>
      <c r="BO194" s="697"/>
      <c r="BP194" s="697"/>
      <c r="BQ194" s="697"/>
      <c r="BR194" s="697"/>
      <c r="BS194" s="697"/>
      <c r="BT194" s="697"/>
      <c r="BU194" s="697"/>
      <c r="BV194" s="697"/>
      <c r="BW194" s="697"/>
      <c r="BX194" s="697"/>
      <c r="BY194" s="697"/>
      <c r="BZ194" s="697"/>
      <c r="CA194" s="697"/>
      <c r="CB194" s="697"/>
      <c r="CC194" s="697"/>
      <c r="CD194" s="697"/>
      <c r="CE194" s="697"/>
      <c r="CF194" s="697"/>
      <c r="CG194" s="697"/>
      <c r="CH194" s="697"/>
      <c r="CI194" s="697"/>
      <c r="CJ194" s="697"/>
      <c r="CK194" s="697"/>
      <c r="CL194" s="697"/>
      <c r="CM194" s="697"/>
      <c r="CN194" s="697"/>
      <c r="CO194" s="697"/>
      <c r="CP194" s="697"/>
      <c r="CQ194" s="697"/>
      <c r="CR194" s="697"/>
      <c r="CS194" s="697"/>
      <c r="CT194" s="697"/>
      <c r="CU194" s="697"/>
      <c r="CV194" s="697"/>
      <c r="CW194" s="697"/>
      <c r="CX194" s="697"/>
      <c r="CY194" s="697"/>
      <c r="CZ194" s="697"/>
      <c r="DA194" s="697"/>
    </row>
    <row r="195" spans="1:105" hidden="1" outlineLevel="1" x14ac:dyDescent="0.2">
      <c r="A195" s="709">
        <f t="shared" si="41"/>
        <v>37834</v>
      </c>
      <c r="B195" s="709" t="str">
        <f t="shared" si="38"/>
        <v>3Q03</v>
      </c>
      <c r="C195" s="709" t="str">
        <f t="shared" si="42"/>
        <v>4Q03</v>
      </c>
      <c r="D195" s="710">
        <f t="shared" si="49"/>
        <v>37918</v>
      </c>
      <c r="E195" s="710">
        <f t="shared" si="49"/>
        <v>37858</v>
      </c>
      <c r="F195" s="712">
        <v>1.5030000000000001</v>
      </c>
      <c r="G195" s="713">
        <f t="shared" si="39"/>
        <v>0.08</v>
      </c>
      <c r="H195" s="713">
        <f t="shared" si="40"/>
        <v>0.08</v>
      </c>
      <c r="I195" s="713"/>
      <c r="J195" s="713"/>
      <c r="K195" s="713"/>
      <c r="L195" s="697"/>
      <c r="M195" s="697"/>
      <c r="N195" s="697"/>
      <c r="O195" s="697"/>
      <c r="P195" s="697"/>
      <c r="Q195" s="697"/>
      <c r="R195" s="697"/>
      <c r="S195" s="697"/>
      <c r="T195" s="697"/>
      <c r="U195" s="697"/>
      <c r="V195" s="697"/>
      <c r="W195" s="697"/>
      <c r="X195" s="697"/>
      <c r="Y195" s="697"/>
      <c r="Z195" s="697"/>
      <c r="AA195" s="697"/>
      <c r="AB195" s="697"/>
      <c r="AC195" s="697"/>
      <c r="AD195" s="697"/>
      <c r="AE195" s="697"/>
      <c r="AF195" s="697"/>
      <c r="AG195" s="697"/>
      <c r="AH195" s="697"/>
      <c r="AI195" s="697"/>
      <c r="AJ195" s="697"/>
      <c r="AK195" s="697"/>
      <c r="AL195" s="697"/>
      <c r="AM195" s="697"/>
      <c r="AN195" s="697"/>
      <c r="AO195" s="697"/>
      <c r="AP195" s="697"/>
      <c r="AQ195" s="697"/>
      <c r="AR195" s="697"/>
      <c r="AS195" s="697"/>
      <c r="AT195" s="697"/>
      <c r="AU195" s="697"/>
      <c r="AV195" s="697"/>
      <c r="AW195" s="697"/>
      <c r="AX195" s="697"/>
      <c r="AY195" s="697"/>
      <c r="AZ195" s="697"/>
      <c r="BA195" s="697"/>
      <c r="BB195" s="697"/>
      <c r="BC195" s="697"/>
      <c r="BD195" s="697"/>
      <c r="BE195" s="697"/>
      <c r="BF195" s="697"/>
      <c r="BG195" s="697"/>
      <c r="BH195" s="697"/>
      <c r="BI195" s="697"/>
      <c r="BJ195" s="697"/>
      <c r="BK195" s="697"/>
      <c r="BL195" s="697"/>
      <c r="BM195" s="697"/>
      <c r="BN195" s="697"/>
      <c r="BO195" s="697"/>
      <c r="BP195" s="697"/>
      <c r="BQ195" s="697"/>
      <c r="BR195" s="697"/>
      <c r="BS195" s="697"/>
      <c r="BT195" s="697"/>
      <c r="BU195" s="697"/>
      <c r="BV195" s="697"/>
      <c r="BW195" s="697"/>
      <c r="BX195" s="697"/>
      <c r="BY195" s="697"/>
      <c r="BZ195" s="697"/>
      <c r="CA195" s="697"/>
      <c r="CB195" s="697"/>
      <c r="CC195" s="697"/>
      <c r="CD195" s="697"/>
      <c r="CE195" s="697"/>
      <c r="CF195" s="697"/>
      <c r="CG195" s="697"/>
      <c r="CH195" s="697"/>
      <c r="CI195" s="697"/>
      <c r="CJ195" s="697"/>
      <c r="CK195" s="697"/>
      <c r="CL195" s="697"/>
      <c r="CM195" s="697"/>
      <c r="CN195" s="697"/>
      <c r="CO195" s="697"/>
      <c r="CP195" s="697"/>
      <c r="CQ195" s="697"/>
      <c r="CR195" s="697"/>
      <c r="CS195" s="697"/>
      <c r="CT195" s="697"/>
      <c r="CU195" s="697"/>
      <c r="CV195" s="697"/>
      <c r="CW195" s="697"/>
      <c r="CX195" s="697"/>
      <c r="CY195" s="697"/>
      <c r="CZ195" s="697"/>
      <c r="DA195" s="697"/>
    </row>
    <row r="196" spans="1:105" hidden="1" outlineLevel="1" x14ac:dyDescent="0.2">
      <c r="A196" s="709">
        <f t="shared" si="41"/>
        <v>37865</v>
      </c>
      <c r="B196" s="709" t="str">
        <f t="shared" ref="B196:B259" si="50">VLOOKUP(MONTH(A196),$N$4:$O$16,2,FALSE) &amp; "Q" &amp; RIGHT(YEAR(A196),2)</f>
        <v>3Q03</v>
      </c>
      <c r="C196" s="709" t="str">
        <f t="shared" si="42"/>
        <v>4Q03</v>
      </c>
      <c r="D196" s="710">
        <f t="shared" si="49"/>
        <v>37925</v>
      </c>
      <c r="E196" s="710">
        <f t="shared" si="49"/>
        <v>37865</v>
      </c>
      <c r="F196" s="712">
        <v>1.5009999999999999</v>
      </c>
      <c r="G196" s="713">
        <f t="shared" ref="G196:G259" si="51">INDEX($I$4:$K$153,MATCH(F196,$I$4:$I$153,1),3)</f>
        <v>0.08</v>
      </c>
      <c r="H196" s="713">
        <f t="shared" ref="H196:H259" si="52">G197</f>
        <v>7.0000000000000007E-2</v>
      </c>
      <c r="I196" s="713"/>
      <c r="J196" s="713"/>
      <c r="K196" s="713"/>
      <c r="L196" s="697"/>
      <c r="M196" s="697"/>
      <c r="N196" s="697"/>
      <c r="O196" s="697"/>
      <c r="P196" s="697"/>
      <c r="Q196" s="697"/>
      <c r="R196" s="697"/>
      <c r="S196" s="697"/>
      <c r="T196" s="697"/>
      <c r="U196" s="697"/>
      <c r="V196" s="697"/>
      <c r="W196" s="697"/>
      <c r="X196" s="697"/>
      <c r="Y196" s="697"/>
      <c r="Z196" s="697"/>
      <c r="AA196" s="697"/>
      <c r="AB196" s="697"/>
      <c r="AC196" s="697"/>
      <c r="AD196" s="697"/>
      <c r="AE196" s="697"/>
      <c r="AF196" s="697"/>
      <c r="AG196" s="697"/>
      <c r="AH196" s="697"/>
      <c r="AI196" s="697"/>
      <c r="AJ196" s="697"/>
      <c r="AK196" s="697"/>
      <c r="AL196" s="697"/>
      <c r="AM196" s="697"/>
      <c r="AN196" s="697"/>
      <c r="AO196" s="697"/>
      <c r="AP196" s="697"/>
      <c r="AQ196" s="697"/>
      <c r="AR196" s="697"/>
      <c r="AS196" s="697"/>
      <c r="AT196" s="697"/>
      <c r="AU196" s="697"/>
      <c r="AV196" s="697"/>
      <c r="AW196" s="697"/>
      <c r="AX196" s="697"/>
      <c r="AY196" s="697"/>
      <c r="AZ196" s="697"/>
      <c r="BA196" s="697"/>
      <c r="BB196" s="697"/>
      <c r="BC196" s="697"/>
      <c r="BD196" s="697"/>
      <c r="BE196" s="697"/>
      <c r="BF196" s="697"/>
      <c r="BG196" s="697"/>
      <c r="BH196" s="697"/>
      <c r="BI196" s="697"/>
      <c r="BJ196" s="697"/>
      <c r="BK196" s="697"/>
      <c r="BL196" s="697"/>
      <c r="BM196" s="697"/>
      <c r="BN196" s="697"/>
      <c r="BO196" s="697"/>
      <c r="BP196" s="697"/>
      <c r="BQ196" s="697"/>
      <c r="BR196" s="697"/>
      <c r="BS196" s="697"/>
      <c r="BT196" s="697"/>
      <c r="BU196" s="697"/>
      <c r="BV196" s="697"/>
      <c r="BW196" s="697"/>
      <c r="BX196" s="697"/>
      <c r="BY196" s="697"/>
      <c r="BZ196" s="697"/>
      <c r="CA196" s="697"/>
      <c r="CB196" s="697"/>
      <c r="CC196" s="697"/>
      <c r="CD196" s="697"/>
      <c r="CE196" s="697"/>
      <c r="CF196" s="697"/>
      <c r="CG196" s="697"/>
      <c r="CH196" s="697"/>
      <c r="CI196" s="697"/>
      <c r="CJ196" s="697"/>
      <c r="CK196" s="697"/>
      <c r="CL196" s="697"/>
      <c r="CM196" s="697"/>
      <c r="CN196" s="697"/>
      <c r="CO196" s="697"/>
      <c r="CP196" s="697"/>
      <c r="CQ196" s="697"/>
      <c r="CR196" s="697"/>
      <c r="CS196" s="697"/>
      <c r="CT196" s="697"/>
      <c r="CU196" s="697"/>
      <c r="CV196" s="697"/>
      <c r="CW196" s="697"/>
      <c r="CX196" s="697"/>
      <c r="CY196" s="697"/>
      <c r="CZ196" s="697"/>
      <c r="DA196" s="697"/>
    </row>
    <row r="197" spans="1:105" hidden="1" outlineLevel="1" x14ac:dyDescent="0.2">
      <c r="A197" s="709">
        <f t="shared" ref="A197:A260" si="53">DATE(YEAR(E197),MONTH(E197),1)</f>
        <v>37865</v>
      </c>
      <c r="B197" s="709" t="str">
        <f t="shared" si="50"/>
        <v>3Q03</v>
      </c>
      <c r="C197" s="709" t="str">
        <f t="shared" ref="C197:C260" si="54">VLOOKUP(MONTH(D197),$N$4:$O$16,2,FALSE) &amp; "Q" &amp; RIGHT(YEAR(D197),2)</f>
        <v>4Q03</v>
      </c>
      <c r="D197" s="710">
        <f t="shared" ref="D197:E212" si="55">D196+7</f>
        <v>37932</v>
      </c>
      <c r="E197" s="710">
        <f t="shared" si="55"/>
        <v>37872</v>
      </c>
      <c r="F197" s="712">
        <v>1.4880000000000002</v>
      </c>
      <c r="G197" s="713">
        <f t="shared" si="51"/>
        <v>7.0000000000000007E-2</v>
      </c>
      <c r="H197" s="713">
        <f t="shared" si="52"/>
        <v>7.0000000000000007E-2</v>
      </c>
      <c r="I197" s="697"/>
      <c r="J197" s="697"/>
      <c r="K197" s="697"/>
      <c r="L197" s="697"/>
      <c r="M197" s="697"/>
      <c r="N197" s="697"/>
      <c r="O197" s="697"/>
      <c r="P197" s="697"/>
      <c r="Q197" s="697"/>
      <c r="R197" s="697"/>
      <c r="S197" s="697"/>
      <c r="T197" s="697"/>
      <c r="U197" s="697"/>
      <c r="V197" s="697"/>
      <c r="W197" s="697"/>
      <c r="X197" s="697"/>
      <c r="Y197" s="697"/>
      <c r="Z197" s="697"/>
      <c r="AA197" s="697"/>
      <c r="AB197" s="697"/>
      <c r="AC197" s="697"/>
      <c r="AD197" s="697"/>
      <c r="AE197" s="697"/>
      <c r="AF197" s="697"/>
      <c r="AG197" s="697"/>
      <c r="AH197" s="697"/>
      <c r="AI197" s="697"/>
      <c r="AJ197" s="697"/>
      <c r="AK197" s="697"/>
      <c r="AL197" s="697"/>
      <c r="AM197" s="697"/>
      <c r="AN197" s="697"/>
      <c r="AO197" s="697"/>
      <c r="AP197" s="697"/>
      <c r="AQ197" s="697"/>
      <c r="AR197" s="697"/>
      <c r="AS197" s="697"/>
      <c r="AT197" s="697"/>
      <c r="AU197" s="697"/>
      <c r="AV197" s="697"/>
      <c r="AW197" s="697"/>
      <c r="AX197" s="697"/>
      <c r="AY197" s="697"/>
      <c r="AZ197" s="697"/>
      <c r="BA197" s="697"/>
      <c r="BB197" s="697"/>
      <c r="BC197" s="697"/>
      <c r="BD197" s="697"/>
      <c r="BE197" s="697"/>
      <c r="BF197" s="697"/>
      <c r="BG197" s="697"/>
      <c r="BH197" s="697"/>
      <c r="BI197" s="697"/>
      <c r="BJ197" s="697"/>
      <c r="BK197" s="697"/>
      <c r="BL197" s="697"/>
      <c r="BM197" s="697"/>
      <c r="BN197" s="697"/>
      <c r="BO197" s="697"/>
      <c r="BP197" s="697"/>
      <c r="BQ197" s="697"/>
      <c r="BR197" s="697"/>
      <c r="BS197" s="697"/>
      <c r="BT197" s="697"/>
      <c r="BU197" s="697"/>
      <c r="BV197" s="697"/>
      <c r="BW197" s="697"/>
      <c r="BX197" s="697"/>
      <c r="BY197" s="697"/>
      <c r="BZ197" s="697"/>
      <c r="CA197" s="697"/>
      <c r="CB197" s="697"/>
      <c r="CC197" s="697"/>
      <c r="CD197" s="697"/>
      <c r="CE197" s="697"/>
      <c r="CF197" s="697"/>
      <c r="CG197" s="697"/>
      <c r="CH197" s="697"/>
      <c r="CI197" s="697"/>
      <c r="CJ197" s="697"/>
      <c r="CK197" s="697"/>
      <c r="CL197" s="697"/>
      <c r="CM197" s="697"/>
      <c r="CN197" s="697"/>
      <c r="CO197" s="697"/>
      <c r="CP197" s="697"/>
      <c r="CQ197" s="697"/>
      <c r="CR197" s="697"/>
      <c r="CS197" s="697"/>
      <c r="CT197" s="697"/>
      <c r="CU197" s="697"/>
      <c r="CV197" s="697"/>
      <c r="CW197" s="697"/>
      <c r="CX197" s="697"/>
      <c r="CY197" s="697"/>
      <c r="CZ197" s="697"/>
      <c r="DA197" s="697"/>
    </row>
    <row r="198" spans="1:105" hidden="1" outlineLevel="1" x14ac:dyDescent="0.2">
      <c r="A198" s="709">
        <f t="shared" si="53"/>
        <v>37865</v>
      </c>
      <c r="B198" s="709" t="str">
        <f t="shared" si="50"/>
        <v>3Q03</v>
      </c>
      <c r="C198" s="709" t="str">
        <f t="shared" si="54"/>
        <v>4Q03</v>
      </c>
      <c r="D198" s="710">
        <f t="shared" si="55"/>
        <v>37939</v>
      </c>
      <c r="E198" s="710">
        <f t="shared" si="55"/>
        <v>37879</v>
      </c>
      <c r="F198" s="712">
        <v>1.4709999999999999</v>
      </c>
      <c r="G198" s="713">
        <f t="shared" si="51"/>
        <v>7.0000000000000007E-2</v>
      </c>
      <c r="H198" s="713">
        <f t="shared" si="52"/>
        <v>6.0000000000000005E-2</v>
      </c>
      <c r="I198" s="697"/>
      <c r="J198" s="697"/>
      <c r="K198" s="697"/>
      <c r="L198" s="697"/>
      <c r="M198" s="697"/>
      <c r="N198" s="697"/>
      <c r="O198" s="697"/>
      <c r="P198" s="697"/>
      <c r="Q198" s="697"/>
      <c r="R198" s="697"/>
      <c r="S198" s="697"/>
      <c r="T198" s="697"/>
      <c r="U198" s="697"/>
      <c r="V198" s="697"/>
      <c r="W198" s="697"/>
      <c r="X198" s="697"/>
      <c r="Y198" s="697"/>
      <c r="Z198" s="697"/>
      <c r="AA198" s="697"/>
      <c r="AB198" s="697"/>
      <c r="AC198" s="697"/>
      <c r="AD198" s="697"/>
      <c r="AE198" s="697"/>
      <c r="AF198" s="697"/>
      <c r="AG198" s="697"/>
      <c r="AH198" s="697"/>
      <c r="AI198" s="697"/>
      <c r="AJ198" s="697"/>
      <c r="AK198" s="697"/>
      <c r="AL198" s="697"/>
      <c r="AM198" s="697"/>
      <c r="AN198" s="697"/>
      <c r="AO198" s="697"/>
      <c r="AP198" s="697"/>
      <c r="AQ198" s="697"/>
      <c r="AR198" s="697"/>
      <c r="AS198" s="697"/>
      <c r="AT198" s="697"/>
      <c r="AU198" s="697"/>
      <c r="AV198" s="697"/>
      <c r="AW198" s="697"/>
      <c r="AX198" s="697"/>
      <c r="AY198" s="697"/>
      <c r="AZ198" s="697"/>
      <c r="BA198" s="697"/>
      <c r="BB198" s="697"/>
      <c r="BC198" s="697"/>
      <c r="BD198" s="697"/>
      <c r="BE198" s="697"/>
      <c r="BF198" s="697"/>
      <c r="BG198" s="697"/>
      <c r="BH198" s="697"/>
      <c r="BI198" s="697"/>
      <c r="BJ198" s="697"/>
      <c r="BK198" s="697"/>
      <c r="BL198" s="697"/>
      <c r="BM198" s="697"/>
      <c r="BN198" s="697"/>
      <c r="BO198" s="697"/>
      <c r="BP198" s="697"/>
      <c r="BQ198" s="697"/>
      <c r="BR198" s="697"/>
      <c r="BS198" s="697"/>
      <c r="BT198" s="697"/>
      <c r="BU198" s="697"/>
      <c r="BV198" s="697"/>
      <c r="BW198" s="697"/>
      <c r="BX198" s="697"/>
      <c r="BY198" s="697"/>
      <c r="BZ198" s="697"/>
      <c r="CA198" s="697"/>
      <c r="CB198" s="697"/>
      <c r="CC198" s="697"/>
      <c r="CD198" s="697"/>
      <c r="CE198" s="697"/>
      <c r="CF198" s="697"/>
      <c r="CG198" s="697"/>
      <c r="CH198" s="697"/>
      <c r="CI198" s="697"/>
      <c r="CJ198" s="697"/>
      <c r="CK198" s="697"/>
      <c r="CL198" s="697"/>
      <c r="CM198" s="697"/>
      <c r="CN198" s="697"/>
      <c r="CO198" s="697"/>
      <c r="CP198" s="697"/>
      <c r="CQ198" s="697"/>
      <c r="CR198" s="697"/>
      <c r="CS198" s="697"/>
      <c r="CT198" s="697"/>
      <c r="CU198" s="697"/>
      <c r="CV198" s="697"/>
      <c r="CW198" s="697"/>
      <c r="CX198" s="697"/>
      <c r="CY198" s="697"/>
      <c r="CZ198" s="697"/>
      <c r="DA198" s="697"/>
    </row>
    <row r="199" spans="1:105" hidden="1" outlineLevel="1" x14ac:dyDescent="0.2">
      <c r="A199" s="709">
        <f t="shared" si="53"/>
        <v>37865</v>
      </c>
      <c r="B199" s="709" t="str">
        <f t="shared" si="50"/>
        <v>3Q03</v>
      </c>
      <c r="C199" s="709" t="str">
        <f t="shared" si="54"/>
        <v>4Q03</v>
      </c>
      <c r="D199" s="710">
        <f t="shared" si="55"/>
        <v>37946</v>
      </c>
      <c r="E199" s="710">
        <f t="shared" si="55"/>
        <v>37886</v>
      </c>
      <c r="F199" s="712">
        <v>1.444</v>
      </c>
      <c r="G199" s="713">
        <f t="shared" si="51"/>
        <v>6.0000000000000005E-2</v>
      </c>
      <c r="H199" s="713">
        <f t="shared" si="52"/>
        <v>6.0000000000000005E-2</v>
      </c>
      <c r="I199" s="697"/>
      <c r="J199" s="697"/>
      <c r="K199" s="697"/>
      <c r="L199" s="697"/>
      <c r="M199" s="697"/>
      <c r="N199" s="697"/>
      <c r="O199" s="697"/>
      <c r="P199" s="697"/>
      <c r="Q199" s="697"/>
      <c r="R199" s="697"/>
      <c r="S199" s="697"/>
      <c r="T199" s="697"/>
      <c r="U199" s="697"/>
      <c r="V199" s="697"/>
      <c r="W199" s="697"/>
      <c r="X199" s="697"/>
      <c r="Y199" s="697"/>
      <c r="Z199" s="697"/>
      <c r="AA199" s="697"/>
      <c r="AB199" s="697"/>
      <c r="AC199" s="697"/>
      <c r="AD199" s="697"/>
      <c r="AE199" s="697"/>
      <c r="AF199" s="697"/>
      <c r="AG199" s="697"/>
      <c r="AH199" s="697"/>
      <c r="AI199" s="697"/>
      <c r="AJ199" s="697"/>
      <c r="AK199" s="697"/>
      <c r="AL199" s="697"/>
      <c r="AM199" s="697"/>
      <c r="AN199" s="697"/>
      <c r="AO199" s="697"/>
      <c r="AP199" s="697"/>
      <c r="AQ199" s="697"/>
      <c r="AR199" s="697"/>
      <c r="AS199" s="697"/>
      <c r="AT199" s="697"/>
      <c r="AU199" s="697"/>
      <c r="AV199" s="697"/>
      <c r="AW199" s="697"/>
      <c r="AX199" s="697"/>
      <c r="AY199" s="697"/>
      <c r="AZ199" s="697"/>
      <c r="BA199" s="697"/>
      <c r="BB199" s="697"/>
      <c r="BC199" s="697"/>
      <c r="BD199" s="697"/>
      <c r="BE199" s="697"/>
      <c r="BF199" s="697"/>
      <c r="BG199" s="697"/>
      <c r="BH199" s="697"/>
      <c r="BI199" s="697"/>
      <c r="BJ199" s="697"/>
      <c r="BK199" s="697"/>
      <c r="BL199" s="697"/>
      <c r="BM199" s="697"/>
      <c r="BN199" s="697"/>
      <c r="BO199" s="697"/>
      <c r="BP199" s="697"/>
      <c r="BQ199" s="697"/>
      <c r="BR199" s="697"/>
      <c r="BS199" s="697"/>
      <c r="BT199" s="697"/>
      <c r="BU199" s="697"/>
      <c r="BV199" s="697"/>
      <c r="BW199" s="697"/>
      <c r="BX199" s="697"/>
      <c r="BY199" s="697"/>
      <c r="BZ199" s="697"/>
      <c r="CA199" s="697"/>
      <c r="CB199" s="697"/>
      <c r="CC199" s="697"/>
      <c r="CD199" s="697"/>
      <c r="CE199" s="697"/>
      <c r="CF199" s="697"/>
      <c r="CG199" s="697"/>
      <c r="CH199" s="697"/>
      <c r="CI199" s="697"/>
      <c r="CJ199" s="697"/>
      <c r="CK199" s="697"/>
      <c r="CL199" s="697"/>
      <c r="CM199" s="697"/>
      <c r="CN199" s="697"/>
      <c r="CO199" s="697"/>
      <c r="CP199" s="697"/>
      <c r="CQ199" s="697"/>
      <c r="CR199" s="697"/>
      <c r="CS199" s="697"/>
      <c r="CT199" s="697"/>
      <c r="CU199" s="697"/>
      <c r="CV199" s="697"/>
      <c r="CW199" s="697"/>
      <c r="CX199" s="697"/>
      <c r="CY199" s="697"/>
      <c r="CZ199" s="697"/>
      <c r="DA199" s="697"/>
    </row>
    <row r="200" spans="1:105" hidden="1" outlineLevel="1" x14ac:dyDescent="0.2">
      <c r="A200" s="709">
        <f t="shared" si="53"/>
        <v>37865</v>
      </c>
      <c r="B200" s="709" t="str">
        <f t="shared" si="50"/>
        <v>3Q03</v>
      </c>
      <c r="C200" s="709" t="str">
        <f t="shared" si="54"/>
        <v>4Q03</v>
      </c>
      <c r="D200" s="710">
        <f t="shared" si="55"/>
        <v>37953</v>
      </c>
      <c r="E200" s="710">
        <f t="shared" si="55"/>
        <v>37893</v>
      </c>
      <c r="F200" s="712">
        <v>1.429</v>
      </c>
      <c r="G200" s="713">
        <f t="shared" si="51"/>
        <v>6.0000000000000005E-2</v>
      </c>
      <c r="H200" s="713">
        <f t="shared" si="52"/>
        <v>6.0000000000000005E-2</v>
      </c>
      <c r="I200" s="697"/>
      <c r="J200" s="697"/>
      <c r="K200" s="697"/>
      <c r="L200" s="697"/>
      <c r="M200" s="697"/>
      <c r="N200" s="697"/>
      <c r="O200" s="697"/>
      <c r="P200" s="697"/>
      <c r="Q200" s="697"/>
      <c r="R200" s="697"/>
      <c r="S200" s="697"/>
      <c r="T200" s="697"/>
      <c r="U200" s="697"/>
      <c r="V200" s="697"/>
      <c r="W200" s="697"/>
      <c r="X200" s="697"/>
      <c r="Y200" s="697"/>
      <c r="Z200" s="697"/>
      <c r="AA200" s="697"/>
      <c r="AB200" s="697"/>
      <c r="AC200" s="697"/>
      <c r="AD200" s="697"/>
      <c r="AE200" s="697"/>
      <c r="AF200" s="697"/>
      <c r="AG200" s="697"/>
      <c r="AH200" s="697"/>
      <c r="AI200" s="697"/>
      <c r="AJ200" s="697"/>
      <c r="AK200" s="697"/>
      <c r="AL200" s="697"/>
      <c r="AM200" s="697"/>
      <c r="AN200" s="697"/>
      <c r="AO200" s="697"/>
      <c r="AP200" s="697"/>
      <c r="AQ200" s="697"/>
      <c r="AR200" s="697"/>
      <c r="AS200" s="697"/>
      <c r="AT200" s="697"/>
      <c r="AU200" s="697"/>
      <c r="AV200" s="697"/>
      <c r="AW200" s="697"/>
      <c r="AX200" s="697"/>
      <c r="AY200" s="697"/>
      <c r="AZ200" s="697"/>
      <c r="BA200" s="697"/>
      <c r="BB200" s="697"/>
      <c r="BC200" s="697"/>
      <c r="BD200" s="697"/>
      <c r="BE200" s="697"/>
      <c r="BF200" s="697"/>
      <c r="BG200" s="697"/>
      <c r="BH200" s="697"/>
      <c r="BI200" s="697"/>
      <c r="BJ200" s="697"/>
      <c r="BK200" s="697"/>
      <c r="BL200" s="697"/>
      <c r="BM200" s="697"/>
      <c r="BN200" s="697"/>
      <c r="BO200" s="697"/>
      <c r="BP200" s="697"/>
      <c r="BQ200" s="697"/>
      <c r="BR200" s="697"/>
      <c r="BS200" s="697"/>
      <c r="BT200" s="697"/>
      <c r="BU200" s="697"/>
      <c r="BV200" s="697"/>
      <c r="BW200" s="697"/>
      <c r="BX200" s="697"/>
      <c r="BY200" s="697"/>
      <c r="BZ200" s="697"/>
      <c r="CA200" s="697"/>
      <c r="CB200" s="697"/>
      <c r="CC200" s="697"/>
      <c r="CD200" s="697"/>
      <c r="CE200" s="697"/>
      <c r="CF200" s="697"/>
      <c r="CG200" s="697"/>
      <c r="CH200" s="697"/>
      <c r="CI200" s="697"/>
      <c r="CJ200" s="697"/>
      <c r="CK200" s="697"/>
      <c r="CL200" s="697"/>
      <c r="CM200" s="697"/>
      <c r="CN200" s="697"/>
      <c r="CO200" s="697"/>
      <c r="CP200" s="697"/>
      <c r="CQ200" s="697"/>
      <c r="CR200" s="697"/>
      <c r="CS200" s="697"/>
      <c r="CT200" s="697"/>
      <c r="CU200" s="697"/>
      <c r="CV200" s="697"/>
      <c r="CW200" s="697"/>
      <c r="CX200" s="697"/>
      <c r="CY200" s="697"/>
      <c r="CZ200" s="697"/>
      <c r="DA200" s="697"/>
    </row>
    <row r="201" spans="1:105" hidden="1" outlineLevel="1" x14ac:dyDescent="0.2">
      <c r="A201" s="709">
        <f t="shared" si="53"/>
        <v>37895</v>
      </c>
      <c r="B201" s="709" t="str">
        <f t="shared" si="50"/>
        <v>4Q03</v>
      </c>
      <c r="C201" s="709" t="str">
        <f t="shared" si="54"/>
        <v>4Q03</v>
      </c>
      <c r="D201" s="710">
        <f t="shared" si="55"/>
        <v>37960</v>
      </c>
      <c r="E201" s="710">
        <f t="shared" si="55"/>
        <v>37900</v>
      </c>
      <c r="F201" s="712">
        <v>1.4450000000000001</v>
      </c>
      <c r="G201" s="713">
        <f t="shared" si="51"/>
        <v>6.0000000000000005E-2</v>
      </c>
      <c r="H201" s="713">
        <f t="shared" si="52"/>
        <v>7.0000000000000007E-2</v>
      </c>
      <c r="I201" s="697"/>
      <c r="J201" s="697"/>
      <c r="K201" s="697"/>
      <c r="L201" s="697"/>
      <c r="M201" s="697"/>
      <c r="N201" s="697"/>
      <c r="O201" s="697"/>
      <c r="P201" s="697"/>
      <c r="Q201" s="697"/>
      <c r="R201" s="697"/>
      <c r="S201" s="697"/>
      <c r="T201" s="697"/>
      <c r="U201" s="697"/>
      <c r="V201" s="697"/>
      <c r="W201" s="697"/>
      <c r="X201" s="697"/>
      <c r="Y201" s="697"/>
      <c r="Z201" s="697"/>
      <c r="AA201" s="697"/>
      <c r="AB201" s="697"/>
      <c r="AC201" s="697"/>
      <c r="AD201" s="697"/>
      <c r="AE201" s="697"/>
      <c r="AF201" s="697"/>
      <c r="AG201" s="697"/>
      <c r="AH201" s="697"/>
      <c r="AI201" s="697"/>
      <c r="AJ201" s="697"/>
      <c r="AK201" s="697"/>
      <c r="AL201" s="697"/>
      <c r="AM201" s="697"/>
      <c r="AN201" s="697"/>
      <c r="AO201" s="697"/>
      <c r="AP201" s="697"/>
      <c r="AQ201" s="697"/>
      <c r="AR201" s="697"/>
      <c r="AS201" s="697"/>
      <c r="AT201" s="697"/>
      <c r="AU201" s="697"/>
      <c r="AV201" s="697"/>
      <c r="AW201" s="697"/>
      <c r="AX201" s="697"/>
      <c r="AY201" s="697"/>
      <c r="AZ201" s="697"/>
      <c r="BA201" s="697"/>
      <c r="BB201" s="697"/>
      <c r="BC201" s="697"/>
      <c r="BD201" s="697"/>
      <c r="BE201" s="697"/>
      <c r="BF201" s="697"/>
      <c r="BG201" s="697"/>
      <c r="BH201" s="697"/>
      <c r="BI201" s="697"/>
      <c r="BJ201" s="697"/>
      <c r="BK201" s="697"/>
      <c r="BL201" s="697"/>
      <c r="BM201" s="697"/>
      <c r="BN201" s="697"/>
      <c r="BO201" s="697"/>
      <c r="BP201" s="697"/>
      <c r="BQ201" s="697"/>
      <c r="BR201" s="697"/>
      <c r="BS201" s="697"/>
      <c r="BT201" s="697"/>
      <c r="BU201" s="697"/>
      <c r="BV201" s="697"/>
      <c r="BW201" s="697"/>
      <c r="BX201" s="697"/>
      <c r="BY201" s="697"/>
      <c r="BZ201" s="697"/>
      <c r="CA201" s="697"/>
      <c r="CB201" s="697"/>
      <c r="CC201" s="697"/>
      <c r="CD201" s="697"/>
      <c r="CE201" s="697"/>
      <c r="CF201" s="697"/>
      <c r="CG201" s="697"/>
      <c r="CH201" s="697"/>
      <c r="CI201" s="697"/>
      <c r="CJ201" s="697"/>
      <c r="CK201" s="697"/>
      <c r="CL201" s="697"/>
      <c r="CM201" s="697"/>
      <c r="CN201" s="697"/>
      <c r="CO201" s="697"/>
      <c r="CP201" s="697"/>
      <c r="CQ201" s="697"/>
      <c r="CR201" s="697"/>
      <c r="CS201" s="697"/>
      <c r="CT201" s="697"/>
      <c r="CU201" s="697"/>
      <c r="CV201" s="697"/>
      <c r="CW201" s="697"/>
      <c r="CX201" s="697"/>
      <c r="CY201" s="697"/>
      <c r="CZ201" s="697"/>
      <c r="DA201" s="697"/>
    </row>
    <row r="202" spans="1:105" hidden="1" outlineLevel="1" x14ac:dyDescent="0.2">
      <c r="A202" s="709">
        <f t="shared" si="53"/>
        <v>37895</v>
      </c>
      <c r="B202" s="709" t="str">
        <f t="shared" si="50"/>
        <v>4Q03</v>
      </c>
      <c r="C202" s="709" t="str">
        <f t="shared" si="54"/>
        <v>4Q03</v>
      </c>
      <c r="D202" s="710">
        <f t="shared" si="55"/>
        <v>37967</v>
      </c>
      <c r="E202" s="710">
        <f t="shared" si="55"/>
        <v>37907</v>
      </c>
      <c r="F202" s="712">
        <v>1.4830000000000001</v>
      </c>
      <c r="G202" s="713">
        <f t="shared" si="51"/>
        <v>7.0000000000000007E-2</v>
      </c>
      <c r="H202" s="713">
        <f t="shared" si="52"/>
        <v>0.08</v>
      </c>
      <c r="I202" s="697"/>
      <c r="J202" s="697"/>
      <c r="K202" s="697"/>
      <c r="L202" s="697"/>
      <c r="M202" s="697"/>
      <c r="N202" s="697"/>
      <c r="O202" s="697"/>
      <c r="P202" s="697"/>
      <c r="Q202" s="697"/>
      <c r="R202" s="697"/>
      <c r="S202" s="697"/>
      <c r="T202" s="697"/>
      <c r="U202" s="697"/>
      <c r="V202" s="697"/>
      <c r="W202" s="697"/>
      <c r="X202" s="697"/>
      <c r="Y202" s="697"/>
      <c r="Z202" s="697"/>
      <c r="AA202" s="697"/>
      <c r="AB202" s="697"/>
      <c r="AC202" s="697"/>
      <c r="AD202" s="697"/>
      <c r="AE202" s="697"/>
      <c r="AF202" s="697"/>
      <c r="AG202" s="697"/>
      <c r="AH202" s="697"/>
      <c r="AI202" s="697"/>
      <c r="AJ202" s="697"/>
      <c r="AK202" s="697"/>
      <c r="AL202" s="697"/>
      <c r="AM202" s="697"/>
      <c r="AN202" s="697"/>
      <c r="AO202" s="697"/>
      <c r="AP202" s="697"/>
      <c r="AQ202" s="697"/>
      <c r="AR202" s="697"/>
      <c r="AS202" s="697"/>
      <c r="AT202" s="697"/>
      <c r="AU202" s="697"/>
      <c r="AV202" s="697"/>
      <c r="AW202" s="697"/>
      <c r="AX202" s="697"/>
      <c r="AY202" s="697"/>
      <c r="AZ202" s="697"/>
      <c r="BA202" s="697"/>
      <c r="BB202" s="697"/>
      <c r="BC202" s="697"/>
      <c r="BD202" s="697"/>
      <c r="BE202" s="697"/>
      <c r="BF202" s="697"/>
      <c r="BG202" s="697"/>
      <c r="BH202" s="697"/>
      <c r="BI202" s="697"/>
      <c r="BJ202" s="697"/>
      <c r="BK202" s="697"/>
      <c r="BL202" s="697"/>
      <c r="BM202" s="697"/>
      <c r="BN202" s="697"/>
      <c r="BO202" s="697"/>
      <c r="BP202" s="697"/>
      <c r="BQ202" s="697"/>
      <c r="BR202" s="697"/>
      <c r="BS202" s="697"/>
      <c r="BT202" s="697"/>
      <c r="BU202" s="697"/>
      <c r="BV202" s="697"/>
      <c r="BW202" s="697"/>
      <c r="BX202" s="697"/>
      <c r="BY202" s="697"/>
      <c r="BZ202" s="697"/>
      <c r="CA202" s="697"/>
      <c r="CB202" s="697"/>
      <c r="CC202" s="697"/>
      <c r="CD202" s="697"/>
      <c r="CE202" s="697"/>
      <c r="CF202" s="697"/>
      <c r="CG202" s="697"/>
      <c r="CH202" s="697"/>
      <c r="CI202" s="697"/>
      <c r="CJ202" s="697"/>
      <c r="CK202" s="697"/>
      <c r="CL202" s="697"/>
      <c r="CM202" s="697"/>
      <c r="CN202" s="697"/>
      <c r="CO202" s="697"/>
      <c r="CP202" s="697"/>
      <c r="CQ202" s="697"/>
      <c r="CR202" s="697"/>
      <c r="CS202" s="697"/>
      <c r="CT202" s="697"/>
      <c r="CU202" s="697"/>
      <c r="CV202" s="697"/>
      <c r="CW202" s="697"/>
      <c r="CX202" s="697"/>
      <c r="CY202" s="697"/>
      <c r="CZ202" s="697"/>
      <c r="DA202" s="697"/>
    </row>
    <row r="203" spans="1:105" hidden="1" outlineLevel="1" x14ac:dyDescent="0.2">
      <c r="A203" s="709">
        <f t="shared" si="53"/>
        <v>37895</v>
      </c>
      <c r="B203" s="709" t="str">
        <f t="shared" si="50"/>
        <v>4Q03</v>
      </c>
      <c r="C203" s="709" t="str">
        <f t="shared" si="54"/>
        <v>4Q03</v>
      </c>
      <c r="D203" s="710">
        <f t="shared" si="55"/>
        <v>37974</v>
      </c>
      <c r="E203" s="710">
        <f t="shared" si="55"/>
        <v>37914</v>
      </c>
      <c r="F203" s="712">
        <v>1.5019999999999998</v>
      </c>
      <c r="G203" s="713">
        <f t="shared" si="51"/>
        <v>0.08</v>
      </c>
      <c r="H203" s="713">
        <f t="shared" si="52"/>
        <v>7.0000000000000007E-2</v>
      </c>
      <c r="I203" s="697"/>
      <c r="J203" s="697"/>
      <c r="K203" s="697"/>
      <c r="L203" s="697"/>
      <c r="M203" s="697"/>
      <c r="N203" s="697"/>
      <c r="O203" s="697"/>
      <c r="P203" s="697"/>
      <c r="Q203" s="697"/>
      <c r="R203" s="697"/>
      <c r="S203" s="697"/>
      <c r="T203" s="697"/>
      <c r="U203" s="697"/>
      <c r="V203" s="697"/>
      <c r="W203" s="697"/>
      <c r="X203" s="697"/>
      <c r="Y203" s="697"/>
      <c r="Z203" s="697"/>
      <c r="AA203" s="697"/>
      <c r="AB203" s="697"/>
      <c r="AC203" s="697"/>
      <c r="AD203" s="697"/>
      <c r="AE203" s="697"/>
      <c r="AF203" s="697"/>
      <c r="AG203" s="697"/>
      <c r="AH203" s="697"/>
      <c r="AI203" s="697"/>
      <c r="AJ203" s="697"/>
      <c r="AK203" s="697"/>
      <c r="AL203" s="697"/>
      <c r="AM203" s="697"/>
      <c r="AN203" s="697"/>
      <c r="AO203" s="697"/>
      <c r="AP203" s="697"/>
      <c r="AQ203" s="697"/>
      <c r="AR203" s="697"/>
      <c r="AS203" s="697"/>
      <c r="AT203" s="697"/>
      <c r="AU203" s="697"/>
      <c r="AV203" s="697"/>
      <c r="AW203" s="697"/>
      <c r="AX203" s="697"/>
      <c r="AY203" s="697"/>
      <c r="AZ203" s="697"/>
      <c r="BA203" s="697"/>
      <c r="BB203" s="697"/>
      <c r="BC203" s="697"/>
      <c r="BD203" s="697"/>
      <c r="BE203" s="697"/>
      <c r="BF203" s="697"/>
      <c r="BG203" s="697"/>
      <c r="BH203" s="697"/>
      <c r="BI203" s="697"/>
      <c r="BJ203" s="697"/>
      <c r="BK203" s="697"/>
      <c r="BL203" s="697"/>
      <c r="BM203" s="697"/>
      <c r="BN203" s="697"/>
      <c r="BO203" s="697"/>
      <c r="BP203" s="697"/>
      <c r="BQ203" s="697"/>
      <c r="BR203" s="697"/>
      <c r="BS203" s="697"/>
      <c r="BT203" s="697"/>
      <c r="BU203" s="697"/>
      <c r="BV203" s="697"/>
      <c r="BW203" s="697"/>
      <c r="BX203" s="697"/>
      <c r="BY203" s="697"/>
      <c r="BZ203" s="697"/>
      <c r="CA203" s="697"/>
      <c r="CB203" s="697"/>
      <c r="CC203" s="697"/>
      <c r="CD203" s="697"/>
      <c r="CE203" s="697"/>
      <c r="CF203" s="697"/>
      <c r="CG203" s="697"/>
      <c r="CH203" s="697"/>
      <c r="CI203" s="697"/>
      <c r="CJ203" s="697"/>
      <c r="CK203" s="697"/>
      <c r="CL203" s="697"/>
      <c r="CM203" s="697"/>
      <c r="CN203" s="697"/>
      <c r="CO203" s="697"/>
      <c r="CP203" s="697"/>
      <c r="CQ203" s="697"/>
      <c r="CR203" s="697"/>
      <c r="CS203" s="697"/>
      <c r="CT203" s="697"/>
      <c r="CU203" s="697"/>
      <c r="CV203" s="697"/>
      <c r="CW203" s="697"/>
      <c r="CX203" s="697"/>
      <c r="CY203" s="697"/>
      <c r="CZ203" s="697"/>
      <c r="DA203" s="697"/>
    </row>
    <row r="204" spans="1:105" hidden="1" outlineLevel="1" x14ac:dyDescent="0.2">
      <c r="A204" s="709">
        <f t="shared" si="53"/>
        <v>37895</v>
      </c>
      <c r="B204" s="709" t="str">
        <f t="shared" si="50"/>
        <v>4Q03</v>
      </c>
      <c r="C204" s="709" t="str">
        <f t="shared" si="54"/>
        <v>4Q03</v>
      </c>
      <c r="D204" s="710">
        <f t="shared" si="55"/>
        <v>37981</v>
      </c>
      <c r="E204" s="710">
        <f t="shared" si="55"/>
        <v>37921</v>
      </c>
      <c r="F204" s="712">
        <v>1.4950000000000001</v>
      </c>
      <c r="G204" s="713">
        <f t="shared" si="51"/>
        <v>7.0000000000000007E-2</v>
      </c>
      <c r="H204" s="713">
        <f t="shared" si="52"/>
        <v>7.0000000000000007E-2</v>
      </c>
      <c r="I204" s="697"/>
      <c r="J204" s="697"/>
      <c r="K204" s="697"/>
      <c r="L204" s="697"/>
      <c r="M204" s="697"/>
      <c r="N204" s="697"/>
      <c r="O204" s="697"/>
      <c r="P204" s="697"/>
      <c r="Q204" s="697"/>
      <c r="R204" s="697"/>
      <c r="S204" s="697"/>
      <c r="T204" s="697"/>
      <c r="U204" s="697"/>
      <c r="V204" s="697"/>
      <c r="W204" s="697"/>
      <c r="X204" s="697"/>
      <c r="Y204" s="697"/>
      <c r="Z204" s="697"/>
      <c r="AA204" s="697"/>
      <c r="AB204" s="697"/>
      <c r="AC204" s="697"/>
      <c r="AD204" s="697"/>
      <c r="AE204" s="697"/>
      <c r="AF204" s="697"/>
      <c r="AG204" s="697"/>
      <c r="AH204" s="697"/>
      <c r="AI204" s="697"/>
      <c r="AJ204" s="697"/>
      <c r="AK204" s="697"/>
      <c r="AL204" s="697"/>
      <c r="AM204" s="697"/>
      <c r="AN204" s="697"/>
      <c r="AO204" s="697"/>
      <c r="AP204" s="697"/>
      <c r="AQ204" s="697"/>
      <c r="AR204" s="697"/>
      <c r="AS204" s="697"/>
      <c r="AT204" s="697"/>
      <c r="AU204" s="697"/>
      <c r="AV204" s="697"/>
      <c r="AW204" s="697"/>
      <c r="AX204" s="697"/>
      <c r="AY204" s="697"/>
      <c r="AZ204" s="697"/>
      <c r="BA204" s="697"/>
      <c r="BB204" s="697"/>
      <c r="BC204" s="697"/>
      <c r="BD204" s="697"/>
      <c r="BE204" s="697"/>
      <c r="BF204" s="697"/>
      <c r="BG204" s="697"/>
      <c r="BH204" s="697"/>
      <c r="BI204" s="697"/>
      <c r="BJ204" s="697"/>
      <c r="BK204" s="697"/>
      <c r="BL204" s="697"/>
      <c r="BM204" s="697"/>
      <c r="BN204" s="697"/>
      <c r="BO204" s="697"/>
      <c r="BP204" s="697"/>
      <c r="BQ204" s="697"/>
      <c r="BR204" s="697"/>
      <c r="BS204" s="697"/>
      <c r="BT204" s="697"/>
      <c r="BU204" s="697"/>
      <c r="BV204" s="697"/>
      <c r="BW204" s="697"/>
      <c r="BX204" s="697"/>
      <c r="BY204" s="697"/>
      <c r="BZ204" s="697"/>
      <c r="CA204" s="697"/>
      <c r="CB204" s="697"/>
      <c r="CC204" s="697"/>
      <c r="CD204" s="697"/>
      <c r="CE204" s="697"/>
      <c r="CF204" s="697"/>
      <c r="CG204" s="697"/>
      <c r="CH204" s="697"/>
      <c r="CI204" s="697"/>
      <c r="CJ204" s="697"/>
      <c r="CK204" s="697"/>
      <c r="CL204" s="697"/>
      <c r="CM204" s="697"/>
      <c r="CN204" s="697"/>
      <c r="CO204" s="697"/>
      <c r="CP204" s="697"/>
      <c r="CQ204" s="697"/>
      <c r="CR204" s="697"/>
      <c r="CS204" s="697"/>
      <c r="CT204" s="697"/>
      <c r="CU204" s="697"/>
      <c r="CV204" s="697"/>
      <c r="CW204" s="697"/>
      <c r="CX204" s="697"/>
      <c r="CY204" s="697"/>
      <c r="CZ204" s="697"/>
      <c r="DA204" s="697"/>
    </row>
    <row r="205" spans="1:105" hidden="1" outlineLevel="1" x14ac:dyDescent="0.2">
      <c r="A205" s="709">
        <f t="shared" si="53"/>
        <v>37926</v>
      </c>
      <c r="B205" s="709" t="str">
        <f t="shared" si="50"/>
        <v>4Q03</v>
      </c>
      <c r="C205" s="709" t="str">
        <f t="shared" si="54"/>
        <v>1Q04</v>
      </c>
      <c r="D205" s="710">
        <f t="shared" si="55"/>
        <v>37988</v>
      </c>
      <c r="E205" s="710">
        <f t="shared" si="55"/>
        <v>37928</v>
      </c>
      <c r="F205" s="712">
        <v>1.4809999999999999</v>
      </c>
      <c r="G205" s="713">
        <f t="shared" si="51"/>
        <v>7.0000000000000007E-2</v>
      </c>
      <c r="H205" s="713">
        <f t="shared" si="52"/>
        <v>7.0000000000000007E-2</v>
      </c>
      <c r="I205" s="697"/>
      <c r="J205" s="697"/>
      <c r="K205" s="697"/>
      <c r="L205" s="697"/>
      <c r="M205" s="697"/>
      <c r="N205" s="697"/>
      <c r="O205" s="697"/>
      <c r="P205" s="697"/>
      <c r="Q205" s="697"/>
      <c r="R205" s="697"/>
      <c r="S205" s="697"/>
      <c r="T205" s="697"/>
      <c r="U205" s="697"/>
      <c r="V205" s="697"/>
      <c r="W205" s="697"/>
      <c r="X205" s="697"/>
      <c r="Y205" s="697"/>
      <c r="Z205" s="697"/>
      <c r="AA205" s="697"/>
      <c r="AB205" s="697"/>
      <c r="AC205" s="697"/>
      <c r="AD205" s="697"/>
      <c r="AE205" s="697"/>
      <c r="AF205" s="697"/>
      <c r="AG205" s="697"/>
      <c r="AH205" s="697"/>
      <c r="AI205" s="697"/>
      <c r="AJ205" s="697"/>
      <c r="AK205" s="697"/>
      <c r="AL205" s="697"/>
      <c r="AM205" s="697"/>
      <c r="AN205" s="697"/>
      <c r="AO205" s="697"/>
      <c r="AP205" s="697"/>
      <c r="AQ205" s="697"/>
      <c r="AR205" s="697"/>
      <c r="AS205" s="697"/>
      <c r="AT205" s="697"/>
      <c r="AU205" s="697"/>
      <c r="AV205" s="697"/>
      <c r="AW205" s="697"/>
      <c r="AX205" s="697"/>
      <c r="AY205" s="697"/>
      <c r="AZ205" s="697"/>
      <c r="BA205" s="697"/>
      <c r="BB205" s="697"/>
      <c r="BC205" s="697"/>
      <c r="BD205" s="697"/>
      <c r="BE205" s="697"/>
      <c r="BF205" s="697"/>
      <c r="BG205" s="697"/>
      <c r="BH205" s="697"/>
      <c r="BI205" s="697"/>
      <c r="BJ205" s="697"/>
      <c r="BK205" s="697"/>
      <c r="BL205" s="697"/>
      <c r="BM205" s="697"/>
      <c r="BN205" s="697"/>
      <c r="BO205" s="697"/>
      <c r="BP205" s="697"/>
      <c r="BQ205" s="697"/>
      <c r="BR205" s="697"/>
      <c r="BS205" s="697"/>
      <c r="BT205" s="697"/>
      <c r="BU205" s="697"/>
      <c r="BV205" s="697"/>
      <c r="BW205" s="697"/>
      <c r="BX205" s="697"/>
      <c r="BY205" s="697"/>
      <c r="BZ205" s="697"/>
      <c r="CA205" s="697"/>
      <c r="CB205" s="697"/>
      <c r="CC205" s="697"/>
      <c r="CD205" s="697"/>
      <c r="CE205" s="697"/>
      <c r="CF205" s="697"/>
      <c r="CG205" s="697"/>
      <c r="CH205" s="697"/>
      <c r="CI205" s="697"/>
      <c r="CJ205" s="697"/>
      <c r="CK205" s="697"/>
      <c r="CL205" s="697"/>
      <c r="CM205" s="697"/>
      <c r="CN205" s="697"/>
      <c r="CO205" s="697"/>
      <c r="CP205" s="697"/>
      <c r="CQ205" s="697"/>
      <c r="CR205" s="697"/>
      <c r="CS205" s="697"/>
      <c r="CT205" s="697"/>
      <c r="CU205" s="697"/>
      <c r="CV205" s="697"/>
      <c r="CW205" s="697"/>
      <c r="CX205" s="697"/>
      <c r="CY205" s="697"/>
      <c r="CZ205" s="697"/>
      <c r="DA205" s="697"/>
    </row>
    <row r="206" spans="1:105" hidden="1" outlineLevel="1" x14ac:dyDescent="0.2">
      <c r="A206" s="709">
        <f t="shared" si="53"/>
        <v>37926</v>
      </c>
      <c r="B206" s="709" t="str">
        <f t="shared" si="50"/>
        <v>4Q03</v>
      </c>
      <c r="C206" s="709" t="str">
        <f t="shared" si="54"/>
        <v>1Q04</v>
      </c>
      <c r="D206" s="710">
        <f t="shared" si="55"/>
        <v>37995</v>
      </c>
      <c r="E206" s="710">
        <f t="shared" si="55"/>
        <v>37935</v>
      </c>
      <c r="F206" s="712">
        <v>1.476</v>
      </c>
      <c r="G206" s="713">
        <f t="shared" si="51"/>
        <v>7.0000000000000007E-2</v>
      </c>
      <c r="H206" s="713">
        <f t="shared" si="52"/>
        <v>7.0000000000000007E-2</v>
      </c>
      <c r="I206" s="697"/>
      <c r="J206" s="697"/>
      <c r="K206" s="697"/>
      <c r="L206" s="697"/>
      <c r="M206" s="697"/>
      <c r="N206" s="697"/>
      <c r="O206" s="697"/>
      <c r="P206" s="697"/>
      <c r="Q206" s="697"/>
      <c r="R206" s="697"/>
      <c r="S206" s="697"/>
      <c r="T206" s="697"/>
      <c r="U206" s="697"/>
      <c r="V206" s="697"/>
      <c r="W206" s="697"/>
      <c r="X206" s="697"/>
      <c r="Y206" s="697"/>
      <c r="Z206" s="697"/>
      <c r="AA206" s="697"/>
      <c r="AB206" s="697"/>
      <c r="AC206" s="697"/>
      <c r="AD206" s="697"/>
      <c r="AE206" s="697"/>
      <c r="AF206" s="697"/>
      <c r="AG206" s="697"/>
      <c r="AH206" s="697"/>
      <c r="AI206" s="697"/>
      <c r="AJ206" s="697"/>
      <c r="AK206" s="697"/>
      <c r="AL206" s="697"/>
      <c r="AM206" s="697"/>
      <c r="AN206" s="697"/>
      <c r="AO206" s="697"/>
      <c r="AP206" s="697"/>
      <c r="AQ206" s="697"/>
      <c r="AR206" s="697"/>
      <c r="AS206" s="697"/>
      <c r="AT206" s="697"/>
      <c r="AU206" s="697"/>
      <c r="AV206" s="697"/>
      <c r="AW206" s="697"/>
      <c r="AX206" s="697"/>
      <c r="AY206" s="697"/>
      <c r="AZ206" s="697"/>
      <c r="BA206" s="697"/>
      <c r="BB206" s="697"/>
      <c r="BC206" s="697"/>
      <c r="BD206" s="697"/>
      <c r="BE206" s="697"/>
      <c r="BF206" s="697"/>
      <c r="BG206" s="697"/>
      <c r="BH206" s="697"/>
      <c r="BI206" s="697"/>
      <c r="BJ206" s="697"/>
      <c r="BK206" s="697"/>
      <c r="BL206" s="697"/>
      <c r="BM206" s="697"/>
      <c r="BN206" s="697"/>
      <c r="BO206" s="697"/>
      <c r="BP206" s="697"/>
      <c r="BQ206" s="697"/>
      <c r="BR206" s="697"/>
      <c r="BS206" s="697"/>
      <c r="BT206" s="697"/>
      <c r="BU206" s="697"/>
      <c r="BV206" s="697"/>
      <c r="BW206" s="697"/>
      <c r="BX206" s="697"/>
      <c r="BY206" s="697"/>
      <c r="BZ206" s="697"/>
      <c r="CA206" s="697"/>
      <c r="CB206" s="697"/>
      <c r="CC206" s="697"/>
      <c r="CD206" s="697"/>
      <c r="CE206" s="697"/>
      <c r="CF206" s="697"/>
      <c r="CG206" s="697"/>
      <c r="CH206" s="697"/>
      <c r="CI206" s="697"/>
      <c r="CJ206" s="697"/>
      <c r="CK206" s="697"/>
      <c r="CL206" s="697"/>
      <c r="CM206" s="697"/>
      <c r="CN206" s="697"/>
      <c r="CO206" s="697"/>
      <c r="CP206" s="697"/>
      <c r="CQ206" s="697"/>
      <c r="CR206" s="697"/>
      <c r="CS206" s="697"/>
      <c r="CT206" s="697"/>
      <c r="CU206" s="697"/>
      <c r="CV206" s="697"/>
      <c r="CW206" s="697"/>
      <c r="CX206" s="697"/>
      <c r="CY206" s="697"/>
      <c r="CZ206" s="697"/>
      <c r="DA206" s="697"/>
    </row>
    <row r="207" spans="1:105" hidden="1" outlineLevel="1" x14ac:dyDescent="0.2">
      <c r="A207" s="709">
        <f t="shared" si="53"/>
        <v>37926</v>
      </c>
      <c r="B207" s="709" t="str">
        <f t="shared" si="50"/>
        <v>4Q03</v>
      </c>
      <c r="C207" s="709" t="str">
        <f t="shared" si="54"/>
        <v>1Q04</v>
      </c>
      <c r="D207" s="710">
        <f t="shared" si="55"/>
        <v>38002</v>
      </c>
      <c r="E207" s="710">
        <f t="shared" si="55"/>
        <v>37942</v>
      </c>
      <c r="F207" s="712">
        <v>1.4809999999999999</v>
      </c>
      <c r="G207" s="713">
        <f t="shared" si="51"/>
        <v>7.0000000000000007E-2</v>
      </c>
      <c r="H207" s="713">
        <f t="shared" si="52"/>
        <v>7.0000000000000007E-2</v>
      </c>
      <c r="I207" s="697"/>
      <c r="J207" s="697"/>
      <c r="K207" s="697"/>
      <c r="L207" s="697"/>
      <c r="M207" s="697"/>
      <c r="N207" s="697"/>
      <c r="O207" s="697"/>
      <c r="P207" s="697"/>
      <c r="Q207" s="697"/>
      <c r="R207" s="697"/>
      <c r="S207" s="697"/>
      <c r="T207" s="697"/>
      <c r="U207" s="697"/>
      <c r="V207" s="697"/>
      <c r="W207" s="697"/>
      <c r="X207" s="697"/>
      <c r="Y207" s="697"/>
      <c r="Z207" s="697"/>
      <c r="AA207" s="697"/>
      <c r="AB207" s="697"/>
      <c r="AC207" s="697"/>
      <c r="AD207" s="697"/>
      <c r="AE207" s="697"/>
      <c r="AF207" s="697"/>
      <c r="AG207" s="697"/>
      <c r="AH207" s="697"/>
      <c r="AI207" s="697"/>
      <c r="AJ207" s="697"/>
      <c r="AK207" s="697"/>
      <c r="AL207" s="697"/>
      <c r="AM207" s="697"/>
      <c r="AN207" s="697"/>
      <c r="AO207" s="697"/>
      <c r="AP207" s="697"/>
      <c r="AQ207" s="697"/>
      <c r="AR207" s="697"/>
      <c r="AS207" s="697"/>
      <c r="AT207" s="697"/>
      <c r="AU207" s="697"/>
      <c r="AV207" s="697"/>
      <c r="AW207" s="697"/>
      <c r="AX207" s="697"/>
      <c r="AY207" s="697"/>
      <c r="AZ207" s="697"/>
      <c r="BA207" s="697"/>
      <c r="BB207" s="697"/>
      <c r="BC207" s="697"/>
      <c r="BD207" s="697"/>
      <c r="BE207" s="697"/>
      <c r="BF207" s="697"/>
      <c r="BG207" s="697"/>
      <c r="BH207" s="697"/>
      <c r="BI207" s="697"/>
      <c r="BJ207" s="697"/>
      <c r="BK207" s="697"/>
      <c r="BL207" s="697"/>
      <c r="BM207" s="697"/>
      <c r="BN207" s="697"/>
      <c r="BO207" s="697"/>
      <c r="BP207" s="697"/>
      <c r="BQ207" s="697"/>
      <c r="BR207" s="697"/>
      <c r="BS207" s="697"/>
      <c r="BT207" s="697"/>
      <c r="BU207" s="697"/>
      <c r="BV207" s="697"/>
      <c r="BW207" s="697"/>
      <c r="BX207" s="697"/>
      <c r="BY207" s="697"/>
      <c r="BZ207" s="697"/>
      <c r="CA207" s="697"/>
      <c r="CB207" s="697"/>
      <c r="CC207" s="697"/>
      <c r="CD207" s="697"/>
      <c r="CE207" s="697"/>
      <c r="CF207" s="697"/>
      <c r="CG207" s="697"/>
      <c r="CH207" s="697"/>
      <c r="CI207" s="697"/>
      <c r="CJ207" s="697"/>
      <c r="CK207" s="697"/>
      <c r="CL207" s="697"/>
      <c r="CM207" s="697"/>
      <c r="CN207" s="697"/>
      <c r="CO207" s="697"/>
      <c r="CP207" s="697"/>
      <c r="CQ207" s="697"/>
      <c r="CR207" s="697"/>
      <c r="CS207" s="697"/>
      <c r="CT207" s="697"/>
      <c r="CU207" s="697"/>
      <c r="CV207" s="697"/>
      <c r="CW207" s="697"/>
      <c r="CX207" s="697"/>
      <c r="CY207" s="697"/>
      <c r="CZ207" s="697"/>
      <c r="DA207" s="697"/>
    </row>
    <row r="208" spans="1:105" hidden="1" outlineLevel="1" x14ac:dyDescent="0.2">
      <c r="A208" s="709">
        <f t="shared" si="53"/>
        <v>37926</v>
      </c>
      <c r="B208" s="709" t="str">
        <f t="shared" si="50"/>
        <v>4Q03</v>
      </c>
      <c r="C208" s="709" t="str">
        <f t="shared" si="54"/>
        <v>1Q04</v>
      </c>
      <c r="D208" s="710">
        <f t="shared" si="55"/>
        <v>38009</v>
      </c>
      <c r="E208" s="710">
        <f t="shared" si="55"/>
        <v>37949</v>
      </c>
      <c r="F208" s="712">
        <v>1.4909999999999999</v>
      </c>
      <c r="G208" s="713">
        <f t="shared" si="51"/>
        <v>7.0000000000000007E-2</v>
      </c>
      <c r="H208" s="713">
        <f t="shared" si="52"/>
        <v>7.0000000000000007E-2</v>
      </c>
      <c r="I208" s="697"/>
      <c r="J208" s="697"/>
      <c r="K208" s="697"/>
      <c r="L208" s="697"/>
      <c r="M208" s="697"/>
      <c r="N208" s="697"/>
      <c r="O208" s="697"/>
      <c r="P208" s="697"/>
      <c r="Q208" s="697"/>
      <c r="R208" s="697"/>
      <c r="S208" s="697"/>
      <c r="T208" s="697"/>
      <c r="U208" s="697"/>
      <c r="V208" s="697"/>
      <c r="W208" s="697"/>
      <c r="X208" s="697"/>
      <c r="Y208" s="697"/>
      <c r="Z208" s="697"/>
      <c r="AA208" s="697"/>
      <c r="AB208" s="697"/>
      <c r="AC208" s="697"/>
      <c r="AD208" s="697"/>
      <c r="AE208" s="697"/>
      <c r="AF208" s="697"/>
      <c r="AG208" s="697"/>
      <c r="AH208" s="697"/>
      <c r="AI208" s="697"/>
      <c r="AJ208" s="697"/>
      <c r="AK208" s="697"/>
      <c r="AL208" s="697"/>
      <c r="AM208" s="697"/>
      <c r="AN208" s="697"/>
      <c r="AO208" s="697"/>
      <c r="AP208" s="697"/>
      <c r="AQ208" s="697"/>
      <c r="AR208" s="697"/>
      <c r="AS208" s="697"/>
      <c r="AT208" s="697"/>
      <c r="AU208" s="697"/>
      <c r="AV208" s="697"/>
      <c r="AW208" s="697"/>
      <c r="AX208" s="697"/>
      <c r="AY208" s="697"/>
      <c r="AZ208" s="697"/>
      <c r="BA208" s="697"/>
      <c r="BB208" s="697"/>
      <c r="BC208" s="697"/>
      <c r="BD208" s="697"/>
      <c r="BE208" s="697"/>
      <c r="BF208" s="697"/>
      <c r="BG208" s="697"/>
      <c r="BH208" s="697"/>
      <c r="BI208" s="697"/>
      <c r="BJ208" s="697"/>
      <c r="BK208" s="697"/>
      <c r="BL208" s="697"/>
      <c r="BM208" s="697"/>
      <c r="BN208" s="697"/>
      <c r="BO208" s="697"/>
      <c r="BP208" s="697"/>
      <c r="BQ208" s="697"/>
      <c r="BR208" s="697"/>
      <c r="BS208" s="697"/>
      <c r="BT208" s="697"/>
      <c r="BU208" s="697"/>
      <c r="BV208" s="697"/>
      <c r="BW208" s="697"/>
      <c r="BX208" s="697"/>
      <c r="BY208" s="697"/>
      <c r="BZ208" s="697"/>
      <c r="CA208" s="697"/>
      <c r="CB208" s="697"/>
      <c r="CC208" s="697"/>
      <c r="CD208" s="697"/>
      <c r="CE208" s="697"/>
      <c r="CF208" s="697"/>
      <c r="CG208" s="697"/>
      <c r="CH208" s="697"/>
      <c r="CI208" s="697"/>
      <c r="CJ208" s="697"/>
      <c r="CK208" s="697"/>
      <c r="CL208" s="697"/>
      <c r="CM208" s="697"/>
      <c r="CN208" s="697"/>
      <c r="CO208" s="697"/>
      <c r="CP208" s="697"/>
      <c r="CQ208" s="697"/>
      <c r="CR208" s="697"/>
      <c r="CS208" s="697"/>
      <c r="CT208" s="697"/>
      <c r="CU208" s="697"/>
      <c r="CV208" s="697"/>
      <c r="CW208" s="697"/>
      <c r="CX208" s="697"/>
      <c r="CY208" s="697"/>
      <c r="CZ208" s="697"/>
      <c r="DA208" s="697"/>
    </row>
    <row r="209" spans="1:105" hidden="1" outlineLevel="1" x14ac:dyDescent="0.2">
      <c r="A209" s="709">
        <f t="shared" si="53"/>
        <v>37956</v>
      </c>
      <c r="B209" s="709" t="str">
        <f t="shared" si="50"/>
        <v>4Q03</v>
      </c>
      <c r="C209" s="709" t="str">
        <f t="shared" si="54"/>
        <v>1Q04</v>
      </c>
      <c r="D209" s="710">
        <f t="shared" si="55"/>
        <v>38016</v>
      </c>
      <c r="E209" s="710">
        <f t="shared" si="55"/>
        <v>37956</v>
      </c>
      <c r="F209" s="712">
        <v>1.476</v>
      </c>
      <c r="G209" s="713">
        <f t="shared" si="51"/>
        <v>7.0000000000000007E-2</v>
      </c>
      <c r="H209" s="713">
        <f t="shared" si="52"/>
        <v>7.0000000000000007E-2</v>
      </c>
      <c r="I209" s="697"/>
      <c r="J209" s="697"/>
      <c r="K209" s="697"/>
      <c r="L209" s="697"/>
      <c r="M209" s="697"/>
      <c r="N209" s="697"/>
      <c r="O209" s="697"/>
      <c r="P209" s="697"/>
      <c r="Q209" s="697"/>
      <c r="R209" s="697"/>
      <c r="S209" s="697"/>
      <c r="T209" s="697"/>
      <c r="U209" s="697"/>
      <c r="V209" s="697"/>
      <c r="W209" s="697"/>
      <c r="X209" s="697"/>
      <c r="Y209" s="697"/>
      <c r="Z209" s="697"/>
      <c r="AA209" s="697"/>
      <c r="AB209" s="697"/>
      <c r="AC209" s="697"/>
      <c r="AD209" s="697"/>
      <c r="AE209" s="697"/>
      <c r="AF209" s="697"/>
      <c r="AG209" s="697"/>
      <c r="AH209" s="697"/>
      <c r="AI209" s="697"/>
      <c r="AJ209" s="697"/>
      <c r="AK209" s="697"/>
      <c r="AL209" s="697"/>
      <c r="AM209" s="697"/>
      <c r="AN209" s="697"/>
      <c r="AO209" s="697"/>
      <c r="AP209" s="697"/>
      <c r="AQ209" s="697"/>
      <c r="AR209" s="697"/>
      <c r="AS209" s="697"/>
      <c r="AT209" s="697"/>
      <c r="AU209" s="697"/>
      <c r="AV209" s="697"/>
      <c r="AW209" s="697"/>
      <c r="AX209" s="697"/>
      <c r="AY209" s="697"/>
      <c r="AZ209" s="697"/>
      <c r="BA209" s="697"/>
      <c r="BB209" s="697"/>
      <c r="BC209" s="697"/>
      <c r="BD209" s="697"/>
      <c r="BE209" s="697"/>
      <c r="BF209" s="697"/>
      <c r="BG209" s="697"/>
      <c r="BH209" s="697"/>
      <c r="BI209" s="697"/>
      <c r="BJ209" s="697"/>
      <c r="BK209" s="697"/>
      <c r="BL209" s="697"/>
      <c r="BM209" s="697"/>
      <c r="BN209" s="697"/>
      <c r="BO209" s="697"/>
      <c r="BP209" s="697"/>
      <c r="BQ209" s="697"/>
      <c r="BR209" s="697"/>
      <c r="BS209" s="697"/>
      <c r="BT209" s="697"/>
      <c r="BU209" s="697"/>
      <c r="BV209" s="697"/>
      <c r="BW209" s="697"/>
      <c r="BX209" s="697"/>
      <c r="BY209" s="697"/>
      <c r="BZ209" s="697"/>
      <c r="CA209" s="697"/>
      <c r="CB209" s="697"/>
      <c r="CC209" s="697"/>
      <c r="CD209" s="697"/>
      <c r="CE209" s="697"/>
      <c r="CF209" s="697"/>
      <c r="CG209" s="697"/>
      <c r="CH209" s="697"/>
      <c r="CI209" s="697"/>
      <c r="CJ209" s="697"/>
      <c r="CK209" s="697"/>
      <c r="CL209" s="697"/>
      <c r="CM209" s="697"/>
      <c r="CN209" s="697"/>
      <c r="CO209" s="697"/>
      <c r="CP209" s="697"/>
      <c r="CQ209" s="697"/>
      <c r="CR209" s="697"/>
      <c r="CS209" s="697"/>
      <c r="CT209" s="697"/>
      <c r="CU209" s="697"/>
      <c r="CV209" s="697"/>
      <c r="CW209" s="697"/>
      <c r="CX209" s="697"/>
      <c r="CY209" s="697"/>
      <c r="CZ209" s="697"/>
      <c r="DA209" s="697"/>
    </row>
    <row r="210" spans="1:105" hidden="1" outlineLevel="1" x14ac:dyDescent="0.2">
      <c r="A210" s="709">
        <f t="shared" si="53"/>
        <v>37956</v>
      </c>
      <c r="B210" s="709" t="str">
        <f t="shared" si="50"/>
        <v>4Q03</v>
      </c>
      <c r="C210" s="709" t="str">
        <f t="shared" si="54"/>
        <v>1Q04</v>
      </c>
      <c r="D210" s="710">
        <f t="shared" si="55"/>
        <v>38023</v>
      </c>
      <c r="E210" s="710">
        <f t="shared" si="55"/>
        <v>37963</v>
      </c>
      <c r="F210" s="712">
        <v>1.4809999999999999</v>
      </c>
      <c r="G210" s="713">
        <f t="shared" si="51"/>
        <v>7.0000000000000007E-2</v>
      </c>
      <c r="H210" s="713">
        <f t="shared" si="52"/>
        <v>7.0000000000000007E-2</v>
      </c>
      <c r="I210" s="697"/>
      <c r="J210" s="697"/>
      <c r="K210" s="697"/>
      <c r="L210" s="697"/>
      <c r="M210" s="697"/>
      <c r="N210" s="697"/>
      <c r="O210" s="697"/>
      <c r="P210" s="697"/>
      <c r="Q210" s="697"/>
      <c r="R210" s="697"/>
      <c r="S210" s="697"/>
      <c r="T210" s="697"/>
      <c r="U210" s="697"/>
      <c r="V210" s="697"/>
      <c r="W210" s="697"/>
      <c r="X210" s="697"/>
      <c r="Y210" s="697"/>
      <c r="Z210" s="697"/>
      <c r="AA210" s="697"/>
      <c r="AB210" s="697"/>
      <c r="AC210" s="697"/>
      <c r="AD210" s="697"/>
      <c r="AE210" s="697"/>
      <c r="AF210" s="697"/>
      <c r="AG210" s="697"/>
      <c r="AH210" s="697"/>
      <c r="AI210" s="697"/>
      <c r="AJ210" s="697"/>
      <c r="AK210" s="697"/>
      <c r="AL210" s="697"/>
      <c r="AM210" s="697"/>
      <c r="AN210" s="697"/>
      <c r="AO210" s="697"/>
      <c r="AP210" s="697"/>
      <c r="AQ210" s="697"/>
      <c r="AR210" s="697"/>
      <c r="AS210" s="697"/>
      <c r="AT210" s="697"/>
      <c r="AU210" s="697"/>
      <c r="AV210" s="697"/>
      <c r="AW210" s="697"/>
      <c r="AX210" s="697"/>
      <c r="AY210" s="697"/>
      <c r="AZ210" s="697"/>
      <c r="BA210" s="697"/>
      <c r="BB210" s="697"/>
      <c r="BC210" s="697"/>
      <c r="BD210" s="697"/>
      <c r="BE210" s="697"/>
      <c r="BF210" s="697"/>
      <c r="BG210" s="697"/>
      <c r="BH210" s="697"/>
      <c r="BI210" s="697"/>
      <c r="BJ210" s="697"/>
      <c r="BK210" s="697"/>
      <c r="BL210" s="697"/>
      <c r="BM210" s="697"/>
      <c r="BN210" s="697"/>
      <c r="BO210" s="697"/>
      <c r="BP210" s="697"/>
      <c r="BQ210" s="697"/>
      <c r="BR210" s="697"/>
      <c r="BS210" s="697"/>
      <c r="BT210" s="697"/>
      <c r="BU210" s="697"/>
      <c r="BV210" s="697"/>
      <c r="BW210" s="697"/>
      <c r="BX210" s="697"/>
      <c r="BY210" s="697"/>
      <c r="BZ210" s="697"/>
      <c r="CA210" s="697"/>
      <c r="CB210" s="697"/>
      <c r="CC210" s="697"/>
      <c r="CD210" s="697"/>
      <c r="CE210" s="697"/>
      <c r="CF210" s="697"/>
      <c r="CG210" s="697"/>
      <c r="CH210" s="697"/>
      <c r="CI210" s="697"/>
      <c r="CJ210" s="697"/>
      <c r="CK210" s="697"/>
      <c r="CL210" s="697"/>
      <c r="CM210" s="697"/>
      <c r="CN210" s="697"/>
      <c r="CO210" s="697"/>
      <c r="CP210" s="697"/>
      <c r="CQ210" s="697"/>
      <c r="CR210" s="697"/>
      <c r="CS210" s="697"/>
      <c r="CT210" s="697"/>
      <c r="CU210" s="697"/>
      <c r="CV210" s="697"/>
      <c r="CW210" s="697"/>
      <c r="CX210" s="697"/>
      <c r="CY210" s="697"/>
      <c r="CZ210" s="697"/>
      <c r="DA210" s="697"/>
    </row>
    <row r="211" spans="1:105" hidden="1" outlineLevel="1" x14ac:dyDescent="0.2">
      <c r="A211" s="709">
        <f t="shared" si="53"/>
        <v>37956</v>
      </c>
      <c r="B211" s="709" t="str">
        <f t="shared" si="50"/>
        <v>4Q03</v>
      </c>
      <c r="C211" s="709" t="str">
        <f t="shared" si="54"/>
        <v>1Q04</v>
      </c>
      <c r="D211" s="710">
        <f t="shared" si="55"/>
        <v>38030</v>
      </c>
      <c r="E211" s="710">
        <f t="shared" si="55"/>
        <v>37970</v>
      </c>
      <c r="F211" s="712">
        <v>1.486</v>
      </c>
      <c r="G211" s="713">
        <f t="shared" si="51"/>
        <v>7.0000000000000007E-2</v>
      </c>
      <c r="H211" s="713">
        <f t="shared" si="52"/>
        <v>0.08</v>
      </c>
      <c r="I211" s="697"/>
      <c r="J211" s="697"/>
      <c r="K211" s="697"/>
      <c r="L211" s="697"/>
      <c r="M211" s="697"/>
      <c r="N211" s="697"/>
      <c r="O211" s="697"/>
      <c r="P211" s="697"/>
      <c r="Q211" s="697"/>
      <c r="R211" s="697"/>
      <c r="S211" s="697"/>
      <c r="T211" s="697"/>
      <c r="U211" s="697"/>
      <c r="V211" s="697"/>
      <c r="W211" s="697"/>
      <c r="X211" s="697"/>
      <c r="Y211" s="697"/>
      <c r="Z211" s="697"/>
      <c r="AA211" s="697"/>
      <c r="AB211" s="697"/>
      <c r="AC211" s="697"/>
      <c r="AD211" s="697"/>
      <c r="AE211" s="697"/>
      <c r="AF211" s="697"/>
      <c r="AG211" s="697"/>
      <c r="AH211" s="697"/>
      <c r="AI211" s="697"/>
      <c r="AJ211" s="697"/>
      <c r="AK211" s="697"/>
      <c r="AL211" s="697"/>
      <c r="AM211" s="697"/>
      <c r="AN211" s="697"/>
      <c r="AO211" s="697"/>
      <c r="AP211" s="697"/>
      <c r="AQ211" s="697"/>
      <c r="AR211" s="697"/>
      <c r="AS211" s="697"/>
      <c r="AT211" s="697"/>
      <c r="AU211" s="697"/>
      <c r="AV211" s="697"/>
      <c r="AW211" s="697"/>
      <c r="AX211" s="697"/>
      <c r="AY211" s="697"/>
      <c r="AZ211" s="697"/>
      <c r="BA211" s="697"/>
      <c r="BB211" s="697"/>
      <c r="BC211" s="697"/>
      <c r="BD211" s="697"/>
      <c r="BE211" s="697"/>
      <c r="BF211" s="697"/>
      <c r="BG211" s="697"/>
      <c r="BH211" s="697"/>
      <c r="BI211" s="697"/>
      <c r="BJ211" s="697"/>
      <c r="BK211" s="697"/>
      <c r="BL211" s="697"/>
      <c r="BM211" s="697"/>
      <c r="BN211" s="697"/>
      <c r="BO211" s="697"/>
      <c r="BP211" s="697"/>
      <c r="BQ211" s="697"/>
      <c r="BR211" s="697"/>
      <c r="BS211" s="697"/>
      <c r="BT211" s="697"/>
      <c r="BU211" s="697"/>
      <c r="BV211" s="697"/>
      <c r="BW211" s="697"/>
      <c r="BX211" s="697"/>
      <c r="BY211" s="697"/>
      <c r="BZ211" s="697"/>
      <c r="CA211" s="697"/>
      <c r="CB211" s="697"/>
      <c r="CC211" s="697"/>
      <c r="CD211" s="697"/>
      <c r="CE211" s="697"/>
      <c r="CF211" s="697"/>
      <c r="CG211" s="697"/>
      <c r="CH211" s="697"/>
      <c r="CI211" s="697"/>
      <c r="CJ211" s="697"/>
      <c r="CK211" s="697"/>
      <c r="CL211" s="697"/>
      <c r="CM211" s="697"/>
      <c r="CN211" s="697"/>
      <c r="CO211" s="697"/>
      <c r="CP211" s="697"/>
      <c r="CQ211" s="697"/>
      <c r="CR211" s="697"/>
      <c r="CS211" s="697"/>
      <c r="CT211" s="697"/>
      <c r="CU211" s="697"/>
      <c r="CV211" s="697"/>
      <c r="CW211" s="697"/>
      <c r="CX211" s="697"/>
      <c r="CY211" s="697"/>
      <c r="CZ211" s="697"/>
      <c r="DA211" s="697"/>
    </row>
    <row r="212" spans="1:105" hidden="1" outlineLevel="1" x14ac:dyDescent="0.2">
      <c r="A212" s="709">
        <f t="shared" si="53"/>
        <v>37956</v>
      </c>
      <c r="B212" s="709" t="str">
        <f t="shared" si="50"/>
        <v>4Q03</v>
      </c>
      <c r="C212" s="709" t="str">
        <f t="shared" si="54"/>
        <v>1Q04</v>
      </c>
      <c r="D212" s="710">
        <f t="shared" si="55"/>
        <v>38037</v>
      </c>
      <c r="E212" s="710">
        <f t="shared" si="55"/>
        <v>37977</v>
      </c>
      <c r="F212" s="712">
        <v>1.504</v>
      </c>
      <c r="G212" s="713">
        <f t="shared" si="51"/>
        <v>0.08</v>
      </c>
      <c r="H212" s="713">
        <f t="shared" si="52"/>
        <v>0.08</v>
      </c>
      <c r="I212" s="697"/>
      <c r="J212" s="697"/>
      <c r="K212" s="697"/>
      <c r="L212" s="697"/>
      <c r="M212" s="697"/>
      <c r="N212" s="697"/>
      <c r="O212" s="697"/>
      <c r="P212" s="697"/>
      <c r="Q212" s="697"/>
      <c r="R212" s="697"/>
      <c r="S212" s="697"/>
      <c r="T212" s="697"/>
      <c r="U212" s="697"/>
      <c r="V212" s="697"/>
      <c r="W212" s="697"/>
      <c r="X212" s="697"/>
      <c r="Y212" s="697"/>
      <c r="Z212" s="697"/>
      <c r="AA212" s="697"/>
      <c r="AB212" s="697"/>
      <c r="AC212" s="697"/>
      <c r="AD212" s="697"/>
      <c r="AE212" s="697"/>
      <c r="AF212" s="697"/>
      <c r="AG212" s="697"/>
      <c r="AH212" s="697"/>
      <c r="AI212" s="697"/>
      <c r="AJ212" s="697"/>
      <c r="AK212" s="697"/>
      <c r="AL212" s="697"/>
      <c r="AM212" s="697"/>
      <c r="AN212" s="697"/>
      <c r="AO212" s="697"/>
      <c r="AP212" s="697"/>
      <c r="AQ212" s="697"/>
      <c r="AR212" s="697"/>
      <c r="AS212" s="697"/>
      <c r="AT212" s="697"/>
      <c r="AU212" s="697"/>
      <c r="AV212" s="697"/>
      <c r="AW212" s="697"/>
      <c r="AX212" s="697"/>
      <c r="AY212" s="697"/>
      <c r="AZ212" s="697"/>
      <c r="BA212" s="697"/>
      <c r="BB212" s="697"/>
      <c r="BC212" s="697"/>
      <c r="BD212" s="697"/>
      <c r="BE212" s="697"/>
      <c r="BF212" s="697"/>
      <c r="BG212" s="697"/>
      <c r="BH212" s="697"/>
      <c r="BI212" s="697"/>
      <c r="BJ212" s="697"/>
      <c r="BK212" s="697"/>
      <c r="BL212" s="697"/>
      <c r="BM212" s="697"/>
      <c r="BN212" s="697"/>
      <c r="BO212" s="697"/>
      <c r="BP212" s="697"/>
      <c r="BQ212" s="697"/>
      <c r="BR212" s="697"/>
      <c r="BS212" s="697"/>
      <c r="BT212" s="697"/>
      <c r="BU212" s="697"/>
      <c r="BV212" s="697"/>
      <c r="BW212" s="697"/>
      <c r="BX212" s="697"/>
      <c r="BY212" s="697"/>
      <c r="BZ212" s="697"/>
      <c r="CA212" s="697"/>
      <c r="CB212" s="697"/>
      <c r="CC212" s="697"/>
      <c r="CD212" s="697"/>
      <c r="CE212" s="697"/>
      <c r="CF212" s="697"/>
      <c r="CG212" s="697"/>
      <c r="CH212" s="697"/>
      <c r="CI212" s="697"/>
      <c r="CJ212" s="697"/>
      <c r="CK212" s="697"/>
      <c r="CL212" s="697"/>
      <c r="CM212" s="697"/>
      <c r="CN212" s="697"/>
      <c r="CO212" s="697"/>
      <c r="CP212" s="697"/>
      <c r="CQ212" s="697"/>
      <c r="CR212" s="697"/>
      <c r="CS212" s="697"/>
      <c r="CT212" s="697"/>
      <c r="CU212" s="697"/>
      <c r="CV212" s="697"/>
      <c r="CW212" s="697"/>
      <c r="CX212" s="697"/>
      <c r="CY212" s="697"/>
      <c r="CZ212" s="697"/>
      <c r="DA212" s="697"/>
    </row>
    <row r="213" spans="1:105" hidden="1" outlineLevel="1" x14ac:dyDescent="0.2">
      <c r="A213" s="709">
        <f t="shared" si="53"/>
        <v>37956</v>
      </c>
      <c r="B213" s="709" t="str">
        <f t="shared" si="50"/>
        <v>4Q03</v>
      </c>
      <c r="C213" s="709" t="str">
        <f t="shared" si="54"/>
        <v>1Q04</v>
      </c>
      <c r="D213" s="710">
        <f t="shared" ref="D213:E228" si="56">D212+7</f>
        <v>38044</v>
      </c>
      <c r="E213" s="710">
        <f t="shared" si="56"/>
        <v>37984</v>
      </c>
      <c r="F213" s="712">
        <v>1.5019999999999998</v>
      </c>
      <c r="G213" s="713">
        <f t="shared" si="51"/>
        <v>0.08</v>
      </c>
      <c r="H213" s="713">
        <f t="shared" si="52"/>
        <v>0.08</v>
      </c>
      <c r="I213" s="697"/>
      <c r="J213" s="697"/>
      <c r="K213" s="697"/>
      <c r="L213" s="697"/>
      <c r="M213" s="697"/>
      <c r="N213" s="697"/>
      <c r="O213" s="697"/>
      <c r="P213" s="697"/>
      <c r="Q213" s="697"/>
      <c r="R213" s="697"/>
      <c r="S213" s="697"/>
      <c r="T213" s="697"/>
      <c r="U213" s="697"/>
      <c r="V213" s="697"/>
      <c r="W213" s="697"/>
      <c r="X213" s="697"/>
      <c r="Y213" s="697"/>
      <c r="Z213" s="697"/>
      <c r="AA213" s="697"/>
      <c r="AB213" s="697"/>
      <c r="AC213" s="697"/>
      <c r="AD213" s="697"/>
      <c r="AE213" s="697"/>
      <c r="AF213" s="697"/>
      <c r="AG213" s="697"/>
      <c r="AH213" s="697"/>
      <c r="AI213" s="697"/>
      <c r="AJ213" s="697"/>
      <c r="AK213" s="697"/>
      <c r="AL213" s="697"/>
      <c r="AM213" s="697"/>
      <c r="AN213" s="697"/>
      <c r="AO213" s="697"/>
      <c r="AP213" s="697"/>
      <c r="AQ213" s="697"/>
      <c r="AR213" s="697"/>
      <c r="AS213" s="697"/>
      <c r="AT213" s="697"/>
      <c r="AU213" s="697"/>
      <c r="AV213" s="697"/>
      <c r="AW213" s="697"/>
      <c r="AX213" s="697"/>
      <c r="AY213" s="697"/>
      <c r="AZ213" s="697"/>
      <c r="BA213" s="697"/>
      <c r="BB213" s="697"/>
      <c r="BC213" s="697"/>
      <c r="BD213" s="697"/>
      <c r="BE213" s="697"/>
      <c r="BF213" s="697"/>
      <c r="BG213" s="697"/>
      <c r="BH213" s="697"/>
      <c r="BI213" s="697"/>
      <c r="BJ213" s="697"/>
      <c r="BK213" s="697"/>
      <c r="BL213" s="697"/>
      <c r="BM213" s="697"/>
      <c r="BN213" s="697"/>
      <c r="BO213" s="697"/>
      <c r="BP213" s="697"/>
      <c r="BQ213" s="697"/>
      <c r="BR213" s="697"/>
      <c r="BS213" s="697"/>
      <c r="BT213" s="697"/>
      <c r="BU213" s="697"/>
      <c r="BV213" s="697"/>
      <c r="BW213" s="697"/>
      <c r="BX213" s="697"/>
      <c r="BY213" s="697"/>
      <c r="BZ213" s="697"/>
      <c r="CA213" s="697"/>
      <c r="CB213" s="697"/>
      <c r="CC213" s="697"/>
      <c r="CD213" s="697"/>
      <c r="CE213" s="697"/>
      <c r="CF213" s="697"/>
      <c r="CG213" s="697"/>
      <c r="CH213" s="697"/>
      <c r="CI213" s="697"/>
      <c r="CJ213" s="697"/>
      <c r="CK213" s="697"/>
      <c r="CL213" s="697"/>
      <c r="CM213" s="697"/>
      <c r="CN213" s="697"/>
      <c r="CO213" s="697"/>
      <c r="CP213" s="697"/>
      <c r="CQ213" s="697"/>
      <c r="CR213" s="697"/>
      <c r="CS213" s="697"/>
      <c r="CT213" s="697"/>
      <c r="CU213" s="697"/>
      <c r="CV213" s="697"/>
      <c r="CW213" s="697"/>
      <c r="CX213" s="697"/>
      <c r="CY213" s="697"/>
      <c r="CZ213" s="697"/>
      <c r="DA213" s="697"/>
    </row>
    <row r="214" spans="1:105" hidden="1" outlineLevel="1" x14ac:dyDescent="0.2">
      <c r="A214" s="709">
        <f t="shared" si="53"/>
        <v>37987</v>
      </c>
      <c r="B214" s="709" t="str">
        <f t="shared" si="50"/>
        <v>1Q04</v>
      </c>
      <c r="C214" s="709" t="str">
        <f t="shared" si="54"/>
        <v>1Q04</v>
      </c>
      <c r="D214" s="710">
        <f t="shared" si="56"/>
        <v>38051</v>
      </c>
      <c r="E214" s="710">
        <f t="shared" si="56"/>
        <v>37991</v>
      </c>
      <c r="F214" s="712">
        <v>1.5030000000000001</v>
      </c>
      <c r="G214" s="713">
        <f t="shared" si="51"/>
        <v>0.08</v>
      </c>
      <c r="H214" s="713">
        <f t="shared" si="52"/>
        <v>0.09</v>
      </c>
      <c r="I214" s="697"/>
      <c r="J214" s="697"/>
      <c r="K214" s="697"/>
      <c r="L214" s="697"/>
      <c r="M214" s="697"/>
      <c r="N214" s="697"/>
      <c r="O214" s="697"/>
      <c r="P214" s="697"/>
      <c r="Q214" s="697"/>
      <c r="R214" s="697"/>
      <c r="S214" s="697"/>
      <c r="T214" s="697"/>
      <c r="U214" s="697"/>
      <c r="V214" s="697"/>
      <c r="W214" s="697"/>
      <c r="X214" s="697"/>
      <c r="Y214" s="697"/>
      <c r="Z214" s="697"/>
      <c r="AA214" s="697"/>
      <c r="AB214" s="697"/>
      <c r="AC214" s="697"/>
      <c r="AD214" s="697"/>
      <c r="AE214" s="697"/>
      <c r="AF214" s="697"/>
      <c r="AG214" s="697"/>
      <c r="AH214" s="697"/>
      <c r="AI214" s="697"/>
      <c r="AJ214" s="697"/>
      <c r="AK214" s="697"/>
      <c r="AL214" s="697"/>
      <c r="AM214" s="697"/>
      <c r="AN214" s="697"/>
      <c r="AO214" s="697"/>
      <c r="AP214" s="697"/>
      <c r="AQ214" s="697"/>
      <c r="AR214" s="697"/>
      <c r="AS214" s="697"/>
      <c r="AT214" s="697"/>
      <c r="AU214" s="697"/>
      <c r="AV214" s="697"/>
      <c r="AW214" s="697"/>
      <c r="AX214" s="697"/>
      <c r="AY214" s="697"/>
      <c r="AZ214" s="697"/>
      <c r="BA214" s="697"/>
      <c r="BB214" s="697"/>
      <c r="BC214" s="697"/>
      <c r="BD214" s="697"/>
      <c r="BE214" s="697"/>
      <c r="BF214" s="697"/>
      <c r="BG214" s="697"/>
      <c r="BH214" s="697"/>
      <c r="BI214" s="697"/>
      <c r="BJ214" s="697"/>
      <c r="BK214" s="697"/>
      <c r="BL214" s="697"/>
      <c r="BM214" s="697"/>
      <c r="BN214" s="697"/>
      <c r="BO214" s="697"/>
      <c r="BP214" s="697"/>
      <c r="BQ214" s="697"/>
      <c r="BR214" s="697"/>
      <c r="BS214" s="697"/>
      <c r="BT214" s="697"/>
      <c r="BU214" s="697"/>
      <c r="BV214" s="697"/>
      <c r="BW214" s="697"/>
      <c r="BX214" s="697"/>
      <c r="BY214" s="697"/>
      <c r="BZ214" s="697"/>
      <c r="CA214" s="697"/>
      <c r="CB214" s="697"/>
      <c r="CC214" s="697"/>
      <c r="CD214" s="697"/>
      <c r="CE214" s="697"/>
      <c r="CF214" s="697"/>
      <c r="CG214" s="697"/>
      <c r="CH214" s="697"/>
      <c r="CI214" s="697"/>
      <c r="CJ214" s="697"/>
      <c r="CK214" s="697"/>
      <c r="CL214" s="697"/>
      <c r="CM214" s="697"/>
      <c r="CN214" s="697"/>
      <c r="CO214" s="697"/>
      <c r="CP214" s="697"/>
      <c r="CQ214" s="697"/>
      <c r="CR214" s="697"/>
      <c r="CS214" s="697"/>
      <c r="CT214" s="697"/>
      <c r="CU214" s="697"/>
      <c r="CV214" s="697"/>
      <c r="CW214" s="697"/>
      <c r="CX214" s="697"/>
      <c r="CY214" s="697"/>
      <c r="CZ214" s="697"/>
      <c r="DA214" s="697"/>
    </row>
    <row r="215" spans="1:105" hidden="1" outlineLevel="1" x14ac:dyDescent="0.2">
      <c r="A215" s="709">
        <f t="shared" si="53"/>
        <v>37987</v>
      </c>
      <c r="B215" s="709" t="str">
        <f t="shared" si="50"/>
        <v>1Q04</v>
      </c>
      <c r="C215" s="709" t="str">
        <f t="shared" si="54"/>
        <v>1Q04</v>
      </c>
      <c r="D215" s="710">
        <f t="shared" si="56"/>
        <v>38058</v>
      </c>
      <c r="E215" s="710">
        <f t="shared" si="56"/>
        <v>37998</v>
      </c>
      <c r="F215" s="712">
        <v>1.5509999999999999</v>
      </c>
      <c r="G215" s="713">
        <f t="shared" si="51"/>
        <v>0.09</v>
      </c>
      <c r="H215" s="713">
        <f t="shared" si="52"/>
        <v>0.09</v>
      </c>
      <c r="I215" s="697"/>
      <c r="J215" s="697"/>
      <c r="K215" s="697"/>
      <c r="L215" s="697"/>
      <c r="M215" s="697"/>
      <c r="N215" s="697"/>
      <c r="O215" s="697"/>
      <c r="P215" s="697"/>
      <c r="Q215" s="697"/>
      <c r="R215" s="697"/>
      <c r="S215" s="697"/>
      <c r="T215" s="697"/>
      <c r="U215" s="697"/>
      <c r="V215" s="697"/>
      <c r="W215" s="697"/>
      <c r="X215" s="697"/>
      <c r="Y215" s="697"/>
      <c r="Z215" s="697"/>
      <c r="AA215" s="697"/>
      <c r="AB215" s="697"/>
      <c r="AC215" s="697"/>
      <c r="AD215" s="697"/>
      <c r="AE215" s="697"/>
      <c r="AF215" s="697"/>
      <c r="AG215" s="697"/>
      <c r="AH215" s="697"/>
      <c r="AI215" s="697"/>
      <c r="AJ215" s="697"/>
      <c r="AK215" s="697"/>
      <c r="AL215" s="697"/>
      <c r="AM215" s="697"/>
      <c r="AN215" s="697"/>
      <c r="AO215" s="697"/>
      <c r="AP215" s="697"/>
      <c r="AQ215" s="697"/>
      <c r="AR215" s="697"/>
      <c r="AS215" s="697"/>
      <c r="AT215" s="697"/>
      <c r="AU215" s="697"/>
      <c r="AV215" s="697"/>
      <c r="AW215" s="697"/>
      <c r="AX215" s="697"/>
      <c r="AY215" s="697"/>
      <c r="AZ215" s="697"/>
      <c r="BA215" s="697"/>
      <c r="BB215" s="697"/>
      <c r="BC215" s="697"/>
      <c r="BD215" s="697"/>
      <c r="BE215" s="697"/>
      <c r="BF215" s="697"/>
      <c r="BG215" s="697"/>
      <c r="BH215" s="697"/>
      <c r="BI215" s="697"/>
      <c r="BJ215" s="697"/>
      <c r="BK215" s="697"/>
      <c r="BL215" s="697"/>
      <c r="BM215" s="697"/>
      <c r="BN215" s="697"/>
      <c r="BO215" s="697"/>
      <c r="BP215" s="697"/>
      <c r="BQ215" s="697"/>
      <c r="BR215" s="697"/>
      <c r="BS215" s="697"/>
      <c r="BT215" s="697"/>
      <c r="BU215" s="697"/>
      <c r="BV215" s="697"/>
      <c r="BW215" s="697"/>
      <c r="BX215" s="697"/>
      <c r="BY215" s="697"/>
      <c r="BZ215" s="697"/>
      <c r="CA215" s="697"/>
      <c r="CB215" s="697"/>
      <c r="CC215" s="697"/>
      <c r="CD215" s="697"/>
      <c r="CE215" s="697"/>
      <c r="CF215" s="697"/>
      <c r="CG215" s="697"/>
      <c r="CH215" s="697"/>
      <c r="CI215" s="697"/>
      <c r="CJ215" s="697"/>
      <c r="CK215" s="697"/>
      <c r="CL215" s="697"/>
      <c r="CM215" s="697"/>
      <c r="CN215" s="697"/>
      <c r="CO215" s="697"/>
      <c r="CP215" s="697"/>
      <c r="CQ215" s="697"/>
      <c r="CR215" s="697"/>
      <c r="CS215" s="697"/>
      <c r="CT215" s="697"/>
      <c r="CU215" s="697"/>
      <c r="CV215" s="697"/>
      <c r="CW215" s="697"/>
      <c r="CX215" s="697"/>
      <c r="CY215" s="697"/>
      <c r="CZ215" s="697"/>
      <c r="DA215" s="697"/>
    </row>
    <row r="216" spans="1:105" hidden="1" outlineLevel="1" x14ac:dyDescent="0.2">
      <c r="A216" s="709">
        <f t="shared" si="53"/>
        <v>37987</v>
      </c>
      <c r="B216" s="709" t="str">
        <f t="shared" si="50"/>
        <v>1Q04</v>
      </c>
      <c r="C216" s="709" t="str">
        <f t="shared" si="54"/>
        <v>1Q04</v>
      </c>
      <c r="D216" s="710">
        <f t="shared" si="56"/>
        <v>38065</v>
      </c>
      <c r="E216" s="710">
        <f t="shared" si="56"/>
        <v>38005</v>
      </c>
      <c r="F216" s="712">
        <v>1.5590000000000002</v>
      </c>
      <c r="G216" s="713">
        <f t="shared" si="51"/>
        <v>0.09</v>
      </c>
      <c r="H216" s="713">
        <f t="shared" si="52"/>
        <v>0.09</v>
      </c>
      <c r="I216" s="697"/>
      <c r="J216" s="697"/>
      <c r="K216" s="697"/>
      <c r="L216" s="697"/>
      <c r="M216" s="697"/>
      <c r="N216" s="697"/>
      <c r="O216" s="697"/>
      <c r="P216" s="697"/>
      <c r="Q216" s="697"/>
      <c r="R216" s="697"/>
      <c r="S216" s="697"/>
      <c r="T216" s="697"/>
      <c r="U216" s="697"/>
      <c r="V216" s="697"/>
      <c r="W216" s="697"/>
      <c r="X216" s="697"/>
      <c r="Y216" s="697"/>
      <c r="Z216" s="697"/>
      <c r="AA216" s="697"/>
      <c r="AB216" s="697"/>
      <c r="AC216" s="697"/>
      <c r="AD216" s="697"/>
      <c r="AE216" s="697"/>
      <c r="AF216" s="697"/>
      <c r="AG216" s="697"/>
      <c r="AH216" s="697"/>
      <c r="AI216" s="697"/>
      <c r="AJ216" s="697"/>
      <c r="AK216" s="697"/>
      <c r="AL216" s="697"/>
      <c r="AM216" s="697"/>
      <c r="AN216" s="697"/>
      <c r="AO216" s="697"/>
      <c r="AP216" s="697"/>
      <c r="AQ216" s="697"/>
      <c r="AR216" s="697"/>
      <c r="AS216" s="697"/>
      <c r="AT216" s="697"/>
      <c r="AU216" s="697"/>
      <c r="AV216" s="697"/>
      <c r="AW216" s="697"/>
      <c r="AX216" s="697"/>
      <c r="AY216" s="697"/>
      <c r="AZ216" s="697"/>
      <c r="BA216" s="697"/>
      <c r="BB216" s="697"/>
      <c r="BC216" s="697"/>
      <c r="BD216" s="697"/>
      <c r="BE216" s="697"/>
      <c r="BF216" s="697"/>
      <c r="BG216" s="697"/>
      <c r="BH216" s="697"/>
      <c r="BI216" s="697"/>
      <c r="BJ216" s="697"/>
      <c r="BK216" s="697"/>
      <c r="BL216" s="697"/>
      <c r="BM216" s="697"/>
      <c r="BN216" s="697"/>
      <c r="BO216" s="697"/>
      <c r="BP216" s="697"/>
      <c r="BQ216" s="697"/>
      <c r="BR216" s="697"/>
      <c r="BS216" s="697"/>
      <c r="BT216" s="697"/>
      <c r="BU216" s="697"/>
      <c r="BV216" s="697"/>
      <c r="BW216" s="697"/>
      <c r="BX216" s="697"/>
      <c r="BY216" s="697"/>
      <c r="BZ216" s="697"/>
      <c r="CA216" s="697"/>
      <c r="CB216" s="697"/>
      <c r="CC216" s="697"/>
      <c r="CD216" s="697"/>
      <c r="CE216" s="697"/>
      <c r="CF216" s="697"/>
      <c r="CG216" s="697"/>
      <c r="CH216" s="697"/>
      <c r="CI216" s="697"/>
      <c r="CJ216" s="697"/>
      <c r="CK216" s="697"/>
      <c r="CL216" s="697"/>
      <c r="CM216" s="697"/>
      <c r="CN216" s="697"/>
      <c r="CO216" s="697"/>
      <c r="CP216" s="697"/>
      <c r="CQ216" s="697"/>
      <c r="CR216" s="697"/>
      <c r="CS216" s="697"/>
      <c r="CT216" s="697"/>
      <c r="CU216" s="697"/>
      <c r="CV216" s="697"/>
      <c r="CW216" s="697"/>
      <c r="CX216" s="697"/>
      <c r="CY216" s="697"/>
      <c r="CZ216" s="697"/>
      <c r="DA216" s="697"/>
    </row>
    <row r="217" spans="1:105" hidden="1" outlineLevel="1" x14ac:dyDescent="0.2">
      <c r="A217" s="709">
        <f t="shared" si="53"/>
        <v>37987</v>
      </c>
      <c r="B217" s="709" t="str">
        <f t="shared" si="50"/>
        <v>1Q04</v>
      </c>
      <c r="C217" s="709" t="str">
        <f t="shared" si="54"/>
        <v>1Q04</v>
      </c>
      <c r="D217" s="710">
        <f t="shared" si="56"/>
        <v>38072</v>
      </c>
      <c r="E217" s="710">
        <f t="shared" si="56"/>
        <v>38012</v>
      </c>
      <c r="F217" s="712">
        <v>1.591</v>
      </c>
      <c r="G217" s="713">
        <f t="shared" si="51"/>
        <v>0.09</v>
      </c>
      <c r="H217" s="713">
        <f t="shared" si="52"/>
        <v>0.09</v>
      </c>
      <c r="I217" s="697"/>
      <c r="J217" s="697"/>
      <c r="K217" s="697"/>
      <c r="L217" s="697"/>
      <c r="M217" s="697"/>
      <c r="N217" s="697"/>
      <c r="O217" s="697"/>
      <c r="P217" s="697"/>
      <c r="Q217" s="697"/>
      <c r="R217" s="697"/>
      <c r="S217" s="697"/>
      <c r="T217" s="697"/>
      <c r="U217" s="697"/>
      <c r="V217" s="697"/>
      <c r="W217" s="697"/>
      <c r="X217" s="697"/>
      <c r="Y217" s="697"/>
      <c r="Z217" s="697"/>
      <c r="AA217" s="697"/>
      <c r="AB217" s="697"/>
      <c r="AC217" s="697"/>
      <c r="AD217" s="697"/>
      <c r="AE217" s="697"/>
      <c r="AF217" s="697"/>
      <c r="AG217" s="697"/>
      <c r="AH217" s="697"/>
      <c r="AI217" s="697"/>
      <c r="AJ217" s="697"/>
      <c r="AK217" s="697"/>
      <c r="AL217" s="697"/>
      <c r="AM217" s="697"/>
      <c r="AN217" s="697"/>
      <c r="AO217" s="697"/>
      <c r="AP217" s="697"/>
      <c r="AQ217" s="697"/>
      <c r="AR217" s="697"/>
      <c r="AS217" s="697"/>
      <c r="AT217" s="697"/>
      <c r="AU217" s="697"/>
      <c r="AV217" s="697"/>
      <c r="AW217" s="697"/>
      <c r="AX217" s="697"/>
      <c r="AY217" s="697"/>
      <c r="AZ217" s="697"/>
      <c r="BA217" s="697"/>
      <c r="BB217" s="697"/>
      <c r="BC217" s="697"/>
      <c r="BD217" s="697"/>
      <c r="BE217" s="697"/>
      <c r="BF217" s="697"/>
      <c r="BG217" s="697"/>
      <c r="BH217" s="697"/>
      <c r="BI217" s="697"/>
      <c r="BJ217" s="697"/>
      <c r="BK217" s="697"/>
      <c r="BL217" s="697"/>
      <c r="BM217" s="697"/>
      <c r="BN217" s="697"/>
      <c r="BO217" s="697"/>
      <c r="BP217" s="697"/>
      <c r="BQ217" s="697"/>
      <c r="BR217" s="697"/>
      <c r="BS217" s="697"/>
      <c r="BT217" s="697"/>
      <c r="BU217" s="697"/>
      <c r="BV217" s="697"/>
      <c r="BW217" s="697"/>
      <c r="BX217" s="697"/>
      <c r="BY217" s="697"/>
      <c r="BZ217" s="697"/>
      <c r="CA217" s="697"/>
      <c r="CB217" s="697"/>
      <c r="CC217" s="697"/>
      <c r="CD217" s="697"/>
      <c r="CE217" s="697"/>
      <c r="CF217" s="697"/>
      <c r="CG217" s="697"/>
      <c r="CH217" s="697"/>
      <c r="CI217" s="697"/>
      <c r="CJ217" s="697"/>
      <c r="CK217" s="697"/>
      <c r="CL217" s="697"/>
      <c r="CM217" s="697"/>
      <c r="CN217" s="697"/>
      <c r="CO217" s="697"/>
      <c r="CP217" s="697"/>
      <c r="CQ217" s="697"/>
      <c r="CR217" s="697"/>
      <c r="CS217" s="697"/>
      <c r="CT217" s="697"/>
      <c r="CU217" s="697"/>
      <c r="CV217" s="697"/>
      <c r="CW217" s="697"/>
      <c r="CX217" s="697"/>
      <c r="CY217" s="697"/>
      <c r="CZ217" s="697"/>
      <c r="DA217" s="697"/>
    </row>
    <row r="218" spans="1:105" hidden="1" outlineLevel="1" x14ac:dyDescent="0.2">
      <c r="A218" s="709">
        <f t="shared" si="53"/>
        <v>38018</v>
      </c>
      <c r="B218" s="709" t="str">
        <f t="shared" si="50"/>
        <v>1Q04</v>
      </c>
      <c r="C218" s="709" t="str">
        <f t="shared" si="54"/>
        <v>2Q04</v>
      </c>
      <c r="D218" s="710">
        <f t="shared" si="56"/>
        <v>38079</v>
      </c>
      <c r="E218" s="710">
        <f t="shared" si="56"/>
        <v>38019</v>
      </c>
      <c r="F218" s="712">
        <v>1.581</v>
      </c>
      <c r="G218" s="713">
        <f t="shared" si="51"/>
        <v>0.09</v>
      </c>
      <c r="H218" s="713">
        <f t="shared" si="52"/>
        <v>0.09</v>
      </c>
      <c r="I218" s="697"/>
      <c r="J218" s="697"/>
      <c r="K218" s="697"/>
      <c r="L218" s="697"/>
      <c r="M218" s="697"/>
      <c r="N218" s="697"/>
      <c r="O218" s="697"/>
      <c r="P218" s="697"/>
      <c r="Q218" s="697"/>
      <c r="R218" s="697"/>
      <c r="S218" s="697"/>
      <c r="T218" s="697"/>
      <c r="U218" s="697"/>
      <c r="V218" s="697"/>
      <c r="W218" s="697"/>
      <c r="X218" s="697"/>
      <c r="Y218" s="697"/>
      <c r="Z218" s="697"/>
      <c r="AA218" s="697"/>
      <c r="AB218" s="697"/>
      <c r="AC218" s="697"/>
      <c r="AD218" s="697"/>
      <c r="AE218" s="697"/>
      <c r="AF218" s="697"/>
      <c r="AG218" s="697"/>
      <c r="AH218" s="697"/>
      <c r="AI218" s="697"/>
      <c r="AJ218" s="697"/>
      <c r="AK218" s="697"/>
      <c r="AL218" s="697"/>
      <c r="AM218" s="697"/>
      <c r="AN218" s="697"/>
      <c r="AO218" s="697"/>
      <c r="AP218" s="697"/>
      <c r="AQ218" s="697"/>
      <c r="AR218" s="697"/>
      <c r="AS218" s="697"/>
      <c r="AT218" s="697"/>
      <c r="AU218" s="697"/>
      <c r="AV218" s="697"/>
      <c r="AW218" s="697"/>
      <c r="AX218" s="697"/>
      <c r="AY218" s="697"/>
      <c r="AZ218" s="697"/>
      <c r="BA218" s="697"/>
      <c r="BB218" s="697"/>
      <c r="BC218" s="697"/>
      <c r="BD218" s="697"/>
      <c r="BE218" s="697"/>
      <c r="BF218" s="697"/>
      <c r="BG218" s="697"/>
      <c r="BH218" s="697"/>
      <c r="BI218" s="697"/>
      <c r="BJ218" s="697"/>
      <c r="BK218" s="697"/>
      <c r="BL218" s="697"/>
      <c r="BM218" s="697"/>
      <c r="BN218" s="697"/>
      <c r="BO218" s="697"/>
      <c r="BP218" s="697"/>
      <c r="BQ218" s="697"/>
      <c r="BR218" s="697"/>
      <c r="BS218" s="697"/>
      <c r="BT218" s="697"/>
      <c r="BU218" s="697"/>
      <c r="BV218" s="697"/>
      <c r="BW218" s="697"/>
      <c r="BX218" s="697"/>
      <c r="BY218" s="697"/>
      <c r="BZ218" s="697"/>
      <c r="CA218" s="697"/>
      <c r="CB218" s="697"/>
      <c r="CC218" s="697"/>
      <c r="CD218" s="697"/>
      <c r="CE218" s="697"/>
      <c r="CF218" s="697"/>
      <c r="CG218" s="697"/>
      <c r="CH218" s="697"/>
      <c r="CI218" s="697"/>
      <c r="CJ218" s="697"/>
      <c r="CK218" s="697"/>
      <c r="CL218" s="697"/>
      <c r="CM218" s="697"/>
      <c r="CN218" s="697"/>
      <c r="CO218" s="697"/>
      <c r="CP218" s="697"/>
      <c r="CQ218" s="697"/>
      <c r="CR218" s="697"/>
      <c r="CS218" s="697"/>
      <c r="CT218" s="697"/>
      <c r="CU218" s="697"/>
      <c r="CV218" s="697"/>
      <c r="CW218" s="697"/>
      <c r="CX218" s="697"/>
      <c r="CY218" s="697"/>
      <c r="CZ218" s="697"/>
      <c r="DA218" s="697"/>
    </row>
    <row r="219" spans="1:105" hidden="1" outlineLevel="1" x14ac:dyDescent="0.2">
      <c r="A219" s="709">
        <f t="shared" si="53"/>
        <v>38018</v>
      </c>
      <c r="B219" s="709" t="str">
        <f t="shared" si="50"/>
        <v>1Q04</v>
      </c>
      <c r="C219" s="709" t="str">
        <f t="shared" si="54"/>
        <v>2Q04</v>
      </c>
      <c r="D219" s="710">
        <f t="shared" si="56"/>
        <v>38086</v>
      </c>
      <c r="E219" s="710">
        <f t="shared" si="56"/>
        <v>38026</v>
      </c>
      <c r="F219" s="712">
        <v>1.5680000000000001</v>
      </c>
      <c r="G219" s="713">
        <f t="shared" si="51"/>
        <v>0.09</v>
      </c>
      <c r="H219" s="713">
        <f t="shared" si="52"/>
        <v>0.09</v>
      </c>
      <c r="I219" s="697"/>
      <c r="J219" s="697"/>
      <c r="K219" s="697"/>
      <c r="L219" s="697"/>
      <c r="M219" s="697"/>
      <c r="N219" s="697"/>
      <c r="O219" s="697"/>
      <c r="P219" s="697"/>
      <c r="Q219" s="697"/>
      <c r="R219" s="697"/>
      <c r="S219" s="697"/>
      <c r="T219" s="697"/>
      <c r="U219" s="697"/>
      <c r="V219" s="697"/>
      <c r="W219" s="697"/>
      <c r="X219" s="697"/>
      <c r="Y219" s="697"/>
      <c r="Z219" s="697"/>
      <c r="AA219" s="697"/>
      <c r="AB219" s="697"/>
      <c r="AC219" s="697"/>
      <c r="AD219" s="697"/>
      <c r="AE219" s="697"/>
      <c r="AF219" s="697"/>
      <c r="AG219" s="697"/>
      <c r="AH219" s="697"/>
      <c r="AI219" s="697"/>
      <c r="AJ219" s="697"/>
      <c r="AK219" s="697"/>
      <c r="AL219" s="697"/>
      <c r="AM219" s="697"/>
      <c r="AN219" s="697"/>
      <c r="AO219" s="697"/>
      <c r="AP219" s="697"/>
      <c r="AQ219" s="697"/>
      <c r="AR219" s="697"/>
      <c r="AS219" s="697"/>
      <c r="AT219" s="697"/>
      <c r="AU219" s="697"/>
      <c r="AV219" s="697"/>
      <c r="AW219" s="697"/>
      <c r="AX219" s="697"/>
      <c r="AY219" s="697"/>
      <c r="AZ219" s="697"/>
      <c r="BA219" s="697"/>
      <c r="BB219" s="697"/>
      <c r="BC219" s="697"/>
      <c r="BD219" s="697"/>
      <c r="BE219" s="697"/>
      <c r="BF219" s="697"/>
      <c r="BG219" s="697"/>
      <c r="BH219" s="697"/>
      <c r="BI219" s="697"/>
      <c r="BJ219" s="697"/>
      <c r="BK219" s="697"/>
      <c r="BL219" s="697"/>
      <c r="BM219" s="697"/>
      <c r="BN219" s="697"/>
      <c r="BO219" s="697"/>
      <c r="BP219" s="697"/>
      <c r="BQ219" s="697"/>
      <c r="BR219" s="697"/>
      <c r="BS219" s="697"/>
      <c r="BT219" s="697"/>
      <c r="BU219" s="697"/>
      <c r="BV219" s="697"/>
      <c r="BW219" s="697"/>
      <c r="BX219" s="697"/>
      <c r="BY219" s="697"/>
      <c r="BZ219" s="697"/>
      <c r="CA219" s="697"/>
      <c r="CB219" s="697"/>
      <c r="CC219" s="697"/>
      <c r="CD219" s="697"/>
      <c r="CE219" s="697"/>
      <c r="CF219" s="697"/>
      <c r="CG219" s="697"/>
      <c r="CH219" s="697"/>
      <c r="CI219" s="697"/>
      <c r="CJ219" s="697"/>
      <c r="CK219" s="697"/>
      <c r="CL219" s="697"/>
      <c r="CM219" s="697"/>
      <c r="CN219" s="697"/>
      <c r="CO219" s="697"/>
      <c r="CP219" s="697"/>
      <c r="CQ219" s="697"/>
      <c r="CR219" s="697"/>
      <c r="CS219" s="697"/>
      <c r="CT219" s="697"/>
      <c r="CU219" s="697"/>
      <c r="CV219" s="697"/>
      <c r="CW219" s="697"/>
      <c r="CX219" s="697"/>
      <c r="CY219" s="697"/>
      <c r="CZ219" s="697"/>
      <c r="DA219" s="697"/>
    </row>
    <row r="220" spans="1:105" hidden="1" outlineLevel="1" x14ac:dyDescent="0.2">
      <c r="A220" s="709">
        <f t="shared" si="53"/>
        <v>38018</v>
      </c>
      <c r="B220" s="709" t="str">
        <f t="shared" si="50"/>
        <v>1Q04</v>
      </c>
      <c r="C220" s="709" t="str">
        <f t="shared" si="54"/>
        <v>2Q04</v>
      </c>
      <c r="D220" s="710">
        <f t="shared" si="56"/>
        <v>38093</v>
      </c>
      <c r="E220" s="710">
        <f t="shared" si="56"/>
        <v>38033</v>
      </c>
      <c r="F220" s="712">
        <v>1.5840000000000001</v>
      </c>
      <c r="G220" s="713">
        <f t="shared" si="51"/>
        <v>0.09</v>
      </c>
      <c r="H220" s="713">
        <f t="shared" si="52"/>
        <v>0.09</v>
      </c>
      <c r="I220" s="697"/>
      <c r="J220" s="697"/>
      <c r="K220" s="697"/>
      <c r="L220" s="697"/>
      <c r="M220" s="697"/>
      <c r="N220" s="697"/>
      <c r="O220" s="697"/>
      <c r="P220" s="697"/>
      <c r="Q220" s="697"/>
      <c r="R220" s="697"/>
      <c r="S220" s="697"/>
      <c r="T220" s="697"/>
      <c r="U220" s="697"/>
      <c r="V220" s="697"/>
      <c r="W220" s="697"/>
      <c r="X220" s="697"/>
      <c r="Y220" s="697"/>
      <c r="Z220" s="697"/>
      <c r="AA220" s="697"/>
      <c r="AB220" s="697"/>
      <c r="AC220" s="697"/>
      <c r="AD220" s="697"/>
      <c r="AE220" s="697"/>
      <c r="AF220" s="697"/>
      <c r="AG220" s="697"/>
      <c r="AH220" s="697"/>
      <c r="AI220" s="697"/>
      <c r="AJ220" s="697"/>
      <c r="AK220" s="697"/>
      <c r="AL220" s="697"/>
      <c r="AM220" s="697"/>
      <c r="AN220" s="697"/>
      <c r="AO220" s="697"/>
      <c r="AP220" s="697"/>
      <c r="AQ220" s="697"/>
      <c r="AR220" s="697"/>
      <c r="AS220" s="697"/>
      <c r="AT220" s="697"/>
      <c r="AU220" s="697"/>
      <c r="AV220" s="697"/>
      <c r="AW220" s="697"/>
      <c r="AX220" s="697"/>
      <c r="AY220" s="697"/>
      <c r="AZ220" s="697"/>
      <c r="BA220" s="697"/>
      <c r="BB220" s="697"/>
      <c r="BC220" s="697"/>
      <c r="BD220" s="697"/>
      <c r="BE220" s="697"/>
      <c r="BF220" s="697"/>
      <c r="BG220" s="697"/>
      <c r="BH220" s="697"/>
      <c r="BI220" s="697"/>
      <c r="BJ220" s="697"/>
      <c r="BK220" s="697"/>
      <c r="BL220" s="697"/>
      <c r="BM220" s="697"/>
      <c r="BN220" s="697"/>
      <c r="BO220" s="697"/>
      <c r="BP220" s="697"/>
      <c r="BQ220" s="697"/>
      <c r="BR220" s="697"/>
      <c r="BS220" s="697"/>
      <c r="BT220" s="697"/>
      <c r="BU220" s="697"/>
      <c r="BV220" s="697"/>
      <c r="BW220" s="697"/>
      <c r="BX220" s="697"/>
      <c r="BY220" s="697"/>
      <c r="BZ220" s="697"/>
      <c r="CA220" s="697"/>
      <c r="CB220" s="697"/>
      <c r="CC220" s="697"/>
      <c r="CD220" s="697"/>
      <c r="CE220" s="697"/>
      <c r="CF220" s="697"/>
      <c r="CG220" s="697"/>
      <c r="CH220" s="697"/>
      <c r="CI220" s="697"/>
      <c r="CJ220" s="697"/>
      <c r="CK220" s="697"/>
      <c r="CL220" s="697"/>
      <c r="CM220" s="697"/>
      <c r="CN220" s="697"/>
      <c r="CO220" s="697"/>
      <c r="CP220" s="697"/>
      <c r="CQ220" s="697"/>
      <c r="CR220" s="697"/>
      <c r="CS220" s="697"/>
      <c r="CT220" s="697"/>
      <c r="CU220" s="697"/>
      <c r="CV220" s="697"/>
      <c r="CW220" s="697"/>
      <c r="CX220" s="697"/>
      <c r="CY220" s="697"/>
      <c r="CZ220" s="697"/>
      <c r="DA220" s="697"/>
    </row>
    <row r="221" spans="1:105" hidden="1" outlineLevel="1" x14ac:dyDescent="0.2">
      <c r="A221" s="709">
        <f t="shared" si="53"/>
        <v>38018</v>
      </c>
      <c r="B221" s="709" t="str">
        <f t="shared" si="50"/>
        <v>1Q04</v>
      </c>
      <c r="C221" s="709" t="str">
        <f t="shared" si="54"/>
        <v>2Q04</v>
      </c>
      <c r="D221" s="710">
        <f t="shared" si="56"/>
        <v>38100</v>
      </c>
      <c r="E221" s="710">
        <f t="shared" si="56"/>
        <v>38040</v>
      </c>
      <c r="F221" s="712">
        <v>1.595</v>
      </c>
      <c r="G221" s="713">
        <f t="shared" si="51"/>
        <v>0.09</v>
      </c>
      <c r="H221" s="713">
        <f t="shared" si="52"/>
        <v>9.9999999999999992E-2</v>
      </c>
      <c r="I221" s="697"/>
      <c r="J221" s="697"/>
      <c r="K221" s="697"/>
      <c r="L221" s="697"/>
      <c r="M221" s="697"/>
      <c r="N221" s="697"/>
      <c r="O221" s="697"/>
      <c r="P221" s="697"/>
      <c r="Q221" s="697"/>
      <c r="R221" s="697"/>
      <c r="S221" s="697"/>
      <c r="T221" s="697"/>
      <c r="U221" s="697"/>
      <c r="V221" s="697"/>
      <c r="W221" s="697"/>
      <c r="X221" s="697"/>
      <c r="Y221" s="697"/>
      <c r="Z221" s="697"/>
      <c r="AA221" s="697"/>
      <c r="AB221" s="697"/>
      <c r="AC221" s="697"/>
      <c r="AD221" s="697"/>
      <c r="AE221" s="697"/>
      <c r="AF221" s="697"/>
      <c r="AG221" s="697"/>
      <c r="AH221" s="697"/>
      <c r="AI221" s="697"/>
      <c r="AJ221" s="697"/>
      <c r="AK221" s="697"/>
      <c r="AL221" s="697"/>
      <c r="AM221" s="697"/>
      <c r="AN221" s="697"/>
      <c r="AO221" s="697"/>
      <c r="AP221" s="697"/>
      <c r="AQ221" s="697"/>
      <c r="AR221" s="697"/>
      <c r="AS221" s="697"/>
      <c r="AT221" s="697"/>
      <c r="AU221" s="697"/>
      <c r="AV221" s="697"/>
      <c r="AW221" s="697"/>
      <c r="AX221" s="697"/>
      <c r="AY221" s="697"/>
      <c r="AZ221" s="697"/>
      <c r="BA221" s="697"/>
      <c r="BB221" s="697"/>
      <c r="BC221" s="697"/>
      <c r="BD221" s="697"/>
      <c r="BE221" s="697"/>
      <c r="BF221" s="697"/>
      <c r="BG221" s="697"/>
      <c r="BH221" s="697"/>
      <c r="BI221" s="697"/>
      <c r="BJ221" s="697"/>
      <c r="BK221" s="697"/>
      <c r="BL221" s="697"/>
      <c r="BM221" s="697"/>
      <c r="BN221" s="697"/>
      <c r="BO221" s="697"/>
      <c r="BP221" s="697"/>
      <c r="BQ221" s="697"/>
      <c r="BR221" s="697"/>
      <c r="BS221" s="697"/>
      <c r="BT221" s="697"/>
      <c r="BU221" s="697"/>
      <c r="BV221" s="697"/>
      <c r="BW221" s="697"/>
      <c r="BX221" s="697"/>
      <c r="BY221" s="697"/>
      <c r="BZ221" s="697"/>
      <c r="CA221" s="697"/>
      <c r="CB221" s="697"/>
      <c r="CC221" s="697"/>
      <c r="CD221" s="697"/>
      <c r="CE221" s="697"/>
      <c r="CF221" s="697"/>
      <c r="CG221" s="697"/>
      <c r="CH221" s="697"/>
      <c r="CI221" s="697"/>
      <c r="CJ221" s="697"/>
      <c r="CK221" s="697"/>
      <c r="CL221" s="697"/>
      <c r="CM221" s="697"/>
      <c r="CN221" s="697"/>
      <c r="CO221" s="697"/>
      <c r="CP221" s="697"/>
      <c r="CQ221" s="697"/>
      <c r="CR221" s="697"/>
      <c r="CS221" s="697"/>
      <c r="CT221" s="697"/>
      <c r="CU221" s="697"/>
      <c r="CV221" s="697"/>
      <c r="CW221" s="697"/>
      <c r="CX221" s="697"/>
      <c r="CY221" s="697"/>
      <c r="CZ221" s="697"/>
      <c r="DA221" s="697"/>
    </row>
    <row r="222" spans="1:105" hidden="1" outlineLevel="1" x14ac:dyDescent="0.2">
      <c r="A222" s="709">
        <f t="shared" si="53"/>
        <v>38047</v>
      </c>
      <c r="B222" s="709" t="str">
        <f t="shared" si="50"/>
        <v>1Q04</v>
      </c>
      <c r="C222" s="709" t="str">
        <f t="shared" si="54"/>
        <v>2Q04</v>
      </c>
      <c r="D222" s="710">
        <f t="shared" si="56"/>
        <v>38107</v>
      </c>
      <c r="E222" s="710">
        <f t="shared" si="56"/>
        <v>38047</v>
      </c>
      <c r="F222" s="712">
        <v>1.619</v>
      </c>
      <c r="G222" s="713">
        <f t="shared" si="51"/>
        <v>9.9999999999999992E-2</v>
      </c>
      <c r="H222" s="713">
        <f t="shared" si="52"/>
        <v>9.9999999999999992E-2</v>
      </c>
      <c r="I222" s="697"/>
      <c r="J222" s="697"/>
      <c r="K222" s="697"/>
      <c r="L222" s="697"/>
      <c r="M222" s="697"/>
      <c r="N222" s="697"/>
      <c r="O222" s="697"/>
      <c r="P222" s="697"/>
      <c r="Q222" s="697"/>
      <c r="R222" s="697"/>
      <c r="S222" s="697"/>
      <c r="T222" s="697"/>
      <c r="U222" s="697"/>
      <c r="V222" s="697"/>
      <c r="W222" s="697"/>
      <c r="X222" s="697"/>
      <c r="Y222" s="697"/>
      <c r="Z222" s="697"/>
      <c r="AA222" s="697"/>
      <c r="AB222" s="697"/>
      <c r="AC222" s="697"/>
      <c r="AD222" s="697"/>
      <c r="AE222" s="697"/>
      <c r="AF222" s="697"/>
      <c r="AG222" s="697"/>
      <c r="AH222" s="697"/>
      <c r="AI222" s="697"/>
      <c r="AJ222" s="697"/>
      <c r="AK222" s="697"/>
      <c r="AL222" s="697"/>
      <c r="AM222" s="697"/>
      <c r="AN222" s="697"/>
      <c r="AO222" s="697"/>
      <c r="AP222" s="697"/>
      <c r="AQ222" s="697"/>
      <c r="AR222" s="697"/>
      <c r="AS222" s="697"/>
      <c r="AT222" s="697"/>
      <c r="AU222" s="697"/>
      <c r="AV222" s="697"/>
      <c r="AW222" s="697"/>
      <c r="AX222" s="697"/>
      <c r="AY222" s="697"/>
      <c r="AZ222" s="697"/>
      <c r="BA222" s="697"/>
      <c r="BB222" s="697"/>
      <c r="BC222" s="697"/>
      <c r="BD222" s="697"/>
      <c r="BE222" s="697"/>
      <c r="BF222" s="697"/>
      <c r="BG222" s="697"/>
      <c r="BH222" s="697"/>
      <c r="BI222" s="697"/>
      <c r="BJ222" s="697"/>
      <c r="BK222" s="697"/>
      <c r="BL222" s="697"/>
      <c r="BM222" s="697"/>
      <c r="BN222" s="697"/>
      <c r="BO222" s="697"/>
      <c r="BP222" s="697"/>
      <c r="BQ222" s="697"/>
      <c r="BR222" s="697"/>
      <c r="BS222" s="697"/>
      <c r="BT222" s="697"/>
      <c r="BU222" s="697"/>
      <c r="BV222" s="697"/>
      <c r="BW222" s="697"/>
      <c r="BX222" s="697"/>
      <c r="BY222" s="697"/>
      <c r="BZ222" s="697"/>
      <c r="CA222" s="697"/>
      <c r="CB222" s="697"/>
      <c r="CC222" s="697"/>
      <c r="CD222" s="697"/>
      <c r="CE222" s="697"/>
      <c r="CF222" s="697"/>
      <c r="CG222" s="697"/>
      <c r="CH222" s="697"/>
      <c r="CI222" s="697"/>
      <c r="CJ222" s="697"/>
      <c r="CK222" s="697"/>
      <c r="CL222" s="697"/>
      <c r="CM222" s="697"/>
      <c r="CN222" s="697"/>
      <c r="CO222" s="697"/>
      <c r="CP222" s="697"/>
      <c r="CQ222" s="697"/>
      <c r="CR222" s="697"/>
      <c r="CS222" s="697"/>
      <c r="CT222" s="697"/>
      <c r="CU222" s="697"/>
      <c r="CV222" s="697"/>
      <c r="CW222" s="697"/>
      <c r="CX222" s="697"/>
      <c r="CY222" s="697"/>
      <c r="CZ222" s="697"/>
      <c r="DA222" s="697"/>
    </row>
    <row r="223" spans="1:105" hidden="1" outlineLevel="1" x14ac:dyDescent="0.2">
      <c r="A223" s="709">
        <f t="shared" si="53"/>
        <v>38047</v>
      </c>
      <c r="B223" s="709" t="str">
        <f t="shared" si="50"/>
        <v>1Q04</v>
      </c>
      <c r="C223" s="709" t="str">
        <f t="shared" si="54"/>
        <v>2Q04</v>
      </c>
      <c r="D223" s="710">
        <f t="shared" si="56"/>
        <v>38114</v>
      </c>
      <c r="E223" s="710">
        <f t="shared" si="56"/>
        <v>38054</v>
      </c>
      <c r="F223" s="712">
        <v>1.6280000000000001</v>
      </c>
      <c r="G223" s="713">
        <f t="shared" si="51"/>
        <v>9.9999999999999992E-2</v>
      </c>
      <c r="H223" s="713">
        <f t="shared" si="52"/>
        <v>9.9999999999999992E-2</v>
      </c>
      <c r="I223" s="697"/>
      <c r="J223" s="697"/>
      <c r="K223" s="697"/>
      <c r="L223" s="697"/>
      <c r="M223" s="697"/>
      <c r="N223" s="697"/>
      <c r="O223" s="697"/>
      <c r="P223" s="697"/>
      <c r="Q223" s="697"/>
      <c r="R223" s="697"/>
      <c r="S223" s="697"/>
      <c r="T223" s="697"/>
      <c r="U223" s="697"/>
      <c r="V223" s="697"/>
      <c r="W223" s="697"/>
      <c r="X223" s="697"/>
      <c r="Y223" s="697"/>
      <c r="Z223" s="697"/>
      <c r="AA223" s="697"/>
      <c r="AB223" s="697"/>
      <c r="AC223" s="697"/>
      <c r="AD223" s="697"/>
      <c r="AE223" s="697"/>
      <c r="AF223" s="697"/>
      <c r="AG223" s="697"/>
      <c r="AH223" s="697"/>
      <c r="AI223" s="697"/>
      <c r="AJ223" s="697"/>
      <c r="AK223" s="697"/>
      <c r="AL223" s="697"/>
      <c r="AM223" s="697"/>
      <c r="AN223" s="697"/>
      <c r="AO223" s="697"/>
      <c r="AP223" s="697"/>
      <c r="AQ223" s="697"/>
      <c r="AR223" s="697"/>
      <c r="AS223" s="697"/>
      <c r="AT223" s="697"/>
      <c r="AU223" s="697"/>
      <c r="AV223" s="697"/>
      <c r="AW223" s="697"/>
      <c r="AX223" s="697"/>
      <c r="AY223" s="697"/>
      <c r="AZ223" s="697"/>
      <c r="BA223" s="697"/>
      <c r="BB223" s="697"/>
      <c r="BC223" s="697"/>
      <c r="BD223" s="697"/>
      <c r="BE223" s="697"/>
      <c r="BF223" s="697"/>
      <c r="BG223" s="697"/>
      <c r="BH223" s="697"/>
      <c r="BI223" s="697"/>
      <c r="BJ223" s="697"/>
      <c r="BK223" s="697"/>
      <c r="BL223" s="697"/>
      <c r="BM223" s="697"/>
      <c r="BN223" s="697"/>
      <c r="BO223" s="697"/>
      <c r="BP223" s="697"/>
      <c r="BQ223" s="697"/>
      <c r="BR223" s="697"/>
      <c r="BS223" s="697"/>
      <c r="BT223" s="697"/>
      <c r="BU223" s="697"/>
      <c r="BV223" s="697"/>
      <c r="BW223" s="697"/>
      <c r="BX223" s="697"/>
      <c r="BY223" s="697"/>
      <c r="BZ223" s="697"/>
      <c r="CA223" s="697"/>
      <c r="CB223" s="697"/>
      <c r="CC223" s="697"/>
      <c r="CD223" s="697"/>
      <c r="CE223" s="697"/>
      <c r="CF223" s="697"/>
      <c r="CG223" s="697"/>
      <c r="CH223" s="697"/>
      <c r="CI223" s="697"/>
      <c r="CJ223" s="697"/>
      <c r="CK223" s="697"/>
      <c r="CL223" s="697"/>
      <c r="CM223" s="697"/>
      <c r="CN223" s="697"/>
      <c r="CO223" s="697"/>
      <c r="CP223" s="697"/>
      <c r="CQ223" s="697"/>
      <c r="CR223" s="697"/>
      <c r="CS223" s="697"/>
      <c r="CT223" s="697"/>
      <c r="CU223" s="697"/>
      <c r="CV223" s="697"/>
      <c r="CW223" s="697"/>
      <c r="CX223" s="697"/>
      <c r="CY223" s="697"/>
      <c r="CZ223" s="697"/>
      <c r="DA223" s="697"/>
    </row>
    <row r="224" spans="1:105" hidden="1" outlineLevel="1" x14ac:dyDescent="0.2">
      <c r="A224" s="709">
        <f t="shared" si="53"/>
        <v>38047</v>
      </c>
      <c r="B224" s="709" t="str">
        <f t="shared" si="50"/>
        <v>1Q04</v>
      </c>
      <c r="C224" s="709" t="str">
        <f t="shared" si="54"/>
        <v>2Q04</v>
      </c>
      <c r="D224" s="710">
        <f t="shared" si="56"/>
        <v>38121</v>
      </c>
      <c r="E224" s="710">
        <f t="shared" si="56"/>
        <v>38061</v>
      </c>
      <c r="F224" s="712">
        <v>1.617</v>
      </c>
      <c r="G224" s="713">
        <f t="shared" si="51"/>
        <v>9.9999999999999992E-2</v>
      </c>
      <c r="H224" s="713">
        <f t="shared" si="52"/>
        <v>9.9999999999999992E-2</v>
      </c>
      <c r="I224" s="697"/>
      <c r="J224" s="697"/>
      <c r="K224" s="697"/>
      <c r="L224" s="697"/>
      <c r="M224" s="697"/>
      <c r="N224" s="697"/>
      <c r="O224" s="697"/>
      <c r="P224" s="697"/>
      <c r="Q224" s="697"/>
      <c r="R224" s="697"/>
      <c r="S224" s="697"/>
      <c r="T224" s="697"/>
      <c r="U224" s="697"/>
      <c r="V224" s="697"/>
      <c r="W224" s="697"/>
      <c r="X224" s="697"/>
      <c r="Y224" s="697"/>
      <c r="Z224" s="697"/>
      <c r="AA224" s="697"/>
      <c r="AB224" s="697"/>
      <c r="AC224" s="697"/>
      <c r="AD224" s="697"/>
      <c r="AE224" s="697"/>
      <c r="AF224" s="697"/>
      <c r="AG224" s="697"/>
      <c r="AH224" s="697"/>
      <c r="AI224" s="697"/>
      <c r="AJ224" s="697"/>
      <c r="AK224" s="697"/>
      <c r="AL224" s="697"/>
      <c r="AM224" s="697"/>
      <c r="AN224" s="697"/>
      <c r="AO224" s="697"/>
      <c r="AP224" s="697"/>
      <c r="AQ224" s="697"/>
      <c r="AR224" s="697"/>
      <c r="AS224" s="697"/>
      <c r="AT224" s="697"/>
      <c r="AU224" s="697"/>
      <c r="AV224" s="697"/>
      <c r="AW224" s="697"/>
      <c r="AX224" s="697"/>
      <c r="AY224" s="697"/>
      <c r="AZ224" s="697"/>
      <c r="BA224" s="697"/>
      <c r="BB224" s="697"/>
      <c r="BC224" s="697"/>
      <c r="BD224" s="697"/>
      <c r="BE224" s="697"/>
      <c r="BF224" s="697"/>
      <c r="BG224" s="697"/>
      <c r="BH224" s="697"/>
      <c r="BI224" s="697"/>
      <c r="BJ224" s="697"/>
      <c r="BK224" s="697"/>
      <c r="BL224" s="697"/>
      <c r="BM224" s="697"/>
      <c r="BN224" s="697"/>
      <c r="BO224" s="697"/>
      <c r="BP224" s="697"/>
      <c r="BQ224" s="697"/>
      <c r="BR224" s="697"/>
      <c r="BS224" s="697"/>
      <c r="BT224" s="697"/>
      <c r="BU224" s="697"/>
      <c r="BV224" s="697"/>
      <c r="BW224" s="697"/>
      <c r="BX224" s="697"/>
      <c r="BY224" s="697"/>
      <c r="BZ224" s="697"/>
      <c r="CA224" s="697"/>
      <c r="CB224" s="697"/>
      <c r="CC224" s="697"/>
      <c r="CD224" s="697"/>
      <c r="CE224" s="697"/>
      <c r="CF224" s="697"/>
      <c r="CG224" s="697"/>
      <c r="CH224" s="697"/>
      <c r="CI224" s="697"/>
      <c r="CJ224" s="697"/>
      <c r="CK224" s="697"/>
      <c r="CL224" s="697"/>
      <c r="CM224" s="697"/>
      <c r="CN224" s="697"/>
      <c r="CO224" s="697"/>
      <c r="CP224" s="697"/>
      <c r="CQ224" s="697"/>
      <c r="CR224" s="697"/>
      <c r="CS224" s="697"/>
      <c r="CT224" s="697"/>
      <c r="CU224" s="697"/>
      <c r="CV224" s="697"/>
      <c r="CW224" s="697"/>
      <c r="CX224" s="697"/>
      <c r="CY224" s="697"/>
      <c r="CZ224" s="697"/>
      <c r="DA224" s="697"/>
    </row>
    <row r="225" spans="1:105" hidden="1" outlineLevel="1" x14ac:dyDescent="0.2">
      <c r="A225" s="709">
        <f t="shared" si="53"/>
        <v>38047</v>
      </c>
      <c r="B225" s="709" t="str">
        <f t="shared" si="50"/>
        <v>1Q04</v>
      </c>
      <c r="C225" s="709" t="str">
        <f t="shared" si="54"/>
        <v>2Q04</v>
      </c>
      <c r="D225" s="710">
        <f t="shared" si="56"/>
        <v>38128</v>
      </c>
      <c r="E225" s="710">
        <f t="shared" si="56"/>
        <v>38068</v>
      </c>
      <c r="F225" s="712">
        <v>1.641</v>
      </c>
      <c r="G225" s="713">
        <f t="shared" si="51"/>
        <v>9.9999999999999992E-2</v>
      </c>
      <c r="H225" s="713">
        <f t="shared" si="52"/>
        <v>9.9999999999999992E-2</v>
      </c>
      <c r="I225" s="697"/>
      <c r="J225" s="697"/>
      <c r="K225" s="697"/>
      <c r="L225" s="697"/>
      <c r="M225" s="697"/>
      <c r="N225" s="697"/>
      <c r="O225" s="697"/>
      <c r="P225" s="697"/>
      <c r="Q225" s="697"/>
      <c r="R225" s="697"/>
      <c r="S225" s="697"/>
      <c r="T225" s="697"/>
      <c r="U225" s="697"/>
      <c r="V225" s="697"/>
      <c r="W225" s="697"/>
      <c r="X225" s="697"/>
      <c r="Y225" s="697"/>
      <c r="Z225" s="697"/>
      <c r="AA225" s="697"/>
      <c r="AB225" s="697"/>
      <c r="AC225" s="697"/>
      <c r="AD225" s="697"/>
      <c r="AE225" s="697"/>
      <c r="AF225" s="697"/>
      <c r="AG225" s="697"/>
      <c r="AH225" s="697"/>
      <c r="AI225" s="697"/>
      <c r="AJ225" s="697"/>
      <c r="AK225" s="697"/>
      <c r="AL225" s="697"/>
      <c r="AM225" s="697"/>
      <c r="AN225" s="697"/>
      <c r="AO225" s="697"/>
      <c r="AP225" s="697"/>
      <c r="AQ225" s="697"/>
      <c r="AR225" s="697"/>
      <c r="AS225" s="697"/>
      <c r="AT225" s="697"/>
      <c r="AU225" s="697"/>
      <c r="AV225" s="697"/>
      <c r="AW225" s="697"/>
      <c r="AX225" s="697"/>
      <c r="AY225" s="697"/>
      <c r="AZ225" s="697"/>
      <c r="BA225" s="697"/>
      <c r="BB225" s="697"/>
      <c r="BC225" s="697"/>
      <c r="BD225" s="697"/>
      <c r="BE225" s="697"/>
      <c r="BF225" s="697"/>
      <c r="BG225" s="697"/>
      <c r="BH225" s="697"/>
      <c r="BI225" s="697"/>
      <c r="BJ225" s="697"/>
      <c r="BK225" s="697"/>
      <c r="BL225" s="697"/>
      <c r="BM225" s="697"/>
      <c r="BN225" s="697"/>
      <c r="BO225" s="697"/>
      <c r="BP225" s="697"/>
      <c r="BQ225" s="697"/>
      <c r="BR225" s="697"/>
      <c r="BS225" s="697"/>
      <c r="BT225" s="697"/>
      <c r="BU225" s="697"/>
      <c r="BV225" s="697"/>
      <c r="BW225" s="697"/>
      <c r="BX225" s="697"/>
      <c r="BY225" s="697"/>
      <c r="BZ225" s="697"/>
      <c r="CA225" s="697"/>
      <c r="CB225" s="697"/>
      <c r="CC225" s="697"/>
      <c r="CD225" s="697"/>
      <c r="CE225" s="697"/>
      <c r="CF225" s="697"/>
      <c r="CG225" s="697"/>
      <c r="CH225" s="697"/>
      <c r="CI225" s="697"/>
      <c r="CJ225" s="697"/>
      <c r="CK225" s="697"/>
      <c r="CL225" s="697"/>
      <c r="CM225" s="697"/>
      <c r="CN225" s="697"/>
      <c r="CO225" s="697"/>
      <c r="CP225" s="697"/>
      <c r="CQ225" s="697"/>
      <c r="CR225" s="697"/>
      <c r="CS225" s="697"/>
      <c r="CT225" s="697"/>
      <c r="CU225" s="697"/>
      <c r="CV225" s="697"/>
      <c r="CW225" s="697"/>
      <c r="CX225" s="697"/>
      <c r="CY225" s="697"/>
      <c r="CZ225" s="697"/>
      <c r="DA225" s="697"/>
    </row>
    <row r="226" spans="1:105" hidden="1" outlineLevel="1" x14ac:dyDescent="0.2">
      <c r="A226" s="709">
        <f t="shared" si="53"/>
        <v>38047</v>
      </c>
      <c r="B226" s="709" t="str">
        <f t="shared" si="50"/>
        <v>1Q04</v>
      </c>
      <c r="C226" s="709" t="str">
        <f t="shared" si="54"/>
        <v>2Q04</v>
      </c>
      <c r="D226" s="710">
        <f t="shared" si="56"/>
        <v>38135</v>
      </c>
      <c r="E226" s="710">
        <f t="shared" si="56"/>
        <v>38075</v>
      </c>
      <c r="F226" s="712">
        <v>1.6419999999999999</v>
      </c>
      <c r="G226" s="713">
        <f t="shared" si="51"/>
        <v>9.9999999999999992E-2</v>
      </c>
      <c r="H226" s="713">
        <f t="shared" si="52"/>
        <v>9.9999999999999992E-2</v>
      </c>
      <c r="I226" s="697"/>
      <c r="J226" s="697"/>
      <c r="K226" s="697"/>
      <c r="L226" s="697"/>
      <c r="M226" s="697"/>
      <c r="N226" s="697"/>
      <c r="O226" s="697"/>
      <c r="P226" s="697"/>
      <c r="Q226" s="697"/>
      <c r="R226" s="697"/>
      <c r="S226" s="697"/>
      <c r="T226" s="697"/>
      <c r="U226" s="697"/>
      <c r="V226" s="697"/>
      <c r="W226" s="697"/>
      <c r="X226" s="697"/>
      <c r="Y226" s="697"/>
      <c r="Z226" s="697"/>
      <c r="AA226" s="697"/>
      <c r="AB226" s="697"/>
      <c r="AC226" s="697"/>
      <c r="AD226" s="697"/>
      <c r="AE226" s="697"/>
      <c r="AF226" s="697"/>
      <c r="AG226" s="697"/>
      <c r="AH226" s="697"/>
      <c r="AI226" s="697"/>
      <c r="AJ226" s="697"/>
      <c r="AK226" s="697"/>
      <c r="AL226" s="697"/>
      <c r="AM226" s="697"/>
      <c r="AN226" s="697"/>
      <c r="AO226" s="697"/>
      <c r="AP226" s="697"/>
      <c r="AQ226" s="697"/>
      <c r="AR226" s="697"/>
      <c r="AS226" s="697"/>
      <c r="AT226" s="697"/>
      <c r="AU226" s="697"/>
      <c r="AV226" s="697"/>
      <c r="AW226" s="697"/>
      <c r="AX226" s="697"/>
      <c r="AY226" s="697"/>
      <c r="AZ226" s="697"/>
      <c r="BA226" s="697"/>
      <c r="BB226" s="697"/>
      <c r="BC226" s="697"/>
      <c r="BD226" s="697"/>
      <c r="BE226" s="697"/>
      <c r="BF226" s="697"/>
      <c r="BG226" s="697"/>
      <c r="BH226" s="697"/>
      <c r="BI226" s="697"/>
      <c r="BJ226" s="697"/>
      <c r="BK226" s="697"/>
      <c r="BL226" s="697"/>
      <c r="BM226" s="697"/>
      <c r="BN226" s="697"/>
      <c r="BO226" s="697"/>
      <c r="BP226" s="697"/>
      <c r="BQ226" s="697"/>
      <c r="BR226" s="697"/>
      <c r="BS226" s="697"/>
      <c r="BT226" s="697"/>
      <c r="BU226" s="697"/>
      <c r="BV226" s="697"/>
      <c r="BW226" s="697"/>
      <c r="BX226" s="697"/>
      <c r="BY226" s="697"/>
      <c r="BZ226" s="697"/>
      <c r="CA226" s="697"/>
      <c r="CB226" s="697"/>
      <c r="CC226" s="697"/>
      <c r="CD226" s="697"/>
      <c r="CE226" s="697"/>
      <c r="CF226" s="697"/>
      <c r="CG226" s="697"/>
      <c r="CH226" s="697"/>
      <c r="CI226" s="697"/>
      <c r="CJ226" s="697"/>
      <c r="CK226" s="697"/>
      <c r="CL226" s="697"/>
      <c r="CM226" s="697"/>
      <c r="CN226" s="697"/>
      <c r="CO226" s="697"/>
      <c r="CP226" s="697"/>
      <c r="CQ226" s="697"/>
      <c r="CR226" s="697"/>
      <c r="CS226" s="697"/>
      <c r="CT226" s="697"/>
      <c r="CU226" s="697"/>
      <c r="CV226" s="697"/>
      <c r="CW226" s="697"/>
      <c r="CX226" s="697"/>
      <c r="CY226" s="697"/>
      <c r="CZ226" s="697"/>
      <c r="DA226" s="697"/>
    </row>
    <row r="227" spans="1:105" hidden="1" outlineLevel="1" x14ac:dyDescent="0.2">
      <c r="A227" s="709">
        <f t="shared" si="53"/>
        <v>38078</v>
      </c>
      <c r="B227" s="709" t="str">
        <f t="shared" si="50"/>
        <v>2Q04</v>
      </c>
      <c r="C227" s="709" t="str">
        <f t="shared" si="54"/>
        <v>2Q04</v>
      </c>
      <c r="D227" s="710">
        <f t="shared" si="56"/>
        <v>38142</v>
      </c>
      <c r="E227" s="710">
        <f t="shared" si="56"/>
        <v>38082</v>
      </c>
      <c r="F227" s="712">
        <v>1.6480000000000001</v>
      </c>
      <c r="G227" s="713">
        <f t="shared" si="51"/>
        <v>9.9999999999999992E-2</v>
      </c>
      <c r="H227" s="713">
        <f t="shared" si="52"/>
        <v>0.10999999999999999</v>
      </c>
      <c r="I227" s="697"/>
      <c r="J227" s="697"/>
      <c r="K227" s="697"/>
      <c r="L227" s="697"/>
      <c r="M227" s="697"/>
      <c r="N227" s="697"/>
      <c r="O227" s="697"/>
      <c r="P227" s="697"/>
      <c r="Q227" s="697"/>
      <c r="R227" s="697"/>
      <c r="S227" s="697"/>
      <c r="T227" s="697"/>
      <c r="U227" s="697"/>
      <c r="V227" s="697"/>
      <c r="W227" s="697"/>
      <c r="X227" s="697"/>
      <c r="Y227" s="697"/>
      <c r="Z227" s="697"/>
      <c r="AA227" s="697"/>
      <c r="AB227" s="697"/>
      <c r="AC227" s="697"/>
      <c r="AD227" s="697"/>
      <c r="AE227" s="697"/>
      <c r="AF227" s="697"/>
      <c r="AG227" s="697"/>
      <c r="AH227" s="697"/>
      <c r="AI227" s="697"/>
      <c r="AJ227" s="697"/>
      <c r="AK227" s="697"/>
      <c r="AL227" s="697"/>
      <c r="AM227" s="697"/>
      <c r="AN227" s="697"/>
      <c r="AO227" s="697"/>
      <c r="AP227" s="697"/>
      <c r="AQ227" s="697"/>
      <c r="AR227" s="697"/>
      <c r="AS227" s="697"/>
      <c r="AT227" s="697"/>
      <c r="AU227" s="697"/>
      <c r="AV227" s="697"/>
      <c r="AW227" s="697"/>
      <c r="AX227" s="697"/>
      <c r="AY227" s="697"/>
      <c r="AZ227" s="697"/>
      <c r="BA227" s="697"/>
      <c r="BB227" s="697"/>
      <c r="BC227" s="697"/>
      <c r="BD227" s="697"/>
      <c r="BE227" s="697"/>
      <c r="BF227" s="697"/>
      <c r="BG227" s="697"/>
      <c r="BH227" s="697"/>
      <c r="BI227" s="697"/>
      <c r="BJ227" s="697"/>
      <c r="BK227" s="697"/>
      <c r="BL227" s="697"/>
      <c r="BM227" s="697"/>
      <c r="BN227" s="697"/>
      <c r="BO227" s="697"/>
      <c r="BP227" s="697"/>
      <c r="BQ227" s="697"/>
      <c r="BR227" s="697"/>
      <c r="BS227" s="697"/>
      <c r="BT227" s="697"/>
      <c r="BU227" s="697"/>
      <c r="BV227" s="697"/>
      <c r="BW227" s="697"/>
      <c r="BX227" s="697"/>
      <c r="BY227" s="697"/>
      <c r="BZ227" s="697"/>
      <c r="CA227" s="697"/>
      <c r="CB227" s="697"/>
      <c r="CC227" s="697"/>
      <c r="CD227" s="697"/>
      <c r="CE227" s="697"/>
      <c r="CF227" s="697"/>
      <c r="CG227" s="697"/>
      <c r="CH227" s="697"/>
      <c r="CI227" s="697"/>
      <c r="CJ227" s="697"/>
      <c r="CK227" s="697"/>
      <c r="CL227" s="697"/>
      <c r="CM227" s="697"/>
      <c r="CN227" s="697"/>
      <c r="CO227" s="697"/>
      <c r="CP227" s="697"/>
      <c r="CQ227" s="697"/>
      <c r="CR227" s="697"/>
      <c r="CS227" s="697"/>
      <c r="CT227" s="697"/>
      <c r="CU227" s="697"/>
      <c r="CV227" s="697"/>
      <c r="CW227" s="697"/>
      <c r="CX227" s="697"/>
      <c r="CY227" s="697"/>
      <c r="CZ227" s="697"/>
      <c r="DA227" s="697"/>
    </row>
    <row r="228" spans="1:105" hidden="1" outlineLevel="1" x14ac:dyDescent="0.2">
      <c r="A228" s="709">
        <f t="shared" si="53"/>
        <v>38078</v>
      </c>
      <c r="B228" s="709" t="str">
        <f t="shared" si="50"/>
        <v>2Q04</v>
      </c>
      <c r="C228" s="709" t="str">
        <f t="shared" si="54"/>
        <v>2Q04</v>
      </c>
      <c r="D228" s="710">
        <f t="shared" si="56"/>
        <v>38149</v>
      </c>
      <c r="E228" s="710">
        <f t="shared" si="56"/>
        <v>38089</v>
      </c>
      <c r="F228" s="712">
        <v>1.679</v>
      </c>
      <c r="G228" s="713">
        <f t="shared" si="51"/>
        <v>0.10999999999999999</v>
      </c>
      <c r="H228" s="713">
        <f t="shared" si="52"/>
        <v>0.11999999999999998</v>
      </c>
      <c r="I228" s="697"/>
      <c r="J228" s="697"/>
      <c r="K228" s="697"/>
      <c r="L228" s="697"/>
      <c r="M228" s="697"/>
      <c r="N228" s="697"/>
      <c r="O228" s="697"/>
      <c r="P228" s="697"/>
      <c r="Q228" s="697"/>
      <c r="R228" s="697"/>
      <c r="S228" s="697"/>
      <c r="T228" s="697"/>
      <c r="U228" s="697"/>
      <c r="V228" s="697"/>
      <c r="W228" s="697"/>
      <c r="X228" s="697"/>
      <c r="Y228" s="697"/>
      <c r="Z228" s="697"/>
      <c r="AA228" s="697"/>
      <c r="AB228" s="697"/>
      <c r="AC228" s="697"/>
      <c r="AD228" s="697"/>
      <c r="AE228" s="697"/>
      <c r="AF228" s="697"/>
      <c r="AG228" s="697"/>
      <c r="AH228" s="697"/>
      <c r="AI228" s="697"/>
      <c r="AJ228" s="697"/>
      <c r="AK228" s="697"/>
      <c r="AL228" s="697"/>
      <c r="AM228" s="697"/>
      <c r="AN228" s="697"/>
      <c r="AO228" s="697"/>
      <c r="AP228" s="697"/>
      <c r="AQ228" s="697"/>
      <c r="AR228" s="697"/>
      <c r="AS228" s="697"/>
      <c r="AT228" s="697"/>
      <c r="AU228" s="697"/>
      <c r="AV228" s="697"/>
      <c r="AW228" s="697"/>
      <c r="AX228" s="697"/>
      <c r="AY228" s="697"/>
      <c r="AZ228" s="697"/>
      <c r="BA228" s="697"/>
      <c r="BB228" s="697"/>
      <c r="BC228" s="697"/>
      <c r="BD228" s="697"/>
      <c r="BE228" s="697"/>
      <c r="BF228" s="697"/>
      <c r="BG228" s="697"/>
      <c r="BH228" s="697"/>
      <c r="BI228" s="697"/>
      <c r="BJ228" s="697"/>
      <c r="BK228" s="697"/>
      <c r="BL228" s="697"/>
      <c r="BM228" s="697"/>
      <c r="BN228" s="697"/>
      <c r="BO228" s="697"/>
      <c r="BP228" s="697"/>
      <c r="BQ228" s="697"/>
      <c r="BR228" s="697"/>
      <c r="BS228" s="697"/>
      <c r="BT228" s="697"/>
      <c r="BU228" s="697"/>
      <c r="BV228" s="697"/>
      <c r="BW228" s="697"/>
      <c r="BX228" s="697"/>
      <c r="BY228" s="697"/>
      <c r="BZ228" s="697"/>
      <c r="CA228" s="697"/>
      <c r="CB228" s="697"/>
      <c r="CC228" s="697"/>
      <c r="CD228" s="697"/>
      <c r="CE228" s="697"/>
      <c r="CF228" s="697"/>
      <c r="CG228" s="697"/>
      <c r="CH228" s="697"/>
      <c r="CI228" s="697"/>
      <c r="CJ228" s="697"/>
      <c r="CK228" s="697"/>
      <c r="CL228" s="697"/>
      <c r="CM228" s="697"/>
      <c r="CN228" s="697"/>
      <c r="CO228" s="697"/>
      <c r="CP228" s="697"/>
      <c r="CQ228" s="697"/>
      <c r="CR228" s="697"/>
      <c r="CS228" s="697"/>
      <c r="CT228" s="697"/>
      <c r="CU228" s="697"/>
      <c r="CV228" s="697"/>
      <c r="CW228" s="697"/>
      <c r="CX228" s="697"/>
      <c r="CY228" s="697"/>
      <c r="CZ228" s="697"/>
      <c r="DA228" s="697"/>
    </row>
    <row r="229" spans="1:105" hidden="1" outlineLevel="1" x14ac:dyDescent="0.2">
      <c r="A229" s="709">
        <f t="shared" si="53"/>
        <v>38078</v>
      </c>
      <c r="B229" s="709" t="str">
        <f t="shared" si="50"/>
        <v>2Q04</v>
      </c>
      <c r="C229" s="709" t="str">
        <f t="shared" si="54"/>
        <v>2Q04</v>
      </c>
      <c r="D229" s="710">
        <f t="shared" ref="D229:E244" si="57">D228+7</f>
        <v>38156</v>
      </c>
      <c r="E229" s="710">
        <f t="shared" si="57"/>
        <v>38096</v>
      </c>
      <c r="F229" s="712">
        <v>1.724</v>
      </c>
      <c r="G229" s="713">
        <f t="shared" si="51"/>
        <v>0.11999999999999998</v>
      </c>
      <c r="H229" s="713">
        <f t="shared" si="52"/>
        <v>0.11999999999999998</v>
      </c>
      <c r="I229" s="697"/>
      <c r="J229" s="697"/>
      <c r="K229" s="697"/>
      <c r="L229" s="697"/>
      <c r="M229" s="697"/>
      <c r="N229" s="697"/>
      <c r="O229" s="697"/>
      <c r="P229" s="697"/>
      <c r="Q229" s="697"/>
      <c r="R229" s="697"/>
      <c r="S229" s="697"/>
      <c r="T229" s="697"/>
      <c r="U229" s="697"/>
      <c r="V229" s="697"/>
      <c r="W229" s="697"/>
      <c r="X229" s="697"/>
      <c r="Y229" s="697"/>
      <c r="Z229" s="697"/>
      <c r="AA229" s="697"/>
      <c r="AB229" s="697"/>
      <c r="AC229" s="697"/>
      <c r="AD229" s="697"/>
      <c r="AE229" s="697"/>
      <c r="AF229" s="697"/>
      <c r="AG229" s="697"/>
      <c r="AH229" s="697"/>
      <c r="AI229" s="697"/>
      <c r="AJ229" s="697"/>
      <c r="AK229" s="697"/>
      <c r="AL229" s="697"/>
      <c r="AM229" s="697"/>
      <c r="AN229" s="697"/>
      <c r="AO229" s="697"/>
      <c r="AP229" s="697"/>
      <c r="AQ229" s="697"/>
      <c r="AR229" s="697"/>
      <c r="AS229" s="697"/>
      <c r="AT229" s="697"/>
      <c r="AU229" s="697"/>
      <c r="AV229" s="697"/>
      <c r="AW229" s="697"/>
      <c r="AX229" s="697"/>
      <c r="AY229" s="697"/>
      <c r="AZ229" s="697"/>
      <c r="BA229" s="697"/>
      <c r="BB229" s="697"/>
      <c r="BC229" s="697"/>
      <c r="BD229" s="697"/>
      <c r="BE229" s="697"/>
      <c r="BF229" s="697"/>
      <c r="BG229" s="697"/>
      <c r="BH229" s="697"/>
      <c r="BI229" s="697"/>
      <c r="BJ229" s="697"/>
      <c r="BK229" s="697"/>
      <c r="BL229" s="697"/>
      <c r="BM229" s="697"/>
      <c r="BN229" s="697"/>
      <c r="BO229" s="697"/>
      <c r="BP229" s="697"/>
      <c r="BQ229" s="697"/>
      <c r="BR229" s="697"/>
      <c r="BS229" s="697"/>
      <c r="BT229" s="697"/>
      <c r="BU229" s="697"/>
      <c r="BV229" s="697"/>
      <c r="BW229" s="697"/>
      <c r="BX229" s="697"/>
      <c r="BY229" s="697"/>
      <c r="BZ229" s="697"/>
      <c r="CA229" s="697"/>
      <c r="CB229" s="697"/>
      <c r="CC229" s="697"/>
      <c r="CD229" s="697"/>
      <c r="CE229" s="697"/>
      <c r="CF229" s="697"/>
      <c r="CG229" s="697"/>
      <c r="CH229" s="697"/>
      <c r="CI229" s="697"/>
      <c r="CJ229" s="697"/>
      <c r="CK229" s="697"/>
      <c r="CL229" s="697"/>
      <c r="CM229" s="697"/>
      <c r="CN229" s="697"/>
      <c r="CO229" s="697"/>
      <c r="CP229" s="697"/>
      <c r="CQ229" s="697"/>
      <c r="CR229" s="697"/>
      <c r="CS229" s="697"/>
      <c r="CT229" s="697"/>
      <c r="CU229" s="697"/>
      <c r="CV229" s="697"/>
      <c r="CW229" s="697"/>
      <c r="CX229" s="697"/>
      <c r="CY229" s="697"/>
      <c r="CZ229" s="697"/>
      <c r="DA229" s="697"/>
    </row>
    <row r="230" spans="1:105" hidden="1" outlineLevel="1" x14ac:dyDescent="0.2">
      <c r="A230" s="709">
        <f t="shared" si="53"/>
        <v>38078</v>
      </c>
      <c r="B230" s="709" t="str">
        <f t="shared" si="50"/>
        <v>2Q04</v>
      </c>
      <c r="C230" s="709" t="str">
        <f t="shared" si="54"/>
        <v>2Q04</v>
      </c>
      <c r="D230" s="710">
        <f t="shared" si="57"/>
        <v>38163</v>
      </c>
      <c r="E230" s="710">
        <f t="shared" si="57"/>
        <v>38103</v>
      </c>
      <c r="F230" s="712">
        <v>1.7180000000000002</v>
      </c>
      <c r="G230" s="713">
        <f t="shared" si="51"/>
        <v>0.11999999999999998</v>
      </c>
      <c r="H230" s="713">
        <f t="shared" si="52"/>
        <v>0.11999999999999998</v>
      </c>
      <c r="I230" s="697"/>
      <c r="J230" s="697"/>
      <c r="K230" s="697"/>
      <c r="L230" s="697"/>
      <c r="M230" s="697"/>
      <c r="N230" s="697"/>
      <c r="O230" s="697"/>
      <c r="P230" s="697"/>
      <c r="Q230" s="697"/>
      <c r="R230" s="697"/>
      <c r="S230" s="697"/>
      <c r="T230" s="697"/>
      <c r="U230" s="697"/>
      <c r="V230" s="697"/>
      <c r="W230" s="697"/>
      <c r="X230" s="697"/>
      <c r="Y230" s="697"/>
      <c r="Z230" s="697"/>
      <c r="AA230" s="697"/>
      <c r="AB230" s="697"/>
      <c r="AC230" s="697"/>
      <c r="AD230" s="697"/>
      <c r="AE230" s="697"/>
      <c r="AF230" s="697"/>
      <c r="AG230" s="697"/>
      <c r="AH230" s="697"/>
      <c r="AI230" s="697"/>
      <c r="AJ230" s="697"/>
      <c r="AK230" s="697"/>
      <c r="AL230" s="697"/>
      <c r="AM230" s="697"/>
      <c r="AN230" s="697"/>
      <c r="AO230" s="697"/>
      <c r="AP230" s="697"/>
      <c r="AQ230" s="697"/>
      <c r="AR230" s="697"/>
      <c r="AS230" s="697"/>
      <c r="AT230" s="697"/>
      <c r="AU230" s="697"/>
      <c r="AV230" s="697"/>
      <c r="AW230" s="697"/>
      <c r="AX230" s="697"/>
      <c r="AY230" s="697"/>
      <c r="AZ230" s="697"/>
      <c r="BA230" s="697"/>
      <c r="BB230" s="697"/>
      <c r="BC230" s="697"/>
      <c r="BD230" s="697"/>
      <c r="BE230" s="697"/>
      <c r="BF230" s="697"/>
      <c r="BG230" s="697"/>
      <c r="BH230" s="697"/>
      <c r="BI230" s="697"/>
      <c r="BJ230" s="697"/>
      <c r="BK230" s="697"/>
      <c r="BL230" s="697"/>
      <c r="BM230" s="697"/>
      <c r="BN230" s="697"/>
      <c r="BO230" s="697"/>
      <c r="BP230" s="697"/>
      <c r="BQ230" s="697"/>
      <c r="BR230" s="697"/>
      <c r="BS230" s="697"/>
      <c r="BT230" s="697"/>
      <c r="BU230" s="697"/>
      <c r="BV230" s="697"/>
      <c r="BW230" s="697"/>
      <c r="BX230" s="697"/>
      <c r="BY230" s="697"/>
      <c r="BZ230" s="697"/>
      <c r="CA230" s="697"/>
      <c r="CB230" s="697"/>
      <c r="CC230" s="697"/>
      <c r="CD230" s="697"/>
      <c r="CE230" s="697"/>
      <c r="CF230" s="697"/>
      <c r="CG230" s="697"/>
      <c r="CH230" s="697"/>
      <c r="CI230" s="697"/>
      <c r="CJ230" s="697"/>
      <c r="CK230" s="697"/>
      <c r="CL230" s="697"/>
      <c r="CM230" s="697"/>
      <c r="CN230" s="697"/>
      <c r="CO230" s="697"/>
      <c r="CP230" s="697"/>
      <c r="CQ230" s="697"/>
      <c r="CR230" s="697"/>
      <c r="CS230" s="697"/>
      <c r="CT230" s="697"/>
      <c r="CU230" s="697"/>
      <c r="CV230" s="697"/>
      <c r="CW230" s="697"/>
      <c r="CX230" s="697"/>
      <c r="CY230" s="697"/>
      <c r="CZ230" s="697"/>
      <c r="DA230" s="697"/>
    </row>
    <row r="231" spans="1:105" hidden="1" outlineLevel="1" x14ac:dyDescent="0.2">
      <c r="A231" s="709">
        <f t="shared" si="53"/>
        <v>38108</v>
      </c>
      <c r="B231" s="709" t="str">
        <f t="shared" si="50"/>
        <v>2Q04</v>
      </c>
      <c r="C231" s="709" t="str">
        <f t="shared" si="54"/>
        <v>3Q04</v>
      </c>
      <c r="D231" s="710">
        <f t="shared" si="57"/>
        <v>38170</v>
      </c>
      <c r="E231" s="710">
        <f t="shared" si="57"/>
        <v>38110</v>
      </c>
      <c r="F231" s="712">
        <v>1.7169999999999999</v>
      </c>
      <c r="G231" s="713">
        <f t="shared" si="51"/>
        <v>0.11999999999999998</v>
      </c>
      <c r="H231" s="713">
        <f t="shared" si="52"/>
        <v>0.11999999999999998</v>
      </c>
      <c r="I231" s="697"/>
      <c r="J231" s="697"/>
      <c r="K231" s="697"/>
      <c r="L231" s="697"/>
      <c r="M231" s="697"/>
      <c r="N231" s="697"/>
      <c r="O231" s="697"/>
      <c r="P231" s="697"/>
      <c r="Q231" s="697"/>
      <c r="R231" s="697"/>
      <c r="S231" s="697"/>
      <c r="T231" s="697"/>
      <c r="U231" s="697"/>
      <c r="V231" s="697"/>
      <c r="W231" s="697"/>
      <c r="X231" s="697"/>
      <c r="Y231" s="697"/>
      <c r="Z231" s="697"/>
      <c r="AA231" s="697"/>
      <c r="AB231" s="697"/>
      <c r="AC231" s="697"/>
      <c r="AD231" s="697"/>
      <c r="AE231" s="697"/>
      <c r="AF231" s="697"/>
      <c r="AG231" s="697"/>
      <c r="AH231" s="697"/>
      <c r="AI231" s="697"/>
      <c r="AJ231" s="697"/>
      <c r="AK231" s="697"/>
      <c r="AL231" s="697"/>
      <c r="AM231" s="697"/>
      <c r="AN231" s="697"/>
      <c r="AO231" s="697"/>
      <c r="AP231" s="697"/>
      <c r="AQ231" s="697"/>
      <c r="AR231" s="697"/>
      <c r="AS231" s="697"/>
      <c r="AT231" s="697"/>
      <c r="AU231" s="697"/>
      <c r="AV231" s="697"/>
      <c r="AW231" s="697"/>
      <c r="AX231" s="697"/>
      <c r="AY231" s="697"/>
      <c r="AZ231" s="697"/>
      <c r="BA231" s="697"/>
      <c r="BB231" s="697"/>
      <c r="BC231" s="697"/>
      <c r="BD231" s="697"/>
      <c r="BE231" s="697"/>
      <c r="BF231" s="697"/>
      <c r="BG231" s="697"/>
      <c r="BH231" s="697"/>
      <c r="BI231" s="697"/>
      <c r="BJ231" s="697"/>
      <c r="BK231" s="697"/>
      <c r="BL231" s="697"/>
      <c r="BM231" s="697"/>
      <c r="BN231" s="697"/>
      <c r="BO231" s="697"/>
      <c r="BP231" s="697"/>
      <c r="BQ231" s="697"/>
      <c r="BR231" s="697"/>
      <c r="BS231" s="697"/>
      <c r="BT231" s="697"/>
      <c r="BU231" s="697"/>
      <c r="BV231" s="697"/>
      <c r="BW231" s="697"/>
      <c r="BX231" s="697"/>
      <c r="BY231" s="697"/>
      <c r="BZ231" s="697"/>
      <c r="CA231" s="697"/>
      <c r="CB231" s="697"/>
      <c r="CC231" s="697"/>
      <c r="CD231" s="697"/>
      <c r="CE231" s="697"/>
      <c r="CF231" s="697"/>
      <c r="CG231" s="697"/>
      <c r="CH231" s="697"/>
      <c r="CI231" s="697"/>
      <c r="CJ231" s="697"/>
      <c r="CK231" s="697"/>
      <c r="CL231" s="697"/>
      <c r="CM231" s="697"/>
      <c r="CN231" s="697"/>
      <c r="CO231" s="697"/>
      <c r="CP231" s="697"/>
      <c r="CQ231" s="697"/>
      <c r="CR231" s="697"/>
      <c r="CS231" s="697"/>
      <c r="CT231" s="697"/>
      <c r="CU231" s="697"/>
      <c r="CV231" s="697"/>
      <c r="CW231" s="697"/>
      <c r="CX231" s="697"/>
      <c r="CY231" s="697"/>
      <c r="CZ231" s="697"/>
      <c r="DA231" s="697"/>
    </row>
    <row r="232" spans="1:105" hidden="1" outlineLevel="1" x14ac:dyDescent="0.2">
      <c r="A232" s="709">
        <f t="shared" si="53"/>
        <v>38108</v>
      </c>
      <c r="B232" s="709" t="str">
        <f t="shared" si="50"/>
        <v>2Q04</v>
      </c>
      <c r="C232" s="709" t="str">
        <f t="shared" si="54"/>
        <v>3Q04</v>
      </c>
      <c r="D232" s="710">
        <f t="shared" si="57"/>
        <v>38177</v>
      </c>
      <c r="E232" s="710">
        <f t="shared" si="57"/>
        <v>38117</v>
      </c>
      <c r="F232" s="712">
        <v>1.7450000000000001</v>
      </c>
      <c r="G232" s="713">
        <f t="shared" si="51"/>
        <v>0.11999999999999998</v>
      </c>
      <c r="H232" s="713">
        <f t="shared" si="52"/>
        <v>0.12999999999999998</v>
      </c>
      <c r="I232" s="697"/>
      <c r="J232" s="697"/>
      <c r="K232" s="697"/>
      <c r="L232" s="697"/>
      <c r="M232" s="697"/>
      <c r="N232" s="697"/>
      <c r="O232" s="697"/>
      <c r="P232" s="697"/>
      <c r="Q232" s="697"/>
      <c r="R232" s="697"/>
      <c r="S232" s="697"/>
      <c r="T232" s="697"/>
      <c r="U232" s="697"/>
      <c r="V232" s="697"/>
      <c r="W232" s="697"/>
      <c r="X232" s="697"/>
      <c r="Y232" s="697"/>
      <c r="Z232" s="697"/>
      <c r="AA232" s="697"/>
      <c r="AB232" s="697"/>
      <c r="AC232" s="697"/>
      <c r="AD232" s="697"/>
      <c r="AE232" s="697"/>
      <c r="AF232" s="697"/>
      <c r="AG232" s="697"/>
      <c r="AH232" s="697"/>
      <c r="AI232" s="697"/>
      <c r="AJ232" s="697"/>
      <c r="AK232" s="697"/>
      <c r="AL232" s="697"/>
      <c r="AM232" s="697"/>
      <c r="AN232" s="697"/>
      <c r="AO232" s="697"/>
      <c r="AP232" s="697"/>
      <c r="AQ232" s="697"/>
      <c r="AR232" s="697"/>
      <c r="AS232" s="697"/>
      <c r="AT232" s="697"/>
      <c r="AU232" s="697"/>
      <c r="AV232" s="697"/>
      <c r="AW232" s="697"/>
      <c r="AX232" s="697"/>
      <c r="AY232" s="697"/>
      <c r="AZ232" s="697"/>
      <c r="BA232" s="697"/>
      <c r="BB232" s="697"/>
      <c r="BC232" s="697"/>
      <c r="BD232" s="697"/>
      <c r="BE232" s="697"/>
      <c r="BF232" s="697"/>
      <c r="BG232" s="697"/>
      <c r="BH232" s="697"/>
      <c r="BI232" s="697"/>
      <c r="BJ232" s="697"/>
      <c r="BK232" s="697"/>
      <c r="BL232" s="697"/>
      <c r="BM232" s="697"/>
      <c r="BN232" s="697"/>
      <c r="BO232" s="697"/>
      <c r="BP232" s="697"/>
      <c r="BQ232" s="697"/>
      <c r="BR232" s="697"/>
      <c r="BS232" s="697"/>
      <c r="BT232" s="697"/>
      <c r="BU232" s="697"/>
      <c r="BV232" s="697"/>
      <c r="BW232" s="697"/>
      <c r="BX232" s="697"/>
      <c r="BY232" s="697"/>
      <c r="BZ232" s="697"/>
      <c r="CA232" s="697"/>
      <c r="CB232" s="697"/>
      <c r="CC232" s="697"/>
      <c r="CD232" s="697"/>
      <c r="CE232" s="697"/>
      <c r="CF232" s="697"/>
      <c r="CG232" s="697"/>
      <c r="CH232" s="697"/>
      <c r="CI232" s="697"/>
      <c r="CJ232" s="697"/>
      <c r="CK232" s="697"/>
      <c r="CL232" s="697"/>
      <c r="CM232" s="697"/>
      <c r="CN232" s="697"/>
      <c r="CO232" s="697"/>
      <c r="CP232" s="697"/>
      <c r="CQ232" s="697"/>
      <c r="CR232" s="697"/>
      <c r="CS232" s="697"/>
      <c r="CT232" s="697"/>
      <c r="CU232" s="697"/>
      <c r="CV232" s="697"/>
      <c r="CW232" s="697"/>
      <c r="CX232" s="697"/>
      <c r="CY232" s="697"/>
      <c r="CZ232" s="697"/>
      <c r="DA232" s="697"/>
    </row>
    <row r="233" spans="1:105" hidden="1" outlineLevel="1" x14ac:dyDescent="0.2">
      <c r="A233" s="709">
        <f t="shared" si="53"/>
        <v>38108</v>
      </c>
      <c r="B233" s="709" t="str">
        <f t="shared" si="50"/>
        <v>2Q04</v>
      </c>
      <c r="C233" s="709" t="str">
        <f t="shared" si="54"/>
        <v>3Q04</v>
      </c>
      <c r="D233" s="710">
        <f t="shared" si="57"/>
        <v>38184</v>
      </c>
      <c r="E233" s="710">
        <f t="shared" si="57"/>
        <v>38124</v>
      </c>
      <c r="F233" s="712">
        <v>1.7630000000000001</v>
      </c>
      <c r="G233" s="713">
        <f t="shared" si="51"/>
        <v>0.12999999999999998</v>
      </c>
      <c r="H233" s="713">
        <f t="shared" si="52"/>
        <v>0.12999999999999998</v>
      </c>
      <c r="I233" s="697"/>
      <c r="J233" s="697"/>
      <c r="K233" s="697"/>
      <c r="L233" s="697"/>
      <c r="M233" s="697"/>
      <c r="N233" s="697"/>
      <c r="O233" s="697"/>
      <c r="P233" s="697"/>
      <c r="Q233" s="697"/>
      <c r="R233" s="697"/>
      <c r="S233" s="697"/>
      <c r="T233" s="697"/>
      <c r="U233" s="697"/>
      <c r="V233" s="697"/>
      <c r="W233" s="697"/>
      <c r="X233" s="697"/>
      <c r="Y233" s="697"/>
      <c r="Z233" s="697"/>
      <c r="AA233" s="697"/>
      <c r="AB233" s="697"/>
      <c r="AC233" s="697"/>
      <c r="AD233" s="697"/>
      <c r="AE233" s="697"/>
      <c r="AF233" s="697"/>
      <c r="AG233" s="697"/>
      <c r="AH233" s="697"/>
      <c r="AI233" s="697"/>
      <c r="AJ233" s="697"/>
      <c r="AK233" s="697"/>
      <c r="AL233" s="697"/>
      <c r="AM233" s="697"/>
      <c r="AN233" s="697"/>
      <c r="AO233" s="697"/>
      <c r="AP233" s="697"/>
      <c r="AQ233" s="697"/>
      <c r="AR233" s="697"/>
      <c r="AS233" s="697"/>
      <c r="AT233" s="697"/>
      <c r="AU233" s="697"/>
      <c r="AV233" s="697"/>
      <c r="AW233" s="697"/>
      <c r="AX233" s="697"/>
      <c r="AY233" s="697"/>
      <c r="AZ233" s="697"/>
      <c r="BA233" s="697"/>
      <c r="BB233" s="697"/>
      <c r="BC233" s="697"/>
      <c r="BD233" s="697"/>
      <c r="BE233" s="697"/>
      <c r="BF233" s="697"/>
      <c r="BG233" s="697"/>
      <c r="BH233" s="697"/>
      <c r="BI233" s="697"/>
      <c r="BJ233" s="697"/>
      <c r="BK233" s="697"/>
      <c r="BL233" s="697"/>
      <c r="BM233" s="697"/>
      <c r="BN233" s="697"/>
      <c r="BO233" s="697"/>
      <c r="BP233" s="697"/>
      <c r="BQ233" s="697"/>
      <c r="BR233" s="697"/>
      <c r="BS233" s="697"/>
      <c r="BT233" s="697"/>
      <c r="BU233" s="697"/>
      <c r="BV233" s="697"/>
      <c r="BW233" s="697"/>
      <c r="BX233" s="697"/>
      <c r="BY233" s="697"/>
      <c r="BZ233" s="697"/>
      <c r="CA233" s="697"/>
      <c r="CB233" s="697"/>
      <c r="CC233" s="697"/>
      <c r="CD233" s="697"/>
      <c r="CE233" s="697"/>
      <c r="CF233" s="697"/>
      <c r="CG233" s="697"/>
      <c r="CH233" s="697"/>
      <c r="CI233" s="697"/>
      <c r="CJ233" s="697"/>
      <c r="CK233" s="697"/>
      <c r="CL233" s="697"/>
      <c r="CM233" s="697"/>
      <c r="CN233" s="697"/>
      <c r="CO233" s="697"/>
      <c r="CP233" s="697"/>
      <c r="CQ233" s="697"/>
      <c r="CR233" s="697"/>
      <c r="CS233" s="697"/>
      <c r="CT233" s="697"/>
      <c r="CU233" s="697"/>
      <c r="CV233" s="697"/>
      <c r="CW233" s="697"/>
      <c r="CX233" s="697"/>
      <c r="CY233" s="697"/>
      <c r="CZ233" s="697"/>
      <c r="DA233" s="697"/>
    </row>
    <row r="234" spans="1:105" hidden="1" outlineLevel="1" x14ac:dyDescent="0.2">
      <c r="A234" s="709">
        <f t="shared" si="53"/>
        <v>38108</v>
      </c>
      <c r="B234" s="709" t="str">
        <f t="shared" si="50"/>
        <v>2Q04</v>
      </c>
      <c r="C234" s="709" t="str">
        <f t="shared" si="54"/>
        <v>3Q04</v>
      </c>
      <c r="D234" s="710">
        <f t="shared" si="57"/>
        <v>38191</v>
      </c>
      <c r="E234" s="710">
        <f t="shared" si="57"/>
        <v>38131</v>
      </c>
      <c r="F234" s="712">
        <v>1.7609999999999999</v>
      </c>
      <c r="G234" s="713">
        <f t="shared" si="51"/>
        <v>0.12999999999999998</v>
      </c>
      <c r="H234" s="713">
        <f t="shared" si="52"/>
        <v>0.11999999999999998</v>
      </c>
      <c r="I234" s="697"/>
      <c r="J234" s="697"/>
      <c r="K234" s="697"/>
      <c r="L234" s="697"/>
      <c r="M234" s="697"/>
      <c r="N234" s="697"/>
      <c r="O234" s="697"/>
      <c r="P234" s="697"/>
      <c r="Q234" s="697"/>
      <c r="R234" s="697"/>
      <c r="S234" s="697"/>
      <c r="T234" s="697"/>
      <c r="U234" s="697"/>
      <c r="V234" s="697"/>
      <c r="W234" s="697"/>
      <c r="X234" s="697"/>
      <c r="Y234" s="697"/>
      <c r="Z234" s="697"/>
      <c r="AA234" s="697"/>
      <c r="AB234" s="697"/>
      <c r="AC234" s="697"/>
      <c r="AD234" s="697"/>
      <c r="AE234" s="697"/>
      <c r="AF234" s="697"/>
      <c r="AG234" s="697"/>
      <c r="AH234" s="697"/>
      <c r="AI234" s="697"/>
      <c r="AJ234" s="697"/>
      <c r="AK234" s="697"/>
      <c r="AL234" s="697"/>
      <c r="AM234" s="697"/>
      <c r="AN234" s="697"/>
      <c r="AO234" s="697"/>
      <c r="AP234" s="697"/>
      <c r="AQ234" s="697"/>
      <c r="AR234" s="697"/>
      <c r="AS234" s="697"/>
      <c r="AT234" s="697"/>
      <c r="AU234" s="697"/>
      <c r="AV234" s="697"/>
      <c r="AW234" s="697"/>
      <c r="AX234" s="697"/>
      <c r="AY234" s="697"/>
      <c r="AZ234" s="697"/>
      <c r="BA234" s="697"/>
      <c r="BB234" s="697"/>
      <c r="BC234" s="697"/>
      <c r="BD234" s="697"/>
      <c r="BE234" s="697"/>
      <c r="BF234" s="697"/>
      <c r="BG234" s="697"/>
      <c r="BH234" s="697"/>
      <c r="BI234" s="697"/>
      <c r="BJ234" s="697"/>
      <c r="BK234" s="697"/>
      <c r="BL234" s="697"/>
      <c r="BM234" s="697"/>
      <c r="BN234" s="697"/>
      <c r="BO234" s="697"/>
      <c r="BP234" s="697"/>
      <c r="BQ234" s="697"/>
      <c r="BR234" s="697"/>
      <c r="BS234" s="697"/>
      <c r="BT234" s="697"/>
      <c r="BU234" s="697"/>
      <c r="BV234" s="697"/>
      <c r="BW234" s="697"/>
      <c r="BX234" s="697"/>
      <c r="BY234" s="697"/>
      <c r="BZ234" s="697"/>
      <c r="CA234" s="697"/>
      <c r="CB234" s="697"/>
      <c r="CC234" s="697"/>
      <c r="CD234" s="697"/>
      <c r="CE234" s="697"/>
      <c r="CF234" s="697"/>
      <c r="CG234" s="697"/>
      <c r="CH234" s="697"/>
      <c r="CI234" s="697"/>
      <c r="CJ234" s="697"/>
      <c r="CK234" s="697"/>
      <c r="CL234" s="697"/>
      <c r="CM234" s="697"/>
      <c r="CN234" s="697"/>
      <c r="CO234" s="697"/>
      <c r="CP234" s="697"/>
      <c r="CQ234" s="697"/>
      <c r="CR234" s="697"/>
      <c r="CS234" s="697"/>
      <c r="CT234" s="697"/>
      <c r="CU234" s="697"/>
      <c r="CV234" s="697"/>
      <c r="CW234" s="697"/>
      <c r="CX234" s="697"/>
      <c r="CY234" s="697"/>
      <c r="CZ234" s="697"/>
      <c r="DA234" s="697"/>
    </row>
    <row r="235" spans="1:105" hidden="1" outlineLevel="1" x14ac:dyDescent="0.2">
      <c r="A235" s="709">
        <f t="shared" si="53"/>
        <v>38108</v>
      </c>
      <c r="B235" s="709" t="str">
        <f t="shared" si="50"/>
        <v>2Q04</v>
      </c>
      <c r="C235" s="709" t="str">
        <f t="shared" si="54"/>
        <v>3Q04</v>
      </c>
      <c r="D235" s="710">
        <f t="shared" si="57"/>
        <v>38198</v>
      </c>
      <c r="E235" s="710">
        <f t="shared" si="57"/>
        <v>38138</v>
      </c>
      <c r="F235" s="712">
        <v>1.746</v>
      </c>
      <c r="G235" s="713">
        <f t="shared" si="51"/>
        <v>0.11999999999999998</v>
      </c>
      <c r="H235" s="713">
        <f t="shared" si="52"/>
        <v>0.11999999999999998</v>
      </c>
      <c r="I235" s="697"/>
      <c r="J235" s="697"/>
      <c r="K235" s="697"/>
      <c r="L235" s="697"/>
      <c r="M235" s="697"/>
      <c r="N235" s="697"/>
      <c r="O235" s="697"/>
      <c r="P235" s="697"/>
      <c r="Q235" s="697"/>
      <c r="R235" s="697"/>
      <c r="S235" s="697"/>
      <c r="T235" s="697"/>
      <c r="U235" s="697"/>
      <c r="V235" s="697"/>
      <c r="W235" s="697"/>
      <c r="X235" s="697"/>
      <c r="Y235" s="697"/>
      <c r="Z235" s="697"/>
      <c r="AA235" s="697"/>
      <c r="AB235" s="697"/>
      <c r="AC235" s="697"/>
      <c r="AD235" s="697"/>
      <c r="AE235" s="697"/>
      <c r="AF235" s="697"/>
      <c r="AG235" s="697"/>
      <c r="AH235" s="697"/>
      <c r="AI235" s="697"/>
      <c r="AJ235" s="697"/>
      <c r="AK235" s="697"/>
      <c r="AL235" s="697"/>
      <c r="AM235" s="697"/>
      <c r="AN235" s="697"/>
      <c r="AO235" s="697"/>
      <c r="AP235" s="697"/>
      <c r="AQ235" s="697"/>
      <c r="AR235" s="697"/>
      <c r="AS235" s="697"/>
      <c r="AT235" s="697"/>
      <c r="AU235" s="697"/>
      <c r="AV235" s="697"/>
      <c r="AW235" s="697"/>
      <c r="AX235" s="697"/>
      <c r="AY235" s="697"/>
      <c r="AZ235" s="697"/>
      <c r="BA235" s="697"/>
      <c r="BB235" s="697"/>
      <c r="BC235" s="697"/>
      <c r="BD235" s="697"/>
      <c r="BE235" s="697"/>
      <c r="BF235" s="697"/>
      <c r="BG235" s="697"/>
      <c r="BH235" s="697"/>
      <c r="BI235" s="697"/>
      <c r="BJ235" s="697"/>
      <c r="BK235" s="697"/>
      <c r="BL235" s="697"/>
      <c r="BM235" s="697"/>
      <c r="BN235" s="697"/>
      <c r="BO235" s="697"/>
      <c r="BP235" s="697"/>
      <c r="BQ235" s="697"/>
      <c r="BR235" s="697"/>
      <c r="BS235" s="697"/>
      <c r="BT235" s="697"/>
      <c r="BU235" s="697"/>
      <c r="BV235" s="697"/>
      <c r="BW235" s="697"/>
      <c r="BX235" s="697"/>
      <c r="BY235" s="697"/>
      <c r="BZ235" s="697"/>
      <c r="CA235" s="697"/>
      <c r="CB235" s="697"/>
      <c r="CC235" s="697"/>
      <c r="CD235" s="697"/>
      <c r="CE235" s="697"/>
      <c r="CF235" s="697"/>
      <c r="CG235" s="697"/>
      <c r="CH235" s="697"/>
      <c r="CI235" s="697"/>
      <c r="CJ235" s="697"/>
      <c r="CK235" s="697"/>
      <c r="CL235" s="697"/>
      <c r="CM235" s="697"/>
      <c r="CN235" s="697"/>
      <c r="CO235" s="697"/>
      <c r="CP235" s="697"/>
      <c r="CQ235" s="697"/>
      <c r="CR235" s="697"/>
      <c r="CS235" s="697"/>
      <c r="CT235" s="697"/>
      <c r="CU235" s="697"/>
      <c r="CV235" s="697"/>
      <c r="CW235" s="697"/>
      <c r="CX235" s="697"/>
      <c r="CY235" s="697"/>
      <c r="CZ235" s="697"/>
      <c r="DA235" s="697"/>
    </row>
    <row r="236" spans="1:105" hidden="1" outlineLevel="1" x14ac:dyDescent="0.2">
      <c r="A236" s="709">
        <f t="shared" si="53"/>
        <v>38139</v>
      </c>
      <c r="B236" s="709" t="str">
        <f t="shared" si="50"/>
        <v>2Q04</v>
      </c>
      <c r="C236" s="709" t="str">
        <f t="shared" si="54"/>
        <v>3Q04</v>
      </c>
      <c r="D236" s="710">
        <f t="shared" si="57"/>
        <v>38205</v>
      </c>
      <c r="E236" s="710">
        <f t="shared" si="57"/>
        <v>38145</v>
      </c>
      <c r="F236" s="712">
        <v>1.734</v>
      </c>
      <c r="G236" s="713">
        <f t="shared" si="51"/>
        <v>0.11999999999999998</v>
      </c>
      <c r="H236" s="713">
        <f t="shared" si="52"/>
        <v>0.11999999999999998</v>
      </c>
      <c r="I236" s="697"/>
      <c r="J236" s="697"/>
      <c r="K236" s="697"/>
      <c r="L236" s="697"/>
      <c r="M236" s="697"/>
      <c r="N236" s="697"/>
      <c r="O236" s="697"/>
      <c r="P236" s="697"/>
      <c r="Q236" s="697"/>
      <c r="R236" s="697"/>
      <c r="S236" s="697"/>
      <c r="T236" s="697"/>
      <c r="U236" s="697"/>
      <c r="V236" s="697"/>
      <c r="W236" s="697"/>
      <c r="X236" s="697"/>
      <c r="Y236" s="697"/>
      <c r="Z236" s="697"/>
      <c r="AA236" s="697"/>
      <c r="AB236" s="697"/>
      <c r="AC236" s="697"/>
      <c r="AD236" s="697"/>
      <c r="AE236" s="697"/>
      <c r="AF236" s="697"/>
      <c r="AG236" s="697"/>
      <c r="AH236" s="697"/>
      <c r="AI236" s="697"/>
      <c r="AJ236" s="697"/>
      <c r="AK236" s="697"/>
      <c r="AL236" s="697"/>
      <c r="AM236" s="697"/>
      <c r="AN236" s="697"/>
      <c r="AO236" s="697"/>
      <c r="AP236" s="697"/>
      <c r="AQ236" s="697"/>
      <c r="AR236" s="697"/>
      <c r="AS236" s="697"/>
      <c r="AT236" s="697"/>
      <c r="AU236" s="697"/>
      <c r="AV236" s="697"/>
      <c r="AW236" s="697"/>
      <c r="AX236" s="697"/>
      <c r="AY236" s="697"/>
      <c r="AZ236" s="697"/>
      <c r="BA236" s="697"/>
      <c r="BB236" s="697"/>
      <c r="BC236" s="697"/>
      <c r="BD236" s="697"/>
      <c r="BE236" s="697"/>
      <c r="BF236" s="697"/>
      <c r="BG236" s="697"/>
      <c r="BH236" s="697"/>
      <c r="BI236" s="697"/>
      <c r="BJ236" s="697"/>
      <c r="BK236" s="697"/>
      <c r="BL236" s="697"/>
      <c r="BM236" s="697"/>
      <c r="BN236" s="697"/>
      <c r="BO236" s="697"/>
      <c r="BP236" s="697"/>
      <c r="BQ236" s="697"/>
      <c r="BR236" s="697"/>
      <c r="BS236" s="697"/>
      <c r="BT236" s="697"/>
      <c r="BU236" s="697"/>
      <c r="BV236" s="697"/>
      <c r="BW236" s="697"/>
      <c r="BX236" s="697"/>
      <c r="BY236" s="697"/>
      <c r="BZ236" s="697"/>
      <c r="CA236" s="697"/>
      <c r="CB236" s="697"/>
      <c r="CC236" s="697"/>
      <c r="CD236" s="697"/>
      <c r="CE236" s="697"/>
      <c r="CF236" s="697"/>
      <c r="CG236" s="697"/>
      <c r="CH236" s="697"/>
      <c r="CI236" s="697"/>
      <c r="CJ236" s="697"/>
      <c r="CK236" s="697"/>
      <c r="CL236" s="697"/>
      <c r="CM236" s="697"/>
      <c r="CN236" s="697"/>
      <c r="CO236" s="697"/>
      <c r="CP236" s="697"/>
      <c r="CQ236" s="697"/>
      <c r="CR236" s="697"/>
      <c r="CS236" s="697"/>
      <c r="CT236" s="697"/>
      <c r="CU236" s="697"/>
      <c r="CV236" s="697"/>
      <c r="CW236" s="697"/>
      <c r="CX236" s="697"/>
      <c r="CY236" s="697"/>
      <c r="CZ236" s="697"/>
      <c r="DA236" s="697"/>
    </row>
    <row r="237" spans="1:105" hidden="1" outlineLevel="1" x14ac:dyDescent="0.2">
      <c r="A237" s="709">
        <f t="shared" si="53"/>
        <v>38139</v>
      </c>
      <c r="B237" s="709" t="str">
        <f t="shared" si="50"/>
        <v>2Q04</v>
      </c>
      <c r="C237" s="709" t="str">
        <f t="shared" si="54"/>
        <v>3Q04</v>
      </c>
      <c r="D237" s="710">
        <f t="shared" si="57"/>
        <v>38212</v>
      </c>
      <c r="E237" s="710">
        <f t="shared" si="57"/>
        <v>38152</v>
      </c>
      <c r="F237" s="712">
        <v>1.7109999999999999</v>
      </c>
      <c r="G237" s="713">
        <f t="shared" si="51"/>
        <v>0.11999999999999998</v>
      </c>
      <c r="H237" s="713">
        <f t="shared" si="52"/>
        <v>0.10999999999999999</v>
      </c>
      <c r="I237" s="697"/>
      <c r="J237" s="697"/>
      <c r="K237" s="697"/>
      <c r="L237" s="697"/>
      <c r="M237" s="697"/>
      <c r="N237" s="697"/>
      <c r="O237" s="697"/>
      <c r="P237" s="697"/>
      <c r="Q237" s="697"/>
      <c r="R237" s="697"/>
      <c r="S237" s="697"/>
      <c r="T237" s="697"/>
      <c r="U237" s="697"/>
      <c r="V237" s="697"/>
      <c r="W237" s="697"/>
      <c r="X237" s="697"/>
      <c r="Y237" s="697"/>
      <c r="Z237" s="697"/>
      <c r="AA237" s="697"/>
      <c r="AB237" s="697"/>
      <c r="AC237" s="697"/>
      <c r="AD237" s="697"/>
      <c r="AE237" s="697"/>
      <c r="AF237" s="697"/>
      <c r="AG237" s="697"/>
      <c r="AH237" s="697"/>
      <c r="AI237" s="697"/>
      <c r="AJ237" s="697"/>
      <c r="AK237" s="697"/>
      <c r="AL237" s="697"/>
      <c r="AM237" s="697"/>
      <c r="AN237" s="697"/>
      <c r="AO237" s="697"/>
      <c r="AP237" s="697"/>
      <c r="AQ237" s="697"/>
      <c r="AR237" s="697"/>
      <c r="AS237" s="697"/>
      <c r="AT237" s="697"/>
      <c r="AU237" s="697"/>
      <c r="AV237" s="697"/>
      <c r="AW237" s="697"/>
      <c r="AX237" s="697"/>
      <c r="AY237" s="697"/>
      <c r="AZ237" s="697"/>
      <c r="BA237" s="697"/>
      <c r="BB237" s="697"/>
      <c r="BC237" s="697"/>
      <c r="BD237" s="697"/>
      <c r="BE237" s="697"/>
      <c r="BF237" s="697"/>
      <c r="BG237" s="697"/>
      <c r="BH237" s="697"/>
      <c r="BI237" s="697"/>
      <c r="BJ237" s="697"/>
      <c r="BK237" s="697"/>
      <c r="BL237" s="697"/>
      <c r="BM237" s="697"/>
      <c r="BN237" s="697"/>
      <c r="BO237" s="697"/>
      <c r="BP237" s="697"/>
      <c r="BQ237" s="697"/>
      <c r="BR237" s="697"/>
      <c r="BS237" s="697"/>
      <c r="BT237" s="697"/>
      <c r="BU237" s="697"/>
      <c r="BV237" s="697"/>
      <c r="BW237" s="697"/>
      <c r="BX237" s="697"/>
      <c r="BY237" s="697"/>
      <c r="BZ237" s="697"/>
      <c r="CA237" s="697"/>
      <c r="CB237" s="697"/>
      <c r="CC237" s="697"/>
      <c r="CD237" s="697"/>
      <c r="CE237" s="697"/>
      <c r="CF237" s="697"/>
      <c r="CG237" s="697"/>
      <c r="CH237" s="697"/>
      <c r="CI237" s="697"/>
      <c r="CJ237" s="697"/>
      <c r="CK237" s="697"/>
      <c r="CL237" s="697"/>
      <c r="CM237" s="697"/>
      <c r="CN237" s="697"/>
      <c r="CO237" s="697"/>
      <c r="CP237" s="697"/>
      <c r="CQ237" s="697"/>
      <c r="CR237" s="697"/>
      <c r="CS237" s="697"/>
      <c r="CT237" s="697"/>
      <c r="CU237" s="697"/>
      <c r="CV237" s="697"/>
      <c r="CW237" s="697"/>
      <c r="CX237" s="697"/>
      <c r="CY237" s="697"/>
      <c r="CZ237" s="697"/>
      <c r="DA237" s="697"/>
    </row>
    <row r="238" spans="1:105" hidden="1" outlineLevel="1" x14ac:dyDescent="0.2">
      <c r="A238" s="709">
        <f t="shared" si="53"/>
        <v>38139</v>
      </c>
      <c r="B238" s="709" t="str">
        <f t="shared" si="50"/>
        <v>2Q04</v>
      </c>
      <c r="C238" s="709" t="str">
        <f t="shared" si="54"/>
        <v>3Q04</v>
      </c>
      <c r="D238" s="710">
        <f t="shared" si="57"/>
        <v>38219</v>
      </c>
      <c r="E238" s="710">
        <f t="shared" si="57"/>
        <v>38159</v>
      </c>
      <c r="F238" s="712">
        <v>1.7</v>
      </c>
      <c r="G238" s="713">
        <f t="shared" si="51"/>
        <v>0.10999999999999999</v>
      </c>
      <c r="H238" s="713">
        <f t="shared" si="52"/>
        <v>0.10999999999999999</v>
      </c>
      <c r="I238" s="697"/>
      <c r="J238" s="697"/>
      <c r="K238" s="697"/>
      <c r="L238" s="697"/>
      <c r="M238" s="697"/>
      <c r="N238" s="697"/>
      <c r="O238" s="697"/>
      <c r="P238" s="697"/>
      <c r="Q238" s="697"/>
      <c r="R238" s="697"/>
      <c r="S238" s="697"/>
      <c r="T238" s="697"/>
      <c r="U238" s="697"/>
      <c r="V238" s="697"/>
      <c r="W238" s="697"/>
      <c r="X238" s="697"/>
      <c r="Y238" s="697"/>
      <c r="Z238" s="697"/>
      <c r="AA238" s="697"/>
      <c r="AB238" s="697"/>
      <c r="AC238" s="697"/>
      <c r="AD238" s="697"/>
      <c r="AE238" s="697"/>
      <c r="AF238" s="697"/>
      <c r="AG238" s="697"/>
      <c r="AH238" s="697"/>
      <c r="AI238" s="697"/>
      <c r="AJ238" s="697"/>
      <c r="AK238" s="697"/>
      <c r="AL238" s="697"/>
      <c r="AM238" s="697"/>
      <c r="AN238" s="697"/>
      <c r="AO238" s="697"/>
      <c r="AP238" s="697"/>
      <c r="AQ238" s="697"/>
      <c r="AR238" s="697"/>
      <c r="AS238" s="697"/>
      <c r="AT238" s="697"/>
      <c r="AU238" s="697"/>
      <c r="AV238" s="697"/>
      <c r="AW238" s="697"/>
      <c r="AX238" s="697"/>
      <c r="AY238" s="697"/>
      <c r="AZ238" s="697"/>
      <c r="BA238" s="697"/>
      <c r="BB238" s="697"/>
      <c r="BC238" s="697"/>
      <c r="BD238" s="697"/>
      <c r="BE238" s="697"/>
      <c r="BF238" s="697"/>
      <c r="BG238" s="697"/>
      <c r="BH238" s="697"/>
      <c r="BI238" s="697"/>
      <c r="BJ238" s="697"/>
      <c r="BK238" s="697"/>
      <c r="BL238" s="697"/>
      <c r="BM238" s="697"/>
      <c r="BN238" s="697"/>
      <c r="BO238" s="697"/>
      <c r="BP238" s="697"/>
      <c r="BQ238" s="697"/>
      <c r="BR238" s="697"/>
      <c r="BS238" s="697"/>
      <c r="BT238" s="697"/>
      <c r="BU238" s="697"/>
      <c r="BV238" s="697"/>
      <c r="BW238" s="697"/>
      <c r="BX238" s="697"/>
      <c r="BY238" s="697"/>
      <c r="BZ238" s="697"/>
      <c r="CA238" s="697"/>
      <c r="CB238" s="697"/>
      <c r="CC238" s="697"/>
      <c r="CD238" s="697"/>
      <c r="CE238" s="697"/>
      <c r="CF238" s="697"/>
      <c r="CG238" s="697"/>
      <c r="CH238" s="697"/>
      <c r="CI238" s="697"/>
      <c r="CJ238" s="697"/>
      <c r="CK238" s="697"/>
      <c r="CL238" s="697"/>
      <c r="CM238" s="697"/>
      <c r="CN238" s="697"/>
      <c r="CO238" s="697"/>
      <c r="CP238" s="697"/>
      <c r="CQ238" s="697"/>
      <c r="CR238" s="697"/>
      <c r="CS238" s="697"/>
      <c r="CT238" s="697"/>
      <c r="CU238" s="697"/>
      <c r="CV238" s="697"/>
      <c r="CW238" s="697"/>
      <c r="CX238" s="697"/>
      <c r="CY238" s="697"/>
      <c r="CZ238" s="697"/>
      <c r="DA238" s="697"/>
    </row>
    <row r="239" spans="1:105" hidden="1" outlineLevel="1" x14ac:dyDescent="0.2">
      <c r="A239" s="709">
        <f t="shared" si="53"/>
        <v>38139</v>
      </c>
      <c r="B239" s="709" t="str">
        <f t="shared" si="50"/>
        <v>2Q04</v>
      </c>
      <c r="C239" s="709" t="str">
        <f t="shared" si="54"/>
        <v>3Q04</v>
      </c>
      <c r="D239" s="710">
        <f t="shared" si="57"/>
        <v>38226</v>
      </c>
      <c r="E239" s="710">
        <f t="shared" si="57"/>
        <v>38166</v>
      </c>
      <c r="F239" s="712">
        <v>1.7</v>
      </c>
      <c r="G239" s="713">
        <f t="shared" si="51"/>
        <v>0.10999999999999999</v>
      </c>
      <c r="H239" s="713">
        <f t="shared" si="52"/>
        <v>0.11999999999999998</v>
      </c>
      <c r="I239" s="697"/>
      <c r="J239" s="697"/>
      <c r="K239" s="697"/>
      <c r="L239" s="697"/>
      <c r="M239" s="697"/>
      <c r="N239" s="697"/>
      <c r="O239" s="697"/>
      <c r="P239" s="697"/>
      <c r="Q239" s="697"/>
      <c r="R239" s="697"/>
      <c r="S239" s="697"/>
      <c r="T239" s="697"/>
      <c r="U239" s="697"/>
      <c r="V239" s="697"/>
      <c r="W239" s="697"/>
      <c r="X239" s="697"/>
      <c r="Y239" s="697"/>
      <c r="Z239" s="697"/>
      <c r="AA239" s="697"/>
      <c r="AB239" s="697"/>
      <c r="AC239" s="697"/>
      <c r="AD239" s="697"/>
      <c r="AE239" s="697"/>
      <c r="AF239" s="697"/>
      <c r="AG239" s="697"/>
      <c r="AH239" s="697"/>
      <c r="AI239" s="697"/>
      <c r="AJ239" s="697"/>
      <c r="AK239" s="697"/>
      <c r="AL239" s="697"/>
      <c r="AM239" s="697"/>
      <c r="AN239" s="697"/>
      <c r="AO239" s="697"/>
      <c r="AP239" s="697"/>
      <c r="AQ239" s="697"/>
      <c r="AR239" s="697"/>
      <c r="AS239" s="697"/>
      <c r="AT239" s="697"/>
      <c r="AU239" s="697"/>
      <c r="AV239" s="697"/>
      <c r="AW239" s="697"/>
      <c r="AX239" s="697"/>
      <c r="AY239" s="697"/>
      <c r="AZ239" s="697"/>
      <c r="BA239" s="697"/>
      <c r="BB239" s="697"/>
      <c r="BC239" s="697"/>
      <c r="BD239" s="697"/>
      <c r="BE239" s="697"/>
      <c r="BF239" s="697"/>
      <c r="BG239" s="697"/>
      <c r="BH239" s="697"/>
      <c r="BI239" s="697"/>
      <c r="BJ239" s="697"/>
      <c r="BK239" s="697"/>
      <c r="BL239" s="697"/>
      <c r="BM239" s="697"/>
      <c r="BN239" s="697"/>
      <c r="BO239" s="697"/>
      <c r="BP239" s="697"/>
      <c r="BQ239" s="697"/>
      <c r="BR239" s="697"/>
      <c r="BS239" s="697"/>
      <c r="BT239" s="697"/>
      <c r="BU239" s="697"/>
      <c r="BV239" s="697"/>
      <c r="BW239" s="697"/>
      <c r="BX239" s="697"/>
      <c r="BY239" s="697"/>
      <c r="BZ239" s="697"/>
      <c r="CA239" s="697"/>
      <c r="CB239" s="697"/>
      <c r="CC239" s="697"/>
      <c r="CD239" s="697"/>
      <c r="CE239" s="697"/>
      <c r="CF239" s="697"/>
      <c r="CG239" s="697"/>
      <c r="CH239" s="697"/>
      <c r="CI239" s="697"/>
      <c r="CJ239" s="697"/>
      <c r="CK239" s="697"/>
      <c r="CL239" s="697"/>
      <c r="CM239" s="697"/>
      <c r="CN239" s="697"/>
      <c r="CO239" s="697"/>
      <c r="CP239" s="697"/>
      <c r="CQ239" s="697"/>
      <c r="CR239" s="697"/>
      <c r="CS239" s="697"/>
      <c r="CT239" s="697"/>
      <c r="CU239" s="697"/>
      <c r="CV239" s="697"/>
      <c r="CW239" s="697"/>
      <c r="CX239" s="697"/>
      <c r="CY239" s="697"/>
      <c r="CZ239" s="697"/>
      <c r="DA239" s="697"/>
    </row>
    <row r="240" spans="1:105" hidden="1" outlineLevel="1" x14ac:dyDescent="0.2">
      <c r="A240" s="709">
        <f t="shared" si="53"/>
        <v>38169</v>
      </c>
      <c r="B240" s="709" t="str">
        <f t="shared" si="50"/>
        <v>3Q04</v>
      </c>
      <c r="C240" s="709" t="str">
        <f t="shared" si="54"/>
        <v>3Q04</v>
      </c>
      <c r="D240" s="710">
        <f t="shared" si="57"/>
        <v>38233</v>
      </c>
      <c r="E240" s="710">
        <f t="shared" si="57"/>
        <v>38173</v>
      </c>
      <c r="F240" s="712">
        <v>1.716</v>
      </c>
      <c r="G240" s="713">
        <f t="shared" si="51"/>
        <v>0.11999999999999998</v>
      </c>
      <c r="H240" s="713">
        <f t="shared" si="52"/>
        <v>0.11999999999999998</v>
      </c>
      <c r="I240" s="697"/>
      <c r="J240" s="697"/>
      <c r="K240" s="697"/>
      <c r="L240" s="697"/>
      <c r="M240" s="697"/>
      <c r="N240" s="697"/>
      <c r="O240" s="697"/>
      <c r="P240" s="697"/>
      <c r="Q240" s="697"/>
      <c r="R240" s="697"/>
      <c r="S240" s="697"/>
      <c r="T240" s="697"/>
      <c r="U240" s="697"/>
      <c r="V240" s="697"/>
      <c r="W240" s="697"/>
      <c r="X240" s="697"/>
      <c r="Y240" s="697"/>
      <c r="Z240" s="697"/>
      <c r="AA240" s="697"/>
      <c r="AB240" s="697"/>
      <c r="AC240" s="697"/>
      <c r="AD240" s="697"/>
      <c r="AE240" s="697"/>
      <c r="AF240" s="697"/>
      <c r="AG240" s="697"/>
      <c r="AH240" s="697"/>
      <c r="AI240" s="697"/>
      <c r="AJ240" s="697"/>
      <c r="AK240" s="697"/>
      <c r="AL240" s="697"/>
      <c r="AM240" s="697"/>
      <c r="AN240" s="697"/>
      <c r="AO240" s="697"/>
      <c r="AP240" s="697"/>
      <c r="AQ240" s="697"/>
      <c r="AR240" s="697"/>
      <c r="AS240" s="697"/>
      <c r="AT240" s="697"/>
      <c r="AU240" s="697"/>
      <c r="AV240" s="697"/>
      <c r="AW240" s="697"/>
      <c r="AX240" s="697"/>
      <c r="AY240" s="697"/>
      <c r="AZ240" s="697"/>
      <c r="BA240" s="697"/>
      <c r="BB240" s="697"/>
      <c r="BC240" s="697"/>
      <c r="BD240" s="697"/>
      <c r="BE240" s="697"/>
      <c r="BF240" s="697"/>
      <c r="BG240" s="697"/>
      <c r="BH240" s="697"/>
      <c r="BI240" s="697"/>
      <c r="BJ240" s="697"/>
      <c r="BK240" s="697"/>
      <c r="BL240" s="697"/>
      <c r="BM240" s="697"/>
      <c r="BN240" s="697"/>
      <c r="BO240" s="697"/>
      <c r="BP240" s="697"/>
      <c r="BQ240" s="697"/>
      <c r="BR240" s="697"/>
      <c r="BS240" s="697"/>
      <c r="BT240" s="697"/>
      <c r="BU240" s="697"/>
      <c r="BV240" s="697"/>
      <c r="BW240" s="697"/>
      <c r="BX240" s="697"/>
      <c r="BY240" s="697"/>
      <c r="BZ240" s="697"/>
      <c r="CA240" s="697"/>
      <c r="CB240" s="697"/>
      <c r="CC240" s="697"/>
      <c r="CD240" s="697"/>
      <c r="CE240" s="697"/>
      <c r="CF240" s="697"/>
      <c r="CG240" s="697"/>
      <c r="CH240" s="697"/>
      <c r="CI240" s="697"/>
      <c r="CJ240" s="697"/>
      <c r="CK240" s="697"/>
      <c r="CL240" s="697"/>
      <c r="CM240" s="697"/>
      <c r="CN240" s="697"/>
      <c r="CO240" s="697"/>
      <c r="CP240" s="697"/>
      <c r="CQ240" s="697"/>
      <c r="CR240" s="697"/>
      <c r="CS240" s="697"/>
      <c r="CT240" s="697"/>
      <c r="CU240" s="697"/>
      <c r="CV240" s="697"/>
      <c r="CW240" s="697"/>
      <c r="CX240" s="697"/>
      <c r="CY240" s="697"/>
      <c r="CZ240" s="697"/>
      <c r="DA240" s="697"/>
    </row>
    <row r="241" spans="1:105" hidden="1" outlineLevel="1" x14ac:dyDescent="0.2">
      <c r="A241" s="709">
        <f t="shared" si="53"/>
        <v>38169</v>
      </c>
      <c r="B241" s="709" t="str">
        <f t="shared" si="50"/>
        <v>3Q04</v>
      </c>
      <c r="C241" s="709" t="str">
        <f t="shared" si="54"/>
        <v>3Q04</v>
      </c>
      <c r="D241" s="710">
        <f t="shared" si="57"/>
        <v>38240</v>
      </c>
      <c r="E241" s="710">
        <f t="shared" si="57"/>
        <v>38180</v>
      </c>
      <c r="F241" s="712">
        <v>1.74</v>
      </c>
      <c r="G241" s="713">
        <f t="shared" si="51"/>
        <v>0.11999999999999998</v>
      </c>
      <c r="H241" s="713">
        <f t="shared" si="52"/>
        <v>0.11999999999999998</v>
      </c>
      <c r="I241" s="697"/>
      <c r="J241" s="697"/>
      <c r="K241" s="697"/>
      <c r="L241" s="697"/>
      <c r="M241" s="697"/>
      <c r="N241" s="697"/>
      <c r="O241" s="697"/>
      <c r="P241" s="697"/>
      <c r="Q241" s="697"/>
      <c r="R241" s="697"/>
      <c r="S241" s="697"/>
      <c r="T241" s="697"/>
      <c r="U241" s="697"/>
      <c r="V241" s="697"/>
      <c r="W241" s="697"/>
      <c r="X241" s="697"/>
      <c r="Y241" s="697"/>
      <c r="Z241" s="697"/>
      <c r="AA241" s="697"/>
      <c r="AB241" s="697"/>
      <c r="AC241" s="697"/>
      <c r="AD241" s="697"/>
      <c r="AE241" s="697"/>
      <c r="AF241" s="697"/>
      <c r="AG241" s="697"/>
      <c r="AH241" s="697"/>
      <c r="AI241" s="697"/>
      <c r="AJ241" s="697"/>
      <c r="AK241" s="697"/>
      <c r="AL241" s="697"/>
      <c r="AM241" s="697"/>
      <c r="AN241" s="697"/>
      <c r="AO241" s="697"/>
      <c r="AP241" s="697"/>
      <c r="AQ241" s="697"/>
      <c r="AR241" s="697"/>
      <c r="AS241" s="697"/>
      <c r="AT241" s="697"/>
      <c r="AU241" s="697"/>
      <c r="AV241" s="697"/>
      <c r="AW241" s="697"/>
      <c r="AX241" s="697"/>
      <c r="AY241" s="697"/>
      <c r="AZ241" s="697"/>
      <c r="BA241" s="697"/>
      <c r="BB241" s="697"/>
      <c r="BC241" s="697"/>
      <c r="BD241" s="697"/>
      <c r="BE241" s="697"/>
      <c r="BF241" s="697"/>
      <c r="BG241" s="697"/>
      <c r="BH241" s="697"/>
      <c r="BI241" s="697"/>
      <c r="BJ241" s="697"/>
      <c r="BK241" s="697"/>
      <c r="BL241" s="697"/>
      <c r="BM241" s="697"/>
      <c r="BN241" s="697"/>
      <c r="BO241" s="697"/>
      <c r="BP241" s="697"/>
      <c r="BQ241" s="697"/>
      <c r="BR241" s="697"/>
      <c r="BS241" s="697"/>
      <c r="BT241" s="697"/>
      <c r="BU241" s="697"/>
      <c r="BV241" s="697"/>
      <c r="BW241" s="697"/>
      <c r="BX241" s="697"/>
      <c r="BY241" s="697"/>
      <c r="BZ241" s="697"/>
      <c r="CA241" s="697"/>
      <c r="CB241" s="697"/>
      <c r="CC241" s="697"/>
      <c r="CD241" s="697"/>
      <c r="CE241" s="697"/>
      <c r="CF241" s="697"/>
      <c r="CG241" s="697"/>
      <c r="CH241" s="697"/>
      <c r="CI241" s="697"/>
      <c r="CJ241" s="697"/>
      <c r="CK241" s="697"/>
      <c r="CL241" s="697"/>
      <c r="CM241" s="697"/>
      <c r="CN241" s="697"/>
      <c r="CO241" s="697"/>
      <c r="CP241" s="697"/>
      <c r="CQ241" s="697"/>
      <c r="CR241" s="697"/>
      <c r="CS241" s="697"/>
      <c r="CT241" s="697"/>
      <c r="CU241" s="697"/>
      <c r="CV241" s="697"/>
      <c r="CW241" s="697"/>
      <c r="CX241" s="697"/>
      <c r="CY241" s="697"/>
      <c r="CZ241" s="697"/>
      <c r="DA241" s="697"/>
    </row>
    <row r="242" spans="1:105" hidden="1" outlineLevel="1" x14ac:dyDescent="0.2">
      <c r="A242" s="709">
        <f t="shared" si="53"/>
        <v>38169</v>
      </c>
      <c r="B242" s="709" t="str">
        <f t="shared" si="50"/>
        <v>3Q04</v>
      </c>
      <c r="C242" s="709" t="str">
        <f t="shared" si="54"/>
        <v>3Q04</v>
      </c>
      <c r="D242" s="710">
        <f t="shared" si="57"/>
        <v>38247</v>
      </c>
      <c r="E242" s="710">
        <f t="shared" si="57"/>
        <v>38187</v>
      </c>
      <c r="F242" s="712">
        <v>1.744</v>
      </c>
      <c r="G242" s="713">
        <f t="shared" si="51"/>
        <v>0.11999999999999998</v>
      </c>
      <c r="H242" s="713">
        <f t="shared" si="52"/>
        <v>0.12999999999999998</v>
      </c>
      <c r="I242" s="697"/>
      <c r="J242" s="697"/>
      <c r="K242" s="697"/>
      <c r="L242" s="697"/>
      <c r="M242" s="697"/>
      <c r="N242" s="697"/>
      <c r="O242" s="697"/>
      <c r="P242" s="697"/>
      <c r="Q242" s="697"/>
      <c r="R242" s="697"/>
      <c r="S242" s="697"/>
      <c r="T242" s="697"/>
      <c r="U242" s="697"/>
      <c r="V242" s="697"/>
      <c r="W242" s="697"/>
      <c r="X242" s="697"/>
      <c r="Y242" s="697"/>
      <c r="Z242" s="697"/>
      <c r="AA242" s="697"/>
      <c r="AB242" s="697"/>
      <c r="AC242" s="697"/>
      <c r="AD242" s="697"/>
      <c r="AE242" s="697"/>
      <c r="AF242" s="697"/>
      <c r="AG242" s="697"/>
      <c r="AH242" s="697"/>
      <c r="AI242" s="697"/>
      <c r="AJ242" s="697"/>
      <c r="AK242" s="697"/>
      <c r="AL242" s="697"/>
      <c r="AM242" s="697"/>
      <c r="AN242" s="697"/>
      <c r="AO242" s="697"/>
      <c r="AP242" s="697"/>
      <c r="AQ242" s="697"/>
      <c r="AR242" s="697"/>
      <c r="AS242" s="697"/>
      <c r="AT242" s="697"/>
      <c r="AU242" s="697"/>
      <c r="AV242" s="697"/>
      <c r="AW242" s="697"/>
      <c r="AX242" s="697"/>
      <c r="AY242" s="697"/>
      <c r="AZ242" s="697"/>
      <c r="BA242" s="697"/>
      <c r="BB242" s="697"/>
      <c r="BC242" s="697"/>
      <c r="BD242" s="697"/>
      <c r="BE242" s="697"/>
      <c r="BF242" s="697"/>
      <c r="BG242" s="697"/>
      <c r="BH242" s="697"/>
      <c r="BI242" s="697"/>
      <c r="BJ242" s="697"/>
      <c r="BK242" s="697"/>
      <c r="BL242" s="697"/>
      <c r="BM242" s="697"/>
      <c r="BN242" s="697"/>
      <c r="BO242" s="697"/>
      <c r="BP242" s="697"/>
      <c r="BQ242" s="697"/>
      <c r="BR242" s="697"/>
      <c r="BS242" s="697"/>
      <c r="BT242" s="697"/>
      <c r="BU242" s="697"/>
      <c r="BV242" s="697"/>
      <c r="BW242" s="697"/>
      <c r="BX242" s="697"/>
      <c r="BY242" s="697"/>
      <c r="BZ242" s="697"/>
      <c r="CA242" s="697"/>
      <c r="CB242" s="697"/>
      <c r="CC242" s="697"/>
      <c r="CD242" s="697"/>
      <c r="CE242" s="697"/>
      <c r="CF242" s="697"/>
      <c r="CG242" s="697"/>
      <c r="CH242" s="697"/>
      <c r="CI242" s="697"/>
      <c r="CJ242" s="697"/>
      <c r="CK242" s="697"/>
      <c r="CL242" s="697"/>
      <c r="CM242" s="697"/>
      <c r="CN242" s="697"/>
      <c r="CO242" s="697"/>
      <c r="CP242" s="697"/>
      <c r="CQ242" s="697"/>
      <c r="CR242" s="697"/>
      <c r="CS242" s="697"/>
      <c r="CT242" s="697"/>
      <c r="CU242" s="697"/>
      <c r="CV242" s="697"/>
      <c r="CW242" s="697"/>
      <c r="CX242" s="697"/>
      <c r="CY242" s="697"/>
      <c r="CZ242" s="697"/>
      <c r="DA242" s="697"/>
    </row>
    <row r="243" spans="1:105" hidden="1" outlineLevel="1" x14ac:dyDescent="0.2">
      <c r="A243" s="709">
        <f t="shared" si="53"/>
        <v>38169</v>
      </c>
      <c r="B243" s="709" t="str">
        <f t="shared" si="50"/>
        <v>3Q04</v>
      </c>
      <c r="C243" s="709" t="str">
        <f t="shared" si="54"/>
        <v>3Q04</v>
      </c>
      <c r="D243" s="710">
        <f t="shared" si="57"/>
        <v>38254</v>
      </c>
      <c r="E243" s="710">
        <f t="shared" si="57"/>
        <v>38194</v>
      </c>
      <c r="F243" s="712">
        <v>1.754</v>
      </c>
      <c r="G243" s="713">
        <f t="shared" si="51"/>
        <v>0.12999999999999998</v>
      </c>
      <c r="H243" s="713">
        <f t="shared" si="52"/>
        <v>0.12999999999999998</v>
      </c>
      <c r="I243" s="697"/>
      <c r="J243" s="697"/>
      <c r="K243" s="697"/>
      <c r="L243" s="697"/>
      <c r="M243" s="697"/>
      <c r="N243" s="697"/>
      <c r="O243" s="697"/>
      <c r="P243" s="697"/>
      <c r="Q243" s="697"/>
      <c r="R243" s="697"/>
      <c r="S243" s="697"/>
      <c r="T243" s="697"/>
      <c r="U243" s="697"/>
      <c r="V243" s="697"/>
      <c r="W243" s="697"/>
      <c r="X243" s="697"/>
      <c r="Y243" s="697"/>
      <c r="Z243" s="697"/>
      <c r="AA243" s="697"/>
      <c r="AB243" s="697"/>
      <c r="AC243" s="697"/>
      <c r="AD243" s="697"/>
      <c r="AE243" s="697"/>
      <c r="AF243" s="697"/>
      <c r="AG243" s="697"/>
      <c r="AH243" s="697"/>
      <c r="AI243" s="697"/>
      <c r="AJ243" s="697"/>
      <c r="AK243" s="697"/>
      <c r="AL243" s="697"/>
      <c r="AM243" s="697"/>
      <c r="AN243" s="697"/>
      <c r="AO243" s="697"/>
      <c r="AP243" s="697"/>
      <c r="AQ243" s="697"/>
      <c r="AR243" s="697"/>
      <c r="AS243" s="697"/>
      <c r="AT243" s="697"/>
      <c r="AU243" s="697"/>
      <c r="AV243" s="697"/>
      <c r="AW243" s="697"/>
      <c r="AX243" s="697"/>
      <c r="AY243" s="697"/>
      <c r="AZ243" s="697"/>
      <c r="BA243" s="697"/>
      <c r="BB243" s="697"/>
      <c r="BC243" s="697"/>
      <c r="BD243" s="697"/>
      <c r="BE243" s="697"/>
      <c r="BF243" s="697"/>
      <c r="BG243" s="697"/>
      <c r="BH243" s="697"/>
      <c r="BI243" s="697"/>
      <c r="BJ243" s="697"/>
      <c r="BK243" s="697"/>
      <c r="BL243" s="697"/>
      <c r="BM243" s="697"/>
      <c r="BN243" s="697"/>
      <c r="BO243" s="697"/>
      <c r="BP243" s="697"/>
      <c r="BQ243" s="697"/>
      <c r="BR243" s="697"/>
      <c r="BS243" s="697"/>
      <c r="BT243" s="697"/>
      <c r="BU243" s="697"/>
      <c r="BV243" s="697"/>
      <c r="BW243" s="697"/>
      <c r="BX243" s="697"/>
      <c r="BY243" s="697"/>
      <c r="BZ243" s="697"/>
      <c r="CA243" s="697"/>
      <c r="CB243" s="697"/>
      <c r="CC243" s="697"/>
      <c r="CD243" s="697"/>
      <c r="CE243" s="697"/>
      <c r="CF243" s="697"/>
      <c r="CG243" s="697"/>
      <c r="CH243" s="697"/>
      <c r="CI243" s="697"/>
      <c r="CJ243" s="697"/>
      <c r="CK243" s="697"/>
      <c r="CL243" s="697"/>
      <c r="CM243" s="697"/>
      <c r="CN243" s="697"/>
      <c r="CO243" s="697"/>
      <c r="CP243" s="697"/>
      <c r="CQ243" s="697"/>
      <c r="CR243" s="697"/>
      <c r="CS243" s="697"/>
      <c r="CT243" s="697"/>
      <c r="CU243" s="697"/>
      <c r="CV243" s="697"/>
      <c r="CW243" s="697"/>
      <c r="CX243" s="697"/>
      <c r="CY243" s="697"/>
      <c r="CZ243" s="697"/>
      <c r="DA243" s="697"/>
    </row>
    <row r="244" spans="1:105" hidden="1" outlineLevel="1" x14ac:dyDescent="0.2">
      <c r="A244" s="709">
        <f t="shared" si="53"/>
        <v>38200</v>
      </c>
      <c r="B244" s="709" t="str">
        <f t="shared" si="50"/>
        <v>3Q04</v>
      </c>
      <c r="C244" s="709" t="str">
        <f t="shared" si="54"/>
        <v>4Q04</v>
      </c>
      <c r="D244" s="710">
        <f t="shared" si="57"/>
        <v>38261</v>
      </c>
      <c r="E244" s="710">
        <f t="shared" si="57"/>
        <v>38201</v>
      </c>
      <c r="F244" s="712">
        <v>1.78</v>
      </c>
      <c r="G244" s="713">
        <f t="shared" si="51"/>
        <v>0.12999999999999998</v>
      </c>
      <c r="H244" s="713">
        <f t="shared" si="52"/>
        <v>0.13999999999999999</v>
      </c>
      <c r="I244" s="697"/>
      <c r="J244" s="697"/>
      <c r="K244" s="697"/>
      <c r="L244" s="697"/>
      <c r="M244" s="697"/>
      <c r="N244" s="697"/>
      <c r="O244" s="697"/>
      <c r="P244" s="697"/>
      <c r="Q244" s="697"/>
      <c r="R244" s="697"/>
      <c r="S244" s="697"/>
      <c r="T244" s="697"/>
      <c r="U244" s="697"/>
      <c r="V244" s="697"/>
      <c r="W244" s="697"/>
      <c r="X244" s="697"/>
      <c r="Y244" s="697"/>
      <c r="Z244" s="697"/>
      <c r="AA244" s="697"/>
      <c r="AB244" s="697"/>
      <c r="AC244" s="697"/>
      <c r="AD244" s="697"/>
      <c r="AE244" s="697"/>
      <c r="AF244" s="697"/>
      <c r="AG244" s="697"/>
      <c r="AH244" s="697"/>
      <c r="AI244" s="697"/>
      <c r="AJ244" s="697"/>
      <c r="AK244" s="697"/>
      <c r="AL244" s="697"/>
      <c r="AM244" s="697"/>
      <c r="AN244" s="697"/>
      <c r="AO244" s="697"/>
      <c r="AP244" s="697"/>
      <c r="AQ244" s="697"/>
      <c r="AR244" s="697"/>
      <c r="AS244" s="697"/>
      <c r="AT244" s="697"/>
      <c r="AU244" s="697"/>
      <c r="AV244" s="697"/>
      <c r="AW244" s="697"/>
      <c r="AX244" s="697"/>
      <c r="AY244" s="697"/>
      <c r="AZ244" s="697"/>
      <c r="BA244" s="697"/>
      <c r="BB244" s="697"/>
      <c r="BC244" s="697"/>
      <c r="BD244" s="697"/>
      <c r="BE244" s="697"/>
      <c r="BF244" s="697"/>
      <c r="BG244" s="697"/>
      <c r="BH244" s="697"/>
      <c r="BI244" s="697"/>
      <c r="BJ244" s="697"/>
      <c r="BK244" s="697"/>
      <c r="BL244" s="697"/>
      <c r="BM244" s="697"/>
      <c r="BN244" s="697"/>
      <c r="BO244" s="697"/>
      <c r="BP244" s="697"/>
      <c r="BQ244" s="697"/>
      <c r="BR244" s="697"/>
      <c r="BS244" s="697"/>
      <c r="BT244" s="697"/>
      <c r="BU244" s="697"/>
      <c r="BV244" s="697"/>
      <c r="BW244" s="697"/>
      <c r="BX244" s="697"/>
      <c r="BY244" s="697"/>
      <c r="BZ244" s="697"/>
      <c r="CA244" s="697"/>
      <c r="CB244" s="697"/>
      <c r="CC244" s="697"/>
      <c r="CD244" s="697"/>
      <c r="CE244" s="697"/>
      <c r="CF244" s="697"/>
      <c r="CG244" s="697"/>
      <c r="CH244" s="697"/>
      <c r="CI244" s="697"/>
      <c r="CJ244" s="697"/>
      <c r="CK244" s="697"/>
      <c r="CL244" s="697"/>
      <c r="CM244" s="697"/>
      <c r="CN244" s="697"/>
      <c r="CO244" s="697"/>
      <c r="CP244" s="697"/>
      <c r="CQ244" s="697"/>
      <c r="CR244" s="697"/>
      <c r="CS244" s="697"/>
      <c r="CT244" s="697"/>
      <c r="CU244" s="697"/>
      <c r="CV244" s="697"/>
      <c r="CW244" s="697"/>
      <c r="CX244" s="697"/>
      <c r="CY244" s="697"/>
      <c r="CZ244" s="697"/>
      <c r="DA244" s="697"/>
    </row>
    <row r="245" spans="1:105" hidden="1" outlineLevel="1" x14ac:dyDescent="0.2">
      <c r="A245" s="709">
        <f t="shared" si="53"/>
        <v>38200</v>
      </c>
      <c r="B245" s="709" t="str">
        <f t="shared" si="50"/>
        <v>3Q04</v>
      </c>
      <c r="C245" s="709" t="str">
        <f t="shared" si="54"/>
        <v>4Q04</v>
      </c>
      <c r="D245" s="710">
        <f t="shared" ref="D245:E260" si="58">D244+7</f>
        <v>38268</v>
      </c>
      <c r="E245" s="710">
        <f t="shared" si="58"/>
        <v>38208</v>
      </c>
      <c r="F245" s="712">
        <v>1.8140000000000001</v>
      </c>
      <c r="G245" s="713">
        <f t="shared" si="51"/>
        <v>0.13999999999999999</v>
      </c>
      <c r="H245" s="713">
        <f t="shared" si="52"/>
        <v>0.13999999999999999</v>
      </c>
      <c r="I245" s="697"/>
      <c r="J245" s="697"/>
      <c r="K245" s="697"/>
      <c r="L245" s="697"/>
      <c r="M245" s="697"/>
      <c r="N245" s="697"/>
      <c r="O245" s="697"/>
      <c r="P245" s="697"/>
      <c r="Q245" s="697"/>
      <c r="R245" s="697"/>
      <c r="S245" s="697"/>
      <c r="T245" s="697"/>
      <c r="U245" s="697"/>
      <c r="V245" s="697"/>
      <c r="W245" s="697"/>
      <c r="X245" s="697"/>
      <c r="Y245" s="697"/>
      <c r="Z245" s="697"/>
      <c r="AA245" s="697"/>
      <c r="AB245" s="697"/>
      <c r="AC245" s="697"/>
      <c r="AD245" s="697"/>
      <c r="AE245" s="697"/>
      <c r="AF245" s="697"/>
      <c r="AG245" s="697"/>
      <c r="AH245" s="697"/>
      <c r="AI245" s="697"/>
      <c r="AJ245" s="697"/>
      <c r="AK245" s="697"/>
      <c r="AL245" s="697"/>
      <c r="AM245" s="697"/>
      <c r="AN245" s="697"/>
      <c r="AO245" s="697"/>
      <c r="AP245" s="697"/>
      <c r="AQ245" s="697"/>
      <c r="AR245" s="697"/>
      <c r="AS245" s="697"/>
      <c r="AT245" s="697"/>
      <c r="AU245" s="697"/>
      <c r="AV245" s="697"/>
      <c r="AW245" s="697"/>
      <c r="AX245" s="697"/>
      <c r="AY245" s="697"/>
      <c r="AZ245" s="697"/>
      <c r="BA245" s="697"/>
      <c r="BB245" s="697"/>
      <c r="BC245" s="697"/>
      <c r="BD245" s="697"/>
      <c r="BE245" s="697"/>
      <c r="BF245" s="697"/>
      <c r="BG245" s="697"/>
      <c r="BH245" s="697"/>
      <c r="BI245" s="697"/>
      <c r="BJ245" s="697"/>
      <c r="BK245" s="697"/>
      <c r="BL245" s="697"/>
      <c r="BM245" s="697"/>
      <c r="BN245" s="697"/>
      <c r="BO245" s="697"/>
      <c r="BP245" s="697"/>
      <c r="BQ245" s="697"/>
      <c r="BR245" s="697"/>
      <c r="BS245" s="697"/>
      <c r="BT245" s="697"/>
      <c r="BU245" s="697"/>
      <c r="BV245" s="697"/>
      <c r="BW245" s="697"/>
      <c r="BX245" s="697"/>
      <c r="BY245" s="697"/>
      <c r="BZ245" s="697"/>
      <c r="CA245" s="697"/>
      <c r="CB245" s="697"/>
      <c r="CC245" s="697"/>
      <c r="CD245" s="697"/>
      <c r="CE245" s="697"/>
      <c r="CF245" s="697"/>
      <c r="CG245" s="697"/>
      <c r="CH245" s="697"/>
      <c r="CI245" s="697"/>
      <c r="CJ245" s="697"/>
      <c r="CK245" s="697"/>
      <c r="CL245" s="697"/>
      <c r="CM245" s="697"/>
      <c r="CN245" s="697"/>
      <c r="CO245" s="697"/>
      <c r="CP245" s="697"/>
      <c r="CQ245" s="697"/>
      <c r="CR245" s="697"/>
      <c r="CS245" s="697"/>
      <c r="CT245" s="697"/>
      <c r="CU245" s="697"/>
      <c r="CV245" s="697"/>
      <c r="CW245" s="697"/>
      <c r="CX245" s="697"/>
      <c r="CY245" s="697"/>
      <c r="CZ245" s="697"/>
      <c r="DA245" s="697"/>
    </row>
    <row r="246" spans="1:105" hidden="1" outlineLevel="1" x14ac:dyDescent="0.2">
      <c r="A246" s="709">
        <f t="shared" si="53"/>
        <v>38200</v>
      </c>
      <c r="B246" s="709" t="str">
        <f t="shared" si="50"/>
        <v>3Q04</v>
      </c>
      <c r="C246" s="709" t="str">
        <f t="shared" si="54"/>
        <v>4Q04</v>
      </c>
      <c r="D246" s="710">
        <f t="shared" si="58"/>
        <v>38275</v>
      </c>
      <c r="E246" s="710">
        <f t="shared" si="58"/>
        <v>38215</v>
      </c>
      <c r="F246" s="712">
        <v>1.825</v>
      </c>
      <c r="G246" s="713">
        <f t="shared" si="51"/>
        <v>0.13999999999999999</v>
      </c>
      <c r="H246" s="713">
        <f t="shared" si="52"/>
        <v>0.15</v>
      </c>
      <c r="I246" s="697"/>
      <c r="J246" s="697"/>
      <c r="K246" s="697"/>
      <c r="L246" s="697"/>
      <c r="M246" s="697"/>
      <c r="N246" s="697"/>
      <c r="O246" s="697"/>
      <c r="P246" s="697"/>
      <c r="Q246" s="697"/>
      <c r="R246" s="697"/>
      <c r="S246" s="697"/>
      <c r="T246" s="697"/>
      <c r="U246" s="697"/>
      <c r="V246" s="697"/>
      <c r="W246" s="697"/>
      <c r="X246" s="697"/>
      <c r="Y246" s="697"/>
      <c r="Z246" s="697"/>
      <c r="AA246" s="697"/>
      <c r="AB246" s="697"/>
      <c r="AC246" s="697"/>
      <c r="AD246" s="697"/>
      <c r="AE246" s="697"/>
      <c r="AF246" s="697"/>
      <c r="AG246" s="697"/>
      <c r="AH246" s="697"/>
      <c r="AI246" s="697"/>
      <c r="AJ246" s="697"/>
      <c r="AK246" s="697"/>
      <c r="AL246" s="697"/>
      <c r="AM246" s="697"/>
      <c r="AN246" s="697"/>
      <c r="AO246" s="697"/>
      <c r="AP246" s="697"/>
      <c r="AQ246" s="697"/>
      <c r="AR246" s="697"/>
      <c r="AS246" s="697"/>
      <c r="AT246" s="697"/>
      <c r="AU246" s="697"/>
      <c r="AV246" s="697"/>
      <c r="AW246" s="697"/>
      <c r="AX246" s="697"/>
      <c r="AY246" s="697"/>
      <c r="AZ246" s="697"/>
      <c r="BA246" s="697"/>
      <c r="BB246" s="697"/>
      <c r="BC246" s="697"/>
      <c r="BD246" s="697"/>
      <c r="BE246" s="697"/>
      <c r="BF246" s="697"/>
      <c r="BG246" s="697"/>
      <c r="BH246" s="697"/>
      <c r="BI246" s="697"/>
      <c r="BJ246" s="697"/>
      <c r="BK246" s="697"/>
      <c r="BL246" s="697"/>
      <c r="BM246" s="697"/>
      <c r="BN246" s="697"/>
      <c r="BO246" s="697"/>
      <c r="BP246" s="697"/>
      <c r="BQ246" s="697"/>
      <c r="BR246" s="697"/>
      <c r="BS246" s="697"/>
      <c r="BT246" s="697"/>
      <c r="BU246" s="697"/>
      <c r="BV246" s="697"/>
      <c r="BW246" s="697"/>
      <c r="BX246" s="697"/>
      <c r="BY246" s="697"/>
      <c r="BZ246" s="697"/>
      <c r="CA246" s="697"/>
      <c r="CB246" s="697"/>
      <c r="CC246" s="697"/>
      <c r="CD246" s="697"/>
      <c r="CE246" s="697"/>
      <c r="CF246" s="697"/>
      <c r="CG246" s="697"/>
      <c r="CH246" s="697"/>
      <c r="CI246" s="697"/>
      <c r="CJ246" s="697"/>
      <c r="CK246" s="697"/>
      <c r="CL246" s="697"/>
      <c r="CM246" s="697"/>
      <c r="CN246" s="697"/>
      <c r="CO246" s="697"/>
      <c r="CP246" s="697"/>
      <c r="CQ246" s="697"/>
      <c r="CR246" s="697"/>
      <c r="CS246" s="697"/>
      <c r="CT246" s="697"/>
      <c r="CU246" s="697"/>
      <c r="CV246" s="697"/>
      <c r="CW246" s="697"/>
      <c r="CX246" s="697"/>
      <c r="CY246" s="697"/>
      <c r="CZ246" s="697"/>
      <c r="DA246" s="697"/>
    </row>
    <row r="247" spans="1:105" hidden="1" outlineLevel="1" x14ac:dyDescent="0.2">
      <c r="A247" s="709">
        <f t="shared" si="53"/>
        <v>38200</v>
      </c>
      <c r="B247" s="709" t="str">
        <f t="shared" si="50"/>
        <v>3Q04</v>
      </c>
      <c r="C247" s="709" t="str">
        <f t="shared" si="54"/>
        <v>4Q04</v>
      </c>
      <c r="D247" s="710">
        <f t="shared" si="58"/>
        <v>38282</v>
      </c>
      <c r="E247" s="710">
        <f t="shared" si="58"/>
        <v>38222</v>
      </c>
      <c r="F247" s="712">
        <v>1.8740000000000001</v>
      </c>
      <c r="G247" s="713">
        <f t="shared" si="51"/>
        <v>0.15</v>
      </c>
      <c r="H247" s="713">
        <f t="shared" si="52"/>
        <v>0.15</v>
      </c>
      <c r="I247" s="697"/>
      <c r="J247" s="697"/>
      <c r="K247" s="697"/>
      <c r="L247" s="697"/>
      <c r="M247" s="697"/>
      <c r="N247" s="697"/>
      <c r="O247" s="697"/>
      <c r="P247" s="697"/>
      <c r="Q247" s="697"/>
      <c r="R247" s="697"/>
      <c r="S247" s="697"/>
      <c r="T247" s="697"/>
      <c r="U247" s="697"/>
      <c r="V247" s="697"/>
      <c r="W247" s="697"/>
      <c r="X247" s="697"/>
      <c r="Y247" s="697"/>
      <c r="Z247" s="697"/>
      <c r="AA247" s="697"/>
      <c r="AB247" s="697"/>
      <c r="AC247" s="697"/>
      <c r="AD247" s="697"/>
      <c r="AE247" s="697"/>
      <c r="AF247" s="697"/>
      <c r="AG247" s="697"/>
      <c r="AH247" s="697"/>
      <c r="AI247" s="697"/>
      <c r="AJ247" s="697"/>
      <c r="AK247" s="697"/>
      <c r="AL247" s="697"/>
      <c r="AM247" s="697"/>
      <c r="AN247" s="697"/>
      <c r="AO247" s="697"/>
      <c r="AP247" s="697"/>
      <c r="AQ247" s="697"/>
      <c r="AR247" s="697"/>
      <c r="AS247" s="697"/>
      <c r="AT247" s="697"/>
      <c r="AU247" s="697"/>
      <c r="AV247" s="697"/>
      <c r="AW247" s="697"/>
      <c r="AX247" s="697"/>
      <c r="AY247" s="697"/>
      <c r="AZ247" s="697"/>
      <c r="BA247" s="697"/>
      <c r="BB247" s="697"/>
      <c r="BC247" s="697"/>
      <c r="BD247" s="697"/>
      <c r="BE247" s="697"/>
      <c r="BF247" s="697"/>
      <c r="BG247" s="697"/>
      <c r="BH247" s="697"/>
      <c r="BI247" s="697"/>
      <c r="BJ247" s="697"/>
      <c r="BK247" s="697"/>
      <c r="BL247" s="697"/>
      <c r="BM247" s="697"/>
      <c r="BN247" s="697"/>
      <c r="BO247" s="697"/>
      <c r="BP247" s="697"/>
      <c r="BQ247" s="697"/>
      <c r="BR247" s="697"/>
      <c r="BS247" s="697"/>
      <c r="BT247" s="697"/>
      <c r="BU247" s="697"/>
      <c r="BV247" s="697"/>
      <c r="BW247" s="697"/>
      <c r="BX247" s="697"/>
      <c r="BY247" s="697"/>
      <c r="BZ247" s="697"/>
      <c r="CA247" s="697"/>
      <c r="CB247" s="697"/>
      <c r="CC247" s="697"/>
      <c r="CD247" s="697"/>
      <c r="CE247" s="697"/>
      <c r="CF247" s="697"/>
      <c r="CG247" s="697"/>
      <c r="CH247" s="697"/>
      <c r="CI247" s="697"/>
      <c r="CJ247" s="697"/>
      <c r="CK247" s="697"/>
      <c r="CL247" s="697"/>
      <c r="CM247" s="697"/>
      <c r="CN247" s="697"/>
      <c r="CO247" s="697"/>
      <c r="CP247" s="697"/>
      <c r="CQ247" s="697"/>
      <c r="CR247" s="697"/>
      <c r="CS247" s="697"/>
      <c r="CT247" s="697"/>
      <c r="CU247" s="697"/>
      <c r="CV247" s="697"/>
      <c r="CW247" s="697"/>
      <c r="CX247" s="697"/>
      <c r="CY247" s="697"/>
      <c r="CZ247" s="697"/>
      <c r="DA247" s="697"/>
    </row>
    <row r="248" spans="1:105" hidden="1" outlineLevel="1" x14ac:dyDescent="0.2">
      <c r="A248" s="709">
        <f t="shared" si="53"/>
        <v>38200</v>
      </c>
      <c r="B248" s="709" t="str">
        <f t="shared" si="50"/>
        <v>3Q04</v>
      </c>
      <c r="C248" s="709" t="str">
        <f t="shared" si="54"/>
        <v>4Q04</v>
      </c>
      <c r="D248" s="710">
        <f t="shared" si="58"/>
        <v>38289</v>
      </c>
      <c r="E248" s="710">
        <f t="shared" si="58"/>
        <v>38229</v>
      </c>
      <c r="F248" s="712">
        <v>1.871</v>
      </c>
      <c r="G248" s="713">
        <f t="shared" si="51"/>
        <v>0.15</v>
      </c>
      <c r="H248" s="713">
        <f t="shared" si="52"/>
        <v>0.15</v>
      </c>
      <c r="I248" s="697"/>
      <c r="J248" s="697"/>
      <c r="K248" s="697"/>
      <c r="L248" s="697"/>
      <c r="M248" s="697"/>
      <c r="N248" s="697"/>
      <c r="O248" s="697"/>
      <c r="P248" s="697"/>
      <c r="Q248" s="697"/>
      <c r="R248" s="697"/>
      <c r="S248" s="697"/>
      <c r="T248" s="697"/>
      <c r="U248" s="697"/>
      <c r="V248" s="697"/>
      <c r="W248" s="697"/>
      <c r="X248" s="697"/>
      <c r="Y248" s="697"/>
      <c r="Z248" s="697"/>
      <c r="AA248" s="697"/>
      <c r="AB248" s="697"/>
      <c r="AC248" s="697"/>
      <c r="AD248" s="697"/>
      <c r="AE248" s="697"/>
      <c r="AF248" s="697"/>
      <c r="AG248" s="697"/>
      <c r="AH248" s="697"/>
      <c r="AI248" s="697"/>
      <c r="AJ248" s="697"/>
      <c r="AK248" s="697"/>
      <c r="AL248" s="697"/>
      <c r="AM248" s="697"/>
      <c r="AN248" s="697"/>
      <c r="AO248" s="697"/>
      <c r="AP248" s="697"/>
      <c r="AQ248" s="697"/>
      <c r="AR248" s="697"/>
      <c r="AS248" s="697"/>
      <c r="AT248" s="697"/>
      <c r="AU248" s="697"/>
      <c r="AV248" s="697"/>
      <c r="AW248" s="697"/>
      <c r="AX248" s="697"/>
      <c r="AY248" s="697"/>
      <c r="AZ248" s="697"/>
      <c r="BA248" s="697"/>
      <c r="BB248" s="697"/>
      <c r="BC248" s="697"/>
      <c r="BD248" s="697"/>
      <c r="BE248" s="697"/>
      <c r="BF248" s="697"/>
      <c r="BG248" s="697"/>
      <c r="BH248" s="697"/>
      <c r="BI248" s="697"/>
      <c r="BJ248" s="697"/>
      <c r="BK248" s="697"/>
      <c r="BL248" s="697"/>
      <c r="BM248" s="697"/>
      <c r="BN248" s="697"/>
      <c r="BO248" s="697"/>
      <c r="BP248" s="697"/>
      <c r="BQ248" s="697"/>
      <c r="BR248" s="697"/>
      <c r="BS248" s="697"/>
      <c r="BT248" s="697"/>
      <c r="BU248" s="697"/>
      <c r="BV248" s="697"/>
      <c r="BW248" s="697"/>
      <c r="BX248" s="697"/>
      <c r="BY248" s="697"/>
      <c r="BZ248" s="697"/>
      <c r="CA248" s="697"/>
      <c r="CB248" s="697"/>
      <c r="CC248" s="697"/>
      <c r="CD248" s="697"/>
      <c r="CE248" s="697"/>
      <c r="CF248" s="697"/>
      <c r="CG248" s="697"/>
      <c r="CH248" s="697"/>
      <c r="CI248" s="697"/>
      <c r="CJ248" s="697"/>
      <c r="CK248" s="697"/>
      <c r="CL248" s="697"/>
      <c r="CM248" s="697"/>
      <c r="CN248" s="697"/>
      <c r="CO248" s="697"/>
      <c r="CP248" s="697"/>
      <c r="CQ248" s="697"/>
      <c r="CR248" s="697"/>
      <c r="CS248" s="697"/>
      <c r="CT248" s="697"/>
      <c r="CU248" s="697"/>
      <c r="CV248" s="697"/>
      <c r="CW248" s="697"/>
      <c r="CX248" s="697"/>
      <c r="CY248" s="697"/>
      <c r="CZ248" s="697"/>
      <c r="DA248" s="697"/>
    </row>
    <row r="249" spans="1:105" hidden="1" outlineLevel="1" x14ac:dyDescent="0.2">
      <c r="A249" s="709">
        <f t="shared" si="53"/>
        <v>38231</v>
      </c>
      <c r="B249" s="709" t="str">
        <f t="shared" si="50"/>
        <v>3Q04</v>
      </c>
      <c r="C249" s="709" t="str">
        <f t="shared" si="54"/>
        <v>4Q04</v>
      </c>
      <c r="D249" s="710">
        <f t="shared" si="58"/>
        <v>38296</v>
      </c>
      <c r="E249" s="710">
        <f t="shared" si="58"/>
        <v>38236</v>
      </c>
      <c r="F249" s="712">
        <v>1.869</v>
      </c>
      <c r="G249" s="713">
        <f t="shared" si="51"/>
        <v>0.15</v>
      </c>
      <c r="H249" s="713">
        <f t="shared" si="52"/>
        <v>0.15</v>
      </c>
      <c r="I249" s="697"/>
      <c r="J249" s="697"/>
      <c r="K249" s="697"/>
      <c r="L249" s="697"/>
      <c r="M249" s="697"/>
      <c r="N249" s="697"/>
      <c r="O249" s="697"/>
      <c r="P249" s="697"/>
      <c r="Q249" s="697"/>
      <c r="R249" s="697"/>
      <c r="S249" s="697"/>
      <c r="T249" s="697"/>
      <c r="U249" s="697"/>
      <c r="V249" s="697"/>
      <c r="W249" s="697"/>
      <c r="X249" s="697"/>
      <c r="Y249" s="697"/>
      <c r="Z249" s="697"/>
      <c r="AA249" s="697"/>
      <c r="AB249" s="697"/>
      <c r="AC249" s="697"/>
      <c r="AD249" s="697"/>
      <c r="AE249" s="697"/>
      <c r="AF249" s="697"/>
      <c r="AG249" s="697"/>
      <c r="AH249" s="697"/>
      <c r="AI249" s="697"/>
      <c r="AJ249" s="697"/>
      <c r="AK249" s="697"/>
      <c r="AL249" s="697"/>
      <c r="AM249" s="697"/>
      <c r="AN249" s="697"/>
      <c r="AO249" s="697"/>
      <c r="AP249" s="697"/>
      <c r="AQ249" s="697"/>
      <c r="AR249" s="697"/>
      <c r="AS249" s="697"/>
      <c r="AT249" s="697"/>
      <c r="AU249" s="697"/>
      <c r="AV249" s="697"/>
      <c r="AW249" s="697"/>
      <c r="AX249" s="697"/>
      <c r="AY249" s="697"/>
      <c r="AZ249" s="697"/>
      <c r="BA249" s="697"/>
      <c r="BB249" s="697"/>
      <c r="BC249" s="697"/>
      <c r="BD249" s="697"/>
      <c r="BE249" s="697"/>
      <c r="BF249" s="697"/>
      <c r="BG249" s="697"/>
      <c r="BH249" s="697"/>
      <c r="BI249" s="697"/>
      <c r="BJ249" s="697"/>
      <c r="BK249" s="697"/>
      <c r="BL249" s="697"/>
      <c r="BM249" s="697"/>
      <c r="BN249" s="697"/>
      <c r="BO249" s="697"/>
      <c r="BP249" s="697"/>
      <c r="BQ249" s="697"/>
      <c r="BR249" s="697"/>
      <c r="BS249" s="697"/>
      <c r="BT249" s="697"/>
      <c r="BU249" s="697"/>
      <c r="BV249" s="697"/>
      <c r="BW249" s="697"/>
      <c r="BX249" s="697"/>
      <c r="BY249" s="697"/>
      <c r="BZ249" s="697"/>
      <c r="CA249" s="697"/>
      <c r="CB249" s="697"/>
      <c r="CC249" s="697"/>
      <c r="CD249" s="697"/>
      <c r="CE249" s="697"/>
      <c r="CF249" s="697"/>
      <c r="CG249" s="697"/>
      <c r="CH249" s="697"/>
      <c r="CI249" s="697"/>
      <c r="CJ249" s="697"/>
      <c r="CK249" s="697"/>
      <c r="CL249" s="697"/>
      <c r="CM249" s="697"/>
      <c r="CN249" s="697"/>
      <c r="CO249" s="697"/>
      <c r="CP249" s="697"/>
      <c r="CQ249" s="697"/>
      <c r="CR249" s="697"/>
      <c r="CS249" s="697"/>
      <c r="CT249" s="697"/>
      <c r="CU249" s="697"/>
      <c r="CV249" s="697"/>
      <c r="CW249" s="697"/>
      <c r="CX249" s="697"/>
      <c r="CY249" s="697"/>
      <c r="CZ249" s="697"/>
      <c r="DA249" s="697"/>
    </row>
    <row r="250" spans="1:105" hidden="1" outlineLevel="1" x14ac:dyDescent="0.2">
      <c r="A250" s="709">
        <f t="shared" si="53"/>
        <v>38231</v>
      </c>
      <c r="B250" s="709" t="str">
        <f t="shared" si="50"/>
        <v>3Q04</v>
      </c>
      <c r="C250" s="709" t="str">
        <f t="shared" si="54"/>
        <v>4Q04</v>
      </c>
      <c r="D250" s="710">
        <f t="shared" si="58"/>
        <v>38303</v>
      </c>
      <c r="E250" s="710">
        <f t="shared" si="58"/>
        <v>38243</v>
      </c>
      <c r="F250" s="712">
        <v>1.8740000000000001</v>
      </c>
      <c r="G250" s="713">
        <f t="shared" si="51"/>
        <v>0.15</v>
      </c>
      <c r="H250" s="713">
        <f t="shared" si="52"/>
        <v>0.16</v>
      </c>
      <c r="I250" s="697"/>
      <c r="J250" s="697"/>
      <c r="K250" s="697"/>
      <c r="L250" s="697"/>
      <c r="M250" s="697"/>
      <c r="N250" s="697"/>
      <c r="O250" s="697"/>
      <c r="P250" s="697"/>
      <c r="Q250" s="697"/>
      <c r="R250" s="697"/>
      <c r="S250" s="697"/>
      <c r="T250" s="697"/>
      <c r="U250" s="697"/>
      <c r="V250" s="697"/>
      <c r="W250" s="697"/>
      <c r="X250" s="697"/>
      <c r="Y250" s="697"/>
      <c r="Z250" s="697"/>
      <c r="AA250" s="697"/>
      <c r="AB250" s="697"/>
      <c r="AC250" s="697"/>
      <c r="AD250" s="697"/>
      <c r="AE250" s="697"/>
      <c r="AF250" s="697"/>
      <c r="AG250" s="697"/>
      <c r="AH250" s="697"/>
      <c r="AI250" s="697"/>
      <c r="AJ250" s="697"/>
      <c r="AK250" s="697"/>
      <c r="AL250" s="697"/>
      <c r="AM250" s="697"/>
      <c r="AN250" s="697"/>
      <c r="AO250" s="697"/>
      <c r="AP250" s="697"/>
      <c r="AQ250" s="697"/>
      <c r="AR250" s="697"/>
      <c r="AS250" s="697"/>
      <c r="AT250" s="697"/>
      <c r="AU250" s="697"/>
      <c r="AV250" s="697"/>
      <c r="AW250" s="697"/>
      <c r="AX250" s="697"/>
      <c r="AY250" s="697"/>
      <c r="AZ250" s="697"/>
      <c r="BA250" s="697"/>
      <c r="BB250" s="697"/>
      <c r="BC250" s="697"/>
      <c r="BD250" s="697"/>
      <c r="BE250" s="697"/>
      <c r="BF250" s="697"/>
      <c r="BG250" s="697"/>
      <c r="BH250" s="697"/>
      <c r="BI250" s="697"/>
      <c r="BJ250" s="697"/>
      <c r="BK250" s="697"/>
      <c r="BL250" s="697"/>
      <c r="BM250" s="697"/>
      <c r="BN250" s="697"/>
      <c r="BO250" s="697"/>
      <c r="BP250" s="697"/>
      <c r="BQ250" s="697"/>
      <c r="BR250" s="697"/>
      <c r="BS250" s="697"/>
      <c r="BT250" s="697"/>
      <c r="BU250" s="697"/>
      <c r="BV250" s="697"/>
      <c r="BW250" s="697"/>
      <c r="BX250" s="697"/>
      <c r="BY250" s="697"/>
      <c r="BZ250" s="697"/>
      <c r="CA250" s="697"/>
      <c r="CB250" s="697"/>
      <c r="CC250" s="697"/>
      <c r="CD250" s="697"/>
      <c r="CE250" s="697"/>
      <c r="CF250" s="697"/>
      <c r="CG250" s="697"/>
      <c r="CH250" s="697"/>
      <c r="CI250" s="697"/>
      <c r="CJ250" s="697"/>
      <c r="CK250" s="697"/>
      <c r="CL250" s="697"/>
      <c r="CM250" s="697"/>
      <c r="CN250" s="697"/>
      <c r="CO250" s="697"/>
      <c r="CP250" s="697"/>
      <c r="CQ250" s="697"/>
      <c r="CR250" s="697"/>
      <c r="CS250" s="697"/>
      <c r="CT250" s="697"/>
      <c r="CU250" s="697"/>
      <c r="CV250" s="697"/>
      <c r="CW250" s="697"/>
      <c r="CX250" s="697"/>
      <c r="CY250" s="697"/>
      <c r="CZ250" s="697"/>
      <c r="DA250" s="697"/>
    </row>
    <row r="251" spans="1:105" hidden="1" outlineLevel="1" x14ac:dyDescent="0.2">
      <c r="A251" s="709">
        <f t="shared" si="53"/>
        <v>38231</v>
      </c>
      <c r="B251" s="709" t="str">
        <f t="shared" si="50"/>
        <v>3Q04</v>
      </c>
      <c r="C251" s="709" t="str">
        <f t="shared" si="54"/>
        <v>4Q04</v>
      </c>
      <c r="D251" s="710">
        <f t="shared" si="58"/>
        <v>38310</v>
      </c>
      <c r="E251" s="710">
        <f t="shared" si="58"/>
        <v>38250</v>
      </c>
      <c r="F251" s="712">
        <v>1.9119999999999999</v>
      </c>
      <c r="G251" s="713">
        <f t="shared" si="51"/>
        <v>0.16</v>
      </c>
      <c r="H251" s="713">
        <f t="shared" si="52"/>
        <v>0.18000000000000002</v>
      </c>
      <c r="I251" s="697"/>
      <c r="J251" s="697"/>
      <c r="K251" s="697"/>
      <c r="L251" s="697"/>
      <c r="M251" s="697"/>
      <c r="N251" s="697"/>
      <c r="O251" s="697"/>
      <c r="P251" s="697"/>
      <c r="Q251" s="697"/>
      <c r="R251" s="697"/>
      <c r="S251" s="697"/>
      <c r="T251" s="697"/>
      <c r="U251" s="697"/>
      <c r="V251" s="697"/>
      <c r="W251" s="697"/>
      <c r="X251" s="697"/>
      <c r="Y251" s="697"/>
      <c r="Z251" s="697"/>
      <c r="AA251" s="697"/>
      <c r="AB251" s="697"/>
      <c r="AC251" s="697"/>
      <c r="AD251" s="697"/>
      <c r="AE251" s="697"/>
      <c r="AF251" s="697"/>
      <c r="AG251" s="697"/>
      <c r="AH251" s="697"/>
      <c r="AI251" s="697"/>
      <c r="AJ251" s="697"/>
      <c r="AK251" s="697"/>
      <c r="AL251" s="697"/>
      <c r="AM251" s="697"/>
      <c r="AN251" s="697"/>
      <c r="AO251" s="697"/>
      <c r="AP251" s="697"/>
      <c r="AQ251" s="697"/>
      <c r="AR251" s="697"/>
      <c r="AS251" s="697"/>
      <c r="AT251" s="697"/>
      <c r="AU251" s="697"/>
      <c r="AV251" s="697"/>
      <c r="AW251" s="697"/>
      <c r="AX251" s="697"/>
      <c r="AY251" s="697"/>
      <c r="AZ251" s="697"/>
      <c r="BA251" s="697"/>
      <c r="BB251" s="697"/>
      <c r="BC251" s="697"/>
      <c r="BD251" s="697"/>
      <c r="BE251" s="697"/>
      <c r="BF251" s="697"/>
      <c r="BG251" s="697"/>
      <c r="BH251" s="697"/>
      <c r="BI251" s="697"/>
      <c r="BJ251" s="697"/>
      <c r="BK251" s="697"/>
      <c r="BL251" s="697"/>
      <c r="BM251" s="697"/>
      <c r="BN251" s="697"/>
      <c r="BO251" s="697"/>
      <c r="BP251" s="697"/>
      <c r="BQ251" s="697"/>
      <c r="BR251" s="697"/>
      <c r="BS251" s="697"/>
      <c r="BT251" s="697"/>
      <c r="BU251" s="697"/>
      <c r="BV251" s="697"/>
      <c r="BW251" s="697"/>
      <c r="BX251" s="697"/>
      <c r="BY251" s="697"/>
      <c r="BZ251" s="697"/>
      <c r="CA251" s="697"/>
      <c r="CB251" s="697"/>
      <c r="CC251" s="697"/>
      <c r="CD251" s="697"/>
      <c r="CE251" s="697"/>
      <c r="CF251" s="697"/>
      <c r="CG251" s="697"/>
      <c r="CH251" s="697"/>
      <c r="CI251" s="697"/>
      <c r="CJ251" s="697"/>
      <c r="CK251" s="697"/>
      <c r="CL251" s="697"/>
      <c r="CM251" s="697"/>
      <c r="CN251" s="697"/>
      <c r="CO251" s="697"/>
      <c r="CP251" s="697"/>
      <c r="CQ251" s="697"/>
      <c r="CR251" s="697"/>
      <c r="CS251" s="697"/>
      <c r="CT251" s="697"/>
      <c r="CU251" s="697"/>
      <c r="CV251" s="697"/>
      <c r="CW251" s="697"/>
      <c r="CX251" s="697"/>
      <c r="CY251" s="697"/>
      <c r="CZ251" s="697"/>
      <c r="DA251" s="697"/>
    </row>
    <row r="252" spans="1:105" hidden="1" outlineLevel="1" x14ac:dyDescent="0.2">
      <c r="A252" s="709">
        <f t="shared" si="53"/>
        <v>38231</v>
      </c>
      <c r="B252" s="709" t="str">
        <f t="shared" si="50"/>
        <v>3Q04</v>
      </c>
      <c r="C252" s="709" t="str">
        <f t="shared" si="54"/>
        <v>4Q04</v>
      </c>
      <c r="D252" s="710">
        <f t="shared" si="58"/>
        <v>38317</v>
      </c>
      <c r="E252" s="710">
        <f t="shared" si="58"/>
        <v>38257</v>
      </c>
      <c r="F252" s="712">
        <v>2.012</v>
      </c>
      <c r="G252" s="713">
        <f t="shared" si="51"/>
        <v>0.18000000000000002</v>
      </c>
      <c r="H252" s="713">
        <f t="shared" si="52"/>
        <v>0.19000000000000003</v>
      </c>
      <c r="I252" s="697"/>
      <c r="J252" s="697"/>
      <c r="K252" s="697"/>
      <c r="L252" s="697"/>
      <c r="M252" s="697"/>
      <c r="N252" s="697"/>
      <c r="O252" s="697"/>
      <c r="P252" s="697"/>
      <c r="Q252" s="697"/>
      <c r="R252" s="697"/>
      <c r="S252" s="697"/>
      <c r="T252" s="697"/>
      <c r="U252" s="697"/>
      <c r="V252" s="697"/>
      <c r="W252" s="697"/>
      <c r="X252" s="697"/>
      <c r="Y252" s="697"/>
      <c r="Z252" s="697"/>
      <c r="AA252" s="697"/>
      <c r="AB252" s="697"/>
      <c r="AC252" s="697"/>
      <c r="AD252" s="697"/>
      <c r="AE252" s="697"/>
      <c r="AF252" s="697"/>
      <c r="AG252" s="697"/>
      <c r="AH252" s="697"/>
      <c r="AI252" s="697"/>
      <c r="AJ252" s="697"/>
      <c r="AK252" s="697"/>
      <c r="AL252" s="697"/>
      <c r="AM252" s="697"/>
      <c r="AN252" s="697"/>
      <c r="AO252" s="697"/>
      <c r="AP252" s="697"/>
      <c r="AQ252" s="697"/>
      <c r="AR252" s="697"/>
      <c r="AS252" s="697"/>
      <c r="AT252" s="697"/>
      <c r="AU252" s="697"/>
      <c r="AV252" s="697"/>
      <c r="AW252" s="697"/>
      <c r="AX252" s="697"/>
      <c r="AY252" s="697"/>
      <c r="AZ252" s="697"/>
      <c r="BA252" s="697"/>
      <c r="BB252" s="697"/>
      <c r="BC252" s="697"/>
      <c r="BD252" s="697"/>
      <c r="BE252" s="697"/>
      <c r="BF252" s="697"/>
      <c r="BG252" s="697"/>
      <c r="BH252" s="697"/>
      <c r="BI252" s="697"/>
      <c r="BJ252" s="697"/>
      <c r="BK252" s="697"/>
      <c r="BL252" s="697"/>
      <c r="BM252" s="697"/>
      <c r="BN252" s="697"/>
      <c r="BO252" s="697"/>
      <c r="BP252" s="697"/>
      <c r="BQ252" s="697"/>
      <c r="BR252" s="697"/>
      <c r="BS252" s="697"/>
      <c r="BT252" s="697"/>
      <c r="BU252" s="697"/>
      <c r="BV252" s="697"/>
      <c r="BW252" s="697"/>
      <c r="BX252" s="697"/>
      <c r="BY252" s="697"/>
      <c r="BZ252" s="697"/>
      <c r="CA252" s="697"/>
      <c r="CB252" s="697"/>
      <c r="CC252" s="697"/>
      <c r="CD252" s="697"/>
      <c r="CE252" s="697"/>
      <c r="CF252" s="697"/>
      <c r="CG252" s="697"/>
      <c r="CH252" s="697"/>
      <c r="CI252" s="697"/>
      <c r="CJ252" s="697"/>
      <c r="CK252" s="697"/>
      <c r="CL252" s="697"/>
      <c r="CM252" s="697"/>
      <c r="CN252" s="697"/>
      <c r="CO252" s="697"/>
      <c r="CP252" s="697"/>
      <c r="CQ252" s="697"/>
      <c r="CR252" s="697"/>
      <c r="CS252" s="697"/>
      <c r="CT252" s="697"/>
      <c r="CU252" s="697"/>
      <c r="CV252" s="697"/>
      <c r="CW252" s="697"/>
      <c r="CX252" s="697"/>
      <c r="CY252" s="697"/>
      <c r="CZ252" s="697"/>
      <c r="DA252" s="697"/>
    </row>
    <row r="253" spans="1:105" hidden="1" outlineLevel="1" x14ac:dyDescent="0.2">
      <c r="A253" s="709">
        <f t="shared" si="53"/>
        <v>38261</v>
      </c>
      <c r="B253" s="709" t="str">
        <f t="shared" si="50"/>
        <v>4Q04</v>
      </c>
      <c r="C253" s="709" t="str">
        <f t="shared" si="54"/>
        <v>4Q04</v>
      </c>
      <c r="D253" s="710">
        <f t="shared" si="58"/>
        <v>38324</v>
      </c>
      <c r="E253" s="710">
        <f t="shared" si="58"/>
        <v>38264</v>
      </c>
      <c r="F253" s="712">
        <v>2.0529999999999999</v>
      </c>
      <c r="G253" s="713">
        <f t="shared" si="51"/>
        <v>0.19000000000000003</v>
      </c>
      <c r="H253" s="713">
        <f t="shared" si="52"/>
        <v>0.19000000000000003</v>
      </c>
      <c r="I253" s="697"/>
      <c r="J253" s="697"/>
      <c r="K253" s="697"/>
      <c r="L253" s="697"/>
      <c r="M253" s="697"/>
      <c r="N253" s="697"/>
      <c r="O253" s="697"/>
      <c r="P253" s="697"/>
      <c r="Q253" s="697"/>
      <c r="R253" s="697"/>
      <c r="S253" s="697"/>
      <c r="T253" s="697"/>
      <c r="U253" s="697"/>
      <c r="V253" s="697"/>
      <c r="W253" s="697"/>
      <c r="X253" s="697"/>
      <c r="Y253" s="697"/>
      <c r="Z253" s="697"/>
      <c r="AA253" s="697"/>
      <c r="AB253" s="697"/>
      <c r="AC253" s="697"/>
      <c r="AD253" s="697"/>
      <c r="AE253" s="697"/>
      <c r="AF253" s="697"/>
      <c r="AG253" s="697"/>
      <c r="AH253" s="697"/>
      <c r="AI253" s="697"/>
      <c r="AJ253" s="697"/>
      <c r="AK253" s="697"/>
      <c r="AL253" s="697"/>
      <c r="AM253" s="697"/>
      <c r="AN253" s="697"/>
      <c r="AO253" s="697"/>
      <c r="AP253" s="697"/>
      <c r="AQ253" s="697"/>
      <c r="AR253" s="697"/>
      <c r="AS253" s="697"/>
      <c r="AT253" s="697"/>
      <c r="AU253" s="697"/>
      <c r="AV253" s="697"/>
      <c r="AW253" s="697"/>
      <c r="AX253" s="697"/>
      <c r="AY253" s="697"/>
      <c r="AZ253" s="697"/>
      <c r="BA253" s="697"/>
      <c r="BB253" s="697"/>
      <c r="BC253" s="697"/>
      <c r="BD253" s="697"/>
      <c r="BE253" s="697"/>
      <c r="BF253" s="697"/>
      <c r="BG253" s="697"/>
      <c r="BH253" s="697"/>
      <c r="BI253" s="697"/>
      <c r="BJ253" s="697"/>
      <c r="BK253" s="697"/>
      <c r="BL253" s="697"/>
      <c r="BM253" s="697"/>
      <c r="BN253" s="697"/>
      <c r="BO253" s="697"/>
      <c r="BP253" s="697"/>
      <c r="BQ253" s="697"/>
      <c r="BR253" s="697"/>
      <c r="BS253" s="697"/>
      <c r="BT253" s="697"/>
      <c r="BU253" s="697"/>
      <c r="BV253" s="697"/>
      <c r="BW253" s="697"/>
      <c r="BX253" s="697"/>
      <c r="BY253" s="697"/>
      <c r="BZ253" s="697"/>
      <c r="CA253" s="697"/>
      <c r="CB253" s="697"/>
      <c r="CC253" s="697"/>
      <c r="CD253" s="697"/>
      <c r="CE253" s="697"/>
      <c r="CF253" s="697"/>
      <c r="CG253" s="697"/>
      <c r="CH253" s="697"/>
      <c r="CI253" s="697"/>
      <c r="CJ253" s="697"/>
      <c r="CK253" s="697"/>
      <c r="CL253" s="697"/>
      <c r="CM253" s="697"/>
      <c r="CN253" s="697"/>
      <c r="CO253" s="697"/>
      <c r="CP253" s="697"/>
      <c r="CQ253" s="697"/>
      <c r="CR253" s="697"/>
      <c r="CS253" s="697"/>
      <c r="CT253" s="697"/>
      <c r="CU253" s="697"/>
      <c r="CV253" s="697"/>
      <c r="CW253" s="697"/>
      <c r="CX253" s="697"/>
      <c r="CY253" s="697"/>
      <c r="CZ253" s="697"/>
      <c r="DA253" s="697"/>
    </row>
    <row r="254" spans="1:105" hidden="1" outlineLevel="1" x14ac:dyDescent="0.2">
      <c r="A254" s="709">
        <f t="shared" si="53"/>
        <v>38261</v>
      </c>
      <c r="B254" s="709" t="str">
        <f t="shared" si="50"/>
        <v>4Q04</v>
      </c>
      <c r="C254" s="709" t="str">
        <f t="shared" si="54"/>
        <v>4Q04</v>
      </c>
      <c r="D254" s="710">
        <f t="shared" si="58"/>
        <v>38331</v>
      </c>
      <c r="E254" s="710">
        <f t="shared" si="58"/>
        <v>38271</v>
      </c>
      <c r="F254" s="712">
        <v>2.0920000000000001</v>
      </c>
      <c r="G254" s="713">
        <f t="shared" si="51"/>
        <v>0.19000000000000003</v>
      </c>
      <c r="H254" s="713">
        <f t="shared" si="52"/>
        <v>0.21000000000000005</v>
      </c>
      <c r="I254" s="697"/>
      <c r="J254" s="697"/>
      <c r="K254" s="697"/>
      <c r="L254" s="697"/>
      <c r="M254" s="697"/>
      <c r="N254" s="697"/>
      <c r="O254" s="697"/>
      <c r="P254" s="697"/>
      <c r="Q254" s="697"/>
      <c r="R254" s="697"/>
      <c r="S254" s="697"/>
      <c r="T254" s="697"/>
      <c r="U254" s="697"/>
      <c r="V254" s="697"/>
      <c r="W254" s="697"/>
      <c r="X254" s="697"/>
      <c r="Y254" s="697"/>
      <c r="Z254" s="697"/>
      <c r="AA254" s="697"/>
      <c r="AB254" s="697"/>
      <c r="AC254" s="697"/>
      <c r="AD254" s="697"/>
      <c r="AE254" s="697"/>
      <c r="AF254" s="697"/>
      <c r="AG254" s="697"/>
      <c r="AH254" s="697"/>
      <c r="AI254" s="697"/>
      <c r="AJ254" s="697"/>
      <c r="AK254" s="697"/>
      <c r="AL254" s="697"/>
      <c r="AM254" s="697"/>
      <c r="AN254" s="697"/>
      <c r="AO254" s="697"/>
      <c r="AP254" s="697"/>
      <c r="AQ254" s="697"/>
      <c r="AR254" s="697"/>
      <c r="AS254" s="697"/>
      <c r="AT254" s="697"/>
      <c r="AU254" s="697"/>
      <c r="AV254" s="697"/>
      <c r="AW254" s="697"/>
      <c r="AX254" s="697"/>
      <c r="AY254" s="697"/>
      <c r="AZ254" s="697"/>
      <c r="BA254" s="697"/>
      <c r="BB254" s="697"/>
      <c r="BC254" s="697"/>
      <c r="BD254" s="697"/>
      <c r="BE254" s="697"/>
      <c r="BF254" s="697"/>
      <c r="BG254" s="697"/>
      <c r="BH254" s="697"/>
      <c r="BI254" s="697"/>
      <c r="BJ254" s="697"/>
      <c r="BK254" s="697"/>
      <c r="BL254" s="697"/>
      <c r="BM254" s="697"/>
      <c r="BN254" s="697"/>
      <c r="BO254" s="697"/>
      <c r="BP254" s="697"/>
      <c r="BQ254" s="697"/>
      <c r="BR254" s="697"/>
      <c r="BS254" s="697"/>
      <c r="BT254" s="697"/>
      <c r="BU254" s="697"/>
      <c r="BV254" s="697"/>
      <c r="BW254" s="697"/>
      <c r="BX254" s="697"/>
      <c r="BY254" s="697"/>
      <c r="BZ254" s="697"/>
      <c r="CA254" s="697"/>
      <c r="CB254" s="697"/>
      <c r="CC254" s="697"/>
      <c r="CD254" s="697"/>
      <c r="CE254" s="697"/>
      <c r="CF254" s="697"/>
      <c r="CG254" s="697"/>
      <c r="CH254" s="697"/>
      <c r="CI254" s="697"/>
      <c r="CJ254" s="697"/>
      <c r="CK254" s="697"/>
      <c r="CL254" s="697"/>
      <c r="CM254" s="697"/>
      <c r="CN254" s="697"/>
      <c r="CO254" s="697"/>
      <c r="CP254" s="697"/>
      <c r="CQ254" s="697"/>
      <c r="CR254" s="697"/>
      <c r="CS254" s="697"/>
      <c r="CT254" s="697"/>
      <c r="CU254" s="697"/>
      <c r="CV254" s="697"/>
      <c r="CW254" s="697"/>
      <c r="CX254" s="697"/>
      <c r="CY254" s="697"/>
      <c r="CZ254" s="697"/>
      <c r="DA254" s="697"/>
    </row>
    <row r="255" spans="1:105" hidden="1" outlineLevel="1" x14ac:dyDescent="0.2">
      <c r="A255" s="709">
        <f t="shared" si="53"/>
        <v>38261</v>
      </c>
      <c r="B255" s="709" t="str">
        <f t="shared" si="50"/>
        <v>4Q04</v>
      </c>
      <c r="C255" s="709" t="str">
        <f t="shared" si="54"/>
        <v>4Q04</v>
      </c>
      <c r="D255" s="710">
        <f t="shared" si="58"/>
        <v>38338</v>
      </c>
      <c r="E255" s="710">
        <f t="shared" si="58"/>
        <v>38278</v>
      </c>
      <c r="F255" s="712">
        <v>2.1800000000000002</v>
      </c>
      <c r="G255" s="713">
        <f t="shared" si="51"/>
        <v>0.21000000000000005</v>
      </c>
      <c r="H255" s="713">
        <f t="shared" si="52"/>
        <v>0.22000000000000006</v>
      </c>
      <c r="I255" s="697"/>
      <c r="J255" s="697"/>
      <c r="K255" s="697"/>
      <c r="L255" s="697"/>
      <c r="M255" s="697"/>
      <c r="N255" s="697"/>
      <c r="O255" s="697"/>
      <c r="P255" s="697"/>
      <c r="Q255" s="697"/>
      <c r="R255" s="697"/>
      <c r="S255" s="697"/>
      <c r="T255" s="697"/>
      <c r="U255" s="697"/>
      <c r="V255" s="697"/>
      <c r="W255" s="697"/>
      <c r="X255" s="697"/>
      <c r="Y255" s="697"/>
      <c r="Z255" s="697"/>
      <c r="AA255" s="697"/>
      <c r="AB255" s="697"/>
      <c r="AC255" s="697"/>
      <c r="AD255" s="697"/>
      <c r="AE255" s="697"/>
      <c r="AF255" s="697"/>
      <c r="AG255" s="697"/>
      <c r="AH255" s="697"/>
      <c r="AI255" s="697"/>
      <c r="AJ255" s="697"/>
      <c r="AK255" s="697"/>
      <c r="AL255" s="697"/>
      <c r="AM255" s="697"/>
      <c r="AN255" s="697"/>
      <c r="AO255" s="697"/>
      <c r="AP255" s="697"/>
      <c r="AQ255" s="697"/>
      <c r="AR255" s="697"/>
      <c r="AS255" s="697"/>
      <c r="AT255" s="697"/>
      <c r="AU255" s="697"/>
      <c r="AV255" s="697"/>
      <c r="AW255" s="697"/>
      <c r="AX255" s="697"/>
      <c r="AY255" s="697"/>
      <c r="AZ255" s="697"/>
      <c r="BA255" s="697"/>
      <c r="BB255" s="697"/>
      <c r="BC255" s="697"/>
      <c r="BD255" s="697"/>
      <c r="BE255" s="697"/>
      <c r="BF255" s="697"/>
      <c r="BG255" s="697"/>
      <c r="BH255" s="697"/>
      <c r="BI255" s="697"/>
      <c r="BJ255" s="697"/>
      <c r="BK255" s="697"/>
      <c r="BL255" s="697"/>
      <c r="BM255" s="697"/>
      <c r="BN255" s="697"/>
      <c r="BO255" s="697"/>
      <c r="BP255" s="697"/>
      <c r="BQ255" s="697"/>
      <c r="BR255" s="697"/>
      <c r="BS255" s="697"/>
      <c r="BT255" s="697"/>
      <c r="BU255" s="697"/>
      <c r="BV255" s="697"/>
      <c r="BW255" s="697"/>
      <c r="BX255" s="697"/>
      <c r="BY255" s="697"/>
      <c r="BZ255" s="697"/>
      <c r="CA255" s="697"/>
      <c r="CB255" s="697"/>
      <c r="CC255" s="697"/>
      <c r="CD255" s="697"/>
      <c r="CE255" s="697"/>
      <c r="CF255" s="697"/>
      <c r="CG255" s="697"/>
      <c r="CH255" s="697"/>
      <c r="CI255" s="697"/>
      <c r="CJ255" s="697"/>
      <c r="CK255" s="697"/>
      <c r="CL255" s="697"/>
      <c r="CM255" s="697"/>
      <c r="CN255" s="697"/>
      <c r="CO255" s="697"/>
      <c r="CP255" s="697"/>
      <c r="CQ255" s="697"/>
      <c r="CR255" s="697"/>
      <c r="CS255" s="697"/>
      <c r="CT255" s="697"/>
      <c r="CU255" s="697"/>
      <c r="CV255" s="697"/>
      <c r="CW255" s="697"/>
      <c r="CX255" s="697"/>
      <c r="CY255" s="697"/>
      <c r="CZ255" s="697"/>
      <c r="DA255" s="697"/>
    </row>
    <row r="256" spans="1:105" hidden="1" outlineLevel="1" x14ac:dyDescent="0.2">
      <c r="A256" s="709">
        <f t="shared" si="53"/>
        <v>38261</v>
      </c>
      <c r="B256" s="709" t="str">
        <f t="shared" si="50"/>
        <v>4Q04</v>
      </c>
      <c r="C256" s="709" t="str">
        <f t="shared" si="54"/>
        <v>4Q04</v>
      </c>
      <c r="D256" s="710">
        <f t="shared" si="58"/>
        <v>38345</v>
      </c>
      <c r="E256" s="710">
        <f t="shared" si="58"/>
        <v>38285</v>
      </c>
      <c r="F256" s="712">
        <v>2.2119999999999997</v>
      </c>
      <c r="G256" s="713">
        <f t="shared" si="51"/>
        <v>0.22000000000000006</v>
      </c>
      <c r="H256" s="713">
        <f t="shared" si="52"/>
        <v>0.22000000000000006</v>
      </c>
      <c r="I256" s="697"/>
      <c r="J256" s="697"/>
      <c r="K256" s="697"/>
      <c r="L256" s="697"/>
      <c r="M256" s="697"/>
      <c r="N256" s="697"/>
      <c r="O256" s="697"/>
      <c r="P256" s="697"/>
      <c r="Q256" s="697"/>
      <c r="R256" s="697"/>
      <c r="S256" s="697"/>
      <c r="T256" s="697"/>
      <c r="U256" s="697"/>
      <c r="V256" s="697"/>
      <c r="W256" s="697"/>
      <c r="X256" s="697"/>
      <c r="Y256" s="697"/>
      <c r="Z256" s="697"/>
      <c r="AA256" s="697"/>
      <c r="AB256" s="697"/>
      <c r="AC256" s="697"/>
      <c r="AD256" s="697"/>
      <c r="AE256" s="697"/>
      <c r="AF256" s="697"/>
      <c r="AG256" s="697"/>
      <c r="AH256" s="697"/>
      <c r="AI256" s="697"/>
      <c r="AJ256" s="697"/>
      <c r="AK256" s="697"/>
      <c r="AL256" s="697"/>
      <c r="AM256" s="697"/>
      <c r="AN256" s="697"/>
      <c r="AO256" s="697"/>
      <c r="AP256" s="697"/>
      <c r="AQ256" s="697"/>
      <c r="AR256" s="697"/>
      <c r="AS256" s="697"/>
      <c r="AT256" s="697"/>
      <c r="AU256" s="697"/>
      <c r="AV256" s="697"/>
      <c r="AW256" s="697"/>
      <c r="AX256" s="697"/>
      <c r="AY256" s="697"/>
      <c r="AZ256" s="697"/>
      <c r="BA256" s="697"/>
      <c r="BB256" s="697"/>
      <c r="BC256" s="697"/>
      <c r="BD256" s="697"/>
      <c r="BE256" s="697"/>
      <c r="BF256" s="697"/>
      <c r="BG256" s="697"/>
      <c r="BH256" s="697"/>
      <c r="BI256" s="697"/>
      <c r="BJ256" s="697"/>
      <c r="BK256" s="697"/>
      <c r="BL256" s="697"/>
      <c r="BM256" s="697"/>
      <c r="BN256" s="697"/>
      <c r="BO256" s="697"/>
      <c r="BP256" s="697"/>
      <c r="BQ256" s="697"/>
      <c r="BR256" s="697"/>
      <c r="BS256" s="697"/>
      <c r="BT256" s="697"/>
      <c r="BU256" s="697"/>
      <c r="BV256" s="697"/>
      <c r="BW256" s="697"/>
      <c r="BX256" s="697"/>
      <c r="BY256" s="697"/>
      <c r="BZ256" s="697"/>
      <c r="CA256" s="697"/>
      <c r="CB256" s="697"/>
      <c r="CC256" s="697"/>
      <c r="CD256" s="697"/>
      <c r="CE256" s="697"/>
      <c r="CF256" s="697"/>
      <c r="CG256" s="697"/>
      <c r="CH256" s="697"/>
      <c r="CI256" s="697"/>
      <c r="CJ256" s="697"/>
      <c r="CK256" s="697"/>
      <c r="CL256" s="697"/>
      <c r="CM256" s="697"/>
      <c r="CN256" s="697"/>
      <c r="CO256" s="697"/>
      <c r="CP256" s="697"/>
      <c r="CQ256" s="697"/>
      <c r="CR256" s="697"/>
      <c r="CS256" s="697"/>
      <c r="CT256" s="697"/>
      <c r="CU256" s="697"/>
      <c r="CV256" s="697"/>
      <c r="CW256" s="697"/>
      <c r="CX256" s="697"/>
      <c r="CY256" s="697"/>
      <c r="CZ256" s="697"/>
      <c r="DA256" s="697"/>
    </row>
    <row r="257" spans="1:105" hidden="1" outlineLevel="1" x14ac:dyDescent="0.2">
      <c r="A257" s="709">
        <f t="shared" si="53"/>
        <v>38292</v>
      </c>
      <c r="B257" s="709" t="str">
        <f t="shared" si="50"/>
        <v>4Q04</v>
      </c>
      <c r="C257" s="709" t="str">
        <f t="shared" si="54"/>
        <v>4Q04</v>
      </c>
      <c r="D257" s="710">
        <f t="shared" si="58"/>
        <v>38352</v>
      </c>
      <c r="E257" s="710">
        <f t="shared" si="58"/>
        <v>38292</v>
      </c>
      <c r="F257" s="712">
        <v>2.206</v>
      </c>
      <c r="G257" s="713">
        <f t="shared" si="51"/>
        <v>0.22000000000000006</v>
      </c>
      <c r="H257" s="713">
        <f t="shared" si="52"/>
        <v>0.21000000000000005</v>
      </c>
      <c r="I257" s="697"/>
      <c r="J257" s="697"/>
      <c r="K257" s="697"/>
      <c r="L257" s="697"/>
      <c r="M257" s="697"/>
      <c r="N257" s="697"/>
      <c r="O257" s="697"/>
      <c r="P257" s="697"/>
      <c r="Q257" s="697"/>
      <c r="R257" s="697"/>
      <c r="S257" s="697"/>
      <c r="T257" s="697"/>
      <c r="U257" s="697"/>
      <c r="V257" s="697"/>
      <c r="W257" s="697"/>
      <c r="X257" s="697"/>
      <c r="Y257" s="697"/>
      <c r="Z257" s="697"/>
      <c r="AA257" s="697"/>
      <c r="AB257" s="697"/>
      <c r="AC257" s="697"/>
      <c r="AD257" s="697"/>
      <c r="AE257" s="697"/>
      <c r="AF257" s="697"/>
      <c r="AG257" s="697"/>
      <c r="AH257" s="697"/>
      <c r="AI257" s="697"/>
      <c r="AJ257" s="697"/>
      <c r="AK257" s="697"/>
      <c r="AL257" s="697"/>
      <c r="AM257" s="697"/>
      <c r="AN257" s="697"/>
      <c r="AO257" s="697"/>
      <c r="AP257" s="697"/>
      <c r="AQ257" s="697"/>
      <c r="AR257" s="697"/>
      <c r="AS257" s="697"/>
      <c r="AT257" s="697"/>
      <c r="AU257" s="697"/>
      <c r="AV257" s="697"/>
      <c r="AW257" s="697"/>
      <c r="AX257" s="697"/>
      <c r="AY257" s="697"/>
      <c r="AZ257" s="697"/>
      <c r="BA257" s="697"/>
      <c r="BB257" s="697"/>
      <c r="BC257" s="697"/>
      <c r="BD257" s="697"/>
      <c r="BE257" s="697"/>
      <c r="BF257" s="697"/>
      <c r="BG257" s="697"/>
      <c r="BH257" s="697"/>
      <c r="BI257" s="697"/>
      <c r="BJ257" s="697"/>
      <c r="BK257" s="697"/>
      <c r="BL257" s="697"/>
      <c r="BM257" s="697"/>
      <c r="BN257" s="697"/>
      <c r="BO257" s="697"/>
      <c r="BP257" s="697"/>
      <c r="BQ257" s="697"/>
      <c r="BR257" s="697"/>
      <c r="BS257" s="697"/>
      <c r="BT257" s="697"/>
      <c r="BU257" s="697"/>
      <c r="BV257" s="697"/>
      <c r="BW257" s="697"/>
      <c r="BX257" s="697"/>
      <c r="BY257" s="697"/>
      <c r="BZ257" s="697"/>
      <c r="CA257" s="697"/>
      <c r="CB257" s="697"/>
      <c r="CC257" s="697"/>
      <c r="CD257" s="697"/>
      <c r="CE257" s="697"/>
      <c r="CF257" s="697"/>
      <c r="CG257" s="697"/>
      <c r="CH257" s="697"/>
      <c r="CI257" s="697"/>
      <c r="CJ257" s="697"/>
      <c r="CK257" s="697"/>
      <c r="CL257" s="697"/>
      <c r="CM257" s="697"/>
      <c r="CN257" s="697"/>
      <c r="CO257" s="697"/>
      <c r="CP257" s="697"/>
      <c r="CQ257" s="697"/>
      <c r="CR257" s="697"/>
      <c r="CS257" s="697"/>
      <c r="CT257" s="697"/>
      <c r="CU257" s="697"/>
      <c r="CV257" s="697"/>
      <c r="CW257" s="697"/>
      <c r="CX257" s="697"/>
      <c r="CY257" s="697"/>
      <c r="CZ257" s="697"/>
      <c r="DA257" s="697"/>
    </row>
    <row r="258" spans="1:105" hidden="1" outlineLevel="1" x14ac:dyDescent="0.2">
      <c r="A258" s="709">
        <f t="shared" si="53"/>
        <v>38292</v>
      </c>
      <c r="B258" s="709" t="str">
        <f t="shared" si="50"/>
        <v>4Q04</v>
      </c>
      <c r="C258" s="709" t="str">
        <f t="shared" si="54"/>
        <v>1Q05</v>
      </c>
      <c r="D258" s="710">
        <f t="shared" si="58"/>
        <v>38359</v>
      </c>
      <c r="E258" s="710">
        <f t="shared" si="58"/>
        <v>38299</v>
      </c>
      <c r="F258" s="712">
        <v>2.1630000000000003</v>
      </c>
      <c r="G258" s="713">
        <f t="shared" si="51"/>
        <v>0.21000000000000005</v>
      </c>
      <c r="H258" s="713">
        <f t="shared" si="52"/>
        <v>0.20000000000000004</v>
      </c>
      <c r="I258" s="697"/>
      <c r="J258" s="697"/>
      <c r="K258" s="697"/>
      <c r="L258" s="697"/>
      <c r="M258" s="697"/>
      <c r="N258" s="697"/>
      <c r="O258" s="697"/>
      <c r="P258" s="697"/>
      <c r="Q258" s="697"/>
      <c r="R258" s="697"/>
      <c r="S258" s="697"/>
      <c r="T258" s="697"/>
      <c r="U258" s="697"/>
      <c r="V258" s="697"/>
      <c r="W258" s="697"/>
      <c r="X258" s="697"/>
      <c r="Y258" s="697"/>
      <c r="Z258" s="697"/>
      <c r="AA258" s="697"/>
      <c r="AB258" s="697"/>
      <c r="AC258" s="697"/>
      <c r="AD258" s="697"/>
      <c r="AE258" s="697"/>
      <c r="AF258" s="697"/>
      <c r="AG258" s="697"/>
      <c r="AH258" s="697"/>
      <c r="AI258" s="697"/>
      <c r="AJ258" s="697"/>
      <c r="AK258" s="697"/>
      <c r="AL258" s="697"/>
      <c r="AM258" s="697"/>
      <c r="AN258" s="697"/>
      <c r="AO258" s="697"/>
      <c r="AP258" s="697"/>
      <c r="AQ258" s="697"/>
      <c r="AR258" s="697"/>
      <c r="AS258" s="697"/>
      <c r="AT258" s="697"/>
      <c r="AU258" s="697"/>
      <c r="AV258" s="697"/>
      <c r="AW258" s="697"/>
      <c r="AX258" s="697"/>
      <c r="AY258" s="697"/>
      <c r="AZ258" s="697"/>
      <c r="BA258" s="697"/>
      <c r="BB258" s="697"/>
      <c r="BC258" s="697"/>
      <c r="BD258" s="697"/>
      <c r="BE258" s="697"/>
      <c r="BF258" s="697"/>
      <c r="BG258" s="697"/>
      <c r="BH258" s="697"/>
      <c r="BI258" s="697"/>
      <c r="BJ258" s="697"/>
      <c r="BK258" s="697"/>
      <c r="BL258" s="697"/>
      <c r="BM258" s="697"/>
      <c r="BN258" s="697"/>
      <c r="BO258" s="697"/>
      <c r="BP258" s="697"/>
      <c r="BQ258" s="697"/>
      <c r="BR258" s="697"/>
      <c r="BS258" s="697"/>
      <c r="BT258" s="697"/>
      <c r="BU258" s="697"/>
      <c r="BV258" s="697"/>
      <c r="BW258" s="697"/>
      <c r="BX258" s="697"/>
      <c r="BY258" s="697"/>
      <c r="BZ258" s="697"/>
      <c r="CA258" s="697"/>
      <c r="CB258" s="697"/>
      <c r="CC258" s="697"/>
      <c r="CD258" s="697"/>
      <c r="CE258" s="697"/>
      <c r="CF258" s="697"/>
      <c r="CG258" s="697"/>
      <c r="CH258" s="697"/>
      <c r="CI258" s="697"/>
      <c r="CJ258" s="697"/>
      <c r="CK258" s="697"/>
      <c r="CL258" s="697"/>
      <c r="CM258" s="697"/>
      <c r="CN258" s="697"/>
      <c r="CO258" s="697"/>
      <c r="CP258" s="697"/>
      <c r="CQ258" s="697"/>
      <c r="CR258" s="697"/>
      <c r="CS258" s="697"/>
      <c r="CT258" s="697"/>
      <c r="CU258" s="697"/>
      <c r="CV258" s="697"/>
      <c r="CW258" s="697"/>
      <c r="CX258" s="697"/>
      <c r="CY258" s="697"/>
      <c r="CZ258" s="697"/>
      <c r="DA258" s="697"/>
    </row>
    <row r="259" spans="1:105" hidden="1" outlineLevel="1" x14ac:dyDescent="0.2">
      <c r="A259" s="709">
        <f t="shared" si="53"/>
        <v>38292</v>
      </c>
      <c r="B259" s="709" t="str">
        <f t="shared" si="50"/>
        <v>4Q04</v>
      </c>
      <c r="C259" s="709" t="str">
        <f t="shared" si="54"/>
        <v>1Q05</v>
      </c>
      <c r="D259" s="710">
        <f t="shared" si="58"/>
        <v>38366</v>
      </c>
      <c r="E259" s="710">
        <f t="shared" si="58"/>
        <v>38306</v>
      </c>
      <c r="F259" s="712">
        <v>2.1319999999999997</v>
      </c>
      <c r="G259" s="713">
        <f t="shared" si="51"/>
        <v>0.20000000000000004</v>
      </c>
      <c r="H259" s="713">
        <f t="shared" si="52"/>
        <v>0.20000000000000004</v>
      </c>
      <c r="I259" s="697"/>
      <c r="J259" s="697"/>
      <c r="K259" s="697"/>
      <c r="L259" s="697"/>
      <c r="M259" s="697"/>
      <c r="N259" s="697"/>
      <c r="O259" s="697"/>
      <c r="P259" s="697"/>
      <c r="Q259" s="697"/>
      <c r="R259" s="697"/>
      <c r="S259" s="697"/>
      <c r="T259" s="697"/>
      <c r="U259" s="697"/>
      <c r="V259" s="697"/>
      <c r="W259" s="697"/>
      <c r="X259" s="697"/>
      <c r="Y259" s="697"/>
      <c r="Z259" s="697"/>
      <c r="AA259" s="697"/>
      <c r="AB259" s="697"/>
      <c r="AC259" s="697"/>
      <c r="AD259" s="697"/>
      <c r="AE259" s="697"/>
      <c r="AF259" s="697"/>
      <c r="AG259" s="697"/>
      <c r="AH259" s="697"/>
      <c r="AI259" s="697"/>
      <c r="AJ259" s="697"/>
      <c r="AK259" s="697"/>
      <c r="AL259" s="697"/>
      <c r="AM259" s="697"/>
      <c r="AN259" s="697"/>
      <c r="AO259" s="697"/>
      <c r="AP259" s="697"/>
      <c r="AQ259" s="697"/>
      <c r="AR259" s="697"/>
      <c r="AS259" s="697"/>
      <c r="AT259" s="697"/>
      <c r="AU259" s="697"/>
      <c r="AV259" s="697"/>
      <c r="AW259" s="697"/>
      <c r="AX259" s="697"/>
      <c r="AY259" s="697"/>
      <c r="AZ259" s="697"/>
      <c r="BA259" s="697"/>
      <c r="BB259" s="697"/>
      <c r="BC259" s="697"/>
      <c r="BD259" s="697"/>
      <c r="BE259" s="697"/>
      <c r="BF259" s="697"/>
      <c r="BG259" s="697"/>
      <c r="BH259" s="697"/>
      <c r="BI259" s="697"/>
      <c r="BJ259" s="697"/>
      <c r="BK259" s="697"/>
      <c r="BL259" s="697"/>
      <c r="BM259" s="697"/>
      <c r="BN259" s="697"/>
      <c r="BO259" s="697"/>
      <c r="BP259" s="697"/>
      <c r="BQ259" s="697"/>
      <c r="BR259" s="697"/>
      <c r="BS259" s="697"/>
      <c r="BT259" s="697"/>
      <c r="BU259" s="697"/>
      <c r="BV259" s="697"/>
      <c r="BW259" s="697"/>
      <c r="BX259" s="697"/>
      <c r="BY259" s="697"/>
      <c r="BZ259" s="697"/>
      <c r="CA259" s="697"/>
      <c r="CB259" s="697"/>
      <c r="CC259" s="697"/>
      <c r="CD259" s="697"/>
      <c r="CE259" s="697"/>
      <c r="CF259" s="697"/>
      <c r="CG259" s="697"/>
      <c r="CH259" s="697"/>
      <c r="CI259" s="697"/>
      <c r="CJ259" s="697"/>
      <c r="CK259" s="697"/>
      <c r="CL259" s="697"/>
      <c r="CM259" s="697"/>
      <c r="CN259" s="697"/>
      <c r="CO259" s="697"/>
      <c r="CP259" s="697"/>
      <c r="CQ259" s="697"/>
      <c r="CR259" s="697"/>
      <c r="CS259" s="697"/>
      <c r="CT259" s="697"/>
      <c r="CU259" s="697"/>
      <c r="CV259" s="697"/>
      <c r="CW259" s="697"/>
      <c r="CX259" s="697"/>
      <c r="CY259" s="697"/>
      <c r="CZ259" s="697"/>
      <c r="DA259" s="697"/>
    </row>
    <row r="260" spans="1:105" hidden="1" outlineLevel="1" x14ac:dyDescent="0.2">
      <c r="A260" s="709">
        <f t="shared" si="53"/>
        <v>38292</v>
      </c>
      <c r="B260" s="709" t="str">
        <f t="shared" ref="B260:B323" si="59">VLOOKUP(MONTH(A260),$N$4:$O$16,2,FALSE) &amp; "Q" &amp; RIGHT(YEAR(A260),2)</f>
        <v>4Q04</v>
      </c>
      <c r="C260" s="709" t="str">
        <f t="shared" si="54"/>
        <v>1Q05</v>
      </c>
      <c r="D260" s="710">
        <f t="shared" si="58"/>
        <v>38373</v>
      </c>
      <c r="E260" s="710">
        <f t="shared" si="58"/>
        <v>38313</v>
      </c>
      <c r="F260" s="712">
        <v>2.1160000000000001</v>
      </c>
      <c r="G260" s="713">
        <f t="shared" ref="G260:G323" si="60">INDEX($I$4:$K$153,MATCH(F260,$I$4:$I$153,1),3)</f>
        <v>0.20000000000000004</v>
      </c>
      <c r="H260" s="713">
        <f t="shared" ref="H260:H323" si="61">G261</f>
        <v>0.20000000000000004</v>
      </c>
      <c r="I260" s="697"/>
      <c r="J260" s="697"/>
      <c r="K260" s="697"/>
      <c r="L260" s="697"/>
      <c r="M260" s="697"/>
      <c r="N260" s="697"/>
      <c r="O260" s="697"/>
      <c r="P260" s="697"/>
      <c r="Q260" s="697"/>
      <c r="R260" s="697"/>
      <c r="S260" s="697"/>
      <c r="T260" s="697"/>
      <c r="U260" s="697"/>
      <c r="V260" s="697"/>
      <c r="W260" s="697"/>
      <c r="X260" s="697"/>
      <c r="Y260" s="697"/>
      <c r="Z260" s="697"/>
      <c r="AA260" s="697"/>
      <c r="AB260" s="697"/>
      <c r="AC260" s="697"/>
      <c r="AD260" s="697"/>
      <c r="AE260" s="697"/>
      <c r="AF260" s="697"/>
      <c r="AG260" s="697"/>
      <c r="AH260" s="697"/>
      <c r="AI260" s="697"/>
      <c r="AJ260" s="697"/>
      <c r="AK260" s="697"/>
      <c r="AL260" s="697"/>
      <c r="AM260" s="697"/>
      <c r="AN260" s="697"/>
      <c r="AO260" s="697"/>
      <c r="AP260" s="697"/>
      <c r="AQ260" s="697"/>
      <c r="AR260" s="697"/>
      <c r="AS260" s="697"/>
      <c r="AT260" s="697"/>
      <c r="AU260" s="697"/>
      <c r="AV260" s="697"/>
      <c r="AW260" s="697"/>
      <c r="AX260" s="697"/>
      <c r="AY260" s="697"/>
      <c r="AZ260" s="697"/>
      <c r="BA260" s="697"/>
      <c r="BB260" s="697"/>
      <c r="BC260" s="697"/>
      <c r="BD260" s="697"/>
      <c r="BE260" s="697"/>
      <c r="BF260" s="697"/>
      <c r="BG260" s="697"/>
      <c r="BH260" s="697"/>
      <c r="BI260" s="697"/>
      <c r="BJ260" s="697"/>
      <c r="BK260" s="697"/>
      <c r="BL260" s="697"/>
      <c r="BM260" s="697"/>
      <c r="BN260" s="697"/>
      <c r="BO260" s="697"/>
      <c r="BP260" s="697"/>
      <c r="BQ260" s="697"/>
      <c r="BR260" s="697"/>
      <c r="BS260" s="697"/>
      <c r="BT260" s="697"/>
      <c r="BU260" s="697"/>
      <c r="BV260" s="697"/>
      <c r="BW260" s="697"/>
      <c r="BX260" s="697"/>
      <c r="BY260" s="697"/>
      <c r="BZ260" s="697"/>
      <c r="CA260" s="697"/>
      <c r="CB260" s="697"/>
      <c r="CC260" s="697"/>
      <c r="CD260" s="697"/>
      <c r="CE260" s="697"/>
      <c r="CF260" s="697"/>
      <c r="CG260" s="697"/>
      <c r="CH260" s="697"/>
      <c r="CI260" s="697"/>
      <c r="CJ260" s="697"/>
      <c r="CK260" s="697"/>
      <c r="CL260" s="697"/>
      <c r="CM260" s="697"/>
      <c r="CN260" s="697"/>
      <c r="CO260" s="697"/>
      <c r="CP260" s="697"/>
      <c r="CQ260" s="697"/>
      <c r="CR260" s="697"/>
      <c r="CS260" s="697"/>
      <c r="CT260" s="697"/>
      <c r="CU260" s="697"/>
      <c r="CV260" s="697"/>
      <c r="CW260" s="697"/>
      <c r="CX260" s="697"/>
      <c r="CY260" s="697"/>
      <c r="CZ260" s="697"/>
      <c r="DA260" s="697"/>
    </row>
    <row r="261" spans="1:105" hidden="1" outlineLevel="1" x14ac:dyDescent="0.2">
      <c r="A261" s="709">
        <f t="shared" ref="A261:A324" si="62">DATE(YEAR(E261),MONTH(E261),1)</f>
        <v>38292</v>
      </c>
      <c r="B261" s="709" t="str">
        <f t="shared" si="59"/>
        <v>4Q04</v>
      </c>
      <c r="C261" s="709" t="str">
        <f t="shared" ref="C261:C324" si="63">VLOOKUP(MONTH(D261),$N$4:$O$16,2,FALSE) &amp; "Q" &amp; RIGHT(YEAR(D261),2)</f>
        <v>1Q05</v>
      </c>
      <c r="D261" s="710">
        <f t="shared" ref="D261:E276" si="64">D260+7</f>
        <v>38380</v>
      </c>
      <c r="E261" s="710">
        <f t="shared" si="64"/>
        <v>38320</v>
      </c>
      <c r="F261" s="712">
        <v>2.1160000000000001</v>
      </c>
      <c r="G261" s="713">
        <f t="shared" si="60"/>
        <v>0.20000000000000004</v>
      </c>
      <c r="H261" s="713">
        <f t="shared" si="61"/>
        <v>0.19000000000000003</v>
      </c>
      <c r="I261" s="697"/>
      <c r="J261" s="697"/>
      <c r="K261" s="697"/>
      <c r="L261" s="697"/>
      <c r="M261" s="697"/>
      <c r="N261" s="697"/>
      <c r="O261" s="697"/>
      <c r="P261" s="697"/>
      <c r="Q261" s="697"/>
      <c r="R261" s="697"/>
      <c r="S261" s="697"/>
      <c r="T261" s="697"/>
      <c r="U261" s="697"/>
      <c r="V261" s="697"/>
      <c r="W261" s="697"/>
      <c r="X261" s="697"/>
      <c r="Y261" s="697"/>
      <c r="Z261" s="697"/>
      <c r="AA261" s="697"/>
      <c r="AB261" s="697"/>
      <c r="AC261" s="697"/>
      <c r="AD261" s="697"/>
      <c r="AE261" s="697"/>
      <c r="AF261" s="697"/>
      <c r="AG261" s="697"/>
      <c r="AH261" s="697"/>
      <c r="AI261" s="697"/>
      <c r="AJ261" s="697"/>
      <c r="AK261" s="697"/>
      <c r="AL261" s="697"/>
      <c r="AM261" s="697"/>
      <c r="AN261" s="697"/>
      <c r="AO261" s="697"/>
      <c r="AP261" s="697"/>
      <c r="AQ261" s="697"/>
      <c r="AR261" s="697"/>
      <c r="AS261" s="697"/>
      <c r="AT261" s="697"/>
      <c r="AU261" s="697"/>
      <c r="AV261" s="697"/>
      <c r="AW261" s="697"/>
      <c r="AX261" s="697"/>
      <c r="AY261" s="697"/>
      <c r="AZ261" s="697"/>
      <c r="BA261" s="697"/>
      <c r="BB261" s="697"/>
      <c r="BC261" s="697"/>
      <c r="BD261" s="697"/>
      <c r="BE261" s="697"/>
      <c r="BF261" s="697"/>
      <c r="BG261" s="697"/>
      <c r="BH261" s="697"/>
      <c r="BI261" s="697"/>
      <c r="BJ261" s="697"/>
      <c r="BK261" s="697"/>
      <c r="BL261" s="697"/>
      <c r="BM261" s="697"/>
      <c r="BN261" s="697"/>
      <c r="BO261" s="697"/>
      <c r="BP261" s="697"/>
      <c r="BQ261" s="697"/>
      <c r="BR261" s="697"/>
      <c r="BS261" s="697"/>
      <c r="BT261" s="697"/>
      <c r="BU261" s="697"/>
      <c r="BV261" s="697"/>
      <c r="BW261" s="697"/>
      <c r="BX261" s="697"/>
      <c r="BY261" s="697"/>
      <c r="BZ261" s="697"/>
      <c r="CA261" s="697"/>
      <c r="CB261" s="697"/>
      <c r="CC261" s="697"/>
      <c r="CD261" s="697"/>
      <c r="CE261" s="697"/>
      <c r="CF261" s="697"/>
      <c r="CG261" s="697"/>
      <c r="CH261" s="697"/>
      <c r="CI261" s="697"/>
      <c r="CJ261" s="697"/>
      <c r="CK261" s="697"/>
      <c r="CL261" s="697"/>
      <c r="CM261" s="697"/>
      <c r="CN261" s="697"/>
      <c r="CO261" s="697"/>
      <c r="CP261" s="697"/>
      <c r="CQ261" s="697"/>
      <c r="CR261" s="697"/>
      <c r="CS261" s="697"/>
      <c r="CT261" s="697"/>
      <c r="CU261" s="697"/>
      <c r="CV261" s="697"/>
      <c r="CW261" s="697"/>
      <c r="CX261" s="697"/>
      <c r="CY261" s="697"/>
      <c r="CZ261" s="697"/>
      <c r="DA261" s="697"/>
    </row>
    <row r="262" spans="1:105" hidden="1" outlineLevel="1" x14ac:dyDescent="0.2">
      <c r="A262" s="709">
        <f t="shared" si="62"/>
        <v>38322</v>
      </c>
      <c r="B262" s="709" t="str">
        <f t="shared" si="59"/>
        <v>4Q04</v>
      </c>
      <c r="C262" s="709" t="str">
        <f t="shared" si="63"/>
        <v>1Q05</v>
      </c>
      <c r="D262" s="710">
        <f t="shared" si="64"/>
        <v>38387</v>
      </c>
      <c r="E262" s="710">
        <f t="shared" si="64"/>
        <v>38327</v>
      </c>
      <c r="F262" s="712">
        <v>2.069</v>
      </c>
      <c r="G262" s="713">
        <f t="shared" si="60"/>
        <v>0.19000000000000003</v>
      </c>
      <c r="H262" s="713">
        <f t="shared" si="61"/>
        <v>0.17</v>
      </c>
      <c r="I262" s="697"/>
      <c r="J262" s="697"/>
      <c r="K262" s="697"/>
      <c r="L262" s="697"/>
      <c r="M262" s="697"/>
      <c r="N262" s="697"/>
      <c r="O262" s="697"/>
      <c r="P262" s="697"/>
      <c r="Q262" s="697"/>
      <c r="R262" s="697"/>
      <c r="S262" s="697"/>
      <c r="T262" s="697"/>
      <c r="U262" s="697"/>
      <c r="V262" s="697"/>
      <c r="W262" s="697"/>
      <c r="X262" s="697"/>
      <c r="Y262" s="697"/>
      <c r="Z262" s="697"/>
      <c r="AA262" s="697"/>
      <c r="AB262" s="697"/>
      <c r="AC262" s="697"/>
      <c r="AD262" s="697"/>
      <c r="AE262" s="697"/>
      <c r="AF262" s="697"/>
      <c r="AG262" s="697"/>
      <c r="AH262" s="697"/>
      <c r="AI262" s="697"/>
      <c r="AJ262" s="697"/>
      <c r="AK262" s="697"/>
      <c r="AL262" s="697"/>
      <c r="AM262" s="697"/>
      <c r="AN262" s="697"/>
      <c r="AO262" s="697"/>
      <c r="AP262" s="697"/>
      <c r="AQ262" s="697"/>
      <c r="AR262" s="697"/>
      <c r="AS262" s="697"/>
      <c r="AT262" s="697"/>
      <c r="AU262" s="697"/>
      <c r="AV262" s="697"/>
      <c r="AW262" s="697"/>
      <c r="AX262" s="697"/>
      <c r="AY262" s="697"/>
      <c r="AZ262" s="697"/>
      <c r="BA262" s="697"/>
      <c r="BB262" s="697"/>
      <c r="BC262" s="697"/>
      <c r="BD262" s="697"/>
      <c r="BE262" s="697"/>
      <c r="BF262" s="697"/>
      <c r="BG262" s="697"/>
      <c r="BH262" s="697"/>
      <c r="BI262" s="697"/>
      <c r="BJ262" s="697"/>
      <c r="BK262" s="697"/>
      <c r="BL262" s="697"/>
      <c r="BM262" s="697"/>
      <c r="BN262" s="697"/>
      <c r="BO262" s="697"/>
      <c r="BP262" s="697"/>
      <c r="BQ262" s="697"/>
      <c r="BR262" s="697"/>
      <c r="BS262" s="697"/>
      <c r="BT262" s="697"/>
      <c r="BU262" s="697"/>
      <c r="BV262" s="697"/>
      <c r="BW262" s="697"/>
      <c r="BX262" s="697"/>
      <c r="BY262" s="697"/>
      <c r="BZ262" s="697"/>
      <c r="CA262" s="697"/>
      <c r="CB262" s="697"/>
      <c r="CC262" s="697"/>
      <c r="CD262" s="697"/>
      <c r="CE262" s="697"/>
      <c r="CF262" s="697"/>
      <c r="CG262" s="697"/>
      <c r="CH262" s="697"/>
      <c r="CI262" s="697"/>
      <c r="CJ262" s="697"/>
      <c r="CK262" s="697"/>
      <c r="CL262" s="697"/>
      <c r="CM262" s="697"/>
      <c r="CN262" s="697"/>
      <c r="CO262" s="697"/>
      <c r="CP262" s="697"/>
      <c r="CQ262" s="697"/>
      <c r="CR262" s="697"/>
      <c r="CS262" s="697"/>
      <c r="CT262" s="697"/>
      <c r="CU262" s="697"/>
      <c r="CV262" s="697"/>
      <c r="CW262" s="697"/>
      <c r="CX262" s="697"/>
      <c r="CY262" s="697"/>
      <c r="CZ262" s="697"/>
      <c r="DA262" s="697"/>
    </row>
    <row r="263" spans="1:105" hidden="1" outlineLevel="1" x14ac:dyDescent="0.2">
      <c r="A263" s="709">
        <f t="shared" si="62"/>
        <v>38322</v>
      </c>
      <c r="B263" s="709" t="str">
        <f t="shared" si="59"/>
        <v>4Q04</v>
      </c>
      <c r="C263" s="709" t="str">
        <f t="shared" si="63"/>
        <v>1Q05</v>
      </c>
      <c r="D263" s="710">
        <f t="shared" si="64"/>
        <v>38394</v>
      </c>
      <c r="E263" s="710">
        <f t="shared" si="64"/>
        <v>38334</v>
      </c>
      <c r="F263" s="712">
        <v>1.9969999999999999</v>
      </c>
      <c r="G263" s="713">
        <f t="shared" si="60"/>
        <v>0.17</v>
      </c>
      <c r="H263" s="713">
        <f t="shared" si="61"/>
        <v>0.17</v>
      </c>
      <c r="I263" s="697"/>
      <c r="J263" s="697"/>
      <c r="K263" s="697"/>
      <c r="L263" s="697"/>
      <c r="M263" s="697"/>
      <c r="N263" s="697"/>
      <c r="O263" s="697"/>
      <c r="P263" s="697"/>
      <c r="Q263" s="697"/>
      <c r="R263" s="697"/>
      <c r="S263" s="697"/>
      <c r="T263" s="697"/>
      <c r="U263" s="697"/>
      <c r="V263" s="697"/>
      <c r="W263" s="697"/>
      <c r="X263" s="697"/>
      <c r="Y263" s="697"/>
      <c r="Z263" s="697"/>
      <c r="AA263" s="697"/>
      <c r="AB263" s="697"/>
      <c r="AC263" s="697"/>
      <c r="AD263" s="697"/>
      <c r="AE263" s="697"/>
      <c r="AF263" s="697"/>
      <c r="AG263" s="697"/>
      <c r="AH263" s="697"/>
      <c r="AI263" s="697"/>
      <c r="AJ263" s="697"/>
      <c r="AK263" s="697"/>
      <c r="AL263" s="697"/>
      <c r="AM263" s="697"/>
      <c r="AN263" s="697"/>
      <c r="AO263" s="697"/>
      <c r="AP263" s="697"/>
      <c r="AQ263" s="697"/>
      <c r="AR263" s="697"/>
      <c r="AS263" s="697"/>
      <c r="AT263" s="697"/>
      <c r="AU263" s="697"/>
      <c r="AV263" s="697"/>
      <c r="AW263" s="697"/>
      <c r="AX263" s="697"/>
      <c r="AY263" s="697"/>
      <c r="AZ263" s="697"/>
      <c r="BA263" s="697"/>
      <c r="BB263" s="697"/>
      <c r="BC263" s="697"/>
      <c r="BD263" s="697"/>
      <c r="BE263" s="697"/>
      <c r="BF263" s="697"/>
      <c r="BG263" s="697"/>
      <c r="BH263" s="697"/>
      <c r="BI263" s="697"/>
      <c r="BJ263" s="697"/>
      <c r="BK263" s="697"/>
      <c r="BL263" s="697"/>
      <c r="BM263" s="697"/>
      <c r="BN263" s="697"/>
      <c r="BO263" s="697"/>
      <c r="BP263" s="697"/>
      <c r="BQ263" s="697"/>
      <c r="BR263" s="697"/>
      <c r="BS263" s="697"/>
      <c r="BT263" s="697"/>
      <c r="BU263" s="697"/>
      <c r="BV263" s="697"/>
      <c r="BW263" s="697"/>
      <c r="BX263" s="697"/>
      <c r="BY263" s="697"/>
      <c r="BZ263" s="697"/>
      <c r="CA263" s="697"/>
      <c r="CB263" s="697"/>
      <c r="CC263" s="697"/>
      <c r="CD263" s="697"/>
      <c r="CE263" s="697"/>
      <c r="CF263" s="697"/>
      <c r="CG263" s="697"/>
      <c r="CH263" s="697"/>
      <c r="CI263" s="697"/>
      <c r="CJ263" s="697"/>
      <c r="CK263" s="697"/>
      <c r="CL263" s="697"/>
      <c r="CM263" s="697"/>
      <c r="CN263" s="697"/>
      <c r="CO263" s="697"/>
      <c r="CP263" s="697"/>
      <c r="CQ263" s="697"/>
      <c r="CR263" s="697"/>
      <c r="CS263" s="697"/>
      <c r="CT263" s="697"/>
      <c r="CU263" s="697"/>
      <c r="CV263" s="697"/>
      <c r="CW263" s="697"/>
      <c r="CX263" s="697"/>
      <c r="CY263" s="697"/>
      <c r="CZ263" s="697"/>
      <c r="DA263" s="697"/>
    </row>
    <row r="264" spans="1:105" hidden="1" outlineLevel="1" x14ac:dyDescent="0.2">
      <c r="A264" s="709">
        <f t="shared" si="62"/>
        <v>38322</v>
      </c>
      <c r="B264" s="709" t="str">
        <f t="shared" si="59"/>
        <v>4Q04</v>
      </c>
      <c r="C264" s="709" t="str">
        <f t="shared" si="63"/>
        <v>1Q05</v>
      </c>
      <c r="D264" s="710">
        <f t="shared" si="64"/>
        <v>38401</v>
      </c>
      <c r="E264" s="710">
        <f t="shared" si="64"/>
        <v>38341</v>
      </c>
      <c r="F264" s="712">
        <v>1.984</v>
      </c>
      <c r="G264" s="713">
        <f t="shared" si="60"/>
        <v>0.17</v>
      </c>
      <c r="H264" s="713">
        <f t="shared" si="61"/>
        <v>0.17</v>
      </c>
      <c r="I264" s="697"/>
      <c r="J264" s="697"/>
      <c r="K264" s="697"/>
      <c r="L264" s="697"/>
      <c r="M264" s="697"/>
      <c r="N264" s="697"/>
      <c r="O264" s="697"/>
      <c r="P264" s="697"/>
      <c r="Q264" s="697"/>
      <c r="R264" s="697"/>
      <c r="S264" s="697"/>
      <c r="T264" s="697"/>
      <c r="U264" s="697"/>
      <c r="V264" s="697"/>
      <c r="W264" s="697"/>
      <c r="X264" s="697"/>
      <c r="Y264" s="697"/>
      <c r="Z264" s="697"/>
      <c r="AA264" s="697"/>
      <c r="AB264" s="697"/>
      <c r="AC264" s="697"/>
      <c r="AD264" s="697"/>
      <c r="AE264" s="697"/>
      <c r="AF264" s="697"/>
      <c r="AG264" s="697"/>
      <c r="AH264" s="697"/>
      <c r="AI264" s="697"/>
      <c r="AJ264" s="697"/>
      <c r="AK264" s="697"/>
      <c r="AL264" s="697"/>
      <c r="AM264" s="697"/>
      <c r="AN264" s="697"/>
      <c r="AO264" s="697"/>
      <c r="AP264" s="697"/>
      <c r="AQ264" s="697"/>
      <c r="AR264" s="697"/>
      <c r="AS264" s="697"/>
      <c r="AT264" s="697"/>
      <c r="AU264" s="697"/>
      <c r="AV264" s="697"/>
      <c r="AW264" s="697"/>
      <c r="AX264" s="697"/>
      <c r="AY264" s="697"/>
      <c r="AZ264" s="697"/>
      <c r="BA264" s="697"/>
      <c r="BB264" s="697"/>
      <c r="BC264" s="697"/>
      <c r="BD264" s="697"/>
      <c r="BE264" s="697"/>
      <c r="BF264" s="697"/>
      <c r="BG264" s="697"/>
      <c r="BH264" s="697"/>
      <c r="BI264" s="697"/>
      <c r="BJ264" s="697"/>
      <c r="BK264" s="697"/>
      <c r="BL264" s="697"/>
      <c r="BM264" s="697"/>
      <c r="BN264" s="697"/>
      <c r="BO264" s="697"/>
      <c r="BP264" s="697"/>
      <c r="BQ264" s="697"/>
      <c r="BR264" s="697"/>
      <c r="BS264" s="697"/>
      <c r="BT264" s="697"/>
      <c r="BU264" s="697"/>
      <c r="BV264" s="697"/>
      <c r="BW264" s="697"/>
      <c r="BX264" s="697"/>
      <c r="BY264" s="697"/>
      <c r="BZ264" s="697"/>
      <c r="CA264" s="697"/>
      <c r="CB264" s="697"/>
      <c r="CC264" s="697"/>
      <c r="CD264" s="697"/>
      <c r="CE264" s="697"/>
      <c r="CF264" s="697"/>
      <c r="CG264" s="697"/>
      <c r="CH264" s="697"/>
      <c r="CI264" s="697"/>
      <c r="CJ264" s="697"/>
      <c r="CK264" s="697"/>
      <c r="CL264" s="697"/>
      <c r="CM264" s="697"/>
      <c r="CN264" s="697"/>
      <c r="CO264" s="697"/>
      <c r="CP264" s="697"/>
      <c r="CQ264" s="697"/>
      <c r="CR264" s="697"/>
      <c r="CS264" s="697"/>
      <c r="CT264" s="697"/>
      <c r="CU264" s="697"/>
      <c r="CV264" s="697"/>
      <c r="CW264" s="697"/>
      <c r="CX264" s="697"/>
      <c r="CY264" s="697"/>
      <c r="CZ264" s="697"/>
      <c r="DA264" s="697"/>
    </row>
    <row r="265" spans="1:105" hidden="1" outlineLevel="1" x14ac:dyDescent="0.2">
      <c r="A265" s="709">
        <f t="shared" si="62"/>
        <v>38322</v>
      </c>
      <c r="B265" s="709" t="str">
        <f t="shared" si="59"/>
        <v>4Q04</v>
      </c>
      <c r="C265" s="709" t="str">
        <f t="shared" si="63"/>
        <v>1Q05</v>
      </c>
      <c r="D265" s="710">
        <f t="shared" si="64"/>
        <v>38408</v>
      </c>
      <c r="E265" s="710">
        <f t="shared" si="64"/>
        <v>38348</v>
      </c>
      <c r="F265" s="712">
        <v>1.9869999999999999</v>
      </c>
      <c r="G265" s="713">
        <f t="shared" si="60"/>
        <v>0.17</v>
      </c>
      <c r="H265" s="713">
        <f t="shared" si="61"/>
        <v>0.17</v>
      </c>
      <c r="I265" s="697"/>
      <c r="J265" s="697"/>
      <c r="K265" s="697"/>
      <c r="L265" s="697"/>
      <c r="M265" s="697"/>
      <c r="N265" s="697"/>
      <c r="O265" s="697"/>
      <c r="P265" s="697"/>
      <c r="Q265" s="697"/>
      <c r="R265" s="697"/>
      <c r="S265" s="697"/>
      <c r="T265" s="697"/>
      <c r="U265" s="697"/>
      <c r="V265" s="697"/>
      <c r="W265" s="697"/>
      <c r="X265" s="697"/>
      <c r="Y265" s="697"/>
      <c r="Z265" s="697"/>
      <c r="AA265" s="697"/>
      <c r="AB265" s="697"/>
      <c r="AC265" s="697"/>
      <c r="AD265" s="697"/>
      <c r="AE265" s="697"/>
      <c r="AF265" s="697"/>
      <c r="AG265" s="697"/>
      <c r="AH265" s="697"/>
      <c r="AI265" s="697"/>
      <c r="AJ265" s="697"/>
      <c r="AK265" s="697"/>
      <c r="AL265" s="697"/>
      <c r="AM265" s="697"/>
      <c r="AN265" s="697"/>
      <c r="AO265" s="697"/>
      <c r="AP265" s="697"/>
      <c r="AQ265" s="697"/>
      <c r="AR265" s="697"/>
      <c r="AS265" s="697"/>
      <c r="AT265" s="697"/>
      <c r="AU265" s="697"/>
      <c r="AV265" s="697"/>
      <c r="AW265" s="697"/>
      <c r="AX265" s="697"/>
      <c r="AY265" s="697"/>
      <c r="AZ265" s="697"/>
      <c r="BA265" s="697"/>
      <c r="BB265" s="697"/>
      <c r="BC265" s="697"/>
      <c r="BD265" s="697"/>
      <c r="BE265" s="697"/>
      <c r="BF265" s="697"/>
      <c r="BG265" s="697"/>
      <c r="BH265" s="697"/>
      <c r="BI265" s="697"/>
      <c r="BJ265" s="697"/>
      <c r="BK265" s="697"/>
      <c r="BL265" s="697"/>
      <c r="BM265" s="697"/>
      <c r="BN265" s="697"/>
      <c r="BO265" s="697"/>
      <c r="BP265" s="697"/>
      <c r="BQ265" s="697"/>
      <c r="BR265" s="697"/>
      <c r="BS265" s="697"/>
      <c r="BT265" s="697"/>
      <c r="BU265" s="697"/>
      <c r="BV265" s="697"/>
      <c r="BW265" s="697"/>
      <c r="BX265" s="697"/>
      <c r="BY265" s="697"/>
      <c r="BZ265" s="697"/>
      <c r="CA265" s="697"/>
      <c r="CB265" s="697"/>
      <c r="CC265" s="697"/>
      <c r="CD265" s="697"/>
      <c r="CE265" s="697"/>
      <c r="CF265" s="697"/>
      <c r="CG265" s="697"/>
      <c r="CH265" s="697"/>
      <c r="CI265" s="697"/>
      <c r="CJ265" s="697"/>
      <c r="CK265" s="697"/>
      <c r="CL265" s="697"/>
      <c r="CM265" s="697"/>
      <c r="CN265" s="697"/>
      <c r="CO265" s="697"/>
      <c r="CP265" s="697"/>
      <c r="CQ265" s="697"/>
      <c r="CR265" s="697"/>
      <c r="CS265" s="697"/>
      <c r="CT265" s="697"/>
      <c r="CU265" s="697"/>
      <c r="CV265" s="697"/>
      <c r="CW265" s="697"/>
      <c r="CX265" s="697"/>
      <c r="CY265" s="697"/>
      <c r="CZ265" s="697"/>
      <c r="DA265" s="697"/>
    </row>
    <row r="266" spans="1:105" hidden="1" outlineLevel="1" x14ac:dyDescent="0.2">
      <c r="A266" s="709">
        <f t="shared" si="62"/>
        <v>38353</v>
      </c>
      <c r="B266" s="709" t="str">
        <f t="shared" si="59"/>
        <v>1Q05</v>
      </c>
      <c r="C266" s="709" t="str">
        <f t="shared" si="63"/>
        <v>1Q05</v>
      </c>
      <c r="D266" s="710">
        <f t="shared" si="64"/>
        <v>38415</v>
      </c>
      <c r="E266" s="710">
        <f t="shared" si="64"/>
        <v>38355</v>
      </c>
      <c r="F266" s="712">
        <v>1.9569999999999999</v>
      </c>
      <c r="G266" s="713">
        <f t="shared" si="60"/>
        <v>0.17</v>
      </c>
      <c r="H266" s="713">
        <f t="shared" si="61"/>
        <v>0.16</v>
      </c>
      <c r="I266" s="697"/>
      <c r="J266" s="697"/>
      <c r="K266" s="697"/>
      <c r="L266" s="697"/>
      <c r="M266" s="697"/>
      <c r="N266" s="697"/>
      <c r="O266" s="697"/>
      <c r="P266" s="697"/>
      <c r="Q266" s="697"/>
      <c r="R266" s="697"/>
      <c r="S266" s="697"/>
      <c r="T266" s="697"/>
      <c r="U266" s="697"/>
      <c r="V266" s="697"/>
      <c r="W266" s="697"/>
      <c r="X266" s="697"/>
      <c r="Y266" s="697"/>
      <c r="Z266" s="697"/>
      <c r="AA266" s="697"/>
      <c r="AB266" s="697"/>
      <c r="AC266" s="697"/>
      <c r="AD266" s="697"/>
      <c r="AE266" s="697"/>
      <c r="AF266" s="697"/>
      <c r="AG266" s="697"/>
      <c r="AH266" s="697"/>
      <c r="AI266" s="697"/>
      <c r="AJ266" s="697"/>
      <c r="AK266" s="697"/>
      <c r="AL266" s="697"/>
      <c r="AM266" s="697"/>
      <c r="AN266" s="697"/>
      <c r="AO266" s="697"/>
      <c r="AP266" s="697"/>
      <c r="AQ266" s="697"/>
      <c r="AR266" s="697"/>
      <c r="AS266" s="697"/>
      <c r="AT266" s="697"/>
      <c r="AU266" s="697"/>
      <c r="AV266" s="697"/>
      <c r="AW266" s="697"/>
      <c r="AX266" s="697"/>
      <c r="AY266" s="697"/>
      <c r="AZ266" s="697"/>
      <c r="BA266" s="697"/>
      <c r="BB266" s="697"/>
      <c r="BC266" s="697"/>
      <c r="BD266" s="697"/>
      <c r="BE266" s="697"/>
      <c r="BF266" s="697"/>
      <c r="BG266" s="697"/>
      <c r="BH266" s="697"/>
      <c r="BI266" s="697"/>
      <c r="BJ266" s="697"/>
      <c r="BK266" s="697"/>
      <c r="BL266" s="697"/>
      <c r="BM266" s="697"/>
      <c r="BN266" s="697"/>
      <c r="BO266" s="697"/>
      <c r="BP266" s="697"/>
      <c r="BQ266" s="697"/>
      <c r="BR266" s="697"/>
      <c r="BS266" s="697"/>
      <c r="BT266" s="697"/>
      <c r="BU266" s="697"/>
      <c r="BV266" s="697"/>
      <c r="BW266" s="697"/>
      <c r="BX266" s="697"/>
      <c r="BY266" s="697"/>
      <c r="BZ266" s="697"/>
      <c r="CA266" s="697"/>
      <c r="CB266" s="697"/>
      <c r="CC266" s="697"/>
      <c r="CD266" s="697"/>
      <c r="CE266" s="697"/>
      <c r="CF266" s="697"/>
      <c r="CG266" s="697"/>
      <c r="CH266" s="697"/>
      <c r="CI266" s="697"/>
      <c r="CJ266" s="697"/>
      <c r="CK266" s="697"/>
      <c r="CL266" s="697"/>
      <c r="CM266" s="697"/>
      <c r="CN266" s="697"/>
      <c r="CO266" s="697"/>
      <c r="CP266" s="697"/>
      <c r="CQ266" s="697"/>
      <c r="CR266" s="697"/>
      <c r="CS266" s="697"/>
      <c r="CT266" s="697"/>
      <c r="CU266" s="697"/>
      <c r="CV266" s="697"/>
      <c r="CW266" s="697"/>
      <c r="CX266" s="697"/>
      <c r="CY266" s="697"/>
      <c r="CZ266" s="697"/>
      <c r="DA266" s="697"/>
    </row>
    <row r="267" spans="1:105" hidden="1" outlineLevel="1" x14ac:dyDescent="0.2">
      <c r="A267" s="709">
        <f t="shared" si="62"/>
        <v>38353</v>
      </c>
      <c r="B267" s="709" t="str">
        <f t="shared" si="59"/>
        <v>1Q05</v>
      </c>
      <c r="C267" s="709" t="str">
        <f t="shared" si="63"/>
        <v>1Q05</v>
      </c>
      <c r="D267" s="710">
        <f t="shared" si="64"/>
        <v>38422</v>
      </c>
      <c r="E267" s="710">
        <f t="shared" si="64"/>
        <v>38362</v>
      </c>
      <c r="F267" s="712">
        <v>1.9340000000000002</v>
      </c>
      <c r="G267" s="713">
        <f t="shared" si="60"/>
        <v>0.16</v>
      </c>
      <c r="H267" s="713">
        <f t="shared" si="61"/>
        <v>0.17</v>
      </c>
      <c r="I267" s="697"/>
      <c r="J267" s="697"/>
      <c r="K267" s="697"/>
      <c r="L267" s="697"/>
      <c r="M267" s="697"/>
      <c r="N267" s="697"/>
      <c r="O267" s="697"/>
      <c r="P267" s="697"/>
      <c r="Q267" s="697"/>
      <c r="R267" s="697"/>
      <c r="S267" s="697"/>
      <c r="T267" s="697"/>
      <c r="U267" s="697"/>
      <c r="V267" s="697"/>
      <c r="W267" s="697"/>
      <c r="X267" s="697"/>
      <c r="Y267" s="697"/>
      <c r="Z267" s="697"/>
      <c r="AA267" s="697"/>
      <c r="AB267" s="697"/>
      <c r="AC267" s="697"/>
      <c r="AD267" s="697"/>
      <c r="AE267" s="697"/>
      <c r="AF267" s="697"/>
      <c r="AG267" s="697"/>
      <c r="AH267" s="697"/>
      <c r="AI267" s="697"/>
      <c r="AJ267" s="697"/>
      <c r="AK267" s="697"/>
      <c r="AL267" s="697"/>
      <c r="AM267" s="697"/>
      <c r="AN267" s="697"/>
      <c r="AO267" s="697"/>
      <c r="AP267" s="697"/>
      <c r="AQ267" s="697"/>
      <c r="AR267" s="697"/>
      <c r="AS267" s="697"/>
      <c r="AT267" s="697"/>
      <c r="AU267" s="697"/>
      <c r="AV267" s="697"/>
      <c r="AW267" s="697"/>
      <c r="AX267" s="697"/>
      <c r="AY267" s="697"/>
      <c r="AZ267" s="697"/>
      <c r="BA267" s="697"/>
      <c r="BB267" s="697"/>
      <c r="BC267" s="697"/>
      <c r="BD267" s="697"/>
      <c r="BE267" s="697"/>
      <c r="BF267" s="697"/>
      <c r="BG267" s="697"/>
      <c r="BH267" s="697"/>
      <c r="BI267" s="697"/>
      <c r="BJ267" s="697"/>
      <c r="BK267" s="697"/>
      <c r="BL267" s="697"/>
      <c r="BM267" s="697"/>
      <c r="BN267" s="697"/>
      <c r="BO267" s="697"/>
      <c r="BP267" s="697"/>
      <c r="BQ267" s="697"/>
      <c r="BR267" s="697"/>
      <c r="BS267" s="697"/>
      <c r="BT267" s="697"/>
      <c r="BU267" s="697"/>
      <c r="BV267" s="697"/>
      <c r="BW267" s="697"/>
      <c r="BX267" s="697"/>
      <c r="BY267" s="697"/>
      <c r="BZ267" s="697"/>
      <c r="CA267" s="697"/>
      <c r="CB267" s="697"/>
      <c r="CC267" s="697"/>
      <c r="CD267" s="697"/>
      <c r="CE267" s="697"/>
      <c r="CF267" s="697"/>
      <c r="CG267" s="697"/>
      <c r="CH267" s="697"/>
      <c r="CI267" s="697"/>
      <c r="CJ267" s="697"/>
      <c r="CK267" s="697"/>
      <c r="CL267" s="697"/>
      <c r="CM267" s="697"/>
      <c r="CN267" s="697"/>
      <c r="CO267" s="697"/>
      <c r="CP267" s="697"/>
      <c r="CQ267" s="697"/>
      <c r="CR267" s="697"/>
      <c r="CS267" s="697"/>
      <c r="CT267" s="697"/>
      <c r="CU267" s="697"/>
      <c r="CV267" s="697"/>
      <c r="CW267" s="697"/>
      <c r="CX267" s="697"/>
      <c r="CY267" s="697"/>
      <c r="CZ267" s="697"/>
      <c r="DA267" s="697"/>
    </row>
    <row r="268" spans="1:105" hidden="1" outlineLevel="1" x14ac:dyDescent="0.2">
      <c r="A268" s="709">
        <f t="shared" si="62"/>
        <v>38353</v>
      </c>
      <c r="B268" s="709" t="str">
        <f t="shared" si="59"/>
        <v>1Q05</v>
      </c>
      <c r="C268" s="709" t="str">
        <f t="shared" si="63"/>
        <v>1Q05</v>
      </c>
      <c r="D268" s="710">
        <f t="shared" si="64"/>
        <v>38429</v>
      </c>
      <c r="E268" s="710">
        <f t="shared" si="64"/>
        <v>38369</v>
      </c>
      <c r="F268" s="712">
        <v>1.952</v>
      </c>
      <c r="G268" s="713">
        <f t="shared" si="60"/>
        <v>0.17</v>
      </c>
      <c r="H268" s="713">
        <f t="shared" si="61"/>
        <v>0.17</v>
      </c>
      <c r="I268" s="697"/>
      <c r="J268" s="697"/>
      <c r="K268" s="697"/>
      <c r="L268" s="697"/>
      <c r="M268" s="697"/>
      <c r="N268" s="697"/>
      <c r="O268" s="697"/>
      <c r="P268" s="697"/>
      <c r="Q268" s="697"/>
      <c r="R268" s="697"/>
      <c r="S268" s="697"/>
      <c r="T268" s="697"/>
      <c r="U268" s="697"/>
      <c r="V268" s="697"/>
      <c r="W268" s="697"/>
      <c r="X268" s="697"/>
      <c r="Y268" s="697"/>
      <c r="Z268" s="697"/>
      <c r="AA268" s="697"/>
      <c r="AB268" s="697"/>
      <c r="AC268" s="697"/>
      <c r="AD268" s="697"/>
      <c r="AE268" s="697"/>
      <c r="AF268" s="697"/>
      <c r="AG268" s="697"/>
      <c r="AH268" s="697"/>
      <c r="AI268" s="697"/>
      <c r="AJ268" s="697"/>
      <c r="AK268" s="697"/>
      <c r="AL268" s="697"/>
      <c r="AM268" s="697"/>
      <c r="AN268" s="697"/>
      <c r="AO268" s="697"/>
      <c r="AP268" s="697"/>
      <c r="AQ268" s="697"/>
      <c r="AR268" s="697"/>
      <c r="AS268" s="697"/>
      <c r="AT268" s="697"/>
      <c r="AU268" s="697"/>
      <c r="AV268" s="697"/>
      <c r="AW268" s="697"/>
      <c r="AX268" s="697"/>
      <c r="AY268" s="697"/>
      <c r="AZ268" s="697"/>
      <c r="BA268" s="697"/>
      <c r="BB268" s="697"/>
      <c r="BC268" s="697"/>
      <c r="BD268" s="697"/>
      <c r="BE268" s="697"/>
      <c r="BF268" s="697"/>
      <c r="BG268" s="697"/>
      <c r="BH268" s="697"/>
      <c r="BI268" s="697"/>
      <c r="BJ268" s="697"/>
      <c r="BK268" s="697"/>
      <c r="BL268" s="697"/>
      <c r="BM268" s="697"/>
      <c r="BN268" s="697"/>
      <c r="BO268" s="697"/>
      <c r="BP268" s="697"/>
      <c r="BQ268" s="697"/>
      <c r="BR268" s="697"/>
      <c r="BS268" s="697"/>
      <c r="BT268" s="697"/>
      <c r="BU268" s="697"/>
      <c r="BV268" s="697"/>
      <c r="BW268" s="697"/>
      <c r="BX268" s="697"/>
      <c r="BY268" s="697"/>
      <c r="BZ268" s="697"/>
      <c r="CA268" s="697"/>
      <c r="CB268" s="697"/>
      <c r="CC268" s="697"/>
      <c r="CD268" s="697"/>
      <c r="CE268" s="697"/>
      <c r="CF268" s="697"/>
      <c r="CG268" s="697"/>
      <c r="CH268" s="697"/>
      <c r="CI268" s="697"/>
      <c r="CJ268" s="697"/>
      <c r="CK268" s="697"/>
      <c r="CL268" s="697"/>
      <c r="CM268" s="697"/>
      <c r="CN268" s="697"/>
      <c r="CO268" s="697"/>
      <c r="CP268" s="697"/>
      <c r="CQ268" s="697"/>
      <c r="CR268" s="697"/>
      <c r="CS268" s="697"/>
      <c r="CT268" s="697"/>
      <c r="CU268" s="697"/>
      <c r="CV268" s="697"/>
      <c r="CW268" s="697"/>
      <c r="CX268" s="697"/>
      <c r="CY268" s="697"/>
      <c r="CZ268" s="697"/>
      <c r="DA268" s="697"/>
    </row>
    <row r="269" spans="1:105" hidden="1" outlineLevel="1" x14ac:dyDescent="0.2">
      <c r="A269" s="709">
        <f t="shared" si="62"/>
        <v>38353</v>
      </c>
      <c r="B269" s="709" t="str">
        <f t="shared" si="59"/>
        <v>1Q05</v>
      </c>
      <c r="C269" s="709" t="str">
        <f t="shared" si="63"/>
        <v>1Q05</v>
      </c>
      <c r="D269" s="710">
        <f t="shared" si="64"/>
        <v>38436</v>
      </c>
      <c r="E269" s="710">
        <f t="shared" si="64"/>
        <v>38376</v>
      </c>
      <c r="F269" s="712">
        <v>1.9590000000000001</v>
      </c>
      <c r="G269" s="713">
        <f t="shared" si="60"/>
        <v>0.17</v>
      </c>
      <c r="H269" s="713">
        <f t="shared" si="61"/>
        <v>0.17</v>
      </c>
      <c r="I269" s="697"/>
      <c r="J269" s="697"/>
      <c r="K269" s="697"/>
      <c r="L269" s="697"/>
      <c r="M269" s="697"/>
      <c r="N269" s="697"/>
      <c r="O269" s="697"/>
      <c r="P269" s="697"/>
      <c r="Q269" s="697"/>
      <c r="R269" s="697"/>
      <c r="S269" s="697"/>
      <c r="T269" s="697"/>
      <c r="U269" s="697"/>
      <c r="V269" s="697"/>
      <c r="W269" s="697"/>
      <c r="X269" s="697"/>
      <c r="Y269" s="697"/>
      <c r="Z269" s="697"/>
      <c r="AA269" s="697"/>
      <c r="AB269" s="697"/>
      <c r="AC269" s="697"/>
      <c r="AD269" s="697"/>
      <c r="AE269" s="697"/>
      <c r="AF269" s="697"/>
      <c r="AG269" s="697"/>
      <c r="AH269" s="697"/>
      <c r="AI269" s="697"/>
      <c r="AJ269" s="697"/>
      <c r="AK269" s="697"/>
      <c r="AL269" s="697"/>
      <c r="AM269" s="697"/>
      <c r="AN269" s="697"/>
      <c r="AO269" s="697"/>
      <c r="AP269" s="697"/>
      <c r="AQ269" s="697"/>
      <c r="AR269" s="697"/>
      <c r="AS269" s="697"/>
      <c r="AT269" s="697"/>
      <c r="AU269" s="697"/>
      <c r="AV269" s="697"/>
      <c r="AW269" s="697"/>
      <c r="AX269" s="697"/>
      <c r="AY269" s="697"/>
      <c r="AZ269" s="697"/>
      <c r="BA269" s="697"/>
      <c r="BB269" s="697"/>
      <c r="BC269" s="697"/>
      <c r="BD269" s="697"/>
      <c r="BE269" s="697"/>
      <c r="BF269" s="697"/>
      <c r="BG269" s="697"/>
      <c r="BH269" s="697"/>
      <c r="BI269" s="697"/>
      <c r="BJ269" s="697"/>
      <c r="BK269" s="697"/>
      <c r="BL269" s="697"/>
      <c r="BM269" s="697"/>
      <c r="BN269" s="697"/>
      <c r="BO269" s="697"/>
      <c r="BP269" s="697"/>
      <c r="BQ269" s="697"/>
      <c r="BR269" s="697"/>
      <c r="BS269" s="697"/>
      <c r="BT269" s="697"/>
      <c r="BU269" s="697"/>
      <c r="BV269" s="697"/>
      <c r="BW269" s="697"/>
      <c r="BX269" s="697"/>
      <c r="BY269" s="697"/>
      <c r="BZ269" s="697"/>
      <c r="CA269" s="697"/>
      <c r="CB269" s="697"/>
      <c r="CC269" s="697"/>
      <c r="CD269" s="697"/>
      <c r="CE269" s="697"/>
      <c r="CF269" s="697"/>
      <c r="CG269" s="697"/>
      <c r="CH269" s="697"/>
      <c r="CI269" s="697"/>
      <c r="CJ269" s="697"/>
      <c r="CK269" s="697"/>
      <c r="CL269" s="697"/>
      <c r="CM269" s="697"/>
      <c r="CN269" s="697"/>
      <c r="CO269" s="697"/>
      <c r="CP269" s="697"/>
      <c r="CQ269" s="697"/>
      <c r="CR269" s="697"/>
      <c r="CS269" s="697"/>
      <c r="CT269" s="697"/>
      <c r="CU269" s="697"/>
      <c r="CV269" s="697"/>
      <c r="CW269" s="697"/>
      <c r="CX269" s="697"/>
      <c r="CY269" s="697"/>
      <c r="CZ269" s="697"/>
      <c r="DA269" s="697"/>
    </row>
    <row r="270" spans="1:105" hidden="1" outlineLevel="1" x14ac:dyDescent="0.2">
      <c r="A270" s="709">
        <f t="shared" si="62"/>
        <v>38353</v>
      </c>
      <c r="B270" s="709" t="str">
        <f t="shared" si="59"/>
        <v>1Q05</v>
      </c>
      <c r="C270" s="709" t="str">
        <f t="shared" si="63"/>
        <v>2Q05</v>
      </c>
      <c r="D270" s="710">
        <f t="shared" si="64"/>
        <v>38443</v>
      </c>
      <c r="E270" s="710">
        <f t="shared" si="64"/>
        <v>38383</v>
      </c>
      <c r="F270" s="712">
        <v>1.992</v>
      </c>
      <c r="G270" s="713">
        <f t="shared" si="60"/>
        <v>0.17</v>
      </c>
      <c r="H270" s="713">
        <f t="shared" si="61"/>
        <v>0.17</v>
      </c>
      <c r="I270" s="697"/>
      <c r="J270" s="697"/>
      <c r="K270" s="697"/>
      <c r="L270" s="697"/>
      <c r="M270" s="697"/>
      <c r="N270" s="697"/>
      <c r="O270" s="697"/>
      <c r="P270" s="697"/>
      <c r="Q270" s="697"/>
      <c r="R270" s="697"/>
      <c r="S270" s="697"/>
      <c r="T270" s="697"/>
      <c r="U270" s="697"/>
      <c r="V270" s="697"/>
      <c r="W270" s="697"/>
      <c r="X270" s="697"/>
      <c r="Y270" s="697"/>
      <c r="Z270" s="697"/>
      <c r="AA270" s="697"/>
      <c r="AB270" s="697"/>
      <c r="AC270" s="697"/>
      <c r="AD270" s="697"/>
      <c r="AE270" s="697"/>
      <c r="AF270" s="697"/>
      <c r="AG270" s="697"/>
      <c r="AH270" s="697"/>
      <c r="AI270" s="697"/>
      <c r="AJ270" s="697"/>
      <c r="AK270" s="697"/>
      <c r="AL270" s="697"/>
      <c r="AM270" s="697"/>
      <c r="AN270" s="697"/>
      <c r="AO270" s="697"/>
      <c r="AP270" s="697"/>
      <c r="AQ270" s="697"/>
      <c r="AR270" s="697"/>
      <c r="AS270" s="697"/>
      <c r="AT270" s="697"/>
      <c r="AU270" s="697"/>
      <c r="AV270" s="697"/>
      <c r="AW270" s="697"/>
      <c r="AX270" s="697"/>
      <c r="AY270" s="697"/>
      <c r="AZ270" s="697"/>
      <c r="BA270" s="697"/>
      <c r="BB270" s="697"/>
      <c r="BC270" s="697"/>
      <c r="BD270" s="697"/>
      <c r="BE270" s="697"/>
      <c r="BF270" s="697"/>
      <c r="BG270" s="697"/>
      <c r="BH270" s="697"/>
      <c r="BI270" s="697"/>
      <c r="BJ270" s="697"/>
      <c r="BK270" s="697"/>
      <c r="BL270" s="697"/>
      <c r="BM270" s="697"/>
      <c r="BN270" s="697"/>
      <c r="BO270" s="697"/>
      <c r="BP270" s="697"/>
      <c r="BQ270" s="697"/>
      <c r="BR270" s="697"/>
      <c r="BS270" s="697"/>
      <c r="BT270" s="697"/>
      <c r="BU270" s="697"/>
      <c r="BV270" s="697"/>
      <c r="BW270" s="697"/>
      <c r="BX270" s="697"/>
      <c r="BY270" s="697"/>
      <c r="BZ270" s="697"/>
      <c r="CA270" s="697"/>
      <c r="CB270" s="697"/>
      <c r="CC270" s="697"/>
      <c r="CD270" s="697"/>
      <c r="CE270" s="697"/>
      <c r="CF270" s="697"/>
      <c r="CG270" s="697"/>
      <c r="CH270" s="697"/>
      <c r="CI270" s="697"/>
      <c r="CJ270" s="697"/>
      <c r="CK270" s="697"/>
      <c r="CL270" s="697"/>
      <c r="CM270" s="697"/>
      <c r="CN270" s="697"/>
      <c r="CO270" s="697"/>
      <c r="CP270" s="697"/>
      <c r="CQ270" s="697"/>
      <c r="CR270" s="697"/>
      <c r="CS270" s="697"/>
      <c r="CT270" s="697"/>
      <c r="CU270" s="697"/>
      <c r="CV270" s="697"/>
      <c r="CW270" s="697"/>
      <c r="CX270" s="697"/>
      <c r="CY270" s="697"/>
      <c r="CZ270" s="697"/>
      <c r="DA270" s="697"/>
    </row>
    <row r="271" spans="1:105" hidden="1" outlineLevel="1" x14ac:dyDescent="0.2">
      <c r="A271" s="709">
        <f t="shared" si="62"/>
        <v>38384</v>
      </c>
      <c r="B271" s="709" t="str">
        <f t="shared" si="59"/>
        <v>1Q05</v>
      </c>
      <c r="C271" s="709" t="str">
        <f t="shared" si="63"/>
        <v>2Q05</v>
      </c>
      <c r="D271" s="710">
        <f t="shared" si="64"/>
        <v>38450</v>
      </c>
      <c r="E271" s="710">
        <f t="shared" si="64"/>
        <v>38390</v>
      </c>
      <c r="F271" s="712">
        <v>1.9830000000000001</v>
      </c>
      <c r="G271" s="713">
        <f t="shared" si="60"/>
        <v>0.17</v>
      </c>
      <c r="H271" s="713">
        <f t="shared" si="61"/>
        <v>0.17</v>
      </c>
      <c r="I271" s="697"/>
      <c r="J271" s="697"/>
      <c r="K271" s="697"/>
      <c r="L271" s="697"/>
      <c r="M271" s="697"/>
      <c r="N271" s="697"/>
      <c r="O271" s="697"/>
      <c r="P271" s="697"/>
      <c r="Q271" s="697"/>
      <c r="R271" s="697"/>
      <c r="S271" s="697"/>
      <c r="T271" s="697"/>
      <c r="U271" s="697"/>
      <c r="V271" s="697"/>
      <c r="W271" s="697"/>
      <c r="X271" s="697"/>
      <c r="Y271" s="697"/>
      <c r="Z271" s="697"/>
      <c r="AA271" s="697"/>
      <c r="AB271" s="697"/>
      <c r="AC271" s="697"/>
      <c r="AD271" s="697"/>
      <c r="AE271" s="697"/>
      <c r="AF271" s="697"/>
      <c r="AG271" s="697"/>
      <c r="AH271" s="697"/>
      <c r="AI271" s="697"/>
      <c r="AJ271" s="697"/>
      <c r="AK271" s="697"/>
      <c r="AL271" s="697"/>
      <c r="AM271" s="697"/>
      <c r="AN271" s="697"/>
      <c r="AO271" s="697"/>
      <c r="AP271" s="697"/>
      <c r="AQ271" s="697"/>
      <c r="AR271" s="697"/>
      <c r="AS271" s="697"/>
      <c r="AT271" s="697"/>
      <c r="AU271" s="697"/>
      <c r="AV271" s="697"/>
      <c r="AW271" s="697"/>
      <c r="AX271" s="697"/>
      <c r="AY271" s="697"/>
      <c r="AZ271" s="697"/>
      <c r="BA271" s="697"/>
      <c r="BB271" s="697"/>
      <c r="BC271" s="697"/>
      <c r="BD271" s="697"/>
      <c r="BE271" s="697"/>
      <c r="BF271" s="697"/>
      <c r="BG271" s="697"/>
      <c r="BH271" s="697"/>
      <c r="BI271" s="697"/>
      <c r="BJ271" s="697"/>
      <c r="BK271" s="697"/>
      <c r="BL271" s="697"/>
      <c r="BM271" s="697"/>
      <c r="BN271" s="697"/>
      <c r="BO271" s="697"/>
      <c r="BP271" s="697"/>
      <c r="BQ271" s="697"/>
      <c r="BR271" s="697"/>
      <c r="BS271" s="697"/>
      <c r="BT271" s="697"/>
      <c r="BU271" s="697"/>
      <c r="BV271" s="697"/>
      <c r="BW271" s="697"/>
      <c r="BX271" s="697"/>
      <c r="BY271" s="697"/>
      <c r="BZ271" s="697"/>
      <c r="CA271" s="697"/>
      <c r="CB271" s="697"/>
      <c r="CC271" s="697"/>
      <c r="CD271" s="697"/>
      <c r="CE271" s="697"/>
      <c r="CF271" s="697"/>
      <c r="CG271" s="697"/>
      <c r="CH271" s="697"/>
      <c r="CI271" s="697"/>
      <c r="CJ271" s="697"/>
      <c r="CK271" s="697"/>
      <c r="CL271" s="697"/>
      <c r="CM271" s="697"/>
      <c r="CN271" s="697"/>
      <c r="CO271" s="697"/>
      <c r="CP271" s="697"/>
      <c r="CQ271" s="697"/>
      <c r="CR271" s="697"/>
      <c r="CS271" s="697"/>
      <c r="CT271" s="697"/>
      <c r="CU271" s="697"/>
      <c r="CV271" s="697"/>
      <c r="CW271" s="697"/>
      <c r="CX271" s="697"/>
      <c r="CY271" s="697"/>
      <c r="CZ271" s="697"/>
      <c r="DA271" s="697"/>
    </row>
    <row r="272" spans="1:105" hidden="1" outlineLevel="1" x14ac:dyDescent="0.2">
      <c r="A272" s="709">
        <f t="shared" si="62"/>
        <v>38384</v>
      </c>
      <c r="B272" s="709" t="str">
        <f t="shared" si="59"/>
        <v>1Q05</v>
      </c>
      <c r="C272" s="709" t="str">
        <f t="shared" si="63"/>
        <v>2Q05</v>
      </c>
      <c r="D272" s="710">
        <f t="shared" si="64"/>
        <v>38457</v>
      </c>
      <c r="E272" s="710">
        <f t="shared" si="64"/>
        <v>38397</v>
      </c>
      <c r="F272" s="712">
        <v>1.986</v>
      </c>
      <c r="G272" s="713">
        <f t="shared" si="60"/>
        <v>0.17</v>
      </c>
      <c r="H272" s="713">
        <f t="shared" si="61"/>
        <v>0.18000000000000002</v>
      </c>
      <c r="I272" s="697"/>
      <c r="J272" s="697"/>
      <c r="K272" s="697"/>
      <c r="L272" s="697"/>
      <c r="M272" s="697"/>
      <c r="N272" s="697"/>
      <c r="O272" s="697"/>
      <c r="P272" s="697"/>
      <c r="Q272" s="697"/>
      <c r="R272" s="697"/>
      <c r="S272" s="697"/>
      <c r="T272" s="697"/>
      <c r="U272" s="697"/>
      <c r="V272" s="697"/>
      <c r="W272" s="697"/>
      <c r="X272" s="697"/>
      <c r="Y272" s="697"/>
      <c r="Z272" s="697"/>
      <c r="AA272" s="697"/>
      <c r="AB272" s="697"/>
      <c r="AC272" s="697"/>
      <c r="AD272" s="697"/>
      <c r="AE272" s="697"/>
      <c r="AF272" s="697"/>
      <c r="AG272" s="697"/>
      <c r="AH272" s="697"/>
      <c r="AI272" s="697"/>
      <c r="AJ272" s="697"/>
      <c r="AK272" s="697"/>
      <c r="AL272" s="697"/>
      <c r="AM272" s="697"/>
      <c r="AN272" s="697"/>
      <c r="AO272" s="697"/>
      <c r="AP272" s="697"/>
      <c r="AQ272" s="697"/>
      <c r="AR272" s="697"/>
      <c r="AS272" s="697"/>
      <c r="AT272" s="697"/>
      <c r="AU272" s="697"/>
      <c r="AV272" s="697"/>
      <c r="AW272" s="697"/>
      <c r="AX272" s="697"/>
      <c r="AY272" s="697"/>
      <c r="AZ272" s="697"/>
      <c r="BA272" s="697"/>
      <c r="BB272" s="697"/>
      <c r="BC272" s="697"/>
      <c r="BD272" s="697"/>
      <c r="BE272" s="697"/>
      <c r="BF272" s="697"/>
      <c r="BG272" s="697"/>
      <c r="BH272" s="697"/>
      <c r="BI272" s="697"/>
      <c r="BJ272" s="697"/>
      <c r="BK272" s="697"/>
      <c r="BL272" s="697"/>
      <c r="BM272" s="697"/>
      <c r="BN272" s="697"/>
      <c r="BO272" s="697"/>
      <c r="BP272" s="697"/>
      <c r="BQ272" s="697"/>
      <c r="BR272" s="697"/>
      <c r="BS272" s="697"/>
      <c r="BT272" s="697"/>
      <c r="BU272" s="697"/>
      <c r="BV272" s="697"/>
      <c r="BW272" s="697"/>
      <c r="BX272" s="697"/>
      <c r="BY272" s="697"/>
      <c r="BZ272" s="697"/>
      <c r="CA272" s="697"/>
      <c r="CB272" s="697"/>
      <c r="CC272" s="697"/>
      <c r="CD272" s="697"/>
      <c r="CE272" s="697"/>
      <c r="CF272" s="697"/>
      <c r="CG272" s="697"/>
      <c r="CH272" s="697"/>
      <c r="CI272" s="697"/>
      <c r="CJ272" s="697"/>
      <c r="CK272" s="697"/>
      <c r="CL272" s="697"/>
      <c r="CM272" s="697"/>
      <c r="CN272" s="697"/>
      <c r="CO272" s="697"/>
      <c r="CP272" s="697"/>
      <c r="CQ272" s="697"/>
      <c r="CR272" s="697"/>
      <c r="CS272" s="697"/>
      <c r="CT272" s="697"/>
      <c r="CU272" s="697"/>
      <c r="CV272" s="697"/>
      <c r="CW272" s="697"/>
      <c r="CX272" s="697"/>
      <c r="CY272" s="697"/>
      <c r="CZ272" s="697"/>
      <c r="DA272" s="697"/>
    </row>
    <row r="273" spans="1:105" hidden="1" outlineLevel="1" x14ac:dyDescent="0.2">
      <c r="A273" s="709">
        <f t="shared" si="62"/>
        <v>38384</v>
      </c>
      <c r="B273" s="709" t="str">
        <f t="shared" si="59"/>
        <v>1Q05</v>
      </c>
      <c r="C273" s="709" t="str">
        <f t="shared" si="63"/>
        <v>2Q05</v>
      </c>
      <c r="D273" s="710">
        <f t="shared" si="64"/>
        <v>38464</v>
      </c>
      <c r="E273" s="710">
        <f t="shared" si="64"/>
        <v>38404</v>
      </c>
      <c r="F273" s="712">
        <v>2.02</v>
      </c>
      <c r="G273" s="713">
        <f t="shared" si="60"/>
        <v>0.18000000000000002</v>
      </c>
      <c r="H273" s="713">
        <f t="shared" si="61"/>
        <v>0.20000000000000004</v>
      </c>
      <c r="I273" s="697"/>
      <c r="J273" s="697"/>
      <c r="K273" s="697"/>
      <c r="L273" s="697"/>
      <c r="M273" s="697"/>
      <c r="N273" s="697"/>
      <c r="O273" s="697"/>
      <c r="P273" s="697"/>
      <c r="Q273" s="697"/>
      <c r="R273" s="697"/>
      <c r="S273" s="697"/>
      <c r="T273" s="697"/>
      <c r="U273" s="697"/>
      <c r="V273" s="697"/>
      <c r="W273" s="697"/>
      <c r="X273" s="697"/>
      <c r="Y273" s="697"/>
      <c r="Z273" s="697"/>
      <c r="AA273" s="697"/>
      <c r="AB273" s="697"/>
      <c r="AC273" s="697"/>
      <c r="AD273" s="697"/>
      <c r="AE273" s="697"/>
      <c r="AF273" s="697"/>
      <c r="AG273" s="697"/>
      <c r="AH273" s="697"/>
      <c r="AI273" s="697"/>
      <c r="AJ273" s="697"/>
      <c r="AK273" s="697"/>
      <c r="AL273" s="697"/>
      <c r="AM273" s="697"/>
      <c r="AN273" s="697"/>
      <c r="AO273" s="697"/>
      <c r="AP273" s="697"/>
      <c r="AQ273" s="697"/>
      <c r="AR273" s="697"/>
      <c r="AS273" s="697"/>
      <c r="AT273" s="697"/>
      <c r="AU273" s="697"/>
      <c r="AV273" s="697"/>
      <c r="AW273" s="697"/>
      <c r="AX273" s="697"/>
      <c r="AY273" s="697"/>
      <c r="AZ273" s="697"/>
      <c r="BA273" s="697"/>
      <c r="BB273" s="697"/>
      <c r="BC273" s="697"/>
      <c r="BD273" s="697"/>
      <c r="BE273" s="697"/>
      <c r="BF273" s="697"/>
      <c r="BG273" s="697"/>
      <c r="BH273" s="697"/>
      <c r="BI273" s="697"/>
      <c r="BJ273" s="697"/>
      <c r="BK273" s="697"/>
      <c r="BL273" s="697"/>
      <c r="BM273" s="697"/>
      <c r="BN273" s="697"/>
      <c r="BO273" s="697"/>
      <c r="BP273" s="697"/>
      <c r="BQ273" s="697"/>
      <c r="BR273" s="697"/>
      <c r="BS273" s="697"/>
      <c r="BT273" s="697"/>
      <c r="BU273" s="697"/>
      <c r="BV273" s="697"/>
      <c r="BW273" s="697"/>
      <c r="BX273" s="697"/>
      <c r="BY273" s="697"/>
      <c r="BZ273" s="697"/>
      <c r="CA273" s="697"/>
      <c r="CB273" s="697"/>
      <c r="CC273" s="697"/>
      <c r="CD273" s="697"/>
      <c r="CE273" s="697"/>
      <c r="CF273" s="697"/>
      <c r="CG273" s="697"/>
      <c r="CH273" s="697"/>
      <c r="CI273" s="697"/>
      <c r="CJ273" s="697"/>
      <c r="CK273" s="697"/>
      <c r="CL273" s="697"/>
      <c r="CM273" s="697"/>
      <c r="CN273" s="697"/>
      <c r="CO273" s="697"/>
      <c r="CP273" s="697"/>
      <c r="CQ273" s="697"/>
      <c r="CR273" s="697"/>
      <c r="CS273" s="697"/>
      <c r="CT273" s="697"/>
      <c r="CU273" s="697"/>
      <c r="CV273" s="697"/>
      <c r="CW273" s="697"/>
      <c r="CX273" s="697"/>
      <c r="CY273" s="697"/>
      <c r="CZ273" s="697"/>
      <c r="DA273" s="697"/>
    </row>
    <row r="274" spans="1:105" hidden="1" outlineLevel="1" x14ac:dyDescent="0.2">
      <c r="A274" s="709">
        <f t="shared" si="62"/>
        <v>38384</v>
      </c>
      <c r="B274" s="709" t="str">
        <f t="shared" si="59"/>
        <v>1Q05</v>
      </c>
      <c r="C274" s="709" t="str">
        <f t="shared" si="63"/>
        <v>2Q05</v>
      </c>
      <c r="D274" s="710">
        <f t="shared" si="64"/>
        <v>38471</v>
      </c>
      <c r="E274" s="710">
        <f t="shared" si="64"/>
        <v>38411</v>
      </c>
      <c r="F274" s="712">
        <v>2.1180000000000003</v>
      </c>
      <c r="G274" s="713">
        <f t="shared" si="60"/>
        <v>0.20000000000000004</v>
      </c>
      <c r="H274" s="713">
        <f t="shared" si="61"/>
        <v>0.21000000000000005</v>
      </c>
      <c r="I274" s="697"/>
      <c r="J274" s="697"/>
      <c r="K274" s="697"/>
      <c r="L274" s="697"/>
      <c r="M274" s="697"/>
      <c r="N274" s="697"/>
      <c r="O274" s="697"/>
      <c r="P274" s="697"/>
      <c r="Q274" s="697"/>
      <c r="R274" s="697"/>
      <c r="S274" s="697"/>
      <c r="T274" s="697"/>
      <c r="U274" s="697"/>
      <c r="V274" s="697"/>
      <c r="W274" s="697"/>
      <c r="X274" s="697"/>
      <c r="Y274" s="697"/>
      <c r="Z274" s="697"/>
      <c r="AA274" s="697"/>
      <c r="AB274" s="697"/>
      <c r="AC274" s="697"/>
      <c r="AD274" s="697"/>
      <c r="AE274" s="697"/>
      <c r="AF274" s="697"/>
      <c r="AG274" s="697"/>
      <c r="AH274" s="697"/>
      <c r="AI274" s="697"/>
      <c r="AJ274" s="697"/>
      <c r="AK274" s="697"/>
      <c r="AL274" s="697"/>
      <c r="AM274" s="697"/>
      <c r="AN274" s="697"/>
      <c r="AO274" s="697"/>
      <c r="AP274" s="697"/>
      <c r="AQ274" s="697"/>
      <c r="AR274" s="697"/>
      <c r="AS274" s="697"/>
      <c r="AT274" s="697"/>
      <c r="AU274" s="697"/>
      <c r="AV274" s="697"/>
      <c r="AW274" s="697"/>
      <c r="AX274" s="697"/>
      <c r="AY274" s="697"/>
      <c r="AZ274" s="697"/>
      <c r="BA274" s="697"/>
      <c r="BB274" s="697"/>
      <c r="BC274" s="697"/>
      <c r="BD274" s="697"/>
      <c r="BE274" s="697"/>
      <c r="BF274" s="697"/>
      <c r="BG274" s="697"/>
      <c r="BH274" s="697"/>
      <c r="BI274" s="697"/>
      <c r="BJ274" s="697"/>
      <c r="BK274" s="697"/>
      <c r="BL274" s="697"/>
      <c r="BM274" s="697"/>
      <c r="BN274" s="697"/>
      <c r="BO274" s="697"/>
      <c r="BP274" s="697"/>
      <c r="BQ274" s="697"/>
      <c r="BR274" s="697"/>
      <c r="BS274" s="697"/>
      <c r="BT274" s="697"/>
      <c r="BU274" s="697"/>
      <c r="BV274" s="697"/>
      <c r="BW274" s="697"/>
      <c r="BX274" s="697"/>
      <c r="BY274" s="697"/>
      <c r="BZ274" s="697"/>
      <c r="CA274" s="697"/>
      <c r="CB274" s="697"/>
      <c r="CC274" s="697"/>
      <c r="CD274" s="697"/>
      <c r="CE274" s="697"/>
      <c r="CF274" s="697"/>
      <c r="CG274" s="697"/>
      <c r="CH274" s="697"/>
      <c r="CI274" s="697"/>
      <c r="CJ274" s="697"/>
      <c r="CK274" s="697"/>
      <c r="CL274" s="697"/>
      <c r="CM274" s="697"/>
      <c r="CN274" s="697"/>
      <c r="CO274" s="697"/>
      <c r="CP274" s="697"/>
      <c r="CQ274" s="697"/>
      <c r="CR274" s="697"/>
      <c r="CS274" s="697"/>
      <c r="CT274" s="697"/>
      <c r="CU274" s="697"/>
      <c r="CV274" s="697"/>
      <c r="CW274" s="697"/>
      <c r="CX274" s="697"/>
      <c r="CY274" s="697"/>
      <c r="CZ274" s="697"/>
      <c r="DA274" s="697"/>
    </row>
    <row r="275" spans="1:105" hidden="1" outlineLevel="1" x14ac:dyDescent="0.2">
      <c r="A275" s="709">
        <f t="shared" si="62"/>
        <v>38412</v>
      </c>
      <c r="B275" s="709" t="str">
        <f t="shared" si="59"/>
        <v>1Q05</v>
      </c>
      <c r="C275" s="709" t="str">
        <f t="shared" si="63"/>
        <v>2Q05</v>
      </c>
      <c r="D275" s="710">
        <f t="shared" si="64"/>
        <v>38478</v>
      </c>
      <c r="E275" s="710">
        <f t="shared" si="64"/>
        <v>38418</v>
      </c>
      <c r="F275" s="712">
        <v>2.1680000000000001</v>
      </c>
      <c r="G275" s="713">
        <f t="shared" si="60"/>
        <v>0.21000000000000005</v>
      </c>
      <c r="H275" s="713">
        <f t="shared" si="61"/>
        <v>0.21000000000000005</v>
      </c>
      <c r="I275" s="697"/>
      <c r="J275" s="697"/>
      <c r="K275" s="697"/>
      <c r="L275" s="697"/>
      <c r="M275" s="697"/>
      <c r="N275" s="697"/>
      <c r="O275" s="697"/>
      <c r="P275" s="697"/>
      <c r="Q275" s="697"/>
      <c r="R275" s="697"/>
      <c r="S275" s="697"/>
      <c r="T275" s="697"/>
      <c r="U275" s="697"/>
      <c r="V275" s="697"/>
      <c r="W275" s="697"/>
      <c r="X275" s="697"/>
      <c r="Y275" s="697"/>
      <c r="Z275" s="697"/>
      <c r="AA275" s="697"/>
      <c r="AB275" s="697"/>
      <c r="AC275" s="697"/>
      <c r="AD275" s="697"/>
      <c r="AE275" s="697"/>
      <c r="AF275" s="697"/>
      <c r="AG275" s="697"/>
      <c r="AH275" s="697"/>
      <c r="AI275" s="697"/>
      <c r="AJ275" s="697"/>
      <c r="AK275" s="697"/>
      <c r="AL275" s="697"/>
      <c r="AM275" s="697"/>
      <c r="AN275" s="697"/>
      <c r="AO275" s="697"/>
      <c r="AP275" s="697"/>
      <c r="AQ275" s="697"/>
      <c r="AR275" s="697"/>
      <c r="AS275" s="697"/>
      <c r="AT275" s="697"/>
      <c r="AU275" s="697"/>
      <c r="AV275" s="697"/>
      <c r="AW275" s="697"/>
      <c r="AX275" s="697"/>
      <c r="AY275" s="697"/>
      <c r="AZ275" s="697"/>
      <c r="BA275" s="697"/>
      <c r="BB275" s="697"/>
      <c r="BC275" s="697"/>
      <c r="BD275" s="697"/>
      <c r="BE275" s="697"/>
      <c r="BF275" s="697"/>
      <c r="BG275" s="697"/>
      <c r="BH275" s="697"/>
      <c r="BI275" s="697"/>
      <c r="BJ275" s="697"/>
      <c r="BK275" s="697"/>
      <c r="BL275" s="697"/>
      <c r="BM275" s="697"/>
      <c r="BN275" s="697"/>
      <c r="BO275" s="697"/>
      <c r="BP275" s="697"/>
      <c r="BQ275" s="697"/>
      <c r="BR275" s="697"/>
      <c r="BS275" s="697"/>
      <c r="BT275" s="697"/>
      <c r="BU275" s="697"/>
      <c r="BV275" s="697"/>
      <c r="BW275" s="697"/>
      <c r="BX275" s="697"/>
      <c r="BY275" s="697"/>
      <c r="BZ275" s="697"/>
      <c r="CA275" s="697"/>
      <c r="CB275" s="697"/>
      <c r="CC275" s="697"/>
      <c r="CD275" s="697"/>
      <c r="CE275" s="697"/>
      <c r="CF275" s="697"/>
      <c r="CG275" s="697"/>
      <c r="CH275" s="697"/>
      <c r="CI275" s="697"/>
      <c r="CJ275" s="697"/>
      <c r="CK275" s="697"/>
      <c r="CL275" s="697"/>
      <c r="CM275" s="697"/>
      <c r="CN275" s="697"/>
      <c r="CO275" s="697"/>
      <c r="CP275" s="697"/>
      <c r="CQ275" s="697"/>
      <c r="CR275" s="697"/>
      <c r="CS275" s="697"/>
      <c r="CT275" s="697"/>
      <c r="CU275" s="697"/>
      <c r="CV275" s="697"/>
      <c r="CW275" s="697"/>
      <c r="CX275" s="697"/>
      <c r="CY275" s="697"/>
      <c r="CZ275" s="697"/>
      <c r="DA275" s="697"/>
    </row>
    <row r="276" spans="1:105" hidden="1" outlineLevel="1" x14ac:dyDescent="0.2">
      <c r="A276" s="709">
        <f t="shared" si="62"/>
        <v>38412</v>
      </c>
      <c r="B276" s="709" t="str">
        <f t="shared" si="59"/>
        <v>1Q05</v>
      </c>
      <c r="C276" s="709" t="str">
        <f t="shared" si="63"/>
        <v>2Q05</v>
      </c>
      <c r="D276" s="710">
        <f t="shared" si="64"/>
        <v>38485</v>
      </c>
      <c r="E276" s="710">
        <f t="shared" si="64"/>
        <v>38425</v>
      </c>
      <c r="F276" s="712">
        <v>2.194</v>
      </c>
      <c r="G276" s="713">
        <f t="shared" si="60"/>
        <v>0.21000000000000005</v>
      </c>
      <c r="H276" s="713">
        <f t="shared" si="61"/>
        <v>0.22000000000000006</v>
      </c>
      <c r="I276" s="697"/>
      <c r="J276" s="697"/>
      <c r="K276" s="697"/>
      <c r="L276" s="697"/>
      <c r="M276" s="697"/>
      <c r="N276" s="697"/>
      <c r="O276" s="697"/>
      <c r="P276" s="697"/>
      <c r="Q276" s="697"/>
      <c r="R276" s="697"/>
      <c r="S276" s="697"/>
      <c r="T276" s="697"/>
      <c r="U276" s="697"/>
      <c r="V276" s="697"/>
      <c r="W276" s="697"/>
      <c r="X276" s="697"/>
      <c r="Y276" s="697"/>
      <c r="Z276" s="697"/>
      <c r="AA276" s="697"/>
      <c r="AB276" s="697"/>
      <c r="AC276" s="697"/>
      <c r="AD276" s="697"/>
      <c r="AE276" s="697"/>
      <c r="AF276" s="697"/>
      <c r="AG276" s="697"/>
      <c r="AH276" s="697"/>
      <c r="AI276" s="697"/>
      <c r="AJ276" s="697"/>
      <c r="AK276" s="697"/>
      <c r="AL276" s="697"/>
      <c r="AM276" s="697"/>
      <c r="AN276" s="697"/>
      <c r="AO276" s="697"/>
      <c r="AP276" s="697"/>
      <c r="AQ276" s="697"/>
      <c r="AR276" s="697"/>
      <c r="AS276" s="697"/>
      <c r="AT276" s="697"/>
      <c r="AU276" s="697"/>
      <c r="AV276" s="697"/>
      <c r="AW276" s="697"/>
      <c r="AX276" s="697"/>
      <c r="AY276" s="697"/>
      <c r="AZ276" s="697"/>
      <c r="BA276" s="697"/>
      <c r="BB276" s="697"/>
      <c r="BC276" s="697"/>
      <c r="BD276" s="697"/>
      <c r="BE276" s="697"/>
      <c r="BF276" s="697"/>
      <c r="BG276" s="697"/>
      <c r="BH276" s="697"/>
      <c r="BI276" s="697"/>
      <c r="BJ276" s="697"/>
      <c r="BK276" s="697"/>
      <c r="BL276" s="697"/>
      <c r="BM276" s="697"/>
      <c r="BN276" s="697"/>
      <c r="BO276" s="697"/>
      <c r="BP276" s="697"/>
      <c r="BQ276" s="697"/>
      <c r="BR276" s="697"/>
      <c r="BS276" s="697"/>
      <c r="BT276" s="697"/>
      <c r="BU276" s="697"/>
      <c r="BV276" s="697"/>
      <c r="BW276" s="697"/>
      <c r="BX276" s="697"/>
      <c r="BY276" s="697"/>
      <c r="BZ276" s="697"/>
      <c r="CA276" s="697"/>
      <c r="CB276" s="697"/>
      <c r="CC276" s="697"/>
      <c r="CD276" s="697"/>
      <c r="CE276" s="697"/>
      <c r="CF276" s="697"/>
      <c r="CG276" s="697"/>
      <c r="CH276" s="697"/>
      <c r="CI276" s="697"/>
      <c r="CJ276" s="697"/>
      <c r="CK276" s="697"/>
      <c r="CL276" s="697"/>
      <c r="CM276" s="697"/>
      <c r="CN276" s="697"/>
      <c r="CO276" s="697"/>
      <c r="CP276" s="697"/>
      <c r="CQ276" s="697"/>
      <c r="CR276" s="697"/>
      <c r="CS276" s="697"/>
      <c r="CT276" s="697"/>
      <c r="CU276" s="697"/>
      <c r="CV276" s="697"/>
      <c r="CW276" s="697"/>
      <c r="CX276" s="697"/>
      <c r="CY276" s="697"/>
      <c r="CZ276" s="697"/>
      <c r="DA276" s="697"/>
    </row>
    <row r="277" spans="1:105" hidden="1" outlineLevel="1" x14ac:dyDescent="0.2">
      <c r="A277" s="709">
        <f t="shared" si="62"/>
        <v>38412</v>
      </c>
      <c r="B277" s="709" t="str">
        <f t="shared" si="59"/>
        <v>1Q05</v>
      </c>
      <c r="C277" s="709" t="str">
        <f t="shared" si="63"/>
        <v>2Q05</v>
      </c>
      <c r="D277" s="710">
        <f t="shared" ref="D277:E292" si="65">D276+7</f>
        <v>38492</v>
      </c>
      <c r="E277" s="710">
        <f t="shared" si="65"/>
        <v>38432</v>
      </c>
      <c r="F277" s="712">
        <v>2.2440000000000002</v>
      </c>
      <c r="G277" s="713">
        <f t="shared" si="60"/>
        <v>0.22000000000000006</v>
      </c>
      <c r="H277" s="713">
        <f t="shared" si="61"/>
        <v>0.22000000000000006</v>
      </c>
      <c r="I277" s="697"/>
      <c r="J277" s="697"/>
      <c r="K277" s="697"/>
      <c r="L277" s="697"/>
      <c r="M277" s="697"/>
      <c r="N277" s="697"/>
      <c r="O277" s="697"/>
      <c r="P277" s="697"/>
      <c r="Q277" s="697"/>
      <c r="R277" s="697"/>
      <c r="S277" s="697"/>
      <c r="T277" s="697"/>
      <c r="U277" s="697"/>
      <c r="V277" s="697"/>
      <c r="W277" s="697"/>
      <c r="X277" s="697"/>
      <c r="Y277" s="697"/>
      <c r="Z277" s="697"/>
      <c r="AA277" s="697"/>
      <c r="AB277" s="697"/>
      <c r="AC277" s="697"/>
      <c r="AD277" s="697"/>
      <c r="AE277" s="697"/>
      <c r="AF277" s="697"/>
      <c r="AG277" s="697"/>
      <c r="AH277" s="697"/>
      <c r="AI277" s="697"/>
      <c r="AJ277" s="697"/>
      <c r="AK277" s="697"/>
      <c r="AL277" s="697"/>
      <c r="AM277" s="697"/>
      <c r="AN277" s="697"/>
      <c r="AO277" s="697"/>
      <c r="AP277" s="697"/>
      <c r="AQ277" s="697"/>
      <c r="AR277" s="697"/>
      <c r="AS277" s="697"/>
      <c r="AT277" s="697"/>
      <c r="AU277" s="697"/>
      <c r="AV277" s="697"/>
      <c r="AW277" s="697"/>
      <c r="AX277" s="697"/>
      <c r="AY277" s="697"/>
      <c r="AZ277" s="697"/>
      <c r="BA277" s="697"/>
      <c r="BB277" s="697"/>
      <c r="BC277" s="697"/>
      <c r="BD277" s="697"/>
      <c r="BE277" s="697"/>
      <c r="BF277" s="697"/>
      <c r="BG277" s="697"/>
      <c r="BH277" s="697"/>
      <c r="BI277" s="697"/>
      <c r="BJ277" s="697"/>
      <c r="BK277" s="697"/>
      <c r="BL277" s="697"/>
      <c r="BM277" s="697"/>
      <c r="BN277" s="697"/>
      <c r="BO277" s="697"/>
      <c r="BP277" s="697"/>
      <c r="BQ277" s="697"/>
      <c r="BR277" s="697"/>
      <c r="BS277" s="697"/>
      <c r="BT277" s="697"/>
      <c r="BU277" s="697"/>
      <c r="BV277" s="697"/>
      <c r="BW277" s="697"/>
      <c r="BX277" s="697"/>
      <c r="BY277" s="697"/>
      <c r="BZ277" s="697"/>
      <c r="CA277" s="697"/>
      <c r="CB277" s="697"/>
      <c r="CC277" s="697"/>
      <c r="CD277" s="697"/>
      <c r="CE277" s="697"/>
      <c r="CF277" s="697"/>
      <c r="CG277" s="697"/>
      <c r="CH277" s="697"/>
      <c r="CI277" s="697"/>
      <c r="CJ277" s="697"/>
      <c r="CK277" s="697"/>
      <c r="CL277" s="697"/>
      <c r="CM277" s="697"/>
      <c r="CN277" s="697"/>
      <c r="CO277" s="697"/>
      <c r="CP277" s="697"/>
      <c r="CQ277" s="697"/>
      <c r="CR277" s="697"/>
      <c r="CS277" s="697"/>
      <c r="CT277" s="697"/>
      <c r="CU277" s="697"/>
      <c r="CV277" s="697"/>
      <c r="CW277" s="697"/>
      <c r="CX277" s="697"/>
      <c r="CY277" s="697"/>
      <c r="CZ277" s="697"/>
      <c r="DA277" s="697"/>
    </row>
    <row r="278" spans="1:105" hidden="1" outlineLevel="1" x14ac:dyDescent="0.2">
      <c r="A278" s="709">
        <f t="shared" si="62"/>
        <v>38412</v>
      </c>
      <c r="B278" s="709" t="str">
        <f t="shared" si="59"/>
        <v>1Q05</v>
      </c>
      <c r="C278" s="709" t="str">
        <f t="shared" si="63"/>
        <v>2Q05</v>
      </c>
      <c r="D278" s="710">
        <f t="shared" si="65"/>
        <v>38499</v>
      </c>
      <c r="E278" s="710">
        <f t="shared" si="65"/>
        <v>38439</v>
      </c>
      <c r="F278" s="712">
        <v>2.2490000000000001</v>
      </c>
      <c r="G278" s="713">
        <f t="shared" si="60"/>
        <v>0.22000000000000006</v>
      </c>
      <c r="H278" s="713">
        <f t="shared" si="61"/>
        <v>0.24000000000000007</v>
      </c>
      <c r="I278" s="697"/>
      <c r="J278" s="697"/>
      <c r="K278" s="697"/>
      <c r="L278" s="697"/>
      <c r="M278" s="697"/>
      <c r="N278" s="697"/>
      <c r="O278" s="697"/>
      <c r="P278" s="697"/>
      <c r="Q278" s="697"/>
      <c r="R278" s="697"/>
      <c r="S278" s="697"/>
      <c r="T278" s="697"/>
      <c r="U278" s="697"/>
      <c r="V278" s="697"/>
      <c r="W278" s="697"/>
      <c r="X278" s="697"/>
      <c r="Y278" s="697"/>
      <c r="Z278" s="697"/>
      <c r="AA278" s="697"/>
      <c r="AB278" s="697"/>
      <c r="AC278" s="697"/>
      <c r="AD278" s="697"/>
      <c r="AE278" s="697"/>
      <c r="AF278" s="697"/>
      <c r="AG278" s="697"/>
      <c r="AH278" s="697"/>
      <c r="AI278" s="697"/>
      <c r="AJ278" s="697"/>
      <c r="AK278" s="697"/>
      <c r="AL278" s="697"/>
      <c r="AM278" s="697"/>
      <c r="AN278" s="697"/>
      <c r="AO278" s="697"/>
      <c r="AP278" s="697"/>
      <c r="AQ278" s="697"/>
      <c r="AR278" s="697"/>
      <c r="AS278" s="697"/>
      <c r="AT278" s="697"/>
      <c r="AU278" s="697"/>
      <c r="AV278" s="697"/>
      <c r="AW278" s="697"/>
      <c r="AX278" s="697"/>
      <c r="AY278" s="697"/>
      <c r="AZ278" s="697"/>
      <c r="BA278" s="697"/>
      <c r="BB278" s="697"/>
      <c r="BC278" s="697"/>
      <c r="BD278" s="697"/>
      <c r="BE278" s="697"/>
      <c r="BF278" s="697"/>
      <c r="BG278" s="697"/>
      <c r="BH278" s="697"/>
      <c r="BI278" s="697"/>
      <c r="BJ278" s="697"/>
      <c r="BK278" s="697"/>
      <c r="BL278" s="697"/>
      <c r="BM278" s="697"/>
      <c r="BN278" s="697"/>
      <c r="BO278" s="697"/>
      <c r="BP278" s="697"/>
      <c r="BQ278" s="697"/>
      <c r="BR278" s="697"/>
      <c r="BS278" s="697"/>
      <c r="BT278" s="697"/>
      <c r="BU278" s="697"/>
      <c r="BV278" s="697"/>
      <c r="BW278" s="697"/>
      <c r="BX278" s="697"/>
      <c r="BY278" s="697"/>
      <c r="BZ278" s="697"/>
      <c r="CA278" s="697"/>
      <c r="CB278" s="697"/>
      <c r="CC278" s="697"/>
      <c r="CD278" s="697"/>
      <c r="CE278" s="697"/>
      <c r="CF278" s="697"/>
      <c r="CG278" s="697"/>
      <c r="CH278" s="697"/>
      <c r="CI278" s="697"/>
      <c r="CJ278" s="697"/>
      <c r="CK278" s="697"/>
      <c r="CL278" s="697"/>
      <c r="CM278" s="697"/>
      <c r="CN278" s="697"/>
      <c r="CO278" s="697"/>
      <c r="CP278" s="697"/>
      <c r="CQ278" s="697"/>
      <c r="CR278" s="697"/>
      <c r="CS278" s="697"/>
      <c r="CT278" s="697"/>
      <c r="CU278" s="697"/>
      <c r="CV278" s="697"/>
      <c r="CW278" s="697"/>
      <c r="CX278" s="697"/>
      <c r="CY278" s="697"/>
      <c r="CZ278" s="697"/>
      <c r="DA278" s="697"/>
    </row>
    <row r="279" spans="1:105" hidden="1" outlineLevel="1" x14ac:dyDescent="0.2">
      <c r="A279" s="709">
        <f t="shared" si="62"/>
        <v>38443</v>
      </c>
      <c r="B279" s="709" t="str">
        <f t="shared" si="59"/>
        <v>2Q05</v>
      </c>
      <c r="C279" s="709" t="str">
        <f t="shared" si="63"/>
        <v>2Q05</v>
      </c>
      <c r="D279" s="710">
        <f t="shared" si="65"/>
        <v>38506</v>
      </c>
      <c r="E279" s="710">
        <f t="shared" si="65"/>
        <v>38446</v>
      </c>
      <c r="F279" s="712">
        <v>2.3029999999999999</v>
      </c>
      <c r="G279" s="713">
        <f t="shared" si="60"/>
        <v>0.24000000000000007</v>
      </c>
      <c r="H279" s="713">
        <f t="shared" si="61"/>
        <v>0.24000000000000007</v>
      </c>
      <c r="I279" s="697"/>
      <c r="J279" s="697"/>
      <c r="K279" s="697"/>
      <c r="L279" s="697"/>
      <c r="M279" s="697"/>
      <c r="N279" s="697"/>
      <c r="O279" s="697"/>
      <c r="P279" s="697"/>
      <c r="Q279" s="697"/>
      <c r="R279" s="697"/>
      <c r="S279" s="697"/>
      <c r="T279" s="697"/>
      <c r="U279" s="697"/>
      <c r="V279" s="697"/>
      <c r="W279" s="697"/>
      <c r="X279" s="697"/>
      <c r="Y279" s="697"/>
      <c r="Z279" s="697"/>
      <c r="AA279" s="697"/>
      <c r="AB279" s="697"/>
      <c r="AC279" s="697"/>
      <c r="AD279" s="697"/>
      <c r="AE279" s="697"/>
      <c r="AF279" s="697"/>
      <c r="AG279" s="697"/>
      <c r="AH279" s="697"/>
      <c r="AI279" s="697"/>
      <c r="AJ279" s="697"/>
      <c r="AK279" s="697"/>
      <c r="AL279" s="697"/>
      <c r="AM279" s="697"/>
      <c r="AN279" s="697"/>
      <c r="AO279" s="697"/>
      <c r="AP279" s="697"/>
      <c r="AQ279" s="697"/>
      <c r="AR279" s="697"/>
      <c r="AS279" s="697"/>
      <c r="AT279" s="697"/>
      <c r="AU279" s="697"/>
      <c r="AV279" s="697"/>
      <c r="AW279" s="697"/>
      <c r="AX279" s="697"/>
      <c r="AY279" s="697"/>
      <c r="AZ279" s="697"/>
      <c r="BA279" s="697"/>
      <c r="BB279" s="697"/>
      <c r="BC279" s="697"/>
      <c r="BD279" s="697"/>
      <c r="BE279" s="697"/>
      <c r="BF279" s="697"/>
      <c r="BG279" s="697"/>
      <c r="BH279" s="697"/>
      <c r="BI279" s="697"/>
      <c r="BJ279" s="697"/>
      <c r="BK279" s="697"/>
      <c r="BL279" s="697"/>
      <c r="BM279" s="697"/>
      <c r="BN279" s="697"/>
      <c r="BO279" s="697"/>
      <c r="BP279" s="697"/>
      <c r="BQ279" s="697"/>
      <c r="BR279" s="697"/>
      <c r="BS279" s="697"/>
      <c r="BT279" s="697"/>
      <c r="BU279" s="697"/>
      <c r="BV279" s="697"/>
      <c r="BW279" s="697"/>
      <c r="BX279" s="697"/>
      <c r="BY279" s="697"/>
      <c r="BZ279" s="697"/>
      <c r="CA279" s="697"/>
      <c r="CB279" s="697"/>
      <c r="CC279" s="697"/>
      <c r="CD279" s="697"/>
      <c r="CE279" s="697"/>
      <c r="CF279" s="697"/>
      <c r="CG279" s="697"/>
      <c r="CH279" s="697"/>
      <c r="CI279" s="697"/>
      <c r="CJ279" s="697"/>
      <c r="CK279" s="697"/>
      <c r="CL279" s="697"/>
      <c r="CM279" s="697"/>
      <c r="CN279" s="697"/>
      <c r="CO279" s="697"/>
      <c r="CP279" s="697"/>
      <c r="CQ279" s="697"/>
      <c r="CR279" s="697"/>
      <c r="CS279" s="697"/>
      <c r="CT279" s="697"/>
      <c r="CU279" s="697"/>
      <c r="CV279" s="697"/>
      <c r="CW279" s="697"/>
      <c r="CX279" s="697"/>
      <c r="CY279" s="697"/>
      <c r="CZ279" s="697"/>
      <c r="DA279" s="697"/>
    </row>
    <row r="280" spans="1:105" hidden="1" outlineLevel="1" x14ac:dyDescent="0.2">
      <c r="A280" s="709">
        <f t="shared" si="62"/>
        <v>38443</v>
      </c>
      <c r="B280" s="709" t="str">
        <f t="shared" si="59"/>
        <v>2Q05</v>
      </c>
      <c r="C280" s="709" t="str">
        <f t="shared" si="63"/>
        <v>2Q05</v>
      </c>
      <c r="D280" s="710">
        <f t="shared" si="65"/>
        <v>38513</v>
      </c>
      <c r="E280" s="710">
        <f t="shared" si="65"/>
        <v>38453</v>
      </c>
      <c r="F280" s="712">
        <v>2.3159999999999998</v>
      </c>
      <c r="G280" s="713">
        <f t="shared" si="60"/>
        <v>0.24000000000000007</v>
      </c>
      <c r="H280" s="713">
        <f t="shared" si="61"/>
        <v>0.23000000000000007</v>
      </c>
      <c r="I280" s="697"/>
      <c r="J280" s="697"/>
      <c r="K280" s="697"/>
      <c r="L280" s="697"/>
      <c r="M280" s="697"/>
      <c r="N280" s="697"/>
      <c r="O280" s="697"/>
      <c r="P280" s="697"/>
      <c r="Q280" s="697"/>
      <c r="R280" s="697"/>
      <c r="S280" s="697"/>
      <c r="T280" s="697"/>
      <c r="U280" s="697"/>
      <c r="V280" s="697"/>
      <c r="W280" s="697"/>
      <c r="X280" s="697"/>
      <c r="Y280" s="697"/>
      <c r="Z280" s="697"/>
      <c r="AA280" s="697"/>
      <c r="AB280" s="697"/>
      <c r="AC280" s="697"/>
      <c r="AD280" s="697"/>
      <c r="AE280" s="697"/>
      <c r="AF280" s="697"/>
      <c r="AG280" s="697"/>
      <c r="AH280" s="697"/>
      <c r="AI280" s="697"/>
      <c r="AJ280" s="697"/>
      <c r="AK280" s="697"/>
      <c r="AL280" s="697"/>
      <c r="AM280" s="697"/>
      <c r="AN280" s="697"/>
      <c r="AO280" s="697"/>
      <c r="AP280" s="697"/>
      <c r="AQ280" s="697"/>
      <c r="AR280" s="697"/>
      <c r="AS280" s="697"/>
      <c r="AT280" s="697"/>
      <c r="AU280" s="697"/>
      <c r="AV280" s="697"/>
      <c r="AW280" s="697"/>
      <c r="AX280" s="697"/>
      <c r="AY280" s="697"/>
      <c r="AZ280" s="697"/>
      <c r="BA280" s="697"/>
      <c r="BB280" s="697"/>
      <c r="BC280" s="697"/>
      <c r="BD280" s="697"/>
      <c r="BE280" s="697"/>
      <c r="BF280" s="697"/>
      <c r="BG280" s="697"/>
      <c r="BH280" s="697"/>
      <c r="BI280" s="697"/>
      <c r="BJ280" s="697"/>
      <c r="BK280" s="697"/>
      <c r="BL280" s="697"/>
      <c r="BM280" s="697"/>
      <c r="BN280" s="697"/>
      <c r="BO280" s="697"/>
      <c r="BP280" s="697"/>
      <c r="BQ280" s="697"/>
      <c r="BR280" s="697"/>
      <c r="BS280" s="697"/>
      <c r="BT280" s="697"/>
      <c r="BU280" s="697"/>
      <c r="BV280" s="697"/>
      <c r="BW280" s="697"/>
      <c r="BX280" s="697"/>
      <c r="BY280" s="697"/>
      <c r="BZ280" s="697"/>
      <c r="CA280" s="697"/>
      <c r="CB280" s="697"/>
      <c r="CC280" s="697"/>
      <c r="CD280" s="697"/>
      <c r="CE280" s="697"/>
      <c r="CF280" s="697"/>
      <c r="CG280" s="697"/>
      <c r="CH280" s="697"/>
      <c r="CI280" s="697"/>
      <c r="CJ280" s="697"/>
      <c r="CK280" s="697"/>
      <c r="CL280" s="697"/>
      <c r="CM280" s="697"/>
      <c r="CN280" s="697"/>
      <c r="CO280" s="697"/>
      <c r="CP280" s="697"/>
      <c r="CQ280" s="697"/>
      <c r="CR280" s="697"/>
      <c r="CS280" s="697"/>
      <c r="CT280" s="697"/>
      <c r="CU280" s="697"/>
      <c r="CV280" s="697"/>
      <c r="CW280" s="697"/>
      <c r="CX280" s="697"/>
      <c r="CY280" s="697"/>
      <c r="CZ280" s="697"/>
      <c r="DA280" s="697"/>
    </row>
    <row r="281" spans="1:105" hidden="1" outlineLevel="1" x14ac:dyDescent="0.2">
      <c r="A281" s="709">
        <f t="shared" si="62"/>
        <v>38443</v>
      </c>
      <c r="B281" s="709" t="str">
        <f t="shared" si="59"/>
        <v>2Q05</v>
      </c>
      <c r="C281" s="709" t="str">
        <f t="shared" si="63"/>
        <v>2Q05</v>
      </c>
      <c r="D281" s="710">
        <f t="shared" si="65"/>
        <v>38520</v>
      </c>
      <c r="E281" s="710">
        <f t="shared" si="65"/>
        <v>38460</v>
      </c>
      <c r="F281" s="712">
        <v>2.2589999999999999</v>
      </c>
      <c r="G281" s="713">
        <f t="shared" si="60"/>
        <v>0.23000000000000007</v>
      </c>
      <c r="H281" s="713">
        <f t="shared" si="61"/>
        <v>0.23000000000000007</v>
      </c>
      <c r="I281" s="697"/>
      <c r="J281" s="697"/>
      <c r="K281" s="697"/>
      <c r="L281" s="697"/>
      <c r="M281" s="697"/>
      <c r="N281" s="697"/>
      <c r="O281" s="697"/>
      <c r="P281" s="697"/>
      <c r="Q281" s="697"/>
      <c r="R281" s="697"/>
      <c r="S281" s="697"/>
      <c r="T281" s="697"/>
      <c r="U281" s="697"/>
      <c r="V281" s="697"/>
      <c r="W281" s="697"/>
      <c r="X281" s="697"/>
      <c r="Y281" s="697"/>
      <c r="Z281" s="697"/>
      <c r="AA281" s="697"/>
      <c r="AB281" s="697"/>
      <c r="AC281" s="697"/>
      <c r="AD281" s="697"/>
      <c r="AE281" s="697"/>
      <c r="AF281" s="697"/>
      <c r="AG281" s="697"/>
      <c r="AH281" s="697"/>
      <c r="AI281" s="697"/>
      <c r="AJ281" s="697"/>
      <c r="AK281" s="697"/>
      <c r="AL281" s="697"/>
      <c r="AM281" s="697"/>
      <c r="AN281" s="697"/>
      <c r="AO281" s="697"/>
      <c r="AP281" s="697"/>
      <c r="AQ281" s="697"/>
      <c r="AR281" s="697"/>
      <c r="AS281" s="697"/>
      <c r="AT281" s="697"/>
      <c r="AU281" s="697"/>
      <c r="AV281" s="697"/>
      <c r="AW281" s="697"/>
      <c r="AX281" s="697"/>
      <c r="AY281" s="697"/>
      <c r="AZ281" s="697"/>
      <c r="BA281" s="697"/>
      <c r="BB281" s="697"/>
      <c r="BC281" s="697"/>
      <c r="BD281" s="697"/>
      <c r="BE281" s="697"/>
      <c r="BF281" s="697"/>
      <c r="BG281" s="697"/>
      <c r="BH281" s="697"/>
      <c r="BI281" s="697"/>
      <c r="BJ281" s="697"/>
      <c r="BK281" s="697"/>
      <c r="BL281" s="697"/>
      <c r="BM281" s="697"/>
      <c r="BN281" s="697"/>
      <c r="BO281" s="697"/>
      <c r="BP281" s="697"/>
      <c r="BQ281" s="697"/>
      <c r="BR281" s="697"/>
      <c r="BS281" s="697"/>
      <c r="BT281" s="697"/>
      <c r="BU281" s="697"/>
      <c r="BV281" s="697"/>
      <c r="BW281" s="697"/>
      <c r="BX281" s="697"/>
      <c r="BY281" s="697"/>
      <c r="BZ281" s="697"/>
      <c r="CA281" s="697"/>
      <c r="CB281" s="697"/>
      <c r="CC281" s="697"/>
      <c r="CD281" s="697"/>
      <c r="CE281" s="697"/>
      <c r="CF281" s="697"/>
      <c r="CG281" s="697"/>
      <c r="CH281" s="697"/>
      <c r="CI281" s="697"/>
      <c r="CJ281" s="697"/>
      <c r="CK281" s="697"/>
      <c r="CL281" s="697"/>
      <c r="CM281" s="697"/>
      <c r="CN281" s="697"/>
      <c r="CO281" s="697"/>
      <c r="CP281" s="697"/>
      <c r="CQ281" s="697"/>
      <c r="CR281" s="697"/>
      <c r="CS281" s="697"/>
      <c r="CT281" s="697"/>
      <c r="CU281" s="697"/>
      <c r="CV281" s="697"/>
      <c r="CW281" s="697"/>
      <c r="CX281" s="697"/>
      <c r="CY281" s="697"/>
      <c r="CZ281" s="697"/>
      <c r="DA281" s="697"/>
    </row>
    <row r="282" spans="1:105" hidden="1" outlineLevel="1" x14ac:dyDescent="0.2">
      <c r="A282" s="709">
        <f t="shared" si="62"/>
        <v>38443</v>
      </c>
      <c r="B282" s="709" t="str">
        <f t="shared" si="59"/>
        <v>2Q05</v>
      </c>
      <c r="C282" s="709" t="str">
        <f t="shared" si="63"/>
        <v>2Q05</v>
      </c>
      <c r="D282" s="710">
        <f t="shared" si="65"/>
        <v>38527</v>
      </c>
      <c r="E282" s="710">
        <f t="shared" si="65"/>
        <v>38467</v>
      </c>
      <c r="F282" s="712">
        <v>2.2890000000000001</v>
      </c>
      <c r="G282" s="713">
        <f t="shared" si="60"/>
        <v>0.23000000000000007</v>
      </c>
      <c r="H282" s="713">
        <f t="shared" si="61"/>
        <v>0.23000000000000007</v>
      </c>
      <c r="I282" s="697"/>
      <c r="J282" s="697"/>
      <c r="K282" s="697"/>
      <c r="L282" s="697"/>
      <c r="M282" s="697"/>
      <c r="N282" s="697"/>
      <c r="O282" s="697"/>
      <c r="P282" s="697"/>
      <c r="Q282" s="697"/>
      <c r="R282" s="697"/>
      <c r="S282" s="697"/>
      <c r="T282" s="697"/>
      <c r="U282" s="697"/>
      <c r="V282" s="697"/>
      <c r="W282" s="697"/>
      <c r="X282" s="697"/>
      <c r="Y282" s="697"/>
      <c r="Z282" s="697"/>
      <c r="AA282" s="697"/>
      <c r="AB282" s="697"/>
      <c r="AC282" s="697"/>
      <c r="AD282" s="697"/>
      <c r="AE282" s="697"/>
      <c r="AF282" s="697"/>
      <c r="AG282" s="697"/>
      <c r="AH282" s="697"/>
      <c r="AI282" s="697"/>
      <c r="AJ282" s="697"/>
      <c r="AK282" s="697"/>
      <c r="AL282" s="697"/>
      <c r="AM282" s="697"/>
      <c r="AN282" s="697"/>
      <c r="AO282" s="697"/>
      <c r="AP282" s="697"/>
      <c r="AQ282" s="697"/>
      <c r="AR282" s="697"/>
      <c r="AS282" s="697"/>
      <c r="AT282" s="697"/>
      <c r="AU282" s="697"/>
      <c r="AV282" s="697"/>
      <c r="AW282" s="697"/>
      <c r="AX282" s="697"/>
      <c r="AY282" s="697"/>
      <c r="AZ282" s="697"/>
      <c r="BA282" s="697"/>
      <c r="BB282" s="697"/>
      <c r="BC282" s="697"/>
      <c r="BD282" s="697"/>
      <c r="BE282" s="697"/>
      <c r="BF282" s="697"/>
      <c r="BG282" s="697"/>
      <c r="BH282" s="697"/>
      <c r="BI282" s="697"/>
      <c r="BJ282" s="697"/>
      <c r="BK282" s="697"/>
      <c r="BL282" s="697"/>
      <c r="BM282" s="697"/>
      <c r="BN282" s="697"/>
      <c r="BO282" s="697"/>
      <c r="BP282" s="697"/>
      <c r="BQ282" s="697"/>
      <c r="BR282" s="697"/>
      <c r="BS282" s="697"/>
      <c r="BT282" s="697"/>
      <c r="BU282" s="697"/>
      <c r="BV282" s="697"/>
      <c r="BW282" s="697"/>
      <c r="BX282" s="697"/>
      <c r="BY282" s="697"/>
      <c r="BZ282" s="697"/>
      <c r="CA282" s="697"/>
      <c r="CB282" s="697"/>
      <c r="CC282" s="697"/>
      <c r="CD282" s="697"/>
      <c r="CE282" s="697"/>
      <c r="CF282" s="697"/>
      <c r="CG282" s="697"/>
      <c r="CH282" s="697"/>
      <c r="CI282" s="697"/>
      <c r="CJ282" s="697"/>
      <c r="CK282" s="697"/>
      <c r="CL282" s="697"/>
      <c r="CM282" s="697"/>
      <c r="CN282" s="697"/>
      <c r="CO282" s="697"/>
      <c r="CP282" s="697"/>
      <c r="CQ282" s="697"/>
      <c r="CR282" s="697"/>
      <c r="CS282" s="697"/>
      <c r="CT282" s="697"/>
      <c r="CU282" s="697"/>
      <c r="CV282" s="697"/>
      <c r="CW282" s="697"/>
      <c r="CX282" s="697"/>
      <c r="CY282" s="697"/>
      <c r="CZ282" s="697"/>
      <c r="DA282" s="697"/>
    </row>
    <row r="283" spans="1:105" hidden="1" outlineLevel="1" x14ac:dyDescent="0.2">
      <c r="A283" s="709">
        <f t="shared" si="62"/>
        <v>38473</v>
      </c>
      <c r="B283" s="709" t="str">
        <f t="shared" si="59"/>
        <v>2Q05</v>
      </c>
      <c r="C283" s="709" t="str">
        <f t="shared" si="63"/>
        <v>3Q05</v>
      </c>
      <c r="D283" s="710">
        <f t="shared" si="65"/>
        <v>38534</v>
      </c>
      <c r="E283" s="710">
        <f t="shared" si="65"/>
        <v>38474</v>
      </c>
      <c r="F283" s="712">
        <v>2.262</v>
      </c>
      <c r="G283" s="713">
        <f t="shared" si="60"/>
        <v>0.23000000000000007</v>
      </c>
      <c r="H283" s="713">
        <f t="shared" si="61"/>
        <v>0.22000000000000006</v>
      </c>
      <c r="I283" s="697"/>
      <c r="J283" s="697"/>
      <c r="K283" s="697"/>
      <c r="L283" s="697"/>
      <c r="M283" s="697"/>
      <c r="N283" s="697"/>
      <c r="O283" s="697"/>
      <c r="P283" s="697"/>
      <c r="Q283" s="697"/>
      <c r="R283" s="697"/>
      <c r="S283" s="697"/>
      <c r="T283" s="697"/>
      <c r="U283" s="697"/>
      <c r="V283" s="697"/>
      <c r="W283" s="697"/>
      <c r="X283" s="697"/>
      <c r="Y283" s="697"/>
      <c r="Z283" s="697"/>
      <c r="AA283" s="697"/>
      <c r="AB283" s="697"/>
      <c r="AC283" s="697"/>
      <c r="AD283" s="697"/>
      <c r="AE283" s="697"/>
      <c r="AF283" s="697"/>
      <c r="AG283" s="697"/>
      <c r="AH283" s="697"/>
      <c r="AI283" s="697"/>
      <c r="AJ283" s="697"/>
      <c r="AK283" s="697"/>
      <c r="AL283" s="697"/>
      <c r="AM283" s="697"/>
      <c r="AN283" s="697"/>
      <c r="AO283" s="697"/>
      <c r="AP283" s="697"/>
      <c r="AQ283" s="697"/>
      <c r="AR283" s="697"/>
      <c r="AS283" s="697"/>
      <c r="AT283" s="697"/>
      <c r="AU283" s="697"/>
      <c r="AV283" s="697"/>
      <c r="AW283" s="697"/>
      <c r="AX283" s="697"/>
      <c r="AY283" s="697"/>
      <c r="AZ283" s="697"/>
      <c r="BA283" s="697"/>
      <c r="BB283" s="697"/>
      <c r="BC283" s="697"/>
      <c r="BD283" s="697"/>
      <c r="BE283" s="697"/>
      <c r="BF283" s="697"/>
      <c r="BG283" s="697"/>
      <c r="BH283" s="697"/>
      <c r="BI283" s="697"/>
      <c r="BJ283" s="697"/>
      <c r="BK283" s="697"/>
      <c r="BL283" s="697"/>
      <c r="BM283" s="697"/>
      <c r="BN283" s="697"/>
      <c r="BO283" s="697"/>
      <c r="BP283" s="697"/>
      <c r="BQ283" s="697"/>
      <c r="BR283" s="697"/>
      <c r="BS283" s="697"/>
      <c r="BT283" s="697"/>
      <c r="BU283" s="697"/>
      <c r="BV283" s="697"/>
      <c r="BW283" s="697"/>
      <c r="BX283" s="697"/>
      <c r="BY283" s="697"/>
      <c r="BZ283" s="697"/>
      <c r="CA283" s="697"/>
      <c r="CB283" s="697"/>
      <c r="CC283" s="697"/>
      <c r="CD283" s="697"/>
      <c r="CE283" s="697"/>
      <c r="CF283" s="697"/>
      <c r="CG283" s="697"/>
      <c r="CH283" s="697"/>
      <c r="CI283" s="697"/>
      <c r="CJ283" s="697"/>
      <c r="CK283" s="697"/>
      <c r="CL283" s="697"/>
      <c r="CM283" s="697"/>
      <c r="CN283" s="697"/>
      <c r="CO283" s="697"/>
      <c r="CP283" s="697"/>
      <c r="CQ283" s="697"/>
      <c r="CR283" s="697"/>
      <c r="CS283" s="697"/>
      <c r="CT283" s="697"/>
      <c r="CU283" s="697"/>
      <c r="CV283" s="697"/>
      <c r="CW283" s="697"/>
      <c r="CX283" s="697"/>
      <c r="CY283" s="697"/>
      <c r="CZ283" s="697"/>
      <c r="DA283" s="697"/>
    </row>
    <row r="284" spans="1:105" hidden="1" outlineLevel="1" x14ac:dyDescent="0.2">
      <c r="A284" s="709">
        <f t="shared" si="62"/>
        <v>38473</v>
      </c>
      <c r="B284" s="709" t="str">
        <f t="shared" si="59"/>
        <v>2Q05</v>
      </c>
      <c r="C284" s="709" t="str">
        <f t="shared" si="63"/>
        <v>3Q05</v>
      </c>
      <c r="D284" s="710">
        <f t="shared" si="65"/>
        <v>38541</v>
      </c>
      <c r="E284" s="710">
        <f t="shared" si="65"/>
        <v>38481</v>
      </c>
      <c r="F284" s="712">
        <v>2.2269999999999999</v>
      </c>
      <c r="G284" s="713">
        <f t="shared" si="60"/>
        <v>0.22000000000000006</v>
      </c>
      <c r="H284" s="713">
        <f t="shared" si="61"/>
        <v>0.21000000000000005</v>
      </c>
      <c r="I284" s="697"/>
      <c r="J284" s="697"/>
      <c r="K284" s="697"/>
      <c r="L284" s="697"/>
      <c r="M284" s="697"/>
      <c r="N284" s="697"/>
      <c r="O284" s="697"/>
      <c r="P284" s="697"/>
      <c r="Q284" s="697"/>
      <c r="R284" s="697"/>
      <c r="S284" s="697"/>
      <c r="T284" s="697"/>
      <c r="U284" s="697"/>
      <c r="V284" s="697"/>
      <c r="W284" s="697"/>
      <c r="X284" s="697"/>
      <c r="Y284" s="697"/>
      <c r="Z284" s="697"/>
      <c r="AA284" s="697"/>
      <c r="AB284" s="697"/>
      <c r="AC284" s="697"/>
      <c r="AD284" s="697"/>
      <c r="AE284" s="697"/>
      <c r="AF284" s="697"/>
      <c r="AG284" s="697"/>
      <c r="AH284" s="697"/>
      <c r="AI284" s="697"/>
      <c r="AJ284" s="697"/>
      <c r="AK284" s="697"/>
      <c r="AL284" s="697"/>
      <c r="AM284" s="697"/>
      <c r="AN284" s="697"/>
      <c r="AO284" s="697"/>
      <c r="AP284" s="697"/>
      <c r="AQ284" s="697"/>
      <c r="AR284" s="697"/>
      <c r="AS284" s="697"/>
      <c r="AT284" s="697"/>
      <c r="AU284" s="697"/>
      <c r="AV284" s="697"/>
      <c r="AW284" s="697"/>
      <c r="AX284" s="697"/>
      <c r="AY284" s="697"/>
      <c r="AZ284" s="697"/>
      <c r="BA284" s="697"/>
      <c r="BB284" s="697"/>
      <c r="BC284" s="697"/>
      <c r="BD284" s="697"/>
      <c r="BE284" s="697"/>
      <c r="BF284" s="697"/>
      <c r="BG284" s="697"/>
      <c r="BH284" s="697"/>
      <c r="BI284" s="697"/>
      <c r="BJ284" s="697"/>
      <c r="BK284" s="697"/>
      <c r="BL284" s="697"/>
      <c r="BM284" s="697"/>
      <c r="BN284" s="697"/>
      <c r="BO284" s="697"/>
      <c r="BP284" s="697"/>
      <c r="BQ284" s="697"/>
      <c r="BR284" s="697"/>
      <c r="BS284" s="697"/>
      <c r="BT284" s="697"/>
      <c r="BU284" s="697"/>
      <c r="BV284" s="697"/>
      <c r="BW284" s="697"/>
      <c r="BX284" s="697"/>
      <c r="BY284" s="697"/>
      <c r="BZ284" s="697"/>
      <c r="CA284" s="697"/>
      <c r="CB284" s="697"/>
      <c r="CC284" s="697"/>
      <c r="CD284" s="697"/>
      <c r="CE284" s="697"/>
      <c r="CF284" s="697"/>
      <c r="CG284" s="697"/>
      <c r="CH284" s="697"/>
      <c r="CI284" s="697"/>
      <c r="CJ284" s="697"/>
      <c r="CK284" s="697"/>
      <c r="CL284" s="697"/>
      <c r="CM284" s="697"/>
      <c r="CN284" s="697"/>
      <c r="CO284" s="697"/>
      <c r="CP284" s="697"/>
      <c r="CQ284" s="697"/>
      <c r="CR284" s="697"/>
      <c r="CS284" s="697"/>
      <c r="CT284" s="697"/>
      <c r="CU284" s="697"/>
      <c r="CV284" s="697"/>
      <c r="CW284" s="697"/>
      <c r="CX284" s="697"/>
      <c r="CY284" s="697"/>
      <c r="CZ284" s="697"/>
      <c r="DA284" s="697"/>
    </row>
    <row r="285" spans="1:105" hidden="1" outlineLevel="1" x14ac:dyDescent="0.2">
      <c r="A285" s="709">
        <f t="shared" si="62"/>
        <v>38473</v>
      </c>
      <c r="B285" s="709" t="str">
        <f t="shared" si="59"/>
        <v>2Q05</v>
      </c>
      <c r="C285" s="709" t="str">
        <f t="shared" si="63"/>
        <v>3Q05</v>
      </c>
      <c r="D285" s="710">
        <f t="shared" si="65"/>
        <v>38548</v>
      </c>
      <c r="E285" s="710">
        <f t="shared" si="65"/>
        <v>38488</v>
      </c>
      <c r="F285" s="712">
        <v>2.1890000000000001</v>
      </c>
      <c r="G285" s="713">
        <f t="shared" si="60"/>
        <v>0.21000000000000005</v>
      </c>
      <c r="H285" s="713">
        <f t="shared" si="61"/>
        <v>0.21000000000000005</v>
      </c>
      <c r="I285" s="697"/>
      <c r="J285" s="697"/>
      <c r="K285" s="697"/>
      <c r="L285" s="697"/>
      <c r="M285" s="697"/>
      <c r="N285" s="697"/>
      <c r="O285" s="697"/>
      <c r="P285" s="697"/>
      <c r="Q285" s="697"/>
      <c r="R285" s="697"/>
      <c r="S285" s="697"/>
      <c r="T285" s="697"/>
      <c r="U285" s="697"/>
      <c r="V285" s="697"/>
      <c r="W285" s="697"/>
      <c r="X285" s="697"/>
      <c r="Y285" s="697"/>
      <c r="Z285" s="697"/>
      <c r="AA285" s="697"/>
      <c r="AB285" s="697"/>
      <c r="AC285" s="697"/>
      <c r="AD285" s="697"/>
      <c r="AE285" s="697"/>
      <c r="AF285" s="697"/>
      <c r="AG285" s="697"/>
      <c r="AH285" s="697"/>
      <c r="AI285" s="697"/>
      <c r="AJ285" s="697"/>
      <c r="AK285" s="697"/>
      <c r="AL285" s="697"/>
      <c r="AM285" s="697"/>
      <c r="AN285" s="697"/>
      <c r="AO285" s="697"/>
      <c r="AP285" s="697"/>
      <c r="AQ285" s="697"/>
      <c r="AR285" s="697"/>
      <c r="AS285" s="697"/>
      <c r="AT285" s="697"/>
      <c r="AU285" s="697"/>
      <c r="AV285" s="697"/>
      <c r="AW285" s="697"/>
      <c r="AX285" s="697"/>
      <c r="AY285" s="697"/>
      <c r="AZ285" s="697"/>
      <c r="BA285" s="697"/>
      <c r="BB285" s="697"/>
      <c r="BC285" s="697"/>
      <c r="BD285" s="697"/>
      <c r="BE285" s="697"/>
      <c r="BF285" s="697"/>
      <c r="BG285" s="697"/>
      <c r="BH285" s="697"/>
      <c r="BI285" s="697"/>
      <c r="BJ285" s="697"/>
      <c r="BK285" s="697"/>
      <c r="BL285" s="697"/>
      <c r="BM285" s="697"/>
      <c r="BN285" s="697"/>
      <c r="BO285" s="697"/>
      <c r="BP285" s="697"/>
      <c r="BQ285" s="697"/>
      <c r="BR285" s="697"/>
      <c r="BS285" s="697"/>
      <c r="BT285" s="697"/>
      <c r="BU285" s="697"/>
      <c r="BV285" s="697"/>
      <c r="BW285" s="697"/>
      <c r="BX285" s="697"/>
      <c r="BY285" s="697"/>
      <c r="BZ285" s="697"/>
      <c r="CA285" s="697"/>
      <c r="CB285" s="697"/>
      <c r="CC285" s="697"/>
      <c r="CD285" s="697"/>
      <c r="CE285" s="697"/>
      <c r="CF285" s="697"/>
      <c r="CG285" s="697"/>
      <c r="CH285" s="697"/>
      <c r="CI285" s="697"/>
      <c r="CJ285" s="697"/>
      <c r="CK285" s="697"/>
      <c r="CL285" s="697"/>
      <c r="CM285" s="697"/>
      <c r="CN285" s="697"/>
      <c r="CO285" s="697"/>
      <c r="CP285" s="697"/>
      <c r="CQ285" s="697"/>
      <c r="CR285" s="697"/>
      <c r="CS285" s="697"/>
      <c r="CT285" s="697"/>
      <c r="CU285" s="697"/>
      <c r="CV285" s="697"/>
      <c r="CW285" s="697"/>
      <c r="CX285" s="697"/>
      <c r="CY285" s="697"/>
      <c r="CZ285" s="697"/>
      <c r="DA285" s="697"/>
    </row>
    <row r="286" spans="1:105" hidden="1" outlineLevel="1" x14ac:dyDescent="0.2">
      <c r="A286" s="709">
        <f t="shared" si="62"/>
        <v>38473</v>
      </c>
      <c r="B286" s="709" t="str">
        <f t="shared" si="59"/>
        <v>2Q05</v>
      </c>
      <c r="C286" s="709" t="str">
        <f t="shared" si="63"/>
        <v>3Q05</v>
      </c>
      <c r="D286" s="710">
        <f t="shared" si="65"/>
        <v>38555</v>
      </c>
      <c r="E286" s="710">
        <f t="shared" si="65"/>
        <v>38495</v>
      </c>
      <c r="F286" s="712">
        <v>2.1560000000000001</v>
      </c>
      <c r="G286" s="713">
        <f t="shared" si="60"/>
        <v>0.21000000000000005</v>
      </c>
      <c r="H286" s="713">
        <f t="shared" si="61"/>
        <v>0.21000000000000005</v>
      </c>
      <c r="I286" s="697"/>
      <c r="J286" s="697"/>
      <c r="K286" s="697"/>
      <c r="L286" s="697"/>
      <c r="M286" s="697"/>
      <c r="N286" s="697"/>
      <c r="O286" s="697"/>
      <c r="P286" s="697"/>
      <c r="Q286" s="697"/>
      <c r="R286" s="697"/>
      <c r="S286" s="697"/>
      <c r="T286" s="697"/>
      <c r="U286" s="697"/>
      <c r="V286" s="697"/>
      <c r="W286" s="697"/>
      <c r="X286" s="697"/>
      <c r="Y286" s="697"/>
      <c r="Z286" s="697"/>
      <c r="AA286" s="697"/>
      <c r="AB286" s="697"/>
      <c r="AC286" s="697"/>
      <c r="AD286" s="697"/>
      <c r="AE286" s="697"/>
      <c r="AF286" s="697"/>
      <c r="AG286" s="697"/>
      <c r="AH286" s="697"/>
      <c r="AI286" s="697"/>
      <c r="AJ286" s="697"/>
      <c r="AK286" s="697"/>
      <c r="AL286" s="697"/>
      <c r="AM286" s="697"/>
      <c r="AN286" s="697"/>
      <c r="AO286" s="697"/>
      <c r="AP286" s="697"/>
      <c r="AQ286" s="697"/>
      <c r="AR286" s="697"/>
      <c r="AS286" s="697"/>
      <c r="AT286" s="697"/>
      <c r="AU286" s="697"/>
      <c r="AV286" s="697"/>
      <c r="AW286" s="697"/>
      <c r="AX286" s="697"/>
      <c r="AY286" s="697"/>
      <c r="AZ286" s="697"/>
      <c r="BA286" s="697"/>
      <c r="BB286" s="697"/>
      <c r="BC286" s="697"/>
      <c r="BD286" s="697"/>
      <c r="BE286" s="697"/>
      <c r="BF286" s="697"/>
      <c r="BG286" s="697"/>
      <c r="BH286" s="697"/>
      <c r="BI286" s="697"/>
      <c r="BJ286" s="697"/>
      <c r="BK286" s="697"/>
      <c r="BL286" s="697"/>
      <c r="BM286" s="697"/>
      <c r="BN286" s="697"/>
      <c r="BO286" s="697"/>
      <c r="BP286" s="697"/>
      <c r="BQ286" s="697"/>
      <c r="BR286" s="697"/>
      <c r="BS286" s="697"/>
      <c r="BT286" s="697"/>
      <c r="BU286" s="697"/>
      <c r="BV286" s="697"/>
      <c r="BW286" s="697"/>
      <c r="BX286" s="697"/>
      <c r="BY286" s="697"/>
      <c r="BZ286" s="697"/>
      <c r="CA286" s="697"/>
      <c r="CB286" s="697"/>
      <c r="CC286" s="697"/>
      <c r="CD286" s="697"/>
      <c r="CE286" s="697"/>
      <c r="CF286" s="697"/>
      <c r="CG286" s="697"/>
      <c r="CH286" s="697"/>
      <c r="CI286" s="697"/>
      <c r="CJ286" s="697"/>
      <c r="CK286" s="697"/>
      <c r="CL286" s="697"/>
      <c r="CM286" s="697"/>
      <c r="CN286" s="697"/>
      <c r="CO286" s="697"/>
      <c r="CP286" s="697"/>
      <c r="CQ286" s="697"/>
      <c r="CR286" s="697"/>
      <c r="CS286" s="697"/>
      <c r="CT286" s="697"/>
      <c r="CU286" s="697"/>
      <c r="CV286" s="697"/>
      <c r="CW286" s="697"/>
      <c r="CX286" s="697"/>
      <c r="CY286" s="697"/>
      <c r="CZ286" s="697"/>
      <c r="DA286" s="697"/>
    </row>
    <row r="287" spans="1:105" hidden="1" outlineLevel="1" x14ac:dyDescent="0.2">
      <c r="A287" s="709">
        <f t="shared" si="62"/>
        <v>38473</v>
      </c>
      <c r="B287" s="709" t="str">
        <f t="shared" si="59"/>
        <v>2Q05</v>
      </c>
      <c r="C287" s="709" t="str">
        <f t="shared" si="63"/>
        <v>3Q05</v>
      </c>
      <c r="D287" s="710">
        <f t="shared" si="65"/>
        <v>38562</v>
      </c>
      <c r="E287" s="710">
        <f t="shared" si="65"/>
        <v>38502</v>
      </c>
      <c r="F287" s="712">
        <v>2.16</v>
      </c>
      <c r="G287" s="713">
        <f t="shared" si="60"/>
        <v>0.21000000000000005</v>
      </c>
      <c r="H287" s="713">
        <f t="shared" si="61"/>
        <v>0.22000000000000006</v>
      </c>
      <c r="I287" s="697"/>
      <c r="J287" s="697"/>
      <c r="K287" s="697"/>
      <c r="L287" s="697"/>
      <c r="M287" s="697"/>
      <c r="N287" s="697"/>
      <c r="O287" s="697"/>
      <c r="P287" s="697"/>
      <c r="Q287" s="697"/>
      <c r="R287" s="697"/>
      <c r="S287" s="697"/>
      <c r="T287" s="697"/>
      <c r="U287" s="697"/>
      <c r="V287" s="697"/>
      <c r="W287" s="697"/>
      <c r="X287" s="697"/>
      <c r="Y287" s="697"/>
      <c r="Z287" s="697"/>
      <c r="AA287" s="697"/>
      <c r="AB287" s="697"/>
      <c r="AC287" s="697"/>
      <c r="AD287" s="697"/>
      <c r="AE287" s="697"/>
      <c r="AF287" s="697"/>
      <c r="AG287" s="697"/>
      <c r="AH287" s="697"/>
      <c r="AI287" s="697"/>
      <c r="AJ287" s="697"/>
      <c r="AK287" s="697"/>
      <c r="AL287" s="697"/>
      <c r="AM287" s="697"/>
      <c r="AN287" s="697"/>
      <c r="AO287" s="697"/>
      <c r="AP287" s="697"/>
      <c r="AQ287" s="697"/>
      <c r="AR287" s="697"/>
      <c r="AS287" s="697"/>
      <c r="AT287" s="697"/>
      <c r="AU287" s="697"/>
      <c r="AV287" s="697"/>
      <c r="AW287" s="697"/>
      <c r="AX287" s="697"/>
      <c r="AY287" s="697"/>
      <c r="AZ287" s="697"/>
      <c r="BA287" s="697"/>
      <c r="BB287" s="697"/>
      <c r="BC287" s="697"/>
      <c r="BD287" s="697"/>
      <c r="BE287" s="697"/>
      <c r="BF287" s="697"/>
      <c r="BG287" s="697"/>
      <c r="BH287" s="697"/>
      <c r="BI287" s="697"/>
      <c r="BJ287" s="697"/>
      <c r="BK287" s="697"/>
      <c r="BL287" s="697"/>
      <c r="BM287" s="697"/>
      <c r="BN287" s="697"/>
      <c r="BO287" s="697"/>
      <c r="BP287" s="697"/>
      <c r="BQ287" s="697"/>
      <c r="BR287" s="697"/>
      <c r="BS287" s="697"/>
      <c r="BT287" s="697"/>
      <c r="BU287" s="697"/>
      <c r="BV287" s="697"/>
      <c r="BW287" s="697"/>
      <c r="BX287" s="697"/>
      <c r="BY287" s="697"/>
      <c r="BZ287" s="697"/>
      <c r="CA287" s="697"/>
      <c r="CB287" s="697"/>
      <c r="CC287" s="697"/>
      <c r="CD287" s="697"/>
      <c r="CE287" s="697"/>
      <c r="CF287" s="697"/>
      <c r="CG287" s="697"/>
      <c r="CH287" s="697"/>
      <c r="CI287" s="697"/>
      <c r="CJ287" s="697"/>
      <c r="CK287" s="697"/>
      <c r="CL287" s="697"/>
      <c r="CM287" s="697"/>
      <c r="CN287" s="697"/>
      <c r="CO287" s="697"/>
      <c r="CP287" s="697"/>
      <c r="CQ287" s="697"/>
      <c r="CR287" s="697"/>
      <c r="CS287" s="697"/>
      <c r="CT287" s="697"/>
      <c r="CU287" s="697"/>
      <c r="CV287" s="697"/>
      <c r="CW287" s="697"/>
      <c r="CX287" s="697"/>
      <c r="CY287" s="697"/>
      <c r="CZ287" s="697"/>
      <c r="DA287" s="697"/>
    </row>
    <row r="288" spans="1:105" hidden="1" outlineLevel="1" x14ac:dyDescent="0.2">
      <c r="A288" s="709">
        <f t="shared" si="62"/>
        <v>38504</v>
      </c>
      <c r="B288" s="709" t="str">
        <f t="shared" si="59"/>
        <v>2Q05</v>
      </c>
      <c r="C288" s="709" t="str">
        <f t="shared" si="63"/>
        <v>3Q05</v>
      </c>
      <c r="D288" s="710">
        <f t="shared" si="65"/>
        <v>38569</v>
      </c>
      <c r="E288" s="710">
        <f t="shared" si="65"/>
        <v>38509</v>
      </c>
      <c r="F288" s="712">
        <v>2.234</v>
      </c>
      <c r="G288" s="713">
        <f t="shared" si="60"/>
        <v>0.22000000000000006</v>
      </c>
      <c r="H288" s="713">
        <f t="shared" si="61"/>
        <v>0.23000000000000007</v>
      </c>
      <c r="I288" s="697"/>
      <c r="J288" s="697"/>
      <c r="K288" s="697"/>
      <c r="L288" s="697"/>
      <c r="M288" s="697"/>
      <c r="N288" s="697"/>
      <c r="O288" s="697"/>
      <c r="P288" s="697"/>
      <c r="Q288" s="697"/>
      <c r="R288" s="697"/>
      <c r="S288" s="697"/>
      <c r="T288" s="697"/>
      <c r="U288" s="697"/>
      <c r="V288" s="697"/>
      <c r="W288" s="697"/>
      <c r="X288" s="697"/>
      <c r="Y288" s="697"/>
      <c r="Z288" s="697"/>
      <c r="AA288" s="697"/>
      <c r="AB288" s="697"/>
      <c r="AC288" s="697"/>
      <c r="AD288" s="697"/>
      <c r="AE288" s="697"/>
      <c r="AF288" s="697"/>
      <c r="AG288" s="697"/>
      <c r="AH288" s="697"/>
      <c r="AI288" s="697"/>
      <c r="AJ288" s="697"/>
      <c r="AK288" s="697"/>
      <c r="AL288" s="697"/>
      <c r="AM288" s="697"/>
      <c r="AN288" s="697"/>
      <c r="AO288" s="697"/>
      <c r="AP288" s="697"/>
      <c r="AQ288" s="697"/>
      <c r="AR288" s="697"/>
      <c r="AS288" s="697"/>
      <c r="AT288" s="697"/>
      <c r="AU288" s="697"/>
      <c r="AV288" s="697"/>
      <c r="AW288" s="697"/>
      <c r="AX288" s="697"/>
      <c r="AY288" s="697"/>
      <c r="AZ288" s="697"/>
      <c r="BA288" s="697"/>
      <c r="BB288" s="697"/>
      <c r="BC288" s="697"/>
      <c r="BD288" s="697"/>
      <c r="BE288" s="697"/>
      <c r="BF288" s="697"/>
      <c r="BG288" s="697"/>
      <c r="BH288" s="697"/>
      <c r="BI288" s="697"/>
      <c r="BJ288" s="697"/>
      <c r="BK288" s="697"/>
      <c r="BL288" s="697"/>
      <c r="BM288" s="697"/>
      <c r="BN288" s="697"/>
      <c r="BO288" s="697"/>
      <c r="BP288" s="697"/>
      <c r="BQ288" s="697"/>
      <c r="BR288" s="697"/>
      <c r="BS288" s="697"/>
      <c r="BT288" s="697"/>
      <c r="BU288" s="697"/>
      <c r="BV288" s="697"/>
      <c r="BW288" s="697"/>
      <c r="BX288" s="697"/>
      <c r="BY288" s="697"/>
      <c r="BZ288" s="697"/>
      <c r="CA288" s="697"/>
      <c r="CB288" s="697"/>
      <c r="CC288" s="697"/>
      <c r="CD288" s="697"/>
      <c r="CE288" s="697"/>
      <c r="CF288" s="697"/>
      <c r="CG288" s="697"/>
      <c r="CH288" s="697"/>
      <c r="CI288" s="697"/>
      <c r="CJ288" s="697"/>
      <c r="CK288" s="697"/>
      <c r="CL288" s="697"/>
      <c r="CM288" s="697"/>
      <c r="CN288" s="697"/>
      <c r="CO288" s="697"/>
      <c r="CP288" s="697"/>
      <c r="CQ288" s="697"/>
      <c r="CR288" s="697"/>
      <c r="CS288" s="697"/>
      <c r="CT288" s="697"/>
      <c r="CU288" s="697"/>
      <c r="CV288" s="697"/>
      <c r="CW288" s="697"/>
      <c r="CX288" s="697"/>
      <c r="CY288" s="697"/>
      <c r="CZ288" s="697"/>
      <c r="DA288" s="697"/>
    </row>
    <row r="289" spans="1:105" hidden="1" outlineLevel="1" x14ac:dyDescent="0.2">
      <c r="A289" s="709">
        <f t="shared" si="62"/>
        <v>38504</v>
      </c>
      <c r="B289" s="709" t="str">
        <f t="shared" si="59"/>
        <v>2Q05</v>
      </c>
      <c r="C289" s="709" t="str">
        <f t="shared" si="63"/>
        <v>3Q05</v>
      </c>
      <c r="D289" s="710">
        <f t="shared" si="65"/>
        <v>38576</v>
      </c>
      <c r="E289" s="710">
        <f t="shared" si="65"/>
        <v>38516</v>
      </c>
      <c r="F289" s="712">
        <v>2.2759999999999998</v>
      </c>
      <c r="G289" s="713">
        <f t="shared" si="60"/>
        <v>0.23000000000000007</v>
      </c>
      <c r="H289" s="713">
        <f t="shared" si="61"/>
        <v>0.24000000000000007</v>
      </c>
      <c r="I289" s="697"/>
      <c r="J289" s="697"/>
      <c r="K289" s="697"/>
      <c r="L289" s="697"/>
      <c r="M289" s="697"/>
      <c r="N289" s="697"/>
      <c r="O289" s="697"/>
      <c r="P289" s="697"/>
      <c r="Q289" s="697"/>
      <c r="R289" s="697"/>
      <c r="S289" s="697"/>
      <c r="T289" s="697"/>
      <c r="U289" s="697"/>
      <c r="V289" s="697"/>
      <c r="W289" s="697"/>
      <c r="X289" s="697"/>
      <c r="Y289" s="697"/>
      <c r="Z289" s="697"/>
      <c r="AA289" s="697"/>
      <c r="AB289" s="697"/>
      <c r="AC289" s="697"/>
      <c r="AD289" s="697"/>
      <c r="AE289" s="697"/>
      <c r="AF289" s="697"/>
      <c r="AG289" s="697"/>
      <c r="AH289" s="697"/>
      <c r="AI289" s="697"/>
      <c r="AJ289" s="697"/>
      <c r="AK289" s="697"/>
      <c r="AL289" s="697"/>
      <c r="AM289" s="697"/>
      <c r="AN289" s="697"/>
      <c r="AO289" s="697"/>
      <c r="AP289" s="697"/>
      <c r="AQ289" s="697"/>
      <c r="AR289" s="697"/>
      <c r="AS289" s="697"/>
      <c r="AT289" s="697"/>
      <c r="AU289" s="697"/>
      <c r="AV289" s="697"/>
      <c r="AW289" s="697"/>
      <c r="AX289" s="697"/>
      <c r="AY289" s="697"/>
      <c r="AZ289" s="697"/>
      <c r="BA289" s="697"/>
      <c r="BB289" s="697"/>
      <c r="BC289" s="697"/>
      <c r="BD289" s="697"/>
      <c r="BE289" s="697"/>
      <c r="BF289" s="697"/>
      <c r="BG289" s="697"/>
      <c r="BH289" s="697"/>
      <c r="BI289" s="697"/>
      <c r="BJ289" s="697"/>
      <c r="BK289" s="697"/>
      <c r="BL289" s="697"/>
      <c r="BM289" s="697"/>
      <c r="BN289" s="697"/>
      <c r="BO289" s="697"/>
      <c r="BP289" s="697"/>
      <c r="BQ289" s="697"/>
      <c r="BR289" s="697"/>
      <c r="BS289" s="697"/>
      <c r="BT289" s="697"/>
      <c r="BU289" s="697"/>
      <c r="BV289" s="697"/>
      <c r="BW289" s="697"/>
      <c r="BX289" s="697"/>
      <c r="BY289" s="697"/>
      <c r="BZ289" s="697"/>
      <c r="CA289" s="697"/>
      <c r="CB289" s="697"/>
      <c r="CC289" s="697"/>
      <c r="CD289" s="697"/>
      <c r="CE289" s="697"/>
      <c r="CF289" s="697"/>
      <c r="CG289" s="697"/>
      <c r="CH289" s="697"/>
      <c r="CI289" s="697"/>
      <c r="CJ289" s="697"/>
      <c r="CK289" s="697"/>
      <c r="CL289" s="697"/>
      <c r="CM289" s="697"/>
      <c r="CN289" s="697"/>
      <c r="CO289" s="697"/>
      <c r="CP289" s="697"/>
      <c r="CQ289" s="697"/>
      <c r="CR289" s="697"/>
      <c r="CS289" s="697"/>
      <c r="CT289" s="697"/>
      <c r="CU289" s="697"/>
      <c r="CV289" s="697"/>
      <c r="CW289" s="697"/>
      <c r="CX289" s="697"/>
      <c r="CY289" s="697"/>
      <c r="CZ289" s="697"/>
      <c r="DA289" s="697"/>
    </row>
    <row r="290" spans="1:105" hidden="1" outlineLevel="1" x14ac:dyDescent="0.2">
      <c r="A290" s="709">
        <f t="shared" si="62"/>
        <v>38504</v>
      </c>
      <c r="B290" s="709" t="str">
        <f t="shared" si="59"/>
        <v>2Q05</v>
      </c>
      <c r="C290" s="709" t="str">
        <f t="shared" si="63"/>
        <v>3Q05</v>
      </c>
      <c r="D290" s="710">
        <f t="shared" si="65"/>
        <v>38583</v>
      </c>
      <c r="E290" s="710">
        <f t="shared" si="65"/>
        <v>38523</v>
      </c>
      <c r="F290" s="712">
        <v>2.3130000000000002</v>
      </c>
      <c r="G290" s="713">
        <f t="shared" si="60"/>
        <v>0.24000000000000007</v>
      </c>
      <c r="H290" s="713">
        <f t="shared" si="61"/>
        <v>0.24000000000000007</v>
      </c>
      <c r="I290" s="697"/>
      <c r="J290" s="697"/>
      <c r="K290" s="697"/>
      <c r="L290" s="697"/>
      <c r="M290" s="697"/>
      <c r="N290" s="697"/>
      <c r="O290" s="697"/>
      <c r="P290" s="697"/>
      <c r="Q290" s="697"/>
      <c r="R290" s="697"/>
      <c r="S290" s="697"/>
      <c r="T290" s="697"/>
      <c r="U290" s="697"/>
      <c r="V290" s="697"/>
      <c r="W290" s="697"/>
      <c r="X290" s="697"/>
      <c r="Y290" s="697"/>
      <c r="Z290" s="697"/>
      <c r="AA290" s="697"/>
      <c r="AB290" s="697"/>
      <c r="AC290" s="697"/>
      <c r="AD290" s="697"/>
      <c r="AE290" s="697"/>
      <c r="AF290" s="697"/>
      <c r="AG290" s="697"/>
      <c r="AH290" s="697"/>
      <c r="AI290" s="697"/>
      <c r="AJ290" s="697"/>
      <c r="AK290" s="697"/>
      <c r="AL290" s="697"/>
      <c r="AM290" s="697"/>
      <c r="AN290" s="697"/>
      <c r="AO290" s="697"/>
      <c r="AP290" s="697"/>
      <c r="AQ290" s="697"/>
      <c r="AR290" s="697"/>
      <c r="AS290" s="697"/>
      <c r="AT290" s="697"/>
      <c r="AU290" s="697"/>
      <c r="AV290" s="697"/>
      <c r="AW290" s="697"/>
      <c r="AX290" s="697"/>
      <c r="AY290" s="697"/>
      <c r="AZ290" s="697"/>
      <c r="BA290" s="697"/>
      <c r="BB290" s="697"/>
      <c r="BC290" s="697"/>
      <c r="BD290" s="697"/>
      <c r="BE290" s="697"/>
      <c r="BF290" s="697"/>
      <c r="BG290" s="697"/>
      <c r="BH290" s="697"/>
      <c r="BI290" s="697"/>
      <c r="BJ290" s="697"/>
      <c r="BK290" s="697"/>
      <c r="BL290" s="697"/>
      <c r="BM290" s="697"/>
      <c r="BN290" s="697"/>
      <c r="BO290" s="697"/>
      <c r="BP290" s="697"/>
      <c r="BQ290" s="697"/>
      <c r="BR290" s="697"/>
      <c r="BS290" s="697"/>
      <c r="BT290" s="697"/>
      <c r="BU290" s="697"/>
      <c r="BV290" s="697"/>
      <c r="BW290" s="697"/>
      <c r="BX290" s="697"/>
      <c r="BY290" s="697"/>
      <c r="BZ290" s="697"/>
      <c r="CA290" s="697"/>
      <c r="CB290" s="697"/>
      <c r="CC290" s="697"/>
      <c r="CD290" s="697"/>
      <c r="CE290" s="697"/>
      <c r="CF290" s="697"/>
      <c r="CG290" s="697"/>
      <c r="CH290" s="697"/>
      <c r="CI290" s="697"/>
      <c r="CJ290" s="697"/>
      <c r="CK290" s="697"/>
      <c r="CL290" s="697"/>
      <c r="CM290" s="697"/>
      <c r="CN290" s="697"/>
      <c r="CO290" s="697"/>
      <c r="CP290" s="697"/>
      <c r="CQ290" s="697"/>
      <c r="CR290" s="697"/>
      <c r="CS290" s="697"/>
      <c r="CT290" s="697"/>
      <c r="CU290" s="697"/>
      <c r="CV290" s="697"/>
      <c r="CW290" s="697"/>
      <c r="CX290" s="697"/>
      <c r="CY290" s="697"/>
      <c r="CZ290" s="697"/>
      <c r="DA290" s="697"/>
    </row>
    <row r="291" spans="1:105" hidden="1" outlineLevel="1" x14ac:dyDescent="0.2">
      <c r="A291" s="709">
        <f t="shared" si="62"/>
        <v>38504</v>
      </c>
      <c r="B291" s="709" t="str">
        <f t="shared" si="59"/>
        <v>2Q05</v>
      </c>
      <c r="C291" s="709" t="str">
        <f t="shared" si="63"/>
        <v>3Q05</v>
      </c>
      <c r="D291" s="710">
        <f t="shared" si="65"/>
        <v>38590</v>
      </c>
      <c r="E291" s="710">
        <f t="shared" si="65"/>
        <v>38530</v>
      </c>
      <c r="F291" s="712">
        <v>2.3359999999999999</v>
      </c>
      <c r="G291" s="713">
        <f t="shared" si="60"/>
        <v>0.24000000000000007</v>
      </c>
      <c r="H291" s="713">
        <f t="shared" si="61"/>
        <v>0.24000000000000007</v>
      </c>
      <c r="I291" s="697"/>
      <c r="J291" s="697"/>
      <c r="K291" s="697"/>
      <c r="L291" s="697"/>
      <c r="M291" s="697"/>
      <c r="N291" s="697"/>
      <c r="O291" s="697"/>
      <c r="P291" s="697"/>
      <c r="Q291" s="697"/>
      <c r="R291" s="697"/>
      <c r="S291" s="697"/>
      <c r="T291" s="697"/>
      <c r="U291" s="697"/>
      <c r="V291" s="697"/>
      <c r="W291" s="697"/>
      <c r="X291" s="697"/>
      <c r="Y291" s="697"/>
      <c r="Z291" s="697"/>
      <c r="AA291" s="697"/>
      <c r="AB291" s="697"/>
      <c r="AC291" s="697"/>
      <c r="AD291" s="697"/>
      <c r="AE291" s="697"/>
      <c r="AF291" s="697"/>
      <c r="AG291" s="697"/>
      <c r="AH291" s="697"/>
      <c r="AI291" s="697"/>
      <c r="AJ291" s="697"/>
      <c r="AK291" s="697"/>
      <c r="AL291" s="697"/>
      <c r="AM291" s="697"/>
      <c r="AN291" s="697"/>
      <c r="AO291" s="697"/>
      <c r="AP291" s="697"/>
      <c r="AQ291" s="697"/>
      <c r="AR291" s="697"/>
      <c r="AS291" s="697"/>
      <c r="AT291" s="697"/>
      <c r="AU291" s="697"/>
      <c r="AV291" s="697"/>
      <c r="AW291" s="697"/>
      <c r="AX291" s="697"/>
      <c r="AY291" s="697"/>
      <c r="AZ291" s="697"/>
      <c r="BA291" s="697"/>
      <c r="BB291" s="697"/>
      <c r="BC291" s="697"/>
      <c r="BD291" s="697"/>
      <c r="BE291" s="697"/>
      <c r="BF291" s="697"/>
      <c r="BG291" s="697"/>
      <c r="BH291" s="697"/>
      <c r="BI291" s="697"/>
      <c r="BJ291" s="697"/>
      <c r="BK291" s="697"/>
      <c r="BL291" s="697"/>
      <c r="BM291" s="697"/>
      <c r="BN291" s="697"/>
      <c r="BO291" s="697"/>
      <c r="BP291" s="697"/>
      <c r="BQ291" s="697"/>
      <c r="BR291" s="697"/>
      <c r="BS291" s="697"/>
      <c r="BT291" s="697"/>
      <c r="BU291" s="697"/>
      <c r="BV291" s="697"/>
      <c r="BW291" s="697"/>
      <c r="BX291" s="697"/>
      <c r="BY291" s="697"/>
      <c r="BZ291" s="697"/>
      <c r="CA291" s="697"/>
      <c r="CB291" s="697"/>
      <c r="CC291" s="697"/>
      <c r="CD291" s="697"/>
      <c r="CE291" s="697"/>
      <c r="CF291" s="697"/>
      <c r="CG291" s="697"/>
      <c r="CH291" s="697"/>
      <c r="CI291" s="697"/>
      <c r="CJ291" s="697"/>
      <c r="CK291" s="697"/>
      <c r="CL291" s="697"/>
      <c r="CM291" s="697"/>
      <c r="CN291" s="697"/>
      <c r="CO291" s="697"/>
      <c r="CP291" s="697"/>
      <c r="CQ291" s="697"/>
      <c r="CR291" s="697"/>
      <c r="CS291" s="697"/>
      <c r="CT291" s="697"/>
      <c r="CU291" s="697"/>
      <c r="CV291" s="697"/>
      <c r="CW291" s="697"/>
      <c r="CX291" s="697"/>
      <c r="CY291" s="697"/>
      <c r="CZ291" s="697"/>
      <c r="DA291" s="697"/>
    </row>
    <row r="292" spans="1:105" hidden="1" outlineLevel="1" x14ac:dyDescent="0.2">
      <c r="A292" s="709">
        <f t="shared" si="62"/>
        <v>38534</v>
      </c>
      <c r="B292" s="709" t="str">
        <f t="shared" si="59"/>
        <v>3Q05</v>
      </c>
      <c r="C292" s="709" t="str">
        <f t="shared" si="63"/>
        <v>3Q05</v>
      </c>
      <c r="D292" s="710">
        <f t="shared" si="65"/>
        <v>38597</v>
      </c>
      <c r="E292" s="710">
        <f t="shared" si="65"/>
        <v>38537</v>
      </c>
      <c r="F292" s="712">
        <v>2.3480000000000003</v>
      </c>
      <c r="G292" s="713">
        <f t="shared" si="60"/>
        <v>0.24000000000000007</v>
      </c>
      <c r="H292" s="713">
        <f t="shared" si="61"/>
        <v>0.26000000000000006</v>
      </c>
      <c r="I292" s="697"/>
      <c r="J292" s="697"/>
      <c r="K292" s="697"/>
      <c r="L292" s="697"/>
      <c r="M292" s="697"/>
      <c r="N292" s="697"/>
      <c r="O292" s="697"/>
      <c r="P292" s="697"/>
      <c r="Q292" s="697"/>
      <c r="R292" s="697"/>
      <c r="S292" s="697"/>
      <c r="T292" s="697"/>
      <c r="U292" s="697"/>
      <c r="V292" s="697"/>
      <c r="W292" s="697"/>
      <c r="X292" s="697"/>
      <c r="Y292" s="697"/>
      <c r="Z292" s="697"/>
      <c r="AA292" s="697"/>
      <c r="AB292" s="697"/>
      <c r="AC292" s="697"/>
      <c r="AD292" s="697"/>
      <c r="AE292" s="697"/>
      <c r="AF292" s="697"/>
      <c r="AG292" s="697"/>
      <c r="AH292" s="697"/>
      <c r="AI292" s="697"/>
      <c r="AJ292" s="697"/>
      <c r="AK292" s="697"/>
      <c r="AL292" s="697"/>
      <c r="AM292" s="697"/>
      <c r="AN292" s="697"/>
      <c r="AO292" s="697"/>
      <c r="AP292" s="697"/>
      <c r="AQ292" s="697"/>
      <c r="AR292" s="697"/>
      <c r="AS292" s="697"/>
      <c r="AT292" s="697"/>
      <c r="AU292" s="697"/>
      <c r="AV292" s="697"/>
      <c r="AW292" s="697"/>
      <c r="AX292" s="697"/>
      <c r="AY292" s="697"/>
      <c r="AZ292" s="697"/>
      <c r="BA292" s="697"/>
      <c r="BB292" s="697"/>
      <c r="BC292" s="697"/>
      <c r="BD292" s="697"/>
      <c r="BE292" s="697"/>
      <c r="BF292" s="697"/>
      <c r="BG292" s="697"/>
      <c r="BH292" s="697"/>
      <c r="BI292" s="697"/>
      <c r="BJ292" s="697"/>
      <c r="BK292" s="697"/>
      <c r="BL292" s="697"/>
      <c r="BM292" s="697"/>
      <c r="BN292" s="697"/>
      <c r="BO292" s="697"/>
      <c r="BP292" s="697"/>
      <c r="BQ292" s="697"/>
      <c r="BR292" s="697"/>
      <c r="BS292" s="697"/>
      <c r="BT292" s="697"/>
      <c r="BU292" s="697"/>
      <c r="BV292" s="697"/>
      <c r="BW292" s="697"/>
      <c r="BX292" s="697"/>
      <c r="BY292" s="697"/>
      <c r="BZ292" s="697"/>
      <c r="CA292" s="697"/>
      <c r="CB292" s="697"/>
      <c r="CC292" s="697"/>
      <c r="CD292" s="697"/>
      <c r="CE292" s="697"/>
      <c r="CF292" s="697"/>
      <c r="CG292" s="697"/>
      <c r="CH292" s="697"/>
      <c r="CI292" s="697"/>
      <c r="CJ292" s="697"/>
      <c r="CK292" s="697"/>
      <c r="CL292" s="697"/>
      <c r="CM292" s="697"/>
      <c r="CN292" s="697"/>
      <c r="CO292" s="697"/>
      <c r="CP292" s="697"/>
      <c r="CQ292" s="697"/>
      <c r="CR292" s="697"/>
      <c r="CS292" s="697"/>
      <c r="CT292" s="697"/>
      <c r="CU292" s="697"/>
      <c r="CV292" s="697"/>
      <c r="CW292" s="697"/>
      <c r="CX292" s="697"/>
      <c r="CY292" s="697"/>
      <c r="CZ292" s="697"/>
      <c r="DA292" s="697"/>
    </row>
    <row r="293" spans="1:105" hidden="1" outlineLevel="1" x14ac:dyDescent="0.2">
      <c r="A293" s="709">
        <f t="shared" si="62"/>
        <v>38534</v>
      </c>
      <c r="B293" s="709" t="str">
        <f t="shared" si="59"/>
        <v>3Q05</v>
      </c>
      <c r="C293" s="709" t="str">
        <f t="shared" si="63"/>
        <v>3Q05</v>
      </c>
      <c r="D293" s="710">
        <f t="shared" ref="D293:E308" si="66">D292+7</f>
        <v>38604</v>
      </c>
      <c r="E293" s="710">
        <f t="shared" si="66"/>
        <v>38544</v>
      </c>
      <c r="F293" s="712">
        <v>2.4079999999999999</v>
      </c>
      <c r="G293" s="713">
        <f t="shared" si="60"/>
        <v>0.26000000000000006</v>
      </c>
      <c r="H293" s="713">
        <f t="shared" si="61"/>
        <v>0.25000000000000006</v>
      </c>
      <c r="I293" s="697"/>
      <c r="J293" s="697"/>
      <c r="K293" s="697"/>
      <c r="L293" s="697"/>
      <c r="M293" s="697"/>
      <c r="N293" s="697"/>
      <c r="O293" s="697"/>
      <c r="P293" s="697"/>
      <c r="Q293" s="697"/>
      <c r="R293" s="697"/>
      <c r="S293" s="697"/>
      <c r="T293" s="697"/>
      <c r="U293" s="697"/>
      <c r="V293" s="697"/>
      <c r="W293" s="697"/>
      <c r="X293" s="697"/>
      <c r="Y293" s="697"/>
      <c r="Z293" s="697"/>
      <c r="AA293" s="697"/>
      <c r="AB293" s="697"/>
      <c r="AC293" s="697"/>
      <c r="AD293" s="697"/>
      <c r="AE293" s="697"/>
      <c r="AF293" s="697"/>
      <c r="AG293" s="697"/>
      <c r="AH293" s="697"/>
      <c r="AI293" s="697"/>
      <c r="AJ293" s="697"/>
      <c r="AK293" s="697"/>
      <c r="AL293" s="697"/>
      <c r="AM293" s="697"/>
      <c r="AN293" s="697"/>
      <c r="AO293" s="697"/>
      <c r="AP293" s="697"/>
      <c r="AQ293" s="697"/>
      <c r="AR293" s="697"/>
      <c r="AS293" s="697"/>
      <c r="AT293" s="697"/>
      <c r="AU293" s="697"/>
      <c r="AV293" s="697"/>
      <c r="AW293" s="697"/>
      <c r="AX293" s="697"/>
      <c r="AY293" s="697"/>
      <c r="AZ293" s="697"/>
      <c r="BA293" s="697"/>
      <c r="BB293" s="697"/>
      <c r="BC293" s="697"/>
      <c r="BD293" s="697"/>
      <c r="BE293" s="697"/>
      <c r="BF293" s="697"/>
      <c r="BG293" s="697"/>
      <c r="BH293" s="697"/>
      <c r="BI293" s="697"/>
      <c r="BJ293" s="697"/>
      <c r="BK293" s="697"/>
      <c r="BL293" s="697"/>
      <c r="BM293" s="697"/>
      <c r="BN293" s="697"/>
      <c r="BO293" s="697"/>
      <c r="BP293" s="697"/>
      <c r="BQ293" s="697"/>
      <c r="BR293" s="697"/>
      <c r="BS293" s="697"/>
      <c r="BT293" s="697"/>
      <c r="BU293" s="697"/>
      <c r="BV293" s="697"/>
      <c r="BW293" s="697"/>
      <c r="BX293" s="697"/>
      <c r="BY293" s="697"/>
      <c r="BZ293" s="697"/>
      <c r="CA293" s="697"/>
      <c r="CB293" s="697"/>
      <c r="CC293" s="697"/>
      <c r="CD293" s="697"/>
      <c r="CE293" s="697"/>
      <c r="CF293" s="697"/>
      <c r="CG293" s="697"/>
      <c r="CH293" s="697"/>
      <c r="CI293" s="697"/>
      <c r="CJ293" s="697"/>
      <c r="CK293" s="697"/>
      <c r="CL293" s="697"/>
      <c r="CM293" s="697"/>
      <c r="CN293" s="697"/>
      <c r="CO293" s="697"/>
      <c r="CP293" s="697"/>
      <c r="CQ293" s="697"/>
      <c r="CR293" s="697"/>
      <c r="CS293" s="697"/>
      <c r="CT293" s="697"/>
      <c r="CU293" s="697"/>
      <c r="CV293" s="697"/>
      <c r="CW293" s="697"/>
      <c r="CX293" s="697"/>
      <c r="CY293" s="697"/>
      <c r="CZ293" s="697"/>
      <c r="DA293" s="697"/>
    </row>
    <row r="294" spans="1:105" hidden="1" outlineLevel="1" x14ac:dyDescent="0.2">
      <c r="A294" s="709">
        <f t="shared" si="62"/>
        <v>38534</v>
      </c>
      <c r="B294" s="709" t="str">
        <f t="shared" si="59"/>
        <v>3Q05</v>
      </c>
      <c r="C294" s="709" t="str">
        <f t="shared" si="63"/>
        <v>3Q05</v>
      </c>
      <c r="D294" s="710">
        <f t="shared" si="66"/>
        <v>38611</v>
      </c>
      <c r="E294" s="710">
        <f t="shared" si="66"/>
        <v>38551</v>
      </c>
      <c r="F294" s="712">
        <v>2.3919999999999999</v>
      </c>
      <c r="G294" s="713">
        <f t="shared" si="60"/>
        <v>0.25000000000000006</v>
      </c>
      <c r="H294" s="713">
        <f t="shared" si="61"/>
        <v>0.24000000000000007</v>
      </c>
      <c r="I294" s="697"/>
      <c r="J294" s="697"/>
      <c r="K294" s="697"/>
      <c r="L294" s="697"/>
      <c r="M294" s="697"/>
      <c r="N294" s="697"/>
      <c r="O294" s="697"/>
      <c r="P294" s="697"/>
      <c r="Q294" s="697"/>
      <c r="R294" s="697"/>
      <c r="S294" s="697"/>
      <c r="T294" s="697"/>
      <c r="U294" s="697"/>
      <c r="V294" s="697"/>
      <c r="W294" s="697"/>
      <c r="X294" s="697"/>
      <c r="Y294" s="697"/>
      <c r="Z294" s="697"/>
      <c r="AA294" s="697"/>
      <c r="AB294" s="697"/>
      <c r="AC294" s="697"/>
      <c r="AD294" s="697"/>
      <c r="AE294" s="697"/>
      <c r="AF294" s="697"/>
      <c r="AG294" s="697"/>
      <c r="AH294" s="697"/>
      <c r="AI294" s="697"/>
      <c r="AJ294" s="697"/>
      <c r="AK294" s="697"/>
      <c r="AL294" s="697"/>
      <c r="AM294" s="697"/>
      <c r="AN294" s="697"/>
      <c r="AO294" s="697"/>
      <c r="AP294" s="697"/>
      <c r="AQ294" s="697"/>
      <c r="AR294" s="697"/>
      <c r="AS294" s="697"/>
      <c r="AT294" s="697"/>
      <c r="AU294" s="697"/>
      <c r="AV294" s="697"/>
      <c r="AW294" s="697"/>
      <c r="AX294" s="697"/>
      <c r="AY294" s="697"/>
      <c r="AZ294" s="697"/>
      <c r="BA294" s="697"/>
      <c r="BB294" s="697"/>
      <c r="BC294" s="697"/>
      <c r="BD294" s="697"/>
      <c r="BE294" s="697"/>
      <c r="BF294" s="697"/>
      <c r="BG294" s="697"/>
      <c r="BH294" s="697"/>
      <c r="BI294" s="697"/>
      <c r="BJ294" s="697"/>
      <c r="BK294" s="697"/>
      <c r="BL294" s="697"/>
      <c r="BM294" s="697"/>
      <c r="BN294" s="697"/>
      <c r="BO294" s="697"/>
      <c r="BP294" s="697"/>
      <c r="BQ294" s="697"/>
      <c r="BR294" s="697"/>
      <c r="BS294" s="697"/>
      <c r="BT294" s="697"/>
      <c r="BU294" s="697"/>
      <c r="BV294" s="697"/>
      <c r="BW294" s="697"/>
      <c r="BX294" s="697"/>
      <c r="BY294" s="697"/>
      <c r="BZ294" s="697"/>
      <c r="CA294" s="697"/>
      <c r="CB294" s="697"/>
      <c r="CC294" s="697"/>
      <c r="CD294" s="697"/>
      <c r="CE294" s="697"/>
      <c r="CF294" s="697"/>
      <c r="CG294" s="697"/>
      <c r="CH294" s="697"/>
      <c r="CI294" s="697"/>
      <c r="CJ294" s="697"/>
      <c r="CK294" s="697"/>
      <c r="CL294" s="697"/>
      <c r="CM294" s="697"/>
      <c r="CN294" s="697"/>
      <c r="CO294" s="697"/>
      <c r="CP294" s="697"/>
      <c r="CQ294" s="697"/>
      <c r="CR294" s="697"/>
      <c r="CS294" s="697"/>
      <c r="CT294" s="697"/>
      <c r="CU294" s="697"/>
      <c r="CV294" s="697"/>
      <c r="CW294" s="697"/>
      <c r="CX294" s="697"/>
      <c r="CY294" s="697"/>
      <c r="CZ294" s="697"/>
      <c r="DA294" s="697"/>
    </row>
    <row r="295" spans="1:105" hidden="1" outlineLevel="1" x14ac:dyDescent="0.2">
      <c r="A295" s="709">
        <f t="shared" si="62"/>
        <v>38534</v>
      </c>
      <c r="B295" s="709" t="str">
        <f t="shared" si="59"/>
        <v>3Q05</v>
      </c>
      <c r="C295" s="709" t="str">
        <f t="shared" si="63"/>
        <v>3Q05</v>
      </c>
      <c r="D295" s="710">
        <f t="shared" si="66"/>
        <v>38618</v>
      </c>
      <c r="E295" s="710">
        <f t="shared" si="66"/>
        <v>38558</v>
      </c>
      <c r="F295" s="712">
        <v>2.3420000000000001</v>
      </c>
      <c r="G295" s="713">
        <f t="shared" si="60"/>
        <v>0.24000000000000007</v>
      </c>
      <c r="H295" s="713">
        <f t="shared" si="61"/>
        <v>0.24000000000000007</v>
      </c>
      <c r="I295" s="697"/>
      <c r="J295" s="697"/>
      <c r="K295" s="697"/>
      <c r="L295" s="697"/>
      <c r="M295" s="697"/>
      <c r="N295" s="697"/>
      <c r="O295" s="697"/>
      <c r="P295" s="697"/>
      <c r="Q295" s="697"/>
      <c r="R295" s="697"/>
      <c r="S295" s="697"/>
      <c r="T295" s="697"/>
      <c r="U295" s="697"/>
      <c r="V295" s="697"/>
      <c r="W295" s="697"/>
      <c r="X295" s="697"/>
      <c r="Y295" s="697"/>
      <c r="Z295" s="697"/>
      <c r="AA295" s="697"/>
      <c r="AB295" s="697"/>
      <c r="AC295" s="697"/>
      <c r="AD295" s="697"/>
      <c r="AE295" s="697"/>
      <c r="AF295" s="697"/>
      <c r="AG295" s="697"/>
      <c r="AH295" s="697"/>
      <c r="AI295" s="697"/>
      <c r="AJ295" s="697"/>
      <c r="AK295" s="697"/>
      <c r="AL295" s="697"/>
      <c r="AM295" s="697"/>
      <c r="AN295" s="697"/>
      <c r="AO295" s="697"/>
      <c r="AP295" s="697"/>
      <c r="AQ295" s="697"/>
      <c r="AR295" s="697"/>
      <c r="AS295" s="697"/>
      <c r="AT295" s="697"/>
      <c r="AU295" s="697"/>
      <c r="AV295" s="697"/>
      <c r="AW295" s="697"/>
      <c r="AX295" s="697"/>
      <c r="AY295" s="697"/>
      <c r="AZ295" s="697"/>
      <c r="BA295" s="697"/>
      <c r="BB295" s="697"/>
      <c r="BC295" s="697"/>
      <c r="BD295" s="697"/>
      <c r="BE295" s="697"/>
      <c r="BF295" s="697"/>
      <c r="BG295" s="697"/>
      <c r="BH295" s="697"/>
      <c r="BI295" s="697"/>
      <c r="BJ295" s="697"/>
      <c r="BK295" s="697"/>
      <c r="BL295" s="697"/>
      <c r="BM295" s="697"/>
      <c r="BN295" s="697"/>
      <c r="BO295" s="697"/>
      <c r="BP295" s="697"/>
      <c r="BQ295" s="697"/>
      <c r="BR295" s="697"/>
      <c r="BS295" s="697"/>
      <c r="BT295" s="697"/>
      <c r="BU295" s="697"/>
      <c r="BV295" s="697"/>
      <c r="BW295" s="697"/>
      <c r="BX295" s="697"/>
      <c r="BY295" s="697"/>
      <c r="BZ295" s="697"/>
      <c r="CA295" s="697"/>
      <c r="CB295" s="697"/>
      <c r="CC295" s="697"/>
      <c r="CD295" s="697"/>
      <c r="CE295" s="697"/>
      <c r="CF295" s="697"/>
      <c r="CG295" s="697"/>
      <c r="CH295" s="697"/>
      <c r="CI295" s="697"/>
      <c r="CJ295" s="697"/>
      <c r="CK295" s="697"/>
      <c r="CL295" s="697"/>
      <c r="CM295" s="697"/>
      <c r="CN295" s="697"/>
      <c r="CO295" s="697"/>
      <c r="CP295" s="697"/>
      <c r="CQ295" s="697"/>
      <c r="CR295" s="697"/>
      <c r="CS295" s="697"/>
      <c r="CT295" s="697"/>
      <c r="CU295" s="697"/>
      <c r="CV295" s="697"/>
      <c r="CW295" s="697"/>
      <c r="CX295" s="697"/>
      <c r="CY295" s="697"/>
      <c r="CZ295" s="697"/>
      <c r="DA295" s="697"/>
    </row>
    <row r="296" spans="1:105" hidden="1" outlineLevel="1" x14ac:dyDescent="0.2">
      <c r="A296" s="709">
        <f t="shared" si="62"/>
        <v>38565</v>
      </c>
      <c r="B296" s="709" t="str">
        <f t="shared" si="59"/>
        <v>3Q05</v>
      </c>
      <c r="C296" s="709" t="str">
        <f t="shared" si="63"/>
        <v>3Q05</v>
      </c>
      <c r="D296" s="710">
        <f t="shared" si="66"/>
        <v>38625</v>
      </c>
      <c r="E296" s="710">
        <f t="shared" si="66"/>
        <v>38565</v>
      </c>
      <c r="F296" s="712">
        <v>2.3480000000000003</v>
      </c>
      <c r="G296" s="713">
        <f t="shared" si="60"/>
        <v>0.24000000000000007</v>
      </c>
      <c r="H296" s="713">
        <f t="shared" si="61"/>
        <v>0.26000000000000006</v>
      </c>
      <c r="I296" s="697"/>
      <c r="J296" s="697"/>
      <c r="K296" s="697"/>
      <c r="L296" s="697"/>
      <c r="M296" s="697"/>
      <c r="N296" s="697"/>
      <c r="O296" s="697"/>
      <c r="P296" s="697"/>
      <c r="Q296" s="697"/>
      <c r="R296" s="697"/>
      <c r="S296" s="697"/>
      <c r="T296" s="697"/>
      <c r="U296" s="697"/>
      <c r="V296" s="697"/>
      <c r="W296" s="697"/>
      <c r="X296" s="697"/>
      <c r="Y296" s="697"/>
      <c r="Z296" s="697"/>
      <c r="AA296" s="697"/>
      <c r="AB296" s="697"/>
      <c r="AC296" s="697"/>
      <c r="AD296" s="697"/>
      <c r="AE296" s="697"/>
      <c r="AF296" s="697"/>
      <c r="AG296" s="697"/>
      <c r="AH296" s="697"/>
      <c r="AI296" s="697"/>
      <c r="AJ296" s="697"/>
      <c r="AK296" s="697"/>
      <c r="AL296" s="697"/>
      <c r="AM296" s="697"/>
      <c r="AN296" s="697"/>
      <c r="AO296" s="697"/>
      <c r="AP296" s="697"/>
      <c r="AQ296" s="697"/>
      <c r="AR296" s="697"/>
      <c r="AS296" s="697"/>
      <c r="AT296" s="697"/>
      <c r="AU296" s="697"/>
      <c r="AV296" s="697"/>
      <c r="AW296" s="697"/>
      <c r="AX296" s="697"/>
      <c r="AY296" s="697"/>
      <c r="AZ296" s="697"/>
      <c r="BA296" s="697"/>
      <c r="BB296" s="697"/>
      <c r="BC296" s="697"/>
      <c r="BD296" s="697"/>
      <c r="BE296" s="697"/>
      <c r="BF296" s="697"/>
      <c r="BG296" s="697"/>
      <c r="BH296" s="697"/>
      <c r="BI296" s="697"/>
      <c r="BJ296" s="697"/>
      <c r="BK296" s="697"/>
      <c r="BL296" s="697"/>
      <c r="BM296" s="697"/>
      <c r="BN296" s="697"/>
      <c r="BO296" s="697"/>
      <c r="BP296" s="697"/>
      <c r="BQ296" s="697"/>
      <c r="BR296" s="697"/>
      <c r="BS296" s="697"/>
      <c r="BT296" s="697"/>
      <c r="BU296" s="697"/>
      <c r="BV296" s="697"/>
      <c r="BW296" s="697"/>
      <c r="BX296" s="697"/>
      <c r="BY296" s="697"/>
      <c r="BZ296" s="697"/>
      <c r="CA296" s="697"/>
      <c r="CB296" s="697"/>
      <c r="CC296" s="697"/>
      <c r="CD296" s="697"/>
      <c r="CE296" s="697"/>
      <c r="CF296" s="697"/>
      <c r="CG296" s="697"/>
      <c r="CH296" s="697"/>
      <c r="CI296" s="697"/>
      <c r="CJ296" s="697"/>
      <c r="CK296" s="697"/>
      <c r="CL296" s="697"/>
      <c r="CM296" s="697"/>
      <c r="CN296" s="697"/>
      <c r="CO296" s="697"/>
      <c r="CP296" s="697"/>
      <c r="CQ296" s="697"/>
      <c r="CR296" s="697"/>
      <c r="CS296" s="697"/>
      <c r="CT296" s="697"/>
      <c r="CU296" s="697"/>
      <c r="CV296" s="697"/>
      <c r="CW296" s="697"/>
      <c r="CX296" s="697"/>
      <c r="CY296" s="697"/>
      <c r="CZ296" s="697"/>
      <c r="DA296" s="697"/>
    </row>
    <row r="297" spans="1:105" hidden="1" outlineLevel="1" x14ac:dyDescent="0.2">
      <c r="A297" s="709">
        <f t="shared" si="62"/>
        <v>38565</v>
      </c>
      <c r="B297" s="709" t="str">
        <f t="shared" si="59"/>
        <v>3Q05</v>
      </c>
      <c r="C297" s="709" t="str">
        <f t="shared" si="63"/>
        <v>4Q05</v>
      </c>
      <c r="D297" s="710">
        <f t="shared" si="66"/>
        <v>38632</v>
      </c>
      <c r="E297" s="710">
        <f t="shared" si="66"/>
        <v>38572</v>
      </c>
      <c r="F297" s="712">
        <v>2.407</v>
      </c>
      <c r="G297" s="713">
        <f t="shared" si="60"/>
        <v>0.26000000000000006</v>
      </c>
      <c r="H297" s="713">
        <f t="shared" si="61"/>
        <v>0.29000000000000009</v>
      </c>
      <c r="I297" s="697"/>
      <c r="J297" s="697"/>
      <c r="K297" s="697"/>
      <c r="L297" s="697"/>
      <c r="M297" s="697"/>
      <c r="N297" s="697"/>
      <c r="O297" s="697"/>
      <c r="P297" s="697"/>
      <c r="Q297" s="697"/>
      <c r="R297" s="697"/>
      <c r="S297" s="697"/>
      <c r="T297" s="697"/>
      <c r="U297" s="697"/>
      <c r="V297" s="697"/>
      <c r="W297" s="697"/>
      <c r="X297" s="697"/>
      <c r="Y297" s="697"/>
      <c r="Z297" s="697"/>
      <c r="AA297" s="697"/>
      <c r="AB297" s="697"/>
      <c r="AC297" s="697"/>
      <c r="AD297" s="697"/>
      <c r="AE297" s="697"/>
      <c r="AF297" s="697"/>
      <c r="AG297" s="697"/>
      <c r="AH297" s="697"/>
      <c r="AI297" s="697"/>
      <c r="AJ297" s="697"/>
      <c r="AK297" s="697"/>
      <c r="AL297" s="697"/>
      <c r="AM297" s="697"/>
      <c r="AN297" s="697"/>
      <c r="AO297" s="697"/>
      <c r="AP297" s="697"/>
      <c r="AQ297" s="697"/>
      <c r="AR297" s="697"/>
      <c r="AS297" s="697"/>
      <c r="AT297" s="697"/>
      <c r="AU297" s="697"/>
      <c r="AV297" s="697"/>
      <c r="AW297" s="697"/>
      <c r="AX297" s="697"/>
      <c r="AY297" s="697"/>
      <c r="AZ297" s="697"/>
      <c r="BA297" s="697"/>
      <c r="BB297" s="697"/>
      <c r="BC297" s="697"/>
      <c r="BD297" s="697"/>
      <c r="BE297" s="697"/>
      <c r="BF297" s="697"/>
      <c r="BG297" s="697"/>
      <c r="BH297" s="697"/>
      <c r="BI297" s="697"/>
      <c r="BJ297" s="697"/>
      <c r="BK297" s="697"/>
      <c r="BL297" s="697"/>
      <c r="BM297" s="697"/>
      <c r="BN297" s="697"/>
      <c r="BO297" s="697"/>
      <c r="BP297" s="697"/>
      <c r="BQ297" s="697"/>
      <c r="BR297" s="697"/>
      <c r="BS297" s="697"/>
      <c r="BT297" s="697"/>
      <c r="BU297" s="697"/>
      <c r="BV297" s="697"/>
      <c r="BW297" s="697"/>
      <c r="BX297" s="697"/>
      <c r="BY297" s="697"/>
      <c r="BZ297" s="697"/>
      <c r="CA297" s="697"/>
      <c r="CB297" s="697"/>
      <c r="CC297" s="697"/>
      <c r="CD297" s="697"/>
      <c r="CE297" s="697"/>
      <c r="CF297" s="697"/>
      <c r="CG297" s="697"/>
      <c r="CH297" s="697"/>
      <c r="CI297" s="697"/>
      <c r="CJ297" s="697"/>
      <c r="CK297" s="697"/>
      <c r="CL297" s="697"/>
      <c r="CM297" s="697"/>
      <c r="CN297" s="697"/>
      <c r="CO297" s="697"/>
      <c r="CP297" s="697"/>
      <c r="CQ297" s="697"/>
      <c r="CR297" s="697"/>
      <c r="CS297" s="697"/>
      <c r="CT297" s="697"/>
      <c r="CU297" s="697"/>
      <c r="CV297" s="697"/>
      <c r="CW297" s="697"/>
      <c r="CX297" s="697"/>
      <c r="CY297" s="697"/>
      <c r="CZ297" s="697"/>
      <c r="DA297" s="697"/>
    </row>
    <row r="298" spans="1:105" hidden="1" outlineLevel="1" x14ac:dyDescent="0.2">
      <c r="A298" s="709">
        <f t="shared" si="62"/>
        <v>38565</v>
      </c>
      <c r="B298" s="709" t="str">
        <f t="shared" si="59"/>
        <v>3Q05</v>
      </c>
      <c r="C298" s="709" t="str">
        <f t="shared" si="63"/>
        <v>4Q05</v>
      </c>
      <c r="D298" s="710">
        <f t="shared" si="66"/>
        <v>38639</v>
      </c>
      <c r="E298" s="710">
        <f t="shared" si="66"/>
        <v>38579</v>
      </c>
      <c r="F298" s="712">
        <v>2.5669999999999997</v>
      </c>
      <c r="G298" s="713">
        <f t="shared" si="60"/>
        <v>0.29000000000000009</v>
      </c>
      <c r="H298" s="713">
        <f t="shared" si="61"/>
        <v>0.29000000000000009</v>
      </c>
      <c r="I298" s="697"/>
      <c r="J298" s="697"/>
      <c r="K298" s="697"/>
      <c r="L298" s="697"/>
      <c r="M298" s="697"/>
      <c r="N298" s="697"/>
      <c r="O298" s="697"/>
      <c r="P298" s="697"/>
      <c r="Q298" s="697"/>
      <c r="R298" s="697"/>
      <c r="S298" s="697"/>
      <c r="T298" s="697"/>
      <c r="U298" s="697"/>
      <c r="V298" s="697"/>
      <c r="W298" s="697"/>
      <c r="X298" s="697"/>
      <c r="Y298" s="697"/>
      <c r="Z298" s="697"/>
      <c r="AA298" s="697"/>
      <c r="AB298" s="697"/>
      <c r="AC298" s="697"/>
      <c r="AD298" s="697"/>
      <c r="AE298" s="697"/>
      <c r="AF298" s="697"/>
      <c r="AG298" s="697"/>
      <c r="AH298" s="697"/>
      <c r="AI298" s="697"/>
      <c r="AJ298" s="697"/>
      <c r="AK298" s="697"/>
      <c r="AL298" s="697"/>
      <c r="AM298" s="697"/>
      <c r="AN298" s="697"/>
      <c r="AO298" s="697"/>
      <c r="AP298" s="697"/>
      <c r="AQ298" s="697"/>
      <c r="AR298" s="697"/>
      <c r="AS298" s="697"/>
      <c r="AT298" s="697"/>
      <c r="AU298" s="697"/>
      <c r="AV298" s="697"/>
      <c r="AW298" s="697"/>
      <c r="AX298" s="697"/>
      <c r="AY298" s="697"/>
      <c r="AZ298" s="697"/>
      <c r="BA298" s="697"/>
      <c r="BB298" s="697"/>
      <c r="BC298" s="697"/>
      <c r="BD298" s="697"/>
      <c r="BE298" s="697"/>
      <c r="BF298" s="697"/>
      <c r="BG298" s="697"/>
      <c r="BH298" s="697"/>
      <c r="BI298" s="697"/>
      <c r="BJ298" s="697"/>
      <c r="BK298" s="697"/>
      <c r="BL298" s="697"/>
      <c r="BM298" s="697"/>
      <c r="BN298" s="697"/>
      <c r="BO298" s="697"/>
      <c r="BP298" s="697"/>
      <c r="BQ298" s="697"/>
      <c r="BR298" s="697"/>
      <c r="BS298" s="697"/>
      <c r="BT298" s="697"/>
      <c r="BU298" s="697"/>
      <c r="BV298" s="697"/>
      <c r="BW298" s="697"/>
      <c r="BX298" s="697"/>
      <c r="BY298" s="697"/>
      <c r="BZ298" s="697"/>
      <c r="CA298" s="697"/>
      <c r="CB298" s="697"/>
      <c r="CC298" s="697"/>
      <c r="CD298" s="697"/>
      <c r="CE298" s="697"/>
      <c r="CF298" s="697"/>
      <c r="CG298" s="697"/>
      <c r="CH298" s="697"/>
      <c r="CI298" s="697"/>
      <c r="CJ298" s="697"/>
      <c r="CK298" s="697"/>
      <c r="CL298" s="697"/>
      <c r="CM298" s="697"/>
      <c r="CN298" s="697"/>
      <c r="CO298" s="697"/>
      <c r="CP298" s="697"/>
      <c r="CQ298" s="697"/>
      <c r="CR298" s="697"/>
      <c r="CS298" s="697"/>
      <c r="CT298" s="697"/>
      <c r="CU298" s="697"/>
      <c r="CV298" s="697"/>
      <c r="CW298" s="697"/>
      <c r="CX298" s="697"/>
      <c r="CY298" s="697"/>
      <c r="CZ298" s="697"/>
      <c r="DA298" s="697"/>
    </row>
    <row r="299" spans="1:105" hidden="1" outlineLevel="1" x14ac:dyDescent="0.2">
      <c r="A299" s="709">
        <f t="shared" si="62"/>
        <v>38565</v>
      </c>
      <c r="B299" s="709" t="str">
        <f t="shared" si="59"/>
        <v>3Q05</v>
      </c>
      <c r="C299" s="709" t="str">
        <f t="shared" si="63"/>
        <v>4Q05</v>
      </c>
      <c r="D299" s="710">
        <f t="shared" si="66"/>
        <v>38646</v>
      </c>
      <c r="E299" s="710">
        <f t="shared" si="66"/>
        <v>38586</v>
      </c>
      <c r="F299" s="712">
        <v>2.5880000000000001</v>
      </c>
      <c r="G299" s="713">
        <f t="shared" si="60"/>
        <v>0.29000000000000009</v>
      </c>
      <c r="H299" s="713">
        <f t="shared" si="61"/>
        <v>0.29000000000000009</v>
      </c>
      <c r="I299" s="697"/>
      <c r="J299" s="697"/>
      <c r="K299" s="697"/>
      <c r="L299" s="697"/>
      <c r="M299" s="697"/>
      <c r="N299" s="697"/>
      <c r="O299" s="697"/>
      <c r="P299" s="697"/>
      <c r="Q299" s="697"/>
      <c r="R299" s="697"/>
      <c r="S299" s="697"/>
      <c r="T299" s="697"/>
      <c r="U299" s="697"/>
      <c r="V299" s="697"/>
      <c r="W299" s="697"/>
      <c r="X299" s="697"/>
      <c r="Y299" s="697"/>
      <c r="Z299" s="697"/>
      <c r="AA299" s="697"/>
      <c r="AB299" s="697"/>
      <c r="AC299" s="697"/>
      <c r="AD299" s="697"/>
      <c r="AE299" s="697"/>
      <c r="AF299" s="697"/>
      <c r="AG299" s="697"/>
      <c r="AH299" s="697"/>
      <c r="AI299" s="697"/>
      <c r="AJ299" s="697"/>
      <c r="AK299" s="697"/>
      <c r="AL299" s="697"/>
      <c r="AM299" s="697"/>
      <c r="AN299" s="697"/>
      <c r="AO299" s="697"/>
      <c r="AP299" s="697"/>
      <c r="AQ299" s="697"/>
      <c r="AR299" s="697"/>
      <c r="AS299" s="697"/>
      <c r="AT299" s="697"/>
      <c r="AU299" s="697"/>
      <c r="AV299" s="697"/>
      <c r="AW299" s="697"/>
      <c r="AX299" s="697"/>
      <c r="AY299" s="697"/>
      <c r="AZ299" s="697"/>
      <c r="BA299" s="697"/>
      <c r="BB299" s="697"/>
      <c r="BC299" s="697"/>
      <c r="BD299" s="697"/>
      <c r="BE299" s="697"/>
      <c r="BF299" s="697"/>
      <c r="BG299" s="697"/>
      <c r="BH299" s="697"/>
      <c r="BI299" s="697"/>
      <c r="BJ299" s="697"/>
      <c r="BK299" s="697"/>
      <c r="BL299" s="697"/>
      <c r="BM299" s="697"/>
      <c r="BN299" s="697"/>
      <c r="BO299" s="697"/>
      <c r="BP299" s="697"/>
      <c r="BQ299" s="697"/>
      <c r="BR299" s="697"/>
      <c r="BS299" s="697"/>
      <c r="BT299" s="697"/>
      <c r="BU299" s="697"/>
      <c r="BV299" s="697"/>
      <c r="BW299" s="697"/>
      <c r="BX299" s="697"/>
      <c r="BY299" s="697"/>
      <c r="BZ299" s="697"/>
      <c r="CA299" s="697"/>
      <c r="CB299" s="697"/>
      <c r="CC299" s="697"/>
      <c r="CD299" s="697"/>
      <c r="CE299" s="697"/>
      <c r="CF299" s="697"/>
      <c r="CG299" s="697"/>
      <c r="CH299" s="697"/>
      <c r="CI299" s="697"/>
      <c r="CJ299" s="697"/>
      <c r="CK299" s="697"/>
      <c r="CL299" s="697"/>
      <c r="CM299" s="697"/>
      <c r="CN299" s="697"/>
      <c r="CO299" s="697"/>
      <c r="CP299" s="697"/>
      <c r="CQ299" s="697"/>
      <c r="CR299" s="697"/>
      <c r="CS299" s="697"/>
      <c r="CT299" s="697"/>
      <c r="CU299" s="697"/>
      <c r="CV299" s="697"/>
      <c r="CW299" s="697"/>
      <c r="CX299" s="697"/>
      <c r="CY299" s="697"/>
      <c r="CZ299" s="697"/>
      <c r="DA299" s="697"/>
    </row>
    <row r="300" spans="1:105" hidden="1" outlineLevel="1" x14ac:dyDescent="0.2">
      <c r="A300" s="709">
        <f t="shared" si="62"/>
        <v>38565</v>
      </c>
      <c r="B300" s="709" t="str">
        <f t="shared" si="59"/>
        <v>3Q05</v>
      </c>
      <c r="C300" s="709" t="str">
        <f t="shared" si="63"/>
        <v>4Q05</v>
      </c>
      <c r="D300" s="710">
        <f t="shared" si="66"/>
        <v>38653</v>
      </c>
      <c r="E300" s="710">
        <f t="shared" si="66"/>
        <v>38593</v>
      </c>
      <c r="F300" s="712">
        <v>2.59</v>
      </c>
      <c r="G300" s="713">
        <f t="shared" si="60"/>
        <v>0.29000000000000009</v>
      </c>
      <c r="H300" s="713">
        <f t="shared" si="61"/>
        <v>0.35000000000000014</v>
      </c>
      <c r="I300" s="697"/>
      <c r="J300" s="697"/>
      <c r="K300" s="697"/>
      <c r="L300" s="697"/>
      <c r="M300" s="697"/>
      <c r="N300" s="697"/>
      <c r="O300" s="697"/>
      <c r="P300" s="697"/>
      <c r="Q300" s="697"/>
      <c r="R300" s="697"/>
      <c r="S300" s="697"/>
      <c r="T300" s="697"/>
      <c r="U300" s="697"/>
      <c r="V300" s="697"/>
      <c r="W300" s="697"/>
      <c r="X300" s="697"/>
      <c r="Y300" s="697"/>
      <c r="Z300" s="697"/>
      <c r="AA300" s="697"/>
      <c r="AB300" s="697"/>
      <c r="AC300" s="697"/>
      <c r="AD300" s="697"/>
      <c r="AE300" s="697"/>
      <c r="AF300" s="697"/>
      <c r="AG300" s="697"/>
      <c r="AH300" s="697"/>
      <c r="AI300" s="697"/>
      <c r="AJ300" s="697"/>
      <c r="AK300" s="697"/>
      <c r="AL300" s="697"/>
      <c r="AM300" s="697"/>
      <c r="AN300" s="697"/>
      <c r="AO300" s="697"/>
      <c r="AP300" s="697"/>
      <c r="AQ300" s="697"/>
      <c r="AR300" s="697"/>
      <c r="AS300" s="697"/>
      <c r="AT300" s="697"/>
      <c r="AU300" s="697"/>
      <c r="AV300" s="697"/>
      <c r="AW300" s="697"/>
      <c r="AX300" s="697"/>
      <c r="AY300" s="697"/>
      <c r="AZ300" s="697"/>
      <c r="BA300" s="697"/>
      <c r="BB300" s="697"/>
      <c r="BC300" s="697"/>
      <c r="BD300" s="697"/>
      <c r="BE300" s="697"/>
      <c r="BF300" s="697"/>
      <c r="BG300" s="697"/>
      <c r="BH300" s="697"/>
      <c r="BI300" s="697"/>
      <c r="BJ300" s="697"/>
      <c r="BK300" s="697"/>
      <c r="BL300" s="697"/>
      <c r="BM300" s="697"/>
      <c r="BN300" s="697"/>
      <c r="BO300" s="697"/>
      <c r="BP300" s="697"/>
      <c r="BQ300" s="697"/>
      <c r="BR300" s="697"/>
      <c r="BS300" s="697"/>
      <c r="BT300" s="697"/>
      <c r="BU300" s="697"/>
      <c r="BV300" s="697"/>
      <c r="BW300" s="697"/>
      <c r="BX300" s="697"/>
      <c r="BY300" s="697"/>
      <c r="BZ300" s="697"/>
      <c r="CA300" s="697"/>
      <c r="CB300" s="697"/>
      <c r="CC300" s="697"/>
      <c r="CD300" s="697"/>
      <c r="CE300" s="697"/>
      <c r="CF300" s="697"/>
      <c r="CG300" s="697"/>
      <c r="CH300" s="697"/>
      <c r="CI300" s="697"/>
      <c r="CJ300" s="697"/>
      <c r="CK300" s="697"/>
      <c r="CL300" s="697"/>
      <c r="CM300" s="697"/>
      <c r="CN300" s="697"/>
      <c r="CO300" s="697"/>
      <c r="CP300" s="697"/>
      <c r="CQ300" s="697"/>
      <c r="CR300" s="697"/>
      <c r="CS300" s="697"/>
      <c r="CT300" s="697"/>
      <c r="CU300" s="697"/>
      <c r="CV300" s="697"/>
      <c r="CW300" s="697"/>
      <c r="CX300" s="697"/>
      <c r="CY300" s="697"/>
      <c r="CZ300" s="697"/>
      <c r="DA300" s="697"/>
    </row>
    <row r="301" spans="1:105" hidden="1" outlineLevel="1" x14ac:dyDescent="0.2">
      <c r="A301" s="709">
        <f t="shared" si="62"/>
        <v>38596</v>
      </c>
      <c r="B301" s="709" t="str">
        <f t="shared" si="59"/>
        <v>3Q05</v>
      </c>
      <c r="C301" s="709" t="str">
        <f t="shared" si="63"/>
        <v>4Q05</v>
      </c>
      <c r="D301" s="710">
        <f t="shared" si="66"/>
        <v>38660</v>
      </c>
      <c r="E301" s="710">
        <f t="shared" si="66"/>
        <v>38600</v>
      </c>
      <c r="F301" s="712">
        <v>2.8980000000000001</v>
      </c>
      <c r="G301" s="713">
        <f t="shared" si="60"/>
        <v>0.35000000000000014</v>
      </c>
      <c r="H301" s="713">
        <f t="shared" si="61"/>
        <v>0.34000000000000014</v>
      </c>
      <c r="I301" s="697"/>
      <c r="J301" s="697"/>
      <c r="K301" s="697"/>
      <c r="L301" s="697"/>
      <c r="M301" s="697"/>
      <c r="N301" s="697"/>
      <c r="O301" s="697"/>
      <c r="P301" s="697"/>
      <c r="Q301" s="697"/>
      <c r="R301" s="697"/>
      <c r="S301" s="697"/>
      <c r="T301" s="697"/>
      <c r="U301" s="697"/>
      <c r="V301" s="697"/>
      <c r="W301" s="697"/>
      <c r="X301" s="697"/>
      <c r="Y301" s="697"/>
      <c r="Z301" s="697"/>
      <c r="AA301" s="697"/>
      <c r="AB301" s="697"/>
      <c r="AC301" s="697"/>
      <c r="AD301" s="697"/>
      <c r="AE301" s="697"/>
      <c r="AF301" s="697"/>
      <c r="AG301" s="697"/>
      <c r="AH301" s="697"/>
      <c r="AI301" s="697"/>
      <c r="AJ301" s="697"/>
      <c r="AK301" s="697"/>
      <c r="AL301" s="697"/>
      <c r="AM301" s="697"/>
      <c r="AN301" s="697"/>
      <c r="AO301" s="697"/>
      <c r="AP301" s="697"/>
      <c r="AQ301" s="697"/>
      <c r="AR301" s="697"/>
      <c r="AS301" s="697"/>
      <c r="AT301" s="697"/>
      <c r="AU301" s="697"/>
      <c r="AV301" s="697"/>
      <c r="AW301" s="697"/>
      <c r="AX301" s="697"/>
      <c r="AY301" s="697"/>
      <c r="AZ301" s="697"/>
      <c r="BA301" s="697"/>
      <c r="BB301" s="697"/>
      <c r="BC301" s="697"/>
      <c r="BD301" s="697"/>
      <c r="BE301" s="697"/>
      <c r="BF301" s="697"/>
      <c r="BG301" s="697"/>
      <c r="BH301" s="697"/>
      <c r="BI301" s="697"/>
      <c r="BJ301" s="697"/>
      <c r="BK301" s="697"/>
      <c r="BL301" s="697"/>
      <c r="BM301" s="697"/>
      <c r="BN301" s="697"/>
      <c r="BO301" s="697"/>
      <c r="BP301" s="697"/>
      <c r="BQ301" s="697"/>
      <c r="BR301" s="697"/>
      <c r="BS301" s="697"/>
      <c r="BT301" s="697"/>
      <c r="BU301" s="697"/>
      <c r="BV301" s="697"/>
      <c r="BW301" s="697"/>
      <c r="BX301" s="697"/>
      <c r="BY301" s="697"/>
      <c r="BZ301" s="697"/>
      <c r="CA301" s="697"/>
      <c r="CB301" s="697"/>
      <c r="CC301" s="697"/>
      <c r="CD301" s="697"/>
      <c r="CE301" s="697"/>
      <c r="CF301" s="697"/>
      <c r="CG301" s="697"/>
      <c r="CH301" s="697"/>
      <c r="CI301" s="697"/>
      <c r="CJ301" s="697"/>
      <c r="CK301" s="697"/>
      <c r="CL301" s="697"/>
      <c r="CM301" s="697"/>
      <c r="CN301" s="697"/>
      <c r="CO301" s="697"/>
      <c r="CP301" s="697"/>
      <c r="CQ301" s="697"/>
      <c r="CR301" s="697"/>
      <c r="CS301" s="697"/>
      <c r="CT301" s="697"/>
      <c r="CU301" s="697"/>
      <c r="CV301" s="697"/>
      <c r="CW301" s="697"/>
      <c r="CX301" s="697"/>
      <c r="CY301" s="697"/>
      <c r="CZ301" s="697"/>
      <c r="DA301" s="697"/>
    </row>
    <row r="302" spans="1:105" hidden="1" outlineLevel="1" x14ac:dyDescent="0.2">
      <c r="A302" s="709">
        <f t="shared" si="62"/>
        <v>38596</v>
      </c>
      <c r="B302" s="709" t="str">
        <f t="shared" si="59"/>
        <v>3Q05</v>
      </c>
      <c r="C302" s="709" t="str">
        <f t="shared" si="63"/>
        <v>4Q05</v>
      </c>
      <c r="D302" s="710">
        <f t="shared" si="66"/>
        <v>38667</v>
      </c>
      <c r="E302" s="710">
        <f t="shared" si="66"/>
        <v>38607</v>
      </c>
      <c r="F302" s="712">
        <v>2.847</v>
      </c>
      <c r="G302" s="713">
        <f t="shared" si="60"/>
        <v>0.34000000000000014</v>
      </c>
      <c r="H302" s="713">
        <f t="shared" si="61"/>
        <v>0.32000000000000012</v>
      </c>
      <c r="I302" s="697"/>
      <c r="J302" s="697"/>
      <c r="K302" s="697"/>
      <c r="L302" s="697"/>
      <c r="M302" s="697"/>
      <c r="N302" s="697"/>
      <c r="O302" s="697"/>
      <c r="P302" s="697"/>
      <c r="Q302" s="697"/>
      <c r="R302" s="697"/>
      <c r="S302" s="697"/>
      <c r="T302" s="697"/>
      <c r="U302" s="697"/>
      <c r="V302" s="697"/>
      <c r="W302" s="697"/>
      <c r="X302" s="697"/>
      <c r="Y302" s="697"/>
      <c r="Z302" s="697"/>
      <c r="AA302" s="697"/>
      <c r="AB302" s="697"/>
      <c r="AC302" s="697"/>
      <c r="AD302" s="697"/>
      <c r="AE302" s="697"/>
      <c r="AF302" s="697"/>
      <c r="AG302" s="697"/>
      <c r="AH302" s="697"/>
      <c r="AI302" s="697"/>
      <c r="AJ302" s="697"/>
      <c r="AK302" s="697"/>
      <c r="AL302" s="697"/>
      <c r="AM302" s="697"/>
      <c r="AN302" s="697"/>
      <c r="AO302" s="697"/>
      <c r="AP302" s="697"/>
      <c r="AQ302" s="697"/>
      <c r="AR302" s="697"/>
      <c r="AS302" s="697"/>
      <c r="AT302" s="697"/>
      <c r="AU302" s="697"/>
      <c r="AV302" s="697"/>
      <c r="AW302" s="697"/>
      <c r="AX302" s="697"/>
      <c r="AY302" s="697"/>
      <c r="AZ302" s="697"/>
      <c r="BA302" s="697"/>
      <c r="BB302" s="697"/>
      <c r="BC302" s="697"/>
      <c r="BD302" s="697"/>
      <c r="BE302" s="697"/>
      <c r="BF302" s="697"/>
      <c r="BG302" s="697"/>
      <c r="BH302" s="697"/>
      <c r="BI302" s="697"/>
      <c r="BJ302" s="697"/>
      <c r="BK302" s="697"/>
      <c r="BL302" s="697"/>
      <c r="BM302" s="697"/>
      <c r="BN302" s="697"/>
      <c r="BO302" s="697"/>
      <c r="BP302" s="697"/>
      <c r="BQ302" s="697"/>
      <c r="BR302" s="697"/>
      <c r="BS302" s="697"/>
      <c r="BT302" s="697"/>
      <c r="BU302" s="697"/>
      <c r="BV302" s="697"/>
      <c r="BW302" s="697"/>
      <c r="BX302" s="697"/>
      <c r="BY302" s="697"/>
      <c r="BZ302" s="697"/>
      <c r="CA302" s="697"/>
      <c r="CB302" s="697"/>
      <c r="CC302" s="697"/>
      <c r="CD302" s="697"/>
      <c r="CE302" s="697"/>
      <c r="CF302" s="697"/>
      <c r="CG302" s="697"/>
      <c r="CH302" s="697"/>
      <c r="CI302" s="697"/>
      <c r="CJ302" s="697"/>
      <c r="CK302" s="697"/>
      <c r="CL302" s="697"/>
      <c r="CM302" s="697"/>
      <c r="CN302" s="697"/>
      <c r="CO302" s="697"/>
      <c r="CP302" s="697"/>
      <c r="CQ302" s="697"/>
      <c r="CR302" s="697"/>
      <c r="CS302" s="697"/>
      <c r="CT302" s="697"/>
      <c r="CU302" s="697"/>
      <c r="CV302" s="697"/>
      <c r="CW302" s="697"/>
      <c r="CX302" s="697"/>
      <c r="CY302" s="697"/>
      <c r="CZ302" s="697"/>
      <c r="DA302" s="697"/>
    </row>
    <row r="303" spans="1:105" hidden="1" outlineLevel="1" x14ac:dyDescent="0.2">
      <c r="A303" s="709">
        <f t="shared" si="62"/>
        <v>38596</v>
      </c>
      <c r="B303" s="709" t="str">
        <f t="shared" si="59"/>
        <v>3Q05</v>
      </c>
      <c r="C303" s="709" t="str">
        <f t="shared" si="63"/>
        <v>4Q05</v>
      </c>
      <c r="D303" s="710">
        <f t="shared" si="66"/>
        <v>38674</v>
      </c>
      <c r="E303" s="710">
        <f t="shared" si="66"/>
        <v>38614</v>
      </c>
      <c r="F303" s="712">
        <v>2.7319999999999998</v>
      </c>
      <c r="G303" s="713">
        <f t="shared" si="60"/>
        <v>0.32000000000000012</v>
      </c>
      <c r="H303" s="713">
        <f t="shared" si="61"/>
        <v>0.33000000000000013</v>
      </c>
      <c r="I303" s="697"/>
      <c r="J303" s="697"/>
      <c r="K303" s="697"/>
      <c r="L303" s="697"/>
      <c r="M303" s="697"/>
      <c r="N303" s="697"/>
      <c r="O303" s="697"/>
      <c r="P303" s="697"/>
      <c r="Q303" s="697"/>
      <c r="R303" s="697"/>
      <c r="S303" s="697"/>
      <c r="T303" s="697"/>
      <c r="U303" s="697"/>
      <c r="V303" s="697"/>
      <c r="W303" s="697"/>
      <c r="X303" s="697"/>
      <c r="Y303" s="697"/>
      <c r="Z303" s="697"/>
      <c r="AA303" s="697"/>
      <c r="AB303" s="697"/>
      <c r="AC303" s="697"/>
      <c r="AD303" s="697"/>
      <c r="AE303" s="697"/>
      <c r="AF303" s="697"/>
      <c r="AG303" s="697"/>
      <c r="AH303" s="697"/>
      <c r="AI303" s="697"/>
      <c r="AJ303" s="697"/>
      <c r="AK303" s="697"/>
      <c r="AL303" s="697"/>
      <c r="AM303" s="697"/>
      <c r="AN303" s="697"/>
      <c r="AO303" s="697"/>
      <c r="AP303" s="697"/>
      <c r="AQ303" s="697"/>
      <c r="AR303" s="697"/>
      <c r="AS303" s="697"/>
      <c r="AT303" s="697"/>
      <c r="AU303" s="697"/>
      <c r="AV303" s="697"/>
      <c r="AW303" s="697"/>
      <c r="AX303" s="697"/>
      <c r="AY303" s="697"/>
      <c r="AZ303" s="697"/>
      <c r="BA303" s="697"/>
      <c r="BB303" s="697"/>
      <c r="BC303" s="697"/>
      <c r="BD303" s="697"/>
      <c r="BE303" s="697"/>
      <c r="BF303" s="697"/>
      <c r="BG303" s="697"/>
      <c r="BH303" s="697"/>
      <c r="BI303" s="697"/>
      <c r="BJ303" s="697"/>
      <c r="BK303" s="697"/>
      <c r="BL303" s="697"/>
      <c r="BM303" s="697"/>
      <c r="BN303" s="697"/>
      <c r="BO303" s="697"/>
      <c r="BP303" s="697"/>
      <c r="BQ303" s="697"/>
      <c r="BR303" s="697"/>
      <c r="BS303" s="697"/>
      <c r="BT303" s="697"/>
      <c r="BU303" s="697"/>
      <c r="BV303" s="697"/>
      <c r="BW303" s="697"/>
      <c r="BX303" s="697"/>
      <c r="BY303" s="697"/>
      <c r="BZ303" s="697"/>
      <c r="CA303" s="697"/>
      <c r="CB303" s="697"/>
      <c r="CC303" s="697"/>
      <c r="CD303" s="697"/>
      <c r="CE303" s="697"/>
      <c r="CF303" s="697"/>
      <c r="CG303" s="697"/>
      <c r="CH303" s="697"/>
      <c r="CI303" s="697"/>
      <c r="CJ303" s="697"/>
      <c r="CK303" s="697"/>
      <c r="CL303" s="697"/>
      <c r="CM303" s="697"/>
      <c r="CN303" s="697"/>
      <c r="CO303" s="697"/>
      <c r="CP303" s="697"/>
      <c r="CQ303" s="697"/>
      <c r="CR303" s="697"/>
      <c r="CS303" s="697"/>
      <c r="CT303" s="697"/>
      <c r="CU303" s="697"/>
      <c r="CV303" s="697"/>
      <c r="CW303" s="697"/>
      <c r="CX303" s="697"/>
      <c r="CY303" s="697"/>
      <c r="CZ303" s="697"/>
      <c r="DA303" s="697"/>
    </row>
    <row r="304" spans="1:105" hidden="1" outlineLevel="1" x14ac:dyDescent="0.2">
      <c r="A304" s="709">
        <f t="shared" si="62"/>
        <v>38596</v>
      </c>
      <c r="B304" s="709" t="str">
        <f t="shared" si="59"/>
        <v>3Q05</v>
      </c>
      <c r="C304" s="709" t="str">
        <f t="shared" si="63"/>
        <v>4Q05</v>
      </c>
      <c r="D304" s="710">
        <f t="shared" si="66"/>
        <v>38681</v>
      </c>
      <c r="E304" s="710">
        <f t="shared" si="66"/>
        <v>38621</v>
      </c>
      <c r="F304" s="712">
        <v>2.798</v>
      </c>
      <c r="G304" s="713">
        <f t="shared" si="60"/>
        <v>0.33000000000000013</v>
      </c>
      <c r="H304" s="713">
        <f t="shared" si="61"/>
        <v>0.40000000000000019</v>
      </c>
      <c r="I304" s="697"/>
      <c r="J304" s="697"/>
      <c r="K304" s="697"/>
      <c r="L304" s="697"/>
      <c r="M304" s="697"/>
      <c r="N304" s="697"/>
      <c r="O304" s="697"/>
      <c r="P304" s="697"/>
      <c r="Q304" s="697"/>
      <c r="R304" s="697"/>
      <c r="S304" s="697"/>
      <c r="T304" s="697"/>
      <c r="U304" s="697"/>
      <c r="V304" s="697"/>
      <c r="W304" s="697"/>
      <c r="X304" s="697"/>
      <c r="Y304" s="697"/>
      <c r="Z304" s="697"/>
      <c r="AA304" s="697"/>
      <c r="AB304" s="697"/>
      <c r="AC304" s="697"/>
      <c r="AD304" s="697"/>
      <c r="AE304" s="697"/>
      <c r="AF304" s="697"/>
      <c r="AG304" s="697"/>
      <c r="AH304" s="697"/>
      <c r="AI304" s="697"/>
      <c r="AJ304" s="697"/>
      <c r="AK304" s="697"/>
      <c r="AL304" s="697"/>
      <c r="AM304" s="697"/>
      <c r="AN304" s="697"/>
      <c r="AO304" s="697"/>
      <c r="AP304" s="697"/>
      <c r="AQ304" s="697"/>
      <c r="AR304" s="697"/>
      <c r="AS304" s="697"/>
      <c r="AT304" s="697"/>
      <c r="AU304" s="697"/>
      <c r="AV304" s="697"/>
      <c r="AW304" s="697"/>
      <c r="AX304" s="697"/>
      <c r="AY304" s="697"/>
      <c r="AZ304" s="697"/>
      <c r="BA304" s="697"/>
      <c r="BB304" s="697"/>
      <c r="BC304" s="697"/>
      <c r="BD304" s="697"/>
      <c r="BE304" s="697"/>
      <c r="BF304" s="697"/>
      <c r="BG304" s="697"/>
      <c r="BH304" s="697"/>
      <c r="BI304" s="697"/>
      <c r="BJ304" s="697"/>
      <c r="BK304" s="697"/>
      <c r="BL304" s="697"/>
      <c r="BM304" s="697"/>
      <c r="BN304" s="697"/>
      <c r="BO304" s="697"/>
      <c r="BP304" s="697"/>
      <c r="BQ304" s="697"/>
      <c r="BR304" s="697"/>
      <c r="BS304" s="697"/>
      <c r="BT304" s="697"/>
      <c r="BU304" s="697"/>
      <c r="BV304" s="697"/>
      <c r="BW304" s="697"/>
      <c r="BX304" s="697"/>
      <c r="BY304" s="697"/>
      <c r="BZ304" s="697"/>
      <c r="CA304" s="697"/>
      <c r="CB304" s="697"/>
      <c r="CC304" s="697"/>
      <c r="CD304" s="697"/>
      <c r="CE304" s="697"/>
      <c r="CF304" s="697"/>
      <c r="CG304" s="697"/>
      <c r="CH304" s="697"/>
      <c r="CI304" s="697"/>
      <c r="CJ304" s="697"/>
      <c r="CK304" s="697"/>
      <c r="CL304" s="697"/>
      <c r="CM304" s="697"/>
      <c r="CN304" s="697"/>
      <c r="CO304" s="697"/>
      <c r="CP304" s="697"/>
      <c r="CQ304" s="697"/>
      <c r="CR304" s="697"/>
      <c r="CS304" s="697"/>
      <c r="CT304" s="697"/>
      <c r="CU304" s="697"/>
      <c r="CV304" s="697"/>
      <c r="CW304" s="697"/>
      <c r="CX304" s="697"/>
      <c r="CY304" s="697"/>
      <c r="CZ304" s="697"/>
      <c r="DA304" s="697"/>
    </row>
    <row r="305" spans="1:105" hidden="1" outlineLevel="1" x14ac:dyDescent="0.2">
      <c r="A305" s="709">
        <f t="shared" si="62"/>
        <v>38626</v>
      </c>
      <c r="B305" s="709" t="str">
        <f t="shared" si="59"/>
        <v>4Q05</v>
      </c>
      <c r="C305" s="709" t="str">
        <f t="shared" si="63"/>
        <v>4Q05</v>
      </c>
      <c r="D305" s="710">
        <f t="shared" si="66"/>
        <v>38688</v>
      </c>
      <c r="E305" s="710">
        <f t="shared" si="66"/>
        <v>38628</v>
      </c>
      <c r="F305" s="712">
        <v>3.1439999999999997</v>
      </c>
      <c r="G305" s="713">
        <f t="shared" si="60"/>
        <v>0.40000000000000019</v>
      </c>
      <c r="H305" s="713">
        <f t="shared" si="61"/>
        <v>0.4100000000000002</v>
      </c>
      <c r="I305" s="697"/>
      <c r="J305" s="697"/>
      <c r="K305" s="697"/>
      <c r="L305" s="697"/>
      <c r="M305" s="697"/>
      <c r="N305" s="697"/>
      <c r="O305" s="697"/>
      <c r="P305" s="697"/>
      <c r="Q305" s="697"/>
      <c r="R305" s="697"/>
      <c r="S305" s="697"/>
      <c r="T305" s="697"/>
      <c r="U305" s="697"/>
      <c r="V305" s="697"/>
      <c r="W305" s="697"/>
      <c r="X305" s="697"/>
      <c r="Y305" s="697"/>
      <c r="Z305" s="697"/>
      <c r="AA305" s="697"/>
      <c r="AB305" s="697"/>
      <c r="AC305" s="697"/>
      <c r="AD305" s="697"/>
      <c r="AE305" s="697"/>
      <c r="AF305" s="697"/>
      <c r="AG305" s="697"/>
      <c r="AH305" s="697"/>
      <c r="AI305" s="697"/>
      <c r="AJ305" s="697"/>
      <c r="AK305" s="697"/>
      <c r="AL305" s="697"/>
      <c r="AM305" s="697"/>
      <c r="AN305" s="697"/>
      <c r="AO305" s="697"/>
      <c r="AP305" s="697"/>
      <c r="AQ305" s="697"/>
      <c r="AR305" s="697"/>
      <c r="AS305" s="697"/>
      <c r="AT305" s="697"/>
      <c r="AU305" s="697"/>
      <c r="AV305" s="697"/>
      <c r="AW305" s="697"/>
      <c r="AX305" s="697"/>
      <c r="AY305" s="697"/>
      <c r="AZ305" s="697"/>
      <c r="BA305" s="697"/>
      <c r="BB305" s="697"/>
      <c r="BC305" s="697"/>
      <c r="BD305" s="697"/>
      <c r="BE305" s="697"/>
      <c r="BF305" s="697"/>
      <c r="BG305" s="697"/>
      <c r="BH305" s="697"/>
      <c r="BI305" s="697"/>
      <c r="BJ305" s="697"/>
      <c r="BK305" s="697"/>
      <c r="BL305" s="697"/>
      <c r="BM305" s="697"/>
      <c r="BN305" s="697"/>
      <c r="BO305" s="697"/>
      <c r="BP305" s="697"/>
      <c r="BQ305" s="697"/>
      <c r="BR305" s="697"/>
      <c r="BS305" s="697"/>
      <c r="BT305" s="697"/>
      <c r="BU305" s="697"/>
      <c r="BV305" s="697"/>
      <c r="BW305" s="697"/>
      <c r="BX305" s="697"/>
      <c r="BY305" s="697"/>
      <c r="BZ305" s="697"/>
      <c r="CA305" s="697"/>
      <c r="CB305" s="697"/>
      <c r="CC305" s="697"/>
      <c r="CD305" s="697"/>
      <c r="CE305" s="697"/>
      <c r="CF305" s="697"/>
      <c r="CG305" s="697"/>
      <c r="CH305" s="697"/>
      <c r="CI305" s="697"/>
      <c r="CJ305" s="697"/>
      <c r="CK305" s="697"/>
      <c r="CL305" s="697"/>
      <c r="CM305" s="697"/>
      <c r="CN305" s="697"/>
      <c r="CO305" s="697"/>
      <c r="CP305" s="697"/>
      <c r="CQ305" s="697"/>
      <c r="CR305" s="697"/>
      <c r="CS305" s="697"/>
      <c r="CT305" s="697"/>
      <c r="CU305" s="697"/>
      <c r="CV305" s="697"/>
      <c r="CW305" s="697"/>
      <c r="CX305" s="697"/>
      <c r="CY305" s="697"/>
      <c r="CZ305" s="697"/>
      <c r="DA305" s="697"/>
    </row>
    <row r="306" spans="1:105" hidden="1" outlineLevel="1" x14ac:dyDescent="0.2">
      <c r="A306" s="709">
        <f t="shared" si="62"/>
        <v>38626</v>
      </c>
      <c r="B306" s="709" t="str">
        <f t="shared" si="59"/>
        <v>4Q05</v>
      </c>
      <c r="C306" s="709" t="str">
        <f t="shared" si="63"/>
        <v>4Q05</v>
      </c>
      <c r="D306" s="710">
        <f t="shared" si="66"/>
        <v>38695</v>
      </c>
      <c r="E306" s="710">
        <f t="shared" si="66"/>
        <v>38635</v>
      </c>
      <c r="F306" s="712">
        <v>3.15</v>
      </c>
      <c r="G306" s="713">
        <f t="shared" si="60"/>
        <v>0.4100000000000002</v>
      </c>
      <c r="H306" s="713">
        <f t="shared" si="61"/>
        <v>0.40000000000000019</v>
      </c>
      <c r="I306" s="697"/>
      <c r="J306" s="697"/>
      <c r="K306" s="697"/>
      <c r="L306" s="697"/>
      <c r="M306" s="697"/>
      <c r="N306" s="697"/>
      <c r="O306" s="697"/>
      <c r="P306" s="697"/>
      <c r="Q306" s="697"/>
      <c r="R306" s="697"/>
      <c r="S306" s="697"/>
      <c r="T306" s="697"/>
      <c r="U306" s="697"/>
      <c r="V306" s="697"/>
      <c r="W306" s="697"/>
      <c r="X306" s="697"/>
      <c r="Y306" s="697"/>
      <c r="Z306" s="697"/>
      <c r="AA306" s="697"/>
      <c r="AB306" s="697"/>
      <c r="AC306" s="697"/>
      <c r="AD306" s="697"/>
      <c r="AE306" s="697"/>
      <c r="AF306" s="697"/>
      <c r="AG306" s="697"/>
      <c r="AH306" s="697"/>
      <c r="AI306" s="697"/>
      <c r="AJ306" s="697"/>
      <c r="AK306" s="697"/>
      <c r="AL306" s="697"/>
      <c r="AM306" s="697"/>
      <c r="AN306" s="697"/>
      <c r="AO306" s="697"/>
      <c r="AP306" s="697"/>
      <c r="AQ306" s="697"/>
      <c r="AR306" s="697"/>
      <c r="AS306" s="697"/>
      <c r="AT306" s="697"/>
      <c r="AU306" s="697"/>
      <c r="AV306" s="697"/>
      <c r="AW306" s="697"/>
      <c r="AX306" s="697"/>
      <c r="AY306" s="697"/>
      <c r="AZ306" s="697"/>
      <c r="BA306" s="697"/>
      <c r="BB306" s="697"/>
      <c r="BC306" s="697"/>
      <c r="BD306" s="697"/>
      <c r="BE306" s="697"/>
      <c r="BF306" s="697"/>
      <c r="BG306" s="697"/>
      <c r="BH306" s="697"/>
      <c r="BI306" s="697"/>
      <c r="BJ306" s="697"/>
      <c r="BK306" s="697"/>
      <c r="BL306" s="697"/>
      <c r="BM306" s="697"/>
      <c r="BN306" s="697"/>
      <c r="BO306" s="697"/>
      <c r="BP306" s="697"/>
      <c r="BQ306" s="697"/>
      <c r="BR306" s="697"/>
      <c r="BS306" s="697"/>
      <c r="BT306" s="697"/>
      <c r="BU306" s="697"/>
      <c r="BV306" s="697"/>
      <c r="BW306" s="697"/>
      <c r="BX306" s="697"/>
      <c r="BY306" s="697"/>
      <c r="BZ306" s="697"/>
      <c r="CA306" s="697"/>
      <c r="CB306" s="697"/>
      <c r="CC306" s="697"/>
      <c r="CD306" s="697"/>
      <c r="CE306" s="697"/>
      <c r="CF306" s="697"/>
      <c r="CG306" s="697"/>
      <c r="CH306" s="697"/>
      <c r="CI306" s="697"/>
      <c r="CJ306" s="697"/>
      <c r="CK306" s="697"/>
      <c r="CL306" s="697"/>
      <c r="CM306" s="697"/>
      <c r="CN306" s="697"/>
      <c r="CO306" s="697"/>
      <c r="CP306" s="697"/>
      <c r="CQ306" s="697"/>
      <c r="CR306" s="697"/>
      <c r="CS306" s="697"/>
      <c r="CT306" s="697"/>
      <c r="CU306" s="697"/>
      <c r="CV306" s="697"/>
      <c r="CW306" s="697"/>
      <c r="CX306" s="697"/>
      <c r="CY306" s="697"/>
      <c r="CZ306" s="697"/>
      <c r="DA306" s="697"/>
    </row>
    <row r="307" spans="1:105" hidden="1" outlineLevel="1" x14ac:dyDescent="0.2">
      <c r="A307" s="709">
        <f t="shared" si="62"/>
        <v>38626</v>
      </c>
      <c r="B307" s="709" t="str">
        <f t="shared" si="59"/>
        <v>4Q05</v>
      </c>
      <c r="C307" s="709" t="str">
        <f t="shared" si="63"/>
        <v>4Q05</v>
      </c>
      <c r="D307" s="710">
        <f t="shared" si="66"/>
        <v>38702</v>
      </c>
      <c r="E307" s="710">
        <f t="shared" si="66"/>
        <v>38642</v>
      </c>
      <c r="F307" s="712">
        <v>3.1480000000000001</v>
      </c>
      <c r="G307" s="713">
        <f t="shared" si="60"/>
        <v>0.40000000000000019</v>
      </c>
      <c r="H307" s="713">
        <f t="shared" si="61"/>
        <v>0.4100000000000002</v>
      </c>
      <c r="I307" s="697"/>
      <c r="J307" s="697"/>
      <c r="K307" s="697"/>
      <c r="L307" s="697"/>
      <c r="M307" s="697"/>
      <c r="N307" s="697"/>
      <c r="O307" s="697"/>
      <c r="P307" s="697"/>
      <c r="Q307" s="697"/>
      <c r="R307" s="697"/>
      <c r="S307" s="697"/>
      <c r="T307" s="697"/>
      <c r="U307" s="697"/>
      <c r="V307" s="697"/>
      <c r="W307" s="697"/>
      <c r="X307" s="697"/>
      <c r="Y307" s="697"/>
      <c r="Z307" s="697"/>
      <c r="AA307" s="697"/>
      <c r="AB307" s="697"/>
      <c r="AC307" s="697"/>
      <c r="AD307" s="697"/>
      <c r="AE307" s="697"/>
      <c r="AF307" s="697"/>
      <c r="AG307" s="697"/>
      <c r="AH307" s="697"/>
      <c r="AI307" s="697"/>
      <c r="AJ307" s="697"/>
      <c r="AK307" s="697"/>
      <c r="AL307" s="697"/>
      <c r="AM307" s="697"/>
      <c r="AN307" s="697"/>
      <c r="AO307" s="697"/>
      <c r="AP307" s="697"/>
      <c r="AQ307" s="697"/>
      <c r="AR307" s="697"/>
      <c r="AS307" s="697"/>
      <c r="AT307" s="697"/>
      <c r="AU307" s="697"/>
      <c r="AV307" s="697"/>
      <c r="AW307" s="697"/>
      <c r="AX307" s="697"/>
      <c r="AY307" s="697"/>
      <c r="AZ307" s="697"/>
      <c r="BA307" s="697"/>
      <c r="BB307" s="697"/>
      <c r="BC307" s="697"/>
      <c r="BD307" s="697"/>
      <c r="BE307" s="697"/>
      <c r="BF307" s="697"/>
      <c r="BG307" s="697"/>
      <c r="BH307" s="697"/>
      <c r="BI307" s="697"/>
      <c r="BJ307" s="697"/>
      <c r="BK307" s="697"/>
      <c r="BL307" s="697"/>
      <c r="BM307" s="697"/>
      <c r="BN307" s="697"/>
      <c r="BO307" s="697"/>
      <c r="BP307" s="697"/>
      <c r="BQ307" s="697"/>
      <c r="BR307" s="697"/>
      <c r="BS307" s="697"/>
      <c r="BT307" s="697"/>
      <c r="BU307" s="697"/>
      <c r="BV307" s="697"/>
      <c r="BW307" s="697"/>
      <c r="BX307" s="697"/>
      <c r="BY307" s="697"/>
      <c r="BZ307" s="697"/>
      <c r="CA307" s="697"/>
      <c r="CB307" s="697"/>
      <c r="CC307" s="697"/>
      <c r="CD307" s="697"/>
      <c r="CE307" s="697"/>
      <c r="CF307" s="697"/>
      <c r="CG307" s="697"/>
      <c r="CH307" s="697"/>
      <c r="CI307" s="697"/>
      <c r="CJ307" s="697"/>
      <c r="CK307" s="697"/>
      <c r="CL307" s="697"/>
      <c r="CM307" s="697"/>
      <c r="CN307" s="697"/>
      <c r="CO307" s="697"/>
      <c r="CP307" s="697"/>
      <c r="CQ307" s="697"/>
      <c r="CR307" s="697"/>
      <c r="CS307" s="697"/>
      <c r="CT307" s="697"/>
      <c r="CU307" s="697"/>
      <c r="CV307" s="697"/>
      <c r="CW307" s="697"/>
      <c r="CX307" s="697"/>
      <c r="CY307" s="697"/>
      <c r="CZ307" s="697"/>
      <c r="DA307" s="697"/>
    </row>
    <row r="308" spans="1:105" hidden="1" outlineLevel="1" x14ac:dyDescent="0.2">
      <c r="A308" s="709">
        <f t="shared" si="62"/>
        <v>38626</v>
      </c>
      <c r="B308" s="709" t="str">
        <f t="shared" si="59"/>
        <v>4Q05</v>
      </c>
      <c r="C308" s="709" t="str">
        <f t="shared" si="63"/>
        <v>4Q05</v>
      </c>
      <c r="D308" s="710">
        <f t="shared" si="66"/>
        <v>38709</v>
      </c>
      <c r="E308" s="710">
        <f t="shared" si="66"/>
        <v>38649</v>
      </c>
      <c r="F308" s="712">
        <v>3.157</v>
      </c>
      <c r="G308" s="713">
        <f t="shared" si="60"/>
        <v>0.4100000000000002</v>
      </c>
      <c r="H308" s="713">
        <f t="shared" si="61"/>
        <v>0.35000000000000014</v>
      </c>
      <c r="I308" s="697"/>
      <c r="J308" s="697"/>
      <c r="K308" s="697"/>
      <c r="L308" s="697"/>
      <c r="M308" s="697"/>
      <c r="N308" s="697"/>
      <c r="O308" s="697"/>
      <c r="P308" s="697"/>
      <c r="Q308" s="697"/>
      <c r="R308" s="697"/>
      <c r="S308" s="697"/>
      <c r="T308" s="697"/>
      <c r="U308" s="697"/>
      <c r="V308" s="697"/>
      <c r="W308" s="697"/>
      <c r="X308" s="697"/>
      <c r="Y308" s="697"/>
      <c r="Z308" s="697"/>
      <c r="AA308" s="697"/>
      <c r="AB308" s="697"/>
      <c r="AC308" s="697"/>
      <c r="AD308" s="697"/>
      <c r="AE308" s="697"/>
      <c r="AF308" s="697"/>
      <c r="AG308" s="697"/>
      <c r="AH308" s="697"/>
      <c r="AI308" s="697"/>
      <c r="AJ308" s="697"/>
      <c r="AK308" s="697"/>
      <c r="AL308" s="697"/>
      <c r="AM308" s="697"/>
      <c r="AN308" s="697"/>
      <c r="AO308" s="697"/>
      <c r="AP308" s="697"/>
      <c r="AQ308" s="697"/>
      <c r="AR308" s="697"/>
      <c r="AS308" s="697"/>
      <c r="AT308" s="697"/>
      <c r="AU308" s="697"/>
      <c r="AV308" s="697"/>
      <c r="AW308" s="697"/>
      <c r="AX308" s="697"/>
      <c r="AY308" s="697"/>
      <c r="AZ308" s="697"/>
      <c r="BA308" s="697"/>
      <c r="BB308" s="697"/>
      <c r="BC308" s="697"/>
      <c r="BD308" s="697"/>
      <c r="BE308" s="697"/>
      <c r="BF308" s="697"/>
      <c r="BG308" s="697"/>
      <c r="BH308" s="697"/>
      <c r="BI308" s="697"/>
      <c r="BJ308" s="697"/>
      <c r="BK308" s="697"/>
      <c r="BL308" s="697"/>
      <c r="BM308" s="697"/>
      <c r="BN308" s="697"/>
      <c r="BO308" s="697"/>
      <c r="BP308" s="697"/>
      <c r="BQ308" s="697"/>
      <c r="BR308" s="697"/>
      <c r="BS308" s="697"/>
      <c r="BT308" s="697"/>
      <c r="BU308" s="697"/>
      <c r="BV308" s="697"/>
      <c r="BW308" s="697"/>
      <c r="BX308" s="697"/>
      <c r="BY308" s="697"/>
      <c r="BZ308" s="697"/>
      <c r="CA308" s="697"/>
      <c r="CB308" s="697"/>
      <c r="CC308" s="697"/>
      <c r="CD308" s="697"/>
      <c r="CE308" s="697"/>
      <c r="CF308" s="697"/>
      <c r="CG308" s="697"/>
      <c r="CH308" s="697"/>
      <c r="CI308" s="697"/>
      <c r="CJ308" s="697"/>
      <c r="CK308" s="697"/>
      <c r="CL308" s="697"/>
      <c r="CM308" s="697"/>
      <c r="CN308" s="697"/>
      <c r="CO308" s="697"/>
      <c r="CP308" s="697"/>
      <c r="CQ308" s="697"/>
      <c r="CR308" s="697"/>
      <c r="CS308" s="697"/>
      <c r="CT308" s="697"/>
      <c r="CU308" s="697"/>
      <c r="CV308" s="697"/>
      <c r="CW308" s="697"/>
      <c r="CX308" s="697"/>
      <c r="CY308" s="697"/>
      <c r="CZ308" s="697"/>
      <c r="DA308" s="697"/>
    </row>
    <row r="309" spans="1:105" hidden="1" outlineLevel="1" x14ac:dyDescent="0.2">
      <c r="A309" s="709">
        <f t="shared" si="62"/>
        <v>38626</v>
      </c>
      <c r="B309" s="709" t="str">
        <f t="shared" si="59"/>
        <v>4Q05</v>
      </c>
      <c r="C309" s="709" t="str">
        <f t="shared" si="63"/>
        <v>4Q05</v>
      </c>
      <c r="D309" s="710">
        <f t="shared" ref="D309:E324" si="67">D308+7</f>
        <v>38716</v>
      </c>
      <c r="E309" s="710">
        <f t="shared" si="67"/>
        <v>38656</v>
      </c>
      <c r="F309" s="712">
        <v>2.8760000000000003</v>
      </c>
      <c r="G309" s="713">
        <f t="shared" si="60"/>
        <v>0.35000000000000014</v>
      </c>
      <c r="H309" s="713">
        <f t="shared" si="61"/>
        <v>0.31000000000000011</v>
      </c>
      <c r="I309" s="697"/>
      <c r="J309" s="697"/>
      <c r="K309" s="697"/>
      <c r="L309" s="697"/>
      <c r="M309" s="697"/>
      <c r="N309" s="697"/>
      <c r="O309" s="697"/>
      <c r="P309" s="697"/>
      <c r="Q309" s="697"/>
      <c r="R309" s="697"/>
      <c r="S309" s="697"/>
      <c r="T309" s="697"/>
      <c r="U309" s="697"/>
      <c r="V309" s="697"/>
      <c r="W309" s="697"/>
      <c r="X309" s="697"/>
      <c r="Y309" s="697"/>
      <c r="Z309" s="697"/>
      <c r="AA309" s="697"/>
      <c r="AB309" s="697"/>
      <c r="AC309" s="697"/>
      <c r="AD309" s="697"/>
      <c r="AE309" s="697"/>
      <c r="AF309" s="697"/>
      <c r="AG309" s="697"/>
      <c r="AH309" s="697"/>
      <c r="AI309" s="697"/>
      <c r="AJ309" s="697"/>
      <c r="AK309" s="697"/>
      <c r="AL309" s="697"/>
      <c r="AM309" s="697"/>
      <c r="AN309" s="697"/>
      <c r="AO309" s="697"/>
      <c r="AP309" s="697"/>
      <c r="AQ309" s="697"/>
      <c r="AR309" s="697"/>
      <c r="AS309" s="697"/>
      <c r="AT309" s="697"/>
      <c r="AU309" s="697"/>
      <c r="AV309" s="697"/>
      <c r="AW309" s="697"/>
      <c r="AX309" s="697"/>
      <c r="AY309" s="697"/>
      <c r="AZ309" s="697"/>
      <c r="BA309" s="697"/>
      <c r="BB309" s="697"/>
      <c r="BC309" s="697"/>
      <c r="BD309" s="697"/>
      <c r="BE309" s="697"/>
      <c r="BF309" s="697"/>
      <c r="BG309" s="697"/>
      <c r="BH309" s="697"/>
      <c r="BI309" s="697"/>
      <c r="BJ309" s="697"/>
      <c r="BK309" s="697"/>
      <c r="BL309" s="697"/>
      <c r="BM309" s="697"/>
      <c r="BN309" s="697"/>
      <c r="BO309" s="697"/>
      <c r="BP309" s="697"/>
      <c r="BQ309" s="697"/>
      <c r="BR309" s="697"/>
      <c r="BS309" s="697"/>
      <c r="BT309" s="697"/>
      <c r="BU309" s="697"/>
      <c r="BV309" s="697"/>
      <c r="BW309" s="697"/>
      <c r="BX309" s="697"/>
      <c r="BY309" s="697"/>
      <c r="BZ309" s="697"/>
      <c r="CA309" s="697"/>
      <c r="CB309" s="697"/>
      <c r="CC309" s="697"/>
      <c r="CD309" s="697"/>
      <c r="CE309" s="697"/>
      <c r="CF309" s="697"/>
      <c r="CG309" s="697"/>
      <c r="CH309" s="697"/>
      <c r="CI309" s="697"/>
      <c r="CJ309" s="697"/>
      <c r="CK309" s="697"/>
      <c r="CL309" s="697"/>
      <c r="CM309" s="697"/>
      <c r="CN309" s="697"/>
      <c r="CO309" s="697"/>
      <c r="CP309" s="697"/>
      <c r="CQ309" s="697"/>
      <c r="CR309" s="697"/>
      <c r="CS309" s="697"/>
      <c r="CT309" s="697"/>
      <c r="CU309" s="697"/>
      <c r="CV309" s="697"/>
      <c r="CW309" s="697"/>
      <c r="CX309" s="697"/>
      <c r="CY309" s="697"/>
      <c r="CZ309" s="697"/>
      <c r="DA309" s="697"/>
    </row>
    <row r="310" spans="1:105" hidden="1" outlineLevel="1" x14ac:dyDescent="0.2">
      <c r="A310" s="709">
        <f t="shared" si="62"/>
        <v>38657</v>
      </c>
      <c r="B310" s="709" t="str">
        <f t="shared" si="59"/>
        <v>4Q05</v>
      </c>
      <c r="C310" s="709" t="str">
        <f t="shared" si="63"/>
        <v>1Q06</v>
      </c>
      <c r="D310" s="710">
        <f t="shared" si="67"/>
        <v>38723</v>
      </c>
      <c r="E310" s="710">
        <f t="shared" si="67"/>
        <v>38663</v>
      </c>
      <c r="F310" s="712">
        <v>2.698</v>
      </c>
      <c r="G310" s="713">
        <f t="shared" si="60"/>
        <v>0.31000000000000011</v>
      </c>
      <c r="H310" s="713">
        <f t="shared" si="61"/>
        <v>0.3000000000000001</v>
      </c>
      <c r="I310" s="697"/>
      <c r="J310" s="697"/>
      <c r="K310" s="697"/>
      <c r="L310" s="697"/>
      <c r="M310" s="697"/>
      <c r="N310" s="697"/>
      <c r="O310" s="697"/>
      <c r="P310" s="697"/>
      <c r="Q310" s="697"/>
      <c r="R310" s="697"/>
      <c r="S310" s="697"/>
      <c r="T310" s="697"/>
      <c r="U310" s="697"/>
      <c r="V310" s="697"/>
      <c r="W310" s="697"/>
      <c r="X310" s="697"/>
      <c r="Y310" s="697"/>
      <c r="Z310" s="697"/>
      <c r="AA310" s="697"/>
      <c r="AB310" s="697"/>
      <c r="AC310" s="697"/>
      <c r="AD310" s="697"/>
      <c r="AE310" s="697"/>
      <c r="AF310" s="697"/>
      <c r="AG310" s="697"/>
      <c r="AH310" s="697"/>
      <c r="AI310" s="697"/>
      <c r="AJ310" s="697"/>
      <c r="AK310" s="697"/>
      <c r="AL310" s="697"/>
      <c r="AM310" s="697"/>
      <c r="AN310" s="697"/>
      <c r="AO310" s="697"/>
      <c r="AP310" s="697"/>
      <c r="AQ310" s="697"/>
      <c r="AR310" s="697"/>
      <c r="AS310" s="697"/>
      <c r="AT310" s="697"/>
      <c r="AU310" s="697"/>
      <c r="AV310" s="697"/>
      <c r="AW310" s="697"/>
      <c r="AX310" s="697"/>
      <c r="AY310" s="697"/>
      <c r="AZ310" s="697"/>
      <c r="BA310" s="697"/>
      <c r="BB310" s="697"/>
      <c r="BC310" s="697"/>
      <c r="BD310" s="697"/>
      <c r="BE310" s="697"/>
      <c r="BF310" s="697"/>
      <c r="BG310" s="697"/>
      <c r="BH310" s="697"/>
      <c r="BI310" s="697"/>
      <c r="BJ310" s="697"/>
      <c r="BK310" s="697"/>
      <c r="BL310" s="697"/>
      <c r="BM310" s="697"/>
      <c r="BN310" s="697"/>
      <c r="BO310" s="697"/>
      <c r="BP310" s="697"/>
      <c r="BQ310" s="697"/>
      <c r="BR310" s="697"/>
      <c r="BS310" s="697"/>
      <c r="BT310" s="697"/>
      <c r="BU310" s="697"/>
      <c r="BV310" s="697"/>
      <c r="BW310" s="697"/>
      <c r="BX310" s="697"/>
      <c r="BY310" s="697"/>
      <c r="BZ310" s="697"/>
      <c r="CA310" s="697"/>
      <c r="CB310" s="697"/>
      <c r="CC310" s="697"/>
      <c r="CD310" s="697"/>
      <c r="CE310" s="697"/>
      <c r="CF310" s="697"/>
      <c r="CG310" s="697"/>
      <c r="CH310" s="697"/>
      <c r="CI310" s="697"/>
      <c r="CJ310" s="697"/>
      <c r="CK310" s="697"/>
      <c r="CL310" s="697"/>
      <c r="CM310" s="697"/>
      <c r="CN310" s="697"/>
      <c r="CO310" s="697"/>
      <c r="CP310" s="697"/>
      <c r="CQ310" s="697"/>
      <c r="CR310" s="697"/>
      <c r="CS310" s="697"/>
      <c r="CT310" s="697"/>
      <c r="CU310" s="697"/>
      <c r="CV310" s="697"/>
      <c r="CW310" s="697"/>
      <c r="CX310" s="697"/>
      <c r="CY310" s="697"/>
      <c r="CZ310" s="697"/>
      <c r="DA310" s="697"/>
    </row>
    <row r="311" spans="1:105" hidden="1" outlineLevel="1" x14ac:dyDescent="0.2">
      <c r="A311" s="709">
        <f t="shared" si="62"/>
        <v>38657</v>
      </c>
      <c r="B311" s="709" t="str">
        <f t="shared" si="59"/>
        <v>4Q05</v>
      </c>
      <c r="C311" s="709" t="str">
        <f t="shared" si="63"/>
        <v>1Q06</v>
      </c>
      <c r="D311" s="710">
        <f t="shared" si="67"/>
        <v>38730</v>
      </c>
      <c r="E311" s="710">
        <f t="shared" si="67"/>
        <v>38670</v>
      </c>
      <c r="F311" s="712">
        <v>2.6019999999999999</v>
      </c>
      <c r="G311" s="713">
        <f t="shared" si="60"/>
        <v>0.3000000000000001</v>
      </c>
      <c r="H311" s="713">
        <f t="shared" si="61"/>
        <v>0.28000000000000008</v>
      </c>
      <c r="I311" s="697"/>
      <c r="J311" s="697"/>
      <c r="K311" s="697"/>
      <c r="L311" s="697"/>
      <c r="M311" s="697"/>
      <c r="N311" s="697"/>
      <c r="O311" s="697"/>
      <c r="P311" s="697"/>
      <c r="Q311" s="697"/>
      <c r="R311" s="697"/>
      <c r="S311" s="697"/>
      <c r="T311" s="697"/>
      <c r="U311" s="697"/>
      <c r="V311" s="697"/>
      <c r="W311" s="697"/>
      <c r="X311" s="697"/>
      <c r="Y311" s="697"/>
      <c r="Z311" s="697"/>
      <c r="AA311" s="697"/>
      <c r="AB311" s="697"/>
      <c r="AC311" s="697"/>
      <c r="AD311" s="697"/>
      <c r="AE311" s="697"/>
      <c r="AF311" s="697"/>
      <c r="AG311" s="697"/>
      <c r="AH311" s="697"/>
      <c r="AI311" s="697"/>
      <c r="AJ311" s="697"/>
      <c r="AK311" s="697"/>
      <c r="AL311" s="697"/>
      <c r="AM311" s="697"/>
      <c r="AN311" s="697"/>
      <c r="AO311" s="697"/>
      <c r="AP311" s="697"/>
      <c r="AQ311" s="697"/>
      <c r="AR311" s="697"/>
      <c r="AS311" s="697"/>
      <c r="AT311" s="697"/>
      <c r="AU311" s="697"/>
      <c r="AV311" s="697"/>
      <c r="AW311" s="697"/>
      <c r="AX311" s="697"/>
      <c r="AY311" s="697"/>
      <c r="AZ311" s="697"/>
      <c r="BA311" s="697"/>
      <c r="BB311" s="697"/>
      <c r="BC311" s="697"/>
      <c r="BD311" s="697"/>
      <c r="BE311" s="697"/>
      <c r="BF311" s="697"/>
      <c r="BG311" s="697"/>
      <c r="BH311" s="697"/>
      <c r="BI311" s="697"/>
      <c r="BJ311" s="697"/>
      <c r="BK311" s="697"/>
      <c r="BL311" s="697"/>
      <c r="BM311" s="697"/>
      <c r="BN311" s="697"/>
      <c r="BO311" s="697"/>
      <c r="BP311" s="697"/>
      <c r="BQ311" s="697"/>
      <c r="BR311" s="697"/>
      <c r="BS311" s="697"/>
      <c r="BT311" s="697"/>
      <c r="BU311" s="697"/>
      <c r="BV311" s="697"/>
      <c r="BW311" s="697"/>
      <c r="BX311" s="697"/>
      <c r="BY311" s="697"/>
      <c r="BZ311" s="697"/>
      <c r="CA311" s="697"/>
      <c r="CB311" s="697"/>
      <c r="CC311" s="697"/>
      <c r="CD311" s="697"/>
      <c r="CE311" s="697"/>
      <c r="CF311" s="697"/>
      <c r="CG311" s="697"/>
      <c r="CH311" s="697"/>
      <c r="CI311" s="697"/>
      <c r="CJ311" s="697"/>
      <c r="CK311" s="697"/>
      <c r="CL311" s="697"/>
      <c r="CM311" s="697"/>
      <c r="CN311" s="697"/>
      <c r="CO311" s="697"/>
      <c r="CP311" s="697"/>
      <c r="CQ311" s="697"/>
      <c r="CR311" s="697"/>
      <c r="CS311" s="697"/>
      <c r="CT311" s="697"/>
      <c r="CU311" s="697"/>
      <c r="CV311" s="697"/>
      <c r="CW311" s="697"/>
      <c r="CX311" s="697"/>
      <c r="CY311" s="697"/>
      <c r="CZ311" s="697"/>
      <c r="DA311" s="697"/>
    </row>
    <row r="312" spans="1:105" hidden="1" outlineLevel="1" x14ac:dyDescent="0.2">
      <c r="A312" s="709">
        <f t="shared" si="62"/>
        <v>38657</v>
      </c>
      <c r="B312" s="709" t="str">
        <f t="shared" si="59"/>
        <v>4Q05</v>
      </c>
      <c r="C312" s="709" t="str">
        <f t="shared" si="63"/>
        <v>1Q06</v>
      </c>
      <c r="D312" s="710">
        <f t="shared" si="67"/>
        <v>38737</v>
      </c>
      <c r="E312" s="710">
        <f t="shared" si="67"/>
        <v>38677</v>
      </c>
      <c r="F312" s="712">
        <v>2.5129999999999999</v>
      </c>
      <c r="G312" s="713">
        <f t="shared" si="60"/>
        <v>0.28000000000000008</v>
      </c>
      <c r="H312" s="713">
        <f t="shared" si="61"/>
        <v>0.27000000000000007</v>
      </c>
      <c r="I312" s="697"/>
      <c r="J312" s="697"/>
      <c r="K312" s="697"/>
      <c r="L312" s="697"/>
      <c r="M312" s="697"/>
      <c r="N312" s="697"/>
      <c r="O312" s="697"/>
      <c r="P312" s="697"/>
      <c r="Q312" s="697"/>
      <c r="R312" s="697"/>
      <c r="S312" s="697"/>
      <c r="T312" s="697"/>
      <c r="U312" s="697"/>
      <c r="V312" s="697"/>
      <c r="W312" s="697"/>
      <c r="X312" s="697"/>
      <c r="Y312" s="697"/>
      <c r="Z312" s="697"/>
      <c r="AA312" s="697"/>
      <c r="AB312" s="697"/>
      <c r="AC312" s="697"/>
      <c r="AD312" s="697"/>
      <c r="AE312" s="697"/>
      <c r="AF312" s="697"/>
      <c r="AG312" s="697"/>
      <c r="AH312" s="697"/>
      <c r="AI312" s="697"/>
      <c r="AJ312" s="697"/>
      <c r="AK312" s="697"/>
      <c r="AL312" s="697"/>
      <c r="AM312" s="697"/>
      <c r="AN312" s="697"/>
      <c r="AO312" s="697"/>
      <c r="AP312" s="697"/>
      <c r="AQ312" s="697"/>
      <c r="AR312" s="697"/>
      <c r="AS312" s="697"/>
      <c r="AT312" s="697"/>
      <c r="AU312" s="697"/>
      <c r="AV312" s="697"/>
      <c r="AW312" s="697"/>
      <c r="AX312" s="697"/>
      <c r="AY312" s="697"/>
      <c r="AZ312" s="697"/>
      <c r="BA312" s="697"/>
      <c r="BB312" s="697"/>
      <c r="BC312" s="697"/>
      <c r="BD312" s="697"/>
      <c r="BE312" s="697"/>
      <c r="BF312" s="697"/>
      <c r="BG312" s="697"/>
      <c r="BH312" s="697"/>
      <c r="BI312" s="697"/>
      <c r="BJ312" s="697"/>
      <c r="BK312" s="697"/>
      <c r="BL312" s="697"/>
      <c r="BM312" s="697"/>
      <c r="BN312" s="697"/>
      <c r="BO312" s="697"/>
      <c r="BP312" s="697"/>
      <c r="BQ312" s="697"/>
      <c r="BR312" s="697"/>
      <c r="BS312" s="697"/>
      <c r="BT312" s="697"/>
      <c r="BU312" s="697"/>
      <c r="BV312" s="697"/>
      <c r="BW312" s="697"/>
      <c r="BX312" s="697"/>
      <c r="BY312" s="697"/>
      <c r="BZ312" s="697"/>
      <c r="CA312" s="697"/>
      <c r="CB312" s="697"/>
      <c r="CC312" s="697"/>
      <c r="CD312" s="697"/>
      <c r="CE312" s="697"/>
      <c r="CF312" s="697"/>
      <c r="CG312" s="697"/>
      <c r="CH312" s="697"/>
      <c r="CI312" s="697"/>
      <c r="CJ312" s="697"/>
      <c r="CK312" s="697"/>
      <c r="CL312" s="697"/>
      <c r="CM312" s="697"/>
      <c r="CN312" s="697"/>
      <c r="CO312" s="697"/>
      <c r="CP312" s="697"/>
      <c r="CQ312" s="697"/>
      <c r="CR312" s="697"/>
      <c r="CS312" s="697"/>
      <c r="CT312" s="697"/>
      <c r="CU312" s="697"/>
      <c r="CV312" s="697"/>
      <c r="CW312" s="697"/>
      <c r="CX312" s="697"/>
      <c r="CY312" s="697"/>
      <c r="CZ312" s="697"/>
      <c r="DA312" s="697"/>
    </row>
    <row r="313" spans="1:105" hidden="1" outlineLevel="1" x14ac:dyDescent="0.2">
      <c r="A313" s="709">
        <f t="shared" si="62"/>
        <v>38657</v>
      </c>
      <c r="B313" s="709" t="str">
        <f t="shared" si="59"/>
        <v>4Q05</v>
      </c>
      <c r="C313" s="709" t="str">
        <f t="shared" si="63"/>
        <v>1Q06</v>
      </c>
      <c r="D313" s="710">
        <f t="shared" si="67"/>
        <v>38744</v>
      </c>
      <c r="E313" s="710">
        <f t="shared" si="67"/>
        <v>38684</v>
      </c>
      <c r="F313" s="712">
        <v>2.4790000000000001</v>
      </c>
      <c r="G313" s="713">
        <f t="shared" si="60"/>
        <v>0.27000000000000007</v>
      </c>
      <c r="H313" s="713">
        <f t="shared" si="61"/>
        <v>0.26000000000000006</v>
      </c>
      <c r="I313" s="697"/>
      <c r="J313" s="697"/>
      <c r="K313" s="697"/>
      <c r="L313" s="697"/>
      <c r="M313" s="697"/>
      <c r="N313" s="697"/>
      <c r="O313" s="697"/>
      <c r="P313" s="697"/>
      <c r="Q313" s="697"/>
      <c r="R313" s="697"/>
      <c r="S313" s="697"/>
      <c r="T313" s="697"/>
      <c r="U313" s="697"/>
      <c r="V313" s="697"/>
      <c r="W313" s="697"/>
      <c r="X313" s="697"/>
      <c r="Y313" s="697"/>
      <c r="Z313" s="697"/>
      <c r="AA313" s="697"/>
      <c r="AB313" s="697"/>
      <c r="AC313" s="697"/>
      <c r="AD313" s="697"/>
      <c r="AE313" s="697"/>
      <c r="AF313" s="697"/>
      <c r="AG313" s="697"/>
      <c r="AH313" s="697"/>
      <c r="AI313" s="697"/>
      <c r="AJ313" s="697"/>
      <c r="AK313" s="697"/>
      <c r="AL313" s="697"/>
      <c r="AM313" s="697"/>
      <c r="AN313" s="697"/>
      <c r="AO313" s="697"/>
      <c r="AP313" s="697"/>
      <c r="AQ313" s="697"/>
      <c r="AR313" s="697"/>
      <c r="AS313" s="697"/>
      <c r="AT313" s="697"/>
      <c r="AU313" s="697"/>
      <c r="AV313" s="697"/>
      <c r="AW313" s="697"/>
      <c r="AX313" s="697"/>
      <c r="AY313" s="697"/>
      <c r="AZ313" s="697"/>
      <c r="BA313" s="697"/>
      <c r="BB313" s="697"/>
      <c r="BC313" s="697"/>
      <c r="BD313" s="697"/>
      <c r="BE313" s="697"/>
      <c r="BF313" s="697"/>
      <c r="BG313" s="697"/>
      <c r="BH313" s="697"/>
      <c r="BI313" s="697"/>
      <c r="BJ313" s="697"/>
      <c r="BK313" s="697"/>
      <c r="BL313" s="697"/>
      <c r="BM313" s="697"/>
      <c r="BN313" s="697"/>
      <c r="BO313" s="697"/>
      <c r="BP313" s="697"/>
      <c r="BQ313" s="697"/>
      <c r="BR313" s="697"/>
      <c r="BS313" s="697"/>
      <c r="BT313" s="697"/>
      <c r="BU313" s="697"/>
      <c r="BV313" s="697"/>
      <c r="BW313" s="697"/>
      <c r="BX313" s="697"/>
      <c r="BY313" s="697"/>
      <c r="BZ313" s="697"/>
      <c r="CA313" s="697"/>
      <c r="CB313" s="697"/>
      <c r="CC313" s="697"/>
      <c r="CD313" s="697"/>
      <c r="CE313" s="697"/>
      <c r="CF313" s="697"/>
      <c r="CG313" s="697"/>
      <c r="CH313" s="697"/>
      <c r="CI313" s="697"/>
      <c r="CJ313" s="697"/>
      <c r="CK313" s="697"/>
      <c r="CL313" s="697"/>
      <c r="CM313" s="697"/>
      <c r="CN313" s="697"/>
      <c r="CO313" s="697"/>
      <c r="CP313" s="697"/>
      <c r="CQ313" s="697"/>
      <c r="CR313" s="697"/>
      <c r="CS313" s="697"/>
      <c r="CT313" s="697"/>
      <c r="CU313" s="697"/>
      <c r="CV313" s="697"/>
      <c r="CW313" s="697"/>
      <c r="CX313" s="697"/>
      <c r="CY313" s="697"/>
      <c r="CZ313" s="697"/>
      <c r="DA313" s="697"/>
    </row>
    <row r="314" spans="1:105" hidden="1" outlineLevel="1" x14ac:dyDescent="0.2">
      <c r="A314" s="709">
        <f t="shared" si="62"/>
        <v>38687</v>
      </c>
      <c r="B314" s="709" t="str">
        <f t="shared" si="59"/>
        <v>4Q05</v>
      </c>
      <c r="C314" s="709" t="str">
        <f t="shared" si="63"/>
        <v>1Q06</v>
      </c>
      <c r="D314" s="710">
        <f t="shared" si="67"/>
        <v>38751</v>
      </c>
      <c r="E314" s="710">
        <f t="shared" si="67"/>
        <v>38691</v>
      </c>
      <c r="F314" s="712">
        <v>2.4249999999999998</v>
      </c>
      <c r="G314" s="713">
        <f t="shared" si="60"/>
        <v>0.26000000000000006</v>
      </c>
      <c r="H314" s="713">
        <f t="shared" si="61"/>
        <v>0.26000000000000006</v>
      </c>
      <c r="I314" s="697"/>
      <c r="J314" s="697"/>
      <c r="K314" s="697"/>
      <c r="L314" s="697"/>
      <c r="M314" s="697"/>
      <c r="N314" s="697"/>
      <c r="O314" s="697"/>
      <c r="P314" s="697"/>
      <c r="Q314" s="697"/>
      <c r="R314" s="697"/>
      <c r="S314" s="697"/>
      <c r="T314" s="697"/>
      <c r="U314" s="697"/>
      <c r="V314" s="697"/>
      <c r="W314" s="697"/>
      <c r="X314" s="697"/>
      <c r="Y314" s="697"/>
      <c r="Z314" s="697"/>
      <c r="AA314" s="697"/>
      <c r="AB314" s="697"/>
      <c r="AC314" s="697"/>
      <c r="AD314" s="697"/>
      <c r="AE314" s="697"/>
      <c r="AF314" s="697"/>
      <c r="AG314" s="697"/>
      <c r="AH314" s="697"/>
      <c r="AI314" s="697"/>
      <c r="AJ314" s="697"/>
      <c r="AK314" s="697"/>
      <c r="AL314" s="697"/>
      <c r="AM314" s="697"/>
      <c r="AN314" s="697"/>
      <c r="AO314" s="697"/>
      <c r="AP314" s="697"/>
      <c r="AQ314" s="697"/>
      <c r="AR314" s="697"/>
      <c r="AS314" s="697"/>
      <c r="AT314" s="697"/>
      <c r="AU314" s="697"/>
      <c r="AV314" s="697"/>
      <c r="AW314" s="697"/>
      <c r="AX314" s="697"/>
      <c r="AY314" s="697"/>
      <c r="AZ314" s="697"/>
      <c r="BA314" s="697"/>
      <c r="BB314" s="697"/>
      <c r="BC314" s="697"/>
      <c r="BD314" s="697"/>
      <c r="BE314" s="697"/>
      <c r="BF314" s="697"/>
      <c r="BG314" s="697"/>
      <c r="BH314" s="697"/>
      <c r="BI314" s="697"/>
      <c r="BJ314" s="697"/>
      <c r="BK314" s="697"/>
      <c r="BL314" s="697"/>
      <c r="BM314" s="697"/>
      <c r="BN314" s="697"/>
      <c r="BO314" s="697"/>
      <c r="BP314" s="697"/>
      <c r="BQ314" s="697"/>
      <c r="BR314" s="697"/>
      <c r="BS314" s="697"/>
      <c r="BT314" s="697"/>
      <c r="BU314" s="697"/>
      <c r="BV314" s="697"/>
      <c r="BW314" s="697"/>
      <c r="BX314" s="697"/>
      <c r="BY314" s="697"/>
      <c r="BZ314" s="697"/>
      <c r="CA314" s="697"/>
      <c r="CB314" s="697"/>
      <c r="CC314" s="697"/>
      <c r="CD314" s="697"/>
      <c r="CE314" s="697"/>
      <c r="CF314" s="697"/>
      <c r="CG314" s="697"/>
      <c r="CH314" s="697"/>
      <c r="CI314" s="697"/>
      <c r="CJ314" s="697"/>
      <c r="CK314" s="697"/>
      <c r="CL314" s="697"/>
      <c r="CM314" s="697"/>
      <c r="CN314" s="697"/>
      <c r="CO314" s="697"/>
      <c r="CP314" s="697"/>
      <c r="CQ314" s="697"/>
      <c r="CR314" s="697"/>
      <c r="CS314" s="697"/>
      <c r="CT314" s="697"/>
      <c r="CU314" s="697"/>
      <c r="CV314" s="697"/>
      <c r="CW314" s="697"/>
      <c r="CX314" s="697"/>
      <c r="CY314" s="697"/>
      <c r="CZ314" s="697"/>
      <c r="DA314" s="697"/>
    </row>
    <row r="315" spans="1:105" hidden="1" outlineLevel="1" x14ac:dyDescent="0.2">
      <c r="A315" s="709">
        <f t="shared" si="62"/>
        <v>38687</v>
      </c>
      <c r="B315" s="709" t="str">
        <f t="shared" si="59"/>
        <v>4Q05</v>
      </c>
      <c r="C315" s="709" t="str">
        <f t="shared" si="63"/>
        <v>1Q06</v>
      </c>
      <c r="D315" s="710">
        <f t="shared" si="67"/>
        <v>38758</v>
      </c>
      <c r="E315" s="710">
        <f t="shared" si="67"/>
        <v>38698</v>
      </c>
      <c r="F315" s="712">
        <v>2.4359999999999999</v>
      </c>
      <c r="G315" s="713">
        <f t="shared" si="60"/>
        <v>0.26000000000000006</v>
      </c>
      <c r="H315" s="713">
        <f t="shared" si="61"/>
        <v>0.27000000000000007</v>
      </c>
      <c r="I315" s="697"/>
      <c r="J315" s="697"/>
      <c r="K315" s="697"/>
      <c r="L315" s="697"/>
      <c r="M315" s="697"/>
      <c r="N315" s="697"/>
      <c r="O315" s="697"/>
      <c r="P315" s="697"/>
      <c r="Q315" s="697"/>
      <c r="R315" s="697"/>
      <c r="S315" s="697"/>
      <c r="T315" s="697"/>
      <c r="U315" s="697"/>
      <c r="V315" s="697"/>
      <c r="W315" s="697"/>
      <c r="X315" s="697"/>
      <c r="Y315" s="697"/>
      <c r="Z315" s="697"/>
      <c r="AA315" s="697"/>
      <c r="AB315" s="697"/>
      <c r="AC315" s="697"/>
      <c r="AD315" s="697"/>
      <c r="AE315" s="697"/>
      <c r="AF315" s="697"/>
      <c r="AG315" s="697"/>
      <c r="AH315" s="697"/>
      <c r="AI315" s="697"/>
      <c r="AJ315" s="697"/>
      <c r="AK315" s="697"/>
      <c r="AL315" s="697"/>
      <c r="AM315" s="697"/>
      <c r="AN315" s="697"/>
      <c r="AO315" s="697"/>
      <c r="AP315" s="697"/>
      <c r="AQ315" s="697"/>
      <c r="AR315" s="697"/>
      <c r="AS315" s="697"/>
      <c r="AT315" s="697"/>
      <c r="AU315" s="697"/>
      <c r="AV315" s="697"/>
      <c r="AW315" s="697"/>
      <c r="AX315" s="697"/>
      <c r="AY315" s="697"/>
      <c r="AZ315" s="697"/>
      <c r="BA315" s="697"/>
      <c r="BB315" s="697"/>
      <c r="BC315" s="697"/>
      <c r="BD315" s="697"/>
      <c r="BE315" s="697"/>
      <c r="BF315" s="697"/>
      <c r="BG315" s="697"/>
      <c r="BH315" s="697"/>
      <c r="BI315" s="697"/>
      <c r="BJ315" s="697"/>
      <c r="BK315" s="697"/>
      <c r="BL315" s="697"/>
      <c r="BM315" s="697"/>
      <c r="BN315" s="697"/>
      <c r="BO315" s="697"/>
      <c r="BP315" s="697"/>
      <c r="BQ315" s="697"/>
      <c r="BR315" s="697"/>
      <c r="BS315" s="697"/>
      <c r="BT315" s="697"/>
      <c r="BU315" s="697"/>
      <c r="BV315" s="697"/>
      <c r="BW315" s="697"/>
      <c r="BX315" s="697"/>
      <c r="BY315" s="697"/>
      <c r="BZ315" s="697"/>
      <c r="CA315" s="697"/>
      <c r="CB315" s="697"/>
      <c r="CC315" s="697"/>
      <c r="CD315" s="697"/>
      <c r="CE315" s="697"/>
      <c r="CF315" s="697"/>
      <c r="CG315" s="697"/>
      <c r="CH315" s="697"/>
      <c r="CI315" s="697"/>
      <c r="CJ315" s="697"/>
      <c r="CK315" s="697"/>
      <c r="CL315" s="697"/>
      <c r="CM315" s="697"/>
      <c r="CN315" s="697"/>
      <c r="CO315" s="697"/>
      <c r="CP315" s="697"/>
      <c r="CQ315" s="697"/>
      <c r="CR315" s="697"/>
      <c r="CS315" s="697"/>
      <c r="CT315" s="697"/>
      <c r="CU315" s="697"/>
      <c r="CV315" s="697"/>
      <c r="CW315" s="697"/>
      <c r="CX315" s="697"/>
      <c r="CY315" s="697"/>
      <c r="CZ315" s="697"/>
      <c r="DA315" s="697"/>
    </row>
    <row r="316" spans="1:105" hidden="1" outlineLevel="1" x14ac:dyDescent="0.2">
      <c r="A316" s="709">
        <f t="shared" si="62"/>
        <v>38687</v>
      </c>
      <c r="B316" s="709" t="str">
        <f t="shared" si="59"/>
        <v>4Q05</v>
      </c>
      <c r="C316" s="709" t="str">
        <f t="shared" si="63"/>
        <v>1Q06</v>
      </c>
      <c r="D316" s="710">
        <f t="shared" si="67"/>
        <v>38765</v>
      </c>
      <c r="E316" s="710">
        <f t="shared" si="67"/>
        <v>38705</v>
      </c>
      <c r="F316" s="712">
        <v>2.4619999999999997</v>
      </c>
      <c r="G316" s="713">
        <f t="shared" si="60"/>
        <v>0.27000000000000007</v>
      </c>
      <c r="H316" s="713">
        <f t="shared" si="61"/>
        <v>0.26000000000000006</v>
      </c>
      <c r="I316" s="697"/>
      <c r="J316" s="697"/>
      <c r="K316" s="697"/>
      <c r="L316" s="697"/>
      <c r="M316" s="697"/>
      <c r="N316" s="697"/>
      <c r="O316" s="697"/>
      <c r="P316" s="697"/>
      <c r="Q316" s="697"/>
      <c r="R316" s="697"/>
      <c r="S316" s="697"/>
      <c r="T316" s="697"/>
      <c r="U316" s="697"/>
      <c r="V316" s="697"/>
      <c r="W316" s="697"/>
      <c r="X316" s="697"/>
      <c r="Y316" s="697"/>
      <c r="Z316" s="697"/>
      <c r="AA316" s="697"/>
      <c r="AB316" s="697"/>
      <c r="AC316" s="697"/>
      <c r="AD316" s="697"/>
      <c r="AE316" s="697"/>
      <c r="AF316" s="697"/>
      <c r="AG316" s="697"/>
      <c r="AH316" s="697"/>
      <c r="AI316" s="697"/>
      <c r="AJ316" s="697"/>
      <c r="AK316" s="697"/>
      <c r="AL316" s="697"/>
      <c r="AM316" s="697"/>
      <c r="AN316" s="697"/>
      <c r="AO316" s="697"/>
      <c r="AP316" s="697"/>
      <c r="AQ316" s="697"/>
      <c r="AR316" s="697"/>
      <c r="AS316" s="697"/>
      <c r="AT316" s="697"/>
      <c r="AU316" s="697"/>
      <c r="AV316" s="697"/>
      <c r="AW316" s="697"/>
      <c r="AX316" s="697"/>
      <c r="AY316" s="697"/>
      <c r="AZ316" s="697"/>
      <c r="BA316" s="697"/>
      <c r="BB316" s="697"/>
      <c r="BC316" s="697"/>
      <c r="BD316" s="697"/>
      <c r="BE316" s="697"/>
      <c r="BF316" s="697"/>
      <c r="BG316" s="697"/>
      <c r="BH316" s="697"/>
      <c r="BI316" s="697"/>
      <c r="BJ316" s="697"/>
      <c r="BK316" s="697"/>
      <c r="BL316" s="697"/>
      <c r="BM316" s="697"/>
      <c r="BN316" s="697"/>
      <c r="BO316" s="697"/>
      <c r="BP316" s="697"/>
      <c r="BQ316" s="697"/>
      <c r="BR316" s="697"/>
      <c r="BS316" s="697"/>
      <c r="BT316" s="697"/>
      <c r="BU316" s="697"/>
      <c r="BV316" s="697"/>
      <c r="BW316" s="697"/>
      <c r="BX316" s="697"/>
      <c r="BY316" s="697"/>
      <c r="BZ316" s="697"/>
      <c r="CA316" s="697"/>
      <c r="CB316" s="697"/>
      <c r="CC316" s="697"/>
      <c r="CD316" s="697"/>
      <c r="CE316" s="697"/>
      <c r="CF316" s="697"/>
      <c r="CG316" s="697"/>
      <c r="CH316" s="697"/>
      <c r="CI316" s="697"/>
      <c r="CJ316" s="697"/>
      <c r="CK316" s="697"/>
      <c r="CL316" s="697"/>
      <c r="CM316" s="697"/>
      <c r="CN316" s="697"/>
      <c r="CO316" s="697"/>
      <c r="CP316" s="697"/>
      <c r="CQ316" s="697"/>
      <c r="CR316" s="697"/>
      <c r="CS316" s="697"/>
      <c r="CT316" s="697"/>
      <c r="CU316" s="697"/>
      <c r="CV316" s="697"/>
      <c r="CW316" s="697"/>
      <c r="CX316" s="697"/>
      <c r="CY316" s="697"/>
      <c r="CZ316" s="697"/>
      <c r="DA316" s="697"/>
    </row>
    <row r="317" spans="1:105" hidden="1" outlineLevel="1" x14ac:dyDescent="0.2">
      <c r="A317" s="709">
        <f t="shared" si="62"/>
        <v>38687</v>
      </c>
      <c r="B317" s="709" t="str">
        <f t="shared" si="59"/>
        <v>4Q05</v>
      </c>
      <c r="C317" s="709" t="str">
        <f t="shared" si="63"/>
        <v>1Q06</v>
      </c>
      <c r="D317" s="710">
        <f t="shared" si="67"/>
        <v>38772</v>
      </c>
      <c r="E317" s="710">
        <f t="shared" si="67"/>
        <v>38712</v>
      </c>
      <c r="F317" s="712">
        <v>2.448</v>
      </c>
      <c r="G317" s="713">
        <f t="shared" si="60"/>
        <v>0.26000000000000006</v>
      </c>
      <c r="H317" s="713">
        <f t="shared" si="61"/>
        <v>0.26000000000000006</v>
      </c>
      <c r="I317" s="697"/>
      <c r="J317" s="697"/>
      <c r="K317" s="697"/>
      <c r="L317" s="697"/>
      <c r="M317" s="697"/>
      <c r="N317" s="697"/>
      <c r="O317" s="697"/>
      <c r="P317" s="697"/>
      <c r="Q317" s="697"/>
      <c r="R317" s="697"/>
      <c r="S317" s="697"/>
      <c r="T317" s="697"/>
      <c r="U317" s="697"/>
      <c r="V317" s="697"/>
      <c r="W317" s="697"/>
      <c r="X317" s="697"/>
      <c r="Y317" s="697"/>
      <c r="Z317" s="697"/>
      <c r="AA317" s="697"/>
      <c r="AB317" s="697"/>
      <c r="AC317" s="697"/>
      <c r="AD317" s="697"/>
      <c r="AE317" s="697"/>
      <c r="AF317" s="697"/>
      <c r="AG317" s="697"/>
      <c r="AH317" s="697"/>
      <c r="AI317" s="697"/>
      <c r="AJ317" s="697"/>
      <c r="AK317" s="697"/>
      <c r="AL317" s="697"/>
      <c r="AM317" s="697"/>
      <c r="AN317" s="697"/>
      <c r="AO317" s="697"/>
      <c r="AP317" s="697"/>
      <c r="AQ317" s="697"/>
      <c r="AR317" s="697"/>
      <c r="AS317" s="697"/>
      <c r="AT317" s="697"/>
      <c r="AU317" s="697"/>
      <c r="AV317" s="697"/>
      <c r="AW317" s="697"/>
      <c r="AX317" s="697"/>
      <c r="AY317" s="697"/>
      <c r="AZ317" s="697"/>
      <c r="BA317" s="697"/>
      <c r="BB317" s="697"/>
      <c r="BC317" s="697"/>
      <c r="BD317" s="697"/>
      <c r="BE317" s="697"/>
      <c r="BF317" s="697"/>
      <c r="BG317" s="697"/>
      <c r="BH317" s="697"/>
      <c r="BI317" s="697"/>
      <c r="BJ317" s="697"/>
      <c r="BK317" s="697"/>
      <c r="BL317" s="697"/>
      <c r="BM317" s="697"/>
      <c r="BN317" s="697"/>
      <c r="BO317" s="697"/>
      <c r="BP317" s="697"/>
      <c r="BQ317" s="697"/>
      <c r="BR317" s="697"/>
      <c r="BS317" s="697"/>
      <c r="BT317" s="697"/>
      <c r="BU317" s="697"/>
      <c r="BV317" s="697"/>
      <c r="BW317" s="697"/>
      <c r="BX317" s="697"/>
      <c r="BY317" s="697"/>
      <c r="BZ317" s="697"/>
      <c r="CA317" s="697"/>
      <c r="CB317" s="697"/>
      <c r="CC317" s="697"/>
      <c r="CD317" s="697"/>
      <c r="CE317" s="697"/>
      <c r="CF317" s="697"/>
      <c r="CG317" s="697"/>
      <c r="CH317" s="697"/>
      <c r="CI317" s="697"/>
      <c r="CJ317" s="697"/>
      <c r="CK317" s="697"/>
      <c r="CL317" s="697"/>
      <c r="CM317" s="697"/>
      <c r="CN317" s="697"/>
      <c r="CO317" s="697"/>
      <c r="CP317" s="697"/>
      <c r="CQ317" s="697"/>
      <c r="CR317" s="697"/>
      <c r="CS317" s="697"/>
      <c r="CT317" s="697"/>
      <c r="CU317" s="697"/>
      <c r="CV317" s="697"/>
      <c r="CW317" s="697"/>
      <c r="CX317" s="697"/>
      <c r="CY317" s="697"/>
      <c r="CZ317" s="697"/>
      <c r="DA317" s="697"/>
    </row>
    <row r="318" spans="1:105" hidden="1" outlineLevel="1" x14ac:dyDescent="0.2">
      <c r="A318" s="709">
        <f t="shared" si="62"/>
        <v>38718</v>
      </c>
      <c r="B318" s="709" t="str">
        <f t="shared" si="59"/>
        <v>1Q06</v>
      </c>
      <c r="C318" s="709" t="str">
        <f t="shared" si="63"/>
        <v>1Q06</v>
      </c>
      <c r="D318" s="710">
        <f t="shared" si="67"/>
        <v>38779</v>
      </c>
      <c r="E318" s="710">
        <f t="shared" si="67"/>
        <v>38719</v>
      </c>
      <c r="F318" s="712">
        <v>2.4420000000000002</v>
      </c>
      <c r="G318" s="713">
        <f t="shared" si="60"/>
        <v>0.26000000000000006</v>
      </c>
      <c r="H318" s="713">
        <f t="shared" si="61"/>
        <v>0.27000000000000007</v>
      </c>
      <c r="I318" s="697"/>
      <c r="J318" s="697"/>
      <c r="K318" s="697"/>
      <c r="L318" s="697"/>
      <c r="M318" s="697"/>
      <c r="N318" s="697"/>
      <c r="O318" s="697"/>
      <c r="P318" s="697"/>
      <c r="Q318" s="697"/>
      <c r="R318" s="697"/>
      <c r="S318" s="697"/>
      <c r="T318" s="697"/>
      <c r="U318" s="697"/>
      <c r="V318" s="697"/>
      <c r="W318" s="697"/>
      <c r="X318" s="697"/>
      <c r="Y318" s="697"/>
      <c r="Z318" s="697"/>
      <c r="AA318" s="697"/>
      <c r="AB318" s="697"/>
      <c r="AC318" s="697"/>
      <c r="AD318" s="697"/>
      <c r="AE318" s="697"/>
      <c r="AF318" s="697"/>
      <c r="AG318" s="697"/>
      <c r="AH318" s="697"/>
      <c r="AI318" s="697"/>
      <c r="AJ318" s="697"/>
      <c r="AK318" s="697"/>
      <c r="AL318" s="697"/>
      <c r="AM318" s="697"/>
      <c r="AN318" s="697"/>
      <c r="AO318" s="697"/>
      <c r="AP318" s="697"/>
      <c r="AQ318" s="697"/>
      <c r="AR318" s="697"/>
      <c r="AS318" s="697"/>
      <c r="AT318" s="697"/>
      <c r="AU318" s="697"/>
      <c r="AV318" s="697"/>
      <c r="AW318" s="697"/>
      <c r="AX318" s="697"/>
      <c r="AY318" s="697"/>
      <c r="AZ318" s="697"/>
      <c r="BA318" s="697"/>
      <c r="BB318" s="697"/>
      <c r="BC318" s="697"/>
      <c r="BD318" s="697"/>
      <c r="BE318" s="697"/>
      <c r="BF318" s="697"/>
      <c r="BG318" s="697"/>
      <c r="BH318" s="697"/>
      <c r="BI318" s="697"/>
      <c r="BJ318" s="697"/>
      <c r="BK318" s="697"/>
      <c r="BL318" s="697"/>
      <c r="BM318" s="697"/>
      <c r="BN318" s="697"/>
      <c r="BO318" s="697"/>
      <c r="BP318" s="697"/>
      <c r="BQ318" s="697"/>
      <c r="BR318" s="697"/>
      <c r="BS318" s="697"/>
      <c r="BT318" s="697"/>
      <c r="BU318" s="697"/>
      <c r="BV318" s="697"/>
      <c r="BW318" s="697"/>
      <c r="BX318" s="697"/>
      <c r="BY318" s="697"/>
      <c r="BZ318" s="697"/>
      <c r="CA318" s="697"/>
      <c r="CB318" s="697"/>
      <c r="CC318" s="697"/>
      <c r="CD318" s="697"/>
      <c r="CE318" s="697"/>
      <c r="CF318" s="697"/>
      <c r="CG318" s="697"/>
      <c r="CH318" s="697"/>
      <c r="CI318" s="697"/>
      <c r="CJ318" s="697"/>
      <c r="CK318" s="697"/>
      <c r="CL318" s="697"/>
      <c r="CM318" s="697"/>
      <c r="CN318" s="697"/>
      <c r="CO318" s="697"/>
      <c r="CP318" s="697"/>
      <c r="CQ318" s="697"/>
      <c r="CR318" s="697"/>
      <c r="CS318" s="697"/>
      <c r="CT318" s="697"/>
      <c r="CU318" s="697"/>
      <c r="CV318" s="697"/>
      <c r="CW318" s="697"/>
      <c r="CX318" s="697"/>
      <c r="CY318" s="697"/>
      <c r="CZ318" s="697"/>
      <c r="DA318" s="697"/>
    </row>
    <row r="319" spans="1:105" hidden="1" outlineLevel="1" x14ac:dyDescent="0.2">
      <c r="A319" s="709">
        <f t="shared" si="62"/>
        <v>38718</v>
      </c>
      <c r="B319" s="709" t="str">
        <f t="shared" si="59"/>
        <v>1Q06</v>
      </c>
      <c r="C319" s="709" t="str">
        <f t="shared" si="63"/>
        <v>1Q06</v>
      </c>
      <c r="D319" s="710">
        <f t="shared" si="67"/>
        <v>38786</v>
      </c>
      <c r="E319" s="710">
        <f t="shared" si="67"/>
        <v>38726</v>
      </c>
      <c r="F319" s="712">
        <v>2.4849999999999999</v>
      </c>
      <c r="G319" s="713">
        <f t="shared" si="60"/>
        <v>0.27000000000000007</v>
      </c>
      <c r="H319" s="713">
        <f t="shared" si="61"/>
        <v>0.26000000000000006</v>
      </c>
      <c r="I319" s="697"/>
      <c r="J319" s="697"/>
      <c r="K319" s="697"/>
      <c r="L319" s="697"/>
      <c r="M319" s="697"/>
      <c r="N319" s="697"/>
      <c r="O319" s="697"/>
      <c r="P319" s="697"/>
      <c r="Q319" s="697"/>
      <c r="R319" s="697"/>
      <c r="S319" s="697"/>
      <c r="T319" s="697"/>
      <c r="U319" s="697"/>
      <c r="V319" s="697"/>
      <c r="W319" s="697"/>
      <c r="X319" s="697"/>
      <c r="Y319" s="697"/>
      <c r="Z319" s="697"/>
      <c r="AA319" s="697"/>
      <c r="AB319" s="697"/>
      <c r="AC319" s="697"/>
      <c r="AD319" s="697"/>
      <c r="AE319" s="697"/>
      <c r="AF319" s="697"/>
      <c r="AG319" s="697"/>
      <c r="AH319" s="697"/>
      <c r="AI319" s="697"/>
      <c r="AJ319" s="697"/>
      <c r="AK319" s="697"/>
      <c r="AL319" s="697"/>
      <c r="AM319" s="697"/>
      <c r="AN319" s="697"/>
      <c r="AO319" s="697"/>
      <c r="AP319" s="697"/>
      <c r="AQ319" s="697"/>
      <c r="AR319" s="697"/>
      <c r="AS319" s="697"/>
      <c r="AT319" s="697"/>
      <c r="AU319" s="697"/>
      <c r="AV319" s="697"/>
      <c r="AW319" s="697"/>
      <c r="AX319" s="697"/>
      <c r="AY319" s="697"/>
      <c r="AZ319" s="697"/>
      <c r="BA319" s="697"/>
      <c r="BB319" s="697"/>
      <c r="BC319" s="697"/>
      <c r="BD319" s="697"/>
      <c r="BE319" s="697"/>
      <c r="BF319" s="697"/>
      <c r="BG319" s="697"/>
      <c r="BH319" s="697"/>
      <c r="BI319" s="697"/>
      <c r="BJ319" s="697"/>
      <c r="BK319" s="697"/>
      <c r="BL319" s="697"/>
      <c r="BM319" s="697"/>
      <c r="BN319" s="697"/>
      <c r="BO319" s="697"/>
      <c r="BP319" s="697"/>
      <c r="BQ319" s="697"/>
      <c r="BR319" s="697"/>
      <c r="BS319" s="697"/>
      <c r="BT319" s="697"/>
      <c r="BU319" s="697"/>
      <c r="BV319" s="697"/>
      <c r="BW319" s="697"/>
      <c r="BX319" s="697"/>
      <c r="BY319" s="697"/>
      <c r="BZ319" s="697"/>
      <c r="CA319" s="697"/>
      <c r="CB319" s="697"/>
      <c r="CC319" s="697"/>
      <c r="CD319" s="697"/>
      <c r="CE319" s="697"/>
      <c r="CF319" s="697"/>
      <c r="CG319" s="697"/>
      <c r="CH319" s="697"/>
      <c r="CI319" s="697"/>
      <c r="CJ319" s="697"/>
      <c r="CK319" s="697"/>
      <c r="CL319" s="697"/>
      <c r="CM319" s="697"/>
      <c r="CN319" s="697"/>
      <c r="CO319" s="697"/>
      <c r="CP319" s="697"/>
      <c r="CQ319" s="697"/>
      <c r="CR319" s="697"/>
      <c r="CS319" s="697"/>
      <c r="CT319" s="697"/>
      <c r="CU319" s="697"/>
      <c r="CV319" s="697"/>
      <c r="CW319" s="697"/>
      <c r="CX319" s="697"/>
      <c r="CY319" s="697"/>
      <c r="CZ319" s="697"/>
      <c r="DA319" s="697"/>
    </row>
    <row r="320" spans="1:105" hidden="1" outlineLevel="1" x14ac:dyDescent="0.2">
      <c r="A320" s="709">
        <f t="shared" si="62"/>
        <v>38718</v>
      </c>
      <c r="B320" s="709" t="str">
        <f t="shared" si="59"/>
        <v>1Q06</v>
      </c>
      <c r="C320" s="709" t="str">
        <f t="shared" si="63"/>
        <v>1Q06</v>
      </c>
      <c r="D320" s="710">
        <f t="shared" si="67"/>
        <v>38793</v>
      </c>
      <c r="E320" s="710">
        <f t="shared" si="67"/>
        <v>38733</v>
      </c>
      <c r="F320" s="712">
        <v>2.4489999999999998</v>
      </c>
      <c r="G320" s="713">
        <f t="shared" si="60"/>
        <v>0.26000000000000006</v>
      </c>
      <c r="H320" s="713">
        <f t="shared" si="61"/>
        <v>0.27000000000000007</v>
      </c>
      <c r="I320" s="697"/>
      <c r="J320" s="697"/>
      <c r="K320" s="697"/>
      <c r="L320" s="697"/>
      <c r="M320" s="697"/>
      <c r="N320" s="697"/>
      <c r="O320" s="697"/>
      <c r="P320" s="697"/>
      <c r="Q320" s="697"/>
      <c r="R320" s="697"/>
      <c r="S320" s="697"/>
      <c r="T320" s="697"/>
      <c r="U320" s="697"/>
      <c r="V320" s="697"/>
      <c r="W320" s="697"/>
      <c r="X320" s="697"/>
      <c r="Y320" s="697"/>
      <c r="Z320" s="697"/>
      <c r="AA320" s="697"/>
      <c r="AB320" s="697"/>
      <c r="AC320" s="697"/>
      <c r="AD320" s="697"/>
      <c r="AE320" s="697"/>
      <c r="AF320" s="697"/>
      <c r="AG320" s="697"/>
      <c r="AH320" s="697"/>
      <c r="AI320" s="697"/>
      <c r="AJ320" s="697"/>
      <c r="AK320" s="697"/>
      <c r="AL320" s="697"/>
      <c r="AM320" s="697"/>
      <c r="AN320" s="697"/>
      <c r="AO320" s="697"/>
      <c r="AP320" s="697"/>
      <c r="AQ320" s="697"/>
      <c r="AR320" s="697"/>
      <c r="AS320" s="697"/>
      <c r="AT320" s="697"/>
      <c r="AU320" s="697"/>
      <c r="AV320" s="697"/>
      <c r="AW320" s="697"/>
      <c r="AX320" s="697"/>
      <c r="AY320" s="697"/>
      <c r="AZ320" s="697"/>
      <c r="BA320" s="697"/>
      <c r="BB320" s="697"/>
      <c r="BC320" s="697"/>
      <c r="BD320" s="697"/>
      <c r="BE320" s="697"/>
      <c r="BF320" s="697"/>
      <c r="BG320" s="697"/>
      <c r="BH320" s="697"/>
      <c r="BI320" s="697"/>
      <c r="BJ320" s="697"/>
      <c r="BK320" s="697"/>
      <c r="BL320" s="697"/>
      <c r="BM320" s="697"/>
      <c r="BN320" s="697"/>
      <c r="BO320" s="697"/>
      <c r="BP320" s="697"/>
      <c r="BQ320" s="697"/>
      <c r="BR320" s="697"/>
      <c r="BS320" s="697"/>
      <c r="BT320" s="697"/>
      <c r="BU320" s="697"/>
      <c r="BV320" s="697"/>
      <c r="BW320" s="697"/>
      <c r="BX320" s="697"/>
      <c r="BY320" s="697"/>
      <c r="BZ320" s="697"/>
      <c r="CA320" s="697"/>
      <c r="CB320" s="697"/>
      <c r="CC320" s="697"/>
      <c r="CD320" s="697"/>
      <c r="CE320" s="697"/>
      <c r="CF320" s="697"/>
      <c r="CG320" s="697"/>
      <c r="CH320" s="697"/>
      <c r="CI320" s="697"/>
      <c r="CJ320" s="697"/>
      <c r="CK320" s="697"/>
      <c r="CL320" s="697"/>
      <c r="CM320" s="697"/>
      <c r="CN320" s="697"/>
      <c r="CO320" s="697"/>
      <c r="CP320" s="697"/>
      <c r="CQ320" s="697"/>
      <c r="CR320" s="697"/>
      <c r="CS320" s="697"/>
      <c r="CT320" s="697"/>
      <c r="CU320" s="697"/>
      <c r="CV320" s="697"/>
      <c r="CW320" s="697"/>
      <c r="CX320" s="697"/>
      <c r="CY320" s="697"/>
      <c r="CZ320" s="697"/>
      <c r="DA320" s="697"/>
    </row>
    <row r="321" spans="1:105" hidden="1" outlineLevel="1" x14ac:dyDescent="0.2">
      <c r="A321" s="709">
        <f t="shared" si="62"/>
        <v>38718</v>
      </c>
      <c r="B321" s="709" t="str">
        <f t="shared" si="59"/>
        <v>1Q06</v>
      </c>
      <c r="C321" s="709" t="str">
        <f t="shared" si="63"/>
        <v>1Q06</v>
      </c>
      <c r="D321" s="710">
        <f t="shared" si="67"/>
        <v>38800</v>
      </c>
      <c r="E321" s="710">
        <f t="shared" si="67"/>
        <v>38740</v>
      </c>
      <c r="F321" s="712">
        <v>2.472</v>
      </c>
      <c r="G321" s="713">
        <f t="shared" si="60"/>
        <v>0.27000000000000007</v>
      </c>
      <c r="H321" s="713">
        <f t="shared" si="61"/>
        <v>0.27000000000000007</v>
      </c>
      <c r="I321" s="697"/>
      <c r="J321" s="697"/>
      <c r="K321" s="697"/>
      <c r="L321" s="697"/>
      <c r="M321" s="697"/>
      <c r="N321" s="697"/>
      <c r="O321" s="697"/>
      <c r="P321" s="697"/>
      <c r="Q321" s="697"/>
      <c r="R321" s="697"/>
      <c r="S321" s="697"/>
      <c r="T321" s="697"/>
      <c r="U321" s="697"/>
      <c r="V321" s="697"/>
      <c r="W321" s="697"/>
      <c r="X321" s="697"/>
      <c r="Y321" s="697"/>
      <c r="Z321" s="697"/>
      <c r="AA321" s="697"/>
      <c r="AB321" s="697"/>
      <c r="AC321" s="697"/>
      <c r="AD321" s="697"/>
      <c r="AE321" s="697"/>
      <c r="AF321" s="697"/>
      <c r="AG321" s="697"/>
      <c r="AH321" s="697"/>
      <c r="AI321" s="697"/>
      <c r="AJ321" s="697"/>
      <c r="AK321" s="697"/>
      <c r="AL321" s="697"/>
      <c r="AM321" s="697"/>
      <c r="AN321" s="697"/>
      <c r="AO321" s="697"/>
      <c r="AP321" s="697"/>
      <c r="AQ321" s="697"/>
      <c r="AR321" s="697"/>
      <c r="AS321" s="697"/>
      <c r="AT321" s="697"/>
      <c r="AU321" s="697"/>
      <c r="AV321" s="697"/>
      <c r="AW321" s="697"/>
      <c r="AX321" s="697"/>
      <c r="AY321" s="697"/>
      <c r="AZ321" s="697"/>
      <c r="BA321" s="697"/>
      <c r="BB321" s="697"/>
      <c r="BC321" s="697"/>
      <c r="BD321" s="697"/>
      <c r="BE321" s="697"/>
      <c r="BF321" s="697"/>
      <c r="BG321" s="697"/>
      <c r="BH321" s="697"/>
      <c r="BI321" s="697"/>
      <c r="BJ321" s="697"/>
      <c r="BK321" s="697"/>
      <c r="BL321" s="697"/>
      <c r="BM321" s="697"/>
      <c r="BN321" s="697"/>
      <c r="BO321" s="697"/>
      <c r="BP321" s="697"/>
      <c r="BQ321" s="697"/>
      <c r="BR321" s="697"/>
      <c r="BS321" s="697"/>
      <c r="BT321" s="697"/>
      <c r="BU321" s="697"/>
      <c r="BV321" s="697"/>
      <c r="BW321" s="697"/>
      <c r="BX321" s="697"/>
      <c r="BY321" s="697"/>
      <c r="BZ321" s="697"/>
      <c r="CA321" s="697"/>
      <c r="CB321" s="697"/>
      <c r="CC321" s="697"/>
      <c r="CD321" s="697"/>
      <c r="CE321" s="697"/>
      <c r="CF321" s="697"/>
      <c r="CG321" s="697"/>
      <c r="CH321" s="697"/>
      <c r="CI321" s="697"/>
      <c r="CJ321" s="697"/>
      <c r="CK321" s="697"/>
      <c r="CL321" s="697"/>
      <c r="CM321" s="697"/>
      <c r="CN321" s="697"/>
      <c r="CO321" s="697"/>
      <c r="CP321" s="697"/>
      <c r="CQ321" s="697"/>
      <c r="CR321" s="697"/>
      <c r="CS321" s="697"/>
      <c r="CT321" s="697"/>
      <c r="CU321" s="697"/>
      <c r="CV321" s="697"/>
      <c r="CW321" s="697"/>
      <c r="CX321" s="697"/>
      <c r="CY321" s="697"/>
      <c r="CZ321" s="697"/>
      <c r="DA321" s="697"/>
    </row>
    <row r="322" spans="1:105" hidden="1" outlineLevel="1" x14ac:dyDescent="0.2">
      <c r="A322" s="709">
        <f t="shared" si="62"/>
        <v>38718</v>
      </c>
      <c r="B322" s="709" t="str">
        <f t="shared" si="59"/>
        <v>1Q06</v>
      </c>
      <c r="C322" s="709" t="str">
        <f t="shared" si="63"/>
        <v>1Q06</v>
      </c>
      <c r="D322" s="710">
        <f t="shared" si="67"/>
        <v>38807</v>
      </c>
      <c r="E322" s="710">
        <f t="shared" si="67"/>
        <v>38747</v>
      </c>
      <c r="F322" s="712">
        <v>2.4889999999999999</v>
      </c>
      <c r="G322" s="713">
        <f t="shared" si="60"/>
        <v>0.27000000000000007</v>
      </c>
      <c r="H322" s="713">
        <f t="shared" si="61"/>
        <v>0.27000000000000007</v>
      </c>
      <c r="I322" s="697"/>
      <c r="J322" s="697"/>
      <c r="K322" s="697"/>
      <c r="L322" s="697"/>
      <c r="M322" s="697"/>
      <c r="N322" s="697"/>
      <c r="O322" s="697"/>
      <c r="P322" s="697"/>
      <c r="Q322" s="697"/>
      <c r="R322" s="697"/>
      <c r="S322" s="697"/>
      <c r="T322" s="697"/>
      <c r="U322" s="697"/>
      <c r="V322" s="697"/>
      <c r="W322" s="697"/>
      <c r="X322" s="697"/>
      <c r="Y322" s="697"/>
      <c r="Z322" s="697"/>
      <c r="AA322" s="697"/>
      <c r="AB322" s="697"/>
      <c r="AC322" s="697"/>
      <c r="AD322" s="697"/>
      <c r="AE322" s="697"/>
      <c r="AF322" s="697"/>
      <c r="AG322" s="697"/>
      <c r="AH322" s="697"/>
      <c r="AI322" s="697"/>
      <c r="AJ322" s="697"/>
      <c r="AK322" s="697"/>
      <c r="AL322" s="697"/>
      <c r="AM322" s="697"/>
      <c r="AN322" s="697"/>
      <c r="AO322" s="697"/>
      <c r="AP322" s="697"/>
      <c r="AQ322" s="697"/>
      <c r="AR322" s="697"/>
      <c r="AS322" s="697"/>
      <c r="AT322" s="697"/>
      <c r="AU322" s="697"/>
      <c r="AV322" s="697"/>
      <c r="AW322" s="697"/>
      <c r="AX322" s="697"/>
      <c r="AY322" s="697"/>
      <c r="AZ322" s="697"/>
      <c r="BA322" s="697"/>
      <c r="BB322" s="697"/>
      <c r="BC322" s="697"/>
      <c r="BD322" s="697"/>
      <c r="BE322" s="697"/>
      <c r="BF322" s="697"/>
      <c r="BG322" s="697"/>
      <c r="BH322" s="697"/>
      <c r="BI322" s="697"/>
      <c r="BJ322" s="697"/>
      <c r="BK322" s="697"/>
      <c r="BL322" s="697"/>
      <c r="BM322" s="697"/>
      <c r="BN322" s="697"/>
      <c r="BO322" s="697"/>
      <c r="BP322" s="697"/>
      <c r="BQ322" s="697"/>
      <c r="BR322" s="697"/>
      <c r="BS322" s="697"/>
      <c r="BT322" s="697"/>
      <c r="BU322" s="697"/>
      <c r="BV322" s="697"/>
      <c r="BW322" s="697"/>
      <c r="BX322" s="697"/>
      <c r="BY322" s="697"/>
      <c r="BZ322" s="697"/>
      <c r="CA322" s="697"/>
      <c r="CB322" s="697"/>
      <c r="CC322" s="697"/>
      <c r="CD322" s="697"/>
      <c r="CE322" s="697"/>
      <c r="CF322" s="697"/>
      <c r="CG322" s="697"/>
      <c r="CH322" s="697"/>
      <c r="CI322" s="697"/>
      <c r="CJ322" s="697"/>
      <c r="CK322" s="697"/>
      <c r="CL322" s="697"/>
      <c r="CM322" s="697"/>
      <c r="CN322" s="697"/>
      <c r="CO322" s="697"/>
      <c r="CP322" s="697"/>
      <c r="CQ322" s="697"/>
      <c r="CR322" s="697"/>
      <c r="CS322" s="697"/>
      <c r="CT322" s="697"/>
      <c r="CU322" s="697"/>
      <c r="CV322" s="697"/>
      <c r="CW322" s="697"/>
      <c r="CX322" s="697"/>
      <c r="CY322" s="697"/>
      <c r="CZ322" s="697"/>
      <c r="DA322" s="697"/>
    </row>
    <row r="323" spans="1:105" hidden="1" outlineLevel="1" x14ac:dyDescent="0.2">
      <c r="A323" s="709">
        <f t="shared" si="62"/>
        <v>38749</v>
      </c>
      <c r="B323" s="709" t="str">
        <f t="shared" si="59"/>
        <v>1Q06</v>
      </c>
      <c r="C323" s="709" t="str">
        <f t="shared" si="63"/>
        <v>2Q06</v>
      </c>
      <c r="D323" s="710">
        <f t="shared" si="67"/>
        <v>38814</v>
      </c>
      <c r="E323" s="710">
        <f t="shared" si="67"/>
        <v>38754</v>
      </c>
      <c r="F323" s="712">
        <v>2.4990000000000001</v>
      </c>
      <c r="G323" s="713">
        <f t="shared" si="60"/>
        <v>0.27000000000000007</v>
      </c>
      <c r="H323" s="713">
        <f t="shared" si="61"/>
        <v>0.27000000000000007</v>
      </c>
      <c r="I323" s="697"/>
      <c r="J323" s="697"/>
      <c r="K323" s="697"/>
      <c r="L323" s="697"/>
      <c r="M323" s="697"/>
      <c r="N323" s="697"/>
      <c r="O323" s="697"/>
      <c r="P323" s="697"/>
      <c r="Q323" s="697"/>
      <c r="R323" s="697"/>
      <c r="S323" s="697"/>
      <c r="T323" s="697"/>
      <c r="U323" s="697"/>
      <c r="V323" s="697"/>
      <c r="W323" s="697"/>
      <c r="X323" s="697"/>
      <c r="Y323" s="697"/>
      <c r="Z323" s="697"/>
      <c r="AA323" s="697"/>
      <c r="AB323" s="697"/>
      <c r="AC323" s="697"/>
      <c r="AD323" s="697"/>
      <c r="AE323" s="697"/>
      <c r="AF323" s="697"/>
      <c r="AG323" s="697"/>
      <c r="AH323" s="697"/>
      <c r="AI323" s="697"/>
      <c r="AJ323" s="697"/>
      <c r="AK323" s="697"/>
      <c r="AL323" s="697"/>
      <c r="AM323" s="697"/>
      <c r="AN323" s="697"/>
      <c r="AO323" s="697"/>
      <c r="AP323" s="697"/>
      <c r="AQ323" s="697"/>
      <c r="AR323" s="697"/>
      <c r="AS323" s="697"/>
      <c r="AT323" s="697"/>
      <c r="AU323" s="697"/>
      <c r="AV323" s="697"/>
      <c r="AW323" s="697"/>
      <c r="AX323" s="697"/>
      <c r="AY323" s="697"/>
      <c r="AZ323" s="697"/>
      <c r="BA323" s="697"/>
      <c r="BB323" s="697"/>
      <c r="BC323" s="697"/>
      <c r="BD323" s="697"/>
      <c r="BE323" s="697"/>
      <c r="BF323" s="697"/>
      <c r="BG323" s="697"/>
      <c r="BH323" s="697"/>
      <c r="BI323" s="697"/>
      <c r="BJ323" s="697"/>
      <c r="BK323" s="697"/>
      <c r="BL323" s="697"/>
      <c r="BM323" s="697"/>
      <c r="BN323" s="697"/>
      <c r="BO323" s="697"/>
      <c r="BP323" s="697"/>
      <c r="BQ323" s="697"/>
      <c r="BR323" s="697"/>
      <c r="BS323" s="697"/>
      <c r="BT323" s="697"/>
      <c r="BU323" s="697"/>
      <c r="BV323" s="697"/>
      <c r="BW323" s="697"/>
      <c r="BX323" s="697"/>
      <c r="BY323" s="697"/>
      <c r="BZ323" s="697"/>
      <c r="CA323" s="697"/>
      <c r="CB323" s="697"/>
      <c r="CC323" s="697"/>
      <c r="CD323" s="697"/>
      <c r="CE323" s="697"/>
      <c r="CF323" s="697"/>
      <c r="CG323" s="697"/>
      <c r="CH323" s="697"/>
      <c r="CI323" s="697"/>
      <c r="CJ323" s="697"/>
      <c r="CK323" s="697"/>
      <c r="CL323" s="697"/>
      <c r="CM323" s="697"/>
      <c r="CN323" s="697"/>
      <c r="CO323" s="697"/>
      <c r="CP323" s="697"/>
      <c r="CQ323" s="697"/>
      <c r="CR323" s="697"/>
      <c r="CS323" s="697"/>
      <c r="CT323" s="697"/>
      <c r="CU323" s="697"/>
      <c r="CV323" s="697"/>
      <c r="CW323" s="697"/>
      <c r="CX323" s="697"/>
      <c r="CY323" s="697"/>
      <c r="CZ323" s="697"/>
      <c r="DA323" s="697"/>
    </row>
    <row r="324" spans="1:105" hidden="1" outlineLevel="1" x14ac:dyDescent="0.2">
      <c r="A324" s="709">
        <f t="shared" si="62"/>
        <v>38749</v>
      </c>
      <c r="B324" s="709" t="str">
        <f t="shared" ref="B324:B387" si="68">VLOOKUP(MONTH(A324),$N$4:$O$16,2,FALSE) &amp; "Q" &amp; RIGHT(YEAR(A324),2)</f>
        <v>1Q06</v>
      </c>
      <c r="C324" s="709" t="str">
        <f t="shared" si="63"/>
        <v>2Q06</v>
      </c>
      <c r="D324" s="710">
        <f t="shared" si="67"/>
        <v>38821</v>
      </c>
      <c r="E324" s="710">
        <f t="shared" si="67"/>
        <v>38761</v>
      </c>
      <c r="F324" s="712">
        <v>2.476</v>
      </c>
      <c r="G324" s="713">
        <f t="shared" ref="G324:G387" si="69">INDEX($I$4:$K$153,MATCH(F324,$I$4:$I$153,1),3)</f>
        <v>0.27000000000000007</v>
      </c>
      <c r="H324" s="713">
        <f t="shared" ref="H324:H387" si="70">G325</f>
        <v>0.27000000000000007</v>
      </c>
      <c r="I324" s="697"/>
      <c r="J324" s="697"/>
      <c r="K324" s="697"/>
      <c r="L324" s="697"/>
      <c r="M324" s="697"/>
      <c r="N324" s="697"/>
      <c r="O324" s="697"/>
      <c r="P324" s="697"/>
      <c r="Q324" s="697"/>
      <c r="R324" s="697"/>
      <c r="S324" s="697"/>
      <c r="T324" s="697"/>
      <c r="U324" s="697"/>
      <c r="V324" s="697"/>
      <c r="W324" s="697"/>
      <c r="X324" s="697"/>
      <c r="Y324" s="697"/>
      <c r="Z324" s="697"/>
      <c r="AA324" s="697"/>
      <c r="AB324" s="697"/>
      <c r="AC324" s="697"/>
      <c r="AD324" s="697"/>
      <c r="AE324" s="697"/>
      <c r="AF324" s="697"/>
      <c r="AG324" s="697"/>
      <c r="AH324" s="697"/>
      <c r="AI324" s="697"/>
      <c r="AJ324" s="697"/>
      <c r="AK324" s="697"/>
      <c r="AL324" s="697"/>
      <c r="AM324" s="697"/>
      <c r="AN324" s="697"/>
      <c r="AO324" s="697"/>
      <c r="AP324" s="697"/>
      <c r="AQ324" s="697"/>
      <c r="AR324" s="697"/>
      <c r="AS324" s="697"/>
      <c r="AT324" s="697"/>
      <c r="AU324" s="697"/>
      <c r="AV324" s="697"/>
      <c r="AW324" s="697"/>
      <c r="AX324" s="697"/>
      <c r="AY324" s="697"/>
      <c r="AZ324" s="697"/>
      <c r="BA324" s="697"/>
      <c r="BB324" s="697"/>
      <c r="BC324" s="697"/>
      <c r="BD324" s="697"/>
      <c r="BE324" s="697"/>
      <c r="BF324" s="697"/>
      <c r="BG324" s="697"/>
      <c r="BH324" s="697"/>
      <c r="BI324" s="697"/>
      <c r="BJ324" s="697"/>
      <c r="BK324" s="697"/>
      <c r="BL324" s="697"/>
      <c r="BM324" s="697"/>
      <c r="BN324" s="697"/>
      <c r="BO324" s="697"/>
      <c r="BP324" s="697"/>
      <c r="BQ324" s="697"/>
      <c r="BR324" s="697"/>
      <c r="BS324" s="697"/>
      <c r="BT324" s="697"/>
      <c r="BU324" s="697"/>
      <c r="BV324" s="697"/>
      <c r="BW324" s="697"/>
      <c r="BX324" s="697"/>
      <c r="BY324" s="697"/>
      <c r="BZ324" s="697"/>
      <c r="CA324" s="697"/>
      <c r="CB324" s="697"/>
      <c r="CC324" s="697"/>
      <c r="CD324" s="697"/>
      <c r="CE324" s="697"/>
      <c r="CF324" s="697"/>
      <c r="CG324" s="697"/>
      <c r="CH324" s="697"/>
      <c r="CI324" s="697"/>
      <c r="CJ324" s="697"/>
      <c r="CK324" s="697"/>
      <c r="CL324" s="697"/>
      <c r="CM324" s="697"/>
      <c r="CN324" s="697"/>
      <c r="CO324" s="697"/>
      <c r="CP324" s="697"/>
      <c r="CQ324" s="697"/>
      <c r="CR324" s="697"/>
      <c r="CS324" s="697"/>
      <c r="CT324" s="697"/>
      <c r="CU324" s="697"/>
      <c r="CV324" s="697"/>
      <c r="CW324" s="697"/>
      <c r="CX324" s="697"/>
      <c r="CY324" s="697"/>
      <c r="CZ324" s="697"/>
      <c r="DA324" s="697"/>
    </row>
    <row r="325" spans="1:105" hidden="1" outlineLevel="1" x14ac:dyDescent="0.2">
      <c r="A325" s="709">
        <f t="shared" ref="A325:A388" si="71">DATE(YEAR(E325),MONTH(E325),1)</f>
        <v>38749</v>
      </c>
      <c r="B325" s="709" t="str">
        <f t="shared" si="68"/>
        <v>1Q06</v>
      </c>
      <c r="C325" s="709" t="str">
        <f t="shared" ref="C325:C388" si="72">VLOOKUP(MONTH(D325),$N$4:$O$16,2,FALSE) &amp; "Q" &amp; RIGHT(YEAR(D325),2)</f>
        <v>2Q06</v>
      </c>
      <c r="D325" s="710">
        <f t="shared" ref="D325:E340" si="73">D324+7</f>
        <v>38828</v>
      </c>
      <c r="E325" s="710">
        <f t="shared" si="73"/>
        <v>38768</v>
      </c>
      <c r="F325" s="712">
        <v>2.4550000000000001</v>
      </c>
      <c r="G325" s="713">
        <f t="shared" si="69"/>
        <v>0.27000000000000007</v>
      </c>
      <c r="H325" s="713">
        <f t="shared" si="70"/>
        <v>0.27000000000000007</v>
      </c>
      <c r="I325" s="697"/>
      <c r="J325" s="697"/>
      <c r="K325" s="697"/>
      <c r="L325" s="697"/>
      <c r="M325" s="697"/>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97"/>
      <c r="AT325" s="697"/>
      <c r="AU325" s="697"/>
      <c r="AV325" s="697"/>
      <c r="AW325" s="697"/>
      <c r="AX325" s="697"/>
      <c r="AY325" s="697"/>
      <c r="AZ325" s="697"/>
      <c r="BA325" s="697"/>
      <c r="BB325" s="697"/>
      <c r="BC325" s="697"/>
      <c r="BD325" s="697"/>
      <c r="BE325" s="697"/>
      <c r="BF325" s="697"/>
      <c r="BG325" s="697"/>
      <c r="BH325" s="697"/>
      <c r="BI325" s="697"/>
      <c r="BJ325" s="697"/>
      <c r="BK325" s="697"/>
      <c r="BL325" s="697"/>
      <c r="BM325" s="697"/>
      <c r="BN325" s="697"/>
      <c r="BO325" s="697"/>
      <c r="BP325" s="697"/>
      <c r="BQ325" s="697"/>
      <c r="BR325" s="697"/>
      <c r="BS325" s="697"/>
      <c r="BT325" s="697"/>
      <c r="BU325" s="697"/>
      <c r="BV325" s="697"/>
      <c r="BW325" s="697"/>
      <c r="BX325" s="697"/>
      <c r="BY325" s="697"/>
      <c r="BZ325" s="697"/>
      <c r="CA325" s="697"/>
      <c r="CB325" s="697"/>
      <c r="CC325" s="697"/>
      <c r="CD325" s="697"/>
      <c r="CE325" s="697"/>
      <c r="CF325" s="697"/>
      <c r="CG325" s="697"/>
      <c r="CH325" s="697"/>
      <c r="CI325" s="697"/>
      <c r="CJ325" s="697"/>
      <c r="CK325" s="697"/>
      <c r="CL325" s="697"/>
      <c r="CM325" s="697"/>
      <c r="CN325" s="697"/>
      <c r="CO325" s="697"/>
      <c r="CP325" s="697"/>
      <c r="CQ325" s="697"/>
      <c r="CR325" s="697"/>
      <c r="CS325" s="697"/>
      <c r="CT325" s="697"/>
      <c r="CU325" s="697"/>
      <c r="CV325" s="697"/>
      <c r="CW325" s="697"/>
      <c r="CX325" s="697"/>
      <c r="CY325" s="697"/>
      <c r="CZ325" s="697"/>
      <c r="DA325" s="697"/>
    </row>
    <row r="326" spans="1:105" hidden="1" outlineLevel="1" x14ac:dyDescent="0.2">
      <c r="A326" s="709">
        <f t="shared" si="71"/>
        <v>38749</v>
      </c>
      <c r="B326" s="709" t="str">
        <f t="shared" si="68"/>
        <v>1Q06</v>
      </c>
      <c r="C326" s="709" t="str">
        <f t="shared" si="72"/>
        <v>2Q06</v>
      </c>
      <c r="D326" s="710">
        <f t="shared" si="73"/>
        <v>38835</v>
      </c>
      <c r="E326" s="710">
        <f t="shared" si="73"/>
        <v>38775</v>
      </c>
      <c r="F326" s="712">
        <v>2.4710000000000001</v>
      </c>
      <c r="G326" s="713">
        <f t="shared" si="69"/>
        <v>0.27000000000000007</v>
      </c>
      <c r="H326" s="713">
        <f t="shared" si="70"/>
        <v>0.28000000000000008</v>
      </c>
      <c r="I326" s="697"/>
      <c r="J326" s="697"/>
      <c r="K326" s="697"/>
      <c r="L326" s="697"/>
      <c r="M326" s="697"/>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97"/>
      <c r="AT326" s="697"/>
      <c r="AU326" s="697"/>
      <c r="AV326" s="697"/>
      <c r="AW326" s="697"/>
      <c r="AX326" s="697"/>
      <c r="AY326" s="697"/>
      <c r="AZ326" s="697"/>
      <c r="BA326" s="697"/>
      <c r="BB326" s="697"/>
      <c r="BC326" s="697"/>
      <c r="BD326" s="697"/>
      <c r="BE326" s="697"/>
      <c r="BF326" s="697"/>
      <c r="BG326" s="697"/>
      <c r="BH326" s="697"/>
      <c r="BI326" s="697"/>
      <c r="BJ326" s="697"/>
      <c r="BK326" s="697"/>
      <c r="BL326" s="697"/>
      <c r="BM326" s="697"/>
      <c r="BN326" s="697"/>
      <c r="BO326" s="697"/>
      <c r="BP326" s="697"/>
      <c r="BQ326" s="697"/>
      <c r="BR326" s="697"/>
      <c r="BS326" s="697"/>
      <c r="BT326" s="697"/>
      <c r="BU326" s="697"/>
      <c r="BV326" s="697"/>
      <c r="BW326" s="697"/>
      <c r="BX326" s="697"/>
      <c r="BY326" s="697"/>
      <c r="BZ326" s="697"/>
      <c r="CA326" s="697"/>
      <c r="CB326" s="697"/>
      <c r="CC326" s="697"/>
      <c r="CD326" s="697"/>
      <c r="CE326" s="697"/>
      <c r="CF326" s="697"/>
      <c r="CG326" s="697"/>
      <c r="CH326" s="697"/>
      <c r="CI326" s="697"/>
      <c r="CJ326" s="697"/>
      <c r="CK326" s="697"/>
      <c r="CL326" s="697"/>
      <c r="CM326" s="697"/>
      <c r="CN326" s="697"/>
      <c r="CO326" s="697"/>
      <c r="CP326" s="697"/>
      <c r="CQ326" s="697"/>
      <c r="CR326" s="697"/>
      <c r="CS326" s="697"/>
      <c r="CT326" s="697"/>
      <c r="CU326" s="697"/>
      <c r="CV326" s="697"/>
      <c r="CW326" s="697"/>
      <c r="CX326" s="697"/>
      <c r="CY326" s="697"/>
      <c r="CZ326" s="697"/>
      <c r="DA326" s="697"/>
    </row>
    <row r="327" spans="1:105" hidden="1" outlineLevel="1" x14ac:dyDescent="0.2">
      <c r="A327" s="709">
        <f t="shared" si="71"/>
        <v>38777</v>
      </c>
      <c r="B327" s="709" t="str">
        <f t="shared" si="68"/>
        <v>1Q06</v>
      </c>
      <c r="C327" s="709" t="str">
        <f t="shared" si="72"/>
        <v>2Q06</v>
      </c>
      <c r="D327" s="710">
        <f t="shared" si="73"/>
        <v>38842</v>
      </c>
      <c r="E327" s="710">
        <f t="shared" si="73"/>
        <v>38782</v>
      </c>
      <c r="F327" s="712">
        <v>2.5449999999999999</v>
      </c>
      <c r="G327" s="713">
        <f t="shared" si="69"/>
        <v>0.28000000000000008</v>
      </c>
      <c r="H327" s="713">
        <f t="shared" si="70"/>
        <v>0.28000000000000008</v>
      </c>
      <c r="I327" s="697"/>
      <c r="J327" s="697"/>
      <c r="K327" s="697"/>
      <c r="L327" s="697"/>
      <c r="M327" s="697"/>
      <c r="N327" s="697"/>
      <c r="O327" s="697"/>
      <c r="P327" s="697"/>
      <c r="Q327" s="697"/>
      <c r="R327" s="697"/>
      <c r="S327" s="697"/>
      <c r="T327" s="697"/>
      <c r="U327" s="697"/>
      <c r="V327" s="697"/>
      <c r="W327" s="697"/>
      <c r="X327" s="697"/>
      <c r="Y327" s="697"/>
      <c r="Z327" s="697"/>
      <c r="AA327" s="697"/>
      <c r="AB327" s="697"/>
      <c r="AC327" s="697"/>
      <c r="AD327" s="697"/>
      <c r="AE327" s="697"/>
      <c r="AF327" s="697"/>
      <c r="AG327" s="697"/>
      <c r="AH327" s="697"/>
      <c r="AI327" s="697"/>
      <c r="AJ327" s="697"/>
      <c r="AK327" s="697"/>
      <c r="AL327" s="697"/>
      <c r="AM327" s="697"/>
      <c r="AN327" s="697"/>
      <c r="AO327" s="697"/>
      <c r="AP327" s="697"/>
      <c r="AQ327" s="697"/>
      <c r="AR327" s="697"/>
      <c r="AS327" s="697"/>
      <c r="AT327" s="697"/>
      <c r="AU327" s="697"/>
      <c r="AV327" s="697"/>
      <c r="AW327" s="697"/>
      <c r="AX327" s="697"/>
      <c r="AY327" s="697"/>
      <c r="AZ327" s="697"/>
      <c r="BA327" s="697"/>
      <c r="BB327" s="697"/>
      <c r="BC327" s="697"/>
      <c r="BD327" s="697"/>
      <c r="BE327" s="697"/>
      <c r="BF327" s="697"/>
      <c r="BG327" s="697"/>
      <c r="BH327" s="697"/>
      <c r="BI327" s="697"/>
      <c r="BJ327" s="697"/>
      <c r="BK327" s="697"/>
      <c r="BL327" s="697"/>
      <c r="BM327" s="697"/>
      <c r="BN327" s="697"/>
      <c r="BO327" s="697"/>
      <c r="BP327" s="697"/>
      <c r="BQ327" s="697"/>
      <c r="BR327" s="697"/>
      <c r="BS327" s="697"/>
      <c r="BT327" s="697"/>
      <c r="BU327" s="697"/>
      <c r="BV327" s="697"/>
      <c r="BW327" s="697"/>
      <c r="BX327" s="697"/>
      <c r="BY327" s="697"/>
      <c r="BZ327" s="697"/>
      <c r="CA327" s="697"/>
      <c r="CB327" s="697"/>
      <c r="CC327" s="697"/>
      <c r="CD327" s="697"/>
      <c r="CE327" s="697"/>
      <c r="CF327" s="697"/>
      <c r="CG327" s="697"/>
      <c r="CH327" s="697"/>
      <c r="CI327" s="697"/>
      <c r="CJ327" s="697"/>
      <c r="CK327" s="697"/>
      <c r="CL327" s="697"/>
      <c r="CM327" s="697"/>
      <c r="CN327" s="697"/>
      <c r="CO327" s="697"/>
      <c r="CP327" s="697"/>
      <c r="CQ327" s="697"/>
      <c r="CR327" s="697"/>
      <c r="CS327" s="697"/>
      <c r="CT327" s="697"/>
      <c r="CU327" s="697"/>
      <c r="CV327" s="697"/>
      <c r="CW327" s="697"/>
      <c r="CX327" s="697"/>
      <c r="CY327" s="697"/>
      <c r="CZ327" s="697"/>
      <c r="DA327" s="697"/>
    </row>
    <row r="328" spans="1:105" hidden="1" outlineLevel="1" x14ac:dyDescent="0.2">
      <c r="A328" s="709">
        <f t="shared" si="71"/>
        <v>38777</v>
      </c>
      <c r="B328" s="709" t="str">
        <f t="shared" si="68"/>
        <v>1Q06</v>
      </c>
      <c r="C328" s="709" t="str">
        <f t="shared" si="72"/>
        <v>2Q06</v>
      </c>
      <c r="D328" s="710">
        <f t="shared" si="73"/>
        <v>38849</v>
      </c>
      <c r="E328" s="710">
        <f t="shared" si="73"/>
        <v>38789</v>
      </c>
      <c r="F328" s="712">
        <v>2.5430000000000001</v>
      </c>
      <c r="G328" s="713">
        <f t="shared" si="69"/>
        <v>0.28000000000000008</v>
      </c>
      <c r="H328" s="713">
        <f t="shared" si="70"/>
        <v>0.29000000000000009</v>
      </c>
      <c r="I328" s="697"/>
      <c r="J328" s="697"/>
      <c r="K328" s="697"/>
      <c r="L328" s="697"/>
      <c r="M328" s="697"/>
      <c r="N328" s="697"/>
      <c r="O328" s="697"/>
      <c r="P328" s="697"/>
      <c r="Q328" s="697"/>
      <c r="R328" s="697"/>
      <c r="S328" s="697"/>
      <c r="T328" s="697"/>
      <c r="U328" s="697"/>
      <c r="V328" s="697"/>
      <c r="W328" s="697"/>
      <c r="X328" s="697"/>
      <c r="Y328" s="697"/>
      <c r="Z328" s="697"/>
      <c r="AA328" s="697"/>
      <c r="AB328" s="697"/>
      <c r="AC328" s="697"/>
      <c r="AD328" s="697"/>
      <c r="AE328" s="697"/>
      <c r="AF328" s="697"/>
      <c r="AG328" s="697"/>
      <c r="AH328" s="697"/>
      <c r="AI328" s="697"/>
      <c r="AJ328" s="697"/>
      <c r="AK328" s="697"/>
      <c r="AL328" s="697"/>
      <c r="AM328" s="697"/>
      <c r="AN328" s="697"/>
      <c r="AO328" s="697"/>
      <c r="AP328" s="697"/>
      <c r="AQ328" s="697"/>
      <c r="AR328" s="697"/>
      <c r="AS328" s="697"/>
      <c r="AT328" s="697"/>
      <c r="AU328" s="697"/>
      <c r="AV328" s="697"/>
      <c r="AW328" s="697"/>
      <c r="AX328" s="697"/>
      <c r="AY328" s="697"/>
      <c r="AZ328" s="697"/>
      <c r="BA328" s="697"/>
      <c r="BB328" s="697"/>
      <c r="BC328" s="697"/>
      <c r="BD328" s="697"/>
      <c r="BE328" s="697"/>
      <c r="BF328" s="697"/>
      <c r="BG328" s="697"/>
      <c r="BH328" s="697"/>
      <c r="BI328" s="697"/>
      <c r="BJ328" s="697"/>
      <c r="BK328" s="697"/>
      <c r="BL328" s="697"/>
      <c r="BM328" s="697"/>
      <c r="BN328" s="697"/>
      <c r="BO328" s="697"/>
      <c r="BP328" s="697"/>
      <c r="BQ328" s="697"/>
      <c r="BR328" s="697"/>
      <c r="BS328" s="697"/>
      <c r="BT328" s="697"/>
      <c r="BU328" s="697"/>
      <c r="BV328" s="697"/>
      <c r="BW328" s="697"/>
      <c r="BX328" s="697"/>
      <c r="BY328" s="697"/>
      <c r="BZ328" s="697"/>
      <c r="CA328" s="697"/>
      <c r="CB328" s="697"/>
      <c r="CC328" s="697"/>
      <c r="CD328" s="697"/>
      <c r="CE328" s="697"/>
      <c r="CF328" s="697"/>
      <c r="CG328" s="697"/>
      <c r="CH328" s="697"/>
      <c r="CI328" s="697"/>
      <c r="CJ328" s="697"/>
      <c r="CK328" s="697"/>
      <c r="CL328" s="697"/>
      <c r="CM328" s="697"/>
      <c r="CN328" s="697"/>
      <c r="CO328" s="697"/>
      <c r="CP328" s="697"/>
      <c r="CQ328" s="697"/>
      <c r="CR328" s="697"/>
      <c r="CS328" s="697"/>
      <c r="CT328" s="697"/>
      <c r="CU328" s="697"/>
      <c r="CV328" s="697"/>
      <c r="CW328" s="697"/>
      <c r="CX328" s="697"/>
      <c r="CY328" s="697"/>
      <c r="CZ328" s="697"/>
      <c r="DA328" s="697"/>
    </row>
    <row r="329" spans="1:105" hidden="1" outlineLevel="1" x14ac:dyDescent="0.2">
      <c r="A329" s="709">
        <f t="shared" si="71"/>
        <v>38777</v>
      </c>
      <c r="B329" s="709" t="str">
        <f t="shared" si="68"/>
        <v>1Q06</v>
      </c>
      <c r="C329" s="709" t="str">
        <f t="shared" si="72"/>
        <v>2Q06</v>
      </c>
      <c r="D329" s="710">
        <f t="shared" si="73"/>
        <v>38856</v>
      </c>
      <c r="E329" s="710">
        <f t="shared" si="73"/>
        <v>38796</v>
      </c>
      <c r="F329" s="712">
        <v>2.581</v>
      </c>
      <c r="G329" s="713">
        <f t="shared" si="69"/>
        <v>0.29000000000000009</v>
      </c>
      <c r="H329" s="713">
        <f t="shared" si="70"/>
        <v>0.29000000000000009</v>
      </c>
      <c r="I329" s="697"/>
      <c r="J329" s="697"/>
      <c r="K329" s="697"/>
      <c r="L329" s="697"/>
      <c r="M329" s="697"/>
      <c r="N329" s="697"/>
      <c r="O329" s="697"/>
      <c r="P329" s="697"/>
      <c r="Q329" s="697"/>
      <c r="R329" s="697"/>
      <c r="S329" s="697"/>
      <c r="T329" s="697"/>
      <c r="U329" s="697"/>
      <c r="V329" s="697"/>
      <c r="W329" s="697"/>
      <c r="X329" s="697"/>
      <c r="Y329" s="697"/>
      <c r="Z329" s="697"/>
      <c r="AA329" s="697"/>
      <c r="AB329" s="697"/>
      <c r="AC329" s="697"/>
      <c r="AD329" s="697"/>
      <c r="AE329" s="697"/>
      <c r="AF329" s="697"/>
      <c r="AG329" s="697"/>
      <c r="AH329" s="697"/>
      <c r="AI329" s="697"/>
      <c r="AJ329" s="697"/>
      <c r="AK329" s="697"/>
      <c r="AL329" s="697"/>
      <c r="AM329" s="697"/>
      <c r="AN329" s="697"/>
      <c r="AO329" s="697"/>
      <c r="AP329" s="697"/>
      <c r="AQ329" s="697"/>
      <c r="AR329" s="697"/>
      <c r="AS329" s="697"/>
      <c r="AT329" s="697"/>
      <c r="AU329" s="697"/>
      <c r="AV329" s="697"/>
      <c r="AW329" s="697"/>
      <c r="AX329" s="697"/>
      <c r="AY329" s="697"/>
      <c r="AZ329" s="697"/>
      <c r="BA329" s="697"/>
      <c r="BB329" s="697"/>
      <c r="BC329" s="697"/>
      <c r="BD329" s="697"/>
      <c r="BE329" s="697"/>
      <c r="BF329" s="697"/>
      <c r="BG329" s="697"/>
      <c r="BH329" s="697"/>
      <c r="BI329" s="697"/>
      <c r="BJ329" s="697"/>
      <c r="BK329" s="697"/>
      <c r="BL329" s="697"/>
      <c r="BM329" s="697"/>
      <c r="BN329" s="697"/>
      <c r="BO329" s="697"/>
      <c r="BP329" s="697"/>
      <c r="BQ329" s="697"/>
      <c r="BR329" s="697"/>
      <c r="BS329" s="697"/>
      <c r="BT329" s="697"/>
      <c r="BU329" s="697"/>
      <c r="BV329" s="697"/>
      <c r="BW329" s="697"/>
      <c r="BX329" s="697"/>
      <c r="BY329" s="697"/>
      <c r="BZ329" s="697"/>
      <c r="CA329" s="697"/>
      <c r="CB329" s="697"/>
      <c r="CC329" s="697"/>
      <c r="CD329" s="697"/>
      <c r="CE329" s="697"/>
      <c r="CF329" s="697"/>
      <c r="CG329" s="697"/>
      <c r="CH329" s="697"/>
      <c r="CI329" s="697"/>
      <c r="CJ329" s="697"/>
      <c r="CK329" s="697"/>
      <c r="CL329" s="697"/>
      <c r="CM329" s="697"/>
      <c r="CN329" s="697"/>
      <c r="CO329" s="697"/>
      <c r="CP329" s="697"/>
      <c r="CQ329" s="697"/>
      <c r="CR329" s="697"/>
      <c r="CS329" s="697"/>
      <c r="CT329" s="697"/>
      <c r="CU329" s="697"/>
      <c r="CV329" s="697"/>
      <c r="CW329" s="697"/>
      <c r="CX329" s="697"/>
      <c r="CY329" s="697"/>
      <c r="CZ329" s="697"/>
      <c r="DA329" s="697"/>
    </row>
    <row r="330" spans="1:105" hidden="1" outlineLevel="1" x14ac:dyDescent="0.2">
      <c r="A330" s="709">
        <f t="shared" si="71"/>
        <v>38777</v>
      </c>
      <c r="B330" s="709" t="str">
        <f t="shared" si="68"/>
        <v>1Q06</v>
      </c>
      <c r="C330" s="709" t="str">
        <f t="shared" si="72"/>
        <v>2Q06</v>
      </c>
      <c r="D330" s="710">
        <f t="shared" si="73"/>
        <v>38863</v>
      </c>
      <c r="E330" s="710">
        <f t="shared" si="73"/>
        <v>38803</v>
      </c>
      <c r="F330" s="712">
        <v>2.5649999999999999</v>
      </c>
      <c r="G330" s="713">
        <f t="shared" si="69"/>
        <v>0.29000000000000009</v>
      </c>
      <c r="H330" s="713">
        <f t="shared" si="70"/>
        <v>0.3000000000000001</v>
      </c>
      <c r="I330" s="697"/>
      <c r="J330" s="697"/>
      <c r="K330" s="697"/>
      <c r="L330" s="697"/>
      <c r="M330" s="697"/>
      <c r="N330" s="697"/>
      <c r="O330" s="697"/>
      <c r="P330" s="697"/>
      <c r="Q330" s="697"/>
      <c r="R330" s="697"/>
      <c r="S330" s="697"/>
      <c r="T330" s="697"/>
      <c r="U330" s="697"/>
      <c r="V330" s="697"/>
      <c r="W330" s="697"/>
      <c r="X330" s="697"/>
      <c r="Y330" s="697"/>
      <c r="Z330" s="697"/>
      <c r="AA330" s="697"/>
      <c r="AB330" s="697"/>
      <c r="AC330" s="697"/>
      <c r="AD330" s="697"/>
      <c r="AE330" s="697"/>
      <c r="AF330" s="697"/>
      <c r="AG330" s="697"/>
      <c r="AH330" s="697"/>
      <c r="AI330" s="697"/>
      <c r="AJ330" s="697"/>
      <c r="AK330" s="697"/>
      <c r="AL330" s="697"/>
      <c r="AM330" s="697"/>
      <c r="AN330" s="697"/>
      <c r="AO330" s="697"/>
      <c r="AP330" s="697"/>
      <c r="AQ330" s="697"/>
      <c r="AR330" s="697"/>
      <c r="AS330" s="697"/>
      <c r="AT330" s="697"/>
      <c r="AU330" s="697"/>
      <c r="AV330" s="697"/>
      <c r="AW330" s="697"/>
      <c r="AX330" s="697"/>
      <c r="AY330" s="697"/>
      <c r="AZ330" s="697"/>
      <c r="BA330" s="697"/>
      <c r="BB330" s="697"/>
      <c r="BC330" s="697"/>
      <c r="BD330" s="697"/>
      <c r="BE330" s="697"/>
      <c r="BF330" s="697"/>
      <c r="BG330" s="697"/>
      <c r="BH330" s="697"/>
      <c r="BI330" s="697"/>
      <c r="BJ330" s="697"/>
      <c r="BK330" s="697"/>
      <c r="BL330" s="697"/>
      <c r="BM330" s="697"/>
      <c r="BN330" s="697"/>
      <c r="BO330" s="697"/>
      <c r="BP330" s="697"/>
      <c r="BQ330" s="697"/>
      <c r="BR330" s="697"/>
      <c r="BS330" s="697"/>
      <c r="BT330" s="697"/>
      <c r="BU330" s="697"/>
      <c r="BV330" s="697"/>
      <c r="BW330" s="697"/>
      <c r="BX330" s="697"/>
      <c r="BY330" s="697"/>
      <c r="BZ330" s="697"/>
      <c r="CA330" s="697"/>
      <c r="CB330" s="697"/>
      <c r="CC330" s="697"/>
      <c r="CD330" s="697"/>
      <c r="CE330" s="697"/>
      <c r="CF330" s="697"/>
      <c r="CG330" s="697"/>
      <c r="CH330" s="697"/>
      <c r="CI330" s="697"/>
      <c r="CJ330" s="697"/>
      <c r="CK330" s="697"/>
      <c r="CL330" s="697"/>
      <c r="CM330" s="697"/>
      <c r="CN330" s="697"/>
      <c r="CO330" s="697"/>
      <c r="CP330" s="697"/>
      <c r="CQ330" s="697"/>
      <c r="CR330" s="697"/>
      <c r="CS330" s="697"/>
      <c r="CT330" s="697"/>
      <c r="CU330" s="697"/>
      <c r="CV330" s="697"/>
      <c r="CW330" s="697"/>
      <c r="CX330" s="697"/>
      <c r="CY330" s="697"/>
      <c r="CZ330" s="697"/>
      <c r="DA330" s="697"/>
    </row>
    <row r="331" spans="1:105" hidden="1" outlineLevel="1" x14ac:dyDescent="0.2">
      <c r="A331" s="709">
        <f t="shared" si="71"/>
        <v>38808</v>
      </c>
      <c r="B331" s="709" t="str">
        <f t="shared" si="68"/>
        <v>2Q06</v>
      </c>
      <c r="C331" s="709" t="str">
        <f t="shared" si="72"/>
        <v>2Q06</v>
      </c>
      <c r="D331" s="710">
        <f t="shared" si="73"/>
        <v>38870</v>
      </c>
      <c r="E331" s="710">
        <f t="shared" si="73"/>
        <v>38810</v>
      </c>
      <c r="F331" s="712">
        <v>2.617</v>
      </c>
      <c r="G331" s="713">
        <f t="shared" si="69"/>
        <v>0.3000000000000001</v>
      </c>
      <c r="H331" s="713">
        <f t="shared" si="70"/>
        <v>0.31000000000000011</v>
      </c>
      <c r="I331" s="697"/>
      <c r="J331" s="697"/>
      <c r="K331" s="697"/>
      <c r="L331" s="697"/>
      <c r="M331" s="697"/>
      <c r="N331" s="697"/>
      <c r="O331" s="697"/>
      <c r="P331" s="697"/>
      <c r="Q331" s="697"/>
      <c r="R331" s="697"/>
      <c r="S331" s="697"/>
      <c r="T331" s="697"/>
      <c r="U331" s="697"/>
      <c r="V331" s="697"/>
      <c r="W331" s="697"/>
      <c r="X331" s="697"/>
      <c r="Y331" s="697"/>
      <c r="Z331" s="697"/>
      <c r="AA331" s="697"/>
      <c r="AB331" s="697"/>
      <c r="AC331" s="697"/>
      <c r="AD331" s="697"/>
      <c r="AE331" s="697"/>
      <c r="AF331" s="697"/>
      <c r="AG331" s="697"/>
      <c r="AH331" s="697"/>
      <c r="AI331" s="697"/>
      <c r="AJ331" s="697"/>
      <c r="AK331" s="697"/>
      <c r="AL331" s="697"/>
      <c r="AM331" s="697"/>
      <c r="AN331" s="697"/>
      <c r="AO331" s="697"/>
      <c r="AP331" s="697"/>
      <c r="AQ331" s="697"/>
      <c r="AR331" s="697"/>
      <c r="AS331" s="697"/>
      <c r="AT331" s="697"/>
      <c r="AU331" s="697"/>
      <c r="AV331" s="697"/>
      <c r="AW331" s="697"/>
      <c r="AX331" s="697"/>
      <c r="AY331" s="697"/>
      <c r="AZ331" s="697"/>
      <c r="BA331" s="697"/>
      <c r="BB331" s="697"/>
      <c r="BC331" s="697"/>
      <c r="BD331" s="697"/>
      <c r="BE331" s="697"/>
      <c r="BF331" s="697"/>
      <c r="BG331" s="697"/>
      <c r="BH331" s="697"/>
      <c r="BI331" s="697"/>
      <c r="BJ331" s="697"/>
      <c r="BK331" s="697"/>
      <c r="BL331" s="697"/>
      <c r="BM331" s="697"/>
      <c r="BN331" s="697"/>
      <c r="BO331" s="697"/>
      <c r="BP331" s="697"/>
      <c r="BQ331" s="697"/>
      <c r="BR331" s="697"/>
      <c r="BS331" s="697"/>
      <c r="BT331" s="697"/>
      <c r="BU331" s="697"/>
      <c r="BV331" s="697"/>
      <c r="BW331" s="697"/>
      <c r="BX331" s="697"/>
      <c r="BY331" s="697"/>
      <c r="BZ331" s="697"/>
      <c r="CA331" s="697"/>
      <c r="CB331" s="697"/>
      <c r="CC331" s="697"/>
      <c r="CD331" s="697"/>
      <c r="CE331" s="697"/>
      <c r="CF331" s="697"/>
      <c r="CG331" s="697"/>
      <c r="CH331" s="697"/>
      <c r="CI331" s="697"/>
      <c r="CJ331" s="697"/>
      <c r="CK331" s="697"/>
      <c r="CL331" s="697"/>
      <c r="CM331" s="697"/>
      <c r="CN331" s="697"/>
      <c r="CO331" s="697"/>
      <c r="CP331" s="697"/>
      <c r="CQ331" s="697"/>
      <c r="CR331" s="697"/>
      <c r="CS331" s="697"/>
      <c r="CT331" s="697"/>
      <c r="CU331" s="697"/>
      <c r="CV331" s="697"/>
      <c r="CW331" s="697"/>
      <c r="CX331" s="697"/>
      <c r="CY331" s="697"/>
      <c r="CZ331" s="697"/>
      <c r="DA331" s="697"/>
    </row>
    <row r="332" spans="1:105" hidden="1" outlineLevel="1" x14ac:dyDescent="0.2">
      <c r="A332" s="709">
        <f t="shared" si="71"/>
        <v>38808</v>
      </c>
      <c r="B332" s="709" t="str">
        <f t="shared" si="68"/>
        <v>2Q06</v>
      </c>
      <c r="C332" s="709" t="str">
        <f t="shared" si="72"/>
        <v>2Q06</v>
      </c>
      <c r="D332" s="710">
        <f t="shared" si="73"/>
        <v>38877</v>
      </c>
      <c r="E332" s="710">
        <f t="shared" si="73"/>
        <v>38817</v>
      </c>
      <c r="F332" s="712">
        <v>2.6539999999999999</v>
      </c>
      <c r="G332" s="713">
        <f t="shared" si="69"/>
        <v>0.31000000000000011</v>
      </c>
      <c r="H332" s="713">
        <f t="shared" si="70"/>
        <v>0.33000000000000013</v>
      </c>
      <c r="I332" s="697"/>
      <c r="J332" s="697"/>
      <c r="K332" s="697"/>
      <c r="L332" s="697"/>
      <c r="M332" s="697"/>
      <c r="N332" s="697"/>
      <c r="O332" s="697"/>
      <c r="P332" s="697"/>
      <c r="Q332" s="697"/>
      <c r="R332" s="697"/>
      <c r="S332" s="697"/>
      <c r="T332" s="697"/>
      <c r="U332" s="697"/>
      <c r="V332" s="697"/>
      <c r="W332" s="697"/>
      <c r="X332" s="697"/>
      <c r="Y332" s="697"/>
      <c r="Z332" s="697"/>
      <c r="AA332" s="697"/>
      <c r="AB332" s="697"/>
      <c r="AC332" s="697"/>
      <c r="AD332" s="697"/>
      <c r="AE332" s="697"/>
      <c r="AF332" s="697"/>
      <c r="AG332" s="697"/>
      <c r="AH332" s="697"/>
      <c r="AI332" s="697"/>
      <c r="AJ332" s="697"/>
      <c r="AK332" s="697"/>
      <c r="AL332" s="697"/>
      <c r="AM332" s="697"/>
      <c r="AN332" s="697"/>
      <c r="AO332" s="697"/>
      <c r="AP332" s="697"/>
      <c r="AQ332" s="697"/>
      <c r="AR332" s="697"/>
      <c r="AS332" s="697"/>
      <c r="AT332" s="697"/>
      <c r="AU332" s="697"/>
      <c r="AV332" s="697"/>
      <c r="AW332" s="697"/>
      <c r="AX332" s="697"/>
      <c r="AY332" s="697"/>
      <c r="AZ332" s="697"/>
      <c r="BA332" s="697"/>
      <c r="BB332" s="697"/>
      <c r="BC332" s="697"/>
      <c r="BD332" s="697"/>
      <c r="BE332" s="697"/>
      <c r="BF332" s="697"/>
      <c r="BG332" s="697"/>
      <c r="BH332" s="697"/>
      <c r="BI332" s="697"/>
      <c r="BJ332" s="697"/>
      <c r="BK332" s="697"/>
      <c r="BL332" s="697"/>
      <c r="BM332" s="697"/>
      <c r="BN332" s="697"/>
      <c r="BO332" s="697"/>
      <c r="BP332" s="697"/>
      <c r="BQ332" s="697"/>
      <c r="BR332" s="697"/>
      <c r="BS332" s="697"/>
      <c r="BT332" s="697"/>
      <c r="BU332" s="697"/>
      <c r="BV332" s="697"/>
      <c r="BW332" s="697"/>
      <c r="BX332" s="697"/>
      <c r="BY332" s="697"/>
      <c r="BZ332" s="697"/>
      <c r="CA332" s="697"/>
      <c r="CB332" s="697"/>
      <c r="CC332" s="697"/>
      <c r="CD332" s="697"/>
      <c r="CE332" s="697"/>
      <c r="CF332" s="697"/>
      <c r="CG332" s="697"/>
      <c r="CH332" s="697"/>
      <c r="CI332" s="697"/>
      <c r="CJ332" s="697"/>
      <c r="CK332" s="697"/>
      <c r="CL332" s="697"/>
      <c r="CM332" s="697"/>
      <c r="CN332" s="697"/>
      <c r="CO332" s="697"/>
      <c r="CP332" s="697"/>
      <c r="CQ332" s="697"/>
      <c r="CR332" s="697"/>
      <c r="CS332" s="697"/>
      <c r="CT332" s="697"/>
      <c r="CU332" s="697"/>
      <c r="CV332" s="697"/>
      <c r="CW332" s="697"/>
      <c r="CX332" s="697"/>
      <c r="CY332" s="697"/>
      <c r="CZ332" s="697"/>
      <c r="DA332" s="697"/>
    </row>
    <row r="333" spans="1:105" hidden="1" outlineLevel="1" x14ac:dyDescent="0.2">
      <c r="A333" s="709">
        <f t="shared" si="71"/>
        <v>38808</v>
      </c>
      <c r="B333" s="709" t="str">
        <f t="shared" si="68"/>
        <v>2Q06</v>
      </c>
      <c r="C333" s="709" t="str">
        <f t="shared" si="72"/>
        <v>2Q06</v>
      </c>
      <c r="D333" s="710">
        <f t="shared" si="73"/>
        <v>38884</v>
      </c>
      <c r="E333" s="710">
        <f t="shared" si="73"/>
        <v>38824</v>
      </c>
      <c r="F333" s="712">
        <v>2.7650000000000001</v>
      </c>
      <c r="G333" s="713">
        <f t="shared" si="69"/>
        <v>0.33000000000000013</v>
      </c>
      <c r="H333" s="713">
        <f t="shared" si="70"/>
        <v>0.35000000000000014</v>
      </c>
      <c r="I333" s="697"/>
      <c r="J333" s="697"/>
      <c r="K333" s="697"/>
      <c r="L333" s="697"/>
      <c r="M333" s="697"/>
      <c r="N333" s="697"/>
      <c r="O333" s="697"/>
      <c r="P333" s="697"/>
      <c r="Q333" s="697"/>
      <c r="R333" s="697"/>
      <c r="S333" s="697"/>
      <c r="T333" s="697"/>
      <c r="U333" s="697"/>
      <c r="V333" s="697"/>
      <c r="W333" s="697"/>
      <c r="X333" s="697"/>
      <c r="Y333" s="697"/>
      <c r="Z333" s="697"/>
      <c r="AA333" s="697"/>
      <c r="AB333" s="697"/>
      <c r="AC333" s="697"/>
      <c r="AD333" s="697"/>
      <c r="AE333" s="697"/>
      <c r="AF333" s="697"/>
      <c r="AG333" s="697"/>
      <c r="AH333" s="697"/>
      <c r="AI333" s="697"/>
      <c r="AJ333" s="697"/>
      <c r="AK333" s="697"/>
      <c r="AL333" s="697"/>
      <c r="AM333" s="697"/>
      <c r="AN333" s="697"/>
      <c r="AO333" s="697"/>
      <c r="AP333" s="697"/>
      <c r="AQ333" s="697"/>
      <c r="AR333" s="697"/>
      <c r="AS333" s="697"/>
      <c r="AT333" s="697"/>
      <c r="AU333" s="697"/>
      <c r="AV333" s="697"/>
      <c r="AW333" s="697"/>
      <c r="AX333" s="697"/>
      <c r="AY333" s="697"/>
      <c r="AZ333" s="697"/>
      <c r="BA333" s="697"/>
      <c r="BB333" s="697"/>
      <c r="BC333" s="697"/>
      <c r="BD333" s="697"/>
      <c r="BE333" s="697"/>
      <c r="BF333" s="697"/>
      <c r="BG333" s="697"/>
      <c r="BH333" s="697"/>
      <c r="BI333" s="697"/>
      <c r="BJ333" s="697"/>
      <c r="BK333" s="697"/>
      <c r="BL333" s="697"/>
      <c r="BM333" s="697"/>
      <c r="BN333" s="697"/>
      <c r="BO333" s="697"/>
      <c r="BP333" s="697"/>
      <c r="BQ333" s="697"/>
      <c r="BR333" s="697"/>
      <c r="BS333" s="697"/>
      <c r="BT333" s="697"/>
      <c r="BU333" s="697"/>
      <c r="BV333" s="697"/>
      <c r="BW333" s="697"/>
      <c r="BX333" s="697"/>
      <c r="BY333" s="697"/>
      <c r="BZ333" s="697"/>
      <c r="CA333" s="697"/>
      <c r="CB333" s="697"/>
      <c r="CC333" s="697"/>
      <c r="CD333" s="697"/>
      <c r="CE333" s="697"/>
      <c r="CF333" s="697"/>
      <c r="CG333" s="697"/>
      <c r="CH333" s="697"/>
      <c r="CI333" s="697"/>
      <c r="CJ333" s="697"/>
      <c r="CK333" s="697"/>
      <c r="CL333" s="697"/>
      <c r="CM333" s="697"/>
      <c r="CN333" s="697"/>
      <c r="CO333" s="697"/>
      <c r="CP333" s="697"/>
      <c r="CQ333" s="697"/>
      <c r="CR333" s="697"/>
      <c r="CS333" s="697"/>
      <c r="CT333" s="697"/>
      <c r="CU333" s="697"/>
      <c r="CV333" s="697"/>
      <c r="CW333" s="697"/>
      <c r="CX333" s="697"/>
      <c r="CY333" s="697"/>
      <c r="CZ333" s="697"/>
      <c r="DA333" s="697"/>
    </row>
    <row r="334" spans="1:105" hidden="1" outlineLevel="1" x14ac:dyDescent="0.2">
      <c r="A334" s="709">
        <f t="shared" si="71"/>
        <v>38808</v>
      </c>
      <c r="B334" s="709" t="str">
        <f t="shared" si="68"/>
        <v>2Q06</v>
      </c>
      <c r="C334" s="709" t="str">
        <f t="shared" si="72"/>
        <v>2Q06</v>
      </c>
      <c r="D334" s="710">
        <f t="shared" si="73"/>
        <v>38891</v>
      </c>
      <c r="E334" s="710">
        <f t="shared" si="73"/>
        <v>38831</v>
      </c>
      <c r="F334" s="712">
        <v>2.8759999999999999</v>
      </c>
      <c r="G334" s="713">
        <f t="shared" si="69"/>
        <v>0.35000000000000014</v>
      </c>
      <c r="H334" s="713">
        <f t="shared" si="70"/>
        <v>0.35000000000000014</v>
      </c>
      <c r="I334" s="697"/>
      <c r="J334" s="697"/>
      <c r="K334" s="697"/>
      <c r="L334" s="697"/>
      <c r="M334" s="697"/>
      <c r="N334" s="697"/>
      <c r="O334" s="697"/>
      <c r="P334" s="697"/>
      <c r="Q334" s="697"/>
      <c r="R334" s="697"/>
      <c r="S334" s="697"/>
      <c r="T334" s="697"/>
      <c r="U334" s="697"/>
      <c r="V334" s="697"/>
      <c r="W334" s="697"/>
      <c r="X334" s="697"/>
      <c r="Y334" s="697"/>
      <c r="Z334" s="697"/>
      <c r="AA334" s="697"/>
      <c r="AB334" s="697"/>
      <c r="AC334" s="697"/>
      <c r="AD334" s="697"/>
      <c r="AE334" s="697"/>
      <c r="AF334" s="697"/>
      <c r="AG334" s="697"/>
      <c r="AH334" s="697"/>
      <c r="AI334" s="697"/>
      <c r="AJ334" s="697"/>
      <c r="AK334" s="697"/>
      <c r="AL334" s="697"/>
      <c r="AM334" s="697"/>
      <c r="AN334" s="697"/>
      <c r="AO334" s="697"/>
      <c r="AP334" s="697"/>
      <c r="AQ334" s="697"/>
      <c r="AR334" s="697"/>
      <c r="AS334" s="697"/>
      <c r="AT334" s="697"/>
      <c r="AU334" s="697"/>
      <c r="AV334" s="697"/>
      <c r="AW334" s="697"/>
      <c r="AX334" s="697"/>
      <c r="AY334" s="697"/>
      <c r="AZ334" s="697"/>
      <c r="BA334" s="697"/>
      <c r="BB334" s="697"/>
      <c r="BC334" s="697"/>
      <c r="BD334" s="697"/>
      <c r="BE334" s="697"/>
      <c r="BF334" s="697"/>
      <c r="BG334" s="697"/>
      <c r="BH334" s="697"/>
      <c r="BI334" s="697"/>
      <c r="BJ334" s="697"/>
      <c r="BK334" s="697"/>
      <c r="BL334" s="697"/>
      <c r="BM334" s="697"/>
      <c r="BN334" s="697"/>
      <c r="BO334" s="697"/>
      <c r="BP334" s="697"/>
      <c r="BQ334" s="697"/>
      <c r="BR334" s="697"/>
      <c r="BS334" s="697"/>
      <c r="BT334" s="697"/>
      <c r="BU334" s="697"/>
      <c r="BV334" s="697"/>
      <c r="BW334" s="697"/>
      <c r="BX334" s="697"/>
      <c r="BY334" s="697"/>
      <c r="BZ334" s="697"/>
      <c r="CA334" s="697"/>
      <c r="CB334" s="697"/>
      <c r="CC334" s="697"/>
      <c r="CD334" s="697"/>
      <c r="CE334" s="697"/>
      <c r="CF334" s="697"/>
      <c r="CG334" s="697"/>
      <c r="CH334" s="697"/>
      <c r="CI334" s="697"/>
      <c r="CJ334" s="697"/>
      <c r="CK334" s="697"/>
      <c r="CL334" s="697"/>
      <c r="CM334" s="697"/>
      <c r="CN334" s="697"/>
      <c r="CO334" s="697"/>
      <c r="CP334" s="697"/>
      <c r="CQ334" s="697"/>
      <c r="CR334" s="697"/>
      <c r="CS334" s="697"/>
      <c r="CT334" s="697"/>
      <c r="CU334" s="697"/>
      <c r="CV334" s="697"/>
      <c r="CW334" s="697"/>
      <c r="CX334" s="697"/>
      <c r="CY334" s="697"/>
      <c r="CZ334" s="697"/>
      <c r="DA334" s="697"/>
    </row>
    <row r="335" spans="1:105" hidden="1" outlineLevel="1" x14ac:dyDescent="0.2">
      <c r="A335" s="709">
        <f t="shared" si="71"/>
        <v>38838</v>
      </c>
      <c r="B335" s="709" t="str">
        <f t="shared" si="68"/>
        <v>2Q06</v>
      </c>
      <c r="C335" s="709" t="str">
        <f t="shared" si="72"/>
        <v>2Q06</v>
      </c>
      <c r="D335" s="710">
        <f t="shared" si="73"/>
        <v>38898</v>
      </c>
      <c r="E335" s="710">
        <f t="shared" si="73"/>
        <v>38838</v>
      </c>
      <c r="F335" s="712">
        <v>2.8959999999999999</v>
      </c>
      <c r="G335" s="713">
        <f t="shared" si="69"/>
        <v>0.35000000000000014</v>
      </c>
      <c r="H335" s="713">
        <f t="shared" si="70"/>
        <v>0.35000000000000014</v>
      </c>
      <c r="I335" s="697"/>
      <c r="J335" s="697"/>
      <c r="K335" s="697"/>
      <c r="L335" s="697"/>
      <c r="M335" s="697"/>
      <c r="N335" s="697"/>
      <c r="O335" s="697"/>
      <c r="P335" s="697"/>
      <c r="Q335" s="697"/>
      <c r="R335" s="697"/>
      <c r="S335" s="697"/>
      <c r="T335" s="697"/>
      <c r="U335" s="697"/>
      <c r="V335" s="697"/>
      <c r="W335" s="697"/>
      <c r="X335" s="697"/>
      <c r="Y335" s="697"/>
      <c r="Z335" s="697"/>
      <c r="AA335" s="697"/>
      <c r="AB335" s="697"/>
      <c r="AC335" s="697"/>
      <c r="AD335" s="697"/>
      <c r="AE335" s="697"/>
      <c r="AF335" s="697"/>
      <c r="AG335" s="697"/>
      <c r="AH335" s="697"/>
      <c r="AI335" s="697"/>
      <c r="AJ335" s="697"/>
      <c r="AK335" s="697"/>
      <c r="AL335" s="697"/>
      <c r="AM335" s="697"/>
      <c r="AN335" s="697"/>
      <c r="AO335" s="697"/>
      <c r="AP335" s="697"/>
      <c r="AQ335" s="697"/>
      <c r="AR335" s="697"/>
      <c r="AS335" s="697"/>
      <c r="AT335" s="697"/>
      <c r="AU335" s="697"/>
      <c r="AV335" s="697"/>
      <c r="AW335" s="697"/>
      <c r="AX335" s="697"/>
      <c r="AY335" s="697"/>
      <c r="AZ335" s="697"/>
      <c r="BA335" s="697"/>
      <c r="BB335" s="697"/>
      <c r="BC335" s="697"/>
      <c r="BD335" s="697"/>
      <c r="BE335" s="697"/>
      <c r="BF335" s="697"/>
      <c r="BG335" s="697"/>
      <c r="BH335" s="697"/>
      <c r="BI335" s="697"/>
      <c r="BJ335" s="697"/>
      <c r="BK335" s="697"/>
      <c r="BL335" s="697"/>
      <c r="BM335" s="697"/>
      <c r="BN335" s="697"/>
      <c r="BO335" s="697"/>
      <c r="BP335" s="697"/>
      <c r="BQ335" s="697"/>
      <c r="BR335" s="697"/>
      <c r="BS335" s="697"/>
      <c r="BT335" s="697"/>
      <c r="BU335" s="697"/>
      <c r="BV335" s="697"/>
      <c r="BW335" s="697"/>
      <c r="BX335" s="697"/>
      <c r="BY335" s="697"/>
      <c r="BZ335" s="697"/>
      <c r="CA335" s="697"/>
      <c r="CB335" s="697"/>
      <c r="CC335" s="697"/>
      <c r="CD335" s="697"/>
      <c r="CE335" s="697"/>
      <c r="CF335" s="697"/>
      <c r="CG335" s="697"/>
      <c r="CH335" s="697"/>
      <c r="CI335" s="697"/>
      <c r="CJ335" s="697"/>
      <c r="CK335" s="697"/>
      <c r="CL335" s="697"/>
      <c r="CM335" s="697"/>
      <c r="CN335" s="697"/>
      <c r="CO335" s="697"/>
      <c r="CP335" s="697"/>
      <c r="CQ335" s="697"/>
      <c r="CR335" s="697"/>
      <c r="CS335" s="697"/>
      <c r="CT335" s="697"/>
      <c r="CU335" s="697"/>
      <c r="CV335" s="697"/>
      <c r="CW335" s="697"/>
      <c r="CX335" s="697"/>
      <c r="CY335" s="697"/>
      <c r="CZ335" s="697"/>
      <c r="DA335" s="697"/>
    </row>
    <row r="336" spans="1:105" hidden="1" outlineLevel="1" x14ac:dyDescent="0.2">
      <c r="A336" s="709">
        <f t="shared" si="71"/>
        <v>38838</v>
      </c>
      <c r="B336" s="709" t="str">
        <f t="shared" si="68"/>
        <v>2Q06</v>
      </c>
      <c r="C336" s="709" t="str">
        <f t="shared" si="72"/>
        <v>3Q06</v>
      </c>
      <c r="D336" s="710">
        <f t="shared" si="73"/>
        <v>38905</v>
      </c>
      <c r="E336" s="710">
        <f t="shared" si="73"/>
        <v>38845</v>
      </c>
      <c r="F336" s="712">
        <v>2.8969999999999998</v>
      </c>
      <c r="G336" s="713">
        <f t="shared" si="69"/>
        <v>0.35000000000000014</v>
      </c>
      <c r="H336" s="713">
        <f t="shared" si="70"/>
        <v>0.36000000000000015</v>
      </c>
      <c r="I336" s="697"/>
      <c r="J336" s="697"/>
      <c r="K336" s="697"/>
      <c r="L336" s="697"/>
      <c r="M336" s="697"/>
      <c r="N336" s="697"/>
      <c r="O336" s="697"/>
      <c r="P336" s="697"/>
      <c r="Q336" s="697"/>
      <c r="R336" s="697"/>
      <c r="S336" s="697"/>
      <c r="T336" s="697"/>
      <c r="U336" s="697"/>
      <c r="V336" s="697"/>
      <c r="W336" s="697"/>
      <c r="X336" s="697"/>
      <c r="Y336" s="697"/>
      <c r="Z336" s="697"/>
      <c r="AA336" s="697"/>
      <c r="AB336" s="697"/>
      <c r="AC336" s="697"/>
      <c r="AD336" s="697"/>
      <c r="AE336" s="697"/>
      <c r="AF336" s="697"/>
      <c r="AG336" s="697"/>
      <c r="AH336" s="697"/>
      <c r="AI336" s="697"/>
      <c r="AJ336" s="697"/>
      <c r="AK336" s="697"/>
      <c r="AL336" s="697"/>
      <c r="AM336" s="697"/>
      <c r="AN336" s="697"/>
      <c r="AO336" s="697"/>
      <c r="AP336" s="697"/>
      <c r="AQ336" s="697"/>
      <c r="AR336" s="697"/>
      <c r="AS336" s="697"/>
      <c r="AT336" s="697"/>
      <c r="AU336" s="697"/>
      <c r="AV336" s="697"/>
      <c r="AW336" s="697"/>
      <c r="AX336" s="697"/>
      <c r="AY336" s="697"/>
      <c r="AZ336" s="697"/>
      <c r="BA336" s="697"/>
      <c r="BB336" s="697"/>
      <c r="BC336" s="697"/>
      <c r="BD336" s="697"/>
      <c r="BE336" s="697"/>
      <c r="BF336" s="697"/>
      <c r="BG336" s="697"/>
      <c r="BH336" s="697"/>
      <c r="BI336" s="697"/>
      <c r="BJ336" s="697"/>
      <c r="BK336" s="697"/>
      <c r="BL336" s="697"/>
      <c r="BM336" s="697"/>
      <c r="BN336" s="697"/>
      <c r="BO336" s="697"/>
      <c r="BP336" s="697"/>
      <c r="BQ336" s="697"/>
      <c r="BR336" s="697"/>
      <c r="BS336" s="697"/>
      <c r="BT336" s="697"/>
      <c r="BU336" s="697"/>
      <c r="BV336" s="697"/>
      <c r="BW336" s="697"/>
      <c r="BX336" s="697"/>
      <c r="BY336" s="697"/>
      <c r="BZ336" s="697"/>
      <c r="CA336" s="697"/>
      <c r="CB336" s="697"/>
      <c r="CC336" s="697"/>
      <c r="CD336" s="697"/>
      <c r="CE336" s="697"/>
      <c r="CF336" s="697"/>
      <c r="CG336" s="697"/>
      <c r="CH336" s="697"/>
      <c r="CI336" s="697"/>
      <c r="CJ336" s="697"/>
      <c r="CK336" s="697"/>
      <c r="CL336" s="697"/>
      <c r="CM336" s="697"/>
      <c r="CN336" s="697"/>
      <c r="CO336" s="697"/>
      <c r="CP336" s="697"/>
      <c r="CQ336" s="697"/>
      <c r="CR336" s="697"/>
      <c r="CS336" s="697"/>
      <c r="CT336" s="697"/>
      <c r="CU336" s="697"/>
      <c r="CV336" s="697"/>
      <c r="CW336" s="697"/>
      <c r="CX336" s="697"/>
      <c r="CY336" s="697"/>
      <c r="CZ336" s="697"/>
      <c r="DA336" s="697"/>
    </row>
    <row r="337" spans="1:105" hidden="1" outlineLevel="1" x14ac:dyDescent="0.2">
      <c r="A337" s="709">
        <f t="shared" si="71"/>
        <v>38838</v>
      </c>
      <c r="B337" s="709" t="str">
        <f t="shared" si="68"/>
        <v>2Q06</v>
      </c>
      <c r="C337" s="709" t="str">
        <f t="shared" si="72"/>
        <v>3Q06</v>
      </c>
      <c r="D337" s="710">
        <f t="shared" si="73"/>
        <v>38912</v>
      </c>
      <c r="E337" s="710">
        <f t="shared" si="73"/>
        <v>38852</v>
      </c>
      <c r="F337" s="712">
        <v>2.92</v>
      </c>
      <c r="G337" s="713">
        <f t="shared" si="69"/>
        <v>0.36000000000000015</v>
      </c>
      <c r="H337" s="713">
        <f t="shared" si="70"/>
        <v>0.35000000000000014</v>
      </c>
      <c r="I337" s="697"/>
      <c r="J337" s="697"/>
      <c r="K337" s="697"/>
      <c r="L337" s="697"/>
      <c r="M337" s="697"/>
      <c r="N337" s="697"/>
      <c r="O337" s="697"/>
      <c r="P337" s="697"/>
      <c r="Q337" s="697"/>
      <c r="R337" s="697"/>
      <c r="S337" s="697"/>
      <c r="T337" s="697"/>
      <c r="U337" s="697"/>
      <c r="V337" s="697"/>
      <c r="W337" s="697"/>
      <c r="X337" s="697"/>
      <c r="Y337" s="697"/>
      <c r="Z337" s="697"/>
      <c r="AA337" s="697"/>
      <c r="AB337" s="697"/>
      <c r="AC337" s="697"/>
      <c r="AD337" s="697"/>
      <c r="AE337" s="697"/>
      <c r="AF337" s="697"/>
      <c r="AG337" s="697"/>
      <c r="AH337" s="697"/>
      <c r="AI337" s="697"/>
      <c r="AJ337" s="697"/>
      <c r="AK337" s="697"/>
      <c r="AL337" s="697"/>
      <c r="AM337" s="697"/>
      <c r="AN337" s="697"/>
      <c r="AO337" s="697"/>
      <c r="AP337" s="697"/>
      <c r="AQ337" s="697"/>
      <c r="AR337" s="697"/>
      <c r="AS337" s="697"/>
      <c r="AT337" s="697"/>
      <c r="AU337" s="697"/>
      <c r="AV337" s="697"/>
      <c r="AW337" s="697"/>
      <c r="AX337" s="697"/>
      <c r="AY337" s="697"/>
      <c r="AZ337" s="697"/>
      <c r="BA337" s="697"/>
      <c r="BB337" s="697"/>
      <c r="BC337" s="697"/>
      <c r="BD337" s="697"/>
      <c r="BE337" s="697"/>
      <c r="BF337" s="697"/>
      <c r="BG337" s="697"/>
      <c r="BH337" s="697"/>
      <c r="BI337" s="697"/>
      <c r="BJ337" s="697"/>
      <c r="BK337" s="697"/>
      <c r="BL337" s="697"/>
      <c r="BM337" s="697"/>
      <c r="BN337" s="697"/>
      <c r="BO337" s="697"/>
      <c r="BP337" s="697"/>
      <c r="BQ337" s="697"/>
      <c r="BR337" s="697"/>
      <c r="BS337" s="697"/>
      <c r="BT337" s="697"/>
      <c r="BU337" s="697"/>
      <c r="BV337" s="697"/>
      <c r="BW337" s="697"/>
      <c r="BX337" s="697"/>
      <c r="BY337" s="697"/>
      <c r="BZ337" s="697"/>
      <c r="CA337" s="697"/>
      <c r="CB337" s="697"/>
      <c r="CC337" s="697"/>
      <c r="CD337" s="697"/>
      <c r="CE337" s="697"/>
      <c r="CF337" s="697"/>
      <c r="CG337" s="697"/>
      <c r="CH337" s="697"/>
      <c r="CI337" s="697"/>
      <c r="CJ337" s="697"/>
      <c r="CK337" s="697"/>
      <c r="CL337" s="697"/>
      <c r="CM337" s="697"/>
      <c r="CN337" s="697"/>
      <c r="CO337" s="697"/>
      <c r="CP337" s="697"/>
      <c r="CQ337" s="697"/>
      <c r="CR337" s="697"/>
      <c r="CS337" s="697"/>
      <c r="CT337" s="697"/>
      <c r="CU337" s="697"/>
      <c r="CV337" s="697"/>
      <c r="CW337" s="697"/>
      <c r="CX337" s="697"/>
      <c r="CY337" s="697"/>
      <c r="CZ337" s="697"/>
      <c r="DA337" s="697"/>
    </row>
    <row r="338" spans="1:105" hidden="1" outlineLevel="1" x14ac:dyDescent="0.2">
      <c r="A338" s="709">
        <f t="shared" si="71"/>
        <v>38838</v>
      </c>
      <c r="B338" s="709" t="str">
        <f t="shared" si="68"/>
        <v>2Q06</v>
      </c>
      <c r="C338" s="709" t="str">
        <f t="shared" si="72"/>
        <v>3Q06</v>
      </c>
      <c r="D338" s="710">
        <f t="shared" si="73"/>
        <v>38919</v>
      </c>
      <c r="E338" s="710">
        <f t="shared" si="73"/>
        <v>38859</v>
      </c>
      <c r="F338" s="712">
        <v>2.8879999999999999</v>
      </c>
      <c r="G338" s="713">
        <f t="shared" si="69"/>
        <v>0.35000000000000014</v>
      </c>
      <c r="H338" s="713">
        <f t="shared" si="70"/>
        <v>0.35000000000000014</v>
      </c>
      <c r="I338" s="697"/>
      <c r="J338" s="697"/>
      <c r="K338" s="697"/>
      <c r="L338" s="697"/>
      <c r="M338" s="697"/>
      <c r="N338" s="697"/>
      <c r="O338" s="697"/>
      <c r="P338" s="697"/>
      <c r="Q338" s="697"/>
      <c r="R338" s="697"/>
      <c r="S338" s="697"/>
      <c r="T338" s="697"/>
      <c r="U338" s="697"/>
      <c r="V338" s="697"/>
      <c r="W338" s="697"/>
      <c r="X338" s="697"/>
      <c r="Y338" s="697"/>
      <c r="Z338" s="697"/>
      <c r="AA338" s="697"/>
      <c r="AB338" s="697"/>
      <c r="AC338" s="697"/>
      <c r="AD338" s="697"/>
      <c r="AE338" s="697"/>
      <c r="AF338" s="697"/>
      <c r="AG338" s="697"/>
      <c r="AH338" s="697"/>
      <c r="AI338" s="697"/>
      <c r="AJ338" s="697"/>
      <c r="AK338" s="697"/>
      <c r="AL338" s="697"/>
      <c r="AM338" s="697"/>
      <c r="AN338" s="697"/>
      <c r="AO338" s="697"/>
      <c r="AP338" s="697"/>
      <c r="AQ338" s="697"/>
      <c r="AR338" s="697"/>
      <c r="AS338" s="697"/>
      <c r="AT338" s="697"/>
      <c r="AU338" s="697"/>
      <c r="AV338" s="697"/>
      <c r="AW338" s="697"/>
      <c r="AX338" s="697"/>
      <c r="AY338" s="697"/>
      <c r="AZ338" s="697"/>
      <c r="BA338" s="697"/>
      <c r="BB338" s="697"/>
      <c r="BC338" s="697"/>
      <c r="BD338" s="697"/>
      <c r="BE338" s="697"/>
      <c r="BF338" s="697"/>
      <c r="BG338" s="697"/>
      <c r="BH338" s="697"/>
      <c r="BI338" s="697"/>
      <c r="BJ338" s="697"/>
      <c r="BK338" s="697"/>
      <c r="BL338" s="697"/>
      <c r="BM338" s="697"/>
      <c r="BN338" s="697"/>
      <c r="BO338" s="697"/>
      <c r="BP338" s="697"/>
      <c r="BQ338" s="697"/>
      <c r="BR338" s="697"/>
      <c r="BS338" s="697"/>
      <c r="BT338" s="697"/>
      <c r="BU338" s="697"/>
      <c r="BV338" s="697"/>
      <c r="BW338" s="697"/>
      <c r="BX338" s="697"/>
      <c r="BY338" s="697"/>
      <c r="BZ338" s="697"/>
      <c r="CA338" s="697"/>
      <c r="CB338" s="697"/>
      <c r="CC338" s="697"/>
      <c r="CD338" s="697"/>
      <c r="CE338" s="697"/>
      <c r="CF338" s="697"/>
      <c r="CG338" s="697"/>
      <c r="CH338" s="697"/>
      <c r="CI338" s="697"/>
      <c r="CJ338" s="697"/>
      <c r="CK338" s="697"/>
      <c r="CL338" s="697"/>
      <c r="CM338" s="697"/>
      <c r="CN338" s="697"/>
      <c r="CO338" s="697"/>
      <c r="CP338" s="697"/>
      <c r="CQ338" s="697"/>
      <c r="CR338" s="697"/>
      <c r="CS338" s="697"/>
      <c r="CT338" s="697"/>
      <c r="CU338" s="697"/>
      <c r="CV338" s="697"/>
      <c r="CW338" s="697"/>
      <c r="CX338" s="697"/>
      <c r="CY338" s="697"/>
      <c r="CZ338" s="697"/>
      <c r="DA338" s="697"/>
    </row>
    <row r="339" spans="1:105" hidden="1" outlineLevel="1" x14ac:dyDescent="0.2">
      <c r="A339" s="709">
        <f t="shared" si="71"/>
        <v>38838</v>
      </c>
      <c r="B339" s="709" t="str">
        <f t="shared" si="68"/>
        <v>2Q06</v>
      </c>
      <c r="C339" s="709" t="str">
        <f t="shared" si="72"/>
        <v>3Q06</v>
      </c>
      <c r="D339" s="710">
        <f t="shared" si="73"/>
        <v>38926</v>
      </c>
      <c r="E339" s="710">
        <f t="shared" si="73"/>
        <v>38866</v>
      </c>
      <c r="F339" s="712">
        <v>2.8820000000000001</v>
      </c>
      <c r="G339" s="713">
        <f t="shared" si="69"/>
        <v>0.35000000000000014</v>
      </c>
      <c r="H339" s="713">
        <f t="shared" si="70"/>
        <v>0.35000000000000014</v>
      </c>
      <c r="I339" s="697"/>
      <c r="J339" s="697"/>
      <c r="K339" s="697"/>
      <c r="L339" s="697"/>
      <c r="M339" s="697"/>
      <c r="N339" s="697"/>
      <c r="O339" s="697"/>
      <c r="P339" s="697"/>
      <c r="Q339" s="697"/>
      <c r="R339" s="697"/>
      <c r="S339" s="697"/>
      <c r="T339" s="697"/>
      <c r="U339" s="697"/>
      <c r="V339" s="697"/>
      <c r="W339" s="697"/>
      <c r="X339" s="697"/>
      <c r="Y339" s="697"/>
      <c r="Z339" s="697"/>
      <c r="AA339" s="697"/>
      <c r="AB339" s="697"/>
      <c r="AC339" s="697"/>
      <c r="AD339" s="697"/>
      <c r="AE339" s="697"/>
      <c r="AF339" s="697"/>
      <c r="AG339" s="697"/>
      <c r="AH339" s="697"/>
      <c r="AI339" s="697"/>
      <c r="AJ339" s="697"/>
      <c r="AK339" s="697"/>
      <c r="AL339" s="697"/>
      <c r="AM339" s="697"/>
      <c r="AN339" s="697"/>
      <c r="AO339" s="697"/>
      <c r="AP339" s="697"/>
      <c r="AQ339" s="697"/>
      <c r="AR339" s="697"/>
      <c r="AS339" s="697"/>
      <c r="AT339" s="697"/>
      <c r="AU339" s="697"/>
      <c r="AV339" s="697"/>
      <c r="AW339" s="697"/>
      <c r="AX339" s="697"/>
      <c r="AY339" s="697"/>
      <c r="AZ339" s="697"/>
      <c r="BA339" s="697"/>
      <c r="BB339" s="697"/>
      <c r="BC339" s="697"/>
      <c r="BD339" s="697"/>
      <c r="BE339" s="697"/>
      <c r="BF339" s="697"/>
      <c r="BG339" s="697"/>
      <c r="BH339" s="697"/>
      <c r="BI339" s="697"/>
      <c r="BJ339" s="697"/>
      <c r="BK339" s="697"/>
      <c r="BL339" s="697"/>
      <c r="BM339" s="697"/>
      <c r="BN339" s="697"/>
      <c r="BO339" s="697"/>
      <c r="BP339" s="697"/>
      <c r="BQ339" s="697"/>
      <c r="BR339" s="697"/>
      <c r="BS339" s="697"/>
      <c r="BT339" s="697"/>
      <c r="BU339" s="697"/>
      <c r="BV339" s="697"/>
      <c r="BW339" s="697"/>
      <c r="BX339" s="697"/>
      <c r="BY339" s="697"/>
      <c r="BZ339" s="697"/>
      <c r="CA339" s="697"/>
      <c r="CB339" s="697"/>
      <c r="CC339" s="697"/>
      <c r="CD339" s="697"/>
      <c r="CE339" s="697"/>
      <c r="CF339" s="697"/>
      <c r="CG339" s="697"/>
      <c r="CH339" s="697"/>
      <c r="CI339" s="697"/>
      <c r="CJ339" s="697"/>
      <c r="CK339" s="697"/>
      <c r="CL339" s="697"/>
      <c r="CM339" s="697"/>
      <c r="CN339" s="697"/>
      <c r="CO339" s="697"/>
      <c r="CP339" s="697"/>
      <c r="CQ339" s="697"/>
      <c r="CR339" s="697"/>
      <c r="CS339" s="697"/>
      <c r="CT339" s="697"/>
      <c r="CU339" s="697"/>
      <c r="CV339" s="697"/>
      <c r="CW339" s="697"/>
      <c r="CX339" s="697"/>
      <c r="CY339" s="697"/>
      <c r="CZ339" s="697"/>
      <c r="DA339" s="697"/>
    </row>
    <row r="340" spans="1:105" hidden="1" outlineLevel="1" x14ac:dyDescent="0.2">
      <c r="A340" s="709">
        <f t="shared" si="71"/>
        <v>38869</v>
      </c>
      <c r="B340" s="709" t="str">
        <f t="shared" si="68"/>
        <v>2Q06</v>
      </c>
      <c r="C340" s="709" t="str">
        <f t="shared" si="72"/>
        <v>3Q06</v>
      </c>
      <c r="D340" s="710">
        <f t="shared" si="73"/>
        <v>38933</v>
      </c>
      <c r="E340" s="710">
        <f t="shared" si="73"/>
        <v>38873</v>
      </c>
      <c r="F340" s="712">
        <v>2.89</v>
      </c>
      <c r="G340" s="713">
        <f t="shared" si="69"/>
        <v>0.35000000000000014</v>
      </c>
      <c r="H340" s="713">
        <f t="shared" si="70"/>
        <v>0.36000000000000015</v>
      </c>
      <c r="I340" s="697"/>
      <c r="J340" s="697"/>
      <c r="K340" s="697"/>
      <c r="L340" s="697"/>
      <c r="M340" s="697"/>
      <c r="N340" s="697"/>
      <c r="O340" s="697"/>
      <c r="P340" s="697"/>
      <c r="Q340" s="697"/>
      <c r="R340" s="697"/>
      <c r="S340" s="697"/>
      <c r="T340" s="697"/>
      <c r="U340" s="697"/>
      <c r="V340" s="697"/>
      <c r="W340" s="697"/>
      <c r="X340" s="697"/>
      <c r="Y340" s="697"/>
      <c r="Z340" s="697"/>
      <c r="AA340" s="697"/>
      <c r="AB340" s="697"/>
      <c r="AC340" s="697"/>
      <c r="AD340" s="697"/>
      <c r="AE340" s="697"/>
      <c r="AF340" s="697"/>
      <c r="AG340" s="697"/>
      <c r="AH340" s="697"/>
      <c r="AI340" s="697"/>
      <c r="AJ340" s="697"/>
      <c r="AK340" s="697"/>
      <c r="AL340" s="697"/>
      <c r="AM340" s="697"/>
      <c r="AN340" s="697"/>
      <c r="AO340" s="697"/>
      <c r="AP340" s="697"/>
      <c r="AQ340" s="697"/>
      <c r="AR340" s="697"/>
      <c r="AS340" s="697"/>
      <c r="AT340" s="697"/>
      <c r="AU340" s="697"/>
      <c r="AV340" s="697"/>
      <c r="AW340" s="697"/>
      <c r="AX340" s="697"/>
      <c r="AY340" s="697"/>
      <c r="AZ340" s="697"/>
      <c r="BA340" s="697"/>
      <c r="BB340" s="697"/>
      <c r="BC340" s="697"/>
      <c r="BD340" s="697"/>
      <c r="BE340" s="697"/>
      <c r="BF340" s="697"/>
      <c r="BG340" s="697"/>
      <c r="BH340" s="697"/>
      <c r="BI340" s="697"/>
      <c r="BJ340" s="697"/>
      <c r="BK340" s="697"/>
      <c r="BL340" s="697"/>
      <c r="BM340" s="697"/>
      <c r="BN340" s="697"/>
      <c r="BO340" s="697"/>
      <c r="BP340" s="697"/>
      <c r="BQ340" s="697"/>
      <c r="BR340" s="697"/>
      <c r="BS340" s="697"/>
      <c r="BT340" s="697"/>
      <c r="BU340" s="697"/>
      <c r="BV340" s="697"/>
      <c r="BW340" s="697"/>
      <c r="BX340" s="697"/>
      <c r="BY340" s="697"/>
      <c r="BZ340" s="697"/>
      <c r="CA340" s="697"/>
      <c r="CB340" s="697"/>
      <c r="CC340" s="697"/>
      <c r="CD340" s="697"/>
      <c r="CE340" s="697"/>
      <c r="CF340" s="697"/>
      <c r="CG340" s="697"/>
      <c r="CH340" s="697"/>
      <c r="CI340" s="697"/>
      <c r="CJ340" s="697"/>
      <c r="CK340" s="697"/>
      <c r="CL340" s="697"/>
      <c r="CM340" s="697"/>
      <c r="CN340" s="697"/>
      <c r="CO340" s="697"/>
      <c r="CP340" s="697"/>
      <c r="CQ340" s="697"/>
      <c r="CR340" s="697"/>
      <c r="CS340" s="697"/>
      <c r="CT340" s="697"/>
      <c r="CU340" s="697"/>
      <c r="CV340" s="697"/>
      <c r="CW340" s="697"/>
      <c r="CX340" s="697"/>
      <c r="CY340" s="697"/>
      <c r="CZ340" s="697"/>
      <c r="DA340" s="697"/>
    </row>
    <row r="341" spans="1:105" hidden="1" outlineLevel="1" x14ac:dyDescent="0.2">
      <c r="A341" s="709">
        <f t="shared" si="71"/>
        <v>38869</v>
      </c>
      <c r="B341" s="709" t="str">
        <f t="shared" si="68"/>
        <v>2Q06</v>
      </c>
      <c r="C341" s="709" t="str">
        <f t="shared" si="72"/>
        <v>3Q06</v>
      </c>
      <c r="D341" s="710">
        <f t="shared" ref="D341:E356" si="74">D340+7</f>
        <v>38940</v>
      </c>
      <c r="E341" s="710">
        <f t="shared" si="74"/>
        <v>38880</v>
      </c>
      <c r="F341" s="712">
        <v>2.9180000000000001</v>
      </c>
      <c r="G341" s="713">
        <f t="shared" si="69"/>
        <v>0.36000000000000015</v>
      </c>
      <c r="H341" s="713">
        <f t="shared" si="70"/>
        <v>0.36000000000000015</v>
      </c>
      <c r="I341" s="697"/>
      <c r="J341" s="697"/>
      <c r="K341" s="697"/>
      <c r="L341" s="697"/>
      <c r="M341" s="697"/>
      <c r="N341" s="697"/>
      <c r="O341" s="697"/>
      <c r="P341" s="697"/>
      <c r="Q341" s="697"/>
      <c r="R341" s="697"/>
      <c r="S341" s="697"/>
      <c r="T341" s="697"/>
      <c r="U341" s="697"/>
      <c r="V341" s="697"/>
      <c r="W341" s="697"/>
      <c r="X341" s="697"/>
      <c r="Y341" s="697"/>
      <c r="Z341" s="697"/>
      <c r="AA341" s="697"/>
      <c r="AB341" s="697"/>
      <c r="AC341" s="697"/>
      <c r="AD341" s="697"/>
      <c r="AE341" s="697"/>
      <c r="AF341" s="697"/>
      <c r="AG341" s="697"/>
      <c r="AH341" s="697"/>
      <c r="AI341" s="697"/>
      <c r="AJ341" s="697"/>
      <c r="AK341" s="697"/>
      <c r="AL341" s="697"/>
      <c r="AM341" s="697"/>
      <c r="AN341" s="697"/>
      <c r="AO341" s="697"/>
      <c r="AP341" s="697"/>
      <c r="AQ341" s="697"/>
      <c r="AR341" s="697"/>
      <c r="AS341" s="697"/>
      <c r="AT341" s="697"/>
      <c r="AU341" s="697"/>
      <c r="AV341" s="697"/>
      <c r="AW341" s="697"/>
      <c r="AX341" s="697"/>
      <c r="AY341" s="697"/>
      <c r="AZ341" s="697"/>
      <c r="BA341" s="697"/>
      <c r="BB341" s="697"/>
      <c r="BC341" s="697"/>
      <c r="BD341" s="697"/>
      <c r="BE341" s="697"/>
      <c r="BF341" s="697"/>
      <c r="BG341" s="697"/>
      <c r="BH341" s="697"/>
      <c r="BI341" s="697"/>
      <c r="BJ341" s="697"/>
      <c r="BK341" s="697"/>
      <c r="BL341" s="697"/>
      <c r="BM341" s="697"/>
      <c r="BN341" s="697"/>
      <c r="BO341" s="697"/>
      <c r="BP341" s="697"/>
      <c r="BQ341" s="697"/>
      <c r="BR341" s="697"/>
      <c r="BS341" s="697"/>
      <c r="BT341" s="697"/>
      <c r="BU341" s="697"/>
      <c r="BV341" s="697"/>
      <c r="BW341" s="697"/>
      <c r="BX341" s="697"/>
      <c r="BY341" s="697"/>
      <c r="BZ341" s="697"/>
      <c r="CA341" s="697"/>
      <c r="CB341" s="697"/>
      <c r="CC341" s="697"/>
      <c r="CD341" s="697"/>
      <c r="CE341" s="697"/>
      <c r="CF341" s="697"/>
      <c r="CG341" s="697"/>
      <c r="CH341" s="697"/>
      <c r="CI341" s="697"/>
      <c r="CJ341" s="697"/>
      <c r="CK341" s="697"/>
      <c r="CL341" s="697"/>
      <c r="CM341" s="697"/>
      <c r="CN341" s="697"/>
      <c r="CO341" s="697"/>
      <c r="CP341" s="697"/>
      <c r="CQ341" s="697"/>
      <c r="CR341" s="697"/>
      <c r="CS341" s="697"/>
      <c r="CT341" s="697"/>
      <c r="CU341" s="697"/>
      <c r="CV341" s="697"/>
      <c r="CW341" s="697"/>
      <c r="CX341" s="697"/>
      <c r="CY341" s="697"/>
      <c r="CZ341" s="697"/>
      <c r="DA341" s="697"/>
    </row>
    <row r="342" spans="1:105" hidden="1" outlineLevel="1" x14ac:dyDescent="0.2">
      <c r="A342" s="709">
        <f t="shared" si="71"/>
        <v>38869</v>
      </c>
      <c r="B342" s="709" t="str">
        <f t="shared" si="68"/>
        <v>2Q06</v>
      </c>
      <c r="C342" s="709" t="str">
        <f t="shared" si="72"/>
        <v>3Q06</v>
      </c>
      <c r="D342" s="710">
        <f t="shared" si="74"/>
        <v>38947</v>
      </c>
      <c r="E342" s="710">
        <f t="shared" si="74"/>
        <v>38887</v>
      </c>
      <c r="F342" s="712">
        <v>2.915</v>
      </c>
      <c r="G342" s="713">
        <f t="shared" si="69"/>
        <v>0.36000000000000015</v>
      </c>
      <c r="H342" s="713">
        <f t="shared" si="70"/>
        <v>0.35000000000000014</v>
      </c>
      <c r="I342" s="697"/>
      <c r="J342" s="697"/>
      <c r="K342" s="697"/>
      <c r="L342" s="697"/>
      <c r="M342" s="697"/>
      <c r="N342" s="697"/>
      <c r="O342" s="697"/>
      <c r="P342" s="697"/>
      <c r="Q342" s="697"/>
      <c r="R342" s="697"/>
      <c r="S342" s="697"/>
      <c r="T342" s="697"/>
      <c r="U342" s="697"/>
      <c r="V342" s="697"/>
      <c r="W342" s="697"/>
      <c r="X342" s="697"/>
      <c r="Y342" s="697"/>
      <c r="Z342" s="697"/>
      <c r="AA342" s="697"/>
      <c r="AB342" s="697"/>
      <c r="AC342" s="697"/>
      <c r="AD342" s="697"/>
      <c r="AE342" s="697"/>
      <c r="AF342" s="697"/>
      <c r="AG342" s="697"/>
      <c r="AH342" s="697"/>
      <c r="AI342" s="697"/>
      <c r="AJ342" s="697"/>
      <c r="AK342" s="697"/>
      <c r="AL342" s="697"/>
      <c r="AM342" s="697"/>
      <c r="AN342" s="697"/>
      <c r="AO342" s="697"/>
      <c r="AP342" s="697"/>
      <c r="AQ342" s="697"/>
      <c r="AR342" s="697"/>
      <c r="AS342" s="697"/>
      <c r="AT342" s="697"/>
      <c r="AU342" s="697"/>
      <c r="AV342" s="697"/>
      <c r="AW342" s="697"/>
      <c r="AX342" s="697"/>
      <c r="AY342" s="697"/>
      <c r="AZ342" s="697"/>
      <c r="BA342" s="697"/>
      <c r="BB342" s="697"/>
      <c r="BC342" s="697"/>
      <c r="BD342" s="697"/>
      <c r="BE342" s="697"/>
      <c r="BF342" s="697"/>
      <c r="BG342" s="697"/>
      <c r="BH342" s="697"/>
      <c r="BI342" s="697"/>
      <c r="BJ342" s="697"/>
      <c r="BK342" s="697"/>
      <c r="BL342" s="697"/>
      <c r="BM342" s="697"/>
      <c r="BN342" s="697"/>
      <c r="BO342" s="697"/>
      <c r="BP342" s="697"/>
      <c r="BQ342" s="697"/>
      <c r="BR342" s="697"/>
      <c r="BS342" s="697"/>
      <c r="BT342" s="697"/>
      <c r="BU342" s="697"/>
      <c r="BV342" s="697"/>
      <c r="BW342" s="697"/>
      <c r="BX342" s="697"/>
      <c r="BY342" s="697"/>
      <c r="BZ342" s="697"/>
      <c r="CA342" s="697"/>
      <c r="CB342" s="697"/>
      <c r="CC342" s="697"/>
      <c r="CD342" s="697"/>
      <c r="CE342" s="697"/>
      <c r="CF342" s="697"/>
      <c r="CG342" s="697"/>
      <c r="CH342" s="697"/>
      <c r="CI342" s="697"/>
      <c r="CJ342" s="697"/>
      <c r="CK342" s="697"/>
      <c r="CL342" s="697"/>
      <c r="CM342" s="697"/>
      <c r="CN342" s="697"/>
      <c r="CO342" s="697"/>
      <c r="CP342" s="697"/>
      <c r="CQ342" s="697"/>
      <c r="CR342" s="697"/>
      <c r="CS342" s="697"/>
      <c r="CT342" s="697"/>
      <c r="CU342" s="697"/>
      <c r="CV342" s="697"/>
      <c r="CW342" s="697"/>
      <c r="CX342" s="697"/>
      <c r="CY342" s="697"/>
      <c r="CZ342" s="697"/>
      <c r="DA342" s="697"/>
    </row>
    <row r="343" spans="1:105" hidden="1" outlineLevel="1" x14ac:dyDescent="0.2">
      <c r="A343" s="709">
        <f t="shared" si="71"/>
        <v>38869</v>
      </c>
      <c r="B343" s="709" t="str">
        <f t="shared" si="68"/>
        <v>2Q06</v>
      </c>
      <c r="C343" s="709" t="str">
        <f t="shared" si="72"/>
        <v>3Q06</v>
      </c>
      <c r="D343" s="710">
        <f t="shared" si="74"/>
        <v>38954</v>
      </c>
      <c r="E343" s="710">
        <f t="shared" si="74"/>
        <v>38894</v>
      </c>
      <c r="F343" s="712">
        <v>2.867</v>
      </c>
      <c r="G343" s="713">
        <f t="shared" si="69"/>
        <v>0.35000000000000014</v>
      </c>
      <c r="H343" s="713">
        <f t="shared" si="70"/>
        <v>0.35000000000000014</v>
      </c>
      <c r="I343" s="697"/>
      <c r="J343" s="697"/>
      <c r="K343" s="697"/>
      <c r="L343" s="697"/>
      <c r="M343" s="697"/>
      <c r="N343" s="697"/>
      <c r="O343" s="697"/>
      <c r="P343" s="697"/>
      <c r="Q343" s="697"/>
      <c r="R343" s="697"/>
      <c r="S343" s="697"/>
      <c r="T343" s="697"/>
      <c r="U343" s="697"/>
      <c r="V343" s="697"/>
      <c r="W343" s="697"/>
      <c r="X343" s="697"/>
      <c r="Y343" s="697"/>
      <c r="Z343" s="697"/>
      <c r="AA343" s="697"/>
      <c r="AB343" s="697"/>
      <c r="AC343" s="697"/>
      <c r="AD343" s="697"/>
      <c r="AE343" s="697"/>
      <c r="AF343" s="697"/>
      <c r="AG343" s="697"/>
      <c r="AH343" s="697"/>
      <c r="AI343" s="697"/>
      <c r="AJ343" s="697"/>
      <c r="AK343" s="697"/>
      <c r="AL343" s="697"/>
      <c r="AM343" s="697"/>
      <c r="AN343" s="697"/>
      <c r="AO343" s="697"/>
      <c r="AP343" s="697"/>
      <c r="AQ343" s="697"/>
      <c r="AR343" s="697"/>
      <c r="AS343" s="697"/>
      <c r="AT343" s="697"/>
      <c r="AU343" s="697"/>
      <c r="AV343" s="697"/>
      <c r="AW343" s="697"/>
      <c r="AX343" s="697"/>
      <c r="AY343" s="697"/>
      <c r="AZ343" s="697"/>
      <c r="BA343" s="697"/>
      <c r="BB343" s="697"/>
      <c r="BC343" s="697"/>
      <c r="BD343" s="697"/>
      <c r="BE343" s="697"/>
      <c r="BF343" s="697"/>
      <c r="BG343" s="697"/>
      <c r="BH343" s="697"/>
      <c r="BI343" s="697"/>
      <c r="BJ343" s="697"/>
      <c r="BK343" s="697"/>
      <c r="BL343" s="697"/>
      <c r="BM343" s="697"/>
      <c r="BN343" s="697"/>
      <c r="BO343" s="697"/>
      <c r="BP343" s="697"/>
      <c r="BQ343" s="697"/>
      <c r="BR343" s="697"/>
      <c r="BS343" s="697"/>
      <c r="BT343" s="697"/>
      <c r="BU343" s="697"/>
      <c r="BV343" s="697"/>
      <c r="BW343" s="697"/>
      <c r="BX343" s="697"/>
      <c r="BY343" s="697"/>
      <c r="BZ343" s="697"/>
      <c r="CA343" s="697"/>
      <c r="CB343" s="697"/>
      <c r="CC343" s="697"/>
      <c r="CD343" s="697"/>
      <c r="CE343" s="697"/>
      <c r="CF343" s="697"/>
      <c r="CG343" s="697"/>
      <c r="CH343" s="697"/>
      <c r="CI343" s="697"/>
      <c r="CJ343" s="697"/>
      <c r="CK343" s="697"/>
      <c r="CL343" s="697"/>
      <c r="CM343" s="697"/>
      <c r="CN343" s="697"/>
      <c r="CO343" s="697"/>
      <c r="CP343" s="697"/>
      <c r="CQ343" s="697"/>
      <c r="CR343" s="697"/>
      <c r="CS343" s="697"/>
      <c r="CT343" s="697"/>
      <c r="CU343" s="697"/>
      <c r="CV343" s="697"/>
      <c r="CW343" s="697"/>
      <c r="CX343" s="697"/>
      <c r="CY343" s="697"/>
      <c r="CZ343" s="697"/>
      <c r="DA343" s="697"/>
    </row>
    <row r="344" spans="1:105" hidden="1" outlineLevel="1" x14ac:dyDescent="0.2">
      <c r="A344" s="709">
        <f t="shared" si="71"/>
        <v>38899</v>
      </c>
      <c r="B344" s="709" t="str">
        <f t="shared" si="68"/>
        <v>3Q06</v>
      </c>
      <c r="C344" s="709" t="str">
        <f t="shared" si="72"/>
        <v>3Q06</v>
      </c>
      <c r="D344" s="710">
        <f t="shared" si="74"/>
        <v>38961</v>
      </c>
      <c r="E344" s="710">
        <f t="shared" si="74"/>
        <v>38901</v>
      </c>
      <c r="F344" s="712">
        <v>2.8980000000000001</v>
      </c>
      <c r="G344" s="713">
        <f t="shared" si="69"/>
        <v>0.35000000000000014</v>
      </c>
      <c r="H344" s="713">
        <f t="shared" si="70"/>
        <v>0.36000000000000015</v>
      </c>
      <c r="I344" s="697"/>
      <c r="J344" s="697"/>
      <c r="K344" s="697"/>
      <c r="L344" s="697"/>
      <c r="M344" s="697"/>
      <c r="N344" s="697"/>
      <c r="O344" s="697"/>
      <c r="P344" s="697"/>
      <c r="Q344" s="697"/>
      <c r="R344" s="697"/>
      <c r="S344" s="697"/>
      <c r="T344" s="697"/>
      <c r="U344" s="697"/>
      <c r="V344" s="697"/>
      <c r="W344" s="697"/>
      <c r="X344" s="697"/>
      <c r="Y344" s="697"/>
      <c r="Z344" s="697"/>
      <c r="AA344" s="697"/>
      <c r="AB344" s="697"/>
      <c r="AC344" s="697"/>
      <c r="AD344" s="697"/>
      <c r="AE344" s="697"/>
      <c r="AF344" s="697"/>
      <c r="AG344" s="697"/>
      <c r="AH344" s="697"/>
      <c r="AI344" s="697"/>
      <c r="AJ344" s="697"/>
      <c r="AK344" s="697"/>
      <c r="AL344" s="697"/>
      <c r="AM344" s="697"/>
      <c r="AN344" s="697"/>
      <c r="AO344" s="697"/>
      <c r="AP344" s="697"/>
      <c r="AQ344" s="697"/>
      <c r="AR344" s="697"/>
      <c r="AS344" s="697"/>
      <c r="AT344" s="697"/>
      <c r="AU344" s="697"/>
      <c r="AV344" s="697"/>
      <c r="AW344" s="697"/>
      <c r="AX344" s="697"/>
      <c r="AY344" s="697"/>
      <c r="AZ344" s="697"/>
      <c r="BA344" s="697"/>
      <c r="BB344" s="697"/>
      <c r="BC344" s="697"/>
      <c r="BD344" s="697"/>
      <c r="BE344" s="697"/>
      <c r="BF344" s="697"/>
      <c r="BG344" s="697"/>
      <c r="BH344" s="697"/>
      <c r="BI344" s="697"/>
      <c r="BJ344" s="697"/>
      <c r="BK344" s="697"/>
      <c r="BL344" s="697"/>
      <c r="BM344" s="697"/>
      <c r="BN344" s="697"/>
      <c r="BO344" s="697"/>
      <c r="BP344" s="697"/>
      <c r="BQ344" s="697"/>
      <c r="BR344" s="697"/>
      <c r="BS344" s="697"/>
      <c r="BT344" s="697"/>
      <c r="BU344" s="697"/>
      <c r="BV344" s="697"/>
      <c r="BW344" s="697"/>
      <c r="BX344" s="697"/>
      <c r="BY344" s="697"/>
      <c r="BZ344" s="697"/>
      <c r="CA344" s="697"/>
      <c r="CB344" s="697"/>
      <c r="CC344" s="697"/>
      <c r="CD344" s="697"/>
      <c r="CE344" s="697"/>
      <c r="CF344" s="697"/>
      <c r="CG344" s="697"/>
      <c r="CH344" s="697"/>
      <c r="CI344" s="697"/>
      <c r="CJ344" s="697"/>
      <c r="CK344" s="697"/>
      <c r="CL344" s="697"/>
      <c r="CM344" s="697"/>
      <c r="CN344" s="697"/>
      <c r="CO344" s="697"/>
      <c r="CP344" s="697"/>
      <c r="CQ344" s="697"/>
      <c r="CR344" s="697"/>
      <c r="CS344" s="697"/>
      <c r="CT344" s="697"/>
      <c r="CU344" s="697"/>
      <c r="CV344" s="697"/>
      <c r="CW344" s="697"/>
      <c r="CX344" s="697"/>
      <c r="CY344" s="697"/>
      <c r="CZ344" s="697"/>
      <c r="DA344" s="697"/>
    </row>
    <row r="345" spans="1:105" hidden="1" outlineLevel="1" x14ac:dyDescent="0.2">
      <c r="A345" s="709">
        <f t="shared" si="71"/>
        <v>38899</v>
      </c>
      <c r="B345" s="709" t="str">
        <f t="shared" si="68"/>
        <v>3Q06</v>
      </c>
      <c r="C345" s="709" t="str">
        <f t="shared" si="72"/>
        <v>3Q06</v>
      </c>
      <c r="D345" s="710">
        <f t="shared" si="74"/>
        <v>38968</v>
      </c>
      <c r="E345" s="710">
        <f t="shared" si="74"/>
        <v>38908</v>
      </c>
      <c r="F345" s="712">
        <v>2.9180000000000001</v>
      </c>
      <c r="G345" s="713">
        <f t="shared" si="69"/>
        <v>0.36000000000000015</v>
      </c>
      <c r="H345" s="713">
        <f t="shared" si="70"/>
        <v>0.36000000000000015</v>
      </c>
      <c r="I345" s="697"/>
      <c r="J345" s="697"/>
      <c r="K345" s="697"/>
      <c r="L345" s="697"/>
      <c r="M345" s="697"/>
      <c r="N345" s="697"/>
      <c r="O345" s="697"/>
      <c r="P345" s="697"/>
      <c r="Q345" s="697"/>
      <c r="R345" s="697"/>
      <c r="S345" s="697"/>
      <c r="T345" s="697"/>
      <c r="U345" s="697"/>
      <c r="V345" s="697"/>
      <c r="W345" s="697"/>
      <c r="X345" s="697"/>
      <c r="Y345" s="697"/>
      <c r="Z345" s="697"/>
      <c r="AA345" s="697"/>
      <c r="AB345" s="697"/>
      <c r="AC345" s="697"/>
      <c r="AD345" s="697"/>
      <c r="AE345" s="697"/>
      <c r="AF345" s="697"/>
      <c r="AG345" s="697"/>
      <c r="AH345" s="697"/>
      <c r="AI345" s="697"/>
      <c r="AJ345" s="697"/>
      <c r="AK345" s="697"/>
      <c r="AL345" s="697"/>
      <c r="AM345" s="697"/>
      <c r="AN345" s="697"/>
      <c r="AO345" s="697"/>
      <c r="AP345" s="697"/>
      <c r="AQ345" s="697"/>
      <c r="AR345" s="697"/>
      <c r="AS345" s="697"/>
      <c r="AT345" s="697"/>
      <c r="AU345" s="697"/>
      <c r="AV345" s="697"/>
      <c r="AW345" s="697"/>
      <c r="AX345" s="697"/>
      <c r="AY345" s="697"/>
      <c r="AZ345" s="697"/>
      <c r="BA345" s="697"/>
      <c r="BB345" s="697"/>
      <c r="BC345" s="697"/>
      <c r="BD345" s="697"/>
      <c r="BE345" s="697"/>
      <c r="BF345" s="697"/>
      <c r="BG345" s="697"/>
      <c r="BH345" s="697"/>
      <c r="BI345" s="697"/>
      <c r="BJ345" s="697"/>
      <c r="BK345" s="697"/>
      <c r="BL345" s="697"/>
      <c r="BM345" s="697"/>
      <c r="BN345" s="697"/>
      <c r="BO345" s="697"/>
      <c r="BP345" s="697"/>
      <c r="BQ345" s="697"/>
      <c r="BR345" s="697"/>
      <c r="BS345" s="697"/>
      <c r="BT345" s="697"/>
      <c r="BU345" s="697"/>
      <c r="BV345" s="697"/>
      <c r="BW345" s="697"/>
      <c r="BX345" s="697"/>
      <c r="BY345" s="697"/>
      <c r="BZ345" s="697"/>
      <c r="CA345" s="697"/>
      <c r="CB345" s="697"/>
      <c r="CC345" s="697"/>
      <c r="CD345" s="697"/>
      <c r="CE345" s="697"/>
      <c r="CF345" s="697"/>
      <c r="CG345" s="697"/>
      <c r="CH345" s="697"/>
      <c r="CI345" s="697"/>
      <c r="CJ345" s="697"/>
      <c r="CK345" s="697"/>
      <c r="CL345" s="697"/>
      <c r="CM345" s="697"/>
      <c r="CN345" s="697"/>
      <c r="CO345" s="697"/>
      <c r="CP345" s="697"/>
      <c r="CQ345" s="697"/>
      <c r="CR345" s="697"/>
      <c r="CS345" s="697"/>
      <c r="CT345" s="697"/>
      <c r="CU345" s="697"/>
      <c r="CV345" s="697"/>
      <c r="CW345" s="697"/>
      <c r="CX345" s="697"/>
      <c r="CY345" s="697"/>
      <c r="CZ345" s="697"/>
      <c r="DA345" s="697"/>
    </row>
    <row r="346" spans="1:105" hidden="1" outlineLevel="1" x14ac:dyDescent="0.2">
      <c r="A346" s="709">
        <f t="shared" si="71"/>
        <v>38899</v>
      </c>
      <c r="B346" s="709" t="str">
        <f t="shared" si="68"/>
        <v>3Q06</v>
      </c>
      <c r="C346" s="709" t="str">
        <f t="shared" si="72"/>
        <v>3Q06</v>
      </c>
      <c r="D346" s="710">
        <f t="shared" si="74"/>
        <v>38975</v>
      </c>
      <c r="E346" s="710">
        <f t="shared" si="74"/>
        <v>38915</v>
      </c>
      <c r="F346" s="712">
        <v>2.9260000000000002</v>
      </c>
      <c r="G346" s="713">
        <f t="shared" si="69"/>
        <v>0.36000000000000015</v>
      </c>
      <c r="H346" s="713">
        <f t="shared" si="70"/>
        <v>0.36000000000000015</v>
      </c>
      <c r="I346" s="697"/>
      <c r="J346" s="697"/>
      <c r="K346" s="697"/>
      <c r="L346" s="697"/>
      <c r="M346" s="697"/>
      <c r="N346" s="697"/>
      <c r="O346" s="697"/>
      <c r="P346" s="697"/>
      <c r="Q346" s="697"/>
      <c r="R346" s="697"/>
      <c r="S346" s="697"/>
      <c r="T346" s="697"/>
      <c r="U346" s="697"/>
      <c r="V346" s="697"/>
      <c r="W346" s="697"/>
      <c r="X346" s="697"/>
      <c r="Y346" s="697"/>
      <c r="Z346" s="697"/>
      <c r="AA346" s="697"/>
      <c r="AB346" s="697"/>
      <c r="AC346" s="697"/>
      <c r="AD346" s="697"/>
      <c r="AE346" s="697"/>
      <c r="AF346" s="697"/>
      <c r="AG346" s="697"/>
      <c r="AH346" s="697"/>
      <c r="AI346" s="697"/>
      <c r="AJ346" s="697"/>
      <c r="AK346" s="697"/>
      <c r="AL346" s="697"/>
      <c r="AM346" s="697"/>
      <c r="AN346" s="697"/>
      <c r="AO346" s="697"/>
      <c r="AP346" s="697"/>
      <c r="AQ346" s="697"/>
      <c r="AR346" s="697"/>
      <c r="AS346" s="697"/>
      <c r="AT346" s="697"/>
      <c r="AU346" s="697"/>
      <c r="AV346" s="697"/>
      <c r="AW346" s="697"/>
      <c r="AX346" s="697"/>
      <c r="AY346" s="697"/>
      <c r="AZ346" s="697"/>
      <c r="BA346" s="697"/>
      <c r="BB346" s="697"/>
      <c r="BC346" s="697"/>
      <c r="BD346" s="697"/>
      <c r="BE346" s="697"/>
      <c r="BF346" s="697"/>
      <c r="BG346" s="697"/>
      <c r="BH346" s="697"/>
      <c r="BI346" s="697"/>
      <c r="BJ346" s="697"/>
      <c r="BK346" s="697"/>
      <c r="BL346" s="697"/>
      <c r="BM346" s="697"/>
      <c r="BN346" s="697"/>
      <c r="BO346" s="697"/>
      <c r="BP346" s="697"/>
      <c r="BQ346" s="697"/>
      <c r="BR346" s="697"/>
      <c r="BS346" s="697"/>
      <c r="BT346" s="697"/>
      <c r="BU346" s="697"/>
      <c r="BV346" s="697"/>
      <c r="BW346" s="697"/>
      <c r="BX346" s="697"/>
      <c r="BY346" s="697"/>
      <c r="BZ346" s="697"/>
      <c r="CA346" s="697"/>
      <c r="CB346" s="697"/>
      <c r="CC346" s="697"/>
      <c r="CD346" s="697"/>
      <c r="CE346" s="697"/>
      <c r="CF346" s="697"/>
      <c r="CG346" s="697"/>
      <c r="CH346" s="697"/>
      <c r="CI346" s="697"/>
      <c r="CJ346" s="697"/>
      <c r="CK346" s="697"/>
      <c r="CL346" s="697"/>
      <c r="CM346" s="697"/>
      <c r="CN346" s="697"/>
      <c r="CO346" s="697"/>
      <c r="CP346" s="697"/>
      <c r="CQ346" s="697"/>
      <c r="CR346" s="697"/>
      <c r="CS346" s="697"/>
      <c r="CT346" s="697"/>
      <c r="CU346" s="697"/>
      <c r="CV346" s="697"/>
      <c r="CW346" s="697"/>
      <c r="CX346" s="697"/>
      <c r="CY346" s="697"/>
      <c r="CZ346" s="697"/>
      <c r="DA346" s="697"/>
    </row>
    <row r="347" spans="1:105" hidden="1" outlineLevel="1" x14ac:dyDescent="0.2">
      <c r="A347" s="709">
        <f t="shared" si="71"/>
        <v>38899</v>
      </c>
      <c r="B347" s="709" t="str">
        <f t="shared" si="68"/>
        <v>3Q06</v>
      </c>
      <c r="C347" s="709" t="str">
        <f t="shared" si="72"/>
        <v>3Q06</v>
      </c>
      <c r="D347" s="710">
        <f t="shared" si="74"/>
        <v>38982</v>
      </c>
      <c r="E347" s="710">
        <f t="shared" si="74"/>
        <v>38922</v>
      </c>
      <c r="F347" s="712">
        <v>2.9460000000000002</v>
      </c>
      <c r="G347" s="713">
        <f t="shared" si="69"/>
        <v>0.36000000000000015</v>
      </c>
      <c r="H347" s="713">
        <f t="shared" si="70"/>
        <v>0.37000000000000016</v>
      </c>
      <c r="I347" s="697"/>
      <c r="J347" s="697"/>
      <c r="K347" s="697"/>
      <c r="L347" s="697"/>
      <c r="M347" s="697"/>
      <c r="N347" s="697"/>
      <c r="O347" s="697"/>
      <c r="P347" s="697"/>
      <c r="Q347" s="697"/>
      <c r="R347" s="697"/>
      <c r="S347" s="697"/>
      <c r="T347" s="697"/>
      <c r="U347" s="697"/>
      <c r="V347" s="697"/>
      <c r="W347" s="697"/>
      <c r="X347" s="697"/>
      <c r="Y347" s="697"/>
      <c r="Z347" s="697"/>
      <c r="AA347" s="697"/>
      <c r="AB347" s="697"/>
      <c r="AC347" s="697"/>
      <c r="AD347" s="697"/>
      <c r="AE347" s="697"/>
      <c r="AF347" s="697"/>
      <c r="AG347" s="697"/>
      <c r="AH347" s="697"/>
      <c r="AI347" s="697"/>
      <c r="AJ347" s="697"/>
      <c r="AK347" s="697"/>
      <c r="AL347" s="697"/>
      <c r="AM347" s="697"/>
      <c r="AN347" s="697"/>
      <c r="AO347" s="697"/>
      <c r="AP347" s="697"/>
      <c r="AQ347" s="697"/>
      <c r="AR347" s="697"/>
      <c r="AS347" s="697"/>
      <c r="AT347" s="697"/>
      <c r="AU347" s="697"/>
      <c r="AV347" s="697"/>
      <c r="AW347" s="697"/>
      <c r="AX347" s="697"/>
      <c r="AY347" s="697"/>
      <c r="AZ347" s="697"/>
      <c r="BA347" s="697"/>
      <c r="BB347" s="697"/>
      <c r="BC347" s="697"/>
      <c r="BD347" s="697"/>
      <c r="BE347" s="697"/>
      <c r="BF347" s="697"/>
      <c r="BG347" s="697"/>
      <c r="BH347" s="697"/>
      <c r="BI347" s="697"/>
      <c r="BJ347" s="697"/>
      <c r="BK347" s="697"/>
      <c r="BL347" s="697"/>
      <c r="BM347" s="697"/>
      <c r="BN347" s="697"/>
      <c r="BO347" s="697"/>
      <c r="BP347" s="697"/>
      <c r="BQ347" s="697"/>
      <c r="BR347" s="697"/>
      <c r="BS347" s="697"/>
      <c r="BT347" s="697"/>
      <c r="BU347" s="697"/>
      <c r="BV347" s="697"/>
      <c r="BW347" s="697"/>
      <c r="BX347" s="697"/>
      <c r="BY347" s="697"/>
      <c r="BZ347" s="697"/>
      <c r="CA347" s="697"/>
      <c r="CB347" s="697"/>
      <c r="CC347" s="697"/>
      <c r="CD347" s="697"/>
      <c r="CE347" s="697"/>
      <c r="CF347" s="697"/>
      <c r="CG347" s="697"/>
      <c r="CH347" s="697"/>
      <c r="CI347" s="697"/>
      <c r="CJ347" s="697"/>
      <c r="CK347" s="697"/>
      <c r="CL347" s="697"/>
      <c r="CM347" s="697"/>
      <c r="CN347" s="697"/>
      <c r="CO347" s="697"/>
      <c r="CP347" s="697"/>
      <c r="CQ347" s="697"/>
      <c r="CR347" s="697"/>
      <c r="CS347" s="697"/>
      <c r="CT347" s="697"/>
      <c r="CU347" s="697"/>
      <c r="CV347" s="697"/>
      <c r="CW347" s="697"/>
      <c r="CX347" s="697"/>
      <c r="CY347" s="697"/>
      <c r="CZ347" s="697"/>
      <c r="DA347" s="697"/>
    </row>
    <row r="348" spans="1:105" hidden="1" outlineLevel="1" x14ac:dyDescent="0.2">
      <c r="A348" s="709">
        <f t="shared" si="71"/>
        <v>38899</v>
      </c>
      <c r="B348" s="709" t="str">
        <f t="shared" si="68"/>
        <v>3Q06</v>
      </c>
      <c r="C348" s="709" t="str">
        <f t="shared" si="72"/>
        <v>3Q06</v>
      </c>
      <c r="D348" s="710">
        <f t="shared" si="74"/>
        <v>38989</v>
      </c>
      <c r="E348" s="710">
        <f t="shared" si="74"/>
        <v>38929</v>
      </c>
      <c r="F348" s="712">
        <v>2.98</v>
      </c>
      <c r="G348" s="713">
        <f t="shared" si="69"/>
        <v>0.37000000000000016</v>
      </c>
      <c r="H348" s="713">
        <f t="shared" si="70"/>
        <v>0.39000000000000018</v>
      </c>
      <c r="I348" s="697"/>
      <c r="J348" s="697"/>
      <c r="K348" s="697"/>
      <c r="L348" s="697"/>
      <c r="M348" s="697"/>
      <c r="N348" s="697"/>
      <c r="O348" s="697"/>
      <c r="P348" s="697"/>
      <c r="Q348" s="697"/>
      <c r="R348" s="697"/>
      <c r="S348" s="697"/>
      <c r="T348" s="697"/>
      <c r="U348" s="697"/>
      <c r="V348" s="697"/>
      <c r="W348" s="697"/>
      <c r="X348" s="697"/>
      <c r="Y348" s="697"/>
      <c r="Z348" s="697"/>
      <c r="AA348" s="697"/>
      <c r="AB348" s="697"/>
      <c r="AC348" s="697"/>
      <c r="AD348" s="697"/>
      <c r="AE348" s="697"/>
      <c r="AF348" s="697"/>
      <c r="AG348" s="697"/>
      <c r="AH348" s="697"/>
      <c r="AI348" s="697"/>
      <c r="AJ348" s="697"/>
      <c r="AK348" s="697"/>
      <c r="AL348" s="697"/>
      <c r="AM348" s="697"/>
      <c r="AN348" s="697"/>
      <c r="AO348" s="697"/>
      <c r="AP348" s="697"/>
      <c r="AQ348" s="697"/>
      <c r="AR348" s="697"/>
      <c r="AS348" s="697"/>
      <c r="AT348" s="697"/>
      <c r="AU348" s="697"/>
      <c r="AV348" s="697"/>
      <c r="AW348" s="697"/>
      <c r="AX348" s="697"/>
      <c r="AY348" s="697"/>
      <c r="AZ348" s="697"/>
      <c r="BA348" s="697"/>
      <c r="BB348" s="697"/>
      <c r="BC348" s="697"/>
      <c r="BD348" s="697"/>
      <c r="BE348" s="697"/>
      <c r="BF348" s="697"/>
      <c r="BG348" s="697"/>
      <c r="BH348" s="697"/>
      <c r="BI348" s="697"/>
      <c r="BJ348" s="697"/>
      <c r="BK348" s="697"/>
      <c r="BL348" s="697"/>
      <c r="BM348" s="697"/>
      <c r="BN348" s="697"/>
      <c r="BO348" s="697"/>
      <c r="BP348" s="697"/>
      <c r="BQ348" s="697"/>
      <c r="BR348" s="697"/>
      <c r="BS348" s="697"/>
      <c r="BT348" s="697"/>
      <c r="BU348" s="697"/>
      <c r="BV348" s="697"/>
      <c r="BW348" s="697"/>
      <c r="BX348" s="697"/>
      <c r="BY348" s="697"/>
      <c r="BZ348" s="697"/>
      <c r="CA348" s="697"/>
      <c r="CB348" s="697"/>
      <c r="CC348" s="697"/>
      <c r="CD348" s="697"/>
      <c r="CE348" s="697"/>
      <c r="CF348" s="697"/>
      <c r="CG348" s="697"/>
      <c r="CH348" s="697"/>
      <c r="CI348" s="697"/>
      <c r="CJ348" s="697"/>
      <c r="CK348" s="697"/>
      <c r="CL348" s="697"/>
      <c r="CM348" s="697"/>
      <c r="CN348" s="697"/>
      <c r="CO348" s="697"/>
      <c r="CP348" s="697"/>
      <c r="CQ348" s="697"/>
      <c r="CR348" s="697"/>
      <c r="CS348" s="697"/>
      <c r="CT348" s="697"/>
      <c r="CU348" s="697"/>
      <c r="CV348" s="697"/>
      <c r="CW348" s="697"/>
      <c r="CX348" s="697"/>
      <c r="CY348" s="697"/>
      <c r="CZ348" s="697"/>
      <c r="DA348" s="697"/>
    </row>
    <row r="349" spans="1:105" hidden="1" outlineLevel="1" x14ac:dyDescent="0.2">
      <c r="A349" s="709">
        <f t="shared" si="71"/>
        <v>38930</v>
      </c>
      <c r="B349" s="709" t="str">
        <f t="shared" si="68"/>
        <v>3Q06</v>
      </c>
      <c r="C349" s="709" t="str">
        <f t="shared" si="72"/>
        <v>4Q06</v>
      </c>
      <c r="D349" s="710">
        <f t="shared" si="74"/>
        <v>38996</v>
      </c>
      <c r="E349" s="710">
        <f t="shared" si="74"/>
        <v>38936</v>
      </c>
      <c r="F349" s="712">
        <v>3.0550000000000002</v>
      </c>
      <c r="G349" s="713">
        <f t="shared" si="69"/>
        <v>0.39000000000000018</v>
      </c>
      <c r="H349" s="713">
        <f t="shared" si="70"/>
        <v>0.39000000000000018</v>
      </c>
      <c r="I349" s="697"/>
      <c r="J349" s="697"/>
      <c r="K349" s="697"/>
      <c r="L349" s="697"/>
      <c r="M349" s="697"/>
      <c r="N349" s="697"/>
      <c r="O349" s="697"/>
      <c r="P349" s="697"/>
      <c r="Q349" s="697"/>
      <c r="R349" s="697"/>
      <c r="S349" s="697"/>
      <c r="T349" s="697"/>
      <c r="U349" s="697"/>
      <c r="V349" s="697"/>
      <c r="W349" s="697"/>
      <c r="X349" s="697"/>
      <c r="Y349" s="697"/>
      <c r="Z349" s="697"/>
      <c r="AA349" s="697"/>
      <c r="AB349" s="697"/>
      <c r="AC349" s="697"/>
      <c r="AD349" s="697"/>
      <c r="AE349" s="697"/>
      <c r="AF349" s="697"/>
      <c r="AG349" s="697"/>
      <c r="AH349" s="697"/>
      <c r="AI349" s="697"/>
      <c r="AJ349" s="697"/>
      <c r="AK349" s="697"/>
      <c r="AL349" s="697"/>
      <c r="AM349" s="697"/>
      <c r="AN349" s="697"/>
      <c r="AO349" s="697"/>
      <c r="AP349" s="697"/>
      <c r="AQ349" s="697"/>
      <c r="AR349" s="697"/>
      <c r="AS349" s="697"/>
      <c r="AT349" s="697"/>
      <c r="AU349" s="697"/>
      <c r="AV349" s="697"/>
      <c r="AW349" s="697"/>
      <c r="AX349" s="697"/>
      <c r="AY349" s="697"/>
      <c r="AZ349" s="697"/>
      <c r="BA349" s="697"/>
      <c r="BB349" s="697"/>
      <c r="BC349" s="697"/>
      <c r="BD349" s="697"/>
      <c r="BE349" s="697"/>
      <c r="BF349" s="697"/>
      <c r="BG349" s="697"/>
      <c r="BH349" s="697"/>
      <c r="BI349" s="697"/>
      <c r="BJ349" s="697"/>
      <c r="BK349" s="697"/>
      <c r="BL349" s="697"/>
      <c r="BM349" s="697"/>
      <c r="BN349" s="697"/>
      <c r="BO349" s="697"/>
      <c r="BP349" s="697"/>
      <c r="BQ349" s="697"/>
      <c r="BR349" s="697"/>
      <c r="BS349" s="697"/>
      <c r="BT349" s="697"/>
      <c r="BU349" s="697"/>
      <c r="BV349" s="697"/>
      <c r="BW349" s="697"/>
      <c r="BX349" s="697"/>
      <c r="BY349" s="697"/>
      <c r="BZ349" s="697"/>
      <c r="CA349" s="697"/>
      <c r="CB349" s="697"/>
      <c r="CC349" s="697"/>
      <c r="CD349" s="697"/>
      <c r="CE349" s="697"/>
      <c r="CF349" s="697"/>
      <c r="CG349" s="697"/>
      <c r="CH349" s="697"/>
      <c r="CI349" s="697"/>
      <c r="CJ349" s="697"/>
      <c r="CK349" s="697"/>
      <c r="CL349" s="697"/>
      <c r="CM349" s="697"/>
      <c r="CN349" s="697"/>
      <c r="CO349" s="697"/>
      <c r="CP349" s="697"/>
      <c r="CQ349" s="697"/>
      <c r="CR349" s="697"/>
      <c r="CS349" s="697"/>
      <c r="CT349" s="697"/>
      <c r="CU349" s="697"/>
      <c r="CV349" s="697"/>
      <c r="CW349" s="697"/>
      <c r="CX349" s="697"/>
      <c r="CY349" s="697"/>
      <c r="CZ349" s="697"/>
      <c r="DA349" s="697"/>
    </row>
    <row r="350" spans="1:105" hidden="1" outlineLevel="1" x14ac:dyDescent="0.2">
      <c r="A350" s="709">
        <f t="shared" si="71"/>
        <v>38930</v>
      </c>
      <c r="B350" s="709" t="str">
        <f t="shared" si="68"/>
        <v>3Q06</v>
      </c>
      <c r="C350" s="709" t="str">
        <f t="shared" si="72"/>
        <v>4Q06</v>
      </c>
      <c r="D350" s="710">
        <f t="shared" si="74"/>
        <v>39003</v>
      </c>
      <c r="E350" s="710">
        <f t="shared" si="74"/>
        <v>38943</v>
      </c>
      <c r="F350" s="712">
        <v>3.0649999999999999</v>
      </c>
      <c r="G350" s="713">
        <f t="shared" si="69"/>
        <v>0.39000000000000018</v>
      </c>
      <c r="H350" s="713">
        <f t="shared" si="70"/>
        <v>0.38000000000000017</v>
      </c>
      <c r="I350" s="697"/>
      <c r="J350" s="697"/>
      <c r="K350" s="697"/>
      <c r="L350" s="697"/>
      <c r="M350" s="697"/>
      <c r="N350" s="697"/>
      <c r="O350" s="697"/>
      <c r="P350" s="697"/>
      <c r="Q350" s="697"/>
      <c r="R350" s="697"/>
      <c r="S350" s="697"/>
      <c r="T350" s="697"/>
      <c r="U350" s="697"/>
      <c r="V350" s="697"/>
      <c r="W350" s="697"/>
      <c r="X350" s="697"/>
      <c r="Y350" s="697"/>
      <c r="Z350" s="697"/>
      <c r="AA350" s="697"/>
      <c r="AB350" s="697"/>
      <c r="AC350" s="697"/>
      <c r="AD350" s="697"/>
      <c r="AE350" s="697"/>
      <c r="AF350" s="697"/>
      <c r="AG350" s="697"/>
      <c r="AH350" s="697"/>
      <c r="AI350" s="697"/>
      <c r="AJ350" s="697"/>
      <c r="AK350" s="697"/>
      <c r="AL350" s="697"/>
      <c r="AM350" s="697"/>
      <c r="AN350" s="697"/>
      <c r="AO350" s="697"/>
      <c r="AP350" s="697"/>
      <c r="AQ350" s="697"/>
      <c r="AR350" s="697"/>
      <c r="AS350" s="697"/>
      <c r="AT350" s="697"/>
      <c r="AU350" s="697"/>
      <c r="AV350" s="697"/>
      <c r="AW350" s="697"/>
      <c r="AX350" s="697"/>
      <c r="AY350" s="697"/>
      <c r="AZ350" s="697"/>
      <c r="BA350" s="697"/>
      <c r="BB350" s="697"/>
      <c r="BC350" s="697"/>
      <c r="BD350" s="697"/>
      <c r="BE350" s="697"/>
      <c r="BF350" s="697"/>
      <c r="BG350" s="697"/>
      <c r="BH350" s="697"/>
      <c r="BI350" s="697"/>
      <c r="BJ350" s="697"/>
      <c r="BK350" s="697"/>
      <c r="BL350" s="697"/>
      <c r="BM350" s="697"/>
      <c r="BN350" s="697"/>
      <c r="BO350" s="697"/>
      <c r="BP350" s="697"/>
      <c r="BQ350" s="697"/>
      <c r="BR350" s="697"/>
      <c r="BS350" s="697"/>
      <c r="BT350" s="697"/>
      <c r="BU350" s="697"/>
      <c r="BV350" s="697"/>
      <c r="BW350" s="697"/>
      <c r="BX350" s="697"/>
      <c r="BY350" s="697"/>
      <c r="BZ350" s="697"/>
      <c r="CA350" s="697"/>
      <c r="CB350" s="697"/>
      <c r="CC350" s="697"/>
      <c r="CD350" s="697"/>
      <c r="CE350" s="697"/>
      <c r="CF350" s="697"/>
      <c r="CG350" s="697"/>
      <c r="CH350" s="697"/>
      <c r="CI350" s="697"/>
      <c r="CJ350" s="697"/>
      <c r="CK350" s="697"/>
      <c r="CL350" s="697"/>
      <c r="CM350" s="697"/>
      <c r="CN350" s="697"/>
      <c r="CO350" s="697"/>
      <c r="CP350" s="697"/>
      <c r="CQ350" s="697"/>
      <c r="CR350" s="697"/>
      <c r="CS350" s="697"/>
      <c r="CT350" s="697"/>
      <c r="CU350" s="697"/>
      <c r="CV350" s="697"/>
      <c r="CW350" s="697"/>
      <c r="CX350" s="697"/>
      <c r="CY350" s="697"/>
      <c r="CZ350" s="697"/>
      <c r="DA350" s="697"/>
    </row>
    <row r="351" spans="1:105" hidden="1" outlineLevel="1" x14ac:dyDescent="0.2">
      <c r="A351" s="709">
        <f t="shared" si="71"/>
        <v>38930</v>
      </c>
      <c r="B351" s="709" t="str">
        <f t="shared" si="68"/>
        <v>3Q06</v>
      </c>
      <c r="C351" s="709" t="str">
        <f t="shared" si="72"/>
        <v>4Q06</v>
      </c>
      <c r="D351" s="710">
        <f t="shared" si="74"/>
        <v>39010</v>
      </c>
      <c r="E351" s="710">
        <f t="shared" si="74"/>
        <v>38950</v>
      </c>
      <c r="F351" s="712">
        <v>3.0329999999999999</v>
      </c>
      <c r="G351" s="713">
        <f t="shared" si="69"/>
        <v>0.38000000000000017</v>
      </c>
      <c r="H351" s="713">
        <f t="shared" si="70"/>
        <v>0.38000000000000017</v>
      </c>
      <c r="I351" s="697"/>
      <c r="J351" s="697"/>
      <c r="K351" s="697"/>
      <c r="L351" s="697"/>
      <c r="M351" s="697"/>
      <c r="N351" s="697"/>
      <c r="O351" s="697"/>
      <c r="P351" s="697"/>
      <c r="Q351" s="697"/>
      <c r="R351" s="697"/>
      <c r="S351" s="697"/>
      <c r="T351" s="697"/>
      <c r="U351" s="697"/>
      <c r="V351" s="697"/>
      <c r="W351" s="697"/>
      <c r="X351" s="697"/>
      <c r="Y351" s="697"/>
      <c r="Z351" s="697"/>
      <c r="AA351" s="697"/>
      <c r="AB351" s="697"/>
      <c r="AC351" s="697"/>
      <c r="AD351" s="697"/>
      <c r="AE351" s="697"/>
      <c r="AF351" s="697"/>
      <c r="AG351" s="697"/>
      <c r="AH351" s="697"/>
      <c r="AI351" s="697"/>
      <c r="AJ351" s="697"/>
      <c r="AK351" s="697"/>
      <c r="AL351" s="697"/>
      <c r="AM351" s="697"/>
      <c r="AN351" s="697"/>
      <c r="AO351" s="697"/>
      <c r="AP351" s="697"/>
      <c r="AQ351" s="697"/>
      <c r="AR351" s="697"/>
      <c r="AS351" s="697"/>
      <c r="AT351" s="697"/>
      <c r="AU351" s="697"/>
      <c r="AV351" s="697"/>
      <c r="AW351" s="697"/>
      <c r="AX351" s="697"/>
      <c r="AY351" s="697"/>
      <c r="AZ351" s="697"/>
      <c r="BA351" s="697"/>
      <c r="BB351" s="697"/>
      <c r="BC351" s="697"/>
      <c r="BD351" s="697"/>
      <c r="BE351" s="697"/>
      <c r="BF351" s="697"/>
      <c r="BG351" s="697"/>
      <c r="BH351" s="697"/>
      <c r="BI351" s="697"/>
      <c r="BJ351" s="697"/>
      <c r="BK351" s="697"/>
      <c r="BL351" s="697"/>
      <c r="BM351" s="697"/>
      <c r="BN351" s="697"/>
      <c r="BO351" s="697"/>
      <c r="BP351" s="697"/>
      <c r="BQ351" s="697"/>
      <c r="BR351" s="697"/>
      <c r="BS351" s="697"/>
      <c r="BT351" s="697"/>
      <c r="BU351" s="697"/>
      <c r="BV351" s="697"/>
      <c r="BW351" s="697"/>
      <c r="BX351" s="697"/>
      <c r="BY351" s="697"/>
      <c r="BZ351" s="697"/>
      <c r="CA351" s="697"/>
      <c r="CB351" s="697"/>
      <c r="CC351" s="697"/>
      <c r="CD351" s="697"/>
      <c r="CE351" s="697"/>
      <c r="CF351" s="697"/>
      <c r="CG351" s="697"/>
      <c r="CH351" s="697"/>
      <c r="CI351" s="697"/>
      <c r="CJ351" s="697"/>
      <c r="CK351" s="697"/>
      <c r="CL351" s="697"/>
      <c r="CM351" s="697"/>
      <c r="CN351" s="697"/>
      <c r="CO351" s="697"/>
      <c r="CP351" s="697"/>
      <c r="CQ351" s="697"/>
      <c r="CR351" s="697"/>
      <c r="CS351" s="697"/>
      <c r="CT351" s="697"/>
      <c r="CU351" s="697"/>
      <c r="CV351" s="697"/>
      <c r="CW351" s="697"/>
      <c r="CX351" s="697"/>
      <c r="CY351" s="697"/>
      <c r="CZ351" s="697"/>
      <c r="DA351" s="697"/>
    </row>
    <row r="352" spans="1:105" hidden="1" outlineLevel="1" x14ac:dyDescent="0.2">
      <c r="A352" s="709">
        <f t="shared" si="71"/>
        <v>38930</v>
      </c>
      <c r="B352" s="709" t="str">
        <f t="shared" si="68"/>
        <v>3Q06</v>
      </c>
      <c r="C352" s="709" t="str">
        <f t="shared" si="72"/>
        <v>4Q06</v>
      </c>
      <c r="D352" s="710">
        <f t="shared" si="74"/>
        <v>39017</v>
      </c>
      <c r="E352" s="710">
        <f t="shared" si="74"/>
        <v>38957</v>
      </c>
      <c r="F352" s="712">
        <v>3.0270000000000001</v>
      </c>
      <c r="G352" s="713">
        <f t="shared" si="69"/>
        <v>0.38000000000000017</v>
      </c>
      <c r="H352" s="713">
        <f t="shared" si="70"/>
        <v>0.37000000000000016</v>
      </c>
      <c r="I352" s="697"/>
      <c r="J352" s="697"/>
      <c r="K352" s="697"/>
      <c r="L352" s="697"/>
      <c r="M352" s="697"/>
      <c r="N352" s="697"/>
      <c r="O352" s="697"/>
      <c r="P352" s="697"/>
      <c r="Q352" s="697"/>
      <c r="R352" s="697"/>
      <c r="S352" s="697"/>
      <c r="T352" s="697"/>
      <c r="U352" s="697"/>
      <c r="V352" s="697"/>
      <c r="W352" s="697"/>
      <c r="X352" s="697"/>
      <c r="Y352" s="697"/>
      <c r="Z352" s="697"/>
      <c r="AA352" s="697"/>
      <c r="AB352" s="697"/>
      <c r="AC352" s="697"/>
      <c r="AD352" s="697"/>
      <c r="AE352" s="697"/>
      <c r="AF352" s="697"/>
      <c r="AG352" s="697"/>
      <c r="AH352" s="697"/>
      <c r="AI352" s="697"/>
      <c r="AJ352" s="697"/>
      <c r="AK352" s="697"/>
      <c r="AL352" s="697"/>
      <c r="AM352" s="697"/>
      <c r="AN352" s="697"/>
      <c r="AO352" s="697"/>
      <c r="AP352" s="697"/>
      <c r="AQ352" s="697"/>
      <c r="AR352" s="697"/>
      <c r="AS352" s="697"/>
      <c r="AT352" s="697"/>
      <c r="AU352" s="697"/>
      <c r="AV352" s="697"/>
      <c r="AW352" s="697"/>
      <c r="AX352" s="697"/>
      <c r="AY352" s="697"/>
      <c r="AZ352" s="697"/>
      <c r="BA352" s="697"/>
      <c r="BB352" s="697"/>
      <c r="BC352" s="697"/>
      <c r="BD352" s="697"/>
      <c r="BE352" s="697"/>
      <c r="BF352" s="697"/>
      <c r="BG352" s="697"/>
      <c r="BH352" s="697"/>
      <c r="BI352" s="697"/>
      <c r="BJ352" s="697"/>
      <c r="BK352" s="697"/>
      <c r="BL352" s="697"/>
      <c r="BM352" s="697"/>
      <c r="BN352" s="697"/>
      <c r="BO352" s="697"/>
      <c r="BP352" s="697"/>
      <c r="BQ352" s="697"/>
      <c r="BR352" s="697"/>
      <c r="BS352" s="697"/>
      <c r="BT352" s="697"/>
      <c r="BU352" s="697"/>
      <c r="BV352" s="697"/>
      <c r="BW352" s="697"/>
      <c r="BX352" s="697"/>
      <c r="BY352" s="697"/>
      <c r="BZ352" s="697"/>
      <c r="CA352" s="697"/>
      <c r="CB352" s="697"/>
      <c r="CC352" s="697"/>
      <c r="CD352" s="697"/>
      <c r="CE352" s="697"/>
      <c r="CF352" s="697"/>
      <c r="CG352" s="697"/>
      <c r="CH352" s="697"/>
      <c r="CI352" s="697"/>
      <c r="CJ352" s="697"/>
      <c r="CK352" s="697"/>
      <c r="CL352" s="697"/>
      <c r="CM352" s="697"/>
      <c r="CN352" s="697"/>
      <c r="CO352" s="697"/>
      <c r="CP352" s="697"/>
      <c r="CQ352" s="697"/>
      <c r="CR352" s="697"/>
      <c r="CS352" s="697"/>
      <c r="CT352" s="697"/>
      <c r="CU352" s="697"/>
      <c r="CV352" s="697"/>
      <c r="CW352" s="697"/>
      <c r="CX352" s="697"/>
      <c r="CY352" s="697"/>
      <c r="CZ352" s="697"/>
      <c r="DA352" s="697"/>
    </row>
    <row r="353" spans="1:105" hidden="1" outlineLevel="1" x14ac:dyDescent="0.2">
      <c r="A353" s="709">
        <f t="shared" si="71"/>
        <v>38961</v>
      </c>
      <c r="B353" s="709" t="str">
        <f t="shared" si="68"/>
        <v>3Q06</v>
      </c>
      <c r="C353" s="709" t="str">
        <f t="shared" si="72"/>
        <v>4Q06</v>
      </c>
      <c r="D353" s="710">
        <f t="shared" si="74"/>
        <v>39024</v>
      </c>
      <c r="E353" s="710">
        <f t="shared" si="74"/>
        <v>38964</v>
      </c>
      <c r="F353" s="712">
        <v>2.9670000000000001</v>
      </c>
      <c r="G353" s="713">
        <f t="shared" si="69"/>
        <v>0.37000000000000016</v>
      </c>
      <c r="H353" s="713">
        <f t="shared" si="70"/>
        <v>0.35000000000000014</v>
      </c>
      <c r="I353" s="697"/>
      <c r="J353" s="697"/>
      <c r="K353" s="697"/>
      <c r="L353" s="697"/>
      <c r="M353" s="697"/>
      <c r="N353" s="697"/>
      <c r="O353" s="697"/>
      <c r="P353" s="697"/>
      <c r="Q353" s="697"/>
      <c r="R353" s="697"/>
      <c r="S353" s="697"/>
      <c r="T353" s="697"/>
      <c r="U353" s="697"/>
      <c r="V353" s="697"/>
      <c r="W353" s="697"/>
      <c r="X353" s="697"/>
      <c r="Y353" s="697"/>
      <c r="Z353" s="697"/>
      <c r="AA353" s="697"/>
      <c r="AB353" s="697"/>
      <c r="AC353" s="697"/>
      <c r="AD353" s="697"/>
      <c r="AE353" s="697"/>
      <c r="AF353" s="697"/>
      <c r="AG353" s="697"/>
      <c r="AH353" s="697"/>
      <c r="AI353" s="697"/>
      <c r="AJ353" s="697"/>
      <c r="AK353" s="697"/>
      <c r="AL353" s="697"/>
      <c r="AM353" s="697"/>
      <c r="AN353" s="697"/>
      <c r="AO353" s="697"/>
      <c r="AP353" s="697"/>
      <c r="AQ353" s="697"/>
      <c r="AR353" s="697"/>
      <c r="AS353" s="697"/>
      <c r="AT353" s="697"/>
      <c r="AU353" s="697"/>
      <c r="AV353" s="697"/>
      <c r="AW353" s="697"/>
      <c r="AX353" s="697"/>
      <c r="AY353" s="697"/>
      <c r="AZ353" s="697"/>
      <c r="BA353" s="697"/>
      <c r="BB353" s="697"/>
      <c r="BC353" s="697"/>
      <c r="BD353" s="697"/>
      <c r="BE353" s="697"/>
      <c r="BF353" s="697"/>
      <c r="BG353" s="697"/>
      <c r="BH353" s="697"/>
      <c r="BI353" s="697"/>
      <c r="BJ353" s="697"/>
      <c r="BK353" s="697"/>
      <c r="BL353" s="697"/>
      <c r="BM353" s="697"/>
      <c r="BN353" s="697"/>
      <c r="BO353" s="697"/>
      <c r="BP353" s="697"/>
      <c r="BQ353" s="697"/>
      <c r="BR353" s="697"/>
      <c r="BS353" s="697"/>
      <c r="BT353" s="697"/>
      <c r="BU353" s="697"/>
      <c r="BV353" s="697"/>
      <c r="BW353" s="697"/>
      <c r="BX353" s="697"/>
      <c r="BY353" s="697"/>
      <c r="BZ353" s="697"/>
      <c r="CA353" s="697"/>
      <c r="CB353" s="697"/>
      <c r="CC353" s="697"/>
      <c r="CD353" s="697"/>
      <c r="CE353" s="697"/>
      <c r="CF353" s="697"/>
      <c r="CG353" s="697"/>
      <c r="CH353" s="697"/>
      <c r="CI353" s="697"/>
      <c r="CJ353" s="697"/>
      <c r="CK353" s="697"/>
      <c r="CL353" s="697"/>
      <c r="CM353" s="697"/>
      <c r="CN353" s="697"/>
      <c r="CO353" s="697"/>
      <c r="CP353" s="697"/>
      <c r="CQ353" s="697"/>
      <c r="CR353" s="697"/>
      <c r="CS353" s="697"/>
      <c r="CT353" s="697"/>
      <c r="CU353" s="697"/>
      <c r="CV353" s="697"/>
      <c r="CW353" s="697"/>
      <c r="CX353" s="697"/>
      <c r="CY353" s="697"/>
      <c r="CZ353" s="697"/>
      <c r="DA353" s="697"/>
    </row>
    <row r="354" spans="1:105" hidden="1" outlineLevel="1" x14ac:dyDescent="0.2">
      <c r="A354" s="709">
        <f t="shared" si="71"/>
        <v>38961</v>
      </c>
      <c r="B354" s="709" t="str">
        <f t="shared" si="68"/>
        <v>3Q06</v>
      </c>
      <c r="C354" s="709" t="str">
        <f t="shared" si="72"/>
        <v>4Q06</v>
      </c>
      <c r="D354" s="710">
        <f t="shared" si="74"/>
        <v>39031</v>
      </c>
      <c r="E354" s="710">
        <f t="shared" si="74"/>
        <v>38971</v>
      </c>
      <c r="F354" s="712">
        <v>2.8570000000000002</v>
      </c>
      <c r="G354" s="713">
        <f t="shared" si="69"/>
        <v>0.35000000000000014</v>
      </c>
      <c r="H354" s="713">
        <f t="shared" si="70"/>
        <v>0.32000000000000012</v>
      </c>
      <c r="I354" s="697"/>
      <c r="J354" s="697"/>
      <c r="K354" s="697"/>
      <c r="L354" s="697"/>
      <c r="M354" s="697"/>
      <c r="N354" s="697"/>
      <c r="O354" s="697"/>
      <c r="P354" s="697"/>
      <c r="Q354" s="697"/>
      <c r="R354" s="697"/>
      <c r="S354" s="697"/>
      <c r="T354" s="697"/>
      <c r="U354" s="697"/>
      <c r="V354" s="697"/>
      <c r="W354" s="697"/>
      <c r="X354" s="697"/>
      <c r="Y354" s="697"/>
      <c r="Z354" s="697"/>
      <c r="AA354" s="697"/>
      <c r="AB354" s="697"/>
      <c r="AC354" s="697"/>
      <c r="AD354" s="697"/>
      <c r="AE354" s="697"/>
      <c r="AF354" s="697"/>
      <c r="AG354" s="697"/>
      <c r="AH354" s="697"/>
      <c r="AI354" s="697"/>
      <c r="AJ354" s="697"/>
      <c r="AK354" s="697"/>
      <c r="AL354" s="697"/>
      <c r="AM354" s="697"/>
      <c r="AN354" s="697"/>
      <c r="AO354" s="697"/>
      <c r="AP354" s="697"/>
      <c r="AQ354" s="697"/>
      <c r="AR354" s="697"/>
      <c r="AS354" s="697"/>
      <c r="AT354" s="697"/>
      <c r="AU354" s="697"/>
      <c r="AV354" s="697"/>
      <c r="AW354" s="697"/>
      <c r="AX354" s="697"/>
      <c r="AY354" s="697"/>
      <c r="AZ354" s="697"/>
      <c r="BA354" s="697"/>
      <c r="BB354" s="697"/>
      <c r="BC354" s="697"/>
      <c r="BD354" s="697"/>
      <c r="BE354" s="697"/>
      <c r="BF354" s="697"/>
      <c r="BG354" s="697"/>
      <c r="BH354" s="697"/>
      <c r="BI354" s="697"/>
      <c r="BJ354" s="697"/>
      <c r="BK354" s="697"/>
      <c r="BL354" s="697"/>
      <c r="BM354" s="697"/>
      <c r="BN354" s="697"/>
      <c r="BO354" s="697"/>
      <c r="BP354" s="697"/>
      <c r="BQ354" s="697"/>
      <c r="BR354" s="697"/>
      <c r="BS354" s="697"/>
      <c r="BT354" s="697"/>
      <c r="BU354" s="697"/>
      <c r="BV354" s="697"/>
      <c r="BW354" s="697"/>
      <c r="BX354" s="697"/>
      <c r="BY354" s="697"/>
      <c r="BZ354" s="697"/>
      <c r="CA354" s="697"/>
      <c r="CB354" s="697"/>
      <c r="CC354" s="697"/>
      <c r="CD354" s="697"/>
      <c r="CE354" s="697"/>
      <c r="CF354" s="697"/>
      <c r="CG354" s="697"/>
      <c r="CH354" s="697"/>
      <c r="CI354" s="697"/>
      <c r="CJ354" s="697"/>
      <c r="CK354" s="697"/>
      <c r="CL354" s="697"/>
      <c r="CM354" s="697"/>
      <c r="CN354" s="697"/>
      <c r="CO354" s="697"/>
      <c r="CP354" s="697"/>
      <c r="CQ354" s="697"/>
      <c r="CR354" s="697"/>
      <c r="CS354" s="697"/>
      <c r="CT354" s="697"/>
      <c r="CU354" s="697"/>
      <c r="CV354" s="697"/>
      <c r="CW354" s="697"/>
      <c r="CX354" s="697"/>
      <c r="CY354" s="697"/>
      <c r="CZ354" s="697"/>
      <c r="DA354" s="697"/>
    </row>
    <row r="355" spans="1:105" hidden="1" outlineLevel="1" x14ac:dyDescent="0.2">
      <c r="A355" s="709">
        <f t="shared" si="71"/>
        <v>38961</v>
      </c>
      <c r="B355" s="709" t="str">
        <f t="shared" si="68"/>
        <v>3Q06</v>
      </c>
      <c r="C355" s="709" t="str">
        <f t="shared" si="72"/>
        <v>4Q06</v>
      </c>
      <c r="D355" s="710">
        <f t="shared" si="74"/>
        <v>39038</v>
      </c>
      <c r="E355" s="710">
        <f t="shared" si="74"/>
        <v>38978</v>
      </c>
      <c r="F355" s="712">
        <v>2.7130000000000001</v>
      </c>
      <c r="G355" s="713">
        <f t="shared" si="69"/>
        <v>0.32000000000000012</v>
      </c>
      <c r="H355" s="713">
        <f t="shared" si="70"/>
        <v>0.29000000000000009</v>
      </c>
      <c r="I355" s="697"/>
      <c r="J355" s="697"/>
      <c r="K355" s="697"/>
      <c r="L355" s="697"/>
      <c r="M355" s="697"/>
      <c r="N355" s="697"/>
      <c r="O355" s="697"/>
      <c r="P355" s="697"/>
      <c r="Q355" s="697"/>
      <c r="R355" s="697"/>
      <c r="S355" s="697"/>
      <c r="T355" s="697"/>
      <c r="U355" s="697"/>
      <c r="V355" s="697"/>
      <c r="W355" s="697"/>
      <c r="X355" s="697"/>
      <c r="Y355" s="697"/>
      <c r="Z355" s="697"/>
      <c r="AA355" s="697"/>
      <c r="AB355" s="697"/>
      <c r="AC355" s="697"/>
      <c r="AD355" s="697"/>
      <c r="AE355" s="697"/>
      <c r="AF355" s="697"/>
      <c r="AG355" s="697"/>
      <c r="AH355" s="697"/>
      <c r="AI355" s="697"/>
      <c r="AJ355" s="697"/>
      <c r="AK355" s="697"/>
      <c r="AL355" s="697"/>
      <c r="AM355" s="697"/>
      <c r="AN355" s="697"/>
      <c r="AO355" s="697"/>
      <c r="AP355" s="697"/>
      <c r="AQ355" s="697"/>
      <c r="AR355" s="697"/>
      <c r="AS355" s="697"/>
      <c r="AT355" s="697"/>
      <c r="AU355" s="697"/>
      <c r="AV355" s="697"/>
      <c r="AW355" s="697"/>
      <c r="AX355" s="697"/>
      <c r="AY355" s="697"/>
      <c r="AZ355" s="697"/>
      <c r="BA355" s="697"/>
      <c r="BB355" s="697"/>
      <c r="BC355" s="697"/>
      <c r="BD355" s="697"/>
      <c r="BE355" s="697"/>
      <c r="BF355" s="697"/>
      <c r="BG355" s="697"/>
      <c r="BH355" s="697"/>
      <c r="BI355" s="697"/>
      <c r="BJ355" s="697"/>
      <c r="BK355" s="697"/>
      <c r="BL355" s="697"/>
      <c r="BM355" s="697"/>
      <c r="BN355" s="697"/>
      <c r="BO355" s="697"/>
      <c r="BP355" s="697"/>
      <c r="BQ355" s="697"/>
      <c r="BR355" s="697"/>
      <c r="BS355" s="697"/>
      <c r="BT355" s="697"/>
      <c r="BU355" s="697"/>
      <c r="BV355" s="697"/>
      <c r="BW355" s="697"/>
      <c r="BX355" s="697"/>
      <c r="BY355" s="697"/>
      <c r="BZ355" s="697"/>
      <c r="CA355" s="697"/>
      <c r="CB355" s="697"/>
      <c r="CC355" s="697"/>
      <c r="CD355" s="697"/>
      <c r="CE355" s="697"/>
      <c r="CF355" s="697"/>
      <c r="CG355" s="697"/>
      <c r="CH355" s="697"/>
      <c r="CI355" s="697"/>
      <c r="CJ355" s="697"/>
      <c r="CK355" s="697"/>
      <c r="CL355" s="697"/>
      <c r="CM355" s="697"/>
      <c r="CN355" s="697"/>
      <c r="CO355" s="697"/>
      <c r="CP355" s="697"/>
      <c r="CQ355" s="697"/>
      <c r="CR355" s="697"/>
      <c r="CS355" s="697"/>
      <c r="CT355" s="697"/>
      <c r="CU355" s="697"/>
      <c r="CV355" s="697"/>
      <c r="CW355" s="697"/>
      <c r="CX355" s="697"/>
      <c r="CY355" s="697"/>
      <c r="CZ355" s="697"/>
      <c r="DA355" s="697"/>
    </row>
    <row r="356" spans="1:105" hidden="1" outlineLevel="1" x14ac:dyDescent="0.2">
      <c r="A356" s="709">
        <f t="shared" si="71"/>
        <v>38961</v>
      </c>
      <c r="B356" s="709" t="str">
        <f t="shared" si="68"/>
        <v>3Q06</v>
      </c>
      <c r="C356" s="709" t="str">
        <f t="shared" si="72"/>
        <v>4Q06</v>
      </c>
      <c r="D356" s="710">
        <f t="shared" si="74"/>
        <v>39045</v>
      </c>
      <c r="E356" s="710">
        <f t="shared" si="74"/>
        <v>38985</v>
      </c>
      <c r="F356" s="712">
        <v>2.5950000000000002</v>
      </c>
      <c r="G356" s="713">
        <f t="shared" si="69"/>
        <v>0.29000000000000009</v>
      </c>
      <c r="H356" s="713">
        <f t="shared" si="70"/>
        <v>0.28000000000000008</v>
      </c>
      <c r="I356" s="697"/>
      <c r="J356" s="697"/>
      <c r="K356" s="697"/>
      <c r="L356" s="697"/>
      <c r="M356" s="697"/>
      <c r="N356" s="697"/>
      <c r="O356" s="697"/>
      <c r="P356" s="697"/>
      <c r="Q356" s="697"/>
      <c r="R356" s="697"/>
      <c r="S356" s="697"/>
      <c r="T356" s="697"/>
      <c r="U356" s="697"/>
      <c r="V356" s="697"/>
      <c r="W356" s="697"/>
      <c r="X356" s="697"/>
      <c r="Y356" s="697"/>
      <c r="Z356" s="697"/>
      <c r="AA356" s="697"/>
      <c r="AB356" s="697"/>
      <c r="AC356" s="697"/>
      <c r="AD356" s="697"/>
      <c r="AE356" s="697"/>
      <c r="AF356" s="697"/>
      <c r="AG356" s="697"/>
      <c r="AH356" s="697"/>
      <c r="AI356" s="697"/>
      <c r="AJ356" s="697"/>
      <c r="AK356" s="697"/>
      <c r="AL356" s="697"/>
      <c r="AM356" s="697"/>
      <c r="AN356" s="697"/>
      <c r="AO356" s="697"/>
      <c r="AP356" s="697"/>
      <c r="AQ356" s="697"/>
      <c r="AR356" s="697"/>
      <c r="AS356" s="697"/>
      <c r="AT356" s="697"/>
      <c r="AU356" s="697"/>
      <c r="AV356" s="697"/>
      <c r="AW356" s="697"/>
      <c r="AX356" s="697"/>
      <c r="AY356" s="697"/>
      <c r="AZ356" s="697"/>
      <c r="BA356" s="697"/>
      <c r="BB356" s="697"/>
      <c r="BC356" s="697"/>
      <c r="BD356" s="697"/>
      <c r="BE356" s="697"/>
      <c r="BF356" s="697"/>
      <c r="BG356" s="697"/>
      <c r="BH356" s="697"/>
      <c r="BI356" s="697"/>
      <c r="BJ356" s="697"/>
      <c r="BK356" s="697"/>
      <c r="BL356" s="697"/>
      <c r="BM356" s="697"/>
      <c r="BN356" s="697"/>
      <c r="BO356" s="697"/>
      <c r="BP356" s="697"/>
      <c r="BQ356" s="697"/>
      <c r="BR356" s="697"/>
      <c r="BS356" s="697"/>
      <c r="BT356" s="697"/>
      <c r="BU356" s="697"/>
      <c r="BV356" s="697"/>
      <c r="BW356" s="697"/>
      <c r="BX356" s="697"/>
      <c r="BY356" s="697"/>
      <c r="BZ356" s="697"/>
      <c r="CA356" s="697"/>
      <c r="CB356" s="697"/>
      <c r="CC356" s="697"/>
      <c r="CD356" s="697"/>
      <c r="CE356" s="697"/>
      <c r="CF356" s="697"/>
      <c r="CG356" s="697"/>
      <c r="CH356" s="697"/>
      <c r="CI356" s="697"/>
      <c r="CJ356" s="697"/>
      <c r="CK356" s="697"/>
      <c r="CL356" s="697"/>
      <c r="CM356" s="697"/>
      <c r="CN356" s="697"/>
      <c r="CO356" s="697"/>
      <c r="CP356" s="697"/>
      <c r="CQ356" s="697"/>
      <c r="CR356" s="697"/>
      <c r="CS356" s="697"/>
      <c r="CT356" s="697"/>
      <c r="CU356" s="697"/>
      <c r="CV356" s="697"/>
      <c r="CW356" s="697"/>
      <c r="CX356" s="697"/>
      <c r="CY356" s="697"/>
      <c r="CZ356" s="697"/>
      <c r="DA356" s="697"/>
    </row>
    <row r="357" spans="1:105" hidden="1" outlineLevel="1" x14ac:dyDescent="0.2">
      <c r="A357" s="709">
        <f t="shared" si="71"/>
        <v>38991</v>
      </c>
      <c r="B357" s="709" t="str">
        <f t="shared" si="68"/>
        <v>4Q06</v>
      </c>
      <c r="C357" s="709" t="str">
        <f t="shared" si="72"/>
        <v>4Q06</v>
      </c>
      <c r="D357" s="710">
        <f t="shared" ref="D357:E372" si="75">D356+7</f>
        <v>39052</v>
      </c>
      <c r="E357" s="710">
        <f t="shared" si="75"/>
        <v>38992</v>
      </c>
      <c r="F357" s="712">
        <v>2.5459999999999998</v>
      </c>
      <c r="G357" s="713">
        <f t="shared" si="69"/>
        <v>0.28000000000000008</v>
      </c>
      <c r="H357" s="713">
        <f t="shared" si="70"/>
        <v>0.28000000000000008</v>
      </c>
      <c r="I357" s="697"/>
      <c r="J357" s="697"/>
      <c r="K357" s="697"/>
      <c r="L357" s="697"/>
      <c r="M357" s="697"/>
      <c r="N357" s="697"/>
      <c r="O357" s="697"/>
      <c r="P357" s="697"/>
      <c r="Q357" s="697"/>
      <c r="R357" s="697"/>
      <c r="S357" s="697"/>
      <c r="T357" s="697"/>
      <c r="U357" s="697"/>
      <c r="V357" s="697"/>
      <c r="W357" s="697"/>
      <c r="X357" s="697"/>
      <c r="Y357" s="697"/>
      <c r="Z357" s="697"/>
      <c r="AA357" s="697"/>
      <c r="AB357" s="697"/>
      <c r="AC357" s="697"/>
      <c r="AD357" s="697"/>
      <c r="AE357" s="697"/>
      <c r="AF357" s="697"/>
      <c r="AG357" s="697"/>
      <c r="AH357" s="697"/>
      <c r="AI357" s="697"/>
      <c r="AJ357" s="697"/>
      <c r="AK357" s="697"/>
      <c r="AL357" s="697"/>
      <c r="AM357" s="697"/>
      <c r="AN357" s="697"/>
      <c r="AO357" s="697"/>
      <c r="AP357" s="697"/>
      <c r="AQ357" s="697"/>
      <c r="AR357" s="697"/>
      <c r="AS357" s="697"/>
      <c r="AT357" s="697"/>
      <c r="AU357" s="697"/>
      <c r="AV357" s="697"/>
      <c r="AW357" s="697"/>
      <c r="AX357" s="697"/>
      <c r="AY357" s="697"/>
      <c r="AZ357" s="697"/>
      <c r="BA357" s="697"/>
      <c r="BB357" s="697"/>
      <c r="BC357" s="697"/>
      <c r="BD357" s="697"/>
      <c r="BE357" s="697"/>
      <c r="BF357" s="697"/>
      <c r="BG357" s="697"/>
      <c r="BH357" s="697"/>
      <c r="BI357" s="697"/>
      <c r="BJ357" s="697"/>
      <c r="BK357" s="697"/>
      <c r="BL357" s="697"/>
      <c r="BM357" s="697"/>
      <c r="BN357" s="697"/>
      <c r="BO357" s="697"/>
      <c r="BP357" s="697"/>
      <c r="BQ357" s="697"/>
      <c r="BR357" s="697"/>
      <c r="BS357" s="697"/>
      <c r="BT357" s="697"/>
      <c r="BU357" s="697"/>
      <c r="BV357" s="697"/>
      <c r="BW357" s="697"/>
      <c r="BX357" s="697"/>
      <c r="BY357" s="697"/>
      <c r="BZ357" s="697"/>
      <c r="CA357" s="697"/>
      <c r="CB357" s="697"/>
      <c r="CC357" s="697"/>
      <c r="CD357" s="697"/>
      <c r="CE357" s="697"/>
      <c r="CF357" s="697"/>
      <c r="CG357" s="697"/>
      <c r="CH357" s="697"/>
      <c r="CI357" s="697"/>
      <c r="CJ357" s="697"/>
      <c r="CK357" s="697"/>
      <c r="CL357" s="697"/>
      <c r="CM357" s="697"/>
      <c r="CN357" s="697"/>
      <c r="CO357" s="697"/>
      <c r="CP357" s="697"/>
      <c r="CQ357" s="697"/>
      <c r="CR357" s="697"/>
      <c r="CS357" s="697"/>
      <c r="CT357" s="697"/>
      <c r="CU357" s="697"/>
      <c r="CV357" s="697"/>
      <c r="CW357" s="697"/>
      <c r="CX357" s="697"/>
      <c r="CY357" s="697"/>
      <c r="CZ357" s="697"/>
      <c r="DA357" s="697"/>
    </row>
    <row r="358" spans="1:105" hidden="1" outlineLevel="1" x14ac:dyDescent="0.2">
      <c r="A358" s="709">
        <f t="shared" si="71"/>
        <v>38991</v>
      </c>
      <c r="B358" s="709" t="str">
        <f t="shared" si="68"/>
        <v>4Q06</v>
      </c>
      <c r="C358" s="709" t="str">
        <f t="shared" si="72"/>
        <v>4Q06</v>
      </c>
      <c r="D358" s="710">
        <f t="shared" si="75"/>
        <v>39059</v>
      </c>
      <c r="E358" s="710">
        <f t="shared" si="75"/>
        <v>38999</v>
      </c>
      <c r="F358" s="712">
        <v>2.5059999999999998</v>
      </c>
      <c r="G358" s="713">
        <f t="shared" si="69"/>
        <v>0.28000000000000008</v>
      </c>
      <c r="H358" s="713">
        <f t="shared" si="70"/>
        <v>0.28000000000000008</v>
      </c>
      <c r="I358" s="697"/>
      <c r="J358" s="697"/>
      <c r="K358" s="697"/>
      <c r="L358" s="697"/>
      <c r="M358" s="697"/>
      <c r="N358" s="697"/>
      <c r="O358" s="697"/>
      <c r="P358" s="697"/>
      <c r="Q358" s="697"/>
      <c r="R358" s="697"/>
      <c r="S358" s="697"/>
      <c r="T358" s="697"/>
      <c r="U358" s="697"/>
      <c r="V358" s="697"/>
      <c r="W358" s="697"/>
      <c r="X358" s="697"/>
      <c r="Y358" s="697"/>
      <c r="Z358" s="697"/>
      <c r="AA358" s="697"/>
      <c r="AB358" s="697"/>
      <c r="AC358" s="697"/>
      <c r="AD358" s="697"/>
      <c r="AE358" s="697"/>
      <c r="AF358" s="697"/>
      <c r="AG358" s="697"/>
      <c r="AH358" s="697"/>
      <c r="AI358" s="697"/>
      <c r="AJ358" s="697"/>
      <c r="AK358" s="697"/>
      <c r="AL358" s="697"/>
      <c r="AM358" s="697"/>
      <c r="AN358" s="697"/>
      <c r="AO358" s="697"/>
      <c r="AP358" s="697"/>
      <c r="AQ358" s="697"/>
      <c r="AR358" s="697"/>
      <c r="AS358" s="697"/>
      <c r="AT358" s="697"/>
      <c r="AU358" s="697"/>
      <c r="AV358" s="697"/>
      <c r="AW358" s="697"/>
      <c r="AX358" s="697"/>
      <c r="AY358" s="697"/>
      <c r="AZ358" s="697"/>
      <c r="BA358" s="697"/>
      <c r="BB358" s="697"/>
      <c r="BC358" s="697"/>
      <c r="BD358" s="697"/>
      <c r="BE358" s="697"/>
      <c r="BF358" s="697"/>
      <c r="BG358" s="697"/>
      <c r="BH358" s="697"/>
      <c r="BI358" s="697"/>
      <c r="BJ358" s="697"/>
      <c r="BK358" s="697"/>
      <c r="BL358" s="697"/>
      <c r="BM358" s="697"/>
      <c r="BN358" s="697"/>
      <c r="BO358" s="697"/>
      <c r="BP358" s="697"/>
      <c r="BQ358" s="697"/>
      <c r="BR358" s="697"/>
      <c r="BS358" s="697"/>
      <c r="BT358" s="697"/>
      <c r="BU358" s="697"/>
      <c r="BV358" s="697"/>
      <c r="BW358" s="697"/>
      <c r="BX358" s="697"/>
      <c r="BY358" s="697"/>
      <c r="BZ358" s="697"/>
      <c r="CA358" s="697"/>
      <c r="CB358" s="697"/>
      <c r="CC358" s="697"/>
      <c r="CD358" s="697"/>
      <c r="CE358" s="697"/>
      <c r="CF358" s="697"/>
      <c r="CG358" s="697"/>
      <c r="CH358" s="697"/>
      <c r="CI358" s="697"/>
      <c r="CJ358" s="697"/>
      <c r="CK358" s="697"/>
      <c r="CL358" s="697"/>
      <c r="CM358" s="697"/>
      <c r="CN358" s="697"/>
      <c r="CO358" s="697"/>
      <c r="CP358" s="697"/>
      <c r="CQ358" s="697"/>
      <c r="CR358" s="697"/>
      <c r="CS358" s="697"/>
      <c r="CT358" s="697"/>
      <c r="CU358" s="697"/>
      <c r="CV358" s="697"/>
      <c r="CW358" s="697"/>
      <c r="CX358" s="697"/>
      <c r="CY358" s="697"/>
      <c r="CZ358" s="697"/>
      <c r="DA358" s="697"/>
    </row>
    <row r="359" spans="1:105" hidden="1" outlineLevel="1" x14ac:dyDescent="0.2">
      <c r="A359" s="709">
        <f t="shared" si="71"/>
        <v>38991</v>
      </c>
      <c r="B359" s="709" t="str">
        <f t="shared" si="68"/>
        <v>4Q06</v>
      </c>
      <c r="C359" s="709" t="str">
        <f t="shared" si="72"/>
        <v>4Q06</v>
      </c>
      <c r="D359" s="710">
        <f t="shared" si="75"/>
        <v>39066</v>
      </c>
      <c r="E359" s="710">
        <f t="shared" si="75"/>
        <v>39006</v>
      </c>
      <c r="F359" s="712">
        <v>2.5030000000000001</v>
      </c>
      <c r="G359" s="713">
        <f t="shared" si="69"/>
        <v>0.28000000000000008</v>
      </c>
      <c r="H359" s="713">
        <f t="shared" si="70"/>
        <v>0.28000000000000008</v>
      </c>
      <c r="I359" s="697"/>
      <c r="J359" s="697"/>
      <c r="K359" s="697"/>
      <c r="L359" s="697"/>
      <c r="M359" s="697"/>
      <c r="N359" s="697"/>
      <c r="O359" s="697"/>
      <c r="P359" s="697"/>
      <c r="Q359" s="697"/>
      <c r="R359" s="697"/>
      <c r="S359" s="697"/>
      <c r="T359" s="697"/>
      <c r="U359" s="697"/>
      <c r="V359" s="697"/>
      <c r="W359" s="697"/>
      <c r="X359" s="697"/>
      <c r="Y359" s="697"/>
      <c r="Z359" s="697"/>
      <c r="AA359" s="697"/>
      <c r="AB359" s="697"/>
      <c r="AC359" s="697"/>
      <c r="AD359" s="697"/>
      <c r="AE359" s="697"/>
      <c r="AF359" s="697"/>
      <c r="AG359" s="697"/>
      <c r="AH359" s="697"/>
      <c r="AI359" s="697"/>
      <c r="AJ359" s="697"/>
      <c r="AK359" s="697"/>
      <c r="AL359" s="697"/>
      <c r="AM359" s="697"/>
      <c r="AN359" s="697"/>
      <c r="AO359" s="697"/>
      <c r="AP359" s="697"/>
      <c r="AQ359" s="697"/>
      <c r="AR359" s="697"/>
      <c r="AS359" s="697"/>
      <c r="AT359" s="697"/>
      <c r="AU359" s="697"/>
      <c r="AV359" s="697"/>
      <c r="AW359" s="697"/>
      <c r="AX359" s="697"/>
      <c r="AY359" s="697"/>
      <c r="AZ359" s="697"/>
      <c r="BA359" s="697"/>
      <c r="BB359" s="697"/>
      <c r="BC359" s="697"/>
      <c r="BD359" s="697"/>
      <c r="BE359" s="697"/>
      <c r="BF359" s="697"/>
      <c r="BG359" s="697"/>
      <c r="BH359" s="697"/>
      <c r="BI359" s="697"/>
      <c r="BJ359" s="697"/>
      <c r="BK359" s="697"/>
      <c r="BL359" s="697"/>
      <c r="BM359" s="697"/>
      <c r="BN359" s="697"/>
      <c r="BO359" s="697"/>
      <c r="BP359" s="697"/>
      <c r="BQ359" s="697"/>
      <c r="BR359" s="697"/>
      <c r="BS359" s="697"/>
      <c r="BT359" s="697"/>
      <c r="BU359" s="697"/>
      <c r="BV359" s="697"/>
      <c r="BW359" s="697"/>
      <c r="BX359" s="697"/>
      <c r="BY359" s="697"/>
      <c r="BZ359" s="697"/>
      <c r="CA359" s="697"/>
      <c r="CB359" s="697"/>
      <c r="CC359" s="697"/>
      <c r="CD359" s="697"/>
      <c r="CE359" s="697"/>
      <c r="CF359" s="697"/>
      <c r="CG359" s="697"/>
      <c r="CH359" s="697"/>
      <c r="CI359" s="697"/>
      <c r="CJ359" s="697"/>
      <c r="CK359" s="697"/>
      <c r="CL359" s="697"/>
      <c r="CM359" s="697"/>
      <c r="CN359" s="697"/>
      <c r="CO359" s="697"/>
      <c r="CP359" s="697"/>
      <c r="CQ359" s="697"/>
      <c r="CR359" s="697"/>
      <c r="CS359" s="697"/>
      <c r="CT359" s="697"/>
      <c r="CU359" s="697"/>
      <c r="CV359" s="697"/>
      <c r="CW359" s="697"/>
      <c r="CX359" s="697"/>
      <c r="CY359" s="697"/>
      <c r="CZ359" s="697"/>
      <c r="DA359" s="697"/>
    </row>
    <row r="360" spans="1:105" hidden="1" outlineLevel="1" x14ac:dyDescent="0.2">
      <c r="A360" s="709">
        <f t="shared" si="71"/>
        <v>38991</v>
      </c>
      <c r="B360" s="709" t="str">
        <f t="shared" si="68"/>
        <v>4Q06</v>
      </c>
      <c r="C360" s="709" t="str">
        <f t="shared" si="72"/>
        <v>4Q06</v>
      </c>
      <c r="D360" s="710">
        <f t="shared" si="75"/>
        <v>39073</v>
      </c>
      <c r="E360" s="710">
        <f t="shared" si="75"/>
        <v>39013</v>
      </c>
      <c r="F360" s="712">
        <v>2.524</v>
      </c>
      <c r="G360" s="713">
        <f t="shared" si="69"/>
        <v>0.28000000000000008</v>
      </c>
      <c r="H360" s="713">
        <f t="shared" si="70"/>
        <v>0.28000000000000008</v>
      </c>
      <c r="I360" s="697"/>
      <c r="J360" s="697"/>
      <c r="K360" s="697"/>
      <c r="L360" s="697"/>
      <c r="M360" s="697"/>
      <c r="N360" s="697"/>
      <c r="O360" s="697"/>
      <c r="P360" s="697"/>
      <c r="Q360" s="697"/>
      <c r="R360" s="697"/>
      <c r="S360" s="697"/>
      <c r="T360" s="697"/>
      <c r="U360" s="697"/>
      <c r="V360" s="697"/>
      <c r="W360" s="697"/>
      <c r="X360" s="697"/>
      <c r="Y360" s="697"/>
      <c r="Z360" s="697"/>
      <c r="AA360" s="697"/>
      <c r="AB360" s="697"/>
      <c r="AC360" s="697"/>
      <c r="AD360" s="697"/>
      <c r="AE360" s="697"/>
      <c r="AF360" s="697"/>
      <c r="AG360" s="697"/>
      <c r="AH360" s="697"/>
      <c r="AI360" s="697"/>
      <c r="AJ360" s="697"/>
      <c r="AK360" s="697"/>
      <c r="AL360" s="697"/>
      <c r="AM360" s="697"/>
      <c r="AN360" s="697"/>
      <c r="AO360" s="697"/>
      <c r="AP360" s="697"/>
      <c r="AQ360" s="697"/>
      <c r="AR360" s="697"/>
      <c r="AS360" s="697"/>
      <c r="AT360" s="697"/>
      <c r="AU360" s="697"/>
      <c r="AV360" s="697"/>
      <c r="AW360" s="697"/>
      <c r="AX360" s="697"/>
      <c r="AY360" s="697"/>
      <c r="AZ360" s="697"/>
      <c r="BA360" s="697"/>
      <c r="BB360" s="697"/>
      <c r="BC360" s="697"/>
      <c r="BD360" s="697"/>
      <c r="BE360" s="697"/>
      <c r="BF360" s="697"/>
      <c r="BG360" s="697"/>
      <c r="BH360" s="697"/>
      <c r="BI360" s="697"/>
      <c r="BJ360" s="697"/>
      <c r="BK360" s="697"/>
      <c r="BL360" s="697"/>
      <c r="BM360" s="697"/>
      <c r="BN360" s="697"/>
      <c r="BO360" s="697"/>
      <c r="BP360" s="697"/>
      <c r="BQ360" s="697"/>
      <c r="BR360" s="697"/>
      <c r="BS360" s="697"/>
      <c r="BT360" s="697"/>
      <c r="BU360" s="697"/>
      <c r="BV360" s="697"/>
      <c r="BW360" s="697"/>
      <c r="BX360" s="697"/>
      <c r="BY360" s="697"/>
      <c r="BZ360" s="697"/>
      <c r="CA360" s="697"/>
      <c r="CB360" s="697"/>
      <c r="CC360" s="697"/>
      <c r="CD360" s="697"/>
      <c r="CE360" s="697"/>
      <c r="CF360" s="697"/>
      <c r="CG360" s="697"/>
      <c r="CH360" s="697"/>
      <c r="CI360" s="697"/>
      <c r="CJ360" s="697"/>
      <c r="CK360" s="697"/>
      <c r="CL360" s="697"/>
      <c r="CM360" s="697"/>
      <c r="CN360" s="697"/>
      <c r="CO360" s="697"/>
      <c r="CP360" s="697"/>
      <c r="CQ360" s="697"/>
      <c r="CR360" s="697"/>
      <c r="CS360" s="697"/>
      <c r="CT360" s="697"/>
      <c r="CU360" s="697"/>
      <c r="CV360" s="697"/>
      <c r="CW360" s="697"/>
      <c r="CX360" s="697"/>
      <c r="CY360" s="697"/>
      <c r="CZ360" s="697"/>
      <c r="DA360" s="697"/>
    </row>
    <row r="361" spans="1:105" hidden="1" outlineLevel="1" x14ac:dyDescent="0.2">
      <c r="A361" s="709">
        <f t="shared" si="71"/>
        <v>38991</v>
      </c>
      <c r="B361" s="709" t="str">
        <f t="shared" si="68"/>
        <v>4Q06</v>
      </c>
      <c r="C361" s="709" t="str">
        <f t="shared" si="72"/>
        <v>4Q06</v>
      </c>
      <c r="D361" s="710">
        <f t="shared" si="75"/>
        <v>39080</v>
      </c>
      <c r="E361" s="710">
        <f t="shared" si="75"/>
        <v>39020</v>
      </c>
      <c r="F361" s="712">
        <v>2.5169999999999999</v>
      </c>
      <c r="G361" s="713">
        <f t="shared" si="69"/>
        <v>0.28000000000000008</v>
      </c>
      <c r="H361" s="713">
        <f t="shared" si="70"/>
        <v>0.28000000000000008</v>
      </c>
      <c r="I361" s="697"/>
      <c r="J361" s="697"/>
      <c r="K361" s="697"/>
      <c r="L361" s="697"/>
      <c r="M361" s="697"/>
      <c r="N361" s="697"/>
      <c r="O361" s="697"/>
      <c r="P361" s="697"/>
      <c r="Q361" s="697"/>
      <c r="R361" s="697"/>
      <c r="S361" s="697"/>
      <c r="T361" s="697"/>
      <c r="U361" s="697"/>
      <c r="V361" s="697"/>
      <c r="W361" s="697"/>
      <c r="X361" s="697"/>
      <c r="Y361" s="697"/>
      <c r="Z361" s="697"/>
      <c r="AA361" s="697"/>
      <c r="AB361" s="697"/>
      <c r="AC361" s="697"/>
      <c r="AD361" s="697"/>
      <c r="AE361" s="697"/>
      <c r="AF361" s="697"/>
      <c r="AG361" s="697"/>
      <c r="AH361" s="697"/>
      <c r="AI361" s="697"/>
      <c r="AJ361" s="697"/>
      <c r="AK361" s="697"/>
      <c r="AL361" s="697"/>
      <c r="AM361" s="697"/>
      <c r="AN361" s="697"/>
      <c r="AO361" s="697"/>
      <c r="AP361" s="697"/>
      <c r="AQ361" s="697"/>
      <c r="AR361" s="697"/>
      <c r="AS361" s="697"/>
      <c r="AT361" s="697"/>
      <c r="AU361" s="697"/>
      <c r="AV361" s="697"/>
      <c r="AW361" s="697"/>
      <c r="AX361" s="697"/>
      <c r="AY361" s="697"/>
      <c r="AZ361" s="697"/>
      <c r="BA361" s="697"/>
      <c r="BB361" s="697"/>
      <c r="BC361" s="697"/>
      <c r="BD361" s="697"/>
      <c r="BE361" s="697"/>
      <c r="BF361" s="697"/>
      <c r="BG361" s="697"/>
      <c r="BH361" s="697"/>
      <c r="BI361" s="697"/>
      <c r="BJ361" s="697"/>
      <c r="BK361" s="697"/>
      <c r="BL361" s="697"/>
      <c r="BM361" s="697"/>
      <c r="BN361" s="697"/>
      <c r="BO361" s="697"/>
      <c r="BP361" s="697"/>
      <c r="BQ361" s="697"/>
      <c r="BR361" s="697"/>
      <c r="BS361" s="697"/>
      <c r="BT361" s="697"/>
      <c r="BU361" s="697"/>
      <c r="BV361" s="697"/>
      <c r="BW361" s="697"/>
      <c r="BX361" s="697"/>
      <c r="BY361" s="697"/>
      <c r="BZ361" s="697"/>
      <c r="CA361" s="697"/>
      <c r="CB361" s="697"/>
      <c r="CC361" s="697"/>
      <c r="CD361" s="697"/>
      <c r="CE361" s="697"/>
      <c r="CF361" s="697"/>
      <c r="CG361" s="697"/>
      <c r="CH361" s="697"/>
      <c r="CI361" s="697"/>
      <c r="CJ361" s="697"/>
      <c r="CK361" s="697"/>
      <c r="CL361" s="697"/>
      <c r="CM361" s="697"/>
      <c r="CN361" s="697"/>
      <c r="CO361" s="697"/>
      <c r="CP361" s="697"/>
      <c r="CQ361" s="697"/>
      <c r="CR361" s="697"/>
      <c r="CS361" s="697"/>
      <c r="CT361" s="697"/>
      <c r="CU361" s="697"/>
      <c r="CV361" s="697"/>
      <c r="CW361" s="697"/>
      <c r="CX361" s="697"/>
      <c r="CY361" s="697"/>
      <c r="CZ361" s="697"/>
      <c r="DA361" s="697"/>
    </row>
    <row r="362" spans="1:105" hidden="1" outlineLevel="1" x14ac:dyDescent="0.2">
      <c r="A362" s="709">
        <f t="shared" si="71"/>
        <v>39022</v>
      </c>
      <c r="B362" s="709" t="str">
        <f t="shared" si="68"/>
        <v>4Q06</v>
      </c>
      <c r="C362" s="709" t="str">
        <f t="shared" si="72"/>
        <v>1Q07</v>
      </c>
      <c r="D362" s="710">
        <f t="shared" si="75"/>
        <v>39087</v>
      </c>
      <c r="E362" s="710">
        <f t="shared" si="75"/>
        <v>39027</v>
      </c>
      <c r="F362" s="712">
        <v>2.5059999999999998</v>
      </c>
      <c r="G362" s="713">
        <f t="shared" si="69"/>
        <v>0.28000000000000008</v>
      </c>
      <c r="H362" s="713">
        <f t="shared" si="70"/>
        <v>0.29000000000000009</v>
      </c>
      <c r="I362" s="697"/>
      <c r="J362" s="697"/>
      <c r="K362" s="697"/>
      <c r="L362" s="697"/>
      <c r="M362" s="697"/>
      <c r="N362" s="697"/>
      <c r="O362" s="697"/>
      <c r="P362" s="697"/>
      <c r="Q362" s="697"/>
      <c r="R362" s="697"/>
      <c r="S362" s="697"/>
      <c r="T362" s="697"/>
      <c r="U362" s="697"/>
      <c r="V362" s="697"/>
      <c r="W362" s="697"/>
      <c r="X362" s="697"/>
      <c r="Y362" s="697"/>
      <c r="Z362" s="697"/>
      <c r="AA362" s="697"/>
      <c r="AB362" s="697"/>
      <c r="AC362" s="697"/>
      <c r="AD362" s="697"/>
      <c r="AE362" s="697"/>
      <c r="AF362" s="697"/>
      <c r="AG362" s="697"/>
      <c r="AH362" s="697"/>
      <c r="AI362" s="697"/>
      <c r="AJ362" s="697"/>
      <c r="AK362" s="697"/>
      <c r="AL362" s="697"/>
      <c r="AM362" s="697"/>
      <c r="AN362" s="697"/>
      <c r="AO362" s="697"/>
      <c r="AP362" s="697"/>
      <c r="AQ362" s="697"/>
      <c r="AR362" s="697"/>
      <c r="AS362" s="697"/>
      <c r="AT362" s="697"/>
      <c r="AU362" s="697"/>
      <c r="AV362" s="697"/>
      <c r="AW362" s="697"/>
      <c r="AX362" s="697"/>
      <c r="AY362" s="697"/>
      <c r="AZ362" s="697"/>
      <c r="BA362" s="697"/>
      <c r="BB362" s="697"/>
      <c r="BC362" s="697"/>
      <c r="BD362" s="697"/>
      <c r="BE362" s="697"/>
      <c r="BF362" s="697"/>
      <c r="BG362" s="697"/>
      <c r="BH362" s="697"/>
      <c r="BI362" s="697"/>
      <c r="BJ362" s="697"/>
      <c r="BK362" s="697"/>
      <c r="BL362" s="697"/>
      <c r="BM362" s="697"/>
      <c r="BN362" s="697"/>
      <c r="BO362" s="697"/>
      <c r="BP362" s="697"/>
      <c r="BQ362" s="697"/>
      <c r="BR362" s="697"/>
      <c r="BS362" s="697"/>
      <c r="BT362" s="697"/>
      <c r="BU362" s="697"/>
      <c r="BV362" s="697"/>
      <c r="BW362" s="697"/>
      <c r="BX362" s="697"/>
      <c r="BY362" s="697"/>
      <c r="BZ362" s="697"/>
      <c r="CA362" s="697"/>
      <c r="CB362" s="697"/>
      <c r="CC362" s="697"/>
      <c r="CD362" s="697"/>
      <c r="CE362" s="697"/>
      <c r="CF362" s="697"/>
      <c r="CG362" s="697"/>
      <c r="CH362" s="697"/>
      <c r="CI362" s="697"/>
      <c r="CJ362" s="697"/>
      <c r="CK362" s="697"/>
      <c r="CL362" s="697"/>
      <c r="CM362" s="697"/>
      <c r="CN362" s="697"/>
      <c r="CO362" s="697"/>
      <c r="CP362" s="697"/>
      <c r="CQ362" s="697"/>
      <c r="CR362" s="697"/>
      <c r="CS362" s="697"/>
      <c r="CT362" s="697"/>
      <c r="CU362" s="697"/>
      <c r="CV362" s="697"/>
      <c r="CW362" s="697"/>
      <c r="CX362" s="697"/>
      <c r="CY362" s="697"/>
      <c r="CZ362" s="697"/>
      <c r="DA362" s="697"/>
    </row>
    <row r="363" spans="1:105" hidden="1" outlineLevel="1" x14ac:dyDescent="0.2">
      <c r="A363" s="709">
        <f t="shared" si="71"/>
        <v>39022</v>
      </c>
      <c r="B363" s="709" t="str">
        <f t="shared" si="68"/>
        <v>4Q06</v>
      </c>
      <c r="C363" s="709" t="str">
        <f t="shared" si="72"/>
        <v>1Q07</v>
      </c>
      <c r="D363" s="710">
        <f t="shared" si="75"/>
        <v>39094</v>
      </c>
      <c r="E363" s="710">
        <f t="shared" si="75"/>
        <v>39034</v>
      </c>
      <c r="F363" s="712">
        <v>2.552</v>
      </c>
      <c r="G363" s="713">
        <f t="shared" si="69"/>
        <v>0.29000000000000009</v>
      </c>
      <c r="H363" s="713">
        <f t="shared" si="70"/>
        <v>0.29000000000000009</v>
      </c>
      <c r="I363" s="697"/>
      <c r="J363" s="697"/>
      <c r="K363" s="697"/>
      <c r="L363" s="697"/>
      <c r="M363" s="697"/>
      <c r="N363" s="697"/>
      <c r="O363" s="697"/>
      <c r="P363" s="697"/>
      <c r="Q363" s="697"/>
      <c r="R363" s="697"/>
      <c r="S363" s="697"/>
      <c r="T363" s="697"/>
      <c r="U363" s="697"/>
      <c r="V363" s="697"/>
      <c r="W363" s="697"/>
      <c r="X363" s="697"/>
      <c r="Y363" s="697"/>
      <c r="Z363" s="697"/>
      <c r="AA363" s="697"/>
      <c r="AB363" s="697"/>
      <c r="AC363" s="697"/>
      <c r="AD363" s="697"/>
      <c r="AE363" s="697"/>
      <c r="AF363" s="697"/>
      <c r="AG363" s="697"/>
      <c r="AH363" s="697"/>
      <c r="AI363" s="697"/>
      <c r="AJ363" s="697"/>
      <c r="AK363" s="697"/>
      <c r="AL363" s="697"/>
      <c r="AM363" s="697"/>
      <c r="AN363" s="697"/>
      <c r="AO363" s="697"/>
      <c r="AP363" s="697"/>
      <c r="AQ363" s="697"/>
      <c r="AR363" s="697"/>
      <c r="AS363" s="697"/>
      <c r="AT363" s="697"/>
      <c r="AU363" s="697"/>
      <c r="AV363" s="697"/>
      <c r="AW363" s="697"/>
      <c r="AX363" s="697"/>
      <c r="AY363" s="697"/>
      <c r="AZ363" s="697"/>
      <c r="BA363" s="697"/>
      <c r="BB363" s="697"/>
      <c r="BC363" s="697"/>
      <c r="BD363" s="697"/>
      <c r="BE363" s="697"/>
      <c r="BF363" s="697"/>
      <c r="BG363" s="697"/>
      <c r="BH363" s="697"/>
      <c r="BI363" s="697"/>
      <c r="BJ363" s="697"/>
      <c r="BK363" s="697"/>
      <c r="BL363" s="697"/>
      <c r="BM363" s="697"/>
      <c r="BN363" s="697"/>
      <c r="BO363" s="697"/>
      <c r="BP363" s="697"/>
      <c r="BQ363" s="697"/>
      <c r="BR363" s="697"/>
      <c r="BS363" s="697"/>
      <c r="BT363" s="697"/>
      <c r="BU363" s="697"/>
      <c r="BV363" s="697"/>
      <c r="BW363" s="697"/>
      <c r="BX363" s="697"/>
      <c r="BY363" s="697"/>
      <c r="BZ363" s="697"/>
      <c r="CA363" s="697"/>
      <c r="CB363" s="697"/>
      <c r="CC363" s="697"/>
      <c r="CD363" s="697"/>
      <c r="CE363" s="697"/>
      <c r="CF363" s="697"/>
      <c r="CG363" s="697"/>
      <c r="CH363" s="697"/>
      <c r="CI363" s="697"/>
      <c r="CJ363" s="697"/>
      <c r="CK363" s="697"/>
      <c r="CL363" s="697"/>
      <c r="CM363" s="697"/>
      <c r="CN363" s="697"/>
      <c r="CO363" s="697"/>
      <c r="CP363" s="697"/>
      <c r="CQ363" s="697"/>
      <c r="CR363" s="697"/>
      <c r="CS363" s="697"/>
      <c r="CT363" s="697"/>
      <c r="CU363" s="697"/>
      <c r="CV363" s="697"/>
      <c r="CW363" s="697"/>
      <c r="CX363" s="697"/>
      <c r="CY363" s="697"/>
      <c r="CZ363" s="697"/>
      <c r="DA363" s="697"/>
    </row>
    <row r="364" spans="1:105" hidden="1" outlineLevel="1" x14ac:dyDescent="0.2">
      <c r="A364" s="709">
        <f t="shared" si="71"/>
        <v>39022</v>
      </c>
      <c r="B364" s="709" t="str">
        <f t="shared" si="68"/>
        <v>4Q06</v>
      </c>
      <c r="C364" s="709" t="str">
        <f t="shared" si="72"/>
        <v>1Q07</v>
      </c>
      <c r="D364" s="710">
        <f t="shared" si="75"/>
        <v>39101</v>
      </c>
      <c r="E364" s="710">
        <f t="shared" si="75"/>
        <v>39041</v>
      </c>
      <c r="F364" s="712">
        <v>2.5529999999999999</v>
      </c>
      <c r="G364" s="713">
        <f t="shared" si="69"/>
        <v>0.29000000000000009</v>
      </c>
      <c r="H364" s="713">
        <f t="shared" si="70"/>
        <v>0.29000000000000009</v>
      </c>
      <c r="I364" s="697"/>
      <c r="J364" s="697"/>
      <c r="K364" s="697"/>
      <c r="L364" s="697"/>
      <c r="M364" s="697"/>
      <c r="N364" s="697"/>
      <c r="O364" s="697"/>
      <c r="P364" s="697"/>
      <c r="Q364" s="697"/>
      <c r="R364" s="697"/>
      <c r="S364" s="697"/>
      <c r="T364" s="697"/>
      <c r="U364" s="697"/>
      <c r="V364" s="697"/>
      <c r="W364" s="697"/>
      <c r="X364" s="697"/>
      <c r="Y364" s="697"/>
      <c r="Z364" s="697"/>
      <c r="AA364" s="697"/>
      <c r="AB364" s="697"/>
      <c r="AC364" s="697"/>
      <c r="AD364" s="697"/>
      <c r="AE364" s="697"/>
      <c r="AF364" s="697"/>
      <c r="AG364" s="697"/>
      <c r="AH364" s="697"/>
      <c r="AI364" s="697"/>
      <c r="AJ364" s="697"/>
      <c r="AK364" s="697"/>
      <c r="AL364" s="697"/>
      <c r="AM364" s="697"/>
      <c r="AN364" s="697"/>
      <c r="AO364" s="697"/>
      <c r="AP364" s="697"/>
      <c r="AQ364" s="697"/>
      <c r="AR364" s="697"/>
      <c r="AS364" s="697"/>
      <c r="AT364" s="697"/>
      <c r="AU364" s="697"/>
      <c r="AV364" s="697"/>
      <c r="AW364" s="697"/>
      <c r="AX364" s="697"/>
      <c r="AY364" s="697"/>
      <c r="AZ364" s="697"/>
      <c r="BA364" s="697"/>
      <c r="BB364" s="697"/>
      <c r="BC364" s="697"/>
      <c r="BD364" s="697"/>
      <c r="BE364" s="697"/>
      <c r="BF364" s="697"/>
      <c r="BG364" s="697"/>
      <c r="BH364" s="697"/>
      <c r="BI364" s="697"/>
      <c r="BJ364" s="697"/>
      <c r="BK364" s="697"/>
      <c r="BL364" s="697"/>
      <c r="BM364" s="697"/>
      <c r="BN364" s="697"/>
      <c r="BO364" s="697"/>
      <c r="BP364" s="697"/>
      <c r="BQ364" s="697"/>
      <c r="BR364" s="697"/>
      <c r="BS364" s="697"/>
      <c r="BT364" s="697"/>
      <c r="BU364" s="697"/>
      <c r="BV364" s="697"/>
      <c r="BW364" s="697"/>
      <c r="BX364" s="697"/>
      <c r="BY364" s="697"/>
      <c r="BZ364" s="697"/>
      <c r="CA364" s="697"/>
      <c r="CB364" s="697"/>
      <c r="CC364" s="697"/>
      <c r="CD364" s="697"/>
      <c r="CE364" s="697"/>
      <c r="CF364" s="697"/>
      <c r="CG364" s="697"/>
      <c r="CH364" s="697"/>
      <c r="CI364" s="697"/>
      <c r="CJ364" s="697"/>
      <c r="CK364" s="697"/>
      <c r="CL364" s="697"/>
      <c r="CM364" s="697"/>
      <c r="CN364" s="697"/>
      <c r="CO364" s="697"/>
      <c r="CP364" s="697"/>
      <c r="CQ364" s="697"/>
      <c r="CR364" s="697"/>
      <c r="CS364" s="697"/>
      <c r="CT364" s="697"/>
      <c r="CU364" s="697"/>
      <c r="CV364" s="697"/>
      <c r="CW364" s="697"/>
      <c r="CX364" s="697"/>
      <c r="CY364" s="697"/>
      <c r="CZ364" s="697"/>
      <c r="DA364" s="697"/>
    </row>
    <row r="365" spans="1:105" hidden="1" outlineLevel="1" x14ac:dyDescent="0.2">
      <c r="A365" s="709">
        <f t="shared" si="71"/>
        <v>39022</v>
      </c>
      <c r="B365" s="709" t="str">
        <f t="shared" si="68"/>
        <v>4Q06</v>
      </c>
      <c r="C365" s="709" t="str">
        <f t="shared" si="72"/>
        <v>1Q07</v>
      </c>
      <c r="D365" s="710">
        <f t="shared" si="75"/>
        <v>39108</v>
      </c>
      <c r="E365" s="710">
        <f t="shared" si="75"/>
        <v>39048</v>
      </c>
      <c r="F365" s="712">
        <v>2.5670000000000002</v>
      </c>
      <c r="G365" s="713">
        <f t="shared" si="69"/>
        <v>0.29000000000000009</v>
      </c>
      <c r="H365" s="713">
        <f t="shared" si="70"/>
        <v>0.3000000000000001</v>
      </c>
      <c r="I365" s="697"/>
      <c r="J365" s="697"/>
      <c r="K365" s="697"/>
      <c r="L365" s="697"/>
      <c r="M365" s="697"/>
      <c r="N365" s="697"/>
      <c r="O365" s="697"/>
      <c r="P365" s="697"/>
      <c r="Q365" s="697"/>
      <c r="R365" s="697"/>
      <c r="S365" s="697"/>
      <c r="T365" s="697"/>
      <c r="U365" s="697"/>
      <c r="V365" s="697"/>
      <c r="W365" s="697"/>
      <c r="X365" s="697"/>
      <c r="Y365" s="697"/>
      <c r="Z365" s="697"/>
      <c r="AA365" s="697"/>
      <c r="AB365" s="697"/>
      <c r="AC365" s="697"/>
      <c r="AD365" s="697"/>
      <c r="AE365" s="697"/>
      <c r="AF365" s="697"/>
      <c r="AG365" s="697"/>
      <c r="AH365" s="697"/>
      <c r="AI365" s="697"/>
      <c r="AJ365" s="697"/>
      <c r="AK365" s="697"/>
      <c r="AL365" s="697"/>
      <c r="AM365" s="697"/>
      <c r="AN365" s="697"/>
      <c r="AO365" s="697"/>
      <c r="AP365" s="697"/>
      <c r="AQ365" s="697"/>
      <c r="AR365" s="697"/>
      <c r="AS365" s="697"/>
      <c r="AT365" s="697"/>
      <c r="AU365" s="697"/>
      <c r="AV365" s="697"/>
      <c r="AW365" s="697"/>
      <c r="AX365" s="697"/>
      <c r="AY365" s="697"/>
      <c r="AZ365" s="697"/>
      <c r="BA365" s="697"/>
      <c r="BB365" s="697"/>
      <c r="BC365" s="697"/>
      <c r="BD365" s="697"/>
      <c r="BE365" s="697"/>
      <c r="BF365" s="697"/>
      <c r="BG365" s="697"/>
      <c r="BH365" s="697"/>
      <c r="BI365" s="697"/>
      <c r="BJ365" s="697"/>
      <c r="BK365" s="697"/>
      <c r="BL365" s="697"/>
      <c r="BM365" s="697"/>
      <c r="BN365" s="697"/>
      <c r="BO365" s="697"/>
      <c r="BP365" s="697"/>
      <c r="BQ365" s="697"/>
      <c r="BR365" s="697"/>
      <c r="BS365" s="697"/>
      <c r="BT365" s="697"/>
      <c r="BU365" s="697"/>
      <c r="BV365" s="697"/>
      <c r="BW365" s="697"/>
      <c r="BX365" s="697"/>
      <c r="BY365" s="697"/>
      <c r="BZ365" s="697"/>
      <c r="CA365" s="697"/>
      <c r="CB365" s="697"/>
      <c r="CC365" s="697"/>
      <c r="CD365" s="697"/>
      <c r="CE365" s="697"/>
      <c r="CF365" s="697"/>
      <c r="CG365" s="697"/>
      <c r="CH365" s="697"/>
      <c r="CI365" s="697"/>
      <c r="CJ365" s="697"/>
      <c r="CK365" s="697"/>
      <c r="CL365" s="697"/>
      <c r="CM365" s="697"/>
      <c r="CN365" s="697"/>
      <c r="CO365" s="697"/>
      <c r="CP365" s="697"/>
      <c r="CQ365" s="697"/>
      <c r="CR365" s="697"/>
      <c r="CS365" s="697"/>
      <c r="CT365" s="697"/>
      <c r="CU365" s="697"/>
      <c r="CV365" s="697"/>
      <c r="CW365" s="697"/>
      <c r="CX365" s="697"/>
      <c r="CY365" s="697"/>
      <c r="CZ365" s="697"/>
      <c r="DA365" s="697"/>
    </row>
    <row r="366" spans="1:105" hidden="1" outlineLevel="1" x14ac:dyDescent="0.2">
      <c r="A366" s="709">
        <f t="shared" si="71"/>
        <v>39052</v>
      </c>
      <c r="B366" s="709" t="str">
        <f t="shared" si="68"/>
        <v>4Q06</v>
      </c>
      <c r="C366" s="709" t="str">
        <f t="shared" si="72"/>
        <v>1Q07</v>
      </c>
      <c r="D366" s="710">
        <f t="shared" si="75"/>
        <v>39115</v>
      </c>
      <c r="E366" s="710">
        <f t="shared" si="75"/>
        <v>39055</v>
      </c>
      <c r="F366" s="712">
        <v>2.6179999999999999</v>
      </c>
      <c r="G366" s="713">
        <f t="shared" si="69"/>
        <v>0.3000000000000001</v>
      </c>
      <c r="H366" s="713">
        <f t="shared" si="70"/>
        <v>0.3000000000000001</v>
      </c>
      <c r="I366" s="697"/>
      <c r="J366" s="697"/>
      <c r="K366" s="697"/>
      <c r="L366" s="697"/>
      <c r="M366" s="697"/>
      <c r="N366" s="697"/>
      <c r="O366" s="697"/>
      <c r="P366" s="697"/>
      <c r="Q366" s="697"/>
      <c r="R366" s="697"/>
      <c r="S366" s="697"/>
      <c r="T366" s="697"/>
      <c r="U366" s="697"/>
      <c r="V366" s="697"/>
      <c r="W366" s="697"/>
      <c r="X366" s="697"/>
      <c r="Y366" s="697"/>
      <c r="Z366" s="697"/>
      <c r="AA366" s="697"/>
      <c r="AB366" s="697"/>
      <c r="AC366" s="697"/>
      <c r="AD366" s="697"/>
      <c r="AE366" s="697"/>
      <c r="AF366" s="697"/>
      <c r="AG366" s="697"/>
      <c r="AH366" s="697"/>
      <c r="AI366" s="697"/>
      <c r="AJ366" s="697"/>
      <c r="AK366" s="697"/>
      <c r="AL366" s="697"/>
      <c r="AM366" s="697"/>
      <c r="AN366" s="697"/>
      <c r="AO366" s="697"/>
      <c r="AP366" s="697"/>
      <c r="AQ366" s="697"/>
      <c r="AR366" s="697"/>
      <c r="AS366" s="697"/>
      <c r="AT366" s="697"/>
      <c r="AU366" s="697"/>
      <c r="AV366" s="697"/>
      <c r="AW366" s="697"/>
      <c r="AX366" s="697"/>
      <c r="AY366" s="697"/>
      <c r="AZ366" s="697"/>
      <c r="BA366" s="697"/>
      <c r="BB366" s="697"/>
      <c r="BC366" s="697"/>
      <c r="BD366" s="697"/>
      <c r="BE366" s="697"/>
      <c r="BF366" s="697"/>
      <c r="BG366" s="697"/>
      <c r="BH366" s="697"/>
      <c r="BI366" s="697"/>
      <c r="BJ366" s="697"/>
      <c r="BK366" s="697"/>
      <c r="BL366" s="697"/>
      <c r="BM366" s="697"/>
      <c r="BN366" s="697"/>
      <c r="BO366" s="697"/>
      <c r="BP366" s="697"/>
      <c r="BQ366" s="697"/>
      <c r="BR366" s="697"/>
      <c r="BS366" s="697"/>
      <c r="BT366" s="697"/>
      <c r="BU366" s="697"/>
      <c r="BV366" s="697"/>
      <c r="BW366" s="697"/>
      <c r="BX366" s="697"/>
      <c r="BY366" s="697"/>
      <c r="BZ366" s="697"/>
      <c r="CA366" s="697"/>
      <c r="CB366" s="697"/>
      <c r="CC366" s="697"/>
      <c r="CD366" s="697"/>
      <c r="CE366" s="697"/>
      <c r="CF366" s="697"/>
      <c r="CG366" s="697"/>
      <c r="CH366" s="697"/>
      <c r="CI366" s="697"/>
      <c r="CJ366" s="697"/>
      <c r="CK366" s="697"/>
      <c r="CL366" s="697"/>
      <c r="CM366" s="697"/>
      <c r="CN366" s="697"/>
      <c r="CO366" s="697"/>
      <c r="CP366" s="697"/>
      <c r="CQ366" s="697"/>
      <c r="CR366" s="697"/>
      <c r="CS366" s="697"/>
      <c r="CT366" s="697"/>
      <c r="CU366" s="697"/>
      <c r="CV366" s="697"/>
      <c r="CW366" s="697"/>
      <c r="CX366" s="697"/>
      <c r="CY366" s="697"/>
      <c r="CZ366" s="697"/>
      <c r="DA366" s="697"/>
    </row>
    <row r="367" spans="1:105" hidden="1" outlineLevel="1" x14ac:dyDescent="0.2">
      <c r="A367" s="709">
        <f t="shared" si="71"/>
        <v>39052</v>
      </c>
      <c r="B367" s="709" t="str">
        <f t="shared" si="68"/>
        <v>4Q06</v>
      </c>
      <c r="C367" s="709" t="str">
        <f t="shared" si="72"/>
        <v>1Q07</v>
      </c>
      <c r="D367" s="710">
        <f t="shared" si="75"/>
        <v>39122</v>
      </c>
      <c r="E367" s="710">
        <f t="shared" si="75"/>
        <v>39062</v>
      </c>
      <c r="F367" s="712">
        <v>2.621</v>
      </c>
      <c r="G367" s="713">
        <f t="shared" si="69"/>
        <v>0.3000000000000001</v>
      </c>
      <c r="H367" s="713">
        <f t="shared" si="70"/>
        <v>0.3000000000000001</v>
      </c>
      <c r="I367" s="697"/>
      <c r="J367" s="697"/>
      <c r="K367" s="697"/>
      <c r="L367" s="697"/>
      <c r="M367" s="697"/>
      <c r="N367" s="697"/>
      <c r="O367" s="697"/>
      <c r="P367" s="697"/>
      <c r="Q367" s="697"/>
      <c r="R367" s="697"/>
      <c r="S367" s="697"/>
      <c r="T367" s="697"/>
      <c r="U367" s="697"/>
      <c r="V367" s="697"/>
      <c r="W367" s="697"/>
      <c r="X367" s="697"/>
      <c r="Y367" s="697"/>
      <c r="Z367" s="697"/>
      <c r="AA367" s="697"/>
      <c r="AB367" s="697"/>
      <c r="AC367" s="697"/>
      <c r="AD367" s="697"/>
      <c r="AE367" s="697"/>
      <c r="AF367" s="697"/>
      <c r="AG367" s="697"/>
      <c r="AH367" s="697"/>
      <c r="AI367" s="697"/>
      <c r="AJ367" s="697"/>
      <c r="AK367" s="697"/>
      <c r="AL367" s="697"/>
      <c r="AM367" s="697"/>
      <c r="AN367" s="697"/>
      <c r="AO367" s="697"/>
      <c r="AP367" s="697"/>
      <c r="AQ367" s="697"/>
      <c r="AR367" s="697"/>
      <c r="AS367" s="697"/>
      <c r="AT367" s="697"/>
      <c r="AU367" s="697"/>
      <c r="AV367" s="697"/>
      <c r="AW367" s="697"/>
      <c r="AX367" s="697"/>
      <c r="AY367" s="697"/>
      <c r="AZ367" s="697"/>
      <c r="BA367" s="697"/>
      <c r="BB367" s="697"/>
      <c r="BC367" s="697"/>
      <c r="BD367" s="697"/>
      <c r="BE367" s="697"/>
      <c r="BF367" s="697"/>
      <c r="BG367" s="697"/>
      <c r="BH367" s="697"/>
      <c r="BI367" s="697"/>
      <c r="BJ367" s="697"/>
      <c r="BK367" s="697"/>
      <c r="BL367" s="697"/>
      <c r="BM367" s="697"/>
      <c r="BN367" s="697"/>
      <c r="BO367" s="697"/>
      <c r="BP367" s="697"/>
      <c r="BQ367" s="697"/>
      <c r="BR367" s="697"/>
      <c r="BS367" s="697"/>
      <c r="BT367" s="697"/>
      <c r="BU367" s="697"/>
      <c r="BV367" s="697"/>
      <c r="BW367" s="697"/>
      <c r="BX367" s="697"/>
      <c r="BY367" s="697"/>
      <c r="BZ367" s="697"/>
      <c r="CA367" s="697"/>
      <c r="CB367" s="697"/>
      <c r="CC367" s="697"/>
      <c r="CD367" s="697"/>
      <c r="CE367" s="697"/>
      <c r="CF367" s="697"/>
      <c r="CG367" s="697"/>
      <c r="CH367" s="697"/>
      <c r="CI367" s="697"/>
      <c r="CJ367" s="697"/>
      <c r="CK367" s="697"/>
      <c r="CL367" s="697"/>
      <c r="CM367" s="697"/>
      <c r="CN367" s="697"/>
      <c r="CO367" s="697"/>
      <c r="CP367" s="697"/>
      <c r="CQ367" s="697"/>
      <c r="CR367" s="697"/>
      <c r="CS367" s="697"/>
      <c r="CT367" s="697"/>
      <c r="CU367" s="697"/>
      <c r="CV367" s="697"/>
      <c r="CW367" s="697"/>
      <c r="CX367" s="697"/>
      <c r="CY367" s="697"/>
      <c r="CZ367" s="697"/>
      <c r="DA367" s="697"/>
    </row>
    <row r="368" spans="1:105" hidden="1" outlineLevel="1" x14ac:dyDescent="0.2">
      <c r="A368" s="709">
        <f t="shared" si="71"/>
        <v>39052</v>
      </c>
      <c r="B368" s="709" t="str">
        <f t="shared" si="68"/>
        <v>4Q06</v>
      </c>
      <c r="C368" s="709" t="str">
        <f t="shared" si="72"/>
        <v>1Q07</v>
      </c>
      <c r="D368" s="710">
        <f t="shared" si="75"/>
        <v>39129</v>
      </c>
      <c r="E368" s="710">
        <f t="shared" si="75"/>
        <v>39069</v>
      </c>
      <c r="F368" s="712">
        <v>2.6059999999999999</v>
      </c>
      <c r="G368" s="713">
        <f t="shared" si="69"/>
        <v>0.3000000000000001</v>
      </c>
      <c r="H368" s="713">
        <f t="shared" si="70"/>
        <v>0.29000000000000009</v>
      </c>
      <c r="I368" s="697"/>
      <c r="J368" s="697"/>
      <c r="K368" s="697"/>
      <c r="L368" s="697"/>
      <c r="M368" s="697"/>
      <c r="N368" s="697"/>
      <c r="O368" s="697"/>
      <c r="P368" s="697"/>
      <c r="Q368" s="697"/>
      <c r="R368" s="697"/>
      <c r="S368" s="697"/>
      <c r="T368" s="697"/>
      <c r="U368" s="697"/>
      <c r="V368" s="697"/>
      <c r="W368" s="697"/>
      <c r="X368" s="697"/>
      <c r="Y368" s="697"/>
      <c r="Z368" s="697"/>
      <c r="AA368" s="697"/>
      <c r="AB368" s="697"/>
      <c r="AC368" s="697"/>
      <c r="AD368" s="697"/>
      <c r="AE368" s="697"/>
      <c r="AF368" s="697"/>
      <c r="AG368" s="697"/>
      <c r="AH368" s="697"/>
      <c r="AI368" s="697"/>
      <c r="AJ368" s="697"/>
      <c r="AK368" s="697"/>
      <c r="AL368" s="697"/>
      <c r="AM368" s="697"/>
      <c r="AN368" s="697"/>
      <c r="AO368" s="697"/>
      <c r="AP368" s="697"/>
      <c r="AQ368" s="697"/>
      <c r="AR368" s="697"/>
      <c r="AS368" s="697"/>
      <c r="AT368" s="697"/>
      <c r="AU368" s="697"/>
      <c r="AV368" s="697"/>
      <c r="AW368" s="697"/>
      <c r="AX368" s="697"/>
      <c r="AY368" s="697"/>
      <c r="AZ368" s="697"/>
      <c r="BA368" s="697"/>
      <c r="BB368" s="697"/>
      <c r="BC368" s="697"/>
      <c r="BD368" s="697"/>
      <c r="BE368" s="697"/>
      <c r="BF368" s="697"/>
      <c r="BG368" s="697"/>
      <c r="BH368" s="697"/>
      <c r="BI368" s="697"/>
      <c r="BJ368" s="697"/>
      <c r="BK368" s="697"/>
      <c r="BL368" s="697"/>
      <c r="BM368" s="697"/>
      <c r="BN368" s="697"/>
      <c r="BO368" s="697"/>
      <c r="BP368" s="697"/>
      <c r="BQ368" s="697"/>
      <c r="BR368" s="697"/>
      <c r="BS368" s="697"/>
      <c r="BT368" s="697"/>
      <c r="BU368" s="697"/>
      <c r="BV368" s="697"/>
      <c r="BW368" s="697"/>
      <c r="BX368" s="697"/>
      <c r="BY368" s="697"/>
      <c r="BZ368" s="697"/>
      <c r="CA368" s="697"/>
      <c r="CB368" s="697"/>
      <c r="CC368" s="697"/>
      <c r="CD368" s="697"/>
      <c r="CE368" s="697"/>
      <c r="CF368" s="697"/>
      <c r="CG368" s="697"/>
      <c r="CH368" s="697"/>
      <c r="CI368" s="697"/>
      <c r="CJ368" s="697"/>
      <c r="CK368" s="697"/>
      <c r="CL368" s="697"/>
      <c r="CM368" s="697"/>
      <c r="CN368" s="697"/>
      <c r="CO368" s="697"/>
      <c r="CP368" s="697"/>
      <c r="CQ368" s="697"/>
      <c r="CR368" s="697"/>
      <c r="CS368" s="697"/>
      <c r="CT368" s="697"/>
      <c r="CU368" s="697"/>
      <c r="CV368" s="697"/>
      <c r="CW368" s="697"/>
      <c r="CX368" s="697"/>
      <c r="CY368" s="697"/>
      <c r="CZ368" s="697"/>
      <c r="DA368" s="697"/>
    </row>
    <row r="369" spans="1:105" hidden="1" outlineLevel="1" x14ac:dyDescent="0.2">
      <c r="A369" s="709">
        <f t="shared" si="71"/>
        <v>39052</v>
      </c>
      <c r="B369" s="709" t="str">
        <f t="shared" si="68"/>
        <v>4Q06</v>
      </c>
      <c r="C369" s="709" t="str">
        <f t="shared" si="72"/>
        <v>1Q07</v>
      </c>
      <c r="D369" s="710">
        <f t="shared" si="75"/>
        <v>39136</v>
      </c>
      <c r="E369" s="710">
        <f t="shared" si="75"/>
        <v>39076</v>
      </c>
      <c r="F369" s="712">
        <v>2.5960000000000001</v>
      </c>
      <c r="G369" s="713">
        <f t="shared" si="69"/>
        <v>0.29000000000000009</v>
      </c>
      <c r="H369" s="713">
        <f t="shared" si="70"/>
        <v>0.29000000000000009</v>
      </c>
      <c r="I369" s="697"/>
      <c r="J369" s="697"/>
      <c r="K369" s="697"/>
      <c r="L369" s="697"/>
      <c r="M369" s="697"/>
      <c r="N369" s="697"/>
      <c r="O369" s="697"/>
      <c r="P369" s="697"/>
      <c r="Q369" s="697"/>
      <c r="R369" s="697"/>
      <c r="S369" s="697"/>
      <c r="T369" s="697"/>
      <c r="U369" s="697"/>
      <c r="V369" s="697"/>
      <c r="W369" s="697"/>
      <c r="X369" s="697"/>
      <c r="Y369" s="697"/>
      <c r="Z369" s="697"/>
      <c r="AA369" s="697"/>
      <c r="AB369" s="697"/>
      <c r="AC369" s="697"/>
      <c r="AD369" s="697"/>
      <c r="AE369" s="697"/>
      <c r="AF369" s="697"/>
      <c r="AG369" s="697"/>
      <c r="AH369" s="697"/>
      <c r="AI369" s="697"/>
      <c r="AJ369" s="697"/>
      <c r="AK369" s="697"/>
      <c r="AL369" s="697"/>
      <c r="AM369" s="697"/>
      <c r="AN369" s="697"/>
      <c r="AO369" s="697"/>
      <c r="AP369" s="697"/>
      <c r="AQ369" s="697"/>
      <c r="AR369" s="697"/>
      <c r="AS369" s="697"/>
      <c r="AT369" s="697"/>
      <c r="AU369" s="697"/>
      <c r="AV369" s="697"/>
      <c r="AW369" s="697"/>
      <c r="AX369" s="697"/>
      <c r="AY369" s="697"/>
      <c r="AZ369" s="697"/>
      <c r="BA369" s="697"/>
      <c r="BB369" s="697"/>
      <c r="BC369" s="697"/>
      <c r="BD369" s="697"/>
      <c r="BE369" s="697"/>
      <c r="BF369" s="697"/>
      <c r="BG369" s="697"/>
      <c r="BH369" s="697"/>
      <c r="BI369" s="697"/>
      <c r="BJ369" s="697"/>
      <c r="BK369" s="697"/>
      <c r="BL369" s="697"/>
      <c r="BM369" s="697"/>
      <c r="BN369" s="697"/>
      <c r="BO369" s="697"/>
      <c r="BP369" s="697"/>
      <c r="BQ369" s="697"/>
      <c r="BR369" s="697"/>
      <c r="BS369" s="697"/>
      <c r="BT369" s="697"/>
      <c r="BU369" s="697"/>
      <c r="BV369" s="697"/>
      <c r="BW369" s="697"/>
      <c r="BX369" s="697"/>
      <c r="BY369" s="697"/>
      <c r="BZ369" s="697"/>
      <c r="CA369" s="697"/>
      <c r="CB369" s="697"/>
      <c r="CC369" s="697"/>
      <c r="CD369" s="697"/>
      <c r="CE369" s="697"/>
      <c r="CF369" s="697"/>
      <c r="CG369" s="697"/>
      <c r="CH369" s="697"/>
      <c r="CI369" s="697"/>
      <c r="CJ369" s="697"/>
      <c r="CK369" s="697"/>
      <c r="CL369" s="697"/>
      <c r="CM369" s="697"/>
      <c r="CN369" s="697"/>
      <c r="CO369" s="697"/>
      <c r="CP369" s="697"/>
      <c r="CQ369" s="697"/>
      <c r="CR369" s="697"/>
      <c r="CS369" s="697"/>
      <c r="CT369" s="697"/>
      <c r="CU369" s="697"/>
      <c r="CV369" s="697"/>
      <c r="CW369" s="697"/>
      <c r="CX369" s="697"/>
      <c r="CY369" s="697"/>
      <c r="CZ369" s="697"/>
      <c r="DA369" s="697"/>
    </row>
    <row r="370" spans="1:105" hidden="1" outlineLevel="1" x14ac:dyDescent="0.2">
      <c r="A370" s="709">
        <f t="shared" si="71"/>
        <v>39083</v>
      </c>
      <c r="B370" s="709" t="str">
        <f t="shared" si="68"/>
        <v>1Q07</v>
      </c>
      <c r="C370" s="709" t="str">
        <f t="shared" si="72"/>
        <v>1Q07</v>
      </c>
      <c r="D370" s="710">
        <f t="shared" si="75"/>
        <v>39143</v>
      </c>
      <c r="E370" s="710">
        <f t="shared" si="75"/>
        <v>39083</v>
      </c>
      <c r="F370" s="712">
        <v>2.58</v>
      </c>
      <c r="G370" s="713">
        <f t="shared" si="69"/>
        <v>0.29000000000000009</v>
      </c>
      <c r="H370" s="713">
        <f t="shared" si="70"/>
        <v>0.28000000000000008</v>
      </c>
      <c r="I370" s="697"/>
      <c r="J370" s="697"/>
      <c r="K370" s="697"/>
      <c r="L370" s="697"/>
      <c r="M370" s="697"/>
      <c r="N370" s="697"/>
      <c r="O370" s="697"/>
      <c r="P370" s="697"/>
      <c r="Q370" s="697"/>
      <c r="R370" s="697"/>
      <c r="S370" s="697"/>
      <c r="T370" s="697"/>
      <c r="U370" s="697"/>
      <c r="V370" s="697"/>
      <c r="W370" s="697"/>
      <c r="X370" s="697"/>
      <c r="Y370" s="697"/>
      <c r="Z370" s="697"/>
      <c r="AA370" s="697"/>
      <c r="AB370" s="697"/>
      <c r="AC370" s="697"/>
      <c r="AD370" s="697"/>
      <c r="AE370" s="697"/>
      <c r="AF370" s="697"/>
      <c r="AG370" s="697"/>
      <c r="AH370" s="697"/>
      <c r="AI370" s="697"/>
      <c r="AJ370" s="697"/>
      <c r="AK370" s="697"/>
      <c r="AL370" s="697"/>
      <c r="AM370" s="697"/>
      <c r="AN370" s="697"/>
      <c r="AO370" s="697"/>
      <c r="AP370" s="697"/>
      <c r="AQ370" s="697"/>
      <c r="AR370" s="697"/>
      <c r="AS370" s="697"/>
      <c r="AT370" s="697"/>
      <c r="AU370" s="697"/>
      <c r="AV370" s="697"/>
      <c r="AW370" s="697"/>
      <c r="AX370" s="697"/>
      <c r="AY370" s="697"/>
      <c r="AZ370" s="697"/>
      <c r="BA370" s="697"/>
      <c r="BB370" s="697"/>
      <c r="BC370" s="697"/>
      <c r="BD370" s="697"/>
      <c r="BE370" s="697"/>
      <c r="BF370" s="697"/>
      <c r="BG370" s="697"/>
      <c r="BH370" s="697"/>
      <c r="BI370" s="697"/>
      <c r="BJ370" s="697"/>
      <c r="BK370" s="697"/>
      <c r="BL370" s="697"/>
      <c r="BM370" s="697"/>
      <c r="BN370" s="697"/>
      <c r="BO370" s="697"/>
      <c r="BP370" s="697"/>
      <c r="BQ370" s="697"/>
      <c r="BR370" s="697"/>
      <c r="BS370" s="697"/>
      <c r="BT370" s="697"/>
      <c r="BU370" s="697"/>
      <c r="BV370" s="697"/>
      <c r="BW370" s="697"/>
      <c r="BX370" s="697"/>
      <c r="BY370" s="697"/>
      <c r="BZ370" s="697"/>
      <c r="CA370" s="697"/>
      <c r="CB370" s="697"/>
      <c r="CC370" s="697"/>
      <c r="CD370" s="697"/>
      <c r="CE370" s="697"/>
      <c r="CF370" s="697"/>
      <c r="CG370" s="697"/>
      <c r="CH370" s="697"/>
      <c r="CI370" s="697"/>
      <c r="CJ370" s="697"/>
      <c r="CK370" s="697"/>
      <c r="CL370" s="697"/>
      <c r="CM370" s="697"/>
      <c r="CN370" s="697"/>
      <c r="CO370" s="697"/>
      <c r="CP370" s="697"/>
      <c r="CQ370" s="697"/>
      <c r="CR370" s="697"/>
      <c r="CS370" s="697"/>
      <c r="CT370" s="697"/>
      <c r="CU370" s="697"/>
      <c r="CV370" s="697"/>
      <c r="CW370" s="697"/>
      <c r="CX370" s="697"/>
      <c r="CY370" s="697"/>
      <c r="CZ370" s="697"/>
      <c r="DA370" s="697"/>
    </row>
    <row r="371" spans="1:105" hidden="1" outlineLevel="1" x14ac:dyDescent="0.2">
      <c r="A371" s="709">
        <f t="shared" si="71"/>
        <v>39083</v>
      </c>
      <c r="B371" s="709" t="str">
        <f t="shared" si="68"/>
        <v>1Q07</v>
      </c>
      <c r="C371" s="709" t="str">
        <f t="shared" si="72"/>
        <v>1Q07</v>
      </c>
      <c r="D371" s="710">
        <f t="shared" si="75"/>
        <v>39150</v>
      </c>
      <c r="E371" s="710">
        <f t="shared" si="75"/>
        <v>39090</v>
      </c>
      <c r="F371" s="712">
        <v>2.5369999999999999</v>
      </c>
      <c r="G371" s="713">
        <f t="shared" si="69"/>
        <v>0.28000000000000008</v>
      </c>
      <c r="H371" s="713">
        <f t="shared" si="70"/>
        <v>0.27000000000000007</v>
      </c>
      <c r="I371" s="697"/>
      <c r="J371" s="697"/>
      <c r="K371" s="697"/>
      <c r="L371" s="697"/>
      <c r="M371" s="697"/>
      <c r="N371" s="697"/>
      <c r="O371" s="697"/>
      <c r="P371" s="697"/>
      <c r="Q371" s="697"/>
      <c r="R371" s="697"/>
      <c r="S371" s="697"/>
      <c r="T371" s="697"/>
      <c r="U371" s="697"/>
      <c r="V371" s="697"/>
      <c r="W371" s="697"/>
      <c r="X371" s="697"/>
      <c r="Y371" s="697"/>
      <c r="Z371" s="697"/>
      <c r="AA371" s="697"/>
      <c r="AB371" s="697"/>
      <c r="AC371" s="697"/>
      <c r="AD371" s="697"/>
      <c r="AE371" s="697"/>
      <c r="AF371" s="697"/>
      <c r="AG371" s="697"/>
      <c r="AH371" s="697"/>
      <c r="AI371" s="697"/>
      <c r="AJ371" s="697"/>
      <c r="AK371" s="697"/>
      <c r="AL371" s="697"/>
      <c r="AM371" s="697"/>
      <c r="AN371" s="697"/>
      <c r="AO371" s="697"/>
      <c r="AP371" s="697"/>
      <c r="AQ371" s="697"/>
      <c r="AR371" s="697"/>
      <c r="AS371" s="697"/>
      <c r="AT371" s="697"/>
      <c r="AU371" s="697"/>
      <c r="AV371" s="697"/>
      <c r="AW371" s="697"/>
      <c r="AX371" s="697"/>
      <c r="AY371" s="697"/>
      <c r="AZ371" s="697"/>
      <c r="BA371" s="697"/>
      <c r="BB371" s="697"/>
      <c r="BC371" s="697"/>
      <c r="BD371" s="697"/>
      <c r="BE371" s="697"/>
      <c r="BF371" s="697"/>
      <c r="BG371" s="697"/>
      <c r="BH371" s="697"/>
      <c r="BI371" s="697"/>
      <c r="BJ371" s="697"/>
      <c r="BK371" s="697"/>
      <c r="BL371" s="697"/>
      <c r="BM371" s="697"/>
      <c r="BN371" s="697"/>
      <c r="BO371" s="697"/>
      <c r="BP371" s="697"/>
      <c r="BQ371" s="697"/>
      <c r="BR371" s="697"/>
      <c r="BS371" s="697"/>
      <c r="BT371" s="697"/>
      <c r="BU371" s="697"/>
      <c r="BV371" s="697"/>
      <c r="BW371" s="697"/>
      <c r="BX371" s="697"/>
      <c r="BY371" s="697"/>
      <c r="BZ371" s="697"/>
      <c r="CA371" s="697"/>
      <c r="CB371" s="697"/>
      <c r="CC371" s="697"/>
      <c r="CD371" s="697"/>
      <c r="CE371" s="697"/>
      <c r="CF371" s="697"/>
      <c r="CG371" s="697"/>
      <c r="CH371" s="697"/>
      <c r="CI371" s="697"/>
      <c r="CJ371" s="697"/>
      <c r="CK371" s="697"/>
      <c r="CL371" s="697"/>
      <c r="CM371" s="697"/>
      <c r="CN371" s="697"/>
      <c r="CO371" s="697"/>
      <c r="CP371" s="697"/>
      <c r="CQ371" s="697"/>
      <c r="CR371" s="697"/>
      <c r="CS371" s="697"/>
      <c r="CT371" s="697"/>
      <c r="CU371" s="697"/>
      <c r="CV371" s="697"/>
      <c r="CW371" s="697"/>
      <c r="CX371" s="697"/>
      <c r="CY371" s="697"/>
      <c r="CZ371" s="697"/>
      <c r="DA371" s="697"/>
    </row>
    <row r="372" spans="1:105" hidden="1" outlineLevel="1" x14ac:dyDescent="0.2">
      <c r="A372" s="709">
        <f t="shared" si="71"/>
        <v>39083</v>
      </c>
      <c r="B372" s="709" t="str">
        <f t="shared" si="68"/>
        <v>1Q07</v>
      </c>
      <c r="C372" s="709" t="str">
        <f t="shared" si="72"/>
        <v>1Q07</v>
      </c>
      <c r="D372" s="710">
        <f t="shared" si="75"/>
        <v>39157</v>
      </c>
      <c r="E372" s="710">
        <f t="shared" si="75"/>
        <v>39097</v>
      </c>
      <c r="F372" s="712">
        <v>2.4630000000000001</v>
      </c>
      <c r="G372" s="713">
        <f t="shared" si="69"/>
        <v>0.27000000000000007</v>
      </c>
      <c r="H372" s="713">
        <f t="shared" si="70"/>
        <v>0.26000000000000006</v>
      </c>
      <c r="I372" s="697"/>
      <c r="J372" s="697"/>
      <c r="K372" s="697"/>
      <c r="L372" s="697"/>
      <c r="M372" s="697"/>
      <c r="N372" s="697"/>
      <c r="O372" s="697"/>
      <c r="P372" s="697"/>
      <c r="Q372" s="697"/>
      <c r="R372" s="697"/>
      <c r="S372" s="697"/>
      <c r="T372" s="697"/>
      <c r="U372" s="697"/>
      <c r="V372" s="697"/>
      <c r="W372" s="697"/>
      <c r="X372" s="697"/>
      <c r="Y372" s="697"/>
      <c r="Z372" s="697"/>
      <c r="AA372" s="697"/>
      <c r="AB372" s="697"/>
      <c r="AC372" s="697"/>
      <c r="AD372" s="697"/>
      <c r="AE372" s="697"/>
      <c r="AF372" s="697"/>
      <c r="AG372" s="697"/>
      <c r="AH372" s="697"/>
      <c r="AI372" s="697"/>
      <c r="AJ372" s="697"/>
      <c r="AK372" s="697"/>
      <c r="AL372" s="697"/>
      <c r="AM372" s="697"/>
      <c r="AN372" s="697"/>
      <c r="AO372" s="697"/>
      <c r="AP372" s="697"/>
      <c r="AQ372" s="697"/>
      <c r="AR372" s="697"/>
      <c r="AS372" s="697"/>
      <c r="AT372" s="697"/>
      <c r="AU372" s="697"/>
      <c r="AV372" s="697"/>
      <c r="AW372" s="697"/>
      <c r="AX372" s="697"/>
      <c r="AY372" s="697"/>
      <c r="AZ372" s="697"/>
      <c r="BA372" s="697"/>
      <c r="BB372" s="697"/>
      <c r="BC372" s="697"/>
      <c r="BD372" s="697"/>
      <c r="BE372" s="697"/>
      <c r="BF372" s="697"/>
      <c r="BG372" s="697"/>
      <c r="BH372" s="697"/>
      <c r="BI372" s="697"/>
      <c r="BJ372" s="697"/>
      <c r="BK372" s="697"/>
      <c r="BL372" s="697"/>
      <c r="BM372" s="697"/>
      <c r="BN372" s="697"/>
      <c r="BO372" s="697"/>
      <c r="BP372" s="697"/>
      <c r="BQ372" s="697"/>
      <c r="BR372" s="697"/>
      <c r="BS372" s="697"/>
      <c r="BT372" s="697"/>
      <c r="BU372" s="697"/>
      <c r="BV372" s="697"/>
      <c r="BW372" s="697"/>
      <c r="BX372" s="697"/>
      <c r="BY372" s="697"/>
      <c r="BZ372" s="697"/>
      <c r="CA372" s="697"/>
      <c r="CB372" s="697"/>
      <c r="CC372" s="697"/>
      <c r="CD372" s="697"/>
      <c r="CE372" s="697"/>
      <c r="CF372" s="697"/>
      <c r="CG372" s="697"/>
      <c r="CH372" s="697"/>
      <c r="CI372" s="697"/>
      <c r="CJ372" s="697"/>
      <c r="CK372" s="697"/>
      <c r="CL372" s="697"/>
      <c r="CM372" s="697"/>
      <c r="CN372" s="697"/>
      <c r="CO372" s="697"/>
      <c r="CP372" s="697"/>
      <c r="CQ372" s="697"/>
      <c r="CR372" s="697"/>
      <c r="CS372" s="697"/>
      <c r="CT372" s="697"/>
      <c r="CU372" s="697"/>
      <c r="CV372" s="697"/>
      <c r="CW372" s="697"/>
      <c r="CX372" s="697"/>
      <c r="CY372" s="697"/>
      <c r="CZ372" s="697"/>
      <c r="DA372" s="697"/>
    </row>
    <row r="373" spans="1:105" hidden="1" outlineLevel="1" x14ac:dyDescent="0.2">
      <c r="A373" s="709">
        <f t="shared" si="71"/>
        <v>39083</v>
      </c>
      <c r="B373" s="709" t="str">
        <f t="shared" si="68"/>
        <v>1Q07</v>
      </c>
      <c r="C373" s="709" t="str">
        <f t="shared" si="72"/>
        <v>1Q07</v>
      </c>
      <c r="D373" s="710">
        <f t="shared" ref="D373:E388" si="76">D372+7</f>
        <v>39164</v>
      </c>
      <c r="E373" s="710">
        <f t="shared" si="76"/>
        <v>39104</v>
      </c>
      <c r="F373" s="712">
        <v>2.4300000000000002</v>
      </c>
      <c r="G373" s="713">
        <f t="shared" si="69"/>
        <v>0.26000000000000006</v>
      </c>
      <c r="H373" s="713">
        <f t="shared" si="70"/>
        <v>0.26000000000000006</v>
      </c>
      <c r="I373" s="697"/>
      <c r="J373" s="697"/>
      <c r="K373" s="697"/>
      <c r="L373" s="697"/>
      <c r="M373" s="697"/>
      <c r="N373" s="697"/>
      <c r="O373" s="697"/>
      <c r="P373" s="697"/>
      <c r="Q373" s="697"/>
      <c r="R373" s="697"/>
      <c r="S373" s="697"/>
      <c r="T373" s="697"/>
      <c r="U373" s="697"/>
      <c r="V373" s="697"/>
      <c r="W373" s="697"/>
      <c r="X373" s="697"/>
      <c r="Y373" s="697"/>
      <c r="Z373" s="697"/>
      <c r="AA373" s="697"/>
      <c r="AB373" s="697"/>
      <c r="AC373" s="697"/>
      <c r="AD373" s="697"/>
      <c r="AE373" s="697"/>
      <c r="AF373" s="697"/>
      <c r="AG373" s="697"/>
      <c r="AH373" s="697"/>
      <c r="AI373" s="697"/>
      <c r="AJ373" s="697"/>
      <c r="AK373" s="697"/>
      <c r="AL373" s="697"/>
      <c r="AM373" s="697"/>
      <c r="AN373" s="697"/>
      <c r="AO373" s="697"/>
      <c r="AP373" s="697"/>
      <c r="AQ373" s="697"/>
      <c r="AR373" s="697"/>
      <c r="AS373" s="697"/>
      <c r="AT373" s="697"/>
      <c r="AU373" s="697"/>
      <c r="AV373" s="697"/>
      <c r="AW373" s="697"/>
      <c r="AX373" s="697"/>
      <c r="AY373" s="697"/>
      <c r="AZ373" s="697"/>
      <c r="BA373" s="697"/>
      <c r="BB373" s="697"/>
      <c r="BC373" s="697"/>
      <c r="BD373" s="697"/>
      <c r="BE373" s="697"/>
      <c r="BF373" s="697"/>
      <c r="BG373" s="697"/>
      <c r="BH373" s="697"/>
      <c r="BI373" s="697"/>
      <c r="BJ373" s="697"/>
      <c r="BK373" s="697"/>
      <c r="BL373" s="697"/>
      <c r="BM373" s="697"/>
      <c r="BN373" s="697"/>
      <c r="BO373" s="697"/>
      <c r="BP373" s="697"/>
      <c r="BQ373" s="697"/>
      <c r="BR373" s="697"/>
      <c r="BS373" s="697"/>
      <c r="BT373" s="697"/>
      <c r="BU373" s="697"/>
      <c r="BV373" s="697"/>
      <c r="BW373" s="697"/>
      <c r="BX373" s="697"/>
      <c r="BY373" s="697"/>
      <c r="BZ373" s="697"/>
      <c r="CA373" s="697"/>
      <c r="CB373" s="697"/>
      <c r="CC373" s="697"/>
      <c r="CD373" s="697"/>
      <c r="CE373" s="697"/>
      <c r="CF373" s="697"/>
      <c r="CG373" s="697"/>
      <c r="CH373" s="697"/>
      <c r="CI373" s="697"/>
      <c r="CJ373" s="697"/>
      <c r="CK373" s="697"/>
      <c r="CL373" s="697"/>
      <c r="CM373" s="697"/>
      <c r="CN373" s="697"/>
      <c r="CO373" s="697"/>
      <c r="CP373" s="697"/>
      <c r="CQ373" s="697"/>
      <c r="CR373" s="697"/>
      <c r="CS373" s="697"/>
      <c r="CT373" s="697"/>
      <c r="CU373" s="697"/>
      <c r="CV373" s="697"/>
      <c r="CW373" s="697"/>
      <c r="CX373" s="697"/>
      <c r="CY373" s="697"/>
      <c r="CZ373" s="697"/>
      <c r="DA373" s="697"/>
    </row>
    <row r="374" spans="1:105" hidden="1" outlineLevel="1" x14ac:dyDescent="0.2">
      <c r="A374" s="709">
        <f t="shared" si="71"/>
        <v>39083</v>
      </c>
      <c r="B374" s="709" t="str">
        <f t="shared" si="68"/>
        <v>1Q07</v>
      </c>
      <c r="C374" s="709" t="str">
        <f t="shared" si="72"/>
        <v>1Q07</v>
      </c>
      <c r="D374" s="710">
        <f t="shared" si="76"/>
        <v>39171</v>
      </c>
      <c r="E374" s="710">
        <f t="shared" si="76"/>
        <v>39111</v>
      </c>
      <c r="F374" s="712">
        <v>2.4129999999999998</v>
      </c>
      <c r="G374" s="713">
        <f t="shared" si="69"/>
        <v>0.26000000000000006</v>
      </c>
      <c r="H374" s="713">
        <f t="shared" si="70"/>
        <v>0.26000000000000006</v>
      </c>
      <c r="I374" s="697"/>
      <c r="J374" s="697"/>
      <c r="K374" s="697"/>
      <c r="L374" s="697"/>
      <c r="M374" s="697"/>
      <c r="N374" s="697"/>
      <c r="O374" s="697"/>
      <c r="P374" s="697"/>
      <c r="Q374" s="697"/>
      <c r="R374" s="697"/>
      <c r="S374" s="697"/>
      <c r="T374" s="697"/>
      <c r="U374" s="697"/>
      <c r="V374" s="697"/>
      <c r="W374" s="697"/>
      <c r="X374" s="697"/>
      <c r="Y374" s="697"/>
      <c r="Z374" s="697"/>
      <c r="AA374" s="697"/>
      <c r="AB374" s="697"/>
      <c r="AC374" s="697"/>
      <c r="AD374" s="697"/>
      <c r="AE374" s="697"/>
      <c r="AF374" s="697"/>
      <c r="AG374" s="697"/>
      <c r="AH374" s="697"/>
      <c r="AI374" s="697"/>
      <c r="AJ374" s="697"/>
      <c r="AK374" s="697"/>
      <c r="AL374" s="697"/>
      <c r="AM374" s="697"/>
      <c r="AN374" s="697"/>
      <c r="AO374" s="697"/>
      <c r="AP374" s="697"/>
      <c r="AQ374" s="697"/>
      <c r="AR374" s="697"/>
      <c r="AS374" s="697"/>
      <c r="AT374" s="697"/>
      <c r="AU374" s="697"/>
      <c r="AV374" s="697"/>
      <c r="AW374" s="697"/>
      <c r="AX374" s="697"/>
      <c r="AY374" s="697"/>
      <c r="AZ374" s="697"/>
      <c r="BA374" s="697"/>
      <c r="BB374" s="697"/>
      <c r="BC374" s="697"/>
      <c r="BD374" s="697"/>
      <c r="BE374" s="697"/>
      <c r="BF374" s="697"/>
      <c r="BG374" s="697"/>
      <c r="BH374" s="697"/>
      <c r="BI374" s="697"/>
      <c r="BJ374" s="697"/>
      <c r="BK374" s="697"/>
      <c r="BL374" s="697"/>
      <c r="BM374" s="697"/>
      <c r="BN374" s="697"/>
      <c r="BO374" s="697"/>
      <c r="BP374" s="697"/>
      <c r="BQ374" s="697"/>
      <c r="BR374" s="697"/>
      <c r="BS374" s="697"/>
      <c r="BT374" s="697"/>
      <c r="BU374" s="697"/>
      <c r="BV374" s="697"/>
      <c r="BW374" s="697"/>
      <c r="BX374" s="697"/>
      <c r="BY374" s="697"/>
      <c r="BZ374" s="697"/>
      <c r="CA374" s="697"/>
      <c r="CB374" s="697"/>
      <c r="CC374" s="697"/>
      <c r="CD374" s="697"/>
      <c r="CE374" s="697"/>
      <c r="CF374" s="697"/>
      <c r="CG374" s="697"/>
      <c r="CH374" s="697"/>
      <c r="CI374" s="697"/>
      <c r="CJ374" s="697"/>
      <c r="CK374" s="697"/>
      <c r="CL374" s="697"/>
      <c r="CM374" s="697"/>
      <c r="CN374" s="697"/>
      <c r="CO374" s="697"/>
      <c r="CP374" s="697"/>
      <c r="CQ374" s="697"/>
      <c r="CR374" s="697"/>
      <c r="CS374" s="697"/>
      <c r="CT374" s="697"/>
      <c r="CU374" s="697"/>
      <c r="CV374" s="697"/>
      <c r="CW374" s="697"/>
      <c r="CX374" s="697"/>
      <c r="CY374" s="697"/>
      <c r="CZ374" s="697"/>
      <c r="DA374" s="697"/>
    </row>
    <row r="375" spans="1:105" hidden="1" outlineLevel="1" x14ac:dyDescent="0.2">
      <c r="A375" s="709">
        <f t="shared" si="71"/>
        <v>39114</v>
      </c>
      <c r="B375" s="709" t="str">
        <f t="shared" si="68"/>
        <v>1Q07</v>
      </c>
      <c r="C375" s="709" t="str">
        <f t="shared" si="72"/>
        <v>2Q07</v>
      </c>
      <c r="D375" s="710">
        <f t="shared" si="76"/>
        <v>39178</v>
      </c>
      <c r="E375" s="710">
        <f t="shared" si="76"/>
        <v>39118</v>
      </c>
      <c r="F375" s="712">
        <v>2.4350000000000001</v>
      </c>
      <c r="G375" s="713">
        <f t="shared" si="69"/>
        <v>0.26000000000000006</v>
      </c>
      <c r="H375" s="713">
        <f t="shared" si="70"/>
        <v>0.27000000000000007</v>
      </c>
      <c r="I375" s="697"/>
      <c r="J375" s="697"/>
      <c r="K375" s="697"/>
      <c r="L375" s="697"/>
      <c r="M375" s="697"/>
      <c r="N375" s="697"/>
      <c r="O375" s="697"/>
      <c r="P375" s="697"/>
      <c r="Q375" s="697"/>
      <c r="R375" s="697"/>
      <c r="S375" s="697"/>
      <c r="T375" s="697"/>
      <c r="U375" s="697"/>
      <c r="V375" s="697"/>
      <c r="W375" s="697"/>
      <c r="X375" s="697"/>
      <c r="Y375" s="697"/>
      <c r="Z375" s="697"/>
      <c r="AA375" s="697"/>
      <c r="AB375" s="697"/>
      <c r="AC375" s="697"/>
      <c r="AD375" s="697"/>
      <c r="AE375" s="697"/>
      <c r="AF375" s="697"/>
      <c r="AG375" s="697"/>
      <c r="AH375" s="697"/>
      <c r="AI375" s="697"/>
      <c r="AJ375" s="697"/>
      <c r="AK375" s="697"/>
      <c r="AL375" s="697"/>
      <c r="AM375" s="697"/>
      <c r="AN375" s="697"/>
      <c r="AO375" s="697"/>
      <c r="AP375" s="697"/>
      <c r="AQ375" s="697"/>
      <c r="AR375" s="697"/>
      <c r="AS375" s="697"/>
      <c r="AT375" s="697"/>
      <c r="AU375" s="697"/>
      <c r="AV375" s="697"/>
      <c r="AW375" s="697"/>
      <c r="AX375" s="697"/>
      <c r="AY375" s="697"/>
      <c r="AZ375" s="697"/>
      <c r="BA375" s="697"/>
      <c r="BB375" s="697"/>
      <c r="BC375" s="697"/>
      <c r="BD375" s="697"/>
      <c r="BE375" s="697"/>
      <c r="BF375" s="697"/>
      <c r="BG375" s="697"/>
      <c r="BH375" s="697"/>
      <c r="BI375" s="697"/>
      <c r="BJ375" s="697"/>
      <c r="BK375" s="697"/>
      <c r="BL375" s="697"/>
      <c r="BM375" s="697"/>
      <c r="BN375" s="697"/>
      <c r="BO375" s="697"/>
      <c r="BP375" s="697"/>
      <c r="BQ375" s="697"/>
      <c r="BR375" s="697"/>
      <c r="BS375" s="697"/>
      <c r="BT375" s="697"/>
      <c r="BU375" s="697"/>
      <c r="BV375" s="697"/>
      <c r="BW375" s="697"/>
      <c r="BX375" s="697"/>
      <c r="BY375" s="697"/>
      <c r="BZ375" s="697"/>
      <c r="CA375" s="697"/>
      <c r="CB375" s="697"/>
      <c r="CC375" s="697"/>
      <c r="CD375" s="697"/>
      <c r="CE375" s="697"/>
      <c r="CF375" s="697"/>
      <c r="CG375" s="697"/>
      <c r="CH375" s="697"/>
      <c r="CI375" s="697"/>
      <c r="CJ375" s="697"/>
      <c r="CK375" s="697"/>
      <c r="CL375" s="697"/>
      <c r="CM375" s="697"/>
      <c r="CN375" s="697"/>
      <c r="CO375" s="697"/>
      <c r="CP375" s="697"/>
      <c r="CQ375" s="697"/>
      <c r="CR375" s="697"/>
      <c r="CS375" s="697"/>
      <c r="CT375" s="697"/>
      <c r="CU375" s="697"/>
      <c r="CV375" s="697"/>
      <c r="CW375" s="697"/>
      <c r="CX375" s="697"/>
      <c r="CY375" s="697"/>
      <c r="CZ375" s="697"/>
      <c r="DA375" s="697"/>
    </row>
    <row r="376" spans="1:105" hidden="1" outlineLevel="1" x14ac:dyDescent="0.2">
      <c r="A376" s="709">
        <f t="shared" si="71"/>
        <v>39114</v>
      </c>
      <c r="B376" s="709" t="str">
        <f t="shared" si="68"/>
        <v>1Q07</v>
      </c>
      <c r="C376" s="709" t="str">
        <f t="shared" si="72"/>
        <v>2Q07</v>
      </c>
      <c r="D376" s="710">
        <f t="shared" si="76"/>
        <v>39185</v>
      </c>
      <c r="E376" s="710">
        <f t="shared" si="76"/>
        <v>39125</v>
      </c>
      <c r="F376" s="712">
        <v>2.476</v>
      </c>
      <c r="G376" s="713">
        <f t="shared" si="69"/>
        <v>0.27000000000000007</v>
      </c>
      <c r="H376" s="713">
        <f t="shared" si="70"/>
        <v>0.27000000000000007</v>
      </c>
      <c r="I376" s="697"/>
      <c r="J376" s="697"/>
      <c r="K376" s="697"/>
      <c r="L376" s="697"/>
      <c r="M376" s="697"/>
      <c r="N376" s="697"/>
      <c r="O376" s="697"/>
      <c r="P376" s="697"/>
      <c r="Q376" s="697"/>
      <c r="R376" s="697"/>
      <c r="S376" s="697"/>
      <c r="T376" s="697"/>
      <c r="U376" s="697"/>
      <c r="V376" s="697"/>
      <c r="W376" s="697"/>
      <c r="X376" s="697"/>
      <c r="Y376" s="697"/>
      <c r="Z376" s="697"/>
      <c r="AA376" s="697"/>
      <c r="AB376" s="697"/>
      <c r="AC376" s="697"/>
      <c r="AD376" s="697"/>
      <c r="AE376" s="697"/>
      <c r="AF376" s="697"/>
      <c r="AG376" s="697"/>
      <c r="AH376" s="697"/>
      <c r="AI376" s="697"/>
      <c r="AJ376" s="697"/>
      <c r="AK376" s="697"/>
      <c r="AL376" s="697"/>
      <c r="AM376" s="697"/>
      <c r="AN376" s="697"/>
      <c r="AO376" s="697"/>
      <c r="AP376" s="697"/>
      <c r="AQ376" s="697"/>
      <c r="AR376" s="697"/>
      <c r="AS376" s="697"/>
      <c r="AT376" s="697"/>
      <c r="AU376" s="697"/>
      <c r="AV376" s="697"/>
      <c r="AW376" s="697"/>
      <c r="AX376" s="697"/>
      <c r="AY376" s="697"/>
      <c r="AZ376" s="697"/>
      <c r="BA376" s="697"/>
      <c r="BB376" s="697"/>
      <c r="BC376" s="697"/>
      <c r="BD376" s="697"/>
      <c r="BE376" s="697"/>
      <c r="BF376" s="697"/>
      <c r="BG376" s="697"/>
      <c r="BH376" s="697"/>
      <c r="BI376" s="697"/>
      <c r="BJ376" s="697"/>
      <c r="BK376" s="697"/>
      <c r="BL376" s="697"/>
      <c r="BM376" s="697"/>
      <c r="BN376" s="697"/>
      <c r="BO376" s="697"/>
      <c r="BP376" s="697"/>
      <c r="BQ376" s="697"/>
      <c r="BR376" s="697"/>
      <c r="BS376" s="697"/>
      <c r="BT376" s="697"/>
      <c r="BU376" s="697"/>
      <c r="BV376" s="697"/>
      <c r="BW376" s="697"/>
      <c r="BX376" s="697"/>
      <c r="BY376" s="697"/>
      <c r="BZ376" s="697"/>
      <c r="CA376" s="697"/>
      <c r="CB376" s="697"/>
      <c r="CC376" s="697"/>
      <c r="CD376" s="697"/>
      <c r="CE376" s="697"/>
      <c r="CF376" s="697"/>
      <c r="CG376" s="697"/>
      <c r="CH376" s="697"/>
      <c r="CI376" s="697"/>
      <c r="CJ376" s="697"/>
      <c r="CK376" s="697"/>
      <c r="CL376" s="697"/>
      <c r="CM376" s="697"/>
      <c r="CN376" s="697"/>
      <c r="CO376" s="697"/>
      <c r="CP376" s="697"/>
      <c r="CQ376" s="697"/>
      <c r="CR376" s="697"/>
      <c r="CS376" s="697"/>
      <c r="CT376" s="697"/>
      <c r="CU376" s="697"/>
      <c r="CV376" s="697"/>
      <c r="CW376" s="697"/>
      <c r="CX376" s="697"/>
      <c r="CY376" s="697"/>
      <c r="CZ376" s="697"/>
      <c r="DA376" s="697"/>
    </row>
    <row r="377" spans="1:105" hidden="1" outlineLevel="1" x14ac:dyDescent="0.2">
      <c r="A377" s="709">
        <f t="shared" si="71"/>
        <v>39114</v>
      </c>
      <c r="B377" s="709" t="str">
        <f t="shared" si="68"/>
        <v>1Q07</v>
      </c>
      <c r="C377" s="709" t="str">
        <f t="shared" si="72"/>
        <v>2Q07</v>
      </c>
      <c r="D377" s="710">
        <f t="shared" si="76"/>
        <v>39192</v>
      </c>
      <c r="E377" s="710">
        <f t="shared" si="76"/>
        <v>39132</v>
      </c>
      <c r="F377" s="712">
        <v>2.4910000000000001</v>
      </c>
      <c r="G377" s="713">
        <f t="shared" si="69"/>
        <v>0.27000000000000007</v>
      </c>
      <c r="H377" s="713">
        <f t="shared" si="70"/>
        <v>0.29000000000000009</v>
      </c>
      <c r="I377" s="697"/>
      <c r="J377" s="697"/>
      <c r="K377" s="697"/>
      <c r="L377" s="697"/>
      <c r="M377" s="697"/>
      <c r="N377" s="697"/>
      <c r="O377" s="697"/>
      <c r="P377" s="697"/>
      <c r="Q377" s="697"/>
      <c r="R377" s="697"/>
      <c r="S377" s="697"/>
      <c r="T377" s="697"/>
      <c r="U377" s="697"/>
      <c r="V377" s="697"/>
      <c r="W377" s="697"/>
      <c r="X377" s="697"/>
      <c r="Y377" s="697"/>
      <c r="Z377" s="697"/>
      <c r="AA377" s="697"/>
      <c r="AB377" s="697"/>
      <c r="AC377" s="697"/>
      <c r="AD377" s="697"/>
      <c r="AE377" s="697"/>
      <c r="AF377" s="697"/>
      <c r="AG377" s="697"/>
      <c r="AH377" s="697"/>
      <c r="AI377" s="697"/>
      <c r="AJ377" s="697"/>
      <c r="AK377" s="697"/>
      <c r="AL377" s="697"/>
      <c r="AM377" s="697"/>
      <c r="AN377" s="697"/>
      <c r="AO377" s="697"/>
      <c r="AP377" s="697"/>
      <c r="AQ377" s="697"/>
      <c r="AR377" s="697"/>
      <c r="AS377" s="697"/>
      <c r="AT377" s="697"/>
      <c r="AU377" s="697"/>
      <c r="AV377" s="697"/>
      <c r="AW377" s="697"/>
      <c r="AX377" s="697"/>
      <c r="AY377" s="697"/>
      <c r="AZ377" s="697"/>
      <c r="BA377" s="697"/>
      <c r="BB377" s="697"/>
      <c r="BC377" s="697"/>
      <c r="BD377" s="697"/>
      <c r="BE377" s="697"/>
      <c r="BF377" s="697"/>
      <c r="BG377" s="697"/>
      <c r="BH377" s="697"/>
      <c r="BI377" s="697"/>
      <c r="BJ377" s="697"/>
      <c r="BK377" s="697"/>
      <c r="BL377" s="697"/>
      <c r="BM377" s="697"/>
      <c r="BN377" s="697"/>
      <c r="BO377" s="697"/>
      <c r="BP377" s="697"/>
      <c r="BQ377" s="697"/>
      <c r="BR377" s="697"/>
      <c r="BS377" s="697"/>
      <c r="BT377" s="697"/>
      <c r="BU377" s="697"/>
      <c r="BV377" s="697"/>
      <c r="BW377" s="697"/>
      <c r="BX377" s="697"/>
      <c r="BY377" s="697"/>
      <c r="BZ377" s="697"/>
      <c r="CA377" s="697"/>
      <c r="CB377" s="697"/>
      <c r="CC377" s="697"/>
      <c r="CD377" s="697"/>
      <c r="CE377" s="697"/>
      <c r="CF377" s="697"/>
      <c r="CG377" s="697"/>
      <c r="CH377" s="697"/>
      <c r="CI377" s="697"/>
      <c r="CJ377" s="697"/>
      <c r="CK377" s="697"/>
      <c r="CL377" s="697"/>
      <c r="CM377" s="697"/>
      <c r="CN377" s="697"/>
      <c r="CO377" s="697"/>
      <c r="CP377" s="697"/>
      <c r="CQ377" s="697"/>
      <c r="CR377" s="697"/>
      <c r="CS377" s="697"/>
      <c r="CT377" s="697"/>
      <c r="CU377" s="697"/>
      <c r="CV377" s="697"/>
      <c r="CW377" s="697"/>
      <c r="CX377" s="697"/>
      <c r="CY377" s="697"/>
      <c r="CZ377" s="697"/>
      <c r="DA377" s="697"/>
    </row>
    <row r="378" spans="1:105" hidden="1" outlineLevel="1" x14ac:dyDescent="0.2">
      <c r="A378" s="709">
        <f t="shared" si="71"/>
        <v>39114</v>
      </c>
      <c r="B378" s="709" t="str">
        <f t="shared" si="68"/>
        <v>1Q07</v>
      </c>
      <c r="C378" s="709" t="str">
        <f t="shared" si="72"/>
        <v>2Q07</v>
      </c>
      <c r="D378" s="710">
        <f t="shared" si="76"/>
        <v>39199</v>
      </c>
      <c r="E378" s="710">
        <f t="shared" si="76"/>
        <v>39139</v>
      </c>
      <c r="F378" s="712">
        <v>2.5510000000000002</v>
      </c>
      <c r="G378" s="713">
        <f t="shared" si="69"/>
        <v>0.29000000000000009</v>
      </c>
      <c r="H378" s="713">
        <f t="shared" si="70"/>
        <v>0.3000000000000001</v>
      </c>
      <c r="I378" s="697"/>
      <c r="J378" s="697"/>
      <c r="K378" s="697"/>
      <c r="L378" s="697"/>
      <c r="M378" s="697"/>
      <c r="N378" s="697"/>
      <c r="O378" s="697"/>
      <c r="P378" s="697"/>
      <c r="Q378" s="697"/>
      <c r="R378" s="697"/>
      <c r="S378" s="697"/>
      <c r="T378" s="697"/>
      <c r="U378" s="697"/>
      <c r="V378" s="697"/>
      <c r="W378" s="697"/>
      <c r="X378" s="697"/>
      <c r="Y378" s="697"/>
      <c r="Z378" s="697"/>
      <c r="AA378" s="697"/>
      <c r="AB378" s="697"/>
      <c r="AC378" s="697"/>
      <c r="AD378" s="697"/>
      <c r="AE378" s="697"/>
      <c r="AF378" s="697"/>
      <c r="AG378" s="697"/>
      <c r="AH378" s="697"/>
      <c r="AI378" s="697"/>
      <c r="AJ378" s="697"/>
      <c r="AK378" s="697"/>
      <c r="AL378" s="697"/>
      <c r="AM378" s="697"/>
      <c r="AN378" s="697"/>
      <c r="AO378" s="697"/>
      <c r="AP378" s="697"/>
      <c r="AQ378" s="697"/>
      <c r="AR378" s="697"/>
      <c r="AS378" s="697"/>
      <c r="AT378" s="697"/>
      <c r="AU378" s="697"/>
      <c r="AV378" s="697"/>
      <c r="AW378" s="697"/>
      <c r="AX378" s="697"/>
      <c r="AY378" s="697"/>
      <c r="AZ378" s="697"/>
      <c r="BA378" s="697"/>
      <c r="BB378" s="697"/>
      <c r="BC378" s="697"/>
      <c r="BD378" s="697"/>
      <c r="BE378" s="697"/>
      <c r="BF378" s="697"/>
      <c r="BG378" s="697"/>
      <c r="BH378" s="697"/>
      <c r="BI378" s="697"/>
      <c r="BJ378" s="697"/>
      <c r="BK378" s="697"/>
      <c r="BL378" s="697"/>
      <c r="BM378" s="697"/>
      <c r="BN378" s="697"/>
      <c r="BO378" s="697"/>
      <c r="BP378" s="697"/>
      <c r="BQ378" s="697"/>
      <c r="BR378" s="697"/>
      <c r="BS378" s="697"/>
      <c r="BT378" s="697"/>
      <c r="BU378" s="697"/>
      <c r="BV378" s="697"/>
      <c r="BW378" s="697"/>
      <c r="BX378" s="697"/>
      <c r="BY378" s="697"/>
      <c r="BZ378" s="697"/>
      <c r="CA378" s="697"/>
      <c r="CB378" s="697"/>
      <c r="CC378" s="697"/>
      <c r="CD378" s="697"/>
      <c r="CE378" s="697"/>
      <c r="CF378" s="697"/>
      <c r="CG378" s="697"/>
      <c r="CH378" s="697"/>
      <c r="CI378" s="697"/>
      <c r="CJ378" s="697"/>
      <c r="CK378" s="697"/>
      <c r="CL378" s="697"/>
      <c r="CM378" s="697"/>
      <c r="CN378" s="697"/>
      <c r="CO378" s="697"/>
      <c r="CP378" s="697"/>
      <c r="CQ378" s="697"/>
      <c r="CR378" s="697"/>
      <c r="CS378" s="697"/>
      <c r="CT378" s="697"/>
      <c r="CU378" s="697"/>
      <c r="CV378" s="697"/>
      <c r="CW378" s="697"/>
      <c r="CX378" s="697"/>
      <c r="CY378" s="697"/>
      <c r="CZ378" s="697"/>
      <c r="DA378" s="697"/>
    </row>
    <row r="379" spans="1:105" hidden="1" outlineLevel="1" x14ac:dyDescent="0.2">
      <c r="A379" s="709">
        <f t="shared" si="71"/>
        <v>39142</v>
      </c>
      <c r="B379" s="709" t="str">
        <f t="shared" si="68"/>
        <v>1Q07</v>
      </c>
      <c r="C379" s="709" t="str">
        <f t="shared" si="72"/>
        <v>2Q07</v>
      </c>
      <c r="D379" s="710">
        <f t="shared" si="76"/>
        <v>39206</v>
      </c>
      <c r="E379" s="710">
        <f t="shared" si="76"/>
        <v>39146</v>
      </c>
      <c r="F379" s="712">
        <v>2.6259999999999999</v>
      </c>
      <c r="G379" s="713">
        <f t="shared" si="69"/>
        <v>0.3000000000000001</v>
      </c>
      <c r="H379" s="713">
        <f t="shared" si="70"/>
        <v>0.31000000000000011</v>
      </c>
      <c r="I379" s="697"/>
      <c r="J379" s="697"/>
      <c r="K379" s="697"/>
      <c r="L379" s="697"/>
      <c r="M379" s="697"/>
      <c r="N379" s="697"/>
      <c r="O379" s="697"/>
      <c r="P379" s="697"/>
      <c r="Q379" s="697"/>
      <c r="R379" s="697"/>
      <c r="S379" s="697"/>
      <c r="T379" s="697"/>
      <c r="U379" s="697"/>
      <c r="V379" s="697"/>
      <c r="W379" s="697"/>
      <c r="X379" s="697"/>
      <c r="Y379" s="697"/>
      <c r="Z379" s="697"/>
      <c r="AA379" s="697"/>
      <c r="AB379" s="697"/>
      <c r="AC379" s="697"/>
      <c r="AD379" s="697"/>
      <c r="AE379" s="697"/>
      <c r="AF379" s="697"/>
      <c r="AG379" s="697"/>
      <c r="AH379" s="697"/>
      <c r="AI379" s="697"/>
      <c r="AJ379" s="697"/>
      <c r="AK379" s="697"/>
      <c r="AL379" s="697"/>
      <c r="AM379" s="697"/>
      <c r="AN379" s="697"/>
      <c r="AO379" s="697"/>
      <c r="AP379" s="697"/>
      <c r="AQ379" s="697"/>
      <c r="AR379" s="697"/>
      <c r="AS379" s="697"/>
      <c r="AT379" s="697"/>
      <c r="AU379" s="697"/>
      <c r="AV379" s="697"/>
      <c r="AW379" s="697"/>
      <c r="AX379" s="697"/>
      <c r="AY379" s="697"/>
      <c r="AZ379" s="697"/>
      <c r="BA379" s="697"/>
      <c r="BB379" s="697"/>
      <c r="BC379" s="697"/>
      <c r="BD379" s="697"/>
      <c r="BE379" s="697"/>
      <c r="BF379" s="697"/>
      <c r="BG379" s="697"/>
      <c r="BH379" s="697"/>
      <c r="BI379" s="697"/>
      <c r="BJ379" s="697"/>
      <c r="BK379" s="697"/>
      <c r="BL379" s="697"/>
      <c r="BM379" s="697"/>
      <c r="BN379" s="697"/>
      <c r="BO379" s="697"/>
      <c r="BP379" s="697"/>
      <c r="BQ379" s="697"/>
      <c r="BR379" s="697"/>
      <c r="BS379" s="697"/>
      <c r="BT379" s="697"/>
      <c r="BU379" s="697"/>
      <c r="BV379" s="697"/>
      <c r="BW379" s="697"/>
      <c r="BX379" s="697"/>
      <c r="BY379" s="697"/>
      <c r="BZ379" s="697"/>
      <c r="CA379" s="697"/>
      <c r="CB379" s="697"/>
      <c r="CC379" s="697"/>
      <c r="CD379" s="697"/>
      <c r="CE379" s="697"/>
      <c r="CF379" s="697"/>
      <c r="CG379" s="697"/>
      <c r="CH379" s="697"/>
      <c r="CI379" s="697"/>
      <c r="CJ379" s="697"/>
      <c r="CK379" s="697"/>
      <c r="CL379" s="697"/>
      <c r="CM379" s="697"/>
      <c r="CN379" s="697"/>
      <c r="CO379" s="697"/>
      <c r="CP379" s="697"/>
      <c r="CQ379" s="697"/>
      <c r="CR379" s="697"/>
      <c r="CS379" s="697"/>
      <c r="CT379" s="697"/>
      <c r="CU379" s="697"/>
      <c r="CV379" s="697"/>
      <c r="CW379" s="697"/>
      <c r="CX379" s="697"/>
      <c r="CY379" s="697"/>
      <c r="CZ379" s="697"/>
      <c r="DA379" s="697"/>
    </row>
    <row r="380" spans="1:105" hidden="1" outlineLevel="1" x14ac:dyDescent="0.2">
      <c r="A380" s="709">
        <f t="shared" si="71"/>
        <v>39142</v>
      </c>
      <c r="B380" s="709" t="str">
        <f t="shared" si="68"/>
        <v>1Q07</v>
      </c>
      <c r="C380" s="709" t="str">
        <f t="shared" si="72"/>
        <v>2Q07</v>
      </c>
      <c r="D380" s="710">
        <f t="shared" si="76"/>
        <v>39213</v>
      </c>
      <c r="E380" s="710">
        <f t="shared" si="76"/>
        <v>39153</v>
      </c>
      <c r="F380" s="712">
        <v>2.6850000000000001</v>
      </c>
      <c r="G380" s="713">
        <f t="shared" si="69"/>
        <v>0.31000000000000011</v>
      </c>
      <c r="H380" s="713">
        <f t="shared" si="70"/>
        <v>0.31000000000000011</v>
      </c>
      <c r="I380" s="697"/>
      <c r="J380" s="697"/>
      <c r="K380" s="697"/>
      <c r="L380" s="697"/>
      <c r="M380" s="697"/>
      <c r="N380" s="697"/>
      <c r="O380" s="697"/>
      <c r="P380" s="697"/>
      <c r="Q380" s="697"/>
      <c r="R380" s="697"/>
      <c r="S380" s="697"/>
      <c r="T380" s="697"/>
      <c r="U380" s="697"/>
      <c r="V380" s="697"/>
      <c r="W380" s="697"/>
      <c r="X380" s="697"/>
      <c r="Y380" s="697"/>
      <c r="Z380" s="697"/>
      <c r="AA380" s="697"/>
      <c r="AB380" s="697"/>
      <c r="AC380" s="697"/>
      <c r="AD380" s="697"/>
      <c r="AE380" s="697"/>
      <c r="AF380" s="697"/>
      <c r="AG380" s="697"/>
      <c r="AH380" s="697"/>
      <c r="AI380" s="697"/>
      <c r="AJ380" s="697"/>
      <c r="AK380" s="697"/>
      <c r="AL380" s="697"/>
      <c r="AM380" s="697"/>
      <c r="AN380" s="697"/>
      <c r="AO380" s="697"/>
      <c r="AP380" s="697"/>
      <c r="AQ380" s="697"/>
      <c r="AR380" s="697"/>
      <c r="AS380" s="697"/>
      <c r="AT380" s="697"/>
      <c r="AU380" s="697"/>
      <c r="AV380" s="697"/>
      <c r="AW380" s="697"/>
      <c r="AX380" s="697"/>
      <c r="AY380" s="697"/>
      <c r="AZ380" s="697"/>
      <c r="BA380" s="697"/>
      <c r="BB380" s="697"/>
      <c r="BC380" s="697"/>
      <c r="BD380" s="697"/>
      <c r="BE380" s="697"/>
      <c r="BF380" s="697"/>
      <c r="BG380" s="697"/>
      <c r="BH380" s="697"/>
      <c r="BI380" s="697"/>
      <c r="BJ380" s="697"/>
      <c r="BK380" s="697"/>
      <c r="BL380" s="697"/>
      <c r="BM380" s="697"/>
      <c r="BN380" s="697"/>
      <c r="BO380" s="697"/>
      <c r="BP380" s="697"/>
      <c r="BQ380" s="697"/>
      <c r="BR380" s="697"/>
      <c r="BS380" s="697"/>
      <c r="BT380" s="697"/>
      <c r="BU380" s="697"/>
      <c r="BV380" s="697"/>
      <c r="BW380" s="697"/>
      <c r="BX380" s="697"/>
      <c r="BY380" s="697"/>
      <c r="BZ380" s="697"/>
      <c r="CA380" s="697"/>
      <c r="CB380" s="697"/>
      <c r="CC380" s="697"/>
      <c r="CD380" s="697"/>
      <c r="CE380" s="697"/>
      <c r="CF380" s="697"/>
      <c r="CG380" s="697"/>
      <c r="CH380" s="697"/>
      <c r="CI380" s="697"/>
      <c r="CJ380" s="697"/>
      <c r="CK380" s="697"/>
      <c r="CL380" s="697"/>
      <c r="CM380" s="697"/>
      <c r="CN380" s="697"/>
      <c r="CO380" s="697"/>
      <c r="CP380" s="697"/>
      <c r="CQ380" s="697"/>
      <c r="CR380" s="697"/>
      <c r="CS380" s="697"/>
      <c r="CT380" s="697"/>
      <c r="CU380" s="697"/>
      <c r="CV380" s="697"/>
      <c r="CW380" s="697"/>
      <c r="CX380" s="697"/>
      <c r="CY380" s="697"/>
      <c r="CZ380" s="697"/>
      <c r="DA380" s="697"/>
    </row>
    <row r="381" spans="1:105" hidden="1" outlineLevel="1" x14ac:dyDescent="0.2">
      <c r="A381" s="709">
        <f t="shared" si="71"/>
        <v>39142</v>
      </c>
      <c r="B381" s="709" t="str">
        <f t="shared" si="68"/>
        <v>1Q07</v>
      </c>
      <c r="C381" s="709" t="str">
        <f t="shared" si="72"/>
        <v>2Q07</v>
      </c>
      <c r="D381" s="710">
        <f t="shared" si="76"/>
        <v>39220</v>
      </c>
      <c r="E381" s="710">
        <f t="shared" si="76"/>
        <v>39160</v>
      </c>
      <c r="F381" s="712">
        <v>2.681</v>
      </c>
      <c r="G381" s="713">
        <f t="shared" si="69"/>
        <v>0.31000000000000011</v>
      </c>
      <c r="H381" s="713">
        <f t="shared" si="70"/>
        <v>0.31000000000000011</v>
      </c>
      <c r="I381" s="697"/>
      <c r="J381" s="697"/>
      <c r="K381" s="697"/>
      <c r="L381" s="697"/>
      <c r="M381" s="697"/>
      <c r="N381" s="697"/>
      <c r="O381" s="697"/>
      <c r="P381" s="697"/>
      <c r="Q381" s="697"/>
      <c r="R381" s="697"/>
      <c r="S381" s="697"/>
      <c r="T381" s="697"/>
      <c r="U381" s="697"/>
      <c r="V381" s="697"/>
      <c r="W381" s="697"/>
      <c r="X381" s="697"/>
      <c r="Y381" s="697"/>
      <c r="Z381" s="697"/>
      <c r="AA381" s="697"/>
      <c r="AB381" s="697"/>
      <c r="AC381" s="697"/>
      <c r="AD381" s="697"/>
      <c r="AE381" s="697"/>
      <c r="AF381" s="697"/>
      <c r="AG381" s="697"/>
      <c r="AH381" s="697"/>
      <c r="AI381" s="697"/>
      <c r="AJ381" s="697"/>
      <c r="AK381" s="697"/>
      <c r="AL381" s="697"/>
      <c r="AM381" s="697"/>
      <c r="AN381" s="697"/>
      <c r="AO381" s="697"/>
      <c r="AP381" s="697"/>
      <c r="AQ381" s="697"/>
      <c r="AR381" s="697"/>
      <c r="AS381" s="697"/>
      <c r="AT381" s="697"/>
      <c r="AU381" s="697"/>
      <c r="AV381" s="697"/>
      <c r="AW381" s="697"/>
      <c r="AX381" s="697"/>
      <c r="AY381" s="697"/>
      <c r="AZ381" s="697"/>
      <c r="BA381" s="697"/>
      <c r="BB381" s="697"/>
      <c r="BC381" s="697"/>
      <c r="BD381" s="697"/>
      <c r="BE381" s="697"/>
      <c r="BF381" s="697"/>
      <c r="BG381" s="697"/>
      <c r="BH381" s="697"/>
      <c r="BI381" s="697"/>
      <c r="BJ381" s="697"/>
      <c r="BK381" s="697"/>
      <c r="BL381" s="697"/>
      <c r="BM381" s="697"/>
      <c r="BN381" s="697"/>
      <c r="BO381" s="697"/>
      <c r="BP381" s="697"/>
      <c r="BQ381" s="697"/>
      <c r="BR381" s="697"/>
      <c r="BS381" s="697"/>
      <c r="BT381" s="697"/>
      <c r="BU381" s="697"/>
      <c r="BV381" s="697"/>
      <c r="BW381" s="697"/>
      <c r="BX381" s="697"/>
      <c r="BY381" s="697"/>
      <c r="BZ381" s="697"/>
      <c r="CA381" s="697"/>
      <c r="CB381" s="697"/>
      <c r="CC381" s="697"/>
      <c r="CD381" s="697"/>
      <c r="CE381" s="697"/>
      <c r="CF381" s="697"/>
      <c r="CG381" s="697"/>
      <c r="CH381" s="697"/>
      <c r="CI381" s="697"/>
      <c r="CJ381" s="697"/>
      <c r="CK381" s="697"/>
      <c r="CL381" s="697"/>
      <c r="CM381" s="697"/>
      <c r="CN381" s="697"/>
      <c r="CO381" s="697"/>
      <c r="CP381" s="697"/>
      <c r="CQ381" s="697"/>
      <c r="CR381" s="697"/>
      <c r="CS381" s="697"/>
      <c r="CT381" s="697"/>
      <c r="CU381" s="697"/>
      <c r="CV381" s="697"/>
      <c r="CW381" s="697"/>
      <c r="CX381" s="697"/>
      <c r="CY381" s="697"/>
      <c r="CZ381" s="697"/>
      <c r="DA381" s="697"/>
    </row>
    <row r="382" spans="1:105" hidden="1" outlineLevel="1" x14ac:dyDescent="0.2">
      <c r="A382" s="709">
        <f t="shared" si="71"/>
        <v>39142</v>
      </c>
      <c r="B382" s="709" t="str">
        <f t="shared" si="68"/>
        <v>1Q07</v>
      </c>
      <c r="C382" s="709" t="str">
        <f t="shared" si="72"/>
        <v>2Q07</v>
      </c>
      <c r="D382" s="710">
        <f t="shared" si="76"/>
        <v>39227</v>
      </c>
      <c r="E382" s="710">
        <f t="shared" si="76"/>
        <v>39167</v>
      </c>
      <c r="F382" s="712">
        <v>2.6760000000000002</v>
      </c>
      <c r="G382" s="713">
        <f t="shared" si="69"/>
        <v>0.31000000000000011</v>
      </c>
      <c r="H382" s="713">
        <f t="shared" si="70"/>
        <v>0.33000000000000013</v>
      </c>
      <c r="I382" s="697"/>
      <c r="J382" s="697"/>
      <c r="K382" s="697"/>
      <c r="L382" s="697"/>
      <c r="M382" s="697"/>
      <c r="N382" s="697"/>
      <c r="O382" s="697"/>
      <c r="P382" s="697"/>
      <c r="Q382" s="697"/>
      <c r="R382" s="697"/>
      <c r="S382" s="697"/>
      <c r="T382" s="697"/>
      <c r="U382" s="697"/>
      <c r="V382" s="697"/>
      <c r="W382" s="697"/>
      <c r="X382" s="697"/>
      <c r="Y382" s="697"/>
      <c r="Z382" s="697"/>
      <c r="AA382" s="697"/>
      <c r="AB382" s="697"/>
      <c r="AC382" s="697"/>
      <c r="AD382" s="697"/>
      <c r="AE382" s="697"/>
      <c r="AF382" s="697"/>
      <c r="AG382" s="697"/>
      <c r="AH382" s="697"/>
      <c r="AI382" s="697"/>
      <c r="AJ382" s="697"/>
      <c r="AK382" s="697"/>
      <c r="AL382" s="697"/>
      <c r="AM382" s="697"/>
      <c r="AN382" s="697"/>
      <c r="AO382" s="697"/>
      <c r="AP382" s="697"/>
      <c r="AQ382" s="697"/>
      <c r="AR382" s="697"/>
      <c r="AS382" s="697"/>
      <c r="AT382" s="697"/>
      <c r="AU382" s="697"/>
      <c r="AV382" s="697"/>
      <c r="AW382" s="697"/>
      <c r="AX382" s="697"/>
      <c r="AY382" s="697"/>
      <c r="AZ382" s="697"/>
      <c r="BA382" s="697"/>
      <c r="BB382" s="697"/>
      <c r="BC382" s="697"/>
      <c r="BD382" s="697"/>
      <c r="BE382" s="697"/>
      <c r="BF382" s="697"/>
      <c r="BG382" s="697"/>
      <c r="BH382" s="697"/>
      <c r="BI382" s="697"/>
      <c r="BJ382" s="697"/>
      <c r="BK382" s="697"/>
      <c r="BL382" s="697"/>
      <c r="BM382" s="697"/>
      <c r="BN382" s="697"/>
      <c r="BO382" s="697"/>
      <c r="BP382" s="697"/>
      <c r="BQ382" s="697"/>
      <c r="BR382" s="697"/>
      <c r="BS382" s="697"/>
      <c r="BT382" s="697"/>
      <c r="BU382" s="697"/>
      <c r="BV382" s="697"/>
      <c r="BW382" s="697"/>
      <c r="BX382" s="697"/>
      <c r="BY382" s="697"/>
      <c r="BZ382" s="697"/>
      <c r="CA382" s="697"/>
      <c r="CB382" s="697"/>
      <c r="CC382" s="697"/>
      <c r="CD382" s="697"/>
      <c r="CE382" s="697"/>
      <c r="CF382" s="697"/>
      <c r="CG382" s="697"/>
      <c r="CH382" s="697"/>
      <c r="CI382" s="697"/>
      <c r="CJ382" s="697"/>
      <c r="CK382" s="697"/>
      <c r="CL382" s="697"/>
      <c r="CM382" s="697"/>
      <c r="CN382" s="697"/>
      <c r="CO382" s="697"/>
      <c r="CP382" s="697"/>
      <c r="CQ382" s="697"/>
      <c r="CR382" s="697"/>
      <c r="CS382" s="697"/>
      <c r="CT382" s="697"/>
      <c r="CU382" s="697"/>
      <c r="CV382" s="697"/>
      <c r="CW382" s="697"/>
      <c r="CX382" s="697"/>
      <c r="CY382" s="697"/>
      <c r="CZ382" s="697"/>
      <c r="DA382" s="697"/>
    </row>
    <row r="383" spans="1:105" hidden="1" outlineLevel="1" x14ac:dyDescent="0.2">
      <c r="A383" s="709">
        <f t="shared" si="71"/>
        <v>39173</v>
      </c>
      <c r="B383" s="709" t="str">
        <f t="shared" si="68"/>
        <v>2Q07</v>
      </c>
      <c r="C383" s="709" t="str">
        <f t="shared" si="72"/>
        <v>2Q07</v>
      </c>
      <c r="D383" s="710">
        <f t="shared" si="76"/>
        <v>39234</v>
      </c>
      <c r="E383" s="710">
        <f t="shared" si="76"/>
        <v>39174</v>
      </c>
      <c r="F383" s="712">
        <v>2.79</v>
      </c>
      <c r="G383" s="713">
        <f t="shared" si="69"/>
        <v>0.33000000000000013</v>
      </c>
      <c r="H383" s="713">
        <f t="shared" si="70"/>
        <v>0.34000000000000014</v>
      </c>
      <c r="I383" s="697"/>
      <c r="J383" s="697"/>
      <c r="K383" s="697"/>
      <c r="L383" s="697"/>
      <c r="M383" s="697"/>
      <c r="N383" s="697"/>
      <c r="O383" s="697"/>
      <c r="P383" s="697"/>
      <c r="Q383" s="697"/>
      <c r="R383" s="697"/>
      <c r="S383" s="697"/>
      <c r="T383" s="697"/>
      <c r="U383" s="697"/>
      <c r="V383" s="697"/>
      <c r="W383" s="697"/>
      <c r="X383" s="697"/>
      <c r="Y383" s="697"/>
      <c r="Z383" s="697"/>
      <c r="AA383" s="697"/>
      <c r="AB383" s="697"/>
      <c r="AC383" s="697"/>
      <c r="AD383" s="697"/>
      <c r="AE383" s="697"/>
      <c r="AF383" s="697"/>
      <c r="AG383" s="697"/>
      <c r="AH383" s="697"/>
      <c r="AI383" s="697"/>
      <c r="AJ383" s="697"/>
      <c r="AK383" s="697"/>
      <c r="AL383" s="697"/>
      <c r="AM383" s="697"/>
      <c r="AN383" s="697"/>
      <c r="AO383" s="697"/>
      <c r="AP383" s="697"/>
      <c r="AQ383" s="697"/>
      <c r="AR383" s="697"/>
      <c r="AS383" s="697"/>
      <c r="AT383" s="697"/>
      <c r="AU383" s="697"/>
      <c r="AV383" s="697"/>
      <c r="AW383" s="697"/>
      <c r="AX383" s="697"/>
      <c r="AY383" s="697"/>
      <c r="AZ383" s="697"/>
      <c r="BA383" s="697"/>
      <c r="BB383" s="697"/>
      <c r="BC383" s="697"/>
      <c r="BD383" s="697"/>
      <c r="BE383" s="697"/>
      <c r="BF383" s="697"/>
      <c r="BG383" s="697"/>
      <c r="BH383" s="697"/>
      <c r="BI383" s="697"/>
      <c r="BJ383" s="697"/>
      <c r="BK383" s="697"/>
      <c r="BL383" s="697"/>
      <c r="BM383" s="697"/>
      <c r="BN383" s="697"/>
      <c r="BO383" s="697"/>
      <c r="BP383" s="697"/>
      <c r="BQ383" s="697"/>
      <c r="BR383" s="697"/>
      <c r="BS383" s="697"/>
      <c r="BT383" s="697"/>
      <c r="BU383" s="697"/>
      <c r="BV383" s="697"/>
      <c r="BW383" s="697"/>
      <c r="BX383" s="697"/>
      <c r="BY383" s="697"/>
      <c r="BZ383" s="697"/>
      <c r="CA383" s="697"/>
      <c r="CB383" s="697"/>
      <c r="CC383" s="697"/>
      <c r="CD383" s="697"/>
      <c r="CE383" s="697"/>
      <c r="CF383" s="697"/>
      <c r="CG383" s="697"/>
      <c r="CH383" s="697"/>
      <c r="CI383" s="697"/>
      <c r="CJ383" s="697"/>
      <c r="CK383" s="697"/>
      <c r="CL383" s="697"/>
      <c r="CM383" s="697"/>
      <c r="CN383" s="697"/>
      <c r="CO383" s="697"/>
      <c r="CP383" s="697"/>
      <c r="CQ383" s="697"/>
      <c r="CR383" s="697"/>
      <c r="CS383" s="697"/>
      <c r="CT383" s="697"/>
      <c r="CU383" s="697"/>
      <c r="CV383" s="697"/>
      <c r="CW383" s="697"/>
      <c r="CX383" s="697"/>
      <c r="CY383" s="697"/>
      <c r="CZ383" s="697"/>
      <c r="DA383" s="697"/>
    </row>
    <row r="384" spans="1:105" hidden="1" outlineLevel="1" x14ac:dyDescent="0.2">
      <c r="A384" s="709">
        <f t="shared" si="71"/>
        <v>39173</v>
      </c>
      <c r="B384" s="709" t="str">
        <f t="shared" si="68"/>
        <v>2Q07</v>
      </c>
      <c r="C384" s="709" t="str">
        <f t="shared" si="72"/>
        <v>2Q07</v>
      </c>
      <c r="D384" s="710">
        <f t="shared" si="76"/>
        <v>39241</v>
      </c>
      <c r="E384" s="710">
        <f t="shared" si="76"/>
        <v>39181</v>
      </c>
      <c r="F384" s="712">
        <v>2.84</v>
      </c>
      <c r="G384" s="713">
        <f t="shared" si="69"/>
        <v>0.34000000000000014</v>
      </c>
      <c r="H384" s="713">
        <f t="shared" si="70"/>
        <v>0.35000000000000014</v>
      </c>
      <c r="I384" s="697"/>
      <c r="J384" s="697"/>
      <c r="K384" s="697"/>
      <c r="L384" s="697"/>
      <c r="M384" s="697"/>
      <c r="N384" s="697"/>
      <c r="O384" s="697"/>
      <c r="P384" s="697"/>
      <c r="Q384" s="697"/>
      <c r="R384" s="697"/>
      <c r="S384" s="697"/>
      <c r="T384" s="697"/>
      <c r="U384" s="697"/>
      <c r="V384" s="697"/>
      <c r="W384" s="697"/>
      <c r="X384" s="697"/>
      <c r="Y384" s="697"/>
      <c r="Z384" s="697"/>
      <c r="AA384" s="697"/>
      <c r="AB384" s="697"/>
      <c r="AC384" s="697"/>
      <c r="AD384" s="697"/>
      <c r="AE384" s="697"/>
      <c r="AF384" s="697"/>
      <c r="AG384" s="697"/>
      <c r="AH384" s="697"/>
      <c r="AI384" s="697"/>
      <c r="AJ384" s="697"/>
      <c r="AK384" s="697"/>
      <c r="AL384" s="697"/>
      <c r="AM384" s="697"/>
      <c r="AN384" s="697"/>
      <c r="AO384" s="697"/>
      <c r="AP384" s="697"/>
      <c r="AQ384" s="697"/>
      <c r="AR384" s="697"/>
      <c r="AS384" s="697"/>
      <c r="AT384" s="697"/>
      <c r="AU384" s="697"/>
      <c r="AV384" s="697"/>
      <c r="AW384" s="697"/>
      <c r="AX384" s="697"/>
      <c r="AY384" s="697"/>
      <c r="AZ384" s="697"/>
      <c r="BA384" s="697"/>
      <c r="BB384" s="697"/>
      <c r="BC384" s="697"/>
      <c r="BD384" s="697"/>
      <c r="BE384" s="697"/>
      <c r="BF384" s="697"/>
      <c r="BG384" s="697"/>
      <c r="BH384" s="697"/>
      <c r="BI384" s="697"/>
      <c r="BJ384" s="697"/>
      <c r="BK384" s="697"/>
      <c r="BL384" s="697"/>
      <c r="BM384" s="697"/>
      <c r="BN384" s="697"/>
      <c r="BO384" s="697"/>
      <c r="BP384" s="697"/>
      <c r="BQ384" s="697"/>
      <c r="BR384" s="697"/>
      <c r="BS384" s="697"/>
      <c r="BT384" s="697"/>
      <c r="BU384" s="697"/>
      <c r="BV384" s="697"/>
      <c r="BW384" s="697"/>
      <c r="BX384" s="697"/>
      <c r="BY384" s="697"/>
      <c r="BZ384" s="697"/>
      <c r="CA384" s="697"/>
      <c r="CB384" s="697"/>
      <c r="CC384" s="697"/>
      <c r="CD384" s="697"/>
      <c r="CE384" s="697"/>
      <c r="CF384" s="697"/>
      <c r="CG384" s="697"/>
      <c r="CH384" s="697"/>
      <c r="CI384" s="697"/>
      <c r="CJ384" s="697"/>
      <c r="CK384" s="697"/>
      <c r="CL384" s="697"/>
      <c r="CM384" s="697"/>
      <c r="CN384" s="697"/>
      <c r="CO384" s="697"/>
      <c r="CP384" s="697"/>
      <c r="CQ384" s="697"/>
      <c r="CR384" s="697"/>
      <c r="CS384" s="697"/>
      <c r="CT384" s="697"/>
      <c r="CU384" s="697"/>
      <c r="CV384" s="697"/>
      <c r="CW384" s="697"/>
      <c r="CX384" s="697"/>
      <c r="CY384" s="697"/>
      <c r="CZ384" s="697"/>
      <c r="DA384" s="697"/>
    </row>
    <row r="385" spans="1:105" hidden="1" outlineLevel="1" x14ac:dyDescent="0.2">
      <c r="A385" s="709">
        <f t="shared" si="71"/>
        <v>39173</v>
      </c>
      <c r="B385" s="709" t="str">
        <f t="shared" si="68"/>
        <v>2Q07</v>
      </c>
      <c r="C385" s="709" t="str">
        <f t="shared" si="72"/>
        <v>2Q07</v>
      </c>
      <c r="D385" s="710">
        <f t="shared" si="76"/>
        <v>39248</v>
      </c>
      <c r="E385" s="710">
        <f t="shared" si="76"/>
        <v>39188</v>
      </c>
      <c r="F385" s="712">
        <v>2.8769999999999998</v>
      </c>
      <c r="G385" s="713">
        <f t="shared" si="69"/>
        <v>0.35000000000000014</v>
      </c>
      <c r="H385" s="713">
        <f t="shared" si="70"/>
        <v>0.35000000000000014</v>
      </c>
      <c r="I385" s="697"/>
      <c r="J385" s="697"/>
      <c r="K385" s="697"/>
      <c r="L385" s="697"/>
      <c r="M385" s="697"/>
      <c r="N385" s="697"/>
      <c r="O385" s="697"/>
      <c r="P385" s="697"/>
      <c r="Q385" s="697"/>
      <c r="R385" s="697"/>
      <c r="S385" s="697"/>
      <c r="T385" s="697"/>
      <c r="U385" s="697"/>
      <c r="V385" s="697"/>
      <c r="W385" s="697"/>
      <c r="X385" s="697"/>
      <c r="Y385" s="697"/>
      <c r="Z385" s="697"/>
      <c r="AA385" s="697"/>
      <c r="AB385" s="697"/>
      <c r="AC385" s="697"/>
      <c r="AD385" s="697"/>
      <c r="AE385" s="697"/>
      <c r="AF385" s="697"/>
      <c r="AG385" s="697"/>
      <c r="AH385" s="697"/>
      <c r="AI385" s="697"/>
      <c r="AJ385" s="697"/>
      <c r="AK385" s="697"/>
      <c r="AL385" s="697"/>
      <c r="AM385" s="697"/>
      <c r="AN385" s="697"/>
      <c r="AO385" s="697"/>
      <c r="AP385" s="697"/>
      <c r="AQ385" s="697"/>
      <c r="AR385" s="697"/>
      <c r="AS385" s="697"/>
      <c r="AT385" s="697"/>
      <c r="AU385" s="697"/>
      <c r="AV385" s="697"/>
      <c r="AW385" s="697"/>
      <c r="AX385" s="697"/>
      <c r="AY385" s="697"/>
      <c r="AZ385" s="697"/>
      <c r="BA385" s="697"/>
      <c r="BB385" s="697"/>
      <c r="BC385" s="697"/>
      <c r="BD385" s="697"/>
      <c r="BE385" s="697"/>
      <c r="BF385" s="697"/>
      <c r="BG385" s="697"/>
      <c r="BH385" s="697"/>
      <c r="BI385" s="697"/>
      <c r="BJ385" s="697"/>
      <c r="BK385" s="697"/>
      <c r="BL385" s="697"/>
      <c r="BM385" s="697"/>
      <c r="BN385" s="697"/>
      <c r="BO385" s="697"/>
      <c r="BP385" s="697"/>
      <c r="BQ385" s="697"/>
      <c r="BR385" s="697"/>
      <c r="BS385" s="697"/>
      <c r="BT385" s="697"/>
      <c r="BU385" s="697"/>
      <c r="BV385" s="697"/>
      <c r="BW385" s="697"/>
      <c r="BX385" s="697"/>
      <c r="BY385" s="697"/>
      <c r="BZ385" s="697"/>
      <c r="CA385" s="697"/>
      <c r="CB385" s="697"/>
      <c r="CC385" s="697"/>
      <c r="CD385" s="697"/>
      <c r="CE385" s="697"/>
      <c r="CF385" s="697"/>
      <c r="CG385" s="697"/>
      <c r="CH385" s="697"/>
      <c r="CI385" s="697"/>
      <c r="CJ385" s="697"/>
      <c r="CK385" s="697"/>
      <c r="CL385" s="697"/>
      <c r="CM385" s="697"/>
      <c r="CN385" s="697"/>
      <c r="CO385" s="697"/>
      <c r="CP385" s="697"/>
      <c r="CQ385" s="697"/>
      <c r="CR385" s="697"/>
      <c r="CS385" s="697"/>
      <c r="CT385" s="697"/>
      <c r="CU385" s="697"/>
      <c r="CV385" s="697"/>
      <c r="CW385" s="697"/>
      <c r="CX385" s="697"/>
      <c r="CY385" s="697"/>
      <c r="CZ385" s="697"/>
      <c r="DA385" s="697"/>
    </row>
    <row r="386" spans="1:105" hidden="1" outlineLevel="1" x14ac:dyDescent="0.2">
      <c r="A386" s="709">
        <f t="shared" si="71"/>
        <v>39173</v>
      </c>
      <c r="B386" s="709" t="str">
        <f t="shared" si="68"/>
        <v>2Q07</v>
      </c>
      <c r="C386" s="709" t="str">
        <f t="shared" si="72"/>
        <v>2Q07</v>
      </c>
      <c r="D386" s="710">
        <f t="shared" si="76"/>
        <v>39255</v>
      </c>
      <c r="E386" s="710">
        <f t="shared" si="76"/>
        <v>39195</v>
      </c>
      <c r="F386" s="712">
        <v>2.851</v>
      </c>
      <c r="G386" s="713">
        <f t="shared" si="69"/>
        <v>0.35000000000000014</v>
      </c>
      <c r="H386" s="713">
        <f t="shared" si="70"/>
        <v>0.34000000000000014</v>
      </c>
      <c r="I386" s="697"/>
      <c r="J386" s="697"/>
      <c r="K386" s="697"/>
      <c r="L386" s="697"/>
      <c r="M386" s="697"/>
      <c r="N386" s="697"/>
      <c r="O386" s="697"/>
      <c r="P386" s="697"/>
      <c r="Q386" s="697"/>
      <c r="R386" s="697"/>
      <c r="S386" s="697"/>
      <c r="T386" s="697"/>
      <c r="U386" s="697"/>
      <c r="V386" s="697"/>
      <c r="W386" s="697"/>
      <c r="X386" s="697"/>
      <c r="Y386" s="697"/>
      <c r="Z386" s="697"/>
      <c r="AA386" s="697"/>
      <c r="AB386" s="697"/>
      <c r="AC386" s="697"/>
      <c r="AD386" s="697"/>
      <c r="AE386" s="697"/>
      <c r="AF386" s="697"/>
      <c r="AG386" s="697"/>
      <c r="AH386" s="697"/>
      <c r="AI386" s="697"/>
      <c r="AJ386" s="697"/>
      <c r="AK386" s="697"/>
      <c r="AL386" s="697"/>
      <c r="AM386" s="697"/>
      <c r="AN386" s="697"/>
      <c r="AO386" s="697"/>
      <c r="AP386" s="697"/>
      <c r="AQ386" s="697"/>
      <c r="AR386" s="697"/>
      <c r="AS386" s="697"/>
      <c r="AT386" s="697"/>
      <c r="AU386" s="697"/>
      <c r="AV386" s="697"/>
      <c r="AW386" s="697"/>
      <c r="AX386" s="697"/>
      <c r="AY386" s="697"/>
      <c r="AZ386" s="697"/>
      <c r="BA386" s="697"/>
      <c r="BB386" s="697"/>
      <c r="BC386" s="697"/>
      <c r="BD386" s="697"/>
      <c r="BE386" s="697"/>
      <c r="BF386" s="697"/>
      <c r="BG386" s="697"/>
      <c r="BH386" s="697"/>
      <c r="BI386" s="697"/>
      <c r="BJ386" s="697"/>
      <c r="BK386" s="697"/>
      <c r="BL386" s="697"/>
      <c r="BM386" s="697"/>
      <c r="BN386" s="697"/>
      <c r="BO386" s="697"/>
      <c r="BP386" s="697"/>
      <c r="BQ386" s="697"/>
      <c r="BR386" s="697"/>
      <c r="BS386" s="697"/>
      <c r="BT386" s="697"/>
      <c r="BU386" s="697"/>
      <c r="BV386" s="697"/>
      <c r="BW386" s="697"/>
      <c r="BX386" s="697"/>
      <c r="BY386" s="697"/>
      <c r="BZ386" s="697"/>
      <c r="CA386" s="697"/>
      <c r="CB386" s="697"/>
      <c r="CC386" s="697"/>
      <c r="CD386" s="697"/>
      <c r="CE386" s="697"/>
      <c r="CF386" s="697"/>
      <c r="CG386" s="697"/>
      <c r="CH386" s="697"/>
      <c r="CI386" s="697"/>
      <c r="CJ386" s="697"/>
      <c r="CK386" s="697"/>
      <c r="CL386" s="697"/>
      <c r="CM386" s="697"/>
      <c r="CN386" s="697"/>
      <c r="CO386" s="697"/>
      <c r="CP386" s="697"/>
      <c r="CQ386" s="697"/>
      <c r="CR386" s="697"/>
      <c r="CS386" s="697"/>
      <c r="CT386" s="697"/>
      <c r="CU386" s="697"/>
      <c r="CV386" s="697"/>
      <c r="CW386" s="697"/>
      <c r="CX386" s="697"/>
      <c r="CY386" s="697"/>
      <c r="CZ386" s="697"/>
      <c r="DA386" s="697"/>
    </row>
    <row r="387" spans="1:105" hidden="1" outlineLevel="1" x14ac:dyDescent="0.2">
      <c r="A387" s="709">
        <f t="shared" si="71"/>
        <v>39173</v>
      </c>
      <c r="B387" s="709" t="str">
        <f t="shared" si="68"/>
        <v>2Q07</v>
      </c>
      <c r="C387" s="709" t="str">
        <f t="shared" si="72"/>
        <v>2Q07</v>
      </c>
      <c r="D387" s="710">
        <f t="shared" si="76"/>
        <v>39262</v>
      </c>
      <c r="E387" s="710">
        <f t="shared" si="76"/>
        <v>39202</v>
      </c>
      <c r="F387" s="712">
        <v>2.8109999999999999</v>
      </c>
      <c r="G387" s="713">
        <f t="shared" si="69"/>
        <v>0.34000000000000014</v>
      </c>
      <c r="H387" s="713">
        <f t="shared" si="70"/>
        <v>0.33000000000000013</v>
      </c>
      <c r="I387" s="697"/>
      <c r="J387" s="697"/>
      <c r="K387" s="697"/>
      <c r="L387" s="697"/>
      <c r="M387" s="697"/>
      <c r="N387" s="697"/>
      <c r="O387" s="697"/>
      <c r="P387" s="697"/>
      <c r="Q387" s="697"/>
      <c r="R387" s="697"/>
      <c r="S387" s="697"/>
      <c r="T387" s="697"/>
      <c r="U387" s="697"/>
      <c r="V387" s="697"/>
      <c r="W387" s="697"/>
      <c r="X387" s="697"/>
      <c r="Y387" s="697"/>
      <c r="Z387" s="697"/>
      <c r="AA387" s="697"/>
      <c r="AB387" s="697"/>
      <c r="AC387" s="697"/>
      <c r="AD387" s="697"/>
      <c r="AE387" s="697"/>
      <c r="AF387" s="697"/>
      <c r="AG387" s="697"/>
      <c r="AH387" s="697"/>
      <c r="AI387" s="697"/>
      <c r="AJ387" s="697"/>
      <c r="AK387" s="697"/>
      <c r="AL387" s="697"/>
      <c r="AM387" s="697"/>
      <c r="AN387" s="697"/>
      <c r="AO387" s="697"/>
      <c r="AP387" s="697"/>
      <c r="AQ387" s="697"/>
      <c r="AR387" s="697"/>
      <c r="AS387" s="697"/>
      <c r="AT387" s="697"/>
      <c r="AU387" s="697"/>
      <c r="AV387" s="697"/>
      <c r="AW387" s="697"/>
      <c r="AX387" s="697"/>
      <c r="AY387" s="697"/>
      <c r="AZ387" s="697"/>
      <c r="BA387" s="697"/>
      <c r="BB387" s="697"/>
      <c r="BC387" s="697"/>
      <c r="BD387" s="697"/>
      <c r="BE387" s="697"/>
      <c r="BF387" s="697"/>
      <c r="BG387" s="697"/>
      <c r="BH387" s="697"/>
      <c r="BI387" s="697"/>
      <c r="BJ387" s="697"/>
      <c r="BK387" s="697"/>
      <c r="BL387" s="697"/>
      <c r="BM387" s="697"/>
      <c r="BN387" s="697"/>
      <c r="BO387" s="697"/>
      <c r="BP387" s="697"/>
      <c r="BQ387" s="697"/>
      <c r="BR387" s="697"/>
      <c r="BS387" s="697"/>
      <c r="BT387" s="697"/>
      <c r="BU387" s="697"/>
      <c r="BV387" s="697"/>
      <c r="BW387" s="697"/>
      <c r="BX387" s="697"/>
      <c r="BY387" s="697"/>
      <c r="BZ387" s="697"/>
      <c r="CA387" s="697"/>
      <c r="CB387" s="697"/>
      <c r="CC387" s="697"/>
      <c r="CD387" s="697"/>
      <c r="CE387" s="697"/>
      <c r="CF387" s="697"/>
      <c r="CG387" s="697"/>
      <c r="CH387" s="697"/>
      <c r="CI387" s="697"/>
      <c r="CJ387" s="697"/>
      <c r="CK387" s="697"/>
      <c r="CL387" s="697"/>
      <c r="CM387" s="697"/>
      <c r="CN387" s="697"/>
      <c r="CO387" s="697"/>
      <c r="CP387" s="697"/>
      <c r="CQ387" s="697"/>
      <c r="CR387" s="697"/>
      <c r="CS387" s="697"/>
      <c r="CT387" s="697"/>
      <c r="CU387" s="697"/>
      <c r="CV387" s="697"/>
      <c r="CW387" s="697"/>
      <c r="CX387" s="697"/>
      <c r="CY387" s="697"/>
      <c r="CZ387" s="697"/>
      <c r="DA387" s="697"/>
    </row>
    <row r="388" spans="1:105" hidden="1" outlineLevel="1" x14ac:dyDescent="0.2">
      <c r="A388" s="709">
        <f t="shared" si="71"/>
        <v>39203</v>
      </c>
      <c r="B388" s="709" t="str">
        <f t="shared" ref="B388:B451" si="77">VLOOKUP(MONTH(A388),$N$4:$O$16,2,FALSE) &amp; "Q" &amp; RIGHT(YEAR(A388),2)</f>
        <v>2Q07</v>
      </c>
      <c r="C388" s="709" t="str">
        <f t="shared" si="72"/>
        <v>3Q07</v>
      </c>
      <c r="D388" s="710">
        <f t="shared" si="76"/>
        <v>39269</v>
      </c>
      <c r="E388" s="710">
        <f t="shared" si="76"/>
        <v>39209</v>
      </c>
      <c r="F388" s="712">
        <v>2.7919999999999998</v>
      </c>
      <c r="G388" s="713">
        <f t="shared" ref="G388:G451" si="78">INDEX($I$4:$K$153,MATCH(F388,$I$4:$I$153,1),3)</f>
        <v>0.33000000000000013</v>
      </c>
      <c r="H388" s="713">
        <f t="shared" ref="H388:H451" si="79">G389</f>
        <v>0.33000000000000013</v>
      </c>
      <c r="I388" s="697"/>
      <c r="J388" s="697"/>
      <c r="K388" s="697"/>
      <c r="L388" s="697"/>
      <c r="M388" s="697"/>
      <c r="N388" s="697"/>
      <c r="O388" s="697"/>
      <c r="P388" s="697"/>
      <c r="Q388" s="697"/>
      <c r="R388" s="697"/>
      <c r="S388" s="697"/>
      <c r="T388" s="697"/>
      <c r="U388" s="697"/>
      <c r="V388" s="697"/>
      <c r="W388" s="697"/>
      <c r="X388" s="697"/>
      <c r="Y388" s="697"/>
      <c r="Z388" s="697"/>
      <c r="AA388" s="697"/>
      <c r="AB388" s="697"/>
      <c r="AC388" s="697"/>
      <c r="AD388" s="697"/>
      <c r="AE388" s="697"/>
      <c r="AF388" s="697"/>
      <c r="AG388" s="697"/>
      <c r="AH388" s="697"/>
      <c r="AI388" s="697"/>
      <c r="AJ388" s="697"/>
      <c r="AK388" s="697"/>
      <c r="AL388" s="697"/>
      <c r="AM388" s="697"/>
      <c r="AN388" s="697"/>
      <c r="AO388" s="697"/>
      <c r="AP388" s="697"/>
      <c r="AQ388" s="697"/>
      <c r="AR388" s="697"/>
      <c r="AS388" s="697"/>
      <c r="AT388" s="697"/>
      <c r="AU388" s="697"/>
      <c r="AV388" s="697"/>
      <c r="AW388" s="697"/>
      <c r="AX388" s="697"/>
      <c r="AY388" s="697"/>
      <c r="AZ388" s="697"/>
      <c r="BA388" s="697"/>
      <c r="BB388" s="697"/>
      <c r="BC388" s="697"/>
      <c r="BD388" s="697"/>
      <c r="BE388" s="697"/>
      <c r="BF388" s="697"/>
      <c r="BG388" s="697"/>
      <c r="BH388" s="697"/>
      <c r="BI388" s="697"/>
      <c r="BJ388" s="697"/>
      <c r="BK388" s="697"/>
      <c r="BL388" s="697"/>
      <c r="BM388" s="697"/>
      <c r="BN388" s="697"/>
      <c r="BO388" s="697"/>
      <c r="BP388" s="697"/>
      <c r="BQ388" s="697"/>
      <c r="BR388" s="697"/>
      <c r="BS388" s="697"/>
      <c r="BT388" s="697"/>
      <c r="BU388" s="697"/>
      <c r="BV388" s="697"/>
      <c r="BW388" s="697"/>
      <c r="BX388" s="697"/>
      <c r="BY388" s="697"/>
      <c r="BZ388" s="697"/>
      <c r="CA388" s="697"/>
      <c r="CB388" s="697"/>
      <c r="CC388" s="697"/>
      <c r="CD388" s="697"/>
      <c r="CE388" s="697"/>
      <c r="CF388" s="697"/>
      <c r="CG388" s="697"/>
      <c r="CH388" s="697"/>
      <c r="CI388" s="697"/>
      <c r="CJ388" s="697"/>
      <c r="CK388" s="697"/>
      <c r="CL388" s="697"/>
      <c r="CM388" s="697"/>
      <c r="CN388" s="697"/>
      <c r="CO388" s="697"/>
      <c r="CP388" s="697"/>
      <c r="CQ388" s="697"/>
      <c r="CR388" s="697"/>
      <c r="CS388" s="697"/>
      <c r="CT388" s="697"/>
      <c r="CU388" s="697"/>
      <c r="CV388" s="697"/>
      <c r="CW388" s="697"/>
      <c r="CX388" s="697"/>
      <c r="CY388" s="697"/>
      <c r="CZ388" s="697"/>
      <c r="DA388" s="697"/>
    </row>
    <row r="389" spans="1:105" hidden="1" outlineLevel="1" x14ac:dyDescent="0.2">
      <c r="A389" s="709">
        <f t="shared" ref="A389:A452" si="80">DATE(YEAR(E389),MONTH(E389),1)</f>
        <v>39203</v>
      </c>
      <c r="B389" s="709" t="str">
        <f t="shared" si="77"/>
        <v>2Q07</v>
      </c>
      <c r="C389" s="709" t="str">
        <f t="shared" ref="C389:C452" si="81">VLOOKUP(MONTH(D389),$N$4:$O$16,2,FALSE) &amp; "Q" &amp; RIGHT(YEAR(D389),2)</f>
        <v>3Q07</v>
      </c>
      <c r="D389" s="710">
        <f t="shared" ref="D389:E404" si="82">D388+7</f>
        <v>39276</v>
      </c>
      <c r="E389" s="710">
        <f t="shared" si="82"/>
        <v>39216</v>
      </c>
      <c r="F389" s="712">
        <v>2.7730000000000001</v>
      </c>
      <c r="G389" s="713">
        <f t="shared" si="78"/>
        <v>0.33000000000000013</v>
      </c>
      <c r="H389" s="713">
        <f t="shared" si="79"/>
        <v>0.34000000000000014</v>
      </c>
      <c r="I389" s="697"/>
      <c r="J389" s="697"/>
      <c r="K389" s="697"/>
      <c r="L389" s="697"/>
      <c r="M389" s="697"/>
      <c r="N389" s="697"/>
      <c r="O389" s="697"/>
      <c r="P389" s="697"/>
      <c r="Q389" s="697"/>
      <c r="R389" s="697"/>
      <c r="S389" s="697"/>
      <c r="T389" s="697"/>
      <c r="U389" s="697"/>
      <c r="V389" s="697"/>
      <c r="W389" s="697"/>
      <c r="X389" s="697"/>
      <c r="Y389" s="697"/>
      <c r="Z389" s="697"/>
      <c r="AA389" s="697"/>
      <c r="AB389" s="697"/>
      <c r="AC389" s="697"/>
      <c r="AD389" s="697"/>
      <c r="AE389" s="697"/>
      <c r="AF389" s="697"/>
      <c r="AG389" s="697"/>
      <c r="AH389" s="697"/>
      <c r="AI389" s="697"/>
      <c r="AJ389" s="697"/>
      <c r="AK389" s="697"/>
      <c r="AL389" s="697"/>
      <c r="AM389" s="697"/>
      <c r="AN389" s="697"/>
      <c r="AO389" s="697"/>
      <c r="AP389" s="697"/>
      <c r="AQ389" s="697"/>
      <c r="AR389" s="697"/>
      <c r="AS389" s="697"/>
      <c r="AT389" s="697"/>
      <c r="AU389" s="697"/>
      <c r="AV389" s="697"/>
      <c r="AW389" s="697"/>
      <c r="AX389" s="697"/>
      <c r="AY389" s="697"/>
      <c r="AZ389" s="697"/>
      <c r="BA389" s="697"/>
      <c r="BB389" s="697"/>
      <c r="BC389" s="697"/>
      <c r="BD389" s="697"/>
      <c r="BE389" s="697"/>
      <c r="BF389" s="697"/>
      <c r="BG389" s="697"/>
      <c r="BH389" s="697"/>
      <c r="BI389" s="697"/>
      <c r="BJ389" s="697"/>
      <c r="BK389" s="697"/>
      <c r="BL389" s="697"/>
      <c r="BM389" s="697"/>
      <c r="BN389" s="697"/>
      <c r="BO389" s="697"/>
      <c r="BP389" s="697"/>
      <c r="BQ389" s="697"/>
      <c r="BR389" s="697"/>
      <c r="BS389" s="697"/>
      <c r="BT389" s="697"/>
      <c r="BU389" s="697"/>
      <c r="BV389" s="697"/>
      <c r="BW389" s="697"/>
      <c r="BX389" s="697"/>
      <c r="BY389" s="697"/>
      <c r="BZ389" s="697"/>
      <c r="CA389" s="697"/>
      <c r="CB389" s="697"/>
      <c r="CC389" s="697"/>
      <c r="CD389" s="697"/>
      <c r="CE389" s="697"/>
      <c r="CF389" s="697"/>
      <c r="CG389" s="697"/>
      <c r="CH389" s="697"/>
      <c r="CI389" s="697"/>
      <c r="CJ389" s="697"/>
      <c r="CK389" s="697"/>
      <c r="CL389" s="697"/>
      <c r="CM389" s="697"/>
      <c r="CN389" s="697"/>
      <c r="CO389" s="697"/>
      <c r="CP389" s="697"/>
      <c r="CQ389" s="697"/>
      <c r="CR389" s="697"/>
      <c r="CS389" s="697"/>
      <c r="CT389" s="697"/>
      <c r="CU389" s="697"/>
      <c r="CV389" s="697"/>
      <c r="CW389" s="697"/>
      <c r="CX389" s="697"/>
      <c r="CY389" s="697"/>
      <c r="CZ389" s="697"/>
      <c r="DA389" s="697"/>
    </row>
    <row r="390" spans="1:105" hidden="1" outlineLevel="1" x14ac:dyDescent="0.2">
      <c r="A390" s="709">
        <f t="shared" si="80"/>
        <v>39203</v>
      </c>
      <c r="B390" s="709" t="str">
        <f t="shared" si="77"/>
        <v>2Q07</v>
      </c>
      <c r="C390" s="709" t="str">
        <f t="shared" si="81"/>
        <v>3Q07</v>
      </c>
      <c r="D390" s="710">
        <f t="shared" si="82"/>
        <v>39283</v>
      </c>
      <c r="E390" s="710">
        <f t="shared" si="82"/>
        <v>39223</v>
      </c>
      <c r="F390" s="712">
        <v>2.8029999999999999</v>
      </c>
      <c r="G390" s="713">
        <f t="shared" si="78"/>
        <v>0.34000000000000014</v>
      </c>
      <c r="H390" s="713">
        <f t="shared" si="79"/>
        <v>0.34000000000000014</v>
      </c>
      <c r="I390" s="697"/>
      <c r="J390" s="697"/>
      <c r="K390" s="697"/>
      <c r="L390" s="697"/>
      <c r="M390" s="697"/>
      <c r="N390" s="697"/>
      <c r="O390" s="697"/>
      <c r="P390" s="697"/>
      <c r="Q390" s="697"/>
      <c r="R390" s="697"/>
      <c r="S390" s="697"/>
      <c r="T390" s="697"/>
      <c r="U390" s="697"/>
      <c r="V390" s="697"/>
      <c r="W390" s="697"/>
      <c r="X390" s="697"/>
      <c r="Y390" s="697"/>
      <c r="Z390" s="697"/>
      <c r="AA390" s="697"/>
      <c r="AB390" s="697"/>
      <c r="AC390" s="697"/>
      <c r="AD390" s="697"/>
      <c r="AE390" s="697"/>
      <c r="AF390" s="697"/>
      <c r="AG390" s="697"/>
      <c r="AH390" s="697"/>
      <c r="AI390" s="697"/>
      <c r="AJ390" s="697"/>
      <c r="AK390" s="697"/>
      <c r="AL390" s="697"/>
      <c r="AM390" s="697"/>
      <c r="AN390" s="697"/>
      <c r="AO390" s="697"/>
      <c r="AP390" s="697"/>
      <c r="AQ390" s="697"/>
      <c r="AR390" s="697"/>
      <c r="AS390" s="697"/>
      <c r="AT390" s="697"/>
      <c r="AU390" s="697"/>
      <c r="AV390" s="697"/>
      <c r="AW390" s="697"/>
      <c r="AX390" s="697"/>
      <c r="AY390" s="697"/>
      <c r="AZ390" s="697"/>
      <c r="BA390" s="697"/>
      <c r="BB390" s="697"/>
      <c r="BC390" s="697"/>
      <c r="BD390" s="697"/>
      <c r="BE390" s="697"/>
      <c r="BF390" s="697"/>
      <c r="BG390" s="697"/>
      <c r="BH390" s="697"/>
      <c r="BI390" s="697"/>
      <c r="BJ390" s="697"/>
      <c r="BK390" s="697"/>
      <c r="BL390" s="697"/>
      <c r="BM390" s="697"/>
      <c r="BN390" s="697"/>
      <c r="BO390" s="697"/>
      <c r="BP390" s="697"/>
      <c r="BQ390" s="697"/>
      <c r="BR390" s="697"/>
      <c r="BS390" s="697"/>
      <c r="BT390" s="697"/>
      <c r="BU390" s="697"/>
      <c r="BV390" s="697"/>
      <c r="BW390" s="697"/>
      <c r="BX390" s="697"/>
      <c r="BY390" s="697"/>
      <c r="BZ390" s="697"/>
      <c r="CA390" s="697"/>
      <c r="CB390" s="697"/>
      <c r="CC390" s="697"/>
      <c r="CD390" s="697"/>
      <c r="CE390" s="697"/>
      <c r="CF390" s="697"/>
      <c r="CG390" s="697"/>
      <c r="CH390" s="697"/>
      <c r="CI390" s="697"/>
      <c r="CJ390" s="697"/>
      <c r="CK390" s="697"/>
      <c r="CL390" s="697"/>
      <c r="CM390" s="697"/>
      <c r="CN390" s="697"/>
      <c r="CO390" s="697"/>
      <c r="CP390" s="697"/>
      <c r="CQ390" s="697"/>
      <c r="CR390" s="697"/>
      <c r="CS390" s="697"/>
      <c r="CT390" s="697"/>
      <c r="CU390" s="697"/>
      <c r="CV390" s="697"/>
      <c r="CW390" s="697"/>
      <c r="CX390" s="697"/>
      <c r="CY390" s="697"/>
      <c r="CZ390" s="697"/>
      <c r="DA390" s="697"/>
    </row>
    <row r="391" spans="1:105" hidden="1" outlineLevel="1" x14ac:dyDescent="0.2">
      <c r="A391" s="709">
        <f t="shared" si="80"/>
        <v>39203</v>
      </c>
      <c r="B391" s="709" t="str">
        <f t="shared" si="77"/>
        <v>2Q07</v>
      </c>
      <c r="C391" s="709" t="str">
        <f t="shared" si="81"/>
        <v>3Q07</v>
      </c>
      <c r="D391" s="710">
        <f t="shared" si="82"/>
        <v>39290</v>
      </c>
      <c r="E391" s="710">
        <f t="shared" si="82"/>
        <v>39230</v>
      </c>
      <c r="F391" s="712">
        <v>2.8170000000000002</v>
      </c>
      <c r="G391" s="713">
        <f t="shared" si="78"/>
        <v>0.34000000000000014</v>
      </c>
      <c r="H391" s="713">
        <f t="shared" si="79"/>
        <v>0.33000000000000013</v>
      </c>
      <c r="I391" s="697"/>
      <c r="J391" s="697"/>
      <c r="K391" s="697"/>
      <c r="L391" s="697"/>
      <c r="M391" s="697"/>
      <c r="N391" s="697"/>
      <c r="O391" s="697"/>
      <c r="P391" s="697"/>
      <c r="Q391" s="697"/>
      <c r="R391" s="697"/>
      <c r="S391" s="697"/>
      <c r="T391" s="697"/>
      <c r="U391" s="697"/>
      <c r="V391" s="697"/>
      <c r="W391" s="697"/>
      <c r="X391" s="697"/>
      <c r="Y391" s="697"/>
      <c r="Z391" s="697"/>
      <c r="AA391" s="697"/>
      <c r="AB391" s="697"/>
      <c r="AC391" s="697"/>
      <c r="AD391" s="697"/>
      <c r="AE391" s="697"/>
      <c r="AF391" s="697"/>
      <c r="AG391" s="697"/>
      <c r="AH391" s="697"/>
      <c r="AI391" s="697"/>
      <c r="AJ391" s="697"/>
      <c r="AK391" s="697"/>
      <c r="AL391" s="697"/>
      <c r="AM391" s="697"/>
      <c r="AN391" s="697"/>
      <c r="AO391" s="697"/>
      <c r="AP391" s="697"/>
      <c r="AQ391" s="697"/>
      <c r="AR391" s="697"/>
      <c r="AS391" s="697"/>
      <c r="AT391" s="697"/>
      <c r="AU391" s="697"/>
      <c r="AV391" s="697"/>
      <c r="AW391" s="697"/>
      <c r="AX391" s="697"/>
      <c r="AY391" s="697"/>
      <c r="AZ391" s="697"/>
      <c r="BA391" s="697"/>
      <c r="BB391" s="697"/>
      <c r="BC391" s="697"/>
      <c r="BD391" s="697"/>
      <c r="BE391" s="697"/>
      <c r="BF391" s="697"/>
      <c r="BG391" s="697"/>
      <c r="BH391" s="697"/>
      <c r="BI391" s="697"/>
      <c r="BJ391" s="697"/>
      <c r="BK391" s="697"/>
      <c r="BL391" s="697"/>
      <c r="BM391" s="697"/>
      <c r="BN391" s="697"/>
      <c r="BO391" s="697"/>
      <c r="BP391" s="697"/>
      <c r="BQ391" s="697"/>
      <c r="BR391" s="697"/>
      <c r="BS391" s="697"/>
      <c r="BT391" s="697"/>
      <c r="BU391" s="697"/>
      <c r="BV391" s="697"/>
      <c r="BW391" s="697"/>
      <c r="BX391" s="697"/>
      <c r="BY391" s="697"/>
      <c r="BZ391" s="697"/>
      <c r="CA391" s="697"/>
      <c r="CB391" s="697"/>
      <c r="CC391" s="697"/>
      <c r="CD391" s="697"/>
      <c r="CE391" s="697"/>
      <c r="CF391" s="697"/>
      <c r="CG391" s="697"/>
      <c r="CH391" s="697"/>
      <c r="CI391" s="697"/>
      <c r="CJ391" s="697"/>
      <c r="CK391" s="697"/>
      <c r="CL391" s="697"/>
      <c r="CM391" s="697"/>
      <c r="CN391" s="697"/>
      <c r="CO391" s="697"/>
      <c r="CP391" s="697"/>
      <c r="CQ391" s="697"/>
      <c r="CR391" s="697"/>
      <c r="CS391" s="697"/>
      <c r="CT391" s="697"/>
      <c r="CU391" s="697"/>
      <c r="CV391" s="697"/>
      <c r="CW391" s="697"/>
      <c r="CX391" s="697"/>
      <c r="CY391" s="697"/>
      <c r="CZ391" s="697"/>
      <c r="DA391" s="697"/>
    </row>
    <row r="392" spans="1:105" hidden="1" outlineLevel="1" x14ac:dyDescent="0.2">
      <c r="A392" s="709">
        <f t="shared" si="80"/>
        <v>39234</v>
      </c>
      <c r="B392" s="709" t="str">
        <f t="shared" si="77"/>
        <v>2Q07</v>
      </c>
      <c r="C392" s="709" t="str">
        <f t="shared" si="81"/>
        <v>3Q07</v>
      </c>
      <c r="D392" s="710">
        <f t="shared" si="82"/>
        <v>39297</v>
      </c>
      <c r="E392" s="710">
        <f t="shared" si="82"/>
        <v>39237</v>
      </c>
      <c r="F392" s="712">
        <v>2.7989999999999999</v>
      </c>
      <c r="G392" s="713">
        <f t="shared" si="78"/>
        <v>0.33000000000000013</v>
      </c>
      <c r="H392" s="713">
        <f t="shared" si="79"/>
        <v>0.33000000000000013</v>
      </c>
      <c r="I392" s="697"/>
      <c r="J392" s="697"/>
      <c r="K392" s="697"/>
      <c r="L392" s="697"/>
      <c r="M392" s="697"/>
      <c r="N392" s="697"/>
      <c r="O392" s="697"/>
      <c r="P392" s="697"/>
      <c r="Q392" s="697"/>
      <c r="R392" s="697"/>
      <c r="S392" s="697"/>
      <c r="T392" s="697"/>
      <c r="U392" s="697"/>
      <c r="V392" s="697"/>
      <c r="W392" s="697"/>
      <c r="X392" s="697"/>
      <c r="Y392" s="697"/>
      <c r="Z392" s="697"/>
      <c r="AA392" s="697"/>
      <c r="AB392" s="697"/>
      <c r="AC392" s="697"/>
      <c r="AD392" s="697"/>
      <c r="AE392" s="697"/>
      <c r="AF392" s="697"/>
      <c r="AG392" s="697"/>
      <c r="AH392" s="697"/>
      <c r="AI392" s="697"/>
      <c r="AJ392" s="697"/>
      <c r="AK392" s="697"/>
      <c r="AL392" s="697"/>
      <c r="AM392" s="697"/>
      <c r="AN392" s="697"/>
      <c r="AO392" s="697"/>
      <c r="AP392" s="697"/>
      <c r="AQ392" s="697"/>
      <c r="AR392" s="697"/>
      <c r="AS392" s="697"/>
      <c r="AT392" s="697"/>
      <c r="AU392" s="697"/>
      <c r="AV392" s="697"/>
      <c r="AW392" s="697"/>
      <c r="AX392" s="697"/>
      <c r="AY392" s="697"/>
      <c r="AZ392" s="697"/>
      <c r="BA392" s="697"/>
      <c r="BB392" s="697"/>
      <c r="BC392" s="697"/>
      <c r="BD392" s="697"/>
      <c r="BE392" s="697"/>
      <c r="BF392" s="697"/>
      <c r="BG392" s="697"/>
      <c r="BH392" s="697"/>
      <c r="BI392" s="697"/>
      <c r="BJ392" s="697"/>
      <c r="BK392" s="697"/>
      <c r="BL392" s="697"/>
      <c r="BM392" s="697"/>
      <c r="BN392" s="697"/>
      <c r="BO392" s="697"/>
      <c r="BP392" s="697"/>
      <c r="BQ392" s="697"/>
      <c r="BR392" s="697"/>
      <c r="BS392" s="697"/>
      <c r="BT392" s="697"/>
      <c r="BU392" s="697"/>
      <c r="BV392" s="697"/>
      <c r="BW392" s="697"/>
      <c r="BX392" s="697"/>
      <c r="BY392" s="697"/>
      <c r="BZ392" s="697"/>
      <c r="CA392" s="697"/>
      <c r="CB392" s="697"/>
      <c r="CC392" s="697"/>
      <c r="CD392" s="697"/>
      <c r="CE392" s="697"/>
      <c r="CF392" s="697"/>
      <c r="CG392" s="697"/>
      <c r="CH392" s="697"/>
      <c r="CI392" s="697"/>
      <c r="CJ392" s="697"/>
      <c r="CK392" s="697"/>
      <c r="CL392" s="697"/>
      <c r="CM392" s="697"/>
      <c r="CN392" s="697"/>
      <c r="CO392" s="697"/>
      <c r="CP392" s="697"/>
      <c r="CQ392" s="697"/>
      <c r="CR392" s="697"/>
      <c r="CS392" s="697"/>
      <c r="CT392" s="697"/>
      <c r="CU392" s="697"/>
      <c r="CV392" s="697"/>
      <c r="CW392" s="697"/>
      <c r="CX392" s="697"/>
      <c r="CY392" s="697"/>
      <c r="CZ392" s="697"/>
      <c r="DA392" s="697"/>
    </row>
    <row r="393" spans="1:105" hidden="1" outlineLevel="1" x14ac:dyDescent="0.2">
      <c r="A393" s="709">
        <f t="shared" si="80"/>
        <v>39234</v>
      </c>
      <c r="B393" s="709" t="str">
        <f t="shared" si="77"/>
        <v>2Q07</v>
      </c>
      <c r="C393" s="709" t="str">
        <f t="shared" si="81"/>
        <v>3Q07</v>
      </c>
      <c r="D393" s="710">
        <f t="shared" si="82"/>
        <v>39304</v>
      </c>
      <c r="E393" s="710">
        <f t="shared" si="82"/>
        <v>39244</v>
      </c>
      <c r="F393" s="712">
        <v>2.7919999999999998</v>
      </c>
      <c r="G393" s="713">
        <f t="shared" si="78"/>
        <v>0.33000000000000013</v>
      </c>
      <c r="H393" s="713">
        <f t="shared" si="79"/>
        <v>0.34000000000000014</v>
      </c>
      <c r="I393" s="697"/>
      <c r="J393" s="697"/>
      <c r="K393" s="697"/>
      <c r="L393" s="697"/>
      <c r="M393" s="697"/>
      <c r="N393" s="697"/>
      <c r="O393" s="697"/>
      <c r="P393" s="697"/>
      <c r="Q393" s="697"/>
      <c r="R393" s="697"/>
      <c r="S393" s="697"/>
      <c r="T393" s="697"/>
      <c r="U393" s="697"/>
      <c r="V393" s="697"/>
      <c r="W393" s="697"/>
      <c r="X393" s="697"/>
      <c r="Y393" s="697"/>
      <c r="Z393" s="697"/>
      <c r="AA393" s="697"/>
      <c r="AB393" s="697"/>
      <c r="AC393" s="697"/>
      <c r="AD393" s="697"/>
      <c r="AE393" s="697"/>
      <c r="AF393" s="697"/>
      <c r="AG393" s="697"/>
      <c r="AH393" s="697"/>
      <c r="AI393" s="697"/>
      <c r="AJ393" s="697"/>
      <c r="AK393" s="697"/>
      <c r="AL393" s="697"/>
      <c r="AM393" s="697"/>
      <c r="AN393" s="697"/>
      <c r="AO393" s="697"/>
      <c r="AP393" s="697"/>
      <c r="AQ393" s="697"/>
      <c r="AR393" s="697"/>
      <c r="AS393" s="697"/>
      <c r="AT393" s="697"/>
      <c r="AU393" s="697"/>
      <c r="AV393" s="697"/>
      <c r="AW393" s="697"/>
      <c r="AX393" s="697"/>
      <c r="AY393" s="697"/>
      <c r="AZ393" s="697"/>
      <c r="BA393" s="697"/>
      <c r="BB393" s="697"/>
      <c r="BC393" s="697"/>
      <c r="BD393" s="697"/>
      <c r="BE393" s="697"/>
      <c r="BF393" s="697"/>
      <c r="BG393" s="697"/>
      <c r="BH393" s="697"/>
      <c r="BI393" s="697"/>
      <c r="BJ393" s="697"/>
      <c r="BK393" s="697"/>
      <c r="BL393" s="697"/>
      <c r="BM393" s="697"/>
      <c r="BN393" s="697"/>
      <c r="BO393" s="697"/>
      <c r="BP393" s="697"/>
      <c r="BQ393" s="697"/>
      <c r="BR393" s="697"/>
      <c r="BS393" s="697"/>
      <c r="BT393" s="697"/>
      <c r="BU393" s="697"/>
      <c r="BV393" s="697"/>
      <c r="BW393" s="697"/>
      <c r="BX393" s="697"/>
      <c r="BY393" s="697"/>
      <c r="BZ393" s="697"/>
      <c r="CA393" s="697"/>
      <c r="CB393" s="697"/>
      <c r="CC393" s="697"/>
      <c r="CD393" s="697"/>
      <c r="CE393" s="697"/>
      <c r="CF393" s="697"/>
      <c r="CG393" s="697"/>
      <c r="CH393" s="697"/>
      <c r="CI393" s="697"/>
      <c r="CJ393" s="697"/>
      <c r="CK393" s="697"/>
      <c r="CL393" s="697"/>
      <c r="CM393" s="697"/>
      <c r="CN393" s="697"/>
      <c r="CO393" s="697"/>
      <c r="CP393" s="697"/>
      <c r="CQ393" s="697"/>
      <c r="CR393" s="697"/>
      <c r="CS393" s="697"/>
      <c r="CT393" s="697"/>
      <c r="CU393" s="697"/>
      <c r="CV393" s="697"/>
      <c r="CW393" s="697"/>
      <c r="CX393" s="697"/>
      <c r="CY393" s="697"/>
      <c r="CZ393" s="697"/>
      <c r="DA393" s="697"/>
    </row>
    <row r="394" spans="1:105" hidden="1" outlineLevel="1" x14ac:dyDescent="0.2">
      <c r="A394" s="709">
        <f t="shared" si="80"/>
        <v>39234</v>
      </c>
      <c r="B394" s="709" t="str">
        <f t="shared" si="77"/>
        <v>2Q07</v>
      </c>
      <c r="C394" s="709" t="str">
        <f t="shared" si="81"/>
        <v>3Q07</v>
      </c>
      <c r="D394" s="710">
        <f t="shared" si="82"/>
        <v>39311</v>
      </c>
      <c r="E394" s="710">
        <f t="shared" si="82"/>
        <v>39251</v>
      </c>
      <c r="F394" s="712">
        <v>2.8050000000000002</v>
      </c>
      <c r="G394" s="713">
        <f t="shared" si="78"/>
        <v>0.34000000000000014</v>
      </c>
      <c r="H394" s="713">
        <f t="shared" si="79"/>
        <v>0.34000000000000014</v>
      </c>
      <c r="I394" s="697"/>
      <c r="J394" s="697"/>
      <c r="K394" s="697"/>
      <c r="L394" s="697"/>
      <c r="M394" s="697"/>
      <c r="N394" s="697"/>
      <c r="O394" s="697"/>
      <c r="P394" s="697"/>
      <c r="Q394" s="697"/>
      <c r="R394" s="697"/>
      <c r="S394" s="697"/>
      <c r="T394" s="697"/>
      <c r="U394" s="697"/>
      <c r="V394" s="697"/>
      <c r="W394" s="697"/>
      <c r="X394" s="697"/>
      <c r="Y394" s="697"/>
      <c r="Z394" s="697"/>
      <c r="AA394" s="697"/>
      <c r="AB394" s="697"/>
      <c r="AC394" s="697"/>
      <c r="AD394" s="697"/>
      <c r="AE394" s="697"/>
      <c r="AF394" s="697"/>
      <c r="AG394" s="697"/>
      <c r="AH394" s="697"/>
      <c r="AI394" s="697"/>
      <c r="AJ394" s="697"/>
      <c r="AK394" s="697"/>
      <c r="AL394" s="697"/>
      <c r="AM394" s="697"/>
      <c r="AN394" s="697"/>
      <c r="AO394" s="697"/>
      <c r="AP394" s="697"/>
      <c r="AQ394" s="697"/>
      <c r="AR394" s="697"/>
      <c r="AS394" s="697"/>
      <c r="AT394" s="697"/>
      <c r="AU394" s="697"/>
      <c r="AV394" s="697"/>
      <c r="AW394" s="697"/>
      <c r="AX394" s="697"/>
      <c r="AY394" s="697"/>
      <c r="AZ394" s="697"/>
      <c r="BA394" s="697"/>
      <c r="BB394" s="697"/>
      <c r="BC394" s="697"/>
      <c r="BD394" s="697"/>
      <c r="BE394" s="697"/>
      <c r="BF394" s="697"/>
      <c r="BG394" s="697"/>
      <c r="BH394" s="697"/>
      <c r="BI394" s="697"/>
      <c r="BJ394" s="697"/>
      <c r="BK394" s="697"/>
      <c r="BL394" s="697"/>
      <c r="BM394" s="697"/>
      <c r="BN394" s="697"/>
      <c r="BO394" s="697"/>
      <c r="BP394" s="697"/>
      <c r="BQ394" s="697"/>
      <c r="BR394" s="697"/>
      <c r="BS394" s="697"/>
      <c r="BT394" s="697"/>
      <c r="BU394" s="697"/>
      <c r="BV394" s="697"/>
      <c r="BW394" s="697"/>
      <c r="BX394" s="697"/>
      <c r="BY394" s="697"/>
      <c r="BZ394" s="697"/>
      <c r="CA394" s="697"/>
      <c r="CB394" s="697"/>
      <c r="CC394" s="697"/>
      <c r="CD394" s="697"/>
      <c r="CE394" s="697"/>
      <c r="CF394" s="697"/>
      <c r="CG394" s="697"/>
      <c r="CH394" s="697"/>
      <c r="CI394" s="697"/>
      <c r="CJ394" s="697"/>
      <c r="CK394" s="697"/>
      <c r="CL394" s="697"/>
      <c r="CM394" s="697"/>
      <c r="CN394" s="697"/>
      <c r="CO394" s="697"/>
      <c r="CP394" s="697"/>
      <c r="CQ394" s="697"/>
      <c r="CR394" s="697"/>
      <c r="CS394" s="697"/>
      <c r="CT394" s="697"/>
      <c r="CU394" s="697"/>
      <c r="CV394" s="697"/>
      <c r="CW394" s="697"/>
      <c r="CX394" s="697"/>
      <c r="CY394" s="697"/>
      <c r="CZ394" s="697"/>
      <c r="DA394" s="697"/>
    </row>
    <row r="395" spans="1:105" hidden="1" outlineLevel="1" x14ac:dyDescent="0.2">
      <c r="A395" s="709">
        <f t="shared" si="80"/>
        <v>39234</v>
      </c>
      <c r="B395" s="709" t="str">
        <f t="shared" si="77"/>
        <v>2Q07</v>
      </c>
      <c r="C395" s="709" t="str">
        <f t="shared" si="81"/>
        <v>3Q07</v>
      </c>
      <c r="D395" s="710">
        <f t="shared" si="82"/>
        <v>39318</v>
      </c>
      <c r="E395" s="710">
        <f t="shared" si="82"/>
        <v>39258</v>
      </c>
      <c r="F395" s="712">
        <v>2.835</v>
      </c>
      <c r="G395" s="713">
        <f t="shared" si="78"/>
        <v>0.34000000000000014</v>
      </c>
      <c r="H395" s="713">
        <f t="shared" si="79"/>
        <v>0.34000000000000014</v>
      </c>
      <c r="I395" s="697"/>
      <c r="J395" s="697"/>
      <c r="K395" s="697"/>
      <c r="L395" s="697"/>
      <c r="M395" s="697"/>
      <c r="N395" s="697"/>
      <c r="O395" s="697"/>
      <c r="P395" s="697"/>
      <c r="Q395" s="697"/>
      <c r="R395" s="697"/>
      <c r="S395" s="697"/>
      <c r="T395" s="697"/>
      <c r="U395" s="697"/>
      <c r="V395" s="697"/>
      <c r="W395" s="697"/>
      <c r="X395" s="697"/>
      <c r="Y395" s="697"/>
      <c r="Z395" s="697"/>
      <c r="AA395" s="697"/>
      <c r="AB395" s="697"/>
      <c r="AC395" s="697"/>
      <c r="AD395" s="697"/>
      <c r="AE395" s="697"/>
      <c r="AF395" s="697"/>
      <c r="AG395" s="697"/>
      <c r="AH395" s="697"/>
      <c r="AI395" s="697"/>
      <c r="AJ395" s="697"/>
      <c r="AK395" s="697"/>
      <c r="AL395" s="697"/>
      <c r="AM395" s="697"/>
      <c r="AN395" s="697"/>
      <c r="AO395" s="697"/>
      <c r="AP395" s="697"/>
      <c r="AQ395" s="697"/>
      <c r="AR395" s="697"/>
      <c r="AS395" s="697"/>
      <c r="AT395" s="697"/>
      <c r="AU395" s="697"/>
      <c r="AV395" s="697"/>
      <c r="AW395" s="697"/>
      <c r="AX395" s="697"/>
      <c r="AY395" s="697"/>
      <c r="AZ395" s="697"/>
      <c r="BA395" s="697"/>
      <c r="BB395" s="697"/>
      <c r="BC395" s="697"/>
      <c r="BD395" s="697"/>
      <c r="BE395" s="697"/>
      <c r="BF395" s="697"/>
      <c r="BG395" s="697"/>
      <c r="BH395" s="697"/>
      <c r="BI395" s="697"/>
      <c r="BJ395" s="697"/>
      <c r="BK395" s="697"/>
      <c r="BL395" s="697"/>
      <c r="BM395" s="697"/>
      <c r="BN395" s="697"/>
      <c r="BO395" s="697"/>
      <c r="BP395" s="697"/>
      <c r="BQ395" s="697"/>
      <c r="BR395" s="697"/>
      <c r="BS395" s="697"/>
      <c r="BT395" s="697"/>
      <c r="BU395" s="697"/>
      <c r="BV395" s="697"/>
      <c r="BW395" s="697"/>
      <c r="BX395" s="697"/>
      <c r="BY395" s="697"/>
      <c r="BZ395" s="697"/>
      <c r="CA395" s="697"/>
      <c r="CB395" s="697"/>
      <c r="CC395" s="697"/>
      <c r="CD395" s="697"/>
      <c r="CE395" s="697"/>
      <c r="CF395" s="697"/>
      <c r="CG395" s="697"/>
      <c r="CH395" s="697"/>
      <c r="CI395" s="697"/>
      <c r="CJ395" s="697"/>
      <c r="CK395" s="697"/>
      <c r="CL395" s="697"/>
      <c r="CM395" s="697"/>
      <c r="CN395" s="697"/>
      <c r="CO395" s="697"/>
      <c r="CP395" s="697"/>
      <c r="CQ395" s="697"/>
      <c r="CR395" s="697"/>
      <c r="CS395" s="697"/>
      <c r="CT395" s="697"/>
      <c r="CU395" s="697"/>
      <c r="CV395" s="697"/>
      <c r="CW395" s="697"/>
      <c r="CX395" s="697"/>
      <c r="CY395" s="697"/>
      <c r="CZ395" s="697"/>
      <c r="DA395" s="697"/>
    </row>
    <row r="396" spans="1:105" hidden="1" outlineLevel="1" x14ac:dyDescent="0.2">
      <c r="A396" s="709">
        <f t="shared" si="80"/>
        <v>39264</v>
      </c>
      <c r="B396" s="709" t="str">
        <f t="shared" si="77"/>
        <v>3Q07</v>
      </c>
      <c r="C396" s="709" t="str">
        <f t="shared" si="81"/>
        <v>3Q07</v>
      </c>
      <c r="D396" s="710">
        <f t="shared" si="82"/>
        <v>39325</v>
      </c>
      <c r="E396" s="710">
        <f t="shared" si="82"/>
        <v>39265</v>
      </c>
      <c r="F396" s="712">
        <v>2.8290000000000002</v>
      </c>
      <c r="G396" s="713">
        <f t="shared" si="78"/>
        <v>0.34000000000000014</v>
      </c>
      <c r="H396" s="713">
        <f t="shared" si="79"/>
        <v>0.34000000000000014</v>
      </c>
      <c r="I396" s="697"/>
      <c r="J396" s="697"/>
      <c r="K396" s="697"/>
      <c r="L396" s="697"/>
      <c r="M396" s="697"/>
      <c r="N396" s="697"/>
      <c r="O396" s="697"/>
      <c r="P396" s="697"/>
      <c r="Q396" s="697"/>
      <c r="R396" s="697"/>
      <c r="S396" s="697"/>
      <c r="T396" s="697"/>
      <c r="U396" s="697"/>
      <c r="V396" s="697"/>
      <c r="W396" s="697"/>
      <c r="X396" s="697"/>
      <c r="Y396" s="697"/>
      <c r="Z396" s="697"/>
      <c r="AA396" s="697"/>
      <c r="AB396" s="697"/>
      <c r="AC396" s="697"/>
      <c r="AD396" s="697"/>
      <c r="AE396" s="697"/>
      <c r="AF396" s="697"/>
      <c r="AG396" s="697"/>
      <c r="AH396" s="697"/>
      <c r="AI396" s="697"/>
      <c r="AJ396" s="697"/>
      <c r="AK396" s="697"/>
      <c r="AL396" s="697"/>
      <c r="AM396" s="697"/>
      <c r="AN396" s="697"/>
      <c r="AO396" s="697"/>
      <c r="AP396" s="697"/>
      <c r="AQ396" s="697"/>
      <c r="AR396" s="697"/>
      <c r="AS396" s="697"/>
      <c r="AT396" s="697"/>
      <c r="AU396" s="697"/>
      <c r="AV396" s="697"/>
      <c r="AW396" s="697"/>
      <c r="AX396" s="697"/>
      <c r="AY396" s="697"/>
      <c r="AZ396" s="697"/>
      <c r="BA396" s="697"/>
      <c r="BB396" s="697"/>
      <c r="BC396" s="697"/>
      <c r="BD396" s="697"/>
      <c r="BE396" s="697"/>
      <c r="BF396" s="697"/>
      <c r="BG396" s="697"/>
      <c r="BH396" s="697"/>
      <c r="BI396" s="697"/>
      <c r="BJ396" s="697"/>
      <c r="BK396" s="697"/>
      <c r="BL396" s="697"/>
      <c r="BM396" s="697"/>
      <c r="BN396" s="697"/>
      <c r="BO396" s="697"/>
      <c r="BP396" s="697"/>
      <c r="BQ396" s="697"/>
      <c r="BR396" s="697"/>
      <c r="BS396" s="697"/>
      <c r="BT396" s="697"/>
      <c r="BU396" s="697"/>
      <c r="BV396" s="697"/>
      <c r="BW396" s="697"/>
      <c r="BX396" s="697"/>
      <c r="BY396" s="697"/>
      <c r="BZ396" s="697"/>
      <c r="CA396" s="697"/>
      <c r="CB396" s="697"/>
      <c r="CC396" s="697"/>
      <c r="CD396" s="697"/>
      <c r="CE396" s="697"/>
      <c r="CF396" s="697"/>
      <c r="CG396" s="697"/>
      <c r="CH396" s="697"/>
      <c r="CI396" s="697"/>
      <c r="CJ396" s="697"/>
      <c r="CK396" s="697"/>
      <c r="CL396" s="697"/>
      <c r="CM396" s="697"/>
      <c r="CN396" s="697"/>
      <c r="CO396" s="697"/>
      <c r="CP396" s="697"/>
      <c r="CQ396" s="697"/>
      <c r="CR396" s="697"/>
      <c r="CS396" s="697"/>
      <c r="CT396" s="697"/>
      <c r="CU396" s="697"/>
      <c r="CV396" s="697"/>
      <c r="CW396" s="697"/>
      <c r="CX396" s="697"/>
      <c r="CY396" s="697"/>
      <c r="CZ396" s="697"/>
      <c r="DA396" s="697"/>
    </row>
    <row r="397" spans="1:105" hidden="1" outlineLevel="1" x14ac:dyDescent="0.2">
      <c r="A397" s="709">
        <f t="shared" si="80"/>
        <v>39264</v>
      </c>
      <c r="B397" s="709" t="str">
        <f t="shared" si="77"/>
        <v>3Q07</v>
      </c>
      <c r="C397" s="709" t="str">
        <f t="shared" si="81"/>
        <v>3Q07</v>
      </c>
      <c r="D397" s="710">
        <f t="shared" si="82"/>
        <v>39332</v>
      </c>
      <c r="E397" s="710">
        <f t="shared" si="82"/>
        <v>39272</v>
      </c>
      <c r="F397" s="712">
        <v>2.8490000000000002</v>
      </c>
      <c r="G397" s="713">
        <f t="shared" si="78"/>
        <v>0.34000000000000014</v>
      </c>
      <c r="H397" s="713">
        <f t="shared" si="79"/>
        <v>0.35000000000000014</v>
      </c>
      <c r="I397" s="697"/>
      <c r="J397" s="697"/>
      <c r="K397" s="697"/>
      <c r="L397" s="697"/>
      <c r="M397" s="697"/>
      <c r="N397" s="697"/>
      <c r="O397" s="697"/>
      <c r="P397" s="697"/>
      <c r="Q397" s="697"/>
      <c r="R397" s="697"/>
      <c r="S397" s="697"/>
      <c r="T397" s="697"/>
      <c r="U397" s="697"/>
      <c r="V397" s="697"/>
      <c r="W397" s="697"/>
      <c r="X397" s="697"/>
      <c r="Y397" s="697"/>
      <c r="Z397" s="697"/>
      <c r="AA397" s="697"/>
      <c r="AB397" s="697"/>
      <c r="AC397" s="697"/>
      <c r="AD397" s="697"/>
      <c r="AE397" s="697"/>
      <c r="AF397" s="697"/>
      <c r="AG397" s="697"/>
      <c r="AH397" s="697"/>
      <c r="AI397" s="697"/>
      <c r="AJ397" s="697"/>
      <c r="AK397" s="697"/>
      <c r="AL397" s="697"/>
      <c r="AM397" s="697"/>
      <c r="AN397" s="697"/>
      <c r="AO397" s="697"/>
      <c r="AP397" s="697"/>
      <c r="AQ397" s="697"/>
      <c r="AR397" s="697"/>
      <c r="AS397" s="697"/>
      <c r="AT397" s="697"/>
      <c r="AU397" s="697"/>
      <c r="AV397" s="697"/>
      <c r="AW397" s="697"/>
      <c r="AX397" s="697"/>
      <c r="AY397" s="697"/>
      <c r="AZ397" s="697"/>
      <c r="BA397" s="697"/>
      <c r="BB397" s="697"/>
      <c r="BC397" s="697"/>
      <c r="BD397" s="697"/>
      <c r="BE397" s="697"/>
      <c r="BF397" s="697"/>
      <c r="BG397" s="697"/>
      <c r="BH397" s="697"/>
      <c r="BI397" s="697"/>
      <c r="BJ397" s="697"/>
      <c r="BK397" s="697"/>
      <c r="BL397" s="697"/>
      <c r="BM397" s="697"/>
      <c r="BN397" s="697"/>
      <c r="BO397" s="697"/>
      <c r="BP397" s="697"/>
      <c r="BQ397" s="697"/>
      <c r="BR397" s="697"/>
      <c r="BS397" s="697"/>
      <c r="BT397" s="697"/>
      <c r="BU397" s="697"/>
      <c r="BV397" s="697"/>
      <c r="BW397" s="697"/>
      <c r="BX397" s="697"/>
      <c r="BY397" s="697"/>
      <c r="BZ397" s="697"/>
      <c r="CA397" s="697"/>
      <c r="CB397" s="697"/>
      <c r="CC397" s="697"/>
      <c r="CD397" s="697"/>
      <c r="CE397" s="697"/>
      <c r="CF397" s="697"/>
      <c r="CG397" s="697"/>
      <c r="CH397" s="697"/>
      <c r="CI397" s="697"/>
      <c r="CJ397" s="697"/>
      <c r="CK397" s="697"/>
      <c r="CL397" s="697"/>
      <c r="CM397" s="697"/>
      <c r="CN397" s="697"/>
      <c r="CO397" s="697"/>
      <c r="CP397" s="697"/>
      <c r="CQ397" s="697"/>
      <c r="CR397" s="697"/>
      <c r="CS397" s="697"/>
      <c r="CT397" s="697"/>
      <c r="CU397" s="697"/>
      <c r="CV397" s="697"/>
      <c r="CW397" s="697"/>
      <c r="CX397" s="697"/>
      <c r="CY397" s="697"/>
      <c r="CZ397" s="697"/>
      <c r="DA397" s="697"/>
    </row>
    <row r="398" spans="1:105" hidden="1" outlineLevel="1" x14ac:dyDescent="0.2">
      <c r="A398" s="709">
        <f t="shared" si="80"/>
        <v>39264</v>
      </c>
      <c r="B398" s="709" t="str">
        <f t="shared" si="77"/>
        <v>3Q07</v>
      </c>
      <c r="C398" s="709" t="str">
        <f t="shared" si="81"/>
        <v>3Q07</v>
      </c>
      <c r="D398" s="710">
        <f t="shared" si="82"/>
        <v>39339</v>
      </c>
      <c r="E398" s="710">
        <f t="shared" si="82"/>
        <v>39279</v>
      </c>
      <c r="F398" s="712">
        <v>2.8889999999999998</v>
      </c>
      <c r="G398" s="713">
        <f t="shared" si="78"/>
        <v>0.35000000000000014</v>
      </c>
      <c r="H398" s="713">
        <f t="shared" si="79"/>
        <v>0.35000000000000014</v>
      </c>
      <c r="I398" s="697"/>
      <c r="J398" s="697"/>
      <c r="K398" s="697"/>
      <c r="L398" s="697"/>
      <c r="M398" s="697"/>
      <c r="N398" s="697"/>
      <c r="O398" s="697"/>
      <c r="P398" s="697"/>
      <c r="Q398" s="697"/>
      <c r="R398" s="697"/>
      <c r="S398" s="697"/>
      <c r="T398" s="697"/>
      <c r="U398" s="697"/>
      <c r="V398" s="697"/>
      <c r="W398" s="697"/>
      <c r="X398" s="697"/>
      <c r="Y398" s="697"/>
      <c r="Z398" s="697"/>
      <c r="AA398" s="697"/>
      <c r="AB398" s="697"/>
      <c r="AC398" s="697"/>
      <c r="AD398" s="697"/>
      <c r="AE398" s="697"/>
      <c r="AF398" s="697"/>
      <c r="AG398" s="697"/>
      <c r="AH398" s="697"/>
      <c r="AI398" s="697"/>
      <c r="AJ398" s="697"/>
      <c r="AK398" s="697"/>
      <c r="AL398" s="697"/>
      <c r="AM398" s="697"/>
      <c r="AN398" s="697"/>
      <c r="AO398" s="697"/>
      <c r="AP398" s="697"/>
      <c r="AQ398" s="697"/>
      <c r="AR398" s="697"/>
      <c r="AS398" s="697"/>
      <c r="AT398" s="697"/>
      <c r="AU398" s="697"/>
      <c r="AV398" s="697"/>
      <c r="AW398" s="697"/>
      <c r="AX398" s="697"/>
      <c r="AY398" s="697"/>
      <c r="AZ398" s="697"/>
      <c r="BA398" s="697"/>
      <c r="BB398" s="697"/>
      <c r="BC398" s="697"/>
      <c r="BD398" s="697"/>
      <c r="BE398" s="697"/>
      <c r="BF398" s="697"/>
      <c r="BG398" s="697"/>
      <c r="BH398" s="697"/>
      <c r="BI398" s="697"/>
      <c r="BJ398" s="697"/>
      <c r="BK398" s="697"/>
      <c r="BL398" s="697"/>
      <c r="BM398" s="697"/>
      <c r="BN398" s="697"/>
      <c r="BO398" s="697"/>
      <c r="BP398" s="697"/>
      <c r="BQ398" s="697"/>
      <c r="BR398" s="697"/>
      <c r="BS398" s="697"/>
      <c r="BT398" s="697"/>
      <c r="BU398" s="697"/>
      <c r="BV398" s="697"/>
      <c r="BW398" s="697"/>
      <c r="BX398" s="697"/>
      <c r="BY398" s="697"/>
      <c r="BZ398" s="697"/>
      <c r="CA398" s="697"/>
      <c r="CB398" s="697"/>
      <c r="CC398" s="697"/>
      <c r="CD398" s="697"/>
      <c r="CE398" s="697"/>
      <c r="CF398" s="697"/>
      <c r="CG398" s="697"/>
      <c r="CH398" s="697"/>
      <c r="CI398" s="697"/>
      <c r="CJ398" s="697"/>
      <c r="CK398" s="697"/>
      <c r="CL398" s="697"/>
      <c r="CM398" s="697"/>
      <c r="CN398" s="697"/>
      <c r="CO398" s="697"/>
      <c r="CP398" s="697"/>
      <c r="CQ398" s="697"/>
      <c r="CR398" s="697"/>
      <c r="CS398" s="697"/>
      <c r="CT398" s="697"/>
      <c r="CU398" s="697"/>
      <c r="CV398" s="697"/>
      <c r="CW398" s="697"/>
      <c r="CX398" s="697"/>
      <c r="CY398" s="697"/>
      <c r="CZ398" s="697"/>
      <c r="DA398" s="697"/>
    </row>
    <row r="399" spans="1:105" hidden="1" outlineLevel="1" x14ac:dyDescent="0.2">
      <c r="A399" s="709">
        <f t="shared" si="80"/>
        <v>39264</v>
      </c>
      <c r="B399" s="709" t="str">
        <f t="shared" si="77"/>
        <v>3Q07</v>
      </c>
      <c r="C399" s="709" t="str">
        <f t="shared" si="81"/>
        <v>3Q07</v>
      </c>
      <c r="D399" s="710">
        <f t="shared" si="82"/>
        <v>39346</v>
      </c>
      <c r="E399" s="710">
        <f t="shared" si="82"/>
        <v>39286</v>
      </c>
      <c r="F399" s="712">
        <v>2.8889999999999998</v>
      </c>
      <c r="G399" s="713">
        <f t="shared" si="78"/>
        <v>0.35000000000000014</v>
      </c>
      <c r="H399" s="713">
        <f t="shared" si="79"/>
        <v>0.35000000000000014</v>
      </c>
      <c r="I399" s="697"/>
      <c r="J399" s="697"/>
      <c r="K399" s="697"/>
      <c r="L399" s="697"/>
      <c r="M399" s="697"/>
      <c r="N399" s="697"/>
      <c r="O399" s="697"/>
      <c r="P399" s="697"/>
      <c r="Q399" s="697"/>
      <c r="R399" s="697"/>
      <c r="S399" s="697"/>
      <c r="T399" s="697"/>
      <c r="U399" s="697"/>
      <c r="V399" s="697"/>
      <c r="W399" s="697"/>
      <c r="X399" s="697"/>
      <c r="Y399" s="697"/>
      <c r="Z399" s="697"/>
      <c r="AA399" s="697"/>
      <c r="AB399" s="697"/>
      <c r="AC399" s="697"/>
      <c r="AD399" s="697"/>
      <c r="AE399" s="697"/>
      <c r="AF399" s="697"/>
      <c r="AG399" s="697"/>
      <c r="AH399" s="697"/>
      <c r="AI399" s="697"/>
      <c r="AJ399" s="697"/>
      <c r="AK399" s="697"/>
      <c r="AL399" s="697"/>
      <c r="AM399" s="697"/>
      <c r="AN399" s="697"/>
      <c r="AO399" s="697"/>
      <c r="AP399" s="697"/>
      <c r="AQ399" s="697"/>
      <c r="AR399" s="697"/>
      <c r="AS399" s="697"/>
      <c r="AT399" s="697"/>
      <c r="AU399" s="697"/>
      <c r="AV399" s="697"/>
      <c r="AW399" s="697"/>
      <c r="AX399" s="697"/>
      <c r="AY399" s="697"/>
      <c r="AZ399" s="697"/>
      <c r="BA399" s="697"/>
      <c r="BB399" s="697"/>
      <c r="BC399" s="697"/>
      <c r="BD399" s="697"/>
      <c r="BE399" s="697"/>
      <c r="BF399" s="697"/>
      <c r="BG399" s="697"/>
      <c r="BH399" s="697"/>
      <c r="BI399" s="697"/>
      <c r="BJ399" s="697"/>
      <c r="BK399" s="697"/>
      <c r="BL399" s="697"/>
      <c r="BM399" s="697"/>
      <c r="BN399" s="697"/>
      <c r="BO399" s="697"/>
      <c r="BP399" s="697"/>
      <c r="BQ399" s="697"/>
      <c r="BR399" s="697"/>
      <c r="BS399" s="697"/>
      <c r="BT399" s="697"/>
      <c r="BU399" s="697"/>
      <c r="BV399" s="697"/>
      <c r="BW399" s="697"/>
      <c r="BX399" s="697"/>
      <c r="BY399" s="697"/>
      <c r="BZ399" s="697"/>
      <c r="CA399" s="697"/>
      <c r="CB399" s="697"/>
      <c r="CC399" s="697"/>
      <c r="CD399" s="697"/>
      <c r="CE399" s="697"/>
      <c r="CF399" s="697"/>
      <c r="CG399" s="697"/>
      <c r="CH399" s="697"/>
      <c r="CI399" s="697"/>
      <c r="CJ399" s="697"/>
      <c r="CK399" s="697"/>
      <c r="CL399" s="697"/>
      <c r="CM399" s="697"/>
      <c r="CN399" s="697"/>
      <c r="CO399" s="697"/>
      <c r="CP399" s="697"/>
      <c r="CQ399" s="697"/>
      <c r="CR399" s="697"/>
      <c r="CS399" s="697"/>
      <c r="CT399" s="697"/>
      <c r="CU399" s="697"/>
      <c r="CV399" s="697"/>
      <c r="CW399" s="697"/>
      <c r="CX399" s="697"/>
      <c r="CY399" s="697"/>
      <c r="CZ399" s="697"/>
      <c r="DA399" s="697"/>
    </row>
    <row r="400" spans="1:105" hidden="1" outlineLevel="1" x14ac:dyDescent="0.2">
      <c r="A400" s="709">
        <f t="shared" si="80"/>
        <v>39264</v>
      </c>
      <c r="B400" s="709" t="str">
        <f t="shared" si="77"/>
        <v>3Q07</v>
      </c>
      <c r="C400" s="709" t="str">
        <f t="shared" si="81"/>
        <v>3Q07</v>
      </c>
      <c r="D400" s="710">
        <f t="shared" si="82"/>
        <v>39353</v>
      </c>
      <c r="E400" s="710">
        <f t="shared" si="82"/>
        <v>39293</v>
      </c>
      <c r="F400" s="712">
        <v>2.8860000000000001</v>
      </c>
      <c r="G400" s="713">
        <f t="shared" si="78"/>
        <v>0.35000000000000014</v>
      </c>
      <c r="H400" s="713">
        <f t="shared" si="79"/>
        <v>0.35000000000000014</v>
      </c>
      <c r="I400" s="697"/>
      <c r="J400" s="697"/>
      <c r="K400" s="697"/>
      <c r="L400" s="697"/>
      <c r="M400" s="697"/>
      <c r="N400" s="697"/>
      <c r="O400" s="697"/>
      <c r="P400" s="697"/>
      <c r="Q400" s="697"/>
      <c r="R400" s="697"/>
      <c r="S400" s="697"/>
      <c r="T400" s="697"/>
      <c r="U400" s="697"/>
      <c r="V400" s="697"/>
      <c r="W400" s="697"/>
      <c r="X400" s="697"/>
      <c r="Y400" s="697"/>
      <c r="Z400" s="697"/>
      <c r="AA400" s="697"/>
      <c r="AB400" s="697"/>
      <c r="AC400" s="697"/>
      <c r="AD400" s="697"/>
      <c r="AE400" s="697"/>
      <c r="AF400" s="697"/>
      <c r="AG400" s="697"/>
      <c r="AH400" s="697"/>
      <c r="AI400" s="697"/>
      <c r="AJ400" s="697"/>
      <c r="AK400" s="697"/>
      <c r="AL400" s="697"/>
      <c r="AM400" s="697"/>
      <c r="AN400" s="697"/>
      <c r="AO400" s="697"/>
      <c r="AP400" s="697"/>
      <c r="AQ400" s="697"/>
      <c r="AR400" s="697"/>
      <c r="AS400" s="697"/>
      <c r="AT400" s="697"/>
      <c r="AU400" s="697"/>
      <c r="AV400" s="697"/>
      <c r="AW400" s="697"/>
      <c r="AX400" s="697"/>
      <c r="AY400" s="697"/>
      <c r="AZ400" s="697"/>
      <c r="BA400" s="697"/>
      <c r="BB400" s="697"/>
      <c r="BC400" s="697"/>
      <c r="BD400" s="697"/>
      <c r="BE400" s="697"/>
      <c r="BF400" s="697"/>
      <c r="BG400" s="697"/>
      <c r="BH400" s="697"/>
      <c r="BI400" s="697"/>
      <c r="BJ400" s="697"/>
      <c r="BK400" s="697"/>
      <c r="BL400" s="697"/>
      <c r="BM400" s="697"/>
      <c r="BN400" s="697"/>
      <c r="BO400" s="697"/>
      <c r="BP400" s="697"/>
      <c r="BQ400" s="697"/>
      <c r="BR400" s="697"/>
      <c r="BS400" s="697"/>
      <c r="BT400" s="697"/>
      <c r="BU400" s="697"/>
      <c r="BV400" s="697"/>
      <c r="BW400" s="697"/>
      <c r="BX400" s="697"/>
      <c r="BY400" s="697"/>
      <c r="BZ400" s="697"/>
      <c r="CA400" s="697"/>
      <c r="CB400" s="697"/>
      <c r="CC400" s="697"/>
      <c r="CD400" s="697"/>
      <c r="CE400" s="697"/>
      <c r="CF400" s="697"/>
      <c r="CG400" s="697"/>
      <c r="CH400" s="697"/>
      <c r="CI400" s="697"/>
      <c r="CJ400" s="697"/>
      <c r="CK400" s="697"/>
      <c r="CL400" s="697"/>
      <c r="CM400" s="697"/>
      <c r="CN400" s="697"/>
      <c r="CO400" s="697"/>
      <c r="CP400" s="697"/>
      <c r="CQ400" s="697"/>
      <c r="CR400" s="697"/>
      <c r="CS400" s="697"/>
      <c r="CT400" s="697"/>
      <c r="CU400" s="697"/>
      <c r="CV400" s="697"/>
      <c r="CW400" s="697"/>
      <c r="CX400" s="697"/>
      <c r="CY400" s="697"/>
      <c r="CZ400" s="697"/>
      <c r="DA400" s="697"/>
    </row>
    <row r="401" spans="1:105" hidden="1" outlineLevel="1" x14ac:dyDescent="0.2">
      <c r="A401" s="709">
        <f t="shared" si="80"/>
        <v>39295</v>
      </c>
      <c r="B401" s="709" t="str">
        <f t="shared" si="77"/>
        <v>3Q07</v>
      </c>
      <c r="C401" s="709" t="str">
        <f t="shared" si="81"/>
        <v>4Q07</v>
      </c>
      <c r="D401" s="710">
        <f t="shared" si="82"/>
        <v>39360</v>
      </c>
      <c r="E401" s="710">
        <f t="shared" si="82"/>
        <v>39300</v>
      </c>
      <c r="F401" s="712">
        <v>2.8980000000000001</v>
      </c>
      <c r="G401" s="713">
        <f t="shared" si="78"/>
        <v>0.35000000000000014</v>
      </c>
      <c r="H401" s="713">
        <f t="shared" si="79"/>
        <v>0.34000000000000014</v>
      </c>
      <c r="I401" s="697"/>
      <c r="J401" s="697"/>
      <c r="K401" s="697"/>
      <c r="L401" s="697"/>
      <c r="M401" s="697"/>
      <c r="N401" s="697"/>
      <c r="O401" s="697"/>
      <c r="P401" s="697"/>
      <c r="Q401" s="697"/>
      <c r="R401" s="697"/>
      <c r="S401" s="697"/>
      <c r="T401" s="697"/>
      <c r="U401" s="697"/>
      <c r="V401" s="697"/>
      <c r="W401" s="697"/>
      <c r="X401" s="697"/>
      <c r="Y401" s="697"/>
      <c r="Z401" s="697"/>
      <c r="AA401" s="697"/>
      <c r="AB401" s="697"/>
      <c r="AC401" s="697"/>
      <c r="AD401" s="697"/>
      <c r="AE401" s="697"/>
      <c r="AF401" s="697"/>
      <c r="AG401" s="697"/>
      <c r="AH401" s="697"/>
      <c r="AI401" s="697"/>
      <c r="AJ401" s="697"/>
      <c r="AK401" s="697"/>
      <c r="AL401" s="697"/>
      <c r="AM401" s="697"/>
      <c r="AN401" s="697"/>
      <c r="AO401" s="697"/>
      <c r="AP401" s="697"/>
      <c r="AQ401" s="697"/>
      <c r="AR401" s="697"/>
      <c r="AS401" s="697"/>
      <c r="AT401" s="697"/>
      <c r="AU401" s="697"/>
      <c r="AV401" s="697"/>
      <c r="AW401" s="697"/>
      <c r="AX401" s="697"/>
      <c r="AY401" s="697"/>
      <c r="AZ401" s="697"/>
      <c r="BA401" s="697"/>
      <c r="BB401" s="697"/>
      <c r="BC401" s="697"/>
      <c r="BD401" s="697"/>
      <c r="BE401" s="697"/>
      <c r="BF401" s="697"/>
      <c r="BG401" s="697"/>
      <c r="BH401" s="697"/>
      <c r="BI401" s="697"/>
      <c r="BJ401" s="697"/>
      <c r="BK401" s="697"/>
      <c r="BL401" s="697"/>
      <c r="BM401" s="697"/>
      <c r="BN401" s="697"/>
      <c r="BO401" s="697"/>
      <c r="BP401" s="697"/>
      <c r="BQ401" s="697"/>
      <c r="BR401" s="697"/>
      <c r="BS401" s="697"/>
      <c r="BT401" s="697"/>
      <c r="BU401" s="697"/>
      <c r="BV401" s="697"/>
      <c r="BW401" s="697"/>
      <c r="BX401" s="697"/>
      <c r="BY401" s="697"/>
      <c r="BZ401" s="697"/>
      <c r="CA401" s="697"/>
      <c r="CB401" s="697"/>
      <c r="CC401" s="697"/>
      <c r="CD401" s="697"/>
      <c r="CE401" s="697"/>
      <c r="CF401" s="697"/>
      <c r="CG401" s="697"/>
      <c r="CH401" s="697"/>
      <c r="CI401" s="697"/>
      <c r="CJ401" s="697"/>
      <c r="CK401" s="697"/>
      <c r="CL401" s="697"/>
      <c r="CM401" s="697"/>
      <c r="CN401" s="697"/>
      <c r="CO401" s="697"/>
      <c r="CP401" s="697"/>
      <c r="CQ401" s="697"/>
      <c r="CR401" s="697"/>
      <c r="CS401" s="697"/>
      <c r="CT401" s="697"/>
      <c r="CU401" s="697"/>
      <c r="CV401" s="697"/>
      <c r="CW401" s="697"/>
      <c r="CX401" s="697"/>
      <c r="CY401" s="697"/>
      <c r="CZ401" s="697"/>
      <c r="DA401" s="697"/>
    </row>
    <row r="402" spans="1:105" hidden="1" outlineLevel="1" x14ac:dyDescent="0.2">
      <c r="A402" s="709">
        <f t="shared" si="80"/>
        <v>39295</v>
      </c>
      <c r="B402" s="709" t="str">
        <f t="shared" si="77"/>
        <v>3Q07</v>
      </c>
      <c r="C402" s="709" t="str">
        <f t="shared" si="81"/>
        <v>4Q07</v>
      </c>
      <c r="D402" s="710">
        <f t="shared" si="82"/>
        <v>39367</v>
      </c>
      <c r="E402" s="710">
        <f t="shared" si="82"/>
        <v>39307</v>
      </c>
      <c r="F402" s="712">
        <v>2.847</v>
      </c>
      <c r="G402" s="713">
        <f t="shared" si="78"/>
        <v>0.34000000000000014</v>
      </c>
      <c r="H402" s="713">
        <f t="shared" si="79"/>
        <v>0.35000000000000014</v>
      </c>
      <c r="I402" s="697"/>
      <c r="J402" s="697"/>
      <c r="K402" s="697"/>
      <c r="L402" s="697"/>
      <c r="M402" s="697"/>
      <c r="N402" s="697"/>
      <c r="O402" s="697"/>
      <c r="P402" s="697"/>
      <c r="Q402" s="697"/>
      <c r="R402" s="697"/>
      <c r="S402" s="697"/>
      <c r="T402" s="697"/>
      <c r="U402" s="697"/>
      <c r="V402" s="697"/>
      <c r="W402" s="697"/>
      <c r="X402" s="697"/>
      <c r="Y402" s="697"/>
      <c r="Z402" s="697"/>
      <c r="AA402" s="697"/>
      <c r="AB402" s="697"/>
      <c r="AC402" s="697"/>
      <c r="AD402" s="697"/>
      <c r="AE402" s="697"/>
      <c r="AF402" s="697"/>
      <c r="AG402" s="697"/>
      <c r="AH402" s="697"/>
      <c r="AI402" s="697"/>
      <c r="AJ402" s="697"/>
      <c r="AK402" s="697"/>
      <c r="AL402" s="697"/>
      <c r="AM402" s="697"/>
      <c r="AN402" s="697"/>
      <c r="AO402" s="697"/>
      <c r="AP402" s="697"/>
      <c r="AQ402" s="697"/>
      <c r="AR402" s="697"/>
      <c r="AS402" s="697"/>
      <c r="AT402" s="697"/>
      <c r="AU402" s="697"/>
      <c r="AV402" s="697"/>
      <c r="AW402" s="697"/>
      <c r="AX402" s="697"/>
      <c r="AY402" s="697"/>
      <c r="AZ402" s="697"/>
      <c r="BA402" s="697"/>
      <c r="BB402" s="697"/>
      <c r="BC402" s="697"/>
      <c r="BD402" s="697"/>
      <c r="BE402" s="697"/>
      <c r="BF402" s="697"/>
      <c r="BG402" s="697"/>
      <c r="BH402" s="697"/>
      <c r="BI402" s="697"/>
      <c r="BJ402" s="697"/>
      <c r="BK402" s="697"/>
      <c r="BL402" s="697"/>
      <c r="BM402" s="697"/>
      <c r="BN402" s="697"/>
      <c r="BO402" s="697"/>
      <c r="BP402" s="697"/>
      <c r="BQ402" s="697"/>
      <c r="BR402" s="697"/>
      <c r="BS402" s="697"/>
      <c r="BT402" s="697"/>
      <c r="BU402" s="697"/>
      <c r="BV402" s="697"/>
      <c r="BW402" s="697"/>
      <c r="BX402" s="697"/>
      <c r="BY402" s="697"/>
      <c r="BZ402" s="697"/>
      <c r="CA402" s="697"/>
      <c r="CB402" s="697"/>
      <c r="CC402" s="697"/>
      <c r="CD402" s="697"/>
      <c r="CE402" s="697"/>
      <c r="CF402" s="697"/>
      <c r="CG402" s="697"/>
      <c r="CH402" s="697"/>
      <c r="CI402" s="697"/>
      <c r="CJ402" s="697"/>
      <c r="CK402" s="697"/>
      <c r="CL402" s="697"/>
      <c r="CM402" s="697"/>
      <c r="CN402" s="697"/>
      <c r="CO402" s="697"/>
      <c r="CP402" s="697"/>
      <c r="CQ402" s="697"/>
      <c r="CR402" s="697"/>
      <c r="CS402" s="697"/>
      <c r="CT402" s="697"/>
      <c r="CU402" s="697"/>
      <c r="CV402" s="697"/>
      <c r="CW402" s="697"/>
      <c r="CX402" s="697"/>
      <c r="CY402" s="697"/>
      <c r="CZ402" s="697"/>
      <c r="DA402" s="697"/>
    </row>
    <row r="403" spans="1:105" hidden="1" outlineLevel="1" x14ac:dyDescent="0.2">
      <c r="A403" s="709">
        <f t="shared" si="80"/>
        <v>39295</v>
      </c>
      <c r="B403" s="709" t="str">
        <f t="shared" si="77"/>
        <v>3Q07</v>
      </c>
      <c r="C403" s="709" t="str">
        <f t="shared" si="81"/>
        <v>4Q07</v>
      </c>
      <c r="D403" s="710">
        <f t="shared" si="82"/>
        <v>39374</v>
      </c>
      <c r="E403" s="710">
        <f t="shared" si="82"/>
        <v>39314</v>
      </c>
      <c r="F403" s="712">
        <v>2.8679999999999999</v>
      </c>
      <c r="G403" s="713">
        <f t="shared" si="78"/>
        <v>0.35000000000000014</v>
      </c>
      <c r="H403" s="713">
        <f t="shared" si="79"/>
        <v>0.35000000000000014</v>
      </c>
      <c r="I403" s="697"/>
      <c r="J403" s="697"/>
      <c r="K403" s="697"/>
      <c r="L403" s="697"/>
      <c r="M403" s="697"/>
      <c r="N403" s="697"/>
      <c r="O403" s="697"/>
      <c r="P403" s="697"/>
      <c r="Q403" s="697"/>
      <c r="R403" s="697"/>
      <c r="S403" s="697"/>
      <c r="T403" s="697"/>
      <c r="U403" s="697"/>
      <c r="V403" s="697"/>
      <c r="W403" s="697"/>
      <c r="X403" s="697"/>
      <c r="Y403" s="697"/>
      <c r="Z403" s="697"/>
      <c r="AA403" s="697"/>
      <c r="AB403" s="697"/>
      <c r="AC403" s="697"/>
      <c r="AD403" s="697"/>
      <c r="AE403" s="697"/>
      <c r="AF403" s="697"/>
      <c r="AG403" s="697"/>
      <c r="AH403" s="697"/>
      <c r="AI403" s="697"/>
      <c r="AJ403" s="697"/>
      <c r="AK403" s="697"/>
      <c r="AL403" s="697"/>
      <c r="AM403" s="697"/>
      <c r="AN403" s="697"/>
      <c r="AO403" s="697"/>
      <c r="AP403" s="697"/>
      <c r="AQ403" s="697"/>
      <c r="AR403" s="697"/>
      <c r="AS403" s="697"/>
      <c r="AT403" s="697"/>
      <c r="AU403" s="697"/>
      <c r="AV403" s="697"/>
      <c r="AW403" s="697"/>
      <c r="AX403" s="697"/>
      <c r="AY403" s="697"/>
      <c r="AZ403" s="697"/>
      <c r="BA403" s="697"/>
      <c r="BB403" s="697"/>
      <c r="BC403" s="697"/>
      <c r="BD403" s="697"/>
      <c r="BE403" s="697"/>
      <c r="BF403" s="697"/>
      <c r="BG403" s="697"/>
      <c r="BH403" s="697"/>
      <c r="BI403" s="697"/>
      <c r="BJ403" s="697"/>
      <c r="BK403" s="697"/>
      <c r="BL403" s="697"/>
      <c r="BM403" s="697"/>
      <c r="BN403" s="697"/>
      <c r="BO403" s="697"/>
      <c r="BP403" s="697"/>
      <c r="BQ403" s="697"/>
      <c r="BR403" s="697"/>
      <c r="BS403" s="697"/>
      <c r="BT403" s="697"/>
      <c r="BU403" s="697"/>
      <c r="BV403" s="697"/>
      <c r="BW403" s="697"/>
      <c r="BX403" s="697"/>
      <c r="BY403" s="697"/>
      <c r="BZ403" s="697"/>
      <c r="CA403" s="697"/>
      <c r="CB403" s="697"/>
      <c r="CC403" s="697"/>
      <c r="CD403" s="697"/>
      <c r="CE403" s="697"/>
      <c r="CF403" s="697"/>
      <c r="CG403" s="697"/>
      <c r="CH403" s="697"/>
      <c r="CI403" s="697"/>
      <c r="CJ403" s="697"/>
      <c r="CK403" s="697"/>
      <c r="CL403" s="697"/>
      <c r="CM403" s="697"/>
      <c r="CN403" s="697"/>
      <c r="CO403" s="697"/>
      <c r="CP403" s="697"/>
      <c r="CQ403" s="697"/>
      <c r="CR403" s="697"/>
      <c r="CS403" s="697"/>
      <c r="CT403" s="697"/>
      <c r="CU403" s="697"/>
      <c r="CV403" s="697"/>
      <c r="CW403" s="697"/>
      <c r="CX403" s="697"/>
      <c r="CY403" s="697"/>
      <c r="CZ403" s="697"/>
      <c r="DA403" s="697"/>
    </row>
    <row r="404" spans="1:105" hidden="1" outlineLevel="1" x14ac:dyDescent="0.2">
      <c r="A404" s="709">
        <f t="shared" si="80"/>
        <v>39295</v>
      </c>
      <c r="B404" s="709" t="str">
        <f t="shared" si="77"/>
        <v>3Q07</v>
      </c>
      <c r="C404" s="709" t="str">
        <f t="shared" si="81"/>
        <v>4Q07</v>
      </c>
      <c r="D404" s="710">
        <f t="shared" si="82"/>
        <v>39381</v>
      </c>
      <c r="E404" s="710">
        <f t="shared" si="82"/>
        <v>39321</v>
      </c>
      <c r="F404" s="712">
        <v>2.863</v>
      </c>
      <c r="G404" s="713">
        <f t="shared" si="78"/>
        <v>0.35000000000000014</v>
      </c>
      <c r="H404" s="713">
        <f t="shared" si="79"/>
        <v>0.35000000000000014</v>
      </c>
      <c r="I404" s="697"/>
      <c r="J404" s="697"/>
      <c r="K404" s="697"/>
      <c r="L404" s="697"/>
      <c r="M404" s="697"/>
      <c r="N404" s="697"/>
      <c r="O404" s="697"/>
      <c r="P404" s="697"/>
      <c r="Q404" s="697"/>
      <c r="R404" s="697"/>
      <c r="S404" s="697"/>
      <c r="T404" s="697"/>
      <c r="U404" s="697"/>
      <c r="V404" s="697"/>
      <c r="W404" s="697"/>
      <c r="X404" s="697"/>
      <c r="Y404" s="697"/>
      <c r="Z404" s="697"/>
      <c r="AA404" s="697"/>
      <c r="AB404" s="697"/>
      <c r="AC404" s="697"/>
      <c r="AD404" s="697"/>
      <c r="AE404" s="697"/>
      <c r="AF404" s="697"/>
      <c r="AG404" s="697"/>
      <c r="AH404" s="697"/>
      <c r="AI404" s="697"/>
      <c r="AJ404" s="697"/>
      <c r="AK404" s="697"/>
      <c r="AL404" s="697"/>
      <c r="AM404" s="697"/>
      <c r="AN404" s="697"/>
      <c r="AO404" s="697"/>
      <c r="AP404" s="697"/>
      <c r="AQ404" s="697"/>
      <c r="AR404" s="697"/>
      <c r="AS404" s="697"/>
      <c r="AT404" s="697"/>
      <c r="AU404" s="697"/>
      <c r="AV404" s="697"/>
      <c r="AW404" s="697"/>
      <c r="AX404" s="697"/>
      <c r="AY404" s="697"/>
      <c r="AZ404" s="697"/>
      <c r="BA404" s="697"/>
      <c r="BB404" s="697"/>
      <c r="BC404" s="697"/>
      <c r="BD404" s="697"/>
      <c r="BE404" s="697"/>
      <c r="BF404" s="697"/>
      <c r="BG404" s="697"/>
      <c r="BH404" s="697"/>
      <c r="BI404" s="697"/>
      <c r="BJ404" s="697"/>
      <c r="BK404" s="697"/>
      <c r="BL404" s="697"/>
      <c r="BM404" s="697"/>
      <c r="BN404" s="697"/>
      <c r="BO404" s="697"/>
      <c r="BP404" s="697"/>
      <c r="BQ404" s="697"/>
      <c r="BR404" s="697"/>
      <c r="BS404" s="697"/>
      <c r="BT404" s="697"/>
      <c r="BU404" s="697"/>
      <c r="BV404" s="697"/>
      <c r="BW404" s="697"/>
      <c r="BX404" s="697"/>
      <c r="BY404" s="697"/>
      <c r="BZ404" s="697"/>
      <c r="CA404" s="697"/>
      <c r="CB404" s="697"/>
      <c r="CC404" s="697"/>
      <c r="CD404" s="697"/>
      <c r="CE404" s="697"/>
      <c r="CF404" s="697"/>
      <c r="CG404" s="697"/>
      <c r="CH404" s="697"/>
      <c r="CI404" s="697"/>
      <c r="CJ404" s="697"/>
      <c r="CK404" s="697"/>
      <c r="CL404" s="697"/>
      <c r="CM404" s="697"/>
      <c r="CN404" s="697"/>
      <c r="CO404" s="697"/>
      <c r="CP404" s="697"/>
      <c r="CQ404" s="697"/>
      <c r="CR404" s="697"/>
      <c r="CS404" s="697"/>
      <c r="CT404" s="697"/>
      <c r="CU404" s="697"/>
      <c r="CV404" s="697"/>
      <c r="CW404" s="697"/>
      <c r="CX404" s="697"/>
      <c r="CY404" s="697"/>
      <c r="CZ404" s="697"/>
      <c r="DA404" s="697"/>
    </row>
    <row r="405" spans="1:105" hidden="1" outlineLevel="1" x14ac:dyDescent="0.2">
      <c r="A405" s="709">
        <f t="shared" si="80"/>
        <v>39326</v>
      </c>
      <c r="B405" s="709" t="str">
        <f t="shared" si="77"/>
        <v>3Q07</v>
      </c>
      <c r="C405" s="709" t="str">
        <f t="shared" si="81"/>
        <v>4Q07</v>
      </c>
      <c r="D405" s="710">
        <f t="shared" ref="D405:E420" si="83">D404+7</f>
        <v>39388</v>
      </c>
      <c r="E405" s="710">
        <f t="shared" si="83"/>
        <v>39328</v>
      </c>
      <c r="F405" s="712">
        <v>2.8929999999999998</v>
      </c>
      <c r="G405" s="713">
        <f t="shared" si="78"/>
        <v>0.35000000000000014</v>
      </c>
      <c r="H405" s="713">
        <f t="shared" si="79"/>
        <v>0.36000000000000015</v>
      </c>
      <c r="I405" s="697"/>
      <c r="J405" s="697"/>
      <c r="K405" s="697"/>
      <c r="L405" s="697"/>
      <c r="M405" s="697"/>
      <c r="N405" s="697"/>
      <c r="O405" s="697"/>
      <c r="P405" s="697"/>
      <c r="Q405" s="697"/>
      <c r="R405" s="697"/>
      <c r="S405" s="697"/>
      <c r="T405" s="697"/>
      <c r="U405" s="697"/>
      <c r="V405" s="697"/>
      <c r="W405" s="697"/>
      <c r="X405" s="697"/>
      <c r="Y405" s="697"/>
      <c r="Z405" s="697"/>
      <c r="AA405" s="697"/>
      <c r="AB405" s="697"/>
      <c r="AC405" s="697"/>
      <c r="AD405" s="697"/>
      <c r="AE405" s="697"/>
      <c r="AF405" s="697"/>
      <c r="AG405" s="697"/>
      <c r="AH405" s="697"/>
      <c r="AI405" s="697"/>
      <c r="AJ405" s="697"/>
      <c r="AK405" s="697"/>
      <c r="AL405" s="697"/>
      <c r="AM405" s="697"/>
      <c r="AN405" s="697"/>
      <c r="AO405" s="697"/>
      <c r="AP405" s="697"/>
      <c r="AQ405" s="697"/>
      <c r="AR405" s="697"/>
      <c r="AS405" s="697"/>
      <c r="AT405" s="697"/>
      <c r="AU405" s="697"/>
      <c r="AV405" s="697"/>
      <c r="AW405" s="697"/>
      <c r="AX405" s="697"/>
      <c r="AY405" s="697"/>
      <c r="AZ405" s="697"/>
      <c r="BA405" s="697"/>
      <c r="BB405" s="697"/>
      <c r="BC405" s="697"/>
      <c r="BD405" s="697"/>
      <c r="BE405" s="697"/>
      <c r="BF405" s="697"/>
      <c r="BG405" s="697"/>
      <c r="BH405" s="697"/>
      <c r="BI405" s="697"/>
      <c r="BJ405" s="697"/>
      <c r="BK405" s="697"/>
      <c r="BL405" s="697"/>
      <c r="BM405" s="697"/>
      <c r="BN405" s="697"/>
      <c r="BO405" s="697"/>
      <c r="BP405" s="697"/>
      <c r="BQ405" s="697"/>
      <c r="BR405" s="697"/>
      <c r="BS405" s="697"/>
      <c r="BT405" s="697"/>
      <c r="BU405" s="697"/>
      <c r="BV405" s="697"/>
      <c r="BW405" s="697"/>
      <c r="BX405" s="697"/>
      <c r="BY405" s="697"/>
      <c r="BZ405" s="697"/>
      <c r="CA405" s="697"/>
      <c r="CB405" s="697"/>
      <c r="CC405" s="697"/>
      <c r="CD405" s="697"/>
      <c r="CE405" s="697"/>
      <c r="CF405" s="697"/>
      <c r="CG405" s="697"/>
      <c r="CH405" s="697"/>
      <c r="CI405" s="697"/>
      <c r="CJ405" s="697"/>
      <c r="CK405" s="697"/>
      <c r="CL405" s="697"/>
      <c r="CM405" s="697"/>
      <c r="CN405" s="697"/>
      <c r="CO405" s="697"/>
      <c r="CP405" s="697"/>
      <c r="CQ405" s="697"/>
      <c r="CR405" s="697"/>
      <c r="CS405" s="697"/>
      <c r="CT405" s="697"/>
      <c r="CU405" s="697"/>
      <c r="CV405" s="697"/>
      <c r="CW405" s="697"/>
      <c r="CX405" s="697"/>
      <c r="CY405" s="697"/>
      <c r="CZ405" s="697"/>
      <c r="DA405" s="697"/>
    </row>
    <row r="406" spans="1:105" hidden="1" outlineLevel="1" x14ac:dyDescent="0.2">
      <c r="A406" s="709">
        <f t="shared" si="80"/>
        <v>39326</v>
      </c>
      <c r="B406" s="709" t="str">
        <f t="shared" si="77"/>
        <v>3Q07</v>
      </c>
      <c r="C406" s="709" t="str">
        <f t="shared" si="81"/>
        <v>4Q07</v>
      </c>
      <c r="D406" s="710">
        <f t="shared" si="83"/>
        <v>39395</v>
      </c>
      <c r="E406" s="710">
        <f t="shared" si="83"/>
        <v>39335</v>
      </c>
      <c r="F406" s="712">
        <v>2.9239999999999999</v>
      </c>
      <c r="G406" s="713">
        <f t="shared" si="78"/>
        <v>0.36000000000000015</v>
      </c>
      <c r="H406" s="713">
        <f t="shared" si="79"/>
        <v>0.37000000000000016</v>
      </c>
      <c r="I406" s="697"/>
      <c r="J406" s="697"/>
      <c r="K406" s="697"/>
      <c r="L406" s="697"/>
      <c r="M406" s="697"/>
      <c r="N406" s="697"/>
      <c r="O406" s="697"/>
      <c r="P406" s="697"/>
      <c r="Q406" s="697"/>
      <c r="R406" s="697"/>
      <c r="S406" s="697"/>
      <c r="T406" s="697"/>
      <c r="U406" s="697"/>
      <c r="V406" s="697"/>
      <c r="W406" s="697"/>
      <c r="X406" s="697"/>
      <c r="Y406" s="697"/>
      <c r="Z406" s="697"/>
      <c r="AA406" s="697"/>
      <c r="AB406" s="697"/>
      <c r="AC406" s="697"/>
      <c r="AD406" s="697"/>
      <c r="AE406" s="697"/>
      <c r="AF406" s="697"/>
      <c r="AG406" s="697"/>
      <c r="AH406" s="697"/>
      <c r="AI406" s="697"/>
      <c r="AJ406" s="697"/>
      <c r="AK406" s="697"/>
      <c r="AL406" s="697"/>
      <c r="AM406" s="697"/>
      <c r="AN406" s="697"/>
      <c r="AO406" s="697"/>
      <c r="AP406" s="697"/>
      <c r="AQ406" s="697"/>
      <c r="AR406" s="697"/>
      <c r="AS406" s="697"/>
      <c r="AT406" s="697"/>
      <c r="AU406" s="697"/>
      <c r="AV406" s="697"/>
      <c r="AW406" s="697"/>
      <c r="AX406" s="697"/>
      <c r="AY406" s="697"/>
      <c r="AZ406" s="697"/>
      <c r="BA406" s="697"/>
      <c r="BB406" s="697"/>
      <c r="BC406" s="697"/>
      <c r="BD406" s="697"/>
      <c r="BE406" s="697"/>
      <c r="BF406" s="697"/>
      <c r="BG406" s="697"/>
      <c r="BH406" s="697"/>
      <c r="BI406" s="697"/>
      <c r="BJ406" s="697"/>
      <c r="BK406" s="697"/>
      <c r="BL406" s="697"/>
      <c r="BM406" s="697"/>
      <c r="BN406" s="697"/>
      <c r="BO406" s="697"/>
      <c r="BP406" s="697"/>
      <c r="BQ406" s="697"/>
      <c r="BR406" s="697"/>
      <c r="BS406" s="697"/>
      <c r="BT406" s="697"/>
      <c r="BU406" s="697"/>
      <c r="BV406" s="697"/>
      <c r="BW406" s="697"/>
      <c r="BX406" s="697"/>
      <c r="BY406" s="697"/>
      <c r="BZ406" s="697"/>
      <c r="CA406" s="697"/>
      <c r="CB406" s="697"/>
      <c r="CC406" s="697"/>
      <c r="CD406" s="697"/>
      <c r="CE406" s="697"/>
      <c r="CF406" s="697"/>
      <c r="CG406" s="697"/>
      <c r="CH406" s="697"/>
      <c r="CI406" s="697"/>
      <c r="CJ406" s="697"/>
      <c r="CK406" s="697"/>
      <c r="CL406" s="697"/>
      <c r="CM406" s="697"/>
      <c r="CN406" s="697"/>
      <c r="CO406" s="697"/>
      <c r="CP406" s="697"/>
      <c r="CQ406" s="697"/>
      <c r="CR406" s="697"/>
      <c r="CS406" s="697"/>
      <c r="CT406" s="697"/>
      <c r="CU406" s="697"/>
      <c r="CV406" s="697"/>
      <c r="CW406" s="697"/>
      <c r="CX406" s="697"/>
      <c r="CY406" s="697"/>
      <c r="CZ406" s="697"/>
      <c r="DA406" s="697"/>
    </row>
    <row r="407" spans="1:105" hidden="1" outlineLevel="1" x14ac:dyDescent="0.2">
      <c r="A407" s="709">
        <f t="shared" si="80"/>
        <v>39326</v>
      </c>
      <c r="B407" s="709" t="str">
        <f t="shared" si="77"/>
        <v>3Q07</v>
      </c>
      <c r="C407" s="709" t="str">
        <f t="shared" si="81"/>
        <v>4Q07</v>
      </c>
      <c r="D407" s="710">
        <f t="shared" si="83"/>
        <v>39402</v>
      </c>
      <c r="E407" s="710">
        <f t="shared" si="83"/>
        <v>39342</v>
      </c>
      <c r="F407" s="712">
        <v>2.964</v>
      </c>
      <c r="G407" s="713">
        <f t="shared" si="78"/>
        <v>0.37000000000000016</v>
      </c>
      <c r="H407" s="713">
        <f t="shared" si="79"/>
        <v>0.38000000000000017</v>
      </c>
      <c r="I407" s="697"/>
      <c r="J407" s="697"/>
      <c r="K407" s="697"/>
      <c r="L407" s="697"/>
      <c r="M407" s="697"/>
      <c r="N407" s="697"/>
      <c r="O407" s="697"/>
      <c r="P407" s="697"/>
      <c r="Q407" s="697"/>
      <c r="R407" s="697"/>
      <c r="S407" s="697"/>
      <c r="T407" s="697"/>
      <c r="U407" s="697"/>
      <c r="V407" s="697"/>
      <c r="W407" s="697"/>
      <c r="X407" s="697"/>
      <c r="Y407" s="697"/>
      <c r="Z407" s="697"/>
      <c r="AA407" s="697"/>
      <c r="AB407" s="697"/>
      <c r="AC407" s="697"/>
      <c r="AD407" s="697"/>
      <c r="AE407" s="697"/>
      <c r="AF407" s="697"/>
      <c r="AG407" s="697"/>
      <c r="AH407" s="697"/>
      <c r="AI407" s="697"/>
      <c r="AJ407" s="697"/>
      <c r="AK407" s="697"/>
      <c r="AL407" s="697"/>
      <c r="AM407" s="697"/>
      <c r="AN407" s="697"/>
      <c r="AO407" s="697"/>
      <c r="AP407" s="697"/>
      <c r="AQ407" s="697"/>
      <c r="AR407" s="697"/>
      <c r="AS407" s="697"/>
      <c r="AT407" s="697"/>
      <c r="AU407" s="697"/>
      <c r="AV407" s="697"/>
      <c r="AW407" s="697"/>
      <c r="AX407" s="697"/>
      <c r="AY407" s="697"/>
      <c r="AZ407" s="697"/>
      <c r="BA407" s="697"/>
      <c r="BB407" s="697"/>
      <c r="BC407" s="697"/>
      <c r="BD407" s="697"/>
      <c r="BE407" s="697"/>
      <c r="BF407" s="697"/>
      <c r="BG407" s="697"/>
      <c r="BH407" s="697"/>
      <c r="BI407" s="697"/>
      <c r="BJ407" s="697"/>
      <c r="BK407" s="697"/>
      <c r="BL407" s="697"/>
      <c r="BM407" s="697"/>
      <c r="BN407" s="697"/>
      <c r="BO407" s="697"/>
      <c r="BP407" s="697"/>
      <c r="BQ407" s="697"/>
      <c r="BR407" s="697"/>
      <c r="BS407" s="697"/>
      <c r="BT407" s="697"/>
      <c r="BU407" s="697"/>
      <c r="BV407" s="697"/>
      <c r="BW407" s="697"/>
      <c r="BX407" s="697"/>
      <c r="BY407" s="697"/>
      <c r="BZ407" s="697"/>
      <c r="CA407" s="697"/>
      <c r="CB407" s="697"/>
      <c r="CC407" s="697"/>
      <c r="CD407" s="697"/>
      <c r="CE407" s="697"/>
      <c r="CF407" s="697"/>
      <c r="CG407" s="697"/>
      <c r="CH407" s="697"/>
      <c r="CI407" s="697"/>
      <c r="CJ407" s="697"/>
      <c r="CK407" s="697"/>
      <c r="CL407" s="697"/>
      <c r="CM407" s="697"/>
      <c r="CN407" s="697"/>
      <c r="CO407" s="697"/>
      <c r="CP407" s="697"/>
      <c r="CQ407" s="697"/>
      <c r="CR407" s="697"/>
      <c r="CS407" s="697"/>
      <c r="CT407" s="697"/>
      <c r="CU407" s="697"/>
      <c r="CV407" s="697"/>
      <c r="CW407" s="697"/>
      <c r="CX407" s="697"/>
      <c r="CY407" s="697"/>
      <c r="CZ407" s="697"/>
      <c r="DA407" s="697"/>
    </row>
    <row r="408" spans="1:105" hidden="1" outlineLevel="1" x14ac:dyDescent="0.2">
      <c r="A408" s="709">
        <f t="shared" si="80"/>
        <v>39326</v>
      </c>
      <c r="B408" s="709" t="str">
        <f t="shared" si="77"/>
        <v>3Q07</v>
      </c>
      <c r="C408" s="709" t="str">
        <f t="shared" si="81"/>
        <v>4Q07</v>
      </c>
      <c r="D408" s="710">
        <f t="shared" si="83"/>
        <v>39409</v>
      </c>
      <c r="E408" s="710">
        <f t="shared" si="83"/>
        <v>39349</v>
      </c>
      <c r="F408" s="712">
        <v>3.032</v>
      </c>
      <c r="G408" s="713">
        <f t="shared" si="78"/>
        <v>0.38000000000000017</v>
      </c>
      <c r="H408" s="713">
        <f t="shared" si="79"/>
        <v>0.38000000000000017</v>
      </c>
      <c r="I408" s="697"/>
      <c r="J408" s="697"/>
      <c r="K408" s="697"/>
      <c r="L408" s="697"/>
      <c r="M408" s="697"/>
      <c r="N408" s="697"/>
      <c r="O408" s="697"/>
      <c r="P408" s="697"/>
      <c r="Q408" s="697"/>
      <c r="R408" s="697"/>
      <c r="S408" s="697"/>
      <c r="T408" s="697"/>
      <c r="U408" s="697"/>
      <c r="V408" s="697"/>
      <c r="W408" s="697"/>
      <c r="X408" s="697"/>
      <c r="Y408" s="697"/>
      <c r="Z408" s="697"/>
      <c r="AA408" s="697"/>
      <c r="AB408" s="697"/>
      <c r="AC408" s="697"/>
      <c r="AD408" s="697"/>
      <c r="AE408" s="697"/>
      <c r="AF408" s="697"/>
      <c r="AG408" s="697"/>
      <c r="AH408" s="697"/>
      <c r="AI408" s="697"/>
      <c r="AJ408" s="697"/>
      <c r="AK408" s="697"/>
      <c r="AL408" s="697"/>
      <c r="AM408" s="697"/>
      <c r="AN408" s="697"/>
      <c r="AO408" s="697"/>
      <c r="AP408" s="697"/>
      <c r="AQ408" s="697"/>
      <c r="AR408" s="697"/>
      <c r="AS408" s="697"/>
      <c r="AT408" s="697"/>
      <c r="AU408" s="697"/>
      <c r="AV408" s="697"/>
      <c r="AW408" s="697"/>
      <c r="AX408" s="697"/>
      <c r="AY408" s="697"/>
      <c r="AZ408" s="697"/>
      <c r="BA408" s="697"/>
      <c r="BB408" s="697"/>
      <c r="BC408" s="697"/>
      <c r="BD408" s="697"/>
      <c r="BE408" s="697"/>
      <c r="BF408" s="697"/>
      <c r="BG408" s="697"/>
      <c r="BH408" s="697"/>
      <c r="BI408" s="697"/>
      <c r="BJ408" s="697"/>
      <c r="BK408" s="697"/>
      <c r="BL408" s="697"/>
      <c r="BM408" s="697"/>
      <c r="BN408" s="697"/>
      <c r="BO408" s="697"/>
      <c r="BP408" s="697"/>
      <c r="BQ408" s="697"/>
      <c r="BR408" s="697"/>
      <c r="BS408" s="697"/>
      <c r="BT408" s="697"/>
      <c r="BU408" s="697"/>
      <c r="BV408" s="697"/>
      <c r="BW408" s="697"/>
      <c r="BX408" s="697"/>
      <c r="BY408" s="697"/>
      <c r="BZ408" s="697"/>
      <c r="CA408" s="697"/>
      <c r="CB408" s="697"/>
      <c r="CC408" s="697"/>
      <c r="CD408" s="697"/>
      <c r="CE408" s="697"/>
      <c r="CF408" s="697"/>
      <c r="CG408" s="697"/>
      <c r="CH408" s="697"/>
      <c r="CI408" s="697"/>
      <c r="CJ408" s="697"/>
      <c r="CK408" s="697"/>
      <c r="CL408" s="697"/>
      <c r="CM408" s="697"/>
      <c r="CN408" s="697"/>
      <c r="CO408" s="697"/>
      <c r="CP408" s="697"/>
      <c r="CQ408" s="697"/>
      <c r="CR408" s="697"/>
      <c r="CS408" s="697"/>
      <c r="CT408" s="697"/>
      <c r="CU408" s="697"/>
      <c r="CV408" s="697"/>
      <c r="CW408" s="697"/>
      <c r="CX408" s="697"/>
      <c r="CY408" s="697"/>
      <c r="CZ408" s="697"/>
      <c r="DA408" s="697"/>
    </row>
    <row r="409" spans="1:105" hidden="1" outlineLevel="1" x14ac:dyDescent="0.2">
      <c r="A409" s="709">
        <f t="shared" si="80"/>
        <v>39356</v>
      </c>
      <c r="B409" s="709" t="str">
        <f t="shared" si="77"/>
        <v>4Q07</v>
      </c>
      <c r="C409" s="709" t="str">
        <f t="shared" si="81"/>
        <v>4Q07</v>
      </c>
      <c r="D409" s="710">
        <f t="shared" si="83"/>
        <v>39416</v>
      </c>
      <c r="E409" s="710">
        <f t="shared" si="83"/>
        <v>39356</v>
      </c>
      <c r="F409" s="712">
        <v>3.048</v>
      </c>
      <c r="G409" s="713">
        <f t="shared" si="78"/>
        <v>0.38000000000000017</v>
      </c>
      <c r="H409" s="713">
        <f t="shared" si="79"/>
        <v>0.38000000000000017</v>
      </c>
      <c r="I409" s="697"/>
      <c r="J409" s="697"/>
      <c r="K409" s="697"/>
      <c r="L409" s="697"/>
      <c r="M409" s="697"/>
      <c r="N409" s="697"/>
      <c r="O409" s="697"/>
      <c r="P409" s="697"/>
      <c r="Q409" s="697"/>
      <c r="R409" s="697"/>
      <c r="S409" s="697"/>
      <c r="T409" s="697"/>
      <c r="U409" s="697"/>
      <c r="V409" s="697"/>
      <c r="W409" s="697"/>
      <c r="X409" s="697"/>
      <c r="Y409" s="697"/>
      <c r="Z409" s="697"/>
      <c r="AA409" s="697"/>
      <c r="AB409" s="697"/>
      <c r="AC409" s="697"/>
      <c r="AD409" s="697"/>
      <c r="AE409" s="697"/>
      <c r="AF409" s="697"/>
      <c r="AG409" s="697"/>
      <c r="AH409" s="697"/>
      <c r="AI409" s="697"/>
      <c r="AJ409" s="697"/>
      <c r="AK409" s="697"/>
      <c r="AL409" s="697"/>
      <c r="AM409" s="697"/>
      <c r="AN409" s="697"/>
      <c r="AO409" s="697"/>
      <c r="AP409" s="697"/>
      <c r="AQ409" s="697"/>
      <c r="AR409" s="697"/>
      <c r="AS409" s="697"/>
      <c r="AT409" s="697"/>
      <c r="AU409" s="697"/>
      <c r="AV409" s="697"/>
      <c r="AW409" s="697"/>
      <c r="AX409" s="697"/>
      <c r="AY409" s="697"/>
      <c r="AZ409" s="697"/>
      <c r="BA409" s="697"/>
      <c r="BB409" s="697"/>
      <c r="BC409" s="697"/>
      <c r="BD409" s="697"/>
      <c r="BE409" s="697"/>
      <c r="BF409" s="697"/>
      <c r="BG409" s="697"/>
      <c r="BH409" s="697"/>
      <c r="BI409" s="697"/>
      <c r="BJ409" s="697"/>
      <c r="BK409" s="697"/>
      <c r="BL409" s="697"/>
      <c r="BM409" s="697"/>
      <c r="BN409" s="697"/>
      <c r="BO409" s="697"/>
      <c r="BP409" s="697"/>
      <c r="BQ409" s="697"/>
      <c r="BR409" s="697"/>
      <c r="BS409" s="697"/>
      <c r="BT409" s="697"/>
      <c r="BU409" s="697"/>
      <c r="BV409" s="697"/>
      <c r="BW409" s="697"/>
      <c r="BX409" s="697"/>
      <c r="BY409" s="697"/>
      <c r="BZ409" s="697"/>
      <c r="CA409" s="697"/>
      <c r="CB409" s="697"/>
      <c r="CC409" s="697"/>
      <c r="CD409" s="697"/>
      <c r="CE409" s="697"/>
      <c r="CF409" s="697"/>
      <c r="CG409" s="697"/>
      <c r="CH409" s="697"/>
      <c r="CI409" s="697"/>
      <c r="CJ409" s="697"/>
      <c r="CK409" s="697"/>
      <c r="CL409" s="697"/>
      <c r="CM409" s="697"/>
      <c r="CN409" s="697"/>
      <c r="CO409" s="697"/>
      <c r="CP409" s="697"/>
      <c r="CQ409" s="697"/>
      <c r="CR409" s="697"/>
      <c r="CS409" s="697"/>
      <c r="CT409" s="697"/>
      <c r="CU409" s="697"/>
      <c r="CV409" s="697"/>
      <c r="CW409" s="697"/>
      <c r="CX409" s="697"/>
      <c r="CY409" s="697"/>
      <c r="CZ409" s="697"/>
      <c r="DA409" s="697"/>
    </row>
    <row r="410" spans="1:105" hidden="1" outlineLevel="1" x14ac:dyDescent="0.2">
      <c r="A410" s="709">
        <f t="shared" si="80"/>
        <v>39356</v>
      </c>
      <c r="B410" s="709" t="str">
        <f t="shared" si="77"/>
        <v>4Q07</v>
      </c>
      <c r="C410" s="709" t="str">
        <f t="shared" si="81"/>
        <v>4Q07</v>
      </c>
      <c r="D410" s="710">
        <f t="shared" si="83"/>
        <v>39423</v>
      </c>
      <c r="E410" s="710">
        <f t="shared" si="83"/>
        <v>39363</v>
      </c>
      <c r="F410" s="712">
        <v>3.0350000000000001</v>
      </c>
      <c r="G410" s="713">
        <f t="shared" si="78"/>
        <v>0.38000000000000017</v>
      </c>
      <c r="H410" s="713">
        <f t="shared" si="79"/>
        <v>0.38000000000000017</v>
      </c>
      <c r="I410" s="697"/>
      <c r="J410" s="697"/>
      <c r="K410" s="697"/>
      <c r="L410" s="697"/>
      <c r="M410" s="697"/>
      <c r="N410" s="697"/>
      <c r="O410" s="697"/>
      <c r="P410" s="697"/>
      <c r="Q410" s="697"/>
      <c r="R410" s="697"/>
      <c r="S410" s="697"/>
      <c r="T410" s="697"/>
      <c r="U410" s="697"/>
      <c r="V410" s="697"/>
      <c r="W410" s="697"/>
      <c r="X410" s="697"/>
      <c r="Y410" s="697"/>
      <c r="Z410" s="697"/>
      <c r="AA410" s="697"/>
      <c r="AB410" s="697"/>
      <c r="AC410" s="697"/>
      <c r="AD410" s="697"/>
      <c r="AE410" s="697"/>
      <c r="AF410" s="697"/>
      <c r="AG410" s="697"/>
      <c r="AH410" s="697"/>
      <c r="AI410" s="697"/>
      <c r="AJ410" s="697"/>
      <c r="AK410" s="697"/>
      <c r="AL410" s="697"/>
      <c r="AM410" s="697"/>
      <c r="AN410" s="697"/>
      <c r="AO410" s="697"/>
      <c r="AP410" s="697"/>
      <c r="AQ410" s="697"/>
      <c r="AR410" s="697"/>
      <c r="AS410" s="697"/>
      <c r="AT410" s="697"/>
      <c r="AU410" s="697"/>
      <c r="AV410" s="697"/>
      <c r="AW410" s="697"/>
      <c r="AX410" s="697"/>
      <c r="AY410" s="697"/>
      <c r="AZ410" s="697"/>
      <c r="BA410" s="697"/>
      <c r="BB410" s="697"/>
      <c r="BC410" s="697"/>
      <c r="BD410" s="697"/>
      <c r="BE410" s="697"/>
      <c r="BF410" s="697"/>
      <c r="BG410" s="697"/>
      <c r="BH410" s="697"/>
      <c r="BI410" s="697"/>
      <c r="BJ410" s="697"/>
      <c r="BK410" s="697"/>
      <c r="BL410" s="697"/>
      <c r="BM410" s="697"/>
      <c r="BN410" s="697"/>
      <c r="BO410" s="697"/>
      <c r="BP410" s="697"/>
      <c r="BQ410" s="697"/>
      <c r="BR410" s="697"/>
      <c r="BS410" s="697"/>
      <c r="BT410" s="697"/>
      <c r="BU410" s="697"/>
      <c r="BV410" s="697"/>
      <c r="BW410" s="697"/>
      <c r="BX410" s="697"/>
      <c r="BY410" s="697"/>
      <c r="BZ410" s="697"/>
      <c r="CA410" s="697"/>
      <c r="CB410" s="697"/>
      <c r="CC410" s="697"/>
      <c r="CD410" s="697"/>
      <c r="CE410" s="697"/>
      <c r="CF410" s="697"/>
      <c r="CG410" s="697"/>
      <c r="CH410" s="697"/>
      <c r="CI410" s="697"/>
      <c r="CJ410" s="697"/>
      <c r="CK410" s="697"/>
      <c r="CL410" s="697"/>
      <c r="CM410" s="697"/>
      <c r="CN410" s="697"/>
      <c r="CO410" s="697"/>
      <c r="CP410" s="697"/>
      <c r="CQ410" s="697"/>
      <c r="CR410" s="697"/>
      <c r="CS410" s="697"/>
      <c r="CT410" s="697"/>
      <c r="CU410" s="697"/>
      <c r="CV410" s="697"/>
      <c r="CW410" s="697"/>
      <c r="CX410" s="697"/>
      <c r="CY410" s="697"/>
      <c r="CZ410" s="697"/>
      <c r="DA410" s="697"/>
    </row>
    <row r="411" spans="1:105" hidden="1" outlineLevel="1" x14ac:dyDescent="0.2">
      <c r="A411" s="709">
        <f t="shared" si="80"/>
        <v>39356</v>
      </c>
      <c r="B411" s="709" t="str">
        <f t="shared" si="77"/>
        <v>4Q07</v>
      </c>
      <c r="C411" s="709" t="str">
        <f t="shared" si="81"/>
        <v>4Q07</v>
      </c>
      <c r="D411" s="710">
        <f t="shared" si="83"/>
        <v>39430</v>
      </c>
      <c r="E411" s="710">
        <f t="shared" si="83"/>
        <v>39370</v>
      </c>
      <c r="F411" s="712">
        <v>3.0390000000000001</v>
      </c>
      <c r="G411" s="713">
        <f t="shared" si="78"/>
        <v>0.38000000000000017</v>
      </c>
      <c r="H411" s="713">
        <f t="shared" si="79"/>
        <v>0.39000000000000018</v>
      </c>
      <c r="I411" s="697"/>
      <c r="J411" s="697"/>
      <c r="K411" s="697"/>
      <c r="L411" s="697"/>
      <c r="M411" s="697"/>
      <c r="N411" s="697"/>
      <c r="O411" s="697"/>
      <c r="P411" s="697"/>
      <c r="Q411" s="697"/>
      <c r="R411" s="697"/>
      <c r="S411" s="697"/>
      <c r="T411" s="697"/>
      <c r="U411" s="697"/>
      <c r="V411" s="697"/>
      <c r="W411" s="697"/>
      <c r="X411" s="697"/>
      <c r="Y411" s="697"/>
      <c r="Z411" s="697"/>
      <c r="AA411" s="697"/>
      <c r="AB411" s="697"/>
      <c r="AC411" s="697"/>
      <c r="AD411" s="697"/>
      <c r="AE411" s="697"/>
      <c r="AF411" s="697"/>
      <c r="AG411" s="697"/>
      <c r="AH411" s="697"/>
      <c r="AI411" s="697"/>
      <c r="AJ411" s="697"/>
      <c r="AK411" s="697"/>
      <c r="AL411" s="697"/>
      <c r="AM411" s="697"/>
      <c r="AN411" s="697"/>
      <c r="AO411" s="697"/>
      <c r="AP411" s="697"/>
      <c r="AQ411" s="697"/>
      <c r="AR411" s="697"/>
      <c r="AS411" s="697"/>
      <c r="AT411" s="697"/>
      <c r="AU411" s="697"/>
      <c r="AV411" s="697"/>
      <c r="AW411" s="697"/>
      <c r="AX411" s="697"/>
      <c r="AY411" s="697"/>
      <c r="AZ411" s="697"/>
      <c r="BA411" s="697"/>
      <c r="BB411" s="697"/>
      <c r="BC411" s="697"/>
      <c r="BD411" s="697"/>
      <c r="BE411" s="697"/>
      <c r="BF411" s="697"/>
      <c r="BG411" s="697"/>
      <c r="BH411" s="697"/>
      <c r="BI411" s="697"/>
      <c r="BJ411" s="697"/>
      <c r="BK411" s="697"/>
      <c r="BL411" s="697"/>
      <c r="BM411" s="697"/>
      <c r="BN411" s="697"/>
      <c r="BO411" s="697"/>
      <c r="BP411" s="697"/>
      <c r="BQ411" s="697"/>
      <c r="BR411" s="697"/>
      <c r="BS411" s="697"/>
      <c r="BT411" s="697"/>
      <c r="BU411" s="697"/>
      <c r="BV411" s="697"/>
      <c r="BW411" s="697"/>
      <c r="BX411" s="697"/>
      <c r="BY411" s="697"/>
      <c r="BZ411" s="697"/>
      <c r="CA411" s="697"/>
      <c r="CB411" s="697"/>
      <c r="CC411" s="697"/>
      <c r="CD411" s="697"/>
      <c r="CE411" s="697"/>
      <c r="CF411" s="697"/>
      <c r="CG411" s="697"/>
      <c r="CH411" s="697"/>
      <c r="CI411" s="697"/>
      <c r="CJ411" s="697"/>
      <c r="CK411" s="697"/>
      <c r="CL411" s="697"/>
      <c r="CM411" s="697"/>
      <c r="CN411" s="697"/>
      <c r="CO411" s="697"/>
      <c r="CP411" s="697"/>
      <c r="CQ411" s="697"/>
      <c r="CR411" s="697"/>
      <c r="CS411" s="697"/>
      <c r="CT411" s="697"/>
      <c r="CU411" s="697"/>
      <c r="CV411" s="697"/>
      <c r="CW411" s="697"/>
      <c r="CX411" s="697"/>
      <c r="CY411" s="697"/>
      <c r="CZ411" s="697"/>
      <c r="DA411" s="697"/>
    </row>
    <row r="412" spans="1:105" hidden="1" outlineLevel="1" x14ac:dyDescent="0.2">
      <c r="A412" s="709">
        <f t="shared" si="80"/>
        <v>39356</v>
      </c>
      <c r="B412" s="709" t="str">
        <f t="shared" si="77"/>
        <v>4Q07</v>
      </c>
      <c r="C412" s="709" t="str">
        <f t="shared" si="81"/>
        <v>4Q07</v>
      </c>
      <c r="D412" s="710">
        <f t="shared" si="83"/>
        <v>39437</v>
      </c>
      <c r="E412" s="710">
        <f t="shared" si="83"/>
        <v>39377</v>
      </c>
      <c r="F412" s="712">
        <v>3.0939999999999999</v>
      </c>
      <c r="G412" s="713">
        <f t="shared" si="78"/>
        <v>0.39000000000000018</v>
      </c>
      <c r="H412" s="713">
        <f t="shared" si="79"/>
        <v>0.4100000000000002</v>
      </c>
      <c r="I412" s="697"/>
      <c r="J412" s="697"/>
      <c r="K412" s="697"/>
      <c r="L412" s="697"/>
      <c r="M412" s="697"/>
      <c r="N412" s="697"/>
      <c r="O412" s="697"/>
      <c r="P412" s="697"/>
      <c r="Q412" s="697"/>
      <c r="R412" s="697"/>
      <c r="S412" s="697"/>
      <c r="T412" s="697"/>
      <c r="U412" s="697"/>
      <c r="V412" s="697"/>
      <c r="W412" s="697"/>
      <c r="X412" s="697"/>
      <c r="Y412" s="697"/>
      <c r="Z412" s="697"/>
      <c r="AA412" s="697"/>
      <c r="AB412" s="697"/>
      <c r="AC412" s="697"/>
      <c r="AD412" s="697"/>
      <c r="AE412" s="697"/>
      <c r="AF412" s="697"/>
      <c r="AG412" s="697"/>
      <c r="AH412" s="697"/>
      <c r="AI412" s="697"/>
      <c r="AJ412" s="697"/>
      <c r="AK412" s="697"/>
      <c r="AL412" s="697"/>
      <c r="AM412" s="697"/>
      <c r="AN412" s="697"/>
      <c r="AO412" s="697"/>
      <c r="AP412" s="697"/>
      <c r="AQ412" s="697"/>
      <c r="AR412" s="697"/>
      <c r="AS412" s="697"/>
      <c r="AT412" s="697"/>
      <c r="AU412" s="697"/>
      <c r="AV412" s="697"/>
      <c r="AW412" s="697"/>
      <c r="AX412" s="697"/>
      <c r="AY412" s="697"/>
      <c r="AZ412" s="697"/>
      <c r="BA412" s="697"/>
      <c r="BB412" s="697"/>
      <c r="BC412" s="697"/>
      <c r="BD412" s="697"/>
      <c r="BE412" s="697"/>
      <c r="BF412" s="697"/>
      <c r="BG412" s="697"/>
      <c r="BH412" s="697"/>
      <c r="BI412" s="697"/>
      <c r="BJ412" s="697"/>
      <c r="BK412" s="697"/>
      <c r="BL412" s="697"/>
      <c r="BM412" s="697"/>
      <c r="BN412" s="697"/>
      <c r="BO412" s="697"/>
      <c r="BP412" s="697"/>
      <c r="BQ412" s="697"/>
      <c r="BR412" s="697"/>
      <c r="BS412" s="697"/>
      <c r="BT412" s="697"/>
      <c r="BU412" s="697"/>
      <c r="BV412" s="697"/>
      <c r="BW412" s="697"/>
      <c r="BX412" s="697"/>
      <c r="BY412" s="697"/>
      <c r="BZ412" s="697"/>
      <c r="CA412" s="697"/>
      <c r="CB412" s="697"/>
      <c r="CC412" s="697"/>
      <c r="CD412" s="697"/>
      <c r="CE412" s="697"/>
      <c r="CF412" s="697"/>
      <c r="CG412" s="697"/>
      <c r="CH412" s="697"/>
      <c r="CI412" s="697"/>
      <c r="CJ412" s="697"/>
      <c r="CK412" s="697"/>
      <c r="CL412" s="697"/>
      <c r="CM412" s="697"/>
      <c r="CN412" s="697"/>
      <c r="CO412" s="697"/>
      <c r="CP412" s="697"/>
      <c r="CQ412" s="697"/>
      <c r="CR412" s="697"/>
      <c r="CS412" s="697"/>
      <c r="CT412" s="697"/>
      <c r="CU412" s="697"/>
      <c r="CV412" s="697"/>
      <c r="CW412" s="697"/>
      <c r="CX412" s="697"/>
      <c r="CY412" s="697"/>
      <c r="CZ412" s="697"/>
      <c r="DA412" s="697"/>
    </row>
    <row r="413" spans="1:105" hidden="1" outlineLevel="1" x14ac:dyDescent="0.2">
      <c r="A413" s="709">
        <f t="shared" si="80"/>
        <v>39356</v>
      </c>
      <c r="B413" s="709" t="str">
        <f t="shared" si="77"/>
        <v>4Q07</v>
      </c>
      <c r="C413" s="709" t="str">
        <f t="shared" si="81"/>
        <v>4Q07</v>
      </c>
      <c r="D413" s="710">
        <f t="shared" si="83"/>
        <v>39444</v>
      </c>
      <c r="E413" s="710">
        <f t="shared" si="83"/>
        <v>39384</v>
      </c>
      <c r="F413" s="712">
        <v>3.157</v>
      </c>
      <c r="G413" s="713">
        <f t="shared" si="78"/>
        <v>0.4100000000000002</v>
      </c>
      <c r="H413" s="713">
        <f t="shared" si="79"/>
        <v>0.44000000000000022</v>
      </c>
      <c r="I413" s="697"/>
      <c r="J413" s="697"/>
      <c r="K413" s="697"/>
      <c r="L413" s="697"/>
      <c r="M413" s="697"/>
      <c r="N413" s="697"/>
      <c r="O413" s="697"/>
      <c r="P413" s="697"/>
      <c r="Q413" s="697"/>
      <c r="R413" s="697"/>
      <c r="S413" s="697"/>
      <c r="T413" s="697"/>
      <c r="U413" s="697"/>
      <c r="V413" s="697"/>
      <c r="W413" s="697"/>
      <c r="X413" s="697"/>
      <c r="Y413" s="697"/>
      <c r="Z413" s="697"/>
      <c r="AA413" s="697"/>
      <c r="AB413" s="697"/>
      <c r="AC413" s="697"/>
      <c r="AD413" s="697"/>
      <c r="AE413" s="697"/>
      <c r="AF413" s="697"/>
      <c r="AG413" s="697"/>
      <c r="AH413" s="697"/>
      <c r="AI413" s="697"/>
      <c r="AJ413" s="697"/>
      <c r="AK413" s="697"/>
      <c r="AL413" s="697"/>
      <c r="AM413" s="697"/>
      <c r="AN413" s="697"/>
      <c r="AO413" s="697"/>
      <c r="AP413" s="697"/>
      <c r="AQ413" s="697"/>
      <c r="AR413" s="697"/>
      <c r="AS413" s="697"/>
      <c r="AT413" s="697"/>
      <c r="AU413" s="697"/>
      <c r="AV413" s="697"/>
      <c r="AW413" s="697"/>
      <c r="AX413" s="697"/>
      <c r="AY413" s="697"/>
      <c r="AZ413" s="697"/>
      <c r="BA413" s="697"/>
      <c r="BB413" s="697"/>
      <c r="BC413" s="697"/>
      <c r="BD413" s="697"/>
      <c r="BE413" s="697"/>
      <c r="BF413" s="697"/>
      <c r="BG413" s="697"/>
      <c r="BH413" s="697"/>
      <c r="BI413" s="697"/>
      <c r="BJ413" s="697"/>
      <c r="BK413" s="697"/>
      <c r="BL413" s="697"/>
      <c r="BM413" s="697"/>
      <c r="BN413" s="697"/>
      <c r="BO413" s="697"/>
      <c r="BP413" s="697"/>
      <c r="BQ413" s="697"/>
      <c r="BR413" s="697"/>
      <c r="BS413" s="697"/>
      <c r="BT413" s="697"/>
      <c r="BU413" s="697"/>
      <c r="BV413" s="697"/>
      <c r="BW413" s="697"/>
      <c r="BX413" s="697"/>
      <c r="BY413" s="697"/>
      <c r="BZ413" s="697"/>
      <c r="CA413" s="697"/>
      <c r="CB413" s="697"/>
      <c r="CC413" s="697"/>
      <c r="CD413" s="697"/>
      <c r="CE413" s="697"/>
      <c r="CF413" s="697"/>
      <c r="CG413" s="697"/>
      <c r="CH413" s="697"/>
      <c r="CI413" s="697"/>
      <c r="CJ413" s="697"/>
      <c r="CK413" s="697"/>
      <c r="CL413" s="697"/>
      <c r="CM413" s="697"/>
      <c r="CN413" s="697"/>
      <c r="CO413" s="697"/>
      <c r="CP413" s="697"/>
      <c r="CQ413" s="697"/>
      <c r="CR413" s="697"/>
      <c r="CS413" s="697"/>
      <c r="CT413" s="697"/>
      <c r="CU413" s="697"/>
      <c r="CV413" s="697"/>
      <c r="CW413" s="697"/>
      <c r="CX413" s="697"/>
      <c r="CY413" s="697"/>
      <c r="CZ413" s="697"/>
      <c r="DA413" s="697"/>
    </row>
    <row r="414" spans="1:105" hidden="1" outlineLevel="1" x14ac:dyDescent="0.2">
      <c r="A414" s="709">
        <f t="shared" si="80"/>
        <v>39387</v>
      </c>
      <c r="B414" s="709" t="str">
        <f t="shared" si="77"/>
        <v>4Q07</v>
      </c>
      <c r="C414" s="709" t="str">
        <f t="shared" si="81"/>
        <v>1Q08</v>
      </c>
      <c r="D414" s="710">
        <f t="shared" si="83"/>
        <v>39451</v>
      </c>
      <c r="E414" s="710">
        <f t="shared" si="83"/>
        <v>39391</v>
      </c>
      <c r="F414" s="712">
        <v>3.3029999999999999</v>
      </c>
      <c r="G414" s="713">
        <f t="shared" si="78"/>
        <v>0.44000000000000022</v>
      </c>
      <c r="H414" s="713">
        <f t="shared" si="79"/>
        <v>0.46000000000000024</v>
      </c>
      <c r="I414" s="697"/>
      <c r="J414" s="697"/>
      <c r="K414" s="697"/>
      <c r="L414" s="697"/>
      <c r="M414" s="697"/>
      <c r="N414" s="697"/>
      <c r="O414" s="697"/>
      <c r="P414" s="697"/>
      <c r="Q414" s="697"/>
      <c r="R414" s="697"/>
      <c r="S414" s="697"/>
      <c r="T414" s="697"/>
      <c r="U414" s="697"/>
      <c r="V414" s="697"/>
      <c r="W414" s="697"/>
      <c r="X414" s="697"/>
      <c r="Y414" s="697"/>
      <c r="Z414" s="697"/>
      <c r="AA414" s="697"/>
      <c r="AB414" s="697"/>
      <c r="AC414" s="697"/>
      <c r="AD414" s="697"/>
      <c r="AE414" s="697"/>
      <c r="AF414" s="697"/>
      <c r="AG414" s="697"/>
      <c r="AH414" s="697"/>
      <c r="AI414" s="697"/>
      <c r="AJ414" s="697"/>
      <c r="AK414" s="697"/>
      <c r="AL414" s="697"/>
      <c r="AM414" s="697"/>
      <c r="AN414" s="697"/>
      <c r="AO414" s="697"/>
      <c r="AP414" s="697"/>
      <c r="AQ414" s="697"/>
      <c r="AR414" s="697"/>
      <c r="AS414" s="697"/>
      <c r="AT414" s="697"/>
      <c r="AU414" s="697"/>
      <c r="AV414" s="697"/>
      <c r="AW414" s="697"/>
      <c r="AX414" s="697"/>
      <c r="AY414" s="697"/>
      <c r="AZ414" s="697"/>
      <c r="BA414" s="697"/>
      <c r="BB414" s="697"/>
      <c r="BC414" s="697"/>
      <c r="BD414" s="697"/>
      <c r="BE414" s="697"/>
      <c r="BF414" s="697"/>
      <c r="BG414" s="697"/>
      <c r="BH414" s="697"/>
      <c r="BI414" s="697"/>
      <c r="BJ414" s="697"/>
      <c r="BK414" s="697"/>
      <c r="BL414" s="697"/>
      <c r="BM414" s="697"/>
      <c r="BN414" s="697"/>
      <c r="BO414" s="697"/>
      <c r="BP414" s="697"/>
      <c r="BQ414" s="697"/>
      <c r="BR414" s="697"/>
      <c r="BS414" s="697"/>
      <c r="BT414" s="697"/>
      <c r="BU414" s="697"/>
      <c r="BV414" s="697"/>
      <c r="BW414" s="697"/>
      <c r="BX414" s="697"/>
      <c r="BY414" s="697"/>
      <c r="BZ414" s="697"/>
      <c r="CA414" s="697"/>
      <c r="CB414" s="697"/>
      <c r="CC414" s="697"/>
      <c r="CD414" s="697"/>
      <c r="CE414" s="697"/>
      <c r="CF414" s="697"/>
      <c r="CG414" s="697"/>
      <c r="CH414" s="697"/>
      <c r="CI414" s="697"/>
      <c r="CJ414" s="697"/>
      <c r="CK414" s="697"/>
      <c r="CL414" s="697"/>
      <c r="CM414" s="697"/>
      <c r="CN414" s="697"/>
      <c r="CO414" s="697"/>
      <c r="CP414" s="697"/>
      <c r="CQ414" s="697"/>
      <c r="CR414" s="697"/>
      <c r="CS414" s="697"/>
      <c r="CT414" s="697"/>
      <c r="CU414" s="697"/>
      <c r="CV414" s="697"/>
      <c r="CW414" s="697"/>
      <c r="CX414" s="697"/>
      <c r="CY414" s="697"/>
      <c r="CZ414" s="697"/>
      <c r="DA414" s="697"/>
    </row>
    <row r="415" spans="1:105" hidden="1" outlineLevel="1" x14ac:dyDescent="0.2">
      <c r="A415" s="709">
        <f t="shared" si="80"/>
        <v>39387</v>
      </c>
      <c r="B415" s="709" t="str">
        <f t="shared" si="77"/>
        <v>4Q07</v>
      </c>
      <c r="C415" s="709" t="str">
        <f t="shared" si="81"/>
        <v>1Q08</v>
      </c>
      <c r="D415" s="710">
        <f t="shared" si="83"/>
        <v>39458</v>
      </c>
      <c r="E415" s="710">
        <f t="shared" si="83"/>
        <v>39398</v>
      </c>
      <c r="F415" s="712">
        <v>3.4249999999999998</v>
      </c>
      <c r="G415" s="713">
        <f t="shared" si="78"/>
        <v>0.46000000000000024</v>
      </c>
      <c r="H415" s="713">
        <f t="shared" si="79"/>
        <v>0.46000000000000024</v>
      </c>
      <c r="I415" s="697"/>
      <c r="J415" s="697"/>
      <c r="K415" s="697"/>
      <c r="L415" s="697"/>
      <c r="M415" s="697"/>
      <c r="N415" s="697"/>
      <c r="O415" s="697"/>
      <c r="P415" s="697"/>
      <c r="Q415" s="697"/>
      <c r="R415" s="697"/>
      <c r="S415" s="697"/>
      <c r="T415" s="697"/>
      <c r="U415" s="697"/>
      <c r="V415" s="697"/>
      <c r="W415" s="697"/>
      <c r="X415" s="697"/>
      <c r="Y415" s="697"/>
      <c r="Z415" s="697"/>
      <c r="AA415" s="697"/>
      <c r="AB415" s="697"/>
      <c r="AC415" s="697"/>
      <c r="AD415" s="697"/>
      <c r="AE415" s="697"/>
      <c r="AF415" s="697"/>
      <c r="AG415" s="697"/>
      <c r="AH415" s="697"/>
      <c r="AI415" s="697"/>
      <c r="AJ415" s="697"/>
      <c r="AK415" s="697"/>
      <c r="AL415" s="697"/>
      <c r="AM415" s="697"/>
      <c r="AN415" s="697"/>
      <c r="AO415" s="697"/>
      <c r="AP415" s="697"/>
      <c r="AQ415" s="697"/>
      <c r="AR415" s="697"/>
      <c r="AS415" s="697"/>
      <c r="AT415" s="697"/>
      <c r="AU415" s="697"/>
      <c r="AV415" s="697"/>
      <c r="AW415" s="697"/>
      <c r="AX415" s="697"/>
      <c r="AY415" s="697"/>
      <c r="AZ415" s="697"/>
      <c r="BA415" s="697"/>
      <c r="BB415" s="697"/>
      <c r="BC415" s="697"/>
      <c r="BD415" s="697"/>
      <c r="BE415" s="697"/>
      <c r="BF415" s="697"/>
      <c r="BG415" s="697"/>
      <c r="BH415" s="697"/>
      <c r="BI415" s="697"/>
      <c r="BJ415" s="697"/>
      <c r="BK415" s="697"/>
      <c r="BL415" s="697"/>
      <c r="BM415" s="697"/>
      <c r="BN415" s="697"/>
      <c r="BO415" s="697"/>
      <c r="BP415" s="697"/>
      <c r="BQ415" s="697"/>
      <c r="BR415" s="697"/>
      <c r="BS415" s="697"/>
      <c r="BT415" s="697"/>
      <c r="BU415" s="697"/>
      <c r="BV415" s="697"/>
      <c r="BW415" s="697"/>
      <c r="BX415" s="697"/>
      <c r="BY415" s="697"/>
      <c r="BZ415" s="697"/>
      <c r="CA415" s="697"/>
      <c r="CB415" s="697"/>
      <c r="CC415" s="697"/>
      <c r="CD415" s="697"/>
      <c r="CE415" s="697"/>
      <c r="CF415" s="697"/>
      <c r="CG415" s="697"/>
      <c r="CH415" s="697"/>
      <c r="CI415" s="697"/>
      <c r="CJ415" s="697"/>
      <c r="CK415" s="697"/>
      <c r="CL415" s="697"/>
      <c r="CM415" s="697"/>
      <c r="CN415" s="697"/>
      <c r="CO415" s="697"/>
      <c r="CP415" s="697"/>
      <c r="CQ415" s="697"/>
      <c r="CR415" s="697"/>
      <c r="CS415" s="697"/>
      <c r="CT415" s="697"/>
      <c r="CU415" s="697"/>
      <c r="CV415" s="697"/>
      <c r="CW415" s="697"/>
      <c r="CX415" s="697"/>
      <c r="CY415" s="697"/>
      <c r="CZ415" s="697"/>
      <c r="DA415" s="697"/>
    </row>
    <row r="416" spans="1:105" hidden="1" outlineLevel="1" x14ac:dyDescent="0.2">
      <c r="A416" s="709">
        <f t="shared" si="80"/>
        <v>39387</v>
      </c>
      <c r="B416" s="709" t="str">
        <f t="shared" si="77"/>
        <v>4Q07</v>
      </c>
      <c r="C416" s="709" t="str">
        <f t="shared" si="81"/>
        <v>1Q08</v>
      </c>
      <c r="D416" s="710">
        <f t="shared" si="83"/>
        <v>39465</v>
      </c>
      <c r="E416" s="710">
        <f t="shared" si="83"/>
        <v>39405</v>
      </c>
      <c r="F416" s="712">
        <v>3.41</v>
      </c>
      <c r="G416" s="713">
        <f t="shared" si="78"/>
        <v>0.46000000000000024</v>
      </c>
      <c r="H416" s="713">
        <f t="shared" si="79"/>
        <v>0.46000000000000024</v>
      </c>
      <c r="I416" s="697"/>
      <c r="J416" s="697"/>
      <c r="K416" s="697"/>
      <c r="L416" s="697"/>
      <c r="M416" s="697"/>
      <c r="N416" s="697"/>
      <c r="O416" s="697"/>
      <c r="P416" s="697"/>
      <c r="Q416" s="697"/>
      <c r="R416" s="697"/>
      <c r="S416" s="697"/>
      <c r="T416" s="697"/>
      <c r="U416" s="697"/>
      <c r="V416" s="697"/>
      <c r="W416" s="697"/>
      <c r="X416" s="697"/>
      <c r="Y416" s="697"/>
      <c r="Z416" s="697"/>
      <c r="AA416" s="697"/>
      <c r="AB416" s="697"/>
      <c r="AC416" s="697"/>
      <c r="AD416" s="697"/>
      <c r="AE416" s="697"/>
      <c r="AF416" s="697"/>
      <c r="AG416" s="697"/>
      <c r="AH416" s="697"/>
      <c r="AI416" s="697"/>
      <c r="AJ416" s="697"/>
      <c r="AK416" s="697"/>
      <c r="AL416" s="697"/>
      <c r="AM416" s="697"/>
      <c r="AN416" s="697"/>
      <c r="AO416" s="697"/>
      <c r="AP416" s="697"/>
      <c r="AQ416" s="697"/>
      <c r="AR416" s="697"/>
      <c r="AS416" s="697"/>
      <c r="AT416" s="697"/>
      <c r="AU416" s="697"/>
      <c r="AV416" s="697"/>
      <c r="AW416" s="697"/>
      <c r="AX416" s="697"/>
      <c r="AY416" s="697"/>
      <c r="AZ416" s="697"/>
      <c r="BA416" s="697"/>
      <c r="BB416" s="697"/>
      <c r="BC416" s="697"/>
      <c r="BD416" s="697"/>
      <c r="BE416" s="697"/>
      <c r="BF416" s="697"/>
      <c r="BG416" s="697"/>
      <c r="BH416" s="697"/>
      <c r="BI416" s="697"/>
      <c r="BJ416" s="697"/>
      <c r="BK416" s="697"/>
      <c r="BL416" s="697"/>
      <c r="BM416" s="697"/>
      <c r="BN416" s="697"/>
      <c r="BO416" s="697"/>
      <c r="BP416" s="697"/>
      <c r="BQ416" s="697"/>
      <c r="BR416" s="697"/>
      <c r="BS416" s="697"/>
      <c r="BT416" s="697"/>
      <c r="BU416" s="697"/>
      <c r="BV416" s="697"/>
      <c r="BW416" s="697"/>
      <c r="BX416" s="697"/>
      <c r="BY416" s="697"/>
      <c r="BZ416" s="697"/>
      <c r="CA416" s="697"/>
      <c r="CB416" s="697"/>
      <c r="CC416" s="697"/>
      <c r="CD416" s="697"/>
      <c r="CE416" s="697"/>
      <c r="CF416" s="697"/>
      <c r="CG416" s="697"/>
      <c r="CH416" s="697"/>
      <c r="CI416" s="697"/>
      <c r="CJ416" s="697"/>
      <c r="CK416" s="697"/>
      <c r="CL416" s="697"/>
      <c r="CM416" s="697"/>
      <c r="CN416" s="697"/>
      <c r="CO416" s="697"/>
      <c r="CP416" s="697"/>
      <c r="CQ416" s="697"/>
      <c r="CR416" s="697"/>
      <c r="CS416" s="697"/>
      <c r="CT416" s="697"/>
      <c r="CU416" s="697"/>
      <c r="CV416" s="697"/>
      <c r="CW416" s="697"/>
      <c r="CX416" s="697"/>
      <c r="CY416" s="697"/>
      <c r="CZ416" s="697"/>
      <c r="DA416" s="697"/>
    </row>
    <row r="417" spans="1:105" hidden="1" outlineLevel="1" x14ac:dyDescent="0.2">
      <c r="A417" s="709">
        <f t="shared" si="80"/>
        <v>39387</v>
      </c>
      <c r="B417" s="709" t="str">
        <f t="shared" si="77"/>
        <v>4Q07</v>
      </c>
      <c r="C417" s="709" t="str">
        <f t="shared" si="81"/>
        <v>1Q08</v>
      </c>
      <c r="D417" s="710">
        <f t="shared" si="83"/>
        <v>39472</v>
      </c>
      <c r="E417" s="710">
        <f t="shared" si="83"/>
        <v>39412</v>
      </c>
      <c r="F417" s="712">
        <v>3.444</v>
      </c>
      <c r="G417" s="713">
        <f t="shared" si="78"/>
        <v>0.46000000000000024</v>
      </c>
      <c r="H417" s="713">
        <f t="shared" si="79"/>
        <v>0.46000000000000024</v>
      </c>
      <c r="I417" s="697"/>
      <c r="J417" s="697"/>
      <c r="K417" s="697"/>
      <c r="L417" s="697"/>
      <c r="M417" s="697"/>
      <c r="N417" s="697"/>
      <c r="O417" s="697"/>
      <c r="P417" s="697"/>
      <c r="Q417" s="697"/>
      <c r="R417" s="697"/>
      <c r="S417" s="697"/>
      <c r="T417" s="697"/>
      <c r="U417" s="697"/>
      <c r="V417" s="697"/>
      <c r="W417" s="697"/>
      <c r="X417" s="697"/>
      <c r="Y417" s="697"/>
      <c r="Z417" s="697"/>
      <c r="AA417" s="697"/>
      <c r="AB417" s="697"/>
      <c r="AC417" s="697"/>
      <c r="AD417" s="697"/>
      <c r="AE417" s="697"/>
      <c r="AF417" s="697"/>
      <c r="AG417" s="697"/>
      <c r="AH417" s="697"/>
      <c r="AI417" s="697"/>
      <c r="AJ417" s="697"/>
      <c r="AK417" s="697"/>
      <c r="AL417" s="697"/>
      <c r="AM417" s="697"/>
      <c r="AN417" s="697"/>
      <c r="AO417" s="697"/>
      <c r="AP417" s="697"/>
      <c r="AQ417" s="697"/>
      <c r="AR417" s="697"/>
      <c r="AS417" s="697"/>
      <c r="AT417" s="697"/>
      <c r="AU417" s="697"/>
      <c r="AV417" s="697"/>
      <c r="AW417" s="697"/>
      <c r="AX417" s="697"/>
      <c r="AY417" s="697"/>
      <c r="AZ417" s="697"/>
      <c r="BA417" s="697"/>
      <c r="BB417" s="697"/>
      <c r="BC417" s="697"/>
      <c r="BD417" s="697"/>
      <c r="BE417" s="697"/>
      <c r="BF417" s="697"/>
      <c r="BG417" s="697"/>
      <c r="BH417" s="697"/>
      <c r="BI417" s="697"/>
      <c r="BJ417" s="697"/>
      <c r="BK417" s="697"/>
      <c r="BL417" s="697"/>
      <c r="BM417" s="697"/>
      <c r="BN417" s="697"/>
      <c r="BO417" s="697"/>
      <c r="BP417" s="697"/>
      <c r="BQ417" s="697"/>
      <c r="BR417" s="697"/>
      <c r="BS417" s="697"/>
      <c r="BT417" s="697"/>
      <c r="BU417" s="697"/>
      <c r="BV417" s="697"/>
      <c r="BW417" s="697"/>
      <c r="BX417" s="697"/>
      <c r="BY417" s="697"/>
      <c r="BZ417" s="697"/>
      <c r="CA417" s="697"/>
      <c r="CB417" s="697"/>
      <c r="CC417" s="697"/>
      <c r="CD417" s="697"/>
      <c r="CE417" s="697"/>
      <c r="CF417" s="697"/>
      <c r="CG417" s="697"/>
      <c r="CH417" s="697"/>
      <c r="CI417" s="697"/>
      <c r="CJ417" s="697"/>
      <c r="CK417" s="697"/>
      <c r="CL417" s="697"/>
      <c r="CM417" s="697"/>
      <c r="CN417" s="697"/>
      <c r="CO417" s="697"/>
      <c r="CP417" s="697"/>
      <c r="CQ417" s="697"/>
      <c r="CR417" s="697"/>
      <c r="CS417" s="697"/>
      <c r="CT417" s="697"/>
      <c r="CU417" s="697"/>
      <c r="CV417" s="697"/>
      <c r="CW417" s="697"/>
      <c r="CX417" s="697"/>
      <c r="CY417" s="697"/>
      <c r="CZ417" s="697"/>
      <c r="DA417" s="697"/>
    </row>
    <row r="418" spans="1:105" hidden="1" outlineLevel="1" x14ac:dyDescent="0.2">
      <c r="A418" s="709">
        <f t="shared" si="80"/>
        <v>39417</v>
      </c>
      <c r="B418" s="709" t="str">
        <f t="shared" si="77"/>
        <v>4Q07</v>
      </c>
      <c r="C418" s="709" t="str">
        <f t="shared" si="81"/>
        <v>1Q08</v>
      </c>
      <c r="D418" s="710">
        <f t="shared" si="83"/>
        <v>39479</v>
      </c>
      <c r="E418" s="710">
        <f t="shared" si="83"/>
        <v>39419</v>
      </c>
      <c r="F418" s="712">
        <v>3.4159999999999999</v>
      </c>
      <c r="G418" s="713">
        <f t="shared" si="78"/>
        <v>0.46000000000000024</v>
      </c>
      <c r="H418" s="713">
        <f t="shared" si="79"/>
        <v>0.44000000000000022</v>
      </c>
      <c r="I418" s="697"/>
      <c r="J418" s="697"/>
      <c r="K418" s="697"/>
      <c r="L418" s="697"/>
      <c r="M418" s="697"/>
      <c r="N418" s="697"/>
      <c r="O418" s="697"/>
      <c r="P418" s="697"/>
      <c r="Q418" s="697"/>
      <c r="R418" s="697"/>
      <c r="S418" s="697"/>
      <c r="T418" s="697"/>
      <c r="U418" s="697"/>
      <c r="V418" s="697"/>
      <c r="W418" s="697"/>
      <c r="X418" s="697"/>
      <c r="Y418" s="697"/>
      <c r="Z418" s="697"/>
      <c r="AA418" s="697"/>
      <c r="AB418" s="697"/>
      <c r="AC418" s="697"/>
      <c r="AD418" s="697"/>
      <c r="AE418" s="697"/>
      <c r="AF418" s="697"/>
      <c r="AG418" s="697"/>
      <c r="AH418" s="697"/>
      <c r="AI418" s="697"/>
      <c r="AJ418" s="697"/>
      <c r="AK418" s="697"/>
      <c r="AL418" s="697"/>
      <c r="AM418" s="697"/>
      <c r="AN418" s="697"/>
      <c r="AO418" s="697"/>
      <c r="AP418" s="697"/>
      <c r="AQ418" s="697"/>
      <c r="AR418" s="697"/>
      <c r="AS418" s="697"/>
      <c r="AT418" s="697"/>
      <c r="AU418" s="697"/>
      <c r="AV418" s="697"/>
      <c r="AW418" s="697"/>
      <c r="AX418" s="697"/>
      <c r="AY418" s="697"/>
      <c r="AZ418" s="697"/>
      <c r="BA418" s="697"/>
      <c r="BB418" s="697"/>
      <c r="BC418" s="697"/>
      <c r="BD418" s="697"/>
      <c r="BE418" s="697"/>
      <c r="BF418" s="697"/>
      <c r="BG418" s="697"/>
      <c r="BH418" s="697"/>
      <c r="BI418" s="697"/>
      <c r="BJ418" s="697"/>
      <c r="BK418" s="697"/>
      <c r="BL418" s="697"/>
      <c r="BM418" s="697"/>
      <c r="BN418" s="697"/>
      <c r="BO418" s="697"/>
      <c r="BP418" s="697"/>
      <c r="BQ418" s="697"/>
      <c r="BR418" s="697"/>
      <c r="BS418" s="697"/>
      <c r="BT418" s="697"/>
      <c r="BU418" s="697"/>
      <c r="BV418" s="697"/>
      <c r="BW418" s="697"/>
      <c r="BX418" s="697"/>
      <c r="BY418" s="697"/>
      <c r="BZ418" s="697"/>
      <c r="CA418" s="697"/>
      <c r="CB418" s="697"/>
      <c r="CC418" s="697"/>
      <c r="CD418" s="697"/>
      <c r="CE418" s="697"/>
      <c r="CF418" s="697"/>
      <c r="CG418" s="697"/>
      <c r="CH418" s="697"/>
      <c r="CI418" s="697"/>
      <c r="CJ418" s="697"/>
      <c r="CK418" s="697"/>
      <c r="CL418" s="697"/>
      <c r="CM418" s="697"/>
      <c r="CN418" s="697"/>
      <c r="CO418" s="697"/>
      <c r="CP418" s="697"/>
      <c r="CQ418" s="697"/>
      <c r="CR418" s="697"/>
      <c r="CS418" s="697"/>
      <c r="CT418" s="697"/>
      <c r="CU418" s="697"/>
      <c r="CV418" s="697"/>
      <c r="CW418" s="697"/>
      <c r="CX418" s="697"/>
      <c r="CY418" s="697"/>
      <c r="CZ418" s="697"/>
      <c r="DA418" s="697"/>
    </row>
    <row r="419" spans="1:105" hidden="1" outlineLevel="1" x14ac:dyDescent="0.2">
      <c r="A419" s="709">
        <f t="shared" si="80"/>
        <v>39417</v>
      </c>
      <c r="B419" s="709" t="str">
        <f t="shared" si="77"/>
        <v>4Q07</v>
      </c>
      <c r="C419" s="709" t="str">
        <f t="shared" si="81"/>
        <v>1Q08</v>
      </c>
      <c r="D419" s="710">
        <f t="shared" si="83"/>
        <v>39486</v>
      </c>
      <c r="E419" s="710">
        <f t="shared" si="83"/>
        <v>39426</v>
      </c>
      <c r="F419" s="712">
        <v>3.3250000000000002</v>
      </c>
      <c r="G419" s="713">
        <f t="shared" si="78"/>
        <v>0.44000000000000022</v>
      </c>
      <c r="H419" s="713">
        <f t="shared" si="79"/>
        <v>0.44000000000000022</v>
      </c>
      <c r="I419" s="697"/>
      <c r="J419" s="697"/>
      <c r="K419" s="697"/>
      <c r="L419" s="697"/>
      <c r="M419" s="697"/>
      <c r="N419" s="697"/>
      <c r="O419" s="697"/>
      <c r="P419" s="697"/>
      <c r="Q419" s="697"/>
      <c r="R419" s="697"/>
      <c r="S419" s="697"/>
      <c r="T419" s="697"/>
      <c r="U419" s="697"/>
      <c r="V419" s="697"/>
      <c r="W419" s="697"/>
      <c r="X419" s="697"/>
      <c r="Y419" s="697"/>
      <c r="Z419" s="697"/>
      <c r="AA419" s="697"/>
      <c r="AB419" s="697"/>
      <c r="AC419" s="697"/>
      <c r="AD419" s="697"/>
      <c r="AE419" s="697"/>
      <c r="AF419" s="697"/>
      <c r="AG419" s="697"/>
      <c r="AH419" s="697"/>
      <c r="AI419" s="697"/>
      <c r="AJ419" s="697"/>
      <c r="AK419" s="697"/>
      <c r="AL419" s="697"/>
      <c r="AM419" s="697"/>
      <c r="AN419" s="697"/>
      <c r="AO419" s="697"/>
      <c r="AP419" s="697"/>
      <c r="AQ419" s="697"/>
      <c r="AR419" s="697"/>
      <c r="AS419" s="697"/>
      <c r="AT419" s="697"/>
      <c r="AU419" s="697"/>
      <c r="AV419" s="697"/>
      <c r="AW419" s="697"/>
      <c r="AX419" s="697"/>
      <c r="AY419" s="697"/>
      <c r="AZ419" s="697"/>
      <c r="BA419" s="697"/>
      <c r="BB419" s="697"/>
      <c r="BC419" s="697"/>
      <c r="BD419" s="697"/>
      <c r="BE419" s="697"/>
      <c r="BF419" s="697"/>
      <c r="BG419" s="697"/>
      <c r="BH419" s="697"/>
      <c r="BI419" s="697"/>
      <c r="BJ419" s="697"/>
      <c r="BK419" s="697"/>
      <c r="BL419" s="697"/>
      <c r="BM419" s="697"/>
      <c r="BN419" s="697"/>
      <c r="BO419" s="697"/>
      <c r="BP419" s="697"/>
      <c r="BQ419" s="697"/>
      <c r="BR419" s="697"/>
      <c r="BS419" s="697"/>
      <c r="BT419" s="697"/>
      <c r="BU419" s="697"/>
      <c r="BV419" s="697"/>
      <c r="BW419" s="697"/>
      <c r="BX419" s="697"/>
      <c r="BY419" s="697"/>
      <c r="BZ419" s="697"/>
      <c r="CA419" s="697"/>
      <c r="CB419" s="697"/>
      <c r="CC419" s="697"/>
      <c r="CD419" s="697"/>
      <c r="CE419" s="697"/>
      <c r="CF419" s="697"/>
      <c r="CG419" s="697"/>
      <c r="CH419" s="697"/>
      <c r="CI419" s="697"/>
      <c r="CJ419" s="697"/>
      <c r="CK419" s="697"/>
      <c r="CL419" s="697"/>
      <c r="CM419" s="697"/>
      <c r="CN419" s="697"/>
      <c r="CO419" s="697"/>
      <c r="CP419" s="697"/>
      <c r="CQ419" s="697"/>
      <c r="CR419" s="697"/>
      <c r="CS419" s="697"/>
      <c r="CT419" s="697"/>
      <c r="CU419" s="697"/>
      <c r="CV419" s="697"/>
      <c r="CW419" s="697"/>
      <c r="CX419" s="697"/>
      <c r="CY419" s="697"/>
      <c r="CZ419" s="697"/>
      <c r="DA419" s="697"/>
    </row>
    <row r="420" spans="1:105" hidden="1" outlineLevel="1" x14ac:dyDescent="0.2">
      <c r="A420" s="709">
        <f t="shared" si="80"/>
        <v>39417</v>
      </c>
      <c r="B420" s="709" t="str">
        <f t="shared" si="77"/>
        <v>4Q07</v>
      </c>
      <c r="C420" s="709" t="str">
        <f t="shared" si="81"/>
        <v>1Q08</v>
      </c>
      <c r="D420" s="710">
        <f t="shared" si="83"/>
        <v>39493</v>
      </c>
      <c r="E420" s="710">
        <f t="shared" si="83"/>
        <v>39433</v>
      </c>
      <c r="F420" s="712">
        <v>3.3090000000000002</v>
      </c>
      <c r="G420" s="713">
        <f t="shared" si="78"/>
        <v>0.44000000000000022</v>
      </c>
      <c r="H420" s="713">
        <f t="shared" si="79"/>
        <v>0.44000000000000022</v>
      </c>
      <c r="I420" s="697"/>
      <c r="J420" s="697"/>
      <c r="K420" s="697"/>
      <c r="L420" s="697"/>
      <c r="M420" s="697"/>
      <c r="N420" s="697"/>
      <c r="O420" s="697"/>
      <c r="P420" s="697"/>
      <c r="Q420" s="697"/>
      <c r="R420" s="697"/>
      <c r="S420" s="697"/>
      <c r="T420" s="697"/>
      <c r="U420" s="697"/>
      <c r="V420" s="697"/>
      <c r="W420" s="697"/>
      <c r="X420" s="697"/>
      <c r="Y420" s="697"/>
      <c r="Z420" s="697"/>
      <c r="AA420" s="697"/>
      <c r="AB420" s="697"/>
      <c r="AC420" s="697"/>
      <c r="AD420" s="697"/>
      <c r="AE420" s="697"/>
      <c r="AF420" s="697"/>
      <c r="AG420" s="697"/>
      <c r="AH420" s="697"/>
      <c r="AI420" s="697"/>
      <c r="AJ420" s="697"/>
      <c r="AK420" s="697"/>
      <c r="AL420" s="697"/>
      <c r="AM420" s="697"/>
      <c r="AN420" s="697"/>
      <c r="AO420" s="697"/>
      <c r="AP420" s="697"/>
      <c r="AQ420" s="697"/>
      <c r="AR420" s="697"/>
      <c r="AS420" s="697"/>
      <c r="AT420" s="697"/>
      <c r="AU420" s="697"/>
      <c r="AV420" s="697"/>
      <c r="AW420" s="697"/>
      <c r="AX420" s="697"/>
      <c r="AY420" s="697"/>
      <c r="AZ420" s="697"/>
      <c r="BA420" s="697"/>
      <c r="BB420" s="697"/>
      <c r="BC420" s="697"/>
      <c r="BD420" s="697"/>
      <c r="BE420" s="697"/>
      <c r="BF420" s="697"/>
      <c r="BG420" s="697"/>
      <c r="BH420" s="697"/>
      <c r="BI420" s="697"/>
      <c r="BJ420" s="697"/>
      <c r="BK420" s="697"/>
      <c r="BL420" s="697"/>
      <c r="BM420" s="697"/>
      <c r="BN420" s="697"/>
      <c r="BO420" s="697"/>
      <c r="BP420" s="697"/>
      <c r="BQ420" s="697"/>
      <c r="BR420" s="697"/>
      <c r="BS420" s="697"/>
      <c r="BT420" s="697"/>
      <c r="BU420" s="697"/>
      <c r="BV420" s="697"/>
      <c r="BW420" s="697"/>
      <c r="BX420" s="697"/>
      <c r="BY420" s="697"/>
      <c r="BZ420" s="697"/>
      <c r="CA420" s="697"/>
      <c r="CB420" s="697"/>
      <c r="CC420" s="697"/>
      <c r="CD420" s="697"/>
      <c r="CE420" s="697"/>
      <c r="CF420" s="697"/>
      <c r="CG420" s="697"/>
      <c r="CH420" s="697"/>
      <c r="CI420" s="697"/>
      <c r="CJ420" s="697"/>
      <c r="CK420" s="697"/>
      <c r="CL420" s="697"/>
      <c r="CM420" s="697"/>
      <c r="CN420" s="697"/>
      <c r="CO420" s="697"/>
      <c r="CP420" s="697"/>
      <c r="CQ420" s="697"/>
      <c r="CR420" s="697"/>
      <c r="CS420" s="697"/>
      <c r="CT420" s="697"/>
      <c r="CU420" s="697"/>
      <c r="CV420" s="697"/>
      <c r="CW420" s="697"/>
      <c r="CX420" s="697"/>
      <c r="CY420" s="697"/>
      <c r="CZ420" s="697"/>
      <c r="DA420" s="697"/>
    </row>
    <row r="421" spans="1:105" hidden="1" outlineLevel="1" x14ac:dyDescent="0.2">
      <c r="A421" s="709">
        <f t="shared" si="80"/>
        <v>39417</v>
      </c>
      <c r="B421" s="709" t="str">
        <f t="shared" si="77"/>
        <v>4Q07</v>
      </c>
      <c r="C421" s="709" t="str">
        <f t="shared" si="81"/>
        <v>1Q08</v>
      </c>
      <c r="D421" s="710">
        <f t="shared" ref="D421:E436" si="84">D420+7</f>
        <v>39500</v>
      </c>
      <c r="E421" s="710">
        <f t="shared" si="84"/>
        <v>39440</v>
      </c>
      <c r="F421" s="712">
        <v>3.3079999999999998</v>
      </c>
      <c r="G421" s="713">
        <f t="shared" si="78"/>
        <v>0.44000000000000022</v>
      </c>
      <c r="H421" s="713">
        <f t="shared" si="79"/>
        <v>0.44000000000000022</v>
      </c>
      <c r="I421" s="697"/>
      <c r="J421" s="697"/>
      <c r="K421" s="697"/>
      <c r="L421" s="697"/>
      <c r="M421" s="697"/>
      <c r="N421" s="697"/>
      <c r="O421" s="697"/>
      <c r="P421" s="697"/>
      <c r="Q421" s="697"/>
      <c r="R421" s="697"/>
      <c r="S421" s="697"/>
      <c r="T421" s="697"/>
      <c r="U421" s="697"/>
      <c r="V421" s="697"/>
      <c r="W421" s="697"/>
      <c r="X421" s="697"/>
      <c r="Y421" s="697"/>
      <c r="Z421" s="697"/>
      <c r="AA421" s="697"/>
      <c r="AB421" s="697"/>
      <c r="AC421" s="697"/>
      <c r="AD421" s="697"/>
      <c r="AE421" s="697"/>
      <c r="AF421" s="697"/>
      <c r="AG421" s="697"/>
      <c r="AH421" s="697"/>
      <c r="AI421" s="697"/>
      <c r="AJ421" s="697"/>
      <c r="AK421" s="697"/>
      <c r="AL421" s="697"/>
      <c r="AM421" s="697"/>
      <c r="AN421" s="697"/>
      <c r="AO421" s="697"/>
      <c r="AP421" s="697"/>
      <c r="AQ421" s="697"/>
      <c r="AR421" s="697"/>
      <c r="AS421" s="697"/>
      <c r="AT421" s="697"/>
      <c r="AU421" s="697"/>
      <c r="AV421" s="697"/>
      <c r="AW421" s="697"/>
      <c r="AX421" s="697"/>
      <c r="AY421" s="697"/>
      <c r="AZ421" s="697"/>
      <c r="BA421" s="697"/>
      <c r="BB421" s="697"/>
      <c r="BC421" s="697"/>
      <c r="BD421" s="697"/>
      <c r="BE421" s="697"/>
      <c r="BF421" s="697"/>
      <c r="BG421" s="697"/>
      <c r="BH421" s="697"/>
      <c r="BI421" s="697"/>
      <c r="BJ421" s="697"/>
      <c r="BK421" s="697"/>
      <c r="BL421" s="697"/>
      <c r="BM421" s="697"/>
      <c r="BN421" s="697"/>
      <c r="BO421" s="697"/>
      <c r="BP421" s="697"/>
      <c r="BQ421" s="697"/>
      <c r="BR421" s="697"/>
      <c r="BS421" s="697"/>
      <c r="BT421" s="697"/>
      <c r="BU421" s="697"/>
      <c r="BV421" s="697"/>
      <c r="BW421" s="697"/>
      <c r="BX421" s="697"/>
      <c r="BY421" s="697"/>
      <c r="BZ421" s="697"/>
      <c r="CA421" s="697"/>
      <c r="CB421" s="697"/>
      <c r="CC421" s="697"/>
      <c r="CD421" s="697"/>
      <c r="CE421" s="697"/>
      <c r="CF421" s="697"/>
      <c r="CG421" s="697"/>
      <c r="CH421" s="697"/>
      <c r="CI421" s="697"/>
      <c r="CJ421" s="697"/>
      <c r="CK421" s="697"/>
      <c r="CL421" s="697"/>
      <c r="CM421" s="697"/>
      <c r="CN421" s="697"/>
      <c r="CO421" s="697"/>
      <c r="CP421" s="697"/>
      <c r="CQ421" s="697"/>
      <c r="CR421" s="697"/>
      <c r="CS421" s="697"/>
      <c r="CT421" s="697"/>
      <c r="CU421" s="697"/>
      <c r="CV421" s="697"/>
      <c r="CW421" s="697"/>
      <c r="CX421" s="697"/>
      <c r="CY421" s="697"/>
      <c r="CZ421" s="697"/>
      <c r="DA421" s="697"/>
    </row>
    <row r="422" spans="1:105" hidden="1" outlineLevel="1" x14ac:dyDescent="0.2">
      <c r="A422" s="709">
        <f t="shared" si="80"/>
        <v>39417</v>
      </c>
      <c r="B422" s="709" t="str">
        <f t="shared" si="77"/>
        <v>4Q07</v>
      </c>
      <c r="C422" s="709" t="str">
        <f t="shared" si="81"/>
        <v>1Q08</v>
      </c>
      <c r="D422" s="710">
        <f t="shared" si="84"/>
        <v>39507</v>
      </c>
      <c r="E422" s="710">
        <f t="shared" si="84"/>
        <v>39447</v>
      </c>
      <c r="F422" s="712">
        <v>3.3450000000000002</v>
      </c>
      <c r="G422" s="713">
        <f t="shared" si="78"/>
        <v>0.44000000000000022</v>
      </c>
      <c r="H422" s="713">
        <f t="shared" si="79"/>
        <v>0.45000000000000023</v>
      </c>
      <c r="I422" s="697"/>
      <c r="J422" s="697"/>
      <c r="K422" s="697"/>
      <c r="L422" s="697"/>
      <c r="M422" s="697"/>
      <c r="N422" s="697"/>
      <c r="O422" s="697"/>
      <c r="P422" s="697"/>
      <c r="Q422" s="697"/>
      <c r="R422" s="697"/>
      <c r="S422" s="697"/>
      <c r="T422" s="697"/>
      <c r="U422" s="697"/>
      <c r="V422" s="697"/>
      <c r="W422" s="697"/>
      <c r="X422" s="697"/>
      <c r="Y422" s="697"/>
      <c r="Z422" s="697"/>
      <c r="AA422" s="697"/>
      <c r="AB422" s="697"/>
      <c r="AC422" s="697"/>
      <c r="AD422" s="697"/>
      <c r="AE422" s="697"/>
      <c r="AF422" s="697"/>
      <c r="AG422" s="697"/>
      <c r="AH422" s="697"/>
      <c r="AI422" s="697"/>
      <c r="AJ422" s="697"/>
      <c r="AK422" s="697"/>
      <c r="AL422" s="697"/>
      <c r="AM422" s="697"/>
      <c r="AN422" s="697"/>
      <c r="AO422" s="697"/>
      <c r="AP422" s="697"/>
      <c r="AQ422" s="697"/>
      <c r="AR422" s="697"/>
      <c r="AS422" s="697"/>
      <c r="AT422" s="697"/>
      <c r="AU422" s="697"/>
      <c r="AV422" s="697"/>
      <c r="AW422" s="697"/>
      <c r="AX422" s="697"/>
      <c r="AY422" s="697"/>
      <c r="AZ422" s="697"/>
      <c r="BA422" s="697"/>
      <c r="BB422" s="697"/>
      <c r="BC422" s="697"/>
      <c r="BD422" s="697"/>
      <c r="BE422" s="697"/>
      <c r="BF422" s="697"/>
      <c r="BG422" s="697"/>
      <c r="BH422" s="697"/>
      <c r="BI422" s="697"/>
      <c r="BJ422" s="697"/>
      <c r="BK422" s="697"/>
      <c r="BL422" s="697"/>
      <c r="BM422" s="697"/>
      <c r="BN422" s="697"/>
      <c r="BO422" s="697"/>
      <c r="BP422" s="697"/>
      <c r="BQ422" s="697"/>
      <c r="BR422" s="697"/>
      <c r="BS422" s="697"/>
      <c r="BT422" s="697"/>
      <c r="BU422" s="697"/>
      <c r="BV422" s="697"/>
      <c r="BW422" s="697"/>
      <c r="BX422" s="697"/>
      <c r="BY422" s="697"/>
      <c r="BZ422" s="697"/>
      <c r="CA422" s="697"/>
      <c r="CB422" s="697"/>
      <c r="CC422" s="697"/>
      <c r="CD422" s="697"/>
      <c r="CE422" s="697"/>
      <c r="CF422" s="697"/>
      <c r="CG422" s="697"/>
      <c r="CH422" s="697"/>
      <c r="CI422" s="697"/>
      <c r="CJ422" s="697"/>
      <c r="CK422" s="697"/>
      <c r="CL422" s="697"/>
      <c r="CM422" s="697"/>
      <c r="CN422" s="697"/>
      <c r="CO422" s="697"/>
      <c r="CP422" s="697"/>
      <c r="CQ422" s="697"/>
      <c r="CR422" s="697"/>
      <c r="CS422" s="697"/>
      <c r="CT422" s="697"/>
      <c r="CU422" s="697"/>
      <c r="CV422" s="697"/>
      <c r="CW422" s="697"/>
      <c r="CX422" s="697"/>
      <c r="CY422" s="697"/>
      <c r="CZ422" s="697"/>
      <c r="DA422" s="697"/>
    </row>
    <row r="423" spans="1:105" hidden="1" outlineLevel="1" x14ac:dyDescent="0.2">
      <c r="A423" s="709">
        <f t="shared" si="80"/>
        <v>39448</v>
      </c>
      <c r="B423" s="709" t="str">
        <f t="shared" si="77"/>
        <v>1Q08</v>
      </c>
      <c r="C423" s="709" t="str">
        <f t="shared" si="81"/>
        <v>1Q08</v>
      </c>
      <c r="D423" s="710">
        <f t="shared" si="84"/>
        <v>39514</v>
      </c>
      <c r="E423" s="710">
        <f t="shared" si="84"/>
        <v>39454</v>
      </c>
      <c r="F423" s="712">
        <v>3.3759999999999999</v>
      </c>
      <c r="G423" s="713">
        <f t="shared" si="78"/>
        <v>0.45000000000000023</v>
      </c>
      <c r="H423" s="713">
        <f t="shared" si="79"/>
        <v>0.44000000000000022</v>
      </c>
      <c r="I423" s="697"/>
      <c r="J423" s="697"/>
      <c r="K423" s="697"/>
      <c r="L423" s="697"/>
      <c r="M423" s="697"/>
      <c r="N423" s="697"/>
      <c r="O423" s="697"/>
      <c r="P423" s="697"/>
      <c r="Q423" s="697"/>
      <c r="R423" s="697"/>
      <c r="S423" s="697"/>
      <c r="T423" s="697"/>
      <c r="U423" s="697"/>
      <c r="V423" s="697"/>
      <c r="W423" s="697"/>
      <c r="X423" s="697"/>
      <c r="Y423" s="697"/>
      <c r="Z423" s="697"/>
      <c r="AA423" s="697"/>
      <c r="AB423" s="697"/>
      <c r="AC423" s="697"/>
      <c r="AD423" s="697"/>
      <c r="AE423" s="697"/>
      <c r="AF423" s="697"/>
      <c r="AG423" s="697"/>
      <c r="AH423" s="697"/>
      <c r="AI423" s="697"/>
      <c r="AJ423" s="697"/>
      <c r="AK423" s="697"/>
      <c r="AL423" s="697"/>
      <c r="AM423" s="697"/>
      <c r="AN423" s="697"/>
      <c r="AO423" s="697"/>
      <c r="AP423" s="697"/>
      <c r="AQ423" s="697"/>
      <c r="AR423" s="697"/>
      <c r="AS423" s="697"/>
      <c r="AT423" s="697"/>
      <c r="AU423" s="697"/>
      <c r="AV423" s="697"/>
      <c r="AW423" s="697"/>
      <c r="AX423" s="697"/>
      <c r="AY423" s="697"/>
      <c r="AZ423" s="697"/>
      <c r="BA423" s="697"/>
      <c r="BB423" s="697"/>
      <c r="BC423" s="697"/>
      <c r="BD423" s="697"/>
      <c r="BE423" s="697"/>
      <c r="BF423" s="697"/>
      <c r="BG423" s="697"/>
      <c r="BH423" s="697"/>
      <c r="BI423" s="697"/>
      <c r="BJ423" s="697"/>
      <c r="BK423" s="697"/>
      <c r="BL423" s="697"/>
      <c r="BM423" s="697"/>
      <c r="BN423" s="697"/>
      <c r="BO423" s="697"/>
      <c r="BP423" s="697"/>
      <c r="BQ423" s="697"/>
      <c r="BR423" s="697"/>
      <c r="BS423" s="697"/>
      <c r="BT423" s="697"/>
      <c r="BU423" s="697"/>
      <c r="BV423" s="697"/>
      <c r="BW423" s="697"/>
      <c r="BX423" s="697"/>
      <c r="BY423" s="697"/>
      <c r="BZ423" s="697"/>
      <c r="CA423" s="697"/>
      <c r="CB423" s="697"/>
      <c r="CC423" s="697"/>
      <c r="CD423" s="697"/>
      <c r="CE423" s="697"/>
      <c r="CF423" s="697"/>
      <c r="CG423" s="697"/>
      <c r="CH423" s="697"/>
      <c r="CI423" s="697"/>
      <c r="CJ423" s="697"/>
      <c r="CK423" s="697"/>
      <c r="CL423" s="697"/>
      <c r="CM423" s="697"/>
      <c r="CN423" s="697"/>
      <c r="CO423" s="697"/>
      <c r="CP423" s="697"/>
      <c r="CQ423" s="697"/>
      <c r="CR423" s="697"/>
      <c r="CS423" s="697"/>
      <c r="CT423" s="697"/>
      <c r="CU423" s="697"/>
      <c r="CV423" s="697"/>
      <c r="CW423" s="697"/>
      <c r="CX423" s="697"/>
      <c r="CY423" s="697"/>
      <c r="CZ423" s="697"/>
      <c r="DA423" s="697"/>
    </row>
    <row r="424" spans="1:105" hidden="1" outlineLevel="1" x14ac:dyDescent="0.2">
      <c r="A424" s="709">
        <f t="shared" si="80"/>
        <v>39448</v>
      </c>
      <c r="B424" s="709" t="str">
        <f t="shared" si="77"/>
        <v>1Q08</v>
      </c>
      <c r="C424" s="709" t="str">
        <f t="shared" si="81"/>
        <v>1Q08</v>
      </c>
      <c r="D424" s="710">
        <f t="shared" si="84"/>
        <v>39521</v>
      </c>
      <c r="E424" s="710">
        <f t="shared" si="84"/>
        <v>39461</v>
      </c>
      <c r="F424" s="712">
        <v>3.3260000000000001</v>
      </c>
      <c r="G424" s="713">
        <f t="shared" si="78"/>
        <v>0.44000000000000022</v>
      </c>
      <c r="H424" s="713">
        <f t="shared" si="79"/>
        <v>0.43000000000000022</v>
      </c>
      <c r="I424" s="697"/>
      <c r="J424" s="697"/>
      <c r="K424" s="697"/>
      <c r="L424" s="697"/>
      <c r="M424" s="697"/>
      <c r="N424" s="697"/>
      <c r="O424" s="697"/>
      <c r="P424" s="697"/>
      <c r="Q424" s="697"/>
      <c r="R424" s="697"/>
      <c r="S424" s="697"/>
      <c r="T424" s="697"/>
      <c r="U424" s="697"/>
      <c r="V424" s="697"/>
      <c r="W424" s="697"/>
      <c r="X424" s="697"/>
      <c r="Y424" s="697"/>
      <c r="Z424" s="697"/>
      <c r="AA424" s="697"/>
      <c r="AB424" s="697"/>
      <c r="AC424" s="697"/>
      <c r="AD424" s="697"/>
      <c r="AE424" s="697"/>
      <c r="AF424" s="697"/>
      <c r="AG424" s="697"/>
      <c r="AH424" s="697"/>
      <c r="AI424" s="697"/>
      <c r="AJ424" s="697"/>
      <c r="AK424" s="697"/>
      <c r="AL424" s="697"/>
      <c r="AM424" s="697"/>
      <c r="AN424" s="697"/>
      <c r="AO424" s="697"/>
      <c r="AP424" s="697"/>
      <c r="AQ424" s="697"/>
      <c r="AR424" s="697"/>
      <c r="AS424" s="697"/>
      <c r="AT424" s="697"/>
      <c r="AU424" s="697"/>
      <c r="AV424" s="697"/>
      <c r="AW424" s="697"/>
      <c r="AX424" s="697"/>
      <c r="AY424" s="697"/>
      <c r="AZ424" s="697"/>
      <c r="BA424" s="697"/>
      <c r="BB424" s="697"/>
      <c r="BC424" s="697"/>
      <c r="BD424" s="697"/>
      <c r="BE424" s="697"/>
      <c r="BF424" s="697"/>
      <c r="BG424" s="697"/>
      <c r="BH424" s="697"/>
      <c r="BI424" s="697"/>
      <c r="BJ424" s="697"/>
      <c r="BK424" s="697"/>
      <c r="BL424" s="697"/>
      <c r="BM424" s="697"/>
      <c r="BN424" s="697"/>
      <c r="BO424" s="697"/>
      <c r="BP424" s="697"/>
      <c r="BQ424" s="697"/>
      <c r="BR424" s="697"/>
      <c r="BS424" s="697"/>
      <c r="BT424" s="697"/>
      <c r="BU424" s="697"/>
      <c r="BV424" s="697"/>
      <c r="BW424" s="697"/>
      <c r="BX424" s="697"/>
      <c r="BY424" s="697"/>
      <c r="BZ424" s="697"/>
      <c r="CA424" s="697"/>
      <c r="CB424" s="697"/>
      <c r="CC424" s="697"/>
      <c r="CD424" s="697"/>
      <c r="CE424" s="697"/>
      <c r="CF424" s="697"/>
      <c r="CG424" s="697"/>
      <c r="CH424" s="697"/>
      <c r="CI424" s="697"/>
      <c r="CJ424" s="697"/>
      <c r="CK424" s="697"/>
      <c r="CL424" s="697"/>
      <c r="CM424" s="697"/>
      <c r="CN424" s="697"/>
      <c r="CO424" s="697"/>
      <c r="CP424" s="697"/>
      <c r="CQ424" s="697"/>
      <c r="CR424" s="697"/>
      <c r="CS424" s="697"/>
      <c r="CT424" s="697"/>
      <c r="CU424" s="697"/>
      <c r="CV424" s="697"/>
      <c r="CW424" s="697"/>
      <c r="CX424" s="697"/>
      <c r="CY424" s="697"/>
      <c r="CZ424" s="697"/>
      <c r="DA424" s="697"/>
    </row>
    <row r="425" spans="1:105" hidden="1" outlineLevel="1" x14ac:dyDescent="0.2">
      <c r="A425" s="709">
        <f t="shared" si="80"/>
        <v>39448</v>
      </c>
      <c r="B425" s="709" t="str">
        <f t="shared" si="77"/>
        <v>1Q08</v>
      </c>
      <c r="C425" s="709" t="str">
        <f t="shared" si="81"/>
        <v>1Q08</v>
      </c>
      <c r="D425" s="710">
        <f t="shared" si="84"/>
        <v>39528</v>
      </c>
      <c r="E425" s="710">
        <f t="shared" si="84"/>
        <v>39468</v>
      </c>
      <c r="F425" s="712">
        <v>3.27</v>
      </c>
      <c r="G425" s="713">
        <f t="shared" si="78"/>
        <v>0.43000000000000022</v>
      </c>
      <c r="H425" s="713">
        <f t="shared" si="79"/>
        <v>0.43000000000000022</v>
      </c>
      <c r="I425" s="697"/>
      <c r="J425" s="697"/>
      <c r="K425" s="697"/>
      <c r="L425" s="697"/>
      <c r="M425" s="697"/>
      <c r="N425" s="697"/>
      <c r="O425" s="697"/>
      <c r="P425" s="697"/>
      <c r="Q425" s="697"/>
      <c r="R425" s="697"/>
      <c r="S425" s="697"/>
      <c r="T425" s="697"/>
      <c r="U425" s="697"/>
      <c r="V425" s="697"/>
      <c r="W425" s="697"/>
      <c r="X425" s="697"/>
      <c r="Y425" s="697"/>
      <c r="Z425" s="697"/>
      <c r="AA425" s="697"/>
      <c r="AB425" s="697"/>
      <c r="AC425" s="697"/>
      <c r="AD425" s="697"/>
      <c r="AE425" s="697"/>
      <c r="AF425" s="697"/>
      <c r="AG425" s="697"/>
      <c r="AH425" s="697"/>
      <c r="AI425" s="697"/>
      <c r="AJ425" s="697"/>
      <c r="AK425" s="697"/>
      <c r="AL425" s="697"/>
      <c r="AM425" s="697"/>
      <c r="AN425" s="697"/>
      <c r="AO425" s="697"/>
      <c r="AP425" s="697"/>
      <c r="AQ425" s="697"/>
      <c r="AR425" s="697"/>
      <c r="AS425" s="697"/>
      <c r="AT425" s="697"/>
      <c r="AU425" s="697"/>
      <c r="AV425" s="697"/>
      <c r="AW425" s="697"/>
      <c r="AX425" s="697"/>
      <c r="AY425" s="697"/>
      <c r="AZ425" s="697"/>
      <c r="BA425" s="697"/>
      <c r="BB425" s="697"/>
      <c r="BC425" s="697"/>
      <c r="BD425" s="697"/>
      <c r="BE425" s="697"/>
      <c r="BF425" s="697"/>
      <c r="BG425" s="697"/>
      <c r="BH425" s="697"/>
      <c r="BI425" s="697"/>
      <c r="BJ425" s="697"/>
      <c r="BK425" s="697"/>
      <c r="BL425" s="697"/>
      <c r="BM425" s="697"/>
      <c r="BN425" s="697"/>
      <c r="BO425" s="697"/>
      <c r="BP425" s="697"/>
      <c r="BQ425" s="697"/>
      <c r="BR425" s="697"/>
      <c r="BS425" s="697"/>
      <c r="BT425" s="697"/>
      <c r="BU425" s="697"/>
      <c r="BV425" s="697"/>
      <c r="BW425" s="697"/>
      <c r="BX425" s="697"/>
      <c r="BY425" s="697"/>
      <c r="BZ425" s="697"/>
      <c r="CA425" s="697"/>
      <c r="CB425" s="697"/>
      <c r="CC425" s="697"/>
      <c r="CD425" s="697"/>
      <c r="CE425" s="697"/>
      <c r="CF425" s="697"/>
      <c r="CG425" s="697"/>
      <c r="CH425" s="697"/>
      <c r="CI425" s="697"/>
      <c r="CJ425" s="697"/>
      <c r="CK425" s="697"/>
      <c r="CL425" s="697"/>
      <c r="CM425" s="697"/>
      <c r="CN425" s="697"/>
      <c r="CO425" s="697"/>
      <c r="CP425" s="697"/>
      <c r="CQ425" s="697"/>
      <c r="CR425" s="697"/>
      <c r="CS425" s="697"/>
      <c r="CT425" s="697"/>
      <c r="CU425" s="697"/>
      <c r="CV425" s="697"/>
      <c r="CW425" s="697"/>
      <c r="CX425" s="697"/>
      <c r="CY425" s="697"/>
      <c r="CZ425" s="697"/>
      <c r="DA425" s="697"/>
    </row>
    <row r="426" spans="1:105" hidden="1" outlineLevel="1" x14ac:dyDescent="0.2">
      <c r="A426" s="709">
        <f t="shared" si="80"/>
        <v>39448</v>
      </c>
      <c r="B426" s="709" t="str">
        <f t="shared" si="77"/>
        <v>1Q08</v>
      </c>
      <c r="C426" s="709" t="str">
        <f t="shared" si="81"/>
        <v>1Q08</v>
      </c>
      <c r="D426" s="710">
        <f t="shared" si="84"/>
        <v>39535</v>
      </c>
      <c r="E426" s="710">
        <f t="shared" si="84"/>
        <v>39475</v>
      </c>
      <c r="F426" s="712">
        <v>3.2589999999999999</v>
      </c>
      <c r="G426" s="713">
        <f t="shared" si="78"/>
        <v>0.43000000000000022</v>
      </c>
      <c r="H426" s="713">
        <f t="shared" si="79"/>
        <v>0.43000000000000022</v>
      </c>
      <c r="I426" s="697"/>
      <c r="J426" s="697"/>
      <c r="K426" s="697"/>
      <c r="L426" s="697"/>
      <c r="M426" s="697"/>
      <c r="N426" s="697"/>
      <c r="O426" s="697"/>
      <c r="P426" s="697"/>
      <c r="Q426" s="697"/>
      <c r="R426" s="697"/>
      <c r="S426" s="697"/>
      <c r="T426" s="697"/>
      <c r="U426" s="697"/>
      <c r="V426" s="697"/>
      <c r="W426" s="697"/>
      <c r="X426" s="697"/>
      <c r="Y426" s="697"/>
      <c r="Z426" s="697"/>
      <c r="AA426" s="697"/>
      <c r="AB426" s="697"/>
      <c r="AC426" s="697"/>
      <c r="AD426" s="697"/>
      <c r="AE426" s="697"/>
      <c r="AF426" s="697"/>
      <c r="AG426" s="697"/>
      <c r="AH426" s="697"/>
      <c r="AI426" s="697"/>
      <c r="AJ426" s="697"/>
      <c r="AK426" s="697"/>
      <c r="AL426" s="697"/>
      <c r="AM426" s="697"/>
      <c r="AN426" s="697"/>
      <c r="AO426" s="697"/>
      <c r="AP426" s="697"/>
      <c r="AQ426" s="697"/>
      <c r="AR426" s="697"/>
      <c r="AS426" s="697"/>
      <c r="AT426" s="697"/>
      <c r="AU426" s="697"/>
      <c r="AV426" s="697"/>
      <c r="AW426" s="697"/>
      <c r="AX426" s="697"/>
      <c r="AY426" s="697"/>
      <c r="AZ426" s="697"/>
      <c r="BA426" s="697"/>
      <c r="BB426" s="697"/>
      <c r="BC426" s="697"/>
      <c r="BD426" s="697"/>
      <c r="BE426" s="697"/>
      <c r="BF426" s="697"/>
      <c r="BG426" s="697"/>
      <c r="BH426" s="697"/>
      <c r="BI426" s="697"/>
      <c r="BJ426" s="697"/>
      <c r="BK426" s="697"/>
      <c r="BL426" s="697"/>
      <c r="BM426" s="697"/>
      <c r="BN426" s="697"/>
      <c r="BO426" s="697"/>
      <c r="BP426" s="697"/>
      <c r="BQ426" s="697"/>
      <c r="BR426" s="697"/>
      <c r="BS426" s="697"/>
      <c r="BT426" s="697"/>
      <c r="BU426" s="697"/>
      <c r="BV426" s="697"/>
      <c r="BW426" s="697"/>
      <c r="BX426" s="697"/>
      <c r="BY426" s="697"/>
      <c r="BZ426" s="697"/>
      <c r="CA426" s="697"/>
      <c r="CB426" s="697"/>
      <c r="CC426" s="697"/>
      <c r="CD426" s="697"/>
      <c r="CE426" s="697"/>
      <c r="CF426" s="697"/>
      <c r="CG426" s="697"/>
      <c r="CH426" s="697"/>
      <c r="CI426" s="697"/>
      <c r="CJ426" s="697"/>
      <c r="CK426" s="697"/>
      <c r="CL426" s="697"/>
      <c r="CM426" s="697"/>
      <c r="CN426" s="697"/>
      <c r="CO426" s="697"/>
      <c r="CP426" s="697"/>
      <c r="CQ426" s="697"/>
      <c r="CR426" s="697"/>
      <c r="CS426" s="697"/>
      <c r="CT426" s="697"/>
      <c r="CU426" s="697"/>
      <c r="CV426" s="697"/>
      <c r="CW426" s="697"/>
      <c r="CX426" s="697"/>
      <c r="CY426" s="697"/>
      <c r="CZ426" s="697"/>
      <c r="DA426" s="697"/>
    </row>
    <row r="427" spans="1:105" hidden="1" outlineLevel="1" x14ac:dyDescent="0.2">
      <c r="A427" s="709">
        <f t="shared" si="80"/>
        <v>39479</v>
      </c>
      <c r="B427" s="709" t="str">
        <f t="shared" si="77"/>
        <v>1Q08</v>
      </c>
      <c r="C427" s="709" t="str">
        <f t="shared" si="81"/>
        <v>2Q08</v>
      </c>
      <c r="D427" s="710">
        <f t="shared" si="84"/>
        <v>39542</v>
      </c>
      <c r="E427" s="710">
        <f t="shared" si="84"/>
        <v>39482</v>
      </c>
      <c r="F427" s="712">
        <v>3.28</v>
      </c>
      <c r="G427" s="713">
        <f t="shared" si="78"/>
        <v>0.43000000000000022</v>
      </c>
      <c r="H427" s="713">
        <f t="shared" si="79"/>
        <v>0.43000000000000022</v>
      </c>
      <c r="I427" s="697"/>
      <c r="J427" s="697"/>
      <c r="K427" s="697"/>
      <c r="L427" s="697"/>
      <c r="M427" s="697"/>
      <c r="N427" s="697"/>
      <c r="O427" s="697"/>
      <c r="P427" s="697"/>
      <c r="Q427" s="697"/>
      <c r="R427" s="697"/>
      <c r="S427" s="697"/>
      <c r="T427" s="697"/>
      <c r="U427" s="697"/>
      <c r="V427" s="697"/>
      <c r="W427" s="697"/>
      <c r="X427" s="697"/>
      <c r="Y427" s="697"/>
      <c r="Z427" s="697"/>
      <c r="AA427" s="697"/>
      <c r="AB427" s="697"/>
      <c r="AC427" s="697"/>
      <c r="AD427" s="697"/>
      <c r="AE427" s="697"/>
      <c r="AF427" s="697"/>
      <c r="AG427" s="697"/>
      <c r="AH427" s="697"/>
      <c r="AI427" s="697"/>
      <c r="AJ427" s="697"/>
      <c r="AK427" s="697"/>
      <c r="AL427" s="697"/>
      <c r="AM427" s="697"/>
      <c r="AN427" s="697"/>
      <c r="AO427" s="697"/>
      <c r="AP427" s="697"/>
      <c r="AQ427" s="697"/>
      <c r="AR427" s="697"/>
      <c r="AS427" s="697"/>
      <c r="AT427" s="697"/>
      <c r="AU427" s="697"/>
      <c r="AV427" s="697"/>
      <c r="AW427" s="697"/>
      <c r="AX427" s="697"/>
      <c r="AY427" s="697"/>
      <c r="AZ427" s="697"/>
      <c r="BA427" s="697"/>
      <c r="BB427" s="697"/>
      <c r="BC427" s="697"/>
      <c r="BD427" s="697"/>
      <c r="BE427" s="697"/>
      <c r="BF427" s="697"/>
      <c r="BG427" s="697"/>
      <c r="BH427" s="697"/>
      <c r="BI427" s="697"/>
      <c r="BJ427" s="697"/>
      <c r="BK427" s="697"/>
      <c r="BL427" s="697"/>
      <c r="BM427" s="697"/>
      <c r="BN427" s="697"/>
      <c r="BO427" s="697"/>
      <c r="BP427" s="697"/>
      <c r="BQ427" s="697"/>
      <c r="BR427" s="697"/>
      <c r="BS427" s="697"/>
      <c r="BT427" s="697"/>
      <c r="BU427" s="697"/>
      <c r="BV427" s="697"/>
      <c r="BW427" s="697"/>
      <c r="BX427" s="697"/>
      <c r="BY427" s="697"/>
      <c r="BZ427" s="697"/>
      <c r="CA427" s="697"/>
      <c r="CB427" s="697"/>
      <c r="CC427" s="697"/>
      <c r="CD427" s="697"/>
      <c r="CE427" s="697"/>
      <c r="CF427" s="697"/>
      <c r="CG427" s="697"/>
      <c r="CH427" s="697"/>
      <c r="CI427" s="697"/>
      <c r="CJ427" s="697"/>
      <c r="CK427" s="697"/>
      <c r="CL427" s="697"/>
      <c r="CM427" s="697"/>
      <c r="CN427" s="697"/>
      <c r="CO427" s="697"/>
      <c r="CP427" s="697"/>
      <c r="CQ427" s="697"/>
      <c r="CR427" s="697"/>
      <c r="CS427" s="697"/>
      <c r="CT427" s="697"/>
      <c r="CU427" s="697"/>
      <c r="CV427" s="697"/>
      <c r="CW427" s="697"/>
      <c r="CX427" s="697"/>
      <c r="CY427" s="697"/>
      <c r="CZ427" s="697"/>
      <c r="DA427" s="697"/>
    </row>
    <row r="428" spans="1:105" hidden="1" outlineLevel="1" x14ac:dyDescent="0.2">
      <c r="A428" s="709">
        <f t="shared" si="80"/>
        <v>39479</v>
      </c>
      <c r="B428" s="709" t="str">
        <f t="shared" si="77"/>
        <v>1Q08</v>
      </c>
      <c r="C428" s="709" t="str">
        <f t="shared" si="81"/>
        <v>2Q08</v>
      </c>
      <c r="D428" s="710">
        <f t="shared" si="84"/>
        <v>39549</v>
      </c>
      <c r="E428" s="710">
        <f t="shared" si="84"/>
        <v>39489</v>
      </c>
      <c r="F428" s="712">
        <v>3.28</v>
      </c>
      <c r="G428" s="713">
        <f t="shared" si="78"/>
        <v>0.43000000000000022</v>
      </c>
      <c r="H428" s="713">
        <f t="shared" si="79"/>
        <v>0.45000000000000023</v>
      </c>
      <c r="I428" s="697"/>
      <c r="J428" s="697"/>
      <c r="K428" s="697"/>
      <c r="L428" s="697"/>
      <c r="M428" s="697"/>
      <c r="N428" s="697"/>
      <c r="O428" s="697"/>
      <c r="P428" s="697"/>
      <c r="Q428" s="697"/>
      <c r="R428" s="697"/>
      <c r="S428" s="697"/>
      <c r="T428" s="697"/>
      <c r="U428" s="697"/>
      <c r="V428" s="697"/>
      <c r="W428" s="697"/>
      <c r="X428" s="697"/>
      <c r="Y428" s="697"/>
      <c r="Z428" s="697"/>
      <c r="AA428" s="697"/>
      <c r="AB428" s="697"/>
      <c r="AC428" s="697"/>
      <c r="AD428" s="697"/>
      <c r="AE428" s="697"/>
      <c r="AF428" s="697"/>
      <c r="AG428" s="697"/>
      <c r="AH428" s="697"/>
      <c r="AI428" s="697"/>
      <c r="AJ428" s="697"/>
      <c r="AK428" s="697"/>
      <c r="AL428" s="697"/>
      <c r="AM428" s="697"/>
      <c r="AN428" s="697"/>
      <c r="AO428" s="697"/>
      <c r="AP428" s="697"/>
      <c r="AQ428" s="697"/>
      <c r="AR428" s="697"/>
      <c r="AS428" s="697"/>
      <c r="AT428" s="697"/>
      <c r="AU428" s="697"/>
      <c r="AV428" s="697"/>
      <c r="AW428" s="697"/>
      <c r="AX428" s="697"/>
      <c r="AY428" s="697"/>
      <c r="AZ428" s="697"/>
      <c r="BA428" s="697"/>
      <c r="BB428" s="697"/>
      <c r="BC428" s="697"/>
      <c r="BD428" s="697"/>
      <c r="BE428" s="697"/>
      <c r="BF428" s="697"/>
      <c r="BG428" s="697"/>
      <c r="BH428" s="697"/>
      <c r="BI428" s="697"/>
      <c r="BJ428" s="697"/>
      <c r="BK428" s="697"/>
      <c r="BL428" s="697"/>
      <c r="BM428" s="697"/>
      <c r="BN428" s="697"/>
      <c r="BO428" s="697"/>
      <c r="BP428" s="697"/>
      <c r="BQ428" s="697"/>
      <c r="BR428" s="697"/>
      <c r="BS428" s="697"/>
      <c r="BT428" s="697"/>
      <c r="BU428" s="697"/>
      <c r="BV428" s="697"/>
      <c r="BW428" s="697"/>
      <c r="BX428" s="697"/>
      <c r="BY428" s="697"/>
      <c r="BZ428" s="697"/>
      <c r="CA428" s="697"/>
      <c r="CB428" s="697"/>
      <c r="CC428" s="697"/>
      <c r="CD428" s="697"/>
      <c r="CE428" s="697"/>
      <c r="CF428" s="697"/>
      <c r="CG428" s="697"/>
      <c r="CH428" s="697"/>
      <c r="CI428" s="697"/>
      <c r="CJ428" s="697"/>
      <c r="CK428" s="697"/>
      <c r="CL428" s="697"/>
      <c r="CM428" s="697"/>
      <c r="CN428" s="697"/>
      <c r="CO428" s="697"/>
      <c r="CP428" s="697"/>
      <c r="CQ428" s="697"/>
      <c r="CR428" s="697"/>
      <c r="CS428" s="697"/>
      <c r="CT428" s="697"/>
      <c r="CU428" s="697"/>
      <c r="CV428" s="697"/>
      <c r="CW428" s="697"/>
      <c r="CX428" s="697"/>
      <c r="CY428" s="697"/>
      <c r="CZ428" s="697"/>
      <c r="DA428" s="697"/>
    </row>
    <row r="429" spans="1:105" hidden="1" outlineLevel="1" x14ac:dyDescent="0.2">
      <c r="A429" s="709">
        <f t="shared" si="80"/>
        <v>39479</v>
      </c>
      <c r="B429" s="709" t="str">
        <f t="shared" si="77"/>
        <v>1Q08</v>
      </c>
      <c r="C429" s="709" t="str">
        <f t="shared" si="81"/>
        <v>2Q08</v>
      </c>
      <c r="D429" s="710">
        <f t="shared" si="84"/>
        <v>39556</v>
      </c>
      <c r="E429" s="710">
        <f t="shared" si="84"/>
        <v>39496</v>
      </c>
      <c r="F429" s="712">
        <v>3.3959999999999999</v>
      </c>
      <c r="G429" s="713">
        <f t="shared" si="78"/>
        <v>0.45000000000000023</v>
      </c>
      <c r="H429" s="713">
        <f t="shared" si="79"/>
        <v>0.49000000000000027</v>
      </c>
      <c r="I429" s="697"/>
      <c r="J429" s="697"/>
      <c r="K429" s="697"/>
      <c r="L429" s="697"/>
      <c r="M429" s="697"/>
      <c r="N429" s="697"/>
      <c r="O429" s="697"/>
      <c r="P429" s="697"/>
      <c r="Q429" s="697"/>
      <c r="R429" s="697"/>
      <c r="S429" s="697"/>
      <c r="T429" s="697"/>
      <c r="U429" s="697"/>
      <c r="V429" s="697"/>
      <c r="W429" s="697"/>
      <c r="X429" s="697"/>
      <c r="Y429" s="697"/>
      <c r="Z429" s="697"/>
      <c r="AA429" s="697"/>
      <c r="AB429" s="697"/>
      <c r="AC429" s="697"/>
      <c r="AD429" s="697"/>
      <c r="AE429" s="697"/>
      <c r="AF429" s="697"/>
      <c r="AG429" s="697"/>
      <c r="AH429" s="697"/>
      <c r="AI429" s="697"/>
      <c r="AJ429" s="697"/>
      <c r="AK429" s="697"/>
      <c r="AL429" s="697"/>
      <c r="AM429" s="697"/>
      <c r="AN429" s="697"/>
      <c r="AO429" s="697"/>
      <c r="AP429" s="697"/>
      <c r="AQ429" s="697"/>
      <c r="AR429" s="697"/>
      <c r="AS429" s="697"/>
      <c r="AT429" s="697"/>
      <c r="AU429" s="697"/>
      <c r="AV429" s="697"/>
      <c r="AW429" s="697"/>
      <c r="AX429" s="697"/>
      <c r="AY429" s="697"/>
      <c r="AZ429" s="697"/>
      <c r="BA429" s="697"/>
      <c r="BB429" s="697"/>
      <c r="BC429" s="697"/>
      <c r="BD429" s="697"/>
      <c r="BE429" s="697"/>
      <c r="BF429" s="697"/>
      <c r="BG429" s="697"/>
      <c r="BH429" s="697"/>
      <c r="BI429" s="697"/>
      <c r="BJ429" s="697"/>
      <c r="BK429" s="697"/>
      <c r="BL429" s="697"/>
      <c r="BM429" s="697"/>
      <c r="BN429" s="697"/>
      <c r="BO429" s="697"/>
      <c r="BP429" s="697"/>
      <c r="BQ429" s="697"/>
      <c r="BR429" s="697"/>
      <c r="BS429" s="697"/>
      <c r="BT429" s="697"/>
      <c r="BU429" s="697"/>
      <c r="BV429" s="697"/>
      <c r="BW429" s="697"/>
      <c r="BX429" s="697"/>
      <c r="BY429" s="697"/>
      <c r="BZ429" s="697"/>
      <c r="CA429" s="697"/>
      <c r="CB429" s="697"/>
      <c r="CC429" s="697"/>
      <c r="CD429" s="697"/>
      <c r="CE429" s="697"/>
      <c r="CF429" s="697"/>
      <c r="CG429" s="697"/>
      <c r="CH429" s="697"/>
      <c r="CI429" s="697"/>
      <c r="CJ429" s="697"/>
      <c r="CK429" s="697"/>
      <c r="CL429" s="697"/>
      <c r="CM429" s="697"/>
      <c r="CN429" s="697"/>
      <c r="CO429" s="697"/>
      <c r="CP429" s="697"/>
      <c r="CQ429" s="697"/>
      <c r="CR429" s="697"/>
      <c r="CS429" s="697"/>
      <c r="CT429" s="697"/>
      <c r="CU429" s="697"/>
      <c r="CV429" s="697"/>
      <c r="CW429" s="697"/>
      <c r="CX429" s="697"/>
      <c r="CY429" s="697"/>
      <c r="CZ429" s="697"/>
      <c r="DA429" s="697"/>
    </row>
    <row r="430" spans="1:105" hidden="1" outlineLevel="1" x14ac:dyDescent="0.2">
      <c r="A430" s="709">
        <f t="shared" si="80"/>
        <v>39479</v>
      </c>
      <c r="B430" s="709" t="str">
        <f t="shared" si="77"/>
        <v>1Q08</v>
      </c>
      <c r="C430" s="709" t="str">
        <f t="shared" si="81"/>
        <v>2Q08</v>
      </c>
      <c r="D430" s="710">
        <f t="shared" si="84"/>
        <v>39563</v>
      </c>
      <c r="E430" s="710">
        <f t="shared" si="84"/>
        <v>39503</v>
      </c>
      <c r="F430" s="712">
        <v>3.552</v>
      </c>
      <c r="G430" s="713">
        <f t="shared" si="78"/>
        <v>0.49000000000000027</v>
      </c>
      <c r="H430" s="713">
        <f t="shared" si="79"/>
        <v>0.51000000000000023</v>
      </c>
      <c r="I430" s="697"/>
      <c r="J430" s="697"/>
      <c r="K430" s="697"/>
      <c r="L430" s="697"/>
      <c r="M430" s="697"/>
      <c r="N430" s="697"/>
      <c r="O430" s="697"/>
      <c r="P430" s="697"/>
      <c r="Q430" s="697"/>
      <c r="R430" s="697"/>
      <c r="S430" s="697"/>
      <c r="T430" s="697"/>
      <c r="U430" s="697"/>
      <c r="V430" s="697"/>
      <c r="W430" s="697"/>
      <c r="X430" s="697"/>
      <c r="Y430" s="697"/>
      <c r="Z430" s="697"/>
      <c r="AA430" s="697"/>
      <c r="AB430" s="697"/>
      <c r="AC430" s="697"/>
      <c r="AD430" s="697"/>
      <c r="AE430" s="697"/>
      <c r="AF430" s="697"/>
      <c r="AG430" s="697"/>
      <c r="AH430" s="697"/>
      <c r="AI430" s="697"/>
      <c r="AJ430" s="697"/>
      <c r="AK430" s="697"/>
      <c r="AL430" s="697"/>
      <c r="AM430" s="697"/>
      <c r="AN430" s="697"/>
      <c r="AO430" s="697"/>
      <c r="AP430" s="697"/>
      <c r="AQ430" s="697"/>
      <c r="AR430" s="697"/>
      <c r="AS430" s="697"/>
      <c r="AT430" s="697"/>
      <c r="AU430" s="697"/>
      <c r="AV430" s="697"/>
      <c r="AW430" s="697"/>
      <c r="AX430" s="697"/>
      <c r="AY430" s="697"/>
      <c r="AZ430" s="697"/>
      <c r="BA430" s="697"/>
      <c r="BB430" s="697"/>
      <c r="BC430" s="697"/>
      <c r="BD430" s="697"/>
      <c r="BE430" s="697"/>
      <c r="BF430" s="697"/>
      <c r="BG430" s="697"/>
      <c r="BH430" s="697"/>
      <c r="BI430" s="697"/>
      <c r="BJ430" s="697"/>
      <c r="BK430" s="697"/>
      <c r="BL430" s="697"/>
      <c r="BM430" s="697"/>
      <c r="BN430" s="697"/>
      <c r="BO430" s="697"/>
      <c r="BP430" s="697"/>
      <c r="BQ430" s="697"/>
      <c r="BR430" s="697"/>
      <c r="BS430" s="697"/>
      <c r="BT430" s="697"/>
      <c r="BU430" s="697"/>
      <c r="BV430" s="697"/>
      <c r="BW430" s="697"/>
      <c r="BX430" s="697"/>
      <c r="BY430" s="697"/>
      <c r="BZ430" s="697"/>
      <c r="CA430" s="697"/>
      <c r="CB430" s="697"/>
      <c r="CC430" s="697"/>
      <c r="CD430" s="697"/>
      <c r="CE430" s="697"/>
      <c r="CF430" s="697"/>
      <c r="CG430" s="697"/>
      <c r="CH430" s="697"/>
      <c r="CI430" s="697"/>
      <c r="CJ430" s="697"/>
      <c r="CK430" s="697"/>
      <c r="CL430" s="697"/>
      <c r="CM430" s="697"/>
      <c r="CN430" s="697"/>
      <c r="CO430" s="697"/>
      <c r="CP430" s="697"/>
      <c r="CQ430" s="697"/>
      <c r="CR430" s="697"/>
      <c r="CS430" s="697"/>
      <c r="CT430" s="697"/>
      <c r="CU430" s="697"/>
      <c r="CV430" s="697"/>
      <c r="CW430" s="697"/>
      <c r="CX430" s="697"/>
      <c r="CY430" s="697"/>
      <c r="CZ430" s="697"/>
      <c r="DA430" s="697"/>
    </row>
    <row r="431" spans="1:105" hidden="1" outlineLevel="1" x14ac:dyDescent="0.2">
      <c r="A431" s="709">
        <f t="shared" si="80"/>
        <v>39508</v>
      </c>
      <c r="B431" s="709" t="str">
        <f t="shared" si="77"/>
        <v>1Q08</v>
      </c>
      <c r="C431" s="709" t="str">
        <f t="shared" si="81"/>
        <v>2Q08</v>
      </c>
      <c r="D431" s="710">
        <f t="shared" si="84"/>
        <v>39570</v>
      </c>
      <c r="E431" s="710">
        <f t="shared" si="84"/>
        <v>39510</v>
      </c>
      <c r="F431" s="712">
        <v>3.6579999999999999</v>
      </c>
      <c r="G431" s="713">
        <f t="shared" si="78"/>
        <v>0.51000000000000023</v>
      </c>
      <c r="H431" s="713">
        <f t="shared" si="79"/>
        <v>0.54000000000000026</v>
      </c>
      <c r="I431" s="697"/>
      <c r="J431" s="697"/>
      <c r="K431" s="697"/>
      <c r="L431" s="697"/>
      <c r="M431" s="697"/>
      <c r="N431" s="697"/>
      <c r="O431" s="697"/>
      <c r="P431" s="697"/>
      <c r="Q431" s="697"/>
      <c r="R431" s="697"/>
      <c r="S431" s="697"/>
      <c r="T431" s="697"/>
      <c r="U431" s="697"/>
      <c r="V431" s="697"/>
      <c r="W431" s="697"/>
      <c r="X431" s="697"/>
      <c r="Y431" s="697"/>
      <c r="Z431" s="697"/>
      <c r="AA431" s="697"/>
      <c r="AB431" s="697"/>
      <c r="AC431" s="697"/>
      <c r="AD431" s="697"/>
      <c r="AE431" s="697"/>
      <c r="AF431" s="697"/>
      <c r="AG431" s="697"/>
      <c r="AH431" s="697"/>
      <c r="AI431" s="697"/>
      <c r="AJ431" s="697"/>
      <c r="AK431" s="697"/>
      <c r="AL431" s="697"/>
      <c r="AM431" s="697"/>
      <c r="AN431" s="697"/>
      <c r="AO431" s="697"/>
      <c r="AP431" s="697"/>
      <c r="AQ431" s="697"/>
      <c r="AR431" s="697"/>
      <c r="AS431" s="697"/>
      <c r="AT431" s="697"/>
      <c r="AU431" s="697"/>
      <c r="AV431" s="697"/>
      <c r="AW431" s="697"/>
      <c r="AX431" s="697"/>
      <c r="AY431" s="697"/>
      <c r="AZ431" s="697"/>
      <c r="BA431" s="697"/>
      <c r="BB431" s="697"/>
      <c r="BC431" s="697"/>
      <c r="BD431" s="697"/>
      <c r="BE431" s="697"/>
      <c r="BF431" s="697"/>
      <c r="BG431" s="697"/>
      <c r="BH431" s="697"/>
      <c r="BI431" s="697"/>
      <c r="BJ431" s="697"/>
      <c r="BK431" s="697"/>
      <c r="BL431" s="697"/>
      <c r="BM431" s="697"/>
      <c r="BN431" s="697"/>
      <c r="BO431" s="697"/>
      <c r="BP431" s="697"/>
      <c r="BQ431" s="697"/>
      <c r="BR431" s="697"/>
      <c r="BS431" s="697"/>
      <c r="BT431" s="697"/>
      <c r="BU431" s="697"/>
      <c r="BV431" s="697"/>
      <c r="BW431" s="697"/>
      <c r="BX431" s="697"/>
      <c r="BY431" s="697"/>
      <c r="BZ431" s="697"/>
      <c r="CA431" s="697"/>
      <c r="CB431" s="697"/>
      <c r="CC431" s="697"/>
      <c r="CD431" s="697"/>
      <c r="CE431" s="697"/>
      <c r="CF431" s="697"/>
      <c r="CG431" s="697"/>
      <c r="CH431" s="697"/>
      <c r="CI431" s="697"/>
      <c r="CJ431" s="697"/>
      <c r="CK431" s="697"/>
      <c r="CL431" s="697"/>
      <c r="CM431" s="697"/>
      <c r="CN431" s="697"/>
      <c r="CO431" s="697"/>
      <c r="CP431" s="697"/>
      <c r="CQ431" s="697"/>
      <c r="CR431" s="697"/>
      <c r="CS431" s="697"/>
      <c r="CT431" s="697"/>
      <c r="CU431" s="697"/>
      <c r="CV431" s="697"/>
      <c r="CW431" s="697"/>
      <c r="CX431" s="697"/>
      <c r="CY431" s="697"/>
      <c r="CZ431" s="697"/>
      <c r="DA431" s="697"/>
    </row>
    <row r="432" spans="1:105" hidden="1" outlineLevel="1" x14ac:dyDescent="0.2">
      <c r="A432" s="709">
        <f t="shared" si="80"/>
        <v>39508</v>
      </c>
      <c r="B432" s="709" t="str">
        <f t="shared" si="77"/>
        <v>1Q08</v>
      </c>
      <c r="C432" s="709" t="str">
        <f t="shared" si="81"/>
        <v>2Q08</v>
      </c>
      <c r="D432" s="710">
        <f t="shared" si="84"/>
        <v>39577</v>
      </c>
      <c r="E432" s="710">
        <f t="shared" si="84"/>
        <v>39517</v>
      </c>
      <c r="F432" s="712">
        <v>3.819</v>
      </c>
      <c r="G432" s="713">
        <f t="shared" si="78"/>
        <v>0.54000000000000026</v>
      </c>
      <c r="H432" s="713">
        <f t="shared" si="79"/>
        <v>0.57000000000000028</v>
      </c>
      <c r="I432" s="697"/>
      <c r="J432" s="697"/>
      <c r="K432" s="697"/>
      <c r="L432" s="697"/>
      <c r="M432" s="697"/>
      <c r="N432" s="697"/>
      <c r="O432" s="697"/>
      <c r="P432" s="697"/>
      <c r="Q432" s="697"/>
      <c r="R432" s="697"/>
      <c r="S432" s="697"/>
      <c r="T432" s="697"/>
      <c r="U432" s="697"/>
      <c r="V432" s="697"/>
      <c r="W432" s="697"/>
      <c r="X432" s="697"/>
      <c r="Y432" s="697"/>
      <c r="Z432" s="697"/>
      <c r="AA432" s="697"/>
      <c r="AB432" s="697"/>
      <c r="AC432" s="697"/>
      <c r="AD432" s="697"/>
      <c r="AE432" s="697"/>
      <c r="AF432" s="697"/>
      <c r="AG432" s="697"/>
      <c r="AH432" s="697"/>
      <c r="AI432" s="697"/>
      <c r="AJ432" s="697"/>
      <c r="AK432" s="697"/>
      <c r="AL432" s="697"/>
      <c r="AM432" s="697"/>
      <c r="AN432" s="697"/>
      <c r="AO432" s="697"/>
      <c r="AP432" s="697"/>
      <c r="AQ432" s="697"/>
      <c r="AR432" s="697"/>
      <c r="AS432" s="697"/>
      <c r="AT432" s="697"/>
      <c r="AU432" s="697"/>
      <c r="AV432" s="697"/>
      <c r="AW432" s="697"/>
      <c r="AX432" s="697"/>
      <c r="AY432" s="697"/>
      <c r="AZ432" s="697"/>
      <c r="BA432" s="697"/>
      <c r="BB432" s="697"/>
      <c r="BC432" s="697"/>
      <c r="BD432" s="697"/>
      <c r="BE432" s="697"/>
      <c r="BF432" s="697"/>
      <c r="BG432" s="697"/>
      <c r="BH432" s="697"/>
      <c r="BI432" s="697"/>
      <c r="BJ432" s="697"/>
      <c r="BK432" s="697"/>
      <c r="BL432" s="697"/>
      <c r="BM432" s="697"/>
      <c r="BN432" s="697"/>
      <c r="BO432" s="697"/>
      <c r="BP432" s="697"/>
      <c r="BQ432" s="697"/>
      <c r="BR432" s="697"/>
      <c r="BS432" s="697"/>
      <c r="BT432" s="697"/>
      <c r="BU432" s="697"/>
      <c r="BV432" s="697"/>
      <c r="BW432" s="697"/>
      <c r="BX432" s="697"/>
      <c r="BY432" s="697"/>
      <c r="BZ432" s="697"/>
      <c r="CA432" s="697"/>
      <c r="CB432" s="697"/>
      <c r="CC432" s="697"/>
      <c r="CD432" s="697"/>
      <c r="CE432" s="697"/>
      <c r="CF432" s="697"/>
      <c r="CG432" s="697"/>
      <c r="CH432" s="697"/>
      <c r="CI432" s="697"/>
      <c r="CJ432" s="697"/>
      <c r="CK432" s="697"/>
      <c r="CL432" s="697"/>
      <c r="CM432" s="697"/>
      <c r="CN432" s="697"/>
      <c r="CO432" s="697"/>
      <c r="CP432" s="697"/>
      <c r="CQ432" s="697"/>
      <c r="CR432" s="697"/>
      <c r="CS432" s="697"/>
      <c r="CT432" s="697"/>
      <c r="CU432" s="697"/>
      <c r="CV432" s="697"/>
      <c r="CW432" s="697"/>
      <c r="CX432" s="697"/>
      <c r="CY432" s="697"/>
      <c r="CZ432" s="697"/>
      <c r="DA432" s="697"/>
    </row>
    <row r="433" spans="1:105" hidden="1" outlineLevel="1" x14ac:dyDescent="0.2">
      <c r="A433" s="709">
        <f t="shared" si="80"/>
        <v>39508</v>
      </c>
      <c r="B433" s="709" t="str">
        <f t="shared" si="77"/>
        <v>1Q08</v>
      </c>
      <c r="C433" s="709" t="str">
        <f t="shared" si="81"/>
        <v>2Q08</v>
      </c>
      <c r="D433" s="710">
        <f t="shared" si="84"/>
        <v>39584</v>
      </c>
      <c r="E433" s="710">
        <f t="shared" si="84"/>
        <v>39524</v>
      </c>
      <c r="F433" s="712">
        <v>3.9740000000000002</v>
      </c>
      <c r="G433" s="713">
        <f t="shared" si="78"/>
        <v>0.57000000000000028</v>
      </c>
      <c r="H433" s="713">
        <f t="shared" si="79"/>
        <v>0.57000000000000028</v>
      </c>
      <c r="I433" s="697"/>
      <c r="J433" s="697"/>
      <c r="K433" s="697"/>
      <c r="L433" s="697"/>
      <c r="M433" s="697"/>
      <c r="N433" s="697"/>
      <c r="O433" s="697"/>
      <c r="P433" s="697"/>
      <c r="Q433" s="697"/>
      <c r="R433" s="697"/>
      <c r="S433" s="697"/>
      <c r="T433" s="697"/>
      <c r="U433" s="697"/>
      <c r="V433" s="697"/>
      <c r="W433" s="697"/>
      <c r="X433" s="697"/>
      <c r="Y433" s="697"/>
      <c r="Z433" s="697"/>
      <c r="AA433" s="697"/>
      <c r="AB433" s="697"/>
      <c r="AC433" s="697"/>
      <c r="AD433" s="697"/>
      <c r="AE433" s="697"/>
      <c r="AF433" s="697"/>
      <c r="AG433" s="697"/>
      <c r="AH433" s="697"/>
      <c r="AI433" s="697"/>
      <c r="AJ433" s="697"/>
      <c r="AK433" s="697"/>
      <c r="AL433" s="697"/>
      <c r="AM433" s="697"/>
      <c r="AN433" s="697"/>
      <c r="AO433" s="697"/>
      <c r="AP433" s="697"/>
      <c r="AQ433" s="697"/>
      <c r="AR433" s="697"/>
      <c r="AS433" s="697"/>
      <c r="AT433" s="697"/>
      <c r="AU433" s="697"/>
      <c r="AV433" s="697"/>
      <c r="AW433" s="697"/>
      <c r="AX433" s="697"/>
      <c r="AY433" s="697"/>
      <c r="AZ433" s="697"/>
      <c r="BA433" s="697"/>
      <c r="BB433" s="697"/>
      <c r="BC433" s="697"/>
      <c r="BD433" s="697"/>
      <c r="BE433" s="697"/>
      <c r="BF433" s="697"/>
      <c r="BG433" s="697"/>
      <c r="BH433" s="697"/>
      <c r="BI433" s="697"/>
      <c r="BJ433" s="697"/>
      <c r="BK433" s="697"/>
      <c r="BL433" s="697"/>
      <c r="BM433" s="697"/>
      <c r="BN433" s="697"/>
      <c r="BO433" s="697"/>
      <c r="BP433" s="697"/>
      <c r="BQ433" s="697"/>
      <c r="BR433" s="697"/>
      <c r="BS433" s="697"/>
      <c r="BT433" s="697"/>
      <c r="BU433" s="697"/>
      <c r="BV433" s="697"/>
      <c r="BW433" s="697"/>
      <c r="BX433" s="697"/>
      <c r="BY433" s="697"/>
      <c r="BZ433" s="697"/>
      <c r="CA433" s="697"/>
      <c r="CB433" s="697"/>
      <c r="CC433" s="697"/>
      <c r="CD433" s="697"/>
      <c r="CE433" s="697"/>
      <c r="CF433" s="697"/>
      <c r="CG433" s="697"/>
      <c r="CH433" s="697"/>
      <c r="CI433" s="697"/>
      <c r="CJ433" s="697"/>
      <c r="CK433" s="697"/>
      <c r="CL433" s="697"/>
      <c r="CM433" s="697"/>
      <c r="CN433" s="697"/>
      <c r="CO433" s="697"/>
      <c r="CP433" s="697"/>
      <c r="CQ433" s="697"/>
      <c r="CR433" s="697"/>
      <c r="CS433" s="697"/>
      <c r="CT433" s="697"/>
      <c r="CU433" s="697"/>
      <c r="CV433" s="697"/>
      <c r="CW433" s="697"/>
      <c r="CX433" s="697"/>
      <c r="CY433" s="697"/>
      <c r="CZ433" s="697"/>
      <c r="DA433" s="697"/>
    </row>
    <row r="434" spans="1:105" hidden="1" outlineLevel="1" x14ac:dyDescent="0.2">
      <c r="A434" s="709">
        <f t="shared" si="80"/>
        <v>39508</v>
      </c>
      <c r="B434" s="709" t="str">
        <f t="shared" si="77"/>
        <v>1Q08</v>
      </c>
      <c r="C434" s="709" t="str">
        <f t="shared" si="81"/>
        <v>2Q08</v>
      </c>
      <c r="D434" s="710">
        <f t="shared" si="84"/>
        <v>39591</v>
      </c>
      <c r="E434" s="710">
        <f t="shared" si="84"/>
        <v>39531</v>
      </c>
      <c r="F434" s="712">
        <v>3.9889999999999999</v>
      </c>
      <c r="G434" s="713">
        <f t="shared" si="78"/>
        <v>0.57000000000000028</v>
      </c>
      <c r="H434" s="713">
        <f t="shared" si="79"/>
        <v>0.57000000000000028</v>
      </c>
      <c r="I434" s="697"/>
      <c r="J434" s="697"/>
      <c r="K434" s="697"/>
      <c r="L434" s="697"/>
      <c r="M434" s="697"/>
      <c r="N434" s="697"/>
      <c r="O434" s="697"/>
      <c r="P434" s="697"/>
      <c r="Q434" s="697"/>
      <c r="R434" s="697"/>
      <c r="S434" s="697"/>
      <c r="T434" s="697"/>
      <c r="U434" s="697"/>
      <c r="V434" s="697"/>
      <c r="W434" s="697"/>
      <c r="X434" s="697"/>
      <c r="Y434" s="697"/>
      <c r="Z434" s="697"/>
      <c r="AA434" s="697"/>
      <c r="AB434" s="697"/>
      <c r="AC434" s="697"/>
      <c r="AD434" s="697"/>
      <c r="AE434" s="697"/>
      <c r="AF434" s="697"/>
      <c r="AG434" s="697"/>
      <c r="AH434" s="697"/>
      <c r="AI434" s="697"/>
      <c r="AJ434" s="697"/>
      <c r="AK434" s="697"/>
      <c r="AL434" s="697"/>
      <c r="AM434" s="697"/>
      <c r="AN434" s="697"/>
      <c r="AO434" s="697"/>
      <c r="AP434" s="697"/>
      <c r="AQ434" s="697"/>
      <c r="AR434" s="697"/>
      <c r="AS434" s="697"/>
      <c r="AT434" s="697"/>
      <c r="AU434" s="697"/>
      <c r="AV434" s="697"/>
      <c r="AW434" s="697"/>
      <c r="AX434" s="697"/>
      <c r="AY434" s="697"/>
      <c r="AZ434" s="697"/>
      <c r="BA434" s="697"/>
      <c r="BB434" s="697"/>
      <c r="BC434" s="697"/>
      <c r="BD434" s="697"/>
      <c r="BE434" s="697"/>
      <c r="BF434" s="697"/>
      <c r="BG434" s="697"/>
      <c r="BH434" s="697"/>
      <c r="BI434" s="697"/>
      <c r="BJ434" s="697"/>
      <c r="BK434" s="697"/>
      <c r="BL434" s="697"/>
      <c r="BM434" s="697"/>
      <c r="BN434" s="697"/>
      <c r="BO434" s="697"/>
      <c r="BP434" s="697"/>
      <c r="BQ434" s="697"/>
      <c r="BR434" s="697"/>
      <c r="BS434" s="697"/>
      <c r="BT434" s="697"/>
      <c r="BU434" s="697"/>
      <c r="BV434" s="697"/>
      <c r="BW434" s="697"/>
      <c r="BX434" s="697"/>
      <c r="BY434" s="697"/>
      <c r="BZ434" s="697"/>
      <c r="CA434" s="697"/>
      <c r="CB434" s="697"/>
      <c r="CC434" s="697"/>
      <c r="CD434" s="697"/>
      <c r="CE434" s="697"/>
      <c r="CF434" s="697"/>
      <c r="CG434" s="697"/>
      <c r="CH434" s="697"/>
      <c r="CI434" s="697"/>
      <c r="CJ434" s="697"/>
      <c r="CK434" s="697"/>
      <c r="CL434" s="697"/>
      <c r="CM434" s="697"/>
      <c r="CN434" s="697"/>
      <c r="CO434" s="697"/>
      <c r="CP434" s="697"/>
      <c r="CQ434" s="697"/>
      <c r="CR434" s="697"/>
      <c r="CS434" s="697"/>
      <c r="CT434" s="697"/>
      <c r="CU434" s="697"/>
      <c r="CV434" s="697"/>
      <c r="CW434" s="697"/>
      <c r="CX434" s="697"/>
      <c r="CY434" s="697"/>
      <c r="CZ434" s="697"/>
      <c r="DA434" s="697"/>
    </row>
    <row r="435" spans="1:105" hidden="1" outlineLevel="1" x14ac:dyDescent="0.2">
      <c r="A435" s="709">
        <f t="shared" si="80"/>
        <v>39508</v>
      </c>
      <c r="B435" s="709" t="str">
        <f t="shared" si="77"/>
        <v>1Q08</v>
      </c>
      <c r="C435" s="709" t="str">
        <f t="shared" si="81"/>
        <v>2Q08</v>
      </c>
      <c r="D435" s="710">
        <f t="shared" si="84"/>
        <v>39598</v>
      </c>
      <c r="E435" s="710">
        <f t="shared" si="84"/>
        <v>39538</v>
      </c>
      <c r="F435" s="712">
        <v>3.964</v>
      </c>
      <c r="G435" s="713">
        <f t="shared" si="78"/>
        <v>0.57000000000000028</v>
      </c>
      <c r="H435" s="713">
        <f t="shared" si="79"/>
        <v>0.57000000000000028</v>
      </c>
      <c r="I435" s="697"/>
      <c r="J435" s="697"/>
      <c r="K435" s="697"/>
      <c r="L435" s="697"/>
      <c r="M435" s="697"/>
      <c r="N435" s="697"/>
      <c r="O435" s="697"/>
      <c r="P435" s="697"/>
      <c r="Q435" s="697"/>
      <c r="R435" s="697"/>
      <c r="S435" s="697"/>
      <c r="T435" s="697"/>
      <c r="U435" s="697"/>
      <c r="V435" s="697"/>
      <c r="W435" s="697"/>
      <c r="X435" s="697"/>
      <c r="Y435" s="697"/>
      <c r="Z435" s="697"/>
      <c r="AA435" s="697"/>
      <c r="AB435" s="697"/>
      <c r="AC435" s="697"/>
      <c r="AD435" s="697"/>
      <c r="AE435" s="697"/>
      <c r="AF435" s="697"/>
      <c r="AG435" s="697"/>
      <c r="AH435" s="697"/>
      <c r="AI435" s="697"/>
      <c r="AJ435" s="697"/>
      <c r="AK435" s="697"/>
      <c r="AL435" s="697"/>
      <c r="AM435" s="697"/>
      <c r="AN435" s="697"/>
      <c r="AO435" s="697"/>
      <c r="AP435" s="697"/>
      <c r="AQ435" s="697"/>
      <c r="AR435" s="697"/>
      <c r="AS435" s="697"/>
      <c r="AT435" s="697"/>
      <c r="AU435" s="697"/>
      <c r="AV435" s="697"/>
      <c r="AW435" s="697"/>
      <c r="AX435" s="697"/>
      <c r="AY435" s="697"/>
      <c r="AZ435" s="697"/>
      <c r="BA435" s="697"/>
      <c r="BB435" s="697"/>
      <c r="BC435" s="697"/>
      <c r="BD435" s="697"/>
      <c r="BE435" s="697"/>
      <c r="BF435" s="697"/>
      <c r="BG435" s="697"/>
      <c r="BH435" s="697"/>
      <c r="BI435" s="697"/>
      <c r="BJ435" s="697"/>
      <c r="BK435" s="697"/>
      <c r="BL435" s="697"/>
      <c r="BM435" s="697"/>
      <c r="BN435" s="697"/>
      <c r="BO435" s="697"/>
      <c r="BP435" s="697"/>
      <c r="BQ435" s="697"/>
      <c r="BR435" s="697"/>
      <c r="BS435" s="697"/>
      <c r="BT435" s="697"/>
      <c r="BU435" s="697"/>
      <c r="BV435" s="697"/>
      <c r="BW435" s="697"/>
      <c r="BX435" s="697"/>
      <c r="BY435" s="697"/>
      <c r="BZ435" s="697"/>
      <c r="CA435" s="697"/>
      <c r="CB435" s="697"/>
      <c r="CC435" s="697"/>
      <c r="CD435" s="697"/>
      <c r="CE435" s="697"/>
      <c r="CF435" s="697"/>
      <c r="CG435" s="697"/>
      <c r="CH435" s="697"/>
      <c r="CI435" s="697"/>
      <c r="CJ435" s="697"/>
      <c r="CK435" s="697"/>
      <c r="CL435" s="697"/>
      <c r="CM435" s="697"/>
      <c r="CN435" s="697"/>
      <c r="CO435" s="697"/>
      <c r="CP435" s="697"/>
      <c r="CQ435" s="697"/>
      <c r="CR435" s="697"/>
      <c r="CS435" s="697"/>
      <c r="CT435" s="697"/>
      <c r="CU435" s="697"/>
      <c r="CV435" s="697"/>
      <c r="CW435" s="697"/>
      <c r="CX435" s="697"/>
      <c r="CY435" s="697"/>
      <c r="CZ435" s="697"/>
      <c r="DA435" s="697"/>
    </row>
    <row r="436" spans="1:105" hidden="1" outlineLevel="1" x14ac:dyDescent="0.2">
      <c r="A436" s="709">
        <f t="shared" si="80"/>
        <v>39539</v>
      </c>
      <c r="B436" s="709" t="str">
        <f t="shared" si="77"/>
        <v>2Q08</v>
      </c>
      <c r="C436" s="709" t="str">
        <f t="shared" si="81"/>
        <v>2Q08</v>
      </c>
      <c r="D436" s="710">
        <f t="shared" si="84"/>
        <v>39605</v>
      </c>
      <c r="E436" s="710">
        <f t="shared" si="84"/>
        <v>39545</v>
      </c>
      <c r="F436" s="712">
        <v>3.9550000000000001</v>
      </c>
      <c r="G436" s="713">
        <f t="shared" si="78"/>
        <v>0.57000000000000028</v>
      </c>
      <c r="H436" s="713">
        <f t="shared" si="79"/>
        <v>0.5900000000000003</v>
      </c>
      <c r="I436" s="697"/>
      <c r="J436" s="697"/>
      <c r="K436" s="697"/>
      <c r="L436" s="697"/>
      <c r="M436" s="697"/>
      <c r="N436" s="697"/>
      <c r="O436" s="697"/>
      <c r="P436" s="697"/>
      <c r="Q436" s="697"/>
      <c r="R436" s="697"/>
      <c r="S436" s="697"/>
      <c r="T436" s="697"/>
      <c r="U436" s="697"/>
      <c r="V436" s="697"/>
      <c r="W436" s="697"/>
      <c r="X436" s="697"/>
      <c r="Y436" s="697"/>
      <c r="Z436" s="697"/>
      <c r="AA436" s="697"/>
      <c r="AB436" s="697"/>
      <c r="AC436" s="697"/>
      <c r="AD436" s="697"/>
      <c r="AE436" s="697"/>
      <c r="AF436" s="697"/>
      <c r="AG436" s="697"/>
      <c r="AH436" s="697"/>
      <c r="AI436" s="697"/>
      <c r="AJ436" s="697"/>
      <c r="AK436" s="697"/>
      <c r="AL436" s="697"/>
      <c r="AM436" s="697"/>
      <c r="AN436" s="697"/>
      <c r="AO436" s="697"/>
      <c r="AP436" s="697"/>
      <c r="AQ436" s="697"/>
      <c r="AR436" s="697"/>
      <c r="AS436" s="697"/>
      <c r="AT436" s="697"/>
      <c r="AU436" s="697"/>
      <c r="AV436" s="697"/>
      <c r="AW436" s="697"/>
      <c r="AX436" s="697"/>
      <c r="AY436" s="697"/>
      <c r="AZ436" s="697"/>
      <c r="BA436" s="697"/>
      <c r="BB436" s="697"/>
      <c r="BC436" s="697"/>
      <c r="BD436" s="697"/>
      <c r="BE436" s="697"/>
      <c r="BF436" s="697"/>
      <c r="BG436" s="697"/>
      <c r="BH436" s="697"/>
      <c r="BI436" s="697"/>
      <c r="BJ436" s="697"/>
      <c r="BK436" s="697"/>
      <c r="BL436" s="697"/>
      <c r="BM436" s="697"/>
      <c r="BN436" s="697"/>
      <c r="BO436" s="697"/>
      <c r="BP436" s="697"/>
      <c r="BQ436" s="697"/>
      <c r="BR436" s="697"/>
      <c r="BS436" s="697"/>
      <c r="BT436" s="697"/>
      <c r="BU436" s="697"/>
      <c r="BV436" s="697"/>
      <c r="BW436" s="697"/>
      <c r="BX436" s="697"/>
      <c r="BY436" s="697"/>
      <c r="BZ436" s="697"/>
      <c r="CA436" s="697"/>
      <c r="CB436" s="697"/>
      <c r="CC436" s="697"/>
      <c r="CD436" s="697"/>
      <c r="CE436" s="697"/>
      <c r="CF436" s="697"/>
      <c r="CG436" s="697"/>
      <c r="CH436" s="697"/>
      <c r="CI436" s="697"/>
      <c r="CJ436" s="697"/>
      <c r="CK436" s="697"/>
      <c r="CL436" s="697"/>
      <c r="CM436" s="697"/>
      <c r="CN436" s="697"/>
      <c r="CO436" s="697"/>
      <c r="CP436" s="697"/>
      <c r="CQ436" s="697"/>
      <c r="CR436" s="697"/>
      <c r="CS436" s="697"/>
      <c r="CT436" s="697"/>
      <c r="CU436" s="697"/>
      <c r="CV436" s="697"/>
      <c r="CW436" s="697"/>
      <c r="CX436" s="697"/>
      <c r="CY436" s="697"/>
      <c r="CZ436" s="697"/>
      <c r="DA436" s="697"/>
    </row>
    <row r="437" spans="1:105" hidden="1" outlineLevel="1" x14ac:dyDescent="0.2">
      <c r="A437" s="709">
        <f t="shared" si="80"/>
        <v>39539</v>
      </c>
      <c r="B437" s="709" t="str">
        <f t="shared" si="77"/>
        <v>2Q08</v>
      </c>
      <c r="C437" s="709" t="str">
        <f t="shared" si="81"/>
        <v>2Q08</v>
      </c>
      <c r="D437" s="710">
        <f t="shared" ref="D437:E452" si="85">D436+7</f>
        <v>39612</v>
      </c>
      <c r="E437" s="710">
        <f t="shared" si="85"/>
        <v>39552</v>
      </c>
      <c r="F437" s="712">
        <v>4.0590000000000002</v>
      </c>
      <c r="G437" s="713">
        <f t="shared" si="78"/>
        <v>0.5900000000000003</v>
      </c>
      <c r="H437" s="713">
        <f t="shared" si="79"/>
        <v>0.60000000000000031</v>
      </c>
      <c r="I437" s="697"/>
      <c r="J437" s="697"/>
      <c r="K437" s="697"/>
      <c r="L437" s="697"/>
      <c r="M437" s="697"/>
      <c r="N437" s="697"/>
      <c r="O437" s="697"/>
      <c r="P437" s="697"/>
      <c r="Q437" s="697"/>
      <c r="R437" s="697"/>
      <c r="S437" s="697"/>
      <c r="T437" s="697"/>
      <c r="U437" s="697"/>
      <c r="V437" s="697"/>
      <c r="W437" s="697"/>
      <c r="X437" s="697"/>
      <c r="Y437" s="697"/>
      <c r="Z437" s="697"/>
      <c r="AA437" s="697"/>
      <c r="AB437" s="697"/>
      <c r="AC437" s="697"/>
      <c r="AD437" s="697"/>
      <c r="AE437" s="697"/>
      <c r="AF437" s="697"/>
      <c r="AG437" s="697"/>
      <c r="AH437" s="697"/>
      <c r="AI437" s="697"/>
      <c r="AJ437" s="697"/>
      <c r="AK437" s="697"/>
      <c r="AL437" s="697"/>
      <c r="AM437" s="697"/>
      <c r="AN437" s="697"/>
      <c r="AO437" s="697"/>
      <c r="AP437" s="697"/>
      <c r="AQ437" s="697"/>
      <c r="AR437" s="697"/>
      <c r="AS437" s="697"/>
      <c r="AT437" s="697"/>
      <c r="AU437" s="697"/>
      <c r="AV437" s="697"/>
      <c r="AW437" s="697"/>
      <c r="AX437" s="697"/>
      <c r="AY437" s="697"/>
      <c r="AZ437" s="697"/>
      <c r="BA437" s="697"/>
      <c r="BB437" s="697"/>
      <c r="BC437" s="697"/>
      <c r="BD437" s="697"/>
      <c r="BE437" s="697"/>
      <c r="BF437" s="697"/>
      <c r="BG437" s="697"/>
      <c r="BH437" s="697"/>
      <c r="BI437" s="697"/>
      <c r="BJ437" s="697"/>
      <c r="BK437" s="697"/>
      <c r="BL437" s="697"/>
      <c r="BM437" s="697"/>
      <c r="BN437" s="697"/>
      <c r="BO437" s="697"/>
      <c r="BP437" s="697"/>
      <c r="BQ437" s="697"/>
      <c r="BR437" s="697"/>
      <c r="BS437" s="697"/>
      <c r="BT437" s="697"/>
      <c r="BU437" s="697"/>
      <c r="BV437" s="697"/>
      <c r="BW437" s="697"/>
      <c r="BX437" s="697"/>
      <c r="BY437" s="697"/>
      <c r="BZ437" s="697"/>
      <c r="CA437" s="697"/>
      <c r="CB437" s="697"/>
      <c r="CC437" s="697"/>
      <c r="CD437" s="697"/>
      <c r="CE437" s="697"/>
      <c r="CF437" s="697"/>
      <c r="CG437" s="697"/>
      <c r="CH437" s="697"/>
      <c r="CI437" s="697"/>
      <c r="CJ437" s="697"/>
      <c r="CK437" s="697"/>
      <c r="CL437" s="697"/>
      <c r="CM437" s="697"/>
      <c r="CN437" s="697"/>
      <c r="CO437" s="697"/>
      <c r="CP437" s="697"/>
      <c r="CQ437" s="697"/>
      <c r="CR437" s="697"/>
      <c r="CS437" s="697"/>
      <c r="CT437" s="697"/>
      <c r="CU437" s="697"/>
      <c r="CV437" s="697"/>
      <c r="CW437" s="697"/>
      <c r="CX437" s="697"/>
      <c r="CY437" s="697"/>
      <c r="CZ437" s="697"/>
      <c r="DA437" s="697"/>
    </row>
    <row r="438" spans="1:105" hidden="1" outlineLevel="1" x14ac:dyDescent="0.2">
      <c r="A438" s="709">
        <f t="shared" si="80"/>
        <v>39539</v>
      </c>
      <c r="B438" s="709" t="str">
        <f t="shared" si="77"/>
        <v>2Q08</v>
      </c>
      <c r="C438" s="709" t="str">
        <f t="shared" si="81"/>
        <v>2Q08</v>
      </c>
      <c r="D438" s="710">
        <f t="shared" si="85"/>
        <v>39619</v>
      </c>
      <c r="E438" s="710">
        <f t="shared" si="85"/>
        <v>39559</v>
      </c>
      <c r="F438" s="712">
        <v>4.1429999999999998</v>
      </c>
      <c r="G438" s="713">
        <f t="shared" si="78"/>
        <v>0.60000000000000031</v>
      </c>
      <c r="H438" s="713">
        <f t="shared" si="79"/>
        <v>0.61000000000000032</v>
      </c>
      <c r="I438" s="697"/>
      <c r="J438" s="697"/>
      <c r="K438" s="697"/>
      <c r="L438" s="697"/>
      <c r="M438" s="697"/>
      <c r="N438" s="697"/>
      <c r="O438" s="697"/>
      <c r="P438" s="697"/>
      <c r="Q438" s="697"/>
      <c r="R438" s="697"/>
      <c r="S438" s="697"/>
      <c r="T438" s="697"/>
      <c r="U438" s="697"/>
      <c r="V438" s="697"/>
      <c r="W438" s="697"/>
      <c r="X438" s="697"/>
      <c r="Y438" s="697"/>
      <c r="Z438" s="697"/>
      <c r="AA438" s="697"/>
      <c r="AB438" s="697"/>
      <c r="AC438" s="697"/>
      <c r="AD438" s="697"/>
      <c r="AE438" s="697"/>
      <c r="AF438" s="697"/>
      <c r="AG438" s="697"/>
      <c r="AH438" s="697"/>
      <c r="AI438" s="697"/>
      <c r="AJ438" s="697"/>
      <c r="AK438" s="697"/>
      <c r="AL438" s="697"/>
      <c r="AM438" s="697"/>
      <c r="AN438" s="697"/>
      <c r="AO438" s="697"/>
      <c r="AP438" s="697"/>
      <c r="AQ438" s="697"/>
      <c r="AR438" s="697"/>
      <c r="AS438" s="697"/>
      <c r="AT438" s="697"/>
      <c r="AU438" s="697"/>
      <c r="AV438" s="697"/>
      <c r="AW438" s="697"/>
      <c r="AX438" s="697"/>
      <c r="AY438" s="697"/>
      <c r="AZ438" s="697"/>
      <c r="BA438" s="697"/>
      <c r="BB438" s="697"/>
      <c r="BC438" s="697"/>
      <c r="BD438" s="697"/>
      <c r="BE438" s="697"/>
      <c r="BF438" s="697"/>
      <c r="BG438" s="697"/>
      <c r="BH438" s="697"/>
      <c r="BI438" s="697"/>
      <c r="BJ438" s="697"/>
      <c r="BK438" s="697"/>
      <c r="BL438" s="697"/>
      <c r="BM438" s="697"/>
      <c r="BN438" s="697"/>
      <c r="BO438" s="697"/>
      <c r="BP438" s="697"/>
      <c r="BQ438" s="697"/>
      <c r="BR438" s="697"/>
      <c r="BS438" s="697"/>
      <c r="BT438" s="697"/>
      <c r="BU438" s="697"/>
      <c r="BV438" s="697"/>
      <c r="BW438" s="697"/>
      <c r="BX438" s="697"/>
      <c r="BY438" s="697"/>
      <c r="BZ438" s="697"/>
      <c r="CA438" s="697"/>
      <c r="CB438" s="697"/>
      <c r="CC438" s="697"/>
      <c r="CD438" s="697"/>
      <c r="CE438" s="697"/>
      <c r="CF438" s="697"/>
      <c r="CG438" s="697"/>
      <c r="CH438" s="697"/>
      <c r="CI438" s="697"/>
      <c r="CJ438" s="697"/>
      <c r="CK438" s="697"/>
      <c r="CL438" s="697"/>
      <c r="CM438" s="697"/>
      <c r="CN438" s="697"/>
      <c r="CO438" s="697"/>
      <c r="CP438" s="697"/>
      <c r="CQ438" s="697"/>
      <c r="CR438" s="697"/>
      <c r="CS438" s="697"/>
      <c r="CT438" s="697"/>
      <c r="CU438" s="697"/>
      <c r="CV438" s="697"/>
      <c r="CW438" s="697"/>
      <c r="CX438" s="697"/>
      <c r="CY438" s="697"/>
      <c r="CZ438" s="697"/>
      <c r="DA438" s="697"/>
    </row>
    <row r="439" spans="1:105" hidden="1" outlineLevel="1" x14ac:dyDescent="0.2">
      <c r="A439" s="709">
        <f t="shared" si="80"/>
        <v>39539</v>
      </c>
      <c r="B439" s="709" t="str">
        <f t="shared" si="77"/>
        <v>2Q08</v>
      </c>
      <c r="C439" s="709" t="str">
        <f t="shared" si="81"/>
        <v>2Q08</v>
      </c>
      <c r="D439" s="710">
        <f t="shared" si="85"/>
        <v>39626</v>
      </c>
      <c r="E439" s="710">
        <f t="shared" si="85"/>
        <v>39566</v>
      </c>
      <c r="F439" s="712">
        <v>4.1769999999999996</v>
      </c>
      <c r="G439" s="713">
        <f t="shared" si="78"/>
        <v>0.61000000000000032</v>
      </c>
      <c r="H439" s="713">
        <f t="shared" si="79"/>
        <v>0.60000000000000031</v>
      </c>
      <c r="I439" s="697"/>
      <c r="J439" s="697"/>
      <c r="K439" s="697"/>
      <c r="L439" s="697"/>
      <c r="M439" s="697"/>
      <c r="N439" s="697"/>
      <c r="O439" s="697"/>
      <c r="P439" s="697"/>
      <c r="Q439" s="697"/>
      <c r="R439" s="697"/>
      <c r="S439" s="697"/>
      <c r="T439" s="697"/>
      <c r="U439" s="697"/>
      <c r="V439" s="697"/>
      <c r="W439" s="697"/>
      <c r="X439" s="697"/>
      <c r="Y439" s="697"/>
      <c r="Z439" s="697"/>
      <c r="AA439" s="697"/>
      <c r="AB439" s="697"/>
      <c r="AC439" s="697"/>
      <c r="AD439" s="697"/>
      <c r="AE439" s="697"/>
      <c r="AF439" s="697"/>
      <c r="AG439" s="697"/>
      <c r="AH439" s="697"/>
      <c r="AI439" s="697"/>
      <c r="AJ439" s="697"/>
      <c r="AK439" s="697"/>
      <c r="AL439" s="697"/>
      <c r="AM439" s="697"/>
      <c r="AN439" s="697"/>
      <c r="AO439" s="697"/>
      <c r="AP439" s="697"/>
      <c r="AQ439" s="697"/>
      <c r="AR439" s="697"/>
      <c r="AS439" s="697"/>
      <c r="AT439" s="697"/>
      <c r="AU439" s="697"/>
      <c r="AV439" s="697"/>
      <c r="AW439" s="697"/>
      <c r="AX439" s="697"/>
      <c r="AY439" s="697"/>
      <c r="AZ439" s="697"/>
      <c r="BA439" s="697"/>
      <c r="BB439" s="697"/>
      <c r="BC439" s="697"/>
      <c r="BD439" s="697"/>
      <c r="BE439" s="697"/>
      <c r="BF439" s="697"/>
      <c r="BG439" s="697"/>
      <c r="BH439" s="697"/>
      <c r="BI439" s="697"/>
      <c r="BJ439" s="697"/>
      <c r="BK439" s="697"/>
      <c r="BL439" s="697"/>
      <c r="BM439" s="697"/>
      <c r="BN439" s="697"/>
      <c r="BO439" s="697"/>
      <c r="BP439" s="697"/>
      <c r="BQ439" s="697"/>
      <c r="BR439" s="697"/>
      <c r="BS439" s="697"/>
      <c r="BT439" s="697"/>
      <c r="BU439" s="697"/>
      <c r="BV439" s="697"/>
      <c r="BW439" s="697"/>
      <c r="BX439" s="697"/>
      <c r="BY439" s="697"/>
      <c r="BZ439" s="697"/>
      <c r="CA439" s="697"/>
      <c r="CB439" s="697"/>
      <c r="CC439" s="697"/>
      <c r="CD439" s="697"/>
      <c r="CE439" s="697"/>
      <c r="CF439" s="697"/>
      <c r="CG439" s="697"/>
      <c r="CH439" s="697"/>
      <c r="CI439" s="697"/>
      <c r="CJ439" s="697"/>
      <c r="CK439" s="697"/>
      <c r="CL439" s="697"/>
      <c r="CM439" s="697"/>
      <c r="CN439" s="697"/>
      <c r="CO439" s="697"/>
      <c r="CP439" s="697"/>
      <c r="CQ439" s="697"/>
      <c r="CR439" s="697"/>
      <c r="CS439" s="697"/>
      <c r="CT439" s="697"/>
      <c r="CU439" s="697"/>
      <c r="CV439" s="697"/>
      <c r="CW439" s="697"/>
      <c r="CX439" s="697"/>
      <c r="CY439" s="697"/>
      <c r="CZ439" s="697"/>
      <c r="DA439" s="697"/>
    </row>
    <row r="440" spans="1:105" hidden="1" outlineLevel="1" x14ac:dyDescent="0.2">
      <c r="A440" s="709">
        <f t="shared" si="80"/>
        <v>39569</v>
      </c>
      <c r="B440" s="709" t="str">
        <f t="shared" si="77"/>
        <v>2Q08</v>
      </c>
      <c r="C440" s="709" t="str">
        <f t="shared" si="81"/>
        <v>3Q08</v>
      </c>
      <c r="D440" s="710">
        <f t="shared" si="85"/>
        <v>39633</v>
      </c>
      <c r="E440" s="710">
        <f t="shared" si="85"/>
        <v>39573</v>
      </c>
      <c r="F440" s="712">
        <v>4.149</v>
      </c>
      <c r="G440" s="713">
        <f t="shared" si="78"/>
        <v>0.60000000000000031</v>
      </c>
      <c r="H440" s="713">
        <f t="shared" si="79"/>
        <v>0.64000000000000035</v>
      </c>
      <c r="I440" s="697"/>
      <c r="J440" s="697"/>
      <c r="K440" s="697"/>
      <c r="L440" s="697"/>
      <c r="M440" s="697"/>
      <c r="N440" s="697"/>
      <c r="O440" s="697"/>
      <c r="P440" s="697"/>
      <c r="Q440" s="697"/>
      <c r="R440" s="697"/>
      <c r="S440" s="697"/>
      <c r="T440" s="697"/>
      <c r="U440" s="697"/>
      <c r="V440" s="697"/>
      <c r="W440" s="697"/>
      <c r="X440" s="697"/>
      <c r="Y440" s="697"/>
      <c r="Z440" s="697"/>
      <c r="AA440" s="697"/>
      <c r="AB440" s="697"/>
      <c r="AC440" s="697"/>
      <c r="AD440" s="697"/>
      <c r="AE440" s="697"/>
      <c r="AF440" s="697"/>
      <c r="AG440" s="697"/>
      <c r="AH440" s="697"/>
      <c r="AI440" s="697"/>
      <c r="AJ440" s="697"/>
      <c r="AK440" s="697"/>
      <c r="AL440" s="697"/>
      <c r="AM440" s="697"/>
      <c r="AN440" s="697"/>
      <c r="AO440" s="697"/>
      <c r="AP440" s="697"/>
      <c r="AQ440" s="697"/>
      <c r="AR440" s="697"/>
      <c r="AS440" s="697"/>
      <c r="AT440" s="697"/>
      <c r="AU440" s="697"/>
      <c r="AV440" s="697"/>
      <c r="AW440" s="697"/>
      <c r="AX440" s="697"/>
      <c r="AY440" s="697"/>
      <c r="AZ440" s="697"/>
      <c r="BA440" s="697"/>
      <c r="BB440" s="697"/>
      <c r="BC440" s="697"/>
      <c r="BD440" s="697"/>
      <c r="BE440" s="697"/>
      <c r="BF440" s="697"/>
      <c r="BG440" s="697"/>
      <c r="BH440" s="697"/>
      <c r="BI440" s="697"/>
      <c r="BJ440" s="697"/>
      <c r="BK440" s="697"/>
      <c r="BL440" s="697"/>
      <c r="BM440" s="697"/>
      <c r="BN440" s="697"/>
      <c r="BO440" s="697"/>
      <c r="BP440" s="697"/>
      <c r="BQ440" s="697"/>
      <c r="BR440" s="697"/>
      <c r="BS440" s="697"/>
      <c r="BT440" s="697"/>
      <c r="BU440" s="697"/>
      <c r="BV440" s="697"/>
      <c r="BW440" s="697"/>
      <c r="BX440" s="697"/>
      <c r="BY440" s="697"/>
      <c r="BZ440" s="697"/>
      <c r="CA440" s="697"/>
      <c r="CB440" s="697"/>
      <c r="CC440" s="697"/>
      <c r="CD440" s="697"/>
      <c r="CE440" s="697"/>
      <c r="CF440" s="697"/>
      <c r="CG440" s="697"/>
      <c r="CH440" s="697"/>
      <c r="CI440" s="697"/>
      <c r="CJ440" s="697"/>
      <c r="CK440" s="697"/>
      <c r="CL440" s="697"/>
      <c r="CM440" s="697"/>
      <c r="CN440" s="697"/>
      <c r="CO440" s="697"/>
      <c r="CP440" s="697"/>
      <c r="CQ440" s="697"/>
      <c r="CR440" s="697"/>
      <c r="CS440" s="697"/>
      <c r="CT440" s="697"/>
      <c r="CU440" s="697"/>
      <c r="CV440" s="697"/>
      <c r="CW440" s="697"/>
      <c r="CX440" s="697"/>
      <c r="CY440" s="697"/>
      <c r="CZ440" s="697"/>
      <c r="DA440" s="697"/>
    </row>
    <row r="441" spans="1:105" hidden="1" outlineLevel="1" x14ac:dyDescent="0.2">
      <c r="A441" s="709">
        <f t="shared" si="80"/>
        <v>39569</v>
      </c>
      <c r="B441" s="709" t="str">
        <f t="shared" si="77"/>
        <v>2Q08</v>
      </c>
      <c r="C441" s="709" t="str">
        <f t="shared" si="81"/>
        <v>3Q08</v>
      </c>
      <c r="D441" s="710">
        <f t="shared" si="85"/>
        <v>39640</v>
      </c>
      <c r="E441" s="710">
        <f t="shared" si="85"/>
        <v>39580</v>
      </c>
      <c r="F441" s="712">
        <v>4.3310000000000004</v>
      </c>
      <c r="G441" s="713">
        <f t="shared" si="78"/>
        <v>0.64000000000000035</v>
      </c>
      <c r="H441" s="713">
        <f t="shared" si="79"/>
        <v>0.67000000000000037</v>
      </c>
      <c r="I441" s="697"/>
      <c r="J441" s="697"/>
      <c r="K441" s="697"/>
      <c r="L441" s="697"/>
      <c r="M441" s="697"/>
      <c r="N441" s="697"/>
      <c r="O441" s="697"/>
      <c r="P441" s="697"/>
      <c r="Q441" s="697"/>
      <c r="R441" s="697"/>
      <c r="S441" s="697"/>
      <c r="T441" s="697"/>
      <c r="U441" s="697"/>
      <c r="V441" s="697"/>
      <c r="W441" s="697"/>
      <c r="X441" s="697"/>
      <c r="Y441" s="697"/>
      <c r="Z441" s="697"/>
      <c r="AA441" s="697"/>
      <c r="AB441" s="697"/>
      <c r="AC441" s="697"/>
      <c r="AD441" s="697"/>
      <c r="AE441" s="697"/>
      <c r="AF441" s="697"/>
      <c r="AG441" s="697"/>
      <c r="AH441" s="697"/>
      <c r="AI441" s="697"/>
      <c r="AJ441" s="697"/>
      <c r="AK441" s="697"/>
      <c r="AL441" s="697"/>
      <c r="AM441" s="697"/>
      <c r="AN441" s="697"/>
      <c r="AO441" s="697"/>
      <c r="AP441" s="697"/>
      <c r="AQ441" s="697"/>
      <c r="AR441" s="697"/>
      <c r="AS441" s="697"/>
      <c r="AT441" s="697"/>
      <c r="AU441" s="697"/>
      <c r="AV441" s="697"/>
      <c r="AW441" s="697"/>
      <c r="AX441" s="697"/>
      <c r="AY441" s="697"/>
      <c r="AZ441" s="697"/>
      <c r="BA441" s="697"/>
      <c r="BB441" s="697"/>
      <c r="BC441" s="697"/>
      <c r="BD441" s="697"/>
      <c r="BE441" s="697"/>
      <c r="BF441" s="697"/>
      <c r="BG441" s="697"/>
      <c r="BH441" s="697"/>
      <c r="BI441" s="697"/>
      <c r="BJ441" s="697"/>
      <c r="BK441" s="697"/>
      <c r="BL441" s="697"/>
      <c r="BM441" s="697"/>
      <c r="BN441" s="697"/>
      <c r="BO441" s="697"/>
      <c r="BP441" s="697"/>
      <c r="BQ441" s="697"/>
      <c r="BR441" s="697"/>
      <c r="BS441" s="697"/>
      <c r="BT441" s="697"/>
      <c r="BU441" s="697"/>
      <c r="BV441" s="697"/>
      <c r="BW441" s="697"/>
      <c r="BX441" s="697"/>
      <c r="BY441" s="697"/>
      <c r="BZ441" s="697"/>
      <c r="CA441" s="697"/>
      <c r="CB441" s="697"/>
      <c r="CC441" s="697"/>
      <c r="CD441" s="697"/>
      <c r="CE441" s="697"/>
      <c r="CF441" s="697"/>
      <c r="CG441" s="697"/>
      <c r="CH441" s="697"/>
      <c r="CI441" s="697"/>
      <c r="CJ441" s="697"/>
      <c r="CK441" s="697"/>
      <c r="CL441" s="697"/>
      <c r="CM441" s="697"/>
      <c r="CN441" s="697"/>
      <c r="CO441" s="697"/>
      <c r="CP441" s="697"/>
      <c r="CQ441" s="697"/>
      <c r="CR441" s="697"/>
      <c r="CS441" s="697"/>
      <c r="CT441" s="697"/>
      <c r="CU441" s="697"/>
      <c r="CV441" s="697"/>
      <c r="CW441" s="697"/>
      <c r="CX441" s="697"/>
      <c r="CY441" s="697"/>
      <c r="CZ441" s="697"/>
      <c r="DA441" s="697"/>
    </row>
    <row r="442" spans="1:105" hidden="1" outlineLevel="1" x14ac:dyDescent="0.2">
      <c r="A442" s="709">
        <f t="shared" si="80"/>
        <v>39569</v>
      </c>
      <c r="B442" s="709" t="str">
        <f t="shared" si="77"/>
        <v>2Q08</v>
      </c>
      <c r="C442" s="709" t="str">
        <f t="shared" si="81"/>
        <v>3Q08</v>
      </c>
      <c r="D442" s="710">
        <f t="shared" si="85"/>
        <v>39647</v>
      </c>
      <c r="E442" s="710">
        <f t="shared" si="85"/>
        <v>39587</v>
      </c>
      <c r="F442" s="712">
        <v>4.4969999999999999</v>
      </c>
      <c r="G442" s="713">
        <f t="shared" si="78"/>
        <v>0.67000000000000037</v>
      </c>
      <c r="H442" s="713">
        <f t="shared" si="79"/>
        <v>0.72000000000000042</v>
      </c>
      <c r="I442" s="697"/>
      <c r="J442" s="697"/>
      <c r="K442" s="697"/>
      <c r="L442" s="697"/>
      <c r="M442" s="697"/>
      <c r="N442" s="697"/>
      <c r="O442" s="697"/>
      <c r="P442" s="697"/>
      <c r="Q442" s="697"/>
      <c r="R442" s="697"/>
      <c r="S442" s="697"/>
      <c r="T442" s="697"/>
      <c r="U442" s="697"/>
      <c r="V442" s="697"/>
      <c r="W442" s="697"/>
      <c r="X442" s="697"/>
      <c r="Y442" s="697"/>
      <c r="Z442" s="697"/>
      <c r="AA442" s="697"/>
      <c r="AB442" s="697"/>
      <c r="AC442" s="697"/>
      <c r="AD442" s="697"/>
      <c r="AE442" s="697"/>
      <c r="AF442" s="697"/>
      <c r="AG442" s="697"/>
      <c r="AH442" s="697"/>
      <c r="AI442" s="697"/>
      <c r="AJ442" s="697"/>
      <c r="AK442" s="697"/>
      <c r="AL442" s="697"/>
      <c r="AM442" s="697"/>
      <c r="AN442" s="697"/>
      <c r="AO442" s="697"/>
      <c r="AP442" s="697"/>
      <c r="AQ442" s="697"/>
      <c r="AR442" s="697"/>
      <c r="AS442" s="697"/>
      <c r="AT442" s="697"/>
      <c r="AU442" s="697"/>
      <c r="AV442" s="697"/>
      <c r="AW442" s="697"/>
      <c r="AX442" s="697"/>
      <c r="AY442" s="697"/>
      <c r="AZ442" s="697"/>
      <c r="BA442" s="697"/>
      <c r="BB442" s="697"/>
      <c r="BC442" s="697"/>
      <c r="BD442" s="697"/>
      <c r="BE442" s="697"/>
      <c r="BF442" s="697"/>
      <c r="BG442" s="697"/>
      <c r="BH442" s="697"/>
      <c r="BI442" s="697"/>
      <c r="BJ442" s="697"/>
      <c r="BK442" s="697"/>
      <c r="BL442" s="697"/>
      <c r="BM442" s="697"/>
      <c r="BN442" s="697"/>
      <c r="BO442" s="697"/>
      <c r="BP442" s="697"/>
      <c r="BQ442" s="697"/>
      <c r="BR442" s="697"/>
      <c r="BS442" s="697"/>
      <c r="BT442" s="697"/>
      <c r="BU442" s="697"/>
      <c r="BV442" s="697"/>
      <c r="BW442" s="697"/>
      <c r="BX442" s="697"/>
      <c r="BY442" s="697"/>
      <c r="BZ442" s="697"/>
      <c r="CA442" s="697"/>
      <c r="CB442" s="697"/>
      <c r="CC442" s="697"/>
      <c r="CD442" s="697"/>
      <c r="CE442" s="697"/>
      <c r="CF442" s="697"/>
      <c r="CG442" s="697"/>
      <c r="CH442" s="697"/>
      <c r="CI442" s="697"/>
      <c r="CJ442" s="697"/>
      <c r="CK442" s="697"/>
      <c r="CL442" s="697"/>
      <c r="CM442" s="697"/>
      <c r="CN442" s="697"/>
      <c r="CO442" s="697"/>
      <c r="CP442" s="697"/>
      <c r="CQ442" s="697"/>
      <c r="CR442" s="697"/>
      <c r="CS442" s="697"/>
      <c r="CT442" s="697"/>
      <c r="CU442" s="697"/>
      <c r="CV442" s="697"/>
      <c r="CW442" s="697"/>
      <c r="CX442" s="697"/>
      <c r="CY442" s="697"/>
      <c r="CZ442" s="697"/>
      <c r="DA442" s="697"/>
    </row>
    <row r="443" spans="1:105" hidden="1" outlineLevel="1" x14ac:dyDescent="0.2">
      <c r="A443" s="709">
        <f t="shared" si="80"/>
        <v>39569</v>
      </c>
      <c r="B443" s="709" t="str">
        <f t="shared" si="77"/>
        <v>2Q08</v>
      </c>
      <c r="C443" s="709" t="str">
        <f t="shared" si="81"/>
        <v>3Q08</v>
      </c>
      <c r="D443" s="710">
        <f t="shared" si="85"/>
        <v>39654</v>
      </c>
      <c r="E443" s="710">
        <f t="shared" si="85"/>
        <v>39594</v>
      </c>
      <c r="F443" s="712">
        <v>4.7229999999999999</v>
      </c>
      <c r="G443" s="713">
        <f t="shared" si="78"/>
        <v>0.72000000000000042</v>
      </c>
      <c r="H443" s="713">
        <f t="shared" si="79"/>
        <v>0.72000000000000042</v>
      </c>
      <c r="I443" s="697"/>
      <c r="J443" s="697"/>
      <c r="K443" s="697"/>
      <c r="L443" s="697"/>
      <c r="M443" s="697"/>
      <c r="N443" s="697"/>
      <c r="O443" s="697"/>
      <c r="P443" s="697"/>
      <c r="Q443" s="697"/>
      <c r="R443" s="697"/>
      <c r="S443" s="697"/>
      <c r="T443" s="697"/>
      <c r="U443" s="697"/>
      <c r="V443" s="697"/>
      <c r="W443" s="697"/>
      <c r="X443" s="697"/>
      <c r="Y443" s="697"/>
      <c r="Z443" s="697"/>
      <c r="AA443" s="697"/>
      <c r="AB443" s="697"/>
      <c r="AC443" s="697"/>
      <c r="AD443" s="697"/>
      <c r="AE443" s="697"/>
      <c r="AF443" s="697"/>
      <c r="AG443" s="697"/>
      <c r="AH443" s="697"/>
      <c r="AI443" s="697"/>
      <c r="AJ443" s="697"/>
      <c r="AK443" s="697"/>
      <c r="AL443" s="697"/>
      <c r="AM443" s="697"/>
      <c r="AN443" s="697"/>
      <c r="AO443" s="697"/>
      <c r="AP443" s="697"/>
      <c r="AQ443" s="697"/>
      <c r="AR443" s="697"/>
      <c r="AS443" s="697"/>
      <c r="AT443" s="697"/>
      <c r="AU443" s="697"/>
      <c r="AV443" s="697"/>
      <c r="AW443" s="697"/>
      <c r="AX443" s="697"/>
      <c r="AY443" s="697"/>
      <c r="AZ443" s="697"/>
      <c r="BA443" s="697"/>
      <c r="BB443" s="697"/>
      <c r="BC443" s="697"/>
      <c r="BD443" s="697"/>
      <c r="BE443" s="697"/>
      <c r="BF443" s="697"/>
      <c r="BG443" s="697"/>
      <c r="BH443" s="697"/>
      <c r="BI443" s="697"/>
      <c r="BJ443" s="697"/>
      <c r="BK443" s="697"/>
      <c r="BL443" s="697"/>
      <c r="BM443" s="697"/>
      <c r="BN443" s="697"/>
      <c r="BO443" s="697"/>
      <c r="BP443" s="697"/>
      <c r="BQ443" s="697"/>
      <c r="BR443" s="697"/>
      <c r="BS443" s="697"/>
      <c r="BT443" s="697"/>
      <c r="BU443" s="697"/>
      <c r="BV443" s="697"/>
      <c r="BW443" s="697"/>
      <c r="BX443" s="697"/>
      <c r="BY443" s="697"/>
      <c r="BZ443" s="697"/>
      <c r="CA443" s="697"/>
      <c r="CB443" s="697"/>
      <c r="CC443" s="697"/>
      <c r="CD443" s="697"/>
      <c r="CE443" s="697"/>
      <c r="CF443" s="697"/>
      <c r="CG443" s="697"/>
      <c r="CH443" s="697"/>
      <c r="CI443" s="697"/>
      <c r="CJ443" s="697"/>
      <c r="CK443" s="697"/>
      <c r="CL443" s="697"/>
      <c r="CM443" s="697"/>
      <c r="CN443" s="697"/>
      <c r="CO443" s="697"/>
      <c r="CP443" s="697"/>
      <c r="CQ443" s="697"/>
      <c r="CR443" s="697"/>
      <c r="CS443" s="697"/>
      <c r="CT443" s="697"/>
      <c r="CU443" s="697"/>
      <c r="CV443" s="697"/>
      <c r="CW443" s="697"/>
      <c r="CX443" s="697"/>
      <c r="CY443" s="697"/>
      <c r="CZ443" s="697"/>
      <c r="DA443" s="697"/>
    </row>
    <row r="444" spans="1:105" hidden="1" outlineLevel="1" x14ac:dyDescent="0.2">
      <c r="A444" s="709">
        <f t="shared" si="80"/>
        <v>39600</v>
      </c>
      <c r="B444" s="709" t="str">
        <f t="shared" si="77"/>
        <v>2Q08</v>
      </c>
      <c r="C444" s="709" t="str">
        <f t="shared" si="81"/>
        <v>3Q08</v>
      </c>
      <c r="D444" s="710">
        <f t="shared" si="85"/>
        <v>39661</v>
      </c>
      <c r="E444" s="710">
        <f t="shared" si="85"/>
        <v>39601</v>
      </c>
      <c r="F444" s="712">
        <v>4.7069999999999999</v>
      </c>
      <c r="G444" s="713">
        <f t="shared" si="78"/>
        <v>0.72000000000000042</v>
      </c>
      <c r="H444" s="713">
        <f t="shared" si="79"/>
        <v>0.71000000000000041</v>
      </c>
      <c r="I444" s="697"/>
      <c r="J444" s="697"/>
      <c r="K444" s="697"/>
      <c r="L444" s="697"/>
      <c r="M444" s="697"/>
      <c r="N444" s="697"/>
      <c r="O444" s="697"/>
      <c r="P444" s="697"/>
      <c r="Q444" s="697"/>
      <c r="R444" s="697"/>
      <c r="S444" s="697"/>
      <c r="T444" s="697"/>
      <c r="U444" s="697"/>
      <c r="V444" s="697"/>
      <c r="W444" s="697"/>
      <c r="X444" s="697"/>
      <c r="Y444" s="697"/>
      <c r="Z444" s="697"/>
      <c r="AA444" s="697"/>
      <c r="AB444" s="697"/>
      <c r="AC444" s="697"/>
      <c r="AD444" s="697"/>
      <c r="AE444" s="697"/>
      <c r="AF444" s="697"/>
      <c r="AG444" s="697"/>
      <c r="AH444" s="697"/>
      <c r="AI444" s="697"/>
      <c r="AJ444" s="697"/>
      <c r="AK444" s="697"/>
      <c r="AL444" s="697"/>
      <c r="AM444" s="697"/>
      <c r="AN444" s="697"/>
      <c r="AO444" s="697"/>
      <c r="AP444" s="697"/>
      <c r="AQ444" s="697"/>
      <c r="AR444" s="697"/>
      <c r="AS444" s="697"/>
      <c r="AT444" s="697"/>
      <c r="AU444" s="697"/>
      <c r="AV444" s="697"/>
      <c r="AW444" s="697"/>
      <c r="AX444" s="697"/>
      <c r="AY444" s="697"/>
      <c r="AZ444" s="697"/>
      <c r="BA444" s="697"/>
      <c r="BB444" s="697"/>
      <c r="BC444" s="697"/>
      <c r="BD444" s="697"/>
      <c r="BE444" s="697"/>
      <c r="BF444" s="697"/>
      <c r="BG444" s="697"/>
      <c r="BH444" s="697"/>
      <c r="BI444" s="697"/>
      <c r="BJ444" s="697"/>
      <c r="BK444" s="697"/>
      <c r="BL444" s="697"/>
      <c r="BM444" s="697"/>
      <c r="BN444" s="697"/>
      <c r="BO444" s="697"/>
      <c r="BP444" s="697"/>
      <c r="BQ444" s="697"/>
      <c r="BR444" s="697"/>
      <c r="BS444" s="697"/>
      <c r="BT444" s="697"/>
      <c r="BU444" s="697"/>
      <c r="BV444" s="697"/>
      <c r="BW444" s="697"/>
      <c r="BX444" s="697"/>
      <c r="BY444" s="697"/>
      <c r="BZ444" s="697"/>
      <c r="CA444" s="697"/>
      <c r="CB444" s="697"/>
      <c r="CC444" s="697"/>
      <c r="CD444" s="697"/>
      <c r="CE444" s="697"/>
      <c r="CF444" s="697"/>
      <c r="CG444" s="697"/>
      <c r="CH444" s="697"/>
      <c r="CI444" s="697"/>
      <c r="CJ444" s="697"/>
      <c r="CK444" s="697"/>
      <c r="CL444" s="697"/>
      <c r="CM444" s="697"/>
      <c r="CN444" s="697"/>
      <c r="CO444" s="697"/>
      <c r="CP444" s="697"/>
      <c r="CQ444" s="697"/>
      <c r="CR444" s="697"/>
      <c r="CS444" s="697"/>
      <c r="CT444" s="697"/>
      <c r="CU444" s="697"/>
      <c r="CV444" s="697"/>
      <c r="CW444" s="697"/>
      <c r="CX444" s="697"/>
      <c r="CY444" s="697"/>
      <c r="CZ444" s="697"/>
      <c r="DA444" s="697"/>
    </row>
    <row r="445" spans="1:105" hidden="1" outlineLevel="1" x14ac:dyDescent="0.2">
      <c r="A445" s="709">
        <f t="shared" si="80"/>
        <v>39600</v>
      </c>
      <c r="B445" s="709" t="str">
        <f t="shared" si="77"/>
        <v>2Q08</v>
      </c>
      <c r="C445" s="709" t="str">
        <f t="shared" si="81"/>
        <v>3Q08</v>
      </c>
      <c r="D445" s="710">
        <f t="shared" si="85"/>
        <v>39668</v>
      </c>
      <c r="E445" s="710">
        <f t="shared" si="85"/>
        <v>39608</v>
      </c>
      <c r="F445" s="712">
        <v>4.6920000000000002</v>
      </c>
      <c r="G445" s="713">
        <f t="shared" si="78"/>
        <v>0.71000000000000041</v>
      </c>
      <c r="H445" s="713">
        <f t="shared" si="79"/>
        <v>0.71000000000000041</v>
      </c>
      <c r="I445" s="697"/>
      <c r="J445" s="697"/>
      <c r="K445" s="697"/>
      <c r="L445" s="697"/>
      <c r="M445" s="697"/>
      <c r="N445" s="697"/>
      <c r="O445" s="697"/>
      <c r="P445" s="697"/>
      <c r="Q445" s="697"/>
      <c r="R445" s="697"/>
      <c r="S445" s="697"/>
      <c r="T445" s="697"/>
      <c r="U445" s="697"/>
      <c r="V445" s="697"/>
      <c r="W445" s="697"/>
      <c r="X445" s="697"/>
      <c r="Y445" s="697"/>
      <c r="Z445" s="697"/>
      <c r="AA445" s="697"/>
      <c r="AB445" s="697"/>
      <c r="AC445" s="697"/>
      <c r="AD445" s="697"/>
      <c r="AE445" s="697"/>
      <c r="AF445" s="697"/>
      <c r="AG445" s="697"/>
      <c r="AH445" s="697"/>
      <c r="AI445" s="697"/>
      <c r="AJ445" s="697"/>
      <c r="AK445" s="697"/>
      <c r="AL445" s="697"/>
      <c r="AM445" s="697"/>
      <c r="AN445" s="697"/>
      <c r="AO445" s="697"/>
      <c r="AP445" s="697"/>
      <c r="AQ445" s="697"/>
      <c r="AR445" s="697"/>
      <c r="AS445" s="697"/>
      <c r="AT445" s="697"/>
      <c r="AU445" s="697"/>
      <c r="AV445" s="697"/>
      <c r="AW445" s="697"/>
      <c r="AX445" s="697"/>
      <c r="AY445" s="697"/>
      <c r="AZ445" s="697"/>
      <c r="BA445" s="697"/>
      <c r="BB445" s="697"/>
      <c r="BC445" s="697"/>
      <c r="BD445" s="697"/>
      <c r="BE445" s="697"/>
      <c r="BF445" s="697"/>
      <c r="BG445" s="697"/>
      <c r="BH445" s="697"/>
      <c r="BI445" s="697"/>
      <c r="BJ445" s="697"/>
      <c r="BK445" s="697"/>
      <c r="BL445" s="697"/>
      <c r="BM445" s="697"/>
      <c r="BN445" s="697"/>
      <c r="BO445" s="697"/>
      <c r="BP445" s="697"/>
      <c r="BQ445" s="697"/>
      <c r="BR445" s="697"/>
      <c r="BS445" s="697"/>
      <c r="BT445" s="697"/>
      <c r="BU445" s="697"/>
      <c r="BV445" s="697"/>
      <c r="BW445" s="697"/>
      <c r="BX445" s="697"/>
      <c r="BY445" s="697"/>
      <c r="BZ445" s="697"/>
      <c r="CA445" s="697"/>
      <c r="CB445" s="697"/>
      <c r="CC445" s="697"/>
      <c r="CD445" s="697"/>
      <c r="CE445" s="697"/>
      <c r="CF445" s="697"/>
      <c r="CG445" s="697"/>
      <c r="CH445" s="697"/>
      <c r="CI445" s="697"/>
      <c r="CJ445" s="697"/>
      <c r="CK445" s="697"/>
      <c r="CL445" s="697"/>
      <c r="CM445" s="697"/>
      <c r="CN445" s="697"/>
      <c r="CO445" s="697"/>
      <c r="CP445" s="697"/>
      <c r="CQ445" s="697"/>
      <c r="CR445" s="697"/>
      <c r="CS445" s="697"/>
      <c r="CT445" s="697"/>
      <c r="CU445" s="697"/>
      <c r="CV445" s="697"/>
      <c r="CW445" s="697"/>
      <c r="CX445" s="697"/>
      <c r="CY445" s="697"/>
      <c r="CZ445" s="697"/>
      <c r="DA445" s="697"/>
    </row>
    <row r="446" spans="1:105" hidden="1" outlineLevel="1" x14ac:dyDescent="0.2">
      <c r="A446" s="709">
        <f t="shared" si="80"/>
        <v>39600</v>
      </c>
      <c r="B446" s="709" t="str">
        <f t="shared" si="77"/>
        <v>2Q08</v>
      </c>
      <c r="C446" s="709" t="str">
        <f t="shared" si="81"/>
        <v>3Q08</v>
      </c>
      <c r="D446" s="710">
        <f t="shared" si="85"/>
        <v>39675</v>
      </c>
      <c r="E446" s="710">
        <f t="shared" si="85"/>
        <v>39615</v>
      </c>
      <c r="F446" s="712">
        <v>4.6920000000000002</v>
      </c>
      <c r="G446" s="713">
        <f t="shared" si="78"/>
        <v>0.71000000000000041</v>
      </c>
      <c r="H446" s="713">
        <f t="shared" si="79"/>
        <v>0.7000000000000004</v>
      </c>
      <c r="I446" s="697"/>
      <c r="J446" s="697"/>
      <c r="K446" s="697"/>
      <c r="L446" s="697"/>
      <c r="M446" s="697"/>
      <c r="N446" s="697"/>
      <c r="O446" s="697"/>
      <c r="P446" s="697"/>
      <c r="Q446" s="697"/>
      <c r="R446" s="697"/>
      <c r="S446" s="697"/>
      <c r="T446" s="697"/>
      <c r="U446" s="697"/>
      <c r="V446" s="697"/>
      <c r="W446" s="697"/>
      <c r="X446" s="697"/>
      <c r="Y446" s="697"/>
      <c r="Z446" s="697"/>
      <c r="AA446" s="697"/>
      <c r="AB446" s="697"/>
      <c r="AC446" s="697"/>
      <c r="AD446" s="697"/>
      <c r="AE446" s="697"/>
      <c r="AF446" s="697"/>
      <c r="AG446" s="697"/>
      <c r="AH446" s="697"/>
      <c r="AI446" s="697"/>
      <c r="AJ446" s="697"/>
      <c r="AK446" s="697"/>
      <c r="AL446" s="697"/>
      <c r="AM446" s="697"/>
      <c r="AN446" s="697"/>
      <c r="AO446" s="697"/>
      <c r="AP446" s="697"/>
      <c r="AQ446" s="697"/>
      <c r="AR446" s="697"/>
      <c r="AS446" s="697"/>
      <c r="AT446" s="697"/>
      <c r="AU446" s="697"/>
      <c r="AV446" s="697"/>
      <c r="AW446" s="697"/>
      <c r="AX446" s="697"/>
      <c r="AY446" s="697"/>
      <c r="AZ446" s="697"/>
      <c r="BA446" s="697"/>
      <c r="BB446" s="697"/>
      <c r="BC446" s="697"/>
      <c r="BD446" s="697"/>
      <c r="BE446" s="697"/>
      <c r="BF446" s="697"/>
      <c r="BG446" s="697"/>
      <c r="BH446" s="697"/>
      <c r="BI446" s="697"/>
      <c r="BJ446" s="697"/>
      <c r="BK446" s="697"/>
      <c r="BL446" s="697"/>
      <c r="BM446" s="697"/>
      <c r="BN446" s="697"/>
      <c r="BO446" s="697"/>
      <c r="BP446" s="697"/>
      <c r="BQ446" s="697"/>
      <c r="BR446" s="697"/>
      <c r="BS446" s="697"/>
      <c r="BT446" s="697"/>
      <c r="BU446" s="697"/>
      <c r="BV446" s="697"/>
      <c r="BW446" s="697"/>
      <c r="BX446" s="697"/>
      <c r="BY446" s="697"/>
      <c r="BZ446" s="697"/>
      <c r="CA446" s="697"/>
      <c r="CB446" s="697"/>
      <c r="CC446" s="697"/>
      <c r="CD446" s="697"/>
      <c r="CE446" s="697"/>
      <c r="CF446" s="697"/>
      <c r="CG446" s="697"/>
      <c r="CH446" s="697"/>
      <c r="CI446" s="697"/>
      <c r="CJ446" s="697"/>
      <c r="CK446" s="697"/>
      <c r="CL446" s="697"/>
      <c r="CM446" s="697"/>
      <c r="CN446" s="697"/>
      <c r="CO446" s="697"/>
      <c r="CP446" s="697"/>
      <c r="CQ446" s="697"/>
      <c r="CR446" s="697"/>
      <c r="CS446" s="697"/>
      <c r="CT446" s="697"/>
      <c r="CU446" s="697"/>
      <c r="CV446" s="697"/>
      <c r="CW446" s="697"/>
      <c r="CX446" s="697"/>
      <c r="CY446" s="697"/>
      <c r="CZ446" s="697"/>
      <c r="DA446" s="697"/>
    </row>
    <row r="447" spans="1:105" hidden="1" outlineLevel="1" x14ac:dyDescent="0.2">
      <c r="A447" s="709">
        <f t="shared" si="80"/>
        <v>39600</v>
      </c>
      <c r="B447" s="709" t="str">
        <f t="shared" si="77"/>
        <v>2Q08</v>
      </c>
      <c r="C447" s="709" t="str">
        <f t="shared" si="81"/>
        <v>3Q08</v>
      </c>
      <c r="D447" s="710">
        <f t="shared" si="85"/>
        <v>39682</v>
      </c>
      <c r="E447" s="710">
        <f t="shared" si="85"/>
        <v>39622</v>
      </c>
      <c r="F447" s="712">
        <v>4.6479999999999997</v>
      </c>
      <c r="G447" s="713">
        <f t="shared" si="78"/>
        <v>0.7000000000000004</v>
      </c>
      <c r="H447" s="713">
        <f t="shared" si="79"/>
        <v>0.7000000000000004</v>
      </c>
      <c r="I447" s="697"/>
      <c r="J447" s="697"/>
      <c r="K447" s="697"/>
      <c r="L447" s="697"/>
      <c r="M447" s="697"/>
      <c r="N447" s="697"/>
      <c r="O447" s="697"/>
      <c r="P447" s="697"/>
      <c r="Q447" s="697"/>
      <c r="R447" s="697"/>
      <c r="S447" s="697"/>
      <c r="T447" s="697"/>
      <c r="U447" s="697"/>
      <c r="V447" s="697"/>
      <c r="W447" s="697"/>
      <c r="X447" s="697"/>
      <c r="Y447" s="697"/>
      <c r="Z447" s="697"/>
      <c r="AA447" s="697"/>
      <c r="AB447" s="697"/>
      <c r="AC447" s="697"/>
      <c r="AD447" s="697"/>
      <c r="AE447" s="697"/>
      <c r="AF447" s="697"/>
      <c r="AG447" s="697"/>
      <c r="AH447" s="697"/>
      <c r="AI447" s="697"/>
      <c r="AJ447" s="697"/>
      <c r="AK447" s="697"/>
      <c r="AL447" s="697"/>
      <c r="AM447" s="697"/>
      <c r="AN447" s="697"/>
      <c r="AO447" s="697"/>
      <c r="AP447" s="697"/>
      <c r="AQ447" s="697"/>
      <c r="AR447" s="697"/>
      <c r="AS447" s="697"/>
      <c r="AT447" s="697"/>
      <c r="AU447" s="697"/>
      <c r="AV447" s="697"/>
      <c r="AW447" s="697"/>
      <c r="AX447" s="697"/>
      <c r="AY447" s="697"/>
      <c r="AZ447" s="697"/>
      <c r="BA447" s="697"/>
      <c r="BB447" s="697"/>
      <c r="BC447" s="697"/>
      <c r="BD447" s="697"/>
      <c r="BE447" s="697"/>
      <c r="BF447" s="697"/>
      <c r="BG447" s="697"/>
      <c r="BH447" s="697"/>
      <c r="BI447" s="697"/>
      <c r="BJ447" s="697"/>
      <c r="BK447" s="697"/>
      <c r="BL447" s="697"/>
      <c r="BM447" s="697"/>
      <c r="BN447" s="697"/>
      <c r="BO447" s="697"/>
      <c r="BP447" s="697"/>
      <c r="BQ447" s="697"/>
      <c r="BR447" s="697"/>
      <c r="BS447" s="697"/>
      <c r="BT447" s="697"/>
      <c r="BU447" s="697"/>
      <c r="BV447" s="697"/>
      <c r="BW447" s="697"/>
      <c r="BX447" s="697"/>
      <c r="BY447" s="697"/>
      <c r="BZ447" s="697"/>
      <c r="CA447" s="697"/>
      <c r="CB447" s="697"/>
      <c r="CC447" s="697"/>
      <c r="CD447" s="697"/>
      <c r="CE447" s="697"/>
      <c r="CF447" s="697"/>
      <c r="CG447" s="697"/>
      <c r="CH447" s="697"/>
      <c r="CI447" s="697"/>
      <c r="CJ447" s="697"/>
      <c r="CK447" s="697"/>
      <c r="CL447" s="697"/>
      <c r="CM447" s="697"/>
      <c r="CN447" s="697"/>
      <c r="CO447" s="697"/>
      <c r="CP447" s="697"/>
      <c r="CQ447" s="697"/>
      <c r="CR447" s="697"/>
      <c r="CS447" s="697"/>
      <c r="CT447" s="697"/>
      <c r="CU447" s="697"/>
      <c r="CV447" s="697"/>
      <c r="CW447" s="697"/>
      <c r="CX447" s="697"/>
      <c r="CY447" s="697"/>
      <c r="CZ447" s="697"/>
      <c r="DA447" s="697"/>
    </row>
    <row r="448" spans="1:105" hidden="1" outlineLevel="1" x14ac:dyDescent="0.2">
      <c r="A448" s="709">
        <f t="shared" si="80"/>
        <v>39600</v>
      </c>
      <c r="B448" s="709" t="str">
        <f t="shared" si="77"/>
        <v>2Q08</v>
      </c>
      <c r="C448" s="709" t="str">
        <f t="shared" si="81"/>
        <v>3Q08</v>
      </c>
      <c r="D448" s="710">
        <f t="shared" si="85"/>
        <v>39689</v>
      </c>
      <c r="E448" s="710">
        <f t="shared" si="85"/>
        <v>39629</v>
      </c>
      <c r="F448" s="712">
        <v>4.6449999999999996</v>
      </c>
      <c r="G448" s="713">
        <f t="shared" si="78"/>
        <v>0.7000000000000004</v>
      </c>
      <c r="H448" s="713">
        <f t="shared" si="79"/>
        <v>0.72000000000000042</v>
      </c>
      <c r="I448" s="697"/>
      <c r="J448" s="697"/>
      <c r="K448" s="697"/>
      <c r="L448" s="697"/>
      <c r="M448" s="697"/>
      <c r="N448" s="697"/>
      <c r="O448" s="697"/>
      <c r="P448" s="697"/>
      <c r="Q448" s="697"/>
      <c r="R448" s="697"/>
      <c r="S448" s="697"/>
      <c r="T448" s="697"/>
      <c r="U448" s="697"/>
      <c r="V448" s="697"/>
      <c r="W448" s="697"/>
      <c r="X448" s="697"/>
      <c r="Y448" s="697"/>
      <c r="Z448" s="697"/>
      <c r="AA448" s="697"/>
      <c r="AB448" s="697"/>
      <c r="AC448" s="697"/>
      <c r="AD448" s="697"/>
      <c r="AE448" s="697"/>
      <c r="AF448" s="697"/>
      <c r="AG448" s="697"/>
      <c r="AH448" s="697"/>
      <c r="AI448" s="697"/>
      <c r="AJ448" s="697"/>
      <c r="AK448" s="697"/>
      <c r="AL448" s="697"/>
      <c r="AM448" s="697"/>
      <c r="AN448" s="697"/>
      <c r="AO448" s="697"/>
      <c r="AP448" s="697"/>
      <c r="AQ448" s="697"/>
      <c r="AR448" s="697"/>
      <c r="AS448" s="697"/>
      <c r="AT448" s="697"/>
      <c r="AU448" s="697"/>
      <c r="AV448" s="697"/>
      <c r="AW448" s="697"/>
      <c r="AX448" s="697"/>
      <c r="AY448" s="697"/>
      <c r="AZ448" s="697"/>
      <c r="BA448" s="697"/>
      <c r="BB448" s="697"/>
      <c r="BC448" s="697"/>
      <c r="BD448" s="697"/>
      <c r="BE448" s="697"/>
      <c r="BF448" s="697"/>
      <c r="BG448" s="697"/>
      <c r="BH448" s="697"/>
      <c r="BI448" s="697"/>
      <c r="BJ448" s="697"/>
      <c r="BK448" s="697"/>
      <c r="BL448" s="697"/>
      <c r="BM448" s="697"/>
      <c r="BN448" s="697"/>
      <c r="BO448" s="697"/>
      <c r="BP448" s="697"/>
      <c r="BQ448" s="697"/>
      <c r="BR448" s="697"/>
      <c r="BS448" s="697"/>
      <c r="BT448" s="697"/>
      <c r="BU448" s="697"/>
      <c r="BV448" s="697"/>
      <c r="BW448" s="697"/>
      <c r="BX448" s="697"/>
      <c r="BY448" s="697"/>
      <c r="BZ448" s="697"/>
      <c r="CA448" s="697"/>
      <c r="CB448" s="697"/>
      <c r="CC448" s="697"/>
      <c r="CD448" s="697"/>
      <c r="CE448" s="697"/>
      <c r="CF448" s="697"/>
      <c r="CG448" s="697"/>
      <c r="CH448" s="697"/>
      <c r="CI448" s="697"/>
      <c r="CJ448" s="697"/>
      <c r="CK448" s="697"/>
      <c r="CL448" s="697"/>
      <c r="CM448" s="697"/>
      <c r="CN448" s="697"/>
      <c r="CO448" s="697"/>
      <c r="CP448" s="697"/>
      <c r="CQ448" s="697"/>
      <c r="CR448" s="697"/>
      <c r="CS448" s="697"/>
      <c r="CT448" s="697"/>
      <c r="CU448" s="697"/>
      <c r="CV448" s="697"/>
      <c r="CW448" s="697"/>
      <c r="CX448" s="697"/>
      <c r="CY448" s="697"/>
      <c r="CZ448" s="697"/>
      <c r="DA448" s="697"/>
    </row>
    <row r="449" spans="1:105" hidden="1" outlineLevel="1" x14ac:dyDescent="0.2">
      <c r="A449" s="709">
        <f t="shared" si="80"/>
        <v>39630</v>
      </c>
      <c r="B449" s="709" t="str">
        <f t="shared" si="77"/>
        <v>3Q08</v>
      </c>
      <c r="C449" s="709" t="str">
        <f t="shared" si="81"/>
        <v>3Q08</v>
      </c>
      <c r="D449" s="710">
        <f t="shared" si="85"/>
        <v>39696</v>
      </c>
      <c r="E449" s="710">
        <f t="shared" si="85"/>
        <v>39636</v>
      </c>
      <c r="F449" s="712">
        <v>4.7270000000000003</v>
      </c>
      <c r="G449" s="713">
        <f t="shared" si="78"/>
        <v>0.72000000000000042</v>
      </c>
      <c r="H449" s="713">
        <f t="shared" si="79"/>
        <v>0.73000000000000043</v>
      </c>
      <c r="I449" s="697"/>
      <c r="J449" s="697"/>
      <c r="K449" s="697"/>
      <c r="L449" s="697"/>
      <c r="M449" s="697"/>
      <c r="N449" s="697"/>
      <c r="O449" s="697"/>
      <c r="P449" s="697"/>
      <c r="Q449" s="697"/>
      <c r="R449" s="697"/>
      <c r="S449" s="697"/>
      <c r="T449" s="697"/>
      <c r="U449" s="697"/>
      <c r="V449" s="697"/>
      <c r="W449" s="697"/>
      <c r="X449" s="697"/>
      <c r="Y449" s="697"/>
      <c r="Z449" s="697"/>
      <c r="AA449" s="697"/>
      <c r="AB449" s="697"/>
      <c r="AC449" s="697"/>
      <c r="AD449" s="697"/>
      <c r="AE449" s="697"/>
      <c r="AF449" s="697"/>
      <c r="AG449" s="697"/>
      <c r="AH449" s="697"/>
      <c r="AI449" s="697"/>
      <c r="AJ449" s="697"/>
      <c r="AK449" s="697"/>
      <c r="AL449" s="697"/>
      <c r="AM449" s="697"/>
      <c r="AN449" s="697"/>
      <c r="AO449" s="697"/>
      <c r="AP449" s="697"/>
      <c r="AQ449" s="697"/>
      <c r="AR449" s="697"/>
      <c r="AS449" s="697"/>
      <c r="AT449" s="697"/>
      <c r="AU449" s="697"/>
      <c r="AV449" s="697"/>
      <c r="AW449" s="697"/>
      <c r="AX449" s="697"/>
      <c r="AY449" s="697"/>
      <c r="AZ449" s="697"/>
      <c r="BA449" s="697"/>
      <c r="BB449" s="697"/>
      <c r="BC449" s="697"/>
      <c r="BD449" s="697"/>
      <c r="BE449" s="697"/>
      <c r="BF449" s="697"/>
      <c r="BG449" s="697"/>
      <c r="BH449" s="697"/>
      <c r="BI449" s="697"/>
      <c r="BJ449" s="697"/>
      <c r="BK449" s="697"/>
      <c r="BL449" s="697"/>
      <c r="BM449" s="697"/>
      <c r="BN449" s="697"/>
      <c r="BO449" s="697"/>
      <c r="BP449" s="697"/>
      <c r="BQ449" s="697"/>
      <c r="BR449" s="697"/>
      <c r="BS449" s="697"/>
      <c r="BT449" s="697"/>
      <c r="BU449" s="697"/>
      <c r="BV449" s="697"/>
      <c r="BW449" s="697"/>
      <c r="BX449" s="697"/>
      <c r="BY449" s="697"/>
      <c r="BZ449" s="697"/>
      <c r="CA449" s="697"/>
      <c r="CB449" s="697"/>
      <c r="CC449" s="697"/>
      <c r="CD449" s="697"/>
      <c r="CE449" s="697"/>
      <c r="CF449" s="697"/>
      <c r="CG449" s="697"/>
      <c r="CH449" s="697"/>
      <c r="CI449" s="697"/>
      <c r="CJ449" s="697"/>
      <c r="CK449" s="697"/>
      <c r="CL449" s="697"/>
      <c r="CM449" s="697"/>
      <c r="CN449" s="697"/>
      <c r="CO449" s="697"/>
      <c r="CP449" s="697"/>
      <c r="CQ449" s="697"/>
      <c r="CR449" s="697"/>
      <c r="CS449" s="697"/>
      <c r="CT449" s="697"/>
      <c r="CU449" s="697"/>
      <c r="CV449" s="697"/>
      <c r="CW449" s="697"/>
      <c r="CX449" s="697"/>
      <c r="CY449" s="697"/>
      <c r="CZ449" s="697"/>
      <c r="DA449" s="697"/>
    </row>
    <row r="450" spans="1:105" hidden="1" outlineLevel="1" x14ac:dyDescent="0.2">
      <c r="A450" s="709">
        <f t="shared" si="80"/>
        <v>39630</v>
      </c>
      <c r="B450" s="709" t="str">
        <f t="shared" si="77"/>
        <v>3Q08</v>
      </c>
      <c r="C450" s="709" t="str">
        <f t="shared" si="81"/>
        <v>3Q08</v>
      </c>
      <c r="D450" s="710">
        <f t="shared" si="85"/>
        <v>39703</v>
      </c>
      <c r="E450" s="710">
        <f t="shared" si="85"/>
        <v>39643</v>
      </c>
      <c r="F450" s="712">
        <v>4.7640000000000002</v>
      </c>
      <c r="G450" s="713">
        <f t="shared" si="78"/>
        <v>0.73000000000000043</v>
      </c>
      <c r="H450" s="713">
        <f t="shared" si="79"/>
        <v>0.72000000000000042</v>
      </c>
      <c r="I450" s="697"/>
      <c r="J450" s="697"/>
      <c r="K450" s="697"/>
      <c r="L450" s="697"/>
      <c r="M450" s="697"/>
      <c r="N450" s="697"/>
      <c r="O450" s="697"/>
      <c r="P450" s="697"/>
      <c r="Q450" s="697"/>
      <c r="R450" s="697"/>
      <c r="S450" s="697"/>
      <c r="T450" s="697"/>
      <c r="U450" s="697"/>
      <c r="V450" s="697"/>
      <c r="W450" s="697"/>
      <c r="X450" s="697"/>
      <c r="Y450" s="697"/>
      <c r="Z450" s="697"/>
      <c r="AA450" s="697"/>
      <c r="AB450" s="697"/>
      <c r="AC450" s="697"/>
      <c r="AD450" s="697"/>
      <c r="AE450" s="697"/>
      <c r="AF450" s="697"/>
      <c r="AG450" s="697"/>
      <c r="AH450" s="697"/>
      <c r="AI450" s="697"/>
      <c r="AJ450" s="697"/>
      <c r="AK450" s="697"/>
      <c r="AL450" s="697"/>
      <c r="AM450" s="697"/>
      <c r="AN450" s="697"/>
      <c r="AO450" s="697"/>
      <c r="AP450" s="697"/>
      <c r="AQ450" s="697"/>
      <c r="AR450" s="697"/>
      <c r="AS450" s="697"/>
      <c r="AT450" s="697"/>
      <c r="AU450" s="697"/>
      <c r="AV450" s="697"/>
      <c r="AW450" s="697"/>
      <c r="AX450" s="697"/>
      <c r="AY450" s="697"/>
      <c r="AZ450" s="697"/>
      <c r="BA450" s="697"/>
      <c r="BB450" s="697"/>
      <c r="BC450" s="697"/>
      <c r="BD450" s="697"/>
      <c r="BE450" s="697"/>
      <c r="BF450" s="697"/>
      <c r="BG450" s="697"/>
      <c r="BH450" s="697"/>
      <c r="BI450" s="697"/>
      <c r="BJ450" s="697"/>
      <c r="BK450" s="697"/>
      <c r="BL450" s="697"/>
      <c r="BM450" s="697"/>
      <c r="BN450" s="697"/>
      <c r="BO450" s="697"/>
      <c r="BP450" s="697"/>
      <c r="BQ450" s="697"/>
      <c r="BR450" s="697"/>
      <c r="BS450" s="697"/>
      <c r="BT450" s="697"/>
      <c r="BU450" s="697"/>
      <c r="BV450" s="697"/>
      <c r="BW450" s="697"/>
      <c r="BX450" s="697"/>
      <c r="BY450" s="697"/>
      <c r="BZ450" s="697"/>
      <c r="CA450" s="697"/>
      <c r="CB450" s="697"/>
      <c r="CC450" s="697"/>
      <c r="CD450" s="697"/>
      <c r="CE450" s="697"/>
      <c r="CF450" s="697"/>
      <c r="CG450" s="697"/>
      <c r="CH450" s="697"/>
      <c r="CI450" s="697"/>
      <c r="CJ450" s="697"/>
      <c r="CK450" s="697"/>
      <c r="CL450" s="697"/>
      <c r="CM450" s="697"/>
      <c r="CN450" s="697"/>
      <c r="CO450" s="697"/>
      <c r="CP450" s="697"/>
      <c r="CQ450" s="697"/>
      <c r="CR450" s="697"/>
      <c r="CS450" s="697"/>
      <c r="CT450" s="697"/>
      <c r="CU450" s="697"/>
      <c r="CV450" s="697"/>
      <c r="CW450" s="697"/>
      <c r="CX450" s="697"/>
      <c r="CY450" s="697"/>
      <c r="CZ450" s="697"/>
      <c r="DA450" s="697"/>
    </row>
    <row r="451" spans="1:105" hidden="1" outlineLevel="1" x14ac:dyDescent="0.2">
      <c r="A451" s="709">
        <f t="shared" si="80"/>
        <v>39630</v>
      </c>
      <c r="B451" s="709" t="str">
        <f t="shared" si="77"/>
        <v>3Q08</v>
      </c>
      <c r="C451" s="709" t="str">
        <f t="shared" si="81"/>
        <v>3Q08</v>
      </c>
      <c r="D451" s="710">
        <f t="shared" si="85"/>
        <v>39710</v>
      </c>
      <c r="E451" s="710">
        <f t="shared" si="85"/>
        <v>39650</v>
      </c>
      <c r="F451" s="712">
        <v>4.718</v>
      </c>
      <c r="G451" s="713">
        <f t="shared" si="78"/>
        <v>0.72000000000000042</v>
      </c>
      <c r="H451" s="713">
        <f t="shared" si="79"/>
        <v>0.7000000000000004</v>
      </c>
      <c r="I451" s="697"/>
      <c r="J451" s="697"/>
      <c r="K451" s="697"/>
      <c r="L451" s="697"/>
      <c r="M451" s="697"/>
      <c r="N451" s="697"/>
      <c r="O451" s="697"/>
      <c r="P451" s="697"/>
      <c r="Q451" s="697"/>
      <c r="R451" s="697"/>
      <c r="S451" s="697"/>
      <c r="T451" s="697"/>
      <c r="U451" s="697"/>
      <c r="V451" s="697"/>
      <c r="W451" s="697"/>
      <c r="X451" s="697"/>
      <c r="Y451" s="697"/>
      <c r="Z451" s="697"/>
      <c r="AA451" s="697"/>
      <c r="AB451" s="697"/>
      <c r="AC451" s="697"/>
      <c r="AD451" s="697"/>
      <c r="AE451" s="697"/>
      <c r="AF451" s="697"/>
      <c r="AG451" s="697"/>
      <c r="AH451" s="697"/>
      <c r="AI451" s="697"/>
      <c r="AJ451" s="697"/>
      <c r="AK451" s="697"/>
      <c r="AL451" s="697"/>
      <c r="AM451" s="697"/>
      <c r="AN451" s="697"/>
      <c r="AO451" s="697"/>
      <c r="AP451" s="697"/>
      <c r="AQ451" s="697"/>
      <c r="AR451" s="697"/>
      <c r="AS451" s="697"/>
      <c r="AT451" s="697"/>
      <c r="AU451" s="697"/>
      <c r="AV451" s="697"/>
      <c r="AW451" s="697"/>
      <c r="AX451" s="697"/>
      <c r="AY451" s="697"/>
      <c r="AZ451" s="697"/>
      <c r="BA451" s="697"/>
      <c r="BB451" s="697"/>
      <c r="BC451" s="697"/>
      <c r="BD451" s="697"/>
      <c r="BE451" s="697"/>
      <c r="BF451" s="697"/>
      <c r="BG451" s="697"/>
      <c r="BH451" s="697"/>
      <c r="BI451" s="697"/>
      <c r="BJ451" s="697"/>
      <c r="BK451" s="697"/>
      <c r="BL451" s="697"/>
      <c r="BM451" s="697"/>
      <c r="BN451" s="697"/>
      <c r="BO451" s="697"/>
      <c r="BP451" s="697"/>
      <c r="BQ451" s="697"/>
      <c r="BR451" s="697"/>
      <c r="BS451" s="697"/>
      <c r="BT451" s="697"/>
      <c r="BU451" s="697"/>
      <c r="BV451" s="697"/>
      <c r="BW451" s="697"/>
      <c r="BX451" s="697"/>
      <c r="BY451" s="697"/>
      <c r="BZ451" s="697"/>
      <c r="CA451" s="697"/>
      <c r="CB451" s="697"/>
      <c r="CC451" s="697"/>
      <c r="CD451" s="697"/>
      <c r="CE451" s="697"/>
      <c r="CF451" s="697"/>
      <c r="CG451" s="697"/>
      <c r="CH451" s="697"/>
      <c r="CI451" s="697"/>
      <c r="CJ451" s="697"/>
      <c r="CK451" s="697"/>
      <c r="CL451" s="697"/>
      <c r="CM451" s="697"/>
      <c r="CN451" s="697"/>
      <c r="CO451" s="697"/>
      <c r="CP451" s="697"/>
      <c r="CQ451" s="697"/>
      <c r="CR451" s="697"/>
      <c r="CS451" s="697"/>
      <c r="CT451" s="697"/>
      <c r="CU451" s="697"/>
      <c r="CV451" s="697"/>
      <c r="CW451" s="697"/>
      <c r="CX451" s="697"/>
      <c r="CY451" s="697"/>
      <c r="CZ451" s="697"/>
      <c r="DA451" s="697"/>
    </row>
    <row r="452" spans="1:105" hidden="1" outlineLevel="1" x14ac:dyDescent="0.2">
      <c r="A452" s="709">
        <f t="shared" si="80"/>
        <v>39630</v>
      </c>
      <c r="B452" s="709" t="str">
        <f t="shared" ref="B452:B515" si="86">VLOOKUP(MONTH(A452),$N$4:$O$16,2,FALSE) &amp; "Q" &amp; RIGHT(YEAR(A452),2)</f>
        <v>3Q08</v>
      </c>
      <c r="C452" s="709" t="str">
        <f t="shared" si="81"/>
        <v>3Q08</v>
      </c>
      <c r="D452" s="710">
        <f t="shared" si="85"/>
        <v>39717</v>
      </c>
      <c r="E452" s="710">
        <f t="shared" si="85"/>
        <v>39657</v>
      </c>
      <c r="F452" s="712">
        <v>4.6029999999999998</v>
      </c>
      <c r="G452" s="713">
        <f t="shared" ref="G452:G515" si="87">INDEX($I$4:$K$153,MATCH(F452,$I$4:$I$153,1),3)</f>
        <v>0.7000000000000004</v>
      </c>
      <c r="H452" s="713">
        <f t="shared" ref="H452:H515" si="88">G453</f>
        <v>0.68000000000000038</v>
      </c>
      <c r="I452" s="697"/>
      <c r="J452" s="697"/>
      <c r="K452" s="697"/>
      <c r="L452" s="697"/>
      <c r="M452" s="697"/>
      <c r="N452" s="697"/>
      <c r="O452" s="697"/>
      <c r="P452" s="697"/>
      <c r="Q452" s="697"/>
      <c r="R452" s="697"/>
      <c r="S452" s="697"/>
      <c r="T452" s="697"/>
      <c r="U452" s="697"/>
      <c r="V452" s="697"/>
      <c r="W452" s="697"/>
      <c r="X452" s="697"/>
      <c r="Y452" s="697"/>
      <c r="Z452" s="697"/>
      <c r="AA452" s="697"/>
      <c r="AB452" s="697"/>
      <c r="AC452" s="697"/>
      <c r="AD452" s="697"/>
      <c r="AE452" s="697"/>
      <c r="AF452" s="697"/>
      <c r="AG452" s="697"/>
      <c r="AH452" s="697"/>
      <c r="AI452" s="697"/>
      <c r="AJ452" s="697"/>
      <c r="AK452" s="697"/>
      <c r="AL452" s="697"/>
      <c r="AM452" s="697"/>
      <c r="AN452" s="697"/>
      <c r="AO452" s="697"/>
      <c r="AP452" s="697"/>
      <c r="AQ452" s="697"/>
      <c r="AR452" s="697"/>
      <c r="AS452" s="697"/>
      <c r="AT452" s="697"/>
      <c r="AU452" s="697"/>
      <c r="AV452" s="697"/>
      <c r="AW452" s="697"/>
      <c r="AX452" s="697"/>
      <c r="AY452" s="697"/>
      <c r="AZ452" s="697"/>
      <c r="BA452" s="697"/>
      <c r="BB452" s="697"/>
      <c r="BC452" s="697"/>
      <c r="BD452" s="697"/>
      <c r="BE452" s="697"/>
      <c r="BF452" s="697"/>
      <c r="BG452" s="697"/>
      <c r="BH452" s="697"/>
      <c r="BI452" s="697"/>
      <c r="BJ452" s="697"/>
      <c r="BK452" s="697"/>
      <c r="BL452" s="697"/>
      <c r="BM452" s="697"/>
      <c r="BN452" s="697"/>
      <c r="BO452" s="697"/>
      <c r="BP452" s="697"/>
      <c r="BQ452" s="697"/>
      <c r="BR452" s="697"/>
      <c r="BS452" s="697"/>
      <c r="BT452" s="697"/>
      <c r="BU452" s="697"/>
      <c r="BV452" s="697"/>
      <c r="BW452" s="697"/>
      <c r="BX452" s="697"/>
      <c r="BY452" s="697"/>
      <c r="BZ452" s="697"/>
      <c r="CA452" s="697"/>
      <c r="CB452" s="697"/>
      <c r="CC452" s="697"/>
      <c r="CD452" s="697"/>
      <c r="CE452" s="697"/>
      <c r="CF452" s="697"/>
      <c r="CG452" s="697"/>
      <c r="CH452" s="697"/>
      <c r="CI452" s="697"/>
      <c r="CJ452" s="697"/>
      <c r="CK452" s="697"/>
      <c r="CL452" s="697"/>
      <c r="CM452" s="697"/>
      <c r="CN452" s="697"/>
      <c r="CO452" s="697"/>
      <c r="CP452" s="697"/>
      <c r="CQ452" s="697"/>
      <c r="CR452" s="697"/>
      <c r="CS452" s="697"/>
      <c r="CT452" s="697"/>
      <c r="CU452" s="697"/>
      <c r="CV452" s="697"/>
      <c r="CW452" s="697"/>
      <c r="CX452" s="697"/>
      <c r="CY452" s="697"/>
      <c r="CZ452" s="697"/>
      <c r="DA452" s="697"/>
    </row>
    <row r="453" spans="1:105" hidden="1" outlineLevel="1" x14ac:dyDescent="0.2">
      <c r="A453" s="709">
        <f t="shared" ref="A453:A516" si="89">DATE(YEAR(E453),MONTH(E453),1)</f>
        <v>39661</v>
      </c>
      <c r="B453" s="709" t="str">
        <f t="shared" si="86"/>
        <v>3Q08</v>
      </c>
      <c r="C453" s="709" t="str">
        <f t="shared" ref="C453:C516" si="90">VLOOKUP(MONTH(D453),$N$4:$O$16,2,FALSE) &amp; "Q" &amp; RIGHT(YEAR(D453),2)</f>
        <v>4Q08</v>
      </c>
      <c r="D453" s="710">
        <f t="shared" ref="D453:E468" si="91">D452+7</f>
        <v>39724</v>
      </c>
      <c r="E453" s="710">
        <f t="shared" si="91"/>
        <v>39664</v>
      </c>
      <c r="F453" s="712">
        <v>4.5019999999999998</v>
      </c>
      <c r="G453" s="713">
        <f t="shared" si="87"/>
        <v>0.68000000000000038</v>
      </c>
      <c r="H453" s="713">
        <f t="shared" si="88"/>
        <v>0.65000000000000036</v>
      </c>
      <c r="I453" s="697"/>
      <c r="J453" s="697"/>
      <c r="K453" s="697"/>
      <c r="L453" s="697"/>
      <c r="M453" s="697"/>
      <c r="N453" s="697"/>
      <c r="O453" s="697"/>
      <c r="P453" s="697"/>
      <c r="Q453" s="697"/>
      <c r="R453" s="697"/>
      <c r="S453" s="697"/>
      <c r="T453" s="697"/>
      <c r="U453" s="697"/>
      <c r="V453" s="697"/>
      <c r="W453" s="697"/>
      <c r="X453" s="697"/>
      <c r="Y453" s="697"/>
      <c r="Z453" s="697"/>
      <c r="AA453" s="697"/>
      <c r="AB453" s="697"/>
      <c r="AC453" s="697"/>
      <c r="AD453" s="697"/>
      <c r="AE453" s="697"/>
      <c r="AF453" s="697"/>
      <c r="AG453" s="697"/>
      <c r="AH453" s="697"/>
      <c r="AI453" s="697"/>
      <c r="AJ453" s="697"/>
      <c r="AK453" s="697"/>
      <c r="AL453" s="697"/>
      <c r="AM453" s="697"/>
      <c r="AN453" s="697"/>
      <c r="AO453" s="697"/>
      <c r="AP453" s="697"/>
      <c r="AQ453" s="697"/>
      <c r="AR453" s="697"/>
      <c r="AS453" s="697"/>
      <c r="AT453" s="697"/>
      <c r="AU453" s="697"/>
      <c r="AV453" s="697"/>
      <c r="AW453" s="697"/>
      <c r="AX453" s="697"/>
      <c r="AY453" s="697"/>
      <c r="AZ453" s="697"/>
      <c r="BA453" s="697"/>
      <c r="BB453" s="697"/>
      <c r="BC453" s="697"/>
      <c r="BD453" s="697"/>
      <c r="BE453" s="697"/>
      <c r="BF453" s="697"/>
      <c r="BG453" s="697"/>
      <c r="BH453" s="697"/>
      <c r="BI453" s="697"/>
      <c r="BJ453" s="697"/>
      <c r="BK453" s="697"/>
      <c r="BL453" s="697"/>
      <c r="BM453" s="697"/>
      <c r="BN453" s="697"/>
      <c r="BO453" s="697"/>
      <c r="BP453" s="697"/>
      <c r="BQ453" s="697"/>
      <c r="BR453" s="697"/>
      <c r="BS453" s="697"/>
      <c r="BT453" s="697"/>
      <c r="BU453" s="697"/>
      <c r="BV453" s="697"/>
      <c r="BW453" s="697"/>
      <c r="BX453" s="697"/>
      <c r="BY453" s="697"/>
      <c r="BZ453" s="697"/>
      <c r="CA453" s="697"/>
      <c r="CB453" s="697"/>
      <c r="CC453" s="697"/>
      <c r="CD453" s="697"/>
      <c r="CE453" s="697"/>
      <c r="CF453" s="697"/>
      <c r="CG453" s="697"/>
      <c r="CH453" s="697"/>
      <c r="CI453" s="697"/>
      <c r="CJ453" s="697"/>
      <c r="CK453" s="697"/>
      <c r="CL453" s="697"/>
      <c r="CM453" s="697"/>
      <c r="CN453" s="697"/>
      <c r="CO453" s="697"/>
      <c r="CP453" s="697"/>
      <c r="CQ453" s="697"/>
      <c r="CR453" s="697"/>
      <c r="CS453" s="697"/>
      <c r="CT453" s="697"/>
      <c r="CU453" s="697"/>
      <c r="CV453" s="697"/>
      <c r="CW453" s="697"/>
      <c r="CX453" s="697"/>
      <c r="CY453" s="697"/>
      <c r="CZ453" s="697"/>
      <c r="DA453" s="697"/>
    </row>
    <row r="454" spans="1:105" hidden="1" outlineLevel="1" x14ac:dyDescent="0.2">
      <c r="A454" s="709">
        <f t="shared" si="89"/>
        <v>39661</v>
      </c>
      <c r="B454" s="709" t="str">
        <f t="shared" si="86"/>
        <v>3Q08</v>
      </c>
      <c r="C454" s="709" t="str">
        <f t="shared" si="90"/>
        <v>4Q08</v>
      </c>
      <c r="D454" s="710">
        <f t="shared" si="91"/>
        <v>39731</v>
      </c>
      <c r="E454" s="710">
        <f t="shared" si="91"/>
        <v>39671</v>
      </c>
      <c r="F454" s="712">
        <v>4.3529999999999998</v>
      </c>
      <c r="G454" s="713">
        <f t="shared" si="87"/>
        <v>0.65000000000000036</v>
      </c>
      <c r="H454" s="713">
        <f t="shared" si="88"/>
        <v>0.62000000000000033</v>
      </c>
      <c r="I454" s="697"/>
      <c r="J454" s="697"/>
      <c r="K454" s="697"/>
      <c r="L454" s="697"/>
      <c r="M454" s="697"/>
      <c r="N454" s="697"/>
      <c r="O454" s="697"/>
      <c r="P454" s="697"/>
      <c r="Q454" s="697"/>
      <c r="R454" s="697"/>
      <c r="S454" s="697"/>
      <c r="T454" s="697"/>
      <c r="U454" s="697"/>
      <c r="V454" s="697"/>
      <c r="W454" s="697"/>
      <c r="X454" s="697"/>
      <c r="Y454" s="697"/>
      <c r="Z454" s="697"/>
      <c r="AA454" s="697"/>
      <c r="AB454" s="697"/>
      <c r="AC454" s="697"/>
      <c r="AD454" s="697"/>
      <c r="AE454" s="697"/>
      <c r="AF454" s="697"/>
      <c r="AG454" s="697"/>
      <c r="AH454" s="697"/>
      <c r="AI454" s="697"/>
      <c r="AJ454" s="697"/>
      <c r="AK454" s="697"/>
      <c r="AL454" s="697"/>
      <c r="AM454" s="697"/>
      <c r="AN454" s="697"/>
      <c r="AO454" s="697"/>
      <c r="AP454" s="697"/>
      <c r="AQ454" s="697"/>
      <c r="AR454" s="697"/>
      <c r="AS454" s="697"/>
      <c r="AT454" s="697"/>
      <c r="AU454" s="697"/>
      <c r="AV454" s="697"/>
      <c r="AW454" s="697"/>
      <c r="AX454" s="697"/>
      <c r="AY454" s="697"/>
      <c r="AZ454" s="697"/>
      <c r="BA454" s="697"/>
      <c r="BB454" s="697"/>
      <c r="BC454" s="697"/>
      <c r="BD454" s="697"/>
      <c r="BE454" s="697"/>
      <c r="BF454" s="697"/>
      <c r="BG454" s="697"/>
      <c r="BH454" s="697"/>
      <c r="BI454" s="697"/>
      <c r="BJ454" s="697"/>
      <c r="BK454" s="697"/>
      <c r="BL454" s="697"/>
      <c r="BM454" s="697"/>
      <c r="BN454" s="697"/>
      <c r="BO454" s="697"/>
      <c r="BP454" s="697"/>
      <c r="BQ454" s="697"/>
      <c r="BR454" s="697"/>
      <c r="BS454" s="697"/>
      <c r="BT454" s="697"/>
      <c r="BU454" s="697"/>
      <c r="BV454" s="697"/>
      <c r="BW454" s="697"/>
      <c r="BX454" s="697"/>
      <c r="BY454" s="697"/>
      <c r="BZ454" s="697"/>
      <c r="CA454" s="697"/>
      <c r="CB454" s="697"/>
      <c r="CC454" s="697"/>
      <c r="CD454" s="697"/>
      <c r="CE454" s="697"/>
      <c r="CF454" s="697"/>
      <c r="CG454" s="697"/>
      <c r="CH454" s="697"/>
      <c r="CI454" s="697"/>
      <c r="CJ454" s="697"/>
      <c r="CK454" s="697"/>
      <c r="CL454" s="697"/>
      <c r="CM454" s="697"/>
      <c r="CN454" s="697"/>
      <c r="CO454" s="697"/>
      <c r="CP454" s="697"/>
      <c r="CQ454" s="697"/>
      <c r="CR454" s="697"/>
      <c r="CS454" s="697"/>
      <c r="CT454" s="697"/>
      <c r="CU454" s="697"/>
      <c r="CV454" s="697"/>
      <c r="CW454" s="697"/>
      <c r="CX454" s="697"/>
      <c r="CY454" s="697"/>
      <c r="CZ454" s="697"/>
      <c r="DA454" s="697"/>
    </row>
    <row r="455" spans="1:105" hidden="1" outlineLevel="1" x14ac:dyDescent="0.2">
      <c r="A455" s="709">
        <f t="shared" si="89"/>
        <v>39661</v>
      </c>
      <c r="B455" s="709" t="str">
        <f t="shared" si="86"/>
        <v>3Q08</v>
      </c>
      <c r="C455" s="709" t="str">
        <f t="shared" si="90"/>
        <v>4Q08</v>
      </c>
      <c r="D455" s="710">
        <f t="shared" si="91"/>
        <v>39738</v>
      </c>
      <c r="E455" s="710">
        <f t="shared" si="91"/>
        <v>39678</v>
      </c>
      <c r="F455" s="712">
        <v>4.2069999999999999</v>
      </c>
      <c r="G455" s="713">
        <f t="shared" si="87"/>
        <v>0.62000000000000033</v>
      </c>
      <c r="H455" s="713">
        <f t="shared" si="88"/>
        <v>0.60000000000000031</v>
      </c>
      <c r="I455" s="697"/>
      <c r="J455" s="697"/>
      <c r="K455" s="697"/>
      <c r="L455" s="697"/>
      <c r="M455" s="697"/>
      <c r="N455" s="697"/>
      <c r="O455" s="697"/>
      <c r="P455" s="697"/>
      <c r="Q455" s="697"/>
      <c r="R455" s="697"/>
      <c r="S455" s="697"/>
      <c r="T455" s="697"/>
      <c r="U455" s="697"/>
      <c r="V455" s="697"/>
      <c r="W455" s="697"/>
      <c r="X455" s="697"/>
      <c r="Y455" s="697"/>
      <c r="Z455" s="697"/>
      <c r="AA455" s="697"/>
      <c r="AB455" s="697"/>
      <c r="AC455" s="697"/>
      <c r="AD455" s="697"/>
      <c r="AE455" s="697"/>
      <c r="AF455" s="697"/>
      <c r="AG455" s="697"/>
      <c r="AH455" s="697"/>
      <c r="AI455" s="697"/>
      <c r="AJ455" s="697"/>
      <c r="AK455" s="697"/>
      <c r="AL455" s="697"/>
      <c r="AM455" s="697"/>
      <c r="AN455" s="697"/>
      <c r="AO455" s="697"/>
      <c r="AP455" s="697"/>
      <c r="AQ455" s="697"/>
      <c r="AR455" s="697"/>
      <c r="AS455" s="697"/>
      <c r="AT455" s="697"/>
      <c r="AU455" s="697"/>
      <c r="AV455" s="697"/>
      <c r="AW455" s="697"/>
      <c r="AX455" s="697"/>
      <c r="AY455" s="697"/>
      <c r="AZ455" s="697"/>
      <c r="BA455" s="697"/>
      <c r="BB455" s="697"/>
      <c r="BC455" s="697"/>
      <c r="BD455" s="697"/>
      <c r="BE455" s="697"/>
      <c r="BF455" s="697"/>
      <c r="BG455" s="697"/>
      <c r="BH455" s="697"/>
      <c r="BI455" s="697"/>
      <c r="BJ455" s="697"/>
      <c r="BK455" s="697"/>
      <c r="BL455" s="697"/>
      <c r="BM455" s="697"/>
      <c r="BN455" s="697"/>
      <c r="BO455" s="697"/>
      <c r="BP455" s="697"/>
      <c r="BQ455" s="697"/>
      <c r="BR455" s="697"/>
      <c r="BS455" s="697"/>
      <c r="BT455" s="697"/>
      <c r="BU455" s="697"/>
      <c r="BV455" s="697"/>
      <c r="BW455" s="697"/>
      <c r="BX455" s="697"/>
      <c r="BY455" s="697"/>
      <c r="BZ455" s="697"/>
      <c r="CA455" s="697"/>
      <c r="CB455" s="697"/>
      <c r="CC455" s="697"/>
      <c r="CD455" s="697"/>
      <c r="CE455" s="697"/>
      <c r="CF455" s="697"/>
      <c r="CG455" s="697"/>
      <c r="CH455" s="697"/>
      <c r="CI455" s="697"/>
      <c r="CJ455" s="697"/>
      <c r="CK455" s="697"/>
      <c r="CL455" s="697"/>
      <c r="CM455" s="697"/>
      <c r="CN455" s="697"/>
      <c r="CO455" s="697"/>
      <c r="CP455" s="697"/>
      <c r="CQ455" s="697"/>
      <c r="CR455" s="697"/>
      <c r="CS455" s="697"/>
      <c r="CT455" s="697"/>
      <c r="CU455" s="697"/>
      <c r="CV455" s="697"/>
      <c r="CW455" s="697"/>
      <c r="CX455" s="697"/>
      <c r="CY455" s="697"/>
      <c r="CZ455" s="697"/>
      <c r="DA455" s="697"/>
    </row>
    <row r="456" spans="1:105" hidden="1" outlineLevel="1" x14ac:dyDescent="0.2">
      <c r="A456" s="709">
        <f t="shared" si="89"/>
        <v>39661</v>
      </c>
      <c r="B456" s="709" t="str">
        <f t="shared" si="86"/>
        <v>3Q08</v>
      </c>
      <c r="C456" s="709" t="str">
        <f t="shared" si="90"/>
        <v>4Q08</v>
      </c>
      <c r="D456" s="710">
        <f t="shared" si="91"/>
        <v>39745</v>
      </c>
      <c r="E456" s="710">
        <f t="shared" si="91"/>
        <v>39685</v>
      </c>
      <c r="F456" s="712">
        <v>4.1449999999999996</v>
      </c>
      <c r="G456" s="713">
        <f t="shared" si="87"/>
        <v>0.60000000000000031</v>
      </c>
      <c r="H456" s="713">
        <f t="shared" si="88"/>
        <v>0.60000000000000031</v>
      </c>
      <c r="I456" s="697"/>
      <c r="J456" s="697"/>
      <c r="K456" s="697"/>
      <c r="L456" s="697"/>
      <c r="M456" s="697"/>
      <c r="N456" s="697"/>
      <c r="O456" s="697"/>
      <c r="P456" s="697"/>
      <c r="Q456" s="697"/>
      <c r="R456" s="697"/>
      <c r="S456" s="697"/>
      <c r="T456" s="697"/>
      <c r="U456" s="697"/>
      <c r="V456" s="697"/>
      <c r="W456" s="697"/>
      <c r="X456" s="697"/>
      <c r="Y456" s="697"/>
      <c r="Z456" s="697"/>
      <c r="AA456" s="697"/>
      <c r="AB456" s="697"/>
      <c r="AC456" s="697"/>
      <c r="AD456" s="697"/>
      <c r="AE456" s="697"/>
      <c r="AF456" s="697"/>
      <c r="AG456" s="697"/>
      <c r="AH456" s="697"/>
      <c r="AI456" s="697"/>
      <c r="AJ456" s="697"/>
      <c r="AK456" s="697"/>
      <c r="AL456" s="697"/>
      <c r="AM456" s="697"/>
      <c r="AN456" s="697"/>
      <c r="AO456" s="697"/>
      <c r="AP456" s="697"/>
      <c r="AQ456" s="697"/>
      <c r="AR456" s="697"/>
      <c r="AS456" s="697"/>
      <c r="AT456" s="697"/>
      <c r="AU456" s="697"/>
      <c r="AV456" s="697"/>
      <c r="AW456" s="697"/>
      <c r="AX456" s="697"/>
      <c r="AY456" s="697"/>
      <c r="AZ456" s="697"/>
      <c r="BA456" s="697"/>
      <c r="BB456" s="697"/>
      <c r="BC456" s="697"/>
      <c r="BD456" s="697"/>
      <c r="BE456" s="697"/>
      <c r="BF456" s="697"/>
      <c r="BG456" s="697"/>
      <c r="BH456" s="697"/>
      <c r="BI456" s="697"/>
      <c r="BJ456" s="697"/>
      <c r="BK456" s="697"/>
      <c r="BL456" s="697"/>
      <c r="BM456" s="697"/>
      <c r="BN456" s="697"/>
      <c r="BO456" s="697"/>
      <c r="BP456" s="697"/>
      <c r="BQ456" s="697"/>
      <c r="BR456" s="697"/>
      <c r="BS456" s="697"/>
      <c r="BT456" s="697"/>
      <c r="BU456" s="697"/>
      <c r="BV456" s="697"/>
      <c r="BW456" s="697"/>
      <c r="BX456" s="697"/>
      <c r="BY456" s="697"/>
      <c r="BZ456" s="697"/>
      <c r="CA456" s="697"/>
      <c r="CB456" s="697"/>
      <c r="CC456" s="697"/>
      <c r="CD456" s="697"/>
      <c r="CE456" s="697"/>
      <c r="CF456" s="697"/>
      <c r="CG456" s="697"/>
      <c r="CH456" s="697"/>
      <c r="CI456" s="697"/>
      <c r="CJ456" s="697"/>
      <c r="CK456" s="697"/>
      <c r="CL456" s="697"/>
      <c r="CM456" s="697"/>
      <c r="CN456" s="697"/>
      <c r="CO456" s="697"/>
      <c r="CP456" s="697"/>
      <c r="CQ456" s="697"/>
      <c r="CR456" s="697"/>
      <c r="CS456" s="697"/>
      <c r="CT456" s="697"/>
      <c r="CU456" s="697"/>
      <c r="CV456" s="697"/>
      <c r="CW456" s="697"/>
      <c r="CX456" s="697"/>
      <c r="CY456" s="697"/>
      <c r="CZ456" s="697"/>
      <c r="DA456" s="697"/>
    </row>
    <row r="457" spans="1:105" hidden="1" outlineLevel="1" x14ac:dyDescent="0.2">
      <c r="A457" s="709">
        <f t="shared" si="89"/>
        <v>39692</v>
      </c>
      <c r="B457" s="709" t="str">
        <f t="shared" si="86"/>
        <v>3Q08</v>
      </c>
      <c r="C457" s="709" t="str">
        <f t="shared" si="90"/>
        <v>4Q08</v>
      </c>
      <c r="D457" s="710">
        <f t="shared" si="91"/>
        <v>39752</v>
      </c>
      <c r="E457" s="710">
        <f t="shared" si="91"/>
        <v>39692</v>
      </c>
      <c r="F457" s="712">
        <v>4.1210000000000004</v>
      </c>
      <c r="G457" s="713">
        <f t="shared" si="87"/>
        <v>0.60000000000000031</v>
      </c>
      <c r="H457" s="713">
        <f t="shared" si="88"/>
        <v>0.5900000000000003</v>
      </c>
      <c r="I457" s="697"/>
      <c r="J457" s="697"/>
      <c r="K457" s="697"/>
      <c r="L457" s="697"/>
      <c r="M457" s="697"/>
      <c r="N457" s="697"/>
      <c r="O457" s="697"/>
      <c r="P457" s="697"/>
      <c r="Q457" s="697"/>
      <c r="R457" s="697"/>
      <c r="S457" s="697"/>
      <c r="T457" s="697"/>
      <c r="U457" s="697"/>
      <c r="V457" s="697"/>
      <c r="W457" s="697"/>
      <c r="X457" s="697"/>
      <c r="Y457" s="697"/>
      <c r="Z457" s="697"/>
      <c r="AA457" s="697"/>
      <c r="AB457" s="697"/>
      <c r="AC457" s="697"/>
      <c r="AD457" s="697"/>
      <c r="AE457" s="697"/>
      <c r="AF457" s="697"/>
      <c r="AG457" s="697"/>
      <c r="AH457" s="697"/>
      <c r="AI457" s="697"/>
      <c r="AJ457" s="697"/>
      <c r="AK457" s="697"/>
      <c r="AL457" s="697"/>
      <c r="AM457" s="697"/>
      <c r="AN457" s="697"/>
      <c r="AO457" s="697"/>
      <c r="AP457" s="697"/>
      <c r="AQ457" s="697"/>
      <c r="AR457" s="697"/>
      <c r="AS457" s="697"/>
      <c r="AT457" s="697"/>
      <c r="AU457" s="697"/>
      <c r="AV457" s="697"/>
      <c r="AW457" s="697"/>
      <c r="AX457" s="697"/>
      <c r="AY457" s="697"/>
      <c r="AZ457" s="697"/>
      <c r="BA457" s="697"/>
      <c r="BB457" s="697"/>
      <c r="BC457" s="697"/>
      <c r="BD457" s="697"/>
      <c r="BE457" s="697"/>
      <c r="BF457" s="697"/>
      <c r="BG457" s="697"/>
      <c r="BH457" s="697"/>
      <c r="BI457" s="697"/>
      <c r="BJ457" s="697"/>
      <c r="BK457" s="697"/>
      <c r="BL457" s="697"/>
      <c r="BM457" s="697"/>
      <c r="BN457" s="697"/>
      <c r="BO457" s="697"/>
      <c r="BP457" s="697"/>
      <c r="BQ457" s="697"/>
      <c r="BR457" s="697"/>
      <c r="BS457" s="697"/>
      <c r="BT457" s="697"/>
      <c r="BU457" s="697"/>
      <c r="BV457" s="697"/>
      <c r="BW457" s="697"/>
      <c r="BX457" s="697"/>
      <c r="BY457" s="697"/>
      <c r="BZ457" s="697"/>
      <c r="CA457" s="697"/>
      <c r="CB457" s="697"/>
      <c r="CC457" s="697"/>
      <c r="CD457" s="697"/>
      <c r="CE457" s="697"/>
      <c r="CF457" s="697"/>
      <c r="CG457" s="697"/>
      <c r="CH457" s="697"/>
      <c r="CI457" s="697"/>
      <c r="CJ457" s="697"/>
      <c r="CK457" s="697"/>
      <c r="CL457" s="697"/>
      <c r="CM457" s="697"/>
      <c r="CN457" s="697"/>
      <c r="CO457" s="697"/>
      <c r="CP457" s="697"/>
      <c r="CQ457" s="697"/>
      <c r="CR457" s="697"/>
      <c r="CS457" s="697"/>
      <c r="CT457" s="697"/>
      <c r="CU457" s="697"/>
      <c r="CV457" s="697"/>
      <c r="CW457" s="697"/>
      <c r="CX457" s="697"/>
      <c r="CY457" s="697"/>
      <c r="CZ457" s="697"/>
      <c r="DA457" s="697"/>
    </row>
    <row r="458" spans="1:105" hidden="1" outlineLevel="1" x14ac:dyDescent="0.2">
      <c r="A458" s="709">
        <f t="shared" si="89"/>
        <v>39692</v>
      </c>
      <c r="B458" s="709" t="str">
        <f t="shared" si="86"/>
        <v>3Q08</v>
      </c>
      <c r="C458" s="709" t="str">
        <f t="shared" si="90"/>
        <v>4Q08</v>
      </c>
      <c r="D458" s="710">
        <f t="shared" si="91"/>
        <v>39759</v>
      </c>
      <c r="E458" s="710">
        <f t="shared" si="91"/>
        <v>39699</v>
      </c>
      <c r="F458" s="712">
        <v>4.0590000000000002</v>
      </c>
      <c r="G458" s="713">
        <f t="shared" si="87"/>
        <v>0.5900000000000003</v>
      </c>
      <c r="H458" s="713">
        <f t="shared" si="88"/>
        <v>0.58000000000000029</v>
      </c>
      <c r="I458" s="697"/>
      <c r="J458" s="697"/>
      <c r="K458" s="697"/>
      <c r="L458" s="697"/>
      <c r="M458" s="697"/>
      <c r="N458" s="697"/>
      <c r="O458" s="697"/>
      <c r="P458" s="697"/>
      <c r="Q458" s="697"/>
      <c r="R458" s="697"/>
      <c r="S458" s="697"/>
      <c r="T458" s="697"/>
      <c r="U458" s="697"/>
      <c r="V458" s="697"/>
      <c r="W458" s="697"/>
      <c r="X458" s="697"/>
      <c r="Y458" s="697"/>
      <c r="Z458" s="697"/>
      <c r="AA458" s="697"/>
      <c r="AB458" s="697"/>
      <c r="AC458" s="697"/>
      <c r="AD458" s="697"/>
      <c r="AE458" s="697"/>
      <c r="AF458" s="697"/>
      <c r="AG458" s="697"/>
      <c r="AH458" s="697"/>
      <c r="AI458" s="697"/>
      <c r="AJ458" s="697"/>
      <c r="AK458" s="697"/>
      <c r="AL458" s="697"/>
      <c r="AM458" s="697"/>
      <c r="AN458" s="697"/>
      <c r="AO458" s="697"/>
      <c r="AP458" s="697"/>
      <c r="AQ458" s="697"/>
      <c r="AR458" s="697"/>
      <c r="AS458" s="697"/>
      <c r="AT458" s="697"/>
      <c r="AU458" s="697"/>
      <c r="AV458" s="697"/>
      <c r="AW458" s="697"/>
      <c r="AX458" s="697"/>
      <c r="AY458" s="697"/>
      <c r="AZ458" s="697"/>
      <c r="BA458" s="697"/>
      <c r="BB458" s="697"/>
      <c r="BC458" s="697"/>
      <c r="BD458" s="697"/>
      <c r="BE458" s="697"/>
      <c r="BF458" s="697"/>
      <c r="BG458" s="697"/>
      <c r="BH458" s="697"/>
      <c r="BI458" s="697"/>
      <c r="BJ458" s="697"/>
      <c r="BK458" s="697"/>
      <c r="BL458" s="697"/>
      <c r="BM458" s="697"/>
      <c r="BN458" s="697"/>
      <c r="BO458" s="697"/>
      <c r="BP458" s="697"/>
      <c r="BQ458" s="697"/>
      <c r="BR458" s="697"/>
      <c r="BS458" s="697"/>
      <c r="BT458" s="697"/>
      <c r="BU458" s="697"/>
      <c r="BV458" s="697"/>
      <c r="BW458" s="697"/>
      <c r="BX458" s="697"/>
      <c r="BY458" s="697"/>
      <c r="BZ458" s="697"/>
      <c r="CA458" s="697"/>
      <c r="CB458" s="697"/>
      <c r="CC458" s="697"/>
      <c r="CD458" s="697"/>
      <c r="CE458" s="697"/>
      <c r="CF458" s="697"/>
      <c r="CG458" s="697"/>
      <c r="CH458" s="697"/>
      <c r="CI458" s="697"/>
      <c r="CJ458" s="697"/>
      <c r="CK458" s="697"/>
      <c r="CL458" s="697"/>
      <c r="CM458" s="697"/>
      <c r="CN458" s="697"/>
      <c r="CO458" s="697"/>
      <c r="CP458" s="697"/>
      <c r="CQ458" s="697"/>
      <c r="CR458" s="697"/>
      <c r="CS458" s="697"/>
      <c r="CT458" s="697"/>
      <c r="CU458" s="697"/>
      <c r="CV458" s="697"/>
      <c r="CW458" s="697"/>
      <c r="CX458" s="697"/>
      <c r="CY458" s="697"/>
      <c r="CZ458" s="697"/>
      <c r="DA458" s="697"/>
    </row>
    <row r="459" spans="1:105" hidden="1" outlineLevel="1" x14ac:dyDescent="0.2">
      <c r="A459" s="709">
        <f t="shared" si="89"/>
        <v>39692</v>
      </c>
      <c r="B459" s="709" t="str">
        <f t="shared" si="86"/>
        <v>3Q08</v>
      </c>
      <c r="C459" s="709" t="str">
        <f t="shared" si="90"/>
        <v>4Q08</v>
      </c>
      <c r="D459" s="710">
        <f t="shared" si="91"/>
        <v>39766</v>
      </c>
      <c r="E459" s="710">
        <f t="shared" si="91"/>
        <v>39706</v>
      </c>
      <c r="F459" s="712">
        <v>4.0229999999999997</v>
      </c>
      <c r="G459" s="713">
        <f t="shared" si="87"/>
        <v>0.58000000000000029</v>
      </c>
      <c r="H459" s="713">
        <f t="shared" si="88"/>
        <v>0.57000000000000028</v>
      </c>
      <c r="I459" s="697"/>
      <c r="J459" s="697"/>
      <c r="K459" s="697"/>
      <c r="L459" s="697"/>
      <c r="M459" s="697"/>
      <c r="N459" s="697"/>
      <c r="O459" s="697"/>
      <c r="P459" s="697"/>
      <c r="Q459" s="697"/>
      <c r="R459" s="697"/>
      <c r="S459" s="697"/>
      <c r="T459" s="697"/>
      <c r="U459" s="697"/>
      <c r="V459" s="697"/>
      <c r="W459" s="697"/>
      <c r="X459" s="697"/>
      <c r="Y459" s="697"/>
      <c r="Z459" s="697"/>
      <c r="AA459" s="697"/>
      <c r="AB459" s="697"/>
      <c r="AC459" s="697"/>
      <c r="AD459" s="697"/>
      <c r="AE459" s="697"/>
      <c r="AF459" s="697"/>
      <c r="AG459" s="697"/>
      <c r="AH459" s="697"/>
      <c r="AI459" s="697"/>
      <c r="AJ459" s="697"/>
      <c r="AK459" s="697"/>
      <c r="AL459" s="697"/>
      <c r="AM459" s="697"/>
      <c r="AN459" s="697"/>
      <c r="AO459" s="697"/>
      <c r="AP459" s="697"/>
      <c r="AQ459" s="697"/>
      <c r="AR459" s="697"/>
      <c r="AS459" s="697"/>
      <c r="AT459" s="697"/>
      <c r="AU459" s="697"/>
      <c r="AV459" s="697"/>
      <c r="AW459" s="697"/>
      <c r="AX459" s="697"/>
      <c r="AY459" s="697"/>
      <c r="AZ459" s="697"/>
      <c r="BA459" s="697"/>
      <c r="BB459" s="697"/>
      <c r="BC459" s="697"/>
      <c r="BD459" s="697"/>
      <c r="BE459" s="697"/>
      <c r="BF459" s="697"/>
      <c r="BG459" s="697"/>
      <c r="BH459" s="697"/>
      <c r="BI459" s="697"/>
      <c r="BJ459" s="697"/>
      <c r="BK459" s="697"/>
      <c r="BL459" s="697"/>
      <c r="BM459" s="697"/>
      <c r="BN459" s="697"/>
      <c r="BO459" s="697"/>
      <c r="BP459" s="697"/>
      <c r="BQ459" s="697"/>
      <c r="BR459" s="697"/>
      <c r="BS459" s="697"/>
      <c r="BT459" s="697"/>
      <c r="BU459" s="697"/>
      <c r="BV459" s="697"/>
      <c r="BW459" s="697"/>
      <c r="BX459" s="697"/>
      <c r="BY459" s="697"/>
      <c r="BZ459" s="697"/>
      <c r="CA459" s="697"/>
      <c r="CB459" s="697"/>
      <c r="CC459" s="697"/>
      <c r="CD459" s="697"/>
      <c r="CE459" s="697"/>
      <c r="CF459" s="697"/>
      <c r="CG459" s="697"/>
      <c r="CH459" s="697"/>
      <c r="CI459" s="697"/>
      <c r="CJ459" s="697"/>
      <c r="CK459" s="697"/>
      <c r="CL459" s="697"/>
      <c r="CM459" s="697"/>
      <c r="CN459" s="697"/>
      <c r="CO459" s="697"/>
      <c r="CP459" s="697"/>
      <c r="CQ459" s="697"/>
      <c r="CR459" s="697"/>
      <c r="CS459" s="697"/>
      <c r="CT459" s="697"/>
      <c r="CU459" s="697"/>
      <c r="CV459" s="697"/>
      <c r="CW459" s="697"/>
      <c r="CX459" s="697"/>
      <c r="CY459" s="697"/>
      <c r="CZ459" s="697"/>
      <c r="DA459" s="697"/>
    </row>
    <row r="460" spans="1:105" hidden="1" outlineLevel="1" x14ac:dyDescent="0.2">
      <c r="A460" s="709">
        <f t="shared" si="89"/>
        <v>39692</v>
      </c>
      <c r="B460" s="709" t="str">
        <f t="shared" si="86"/>
        <v>3Q08</v>
      </c>
      <c r="C460" s="709" t="str">
        <f t="shared" si="90"/>
        <v>4Q08</v>
      </c>
      <c r="D460" s="710">
        <f t="shared" si="91"/>
        <v>39773</v>
      </c>
      <c r="E460" s="710">
        <f t="shared" si="91"/>
        <v>39713</v>
      </c>
      <c r="F460" s="712">
        <v>3.9580000000000002</v>
      </c>
      <c r="G460" s="713">
        <f t="shared" si="87"/>
        <v>0.57000000000000028</v>
      </c>
      <c r="H460" s="713">
        <f t="shared" si="88"/>
        <v>0.57000000000000028</v>
      </c>
      <c r="I460" s="697"/>
      <c r="J460" s="697"/>
      <c r="K460" s="697"/>
      <c r="L460" s="697"/>
      <c r="M460" s="697"/>
      <c r="N460" s="697"/>
      <c r="O460" s="697"/>
      <c r="P460" s="697"/>
      <c r="Q460" s="697"/>
      <c r="R460" s="697"/>
      <c r="S460" s="697"/>
      <c r="T460" s="697"/>
      <c r="U460" s="697"/>
      <c r="V460" s="697"/>
      <c r="W460" s="697"/>
      <c r="X460" s="697"/>
      <c r="Y460" s="697"/>
      <c r="Z460" s="697"/>
      <c r="AA460" s="697"/>
      <c r="AB460" s="697"/>
      <c r="AC460" s="697"/>
      <c r="AD460" s="697"/>
      <c r="AE460" s="697"/>
      <c r="AF460" s="697"/>
      <c r="AG460" s="697"/>
      <c r="AH460" s="697"/>
      <c r="AI460" s="697"/>
      <c r="AJ460" s="697"/>
      <c r="AK460" s="697"/>
      <c r="AL460" s="697"/>
      <c r="AM460" s="697"/>
      <c r="AN460" s="697"/>
      <c r="AO460" s="697"/>
      <c r="AP460" s="697"/>
      <c r="AQ460" s="697"/>
      <c r="AR460" s="697"/>
      <c r="AS460" s="697"/>
      <c r="AT460" s="697"/>
      <c r="AU460" s="697"/>
      <c r="AV460" s="697"/>
      <c r="AW460" s="697"/>
      <c r="AX460" s="697"/>
      <c r="AY460" s="697"/>
      <c r="AZ460" s="697"/>
      <c r="BA460" s="697"/>
      <c r="BB460" s="697"/>
      <c r="BC460" s="697"/>
      <c r="BD460" s="697"/>
      <c r="BE460" s="697"/>
      <c r="BF460" s="697"/>
      <c r="BG460" s="697"/>
      <c r="BH460" s="697"/>
      <c r="BI460" s="697"/>
      <c r="BJ460" s="697"/>
      <c r="BK460" s="697"/>
      <c r="BL460" s="697"/>
      <c r="BM460" s="697"/>
      <c r="BN460" s="697"/>
      <c r="BO460" s="697"/>
      <c r="BP460" s="697"/>
      <c r="BQ460" s="697"/>
      <c r="BR460" s="697"/>
      <c r="BS460" s="697"/>
      <c r="BT460" s="697"/>
      <c r="BU460" s="697"/>
      <c r="BV460" s="697"/>
      <c r="BW460" s="697"/>
      <c r="BX460" s="697"/>
      <c r="BY460" s="697"/>
      <c r="BZ460" s="697"/>
      <c r="CA460" s="697"/>
      <c r="CB460" s="697"/>
      <c r="CC460" s="697"/>
      <c r="CD460" s="697"/>
      <c r="CE460" s="697"/>
      <c r="CF460" s="697"/>
      <c r="CG460" s="697"/>
      <c r="CH460" s="697"/>
      <c r="CI460" s="697"/>
      <c r="CJ460" s="697"/>
      <c r="CK460" s="697"/>
      <c r="CL460" s="697"/>
      <c r="CM460" s="697"/>
      <c r="CN460" s="697"/>
      <c r="CO460" s="697"/>
      <c r="CP460" s="697"/>
      <c r="CQ460" s="697"/>
      <c r="CR460" s="697"/>
      <c r="CS460" s="697"/>
      <c r="CT460" s="697"/>
      <c r="CU460" s="697"/>
      <c r="CV460" s="697"/>
      <c r="CW460" s="697"/>
      <c r="CX460" s="697"/>
      <c r="CY460" s="697"/>
      <c r="CZ460" s="697"/>
      <c r="DA460" s="697"/>
    </row>
    <row r="461" spans="1:105" hidden="1" outlineLevel="1" x14ac:dyDescent="0.2">
      <c r="A461" s="709">
        <f t="shared" si="89"/>
        <v>39692</v>
      </c>
      <c r="B461" s="709" t="str">
        <f t="shared" si="86"/>
        <v>3Q08</v>
      </c>
      <c r="C461" s="709" t="str">
        <f t="shared" si="90"/>
        <v>4Q08</v>
      </c>
      <c r="D461" s="710">
        <f t="shared" si="91"/>
        <v>39780</v>
      </c>
      <c r="E461" s="710">
        <f t="shared" si="91"/>
        <v>39720</v>
      </c>
      <c r="F461" s="712">
        <v>3.9590000000000001</v>
      </c>
      <c r="G461" s="713">
        <f t="shared" si="87"/>
        <v>0.57000000000000028</v>
      </c>
      <c r="H461" s="713">
        <f t="shared" si="88"/>
        <v>0.55000000000000027</v>
      </c>
      <c r="I461" s="697"/>
      <c r="J461" s="697"/>
      <c r="K461" s="697"/>
      <c r="L461" s="697"/>
      <c r="M461" s="697"/>
      <c r="N461" s="697"/>
      <c r="O461" s="697"/>
      <c r="P461" s="697"/>
      <c r="Q461" s="697"/>
      <c r="R461" s="697"/>
      <c r="S461" s="697"/>
      <c r="T461" s="697"/>
      <c r="U461" s="697"/>
      <c r="V461" s="697"/>
      <c r="W461" s="697"/>
      <c r="X461" s="697"/>
      <c r="Y461" s="697"/>
      <c r="Z461" s="697"/>
      <c r="AA461" s="697"/>
      <c r="AB461" s="697"/>
      <c r="AC461" s="697"/>
      <c r="AD461" s="697"/>
      <c r="AE461" s="697"/>
      <c r="AF461" s="697"/>
      <c r="AG461" s="697"/>
      <c r="AH461" s="697"/>
      <c r="AI461" s="697"/>
      <c r="AJ461" s="697"/>
      <c r="AK461" s="697"/>
      <c r="AL461" s="697"/>
      <c r="AM461" s="697"/>
      <c r="AN461" s="697"/>
      <c r="AO461" s="697"/>
      <c r="AP461" s="697"/>
      <c r="AQ461" s="697"/>
      <c r="AR461" s="697"/>
      <c r="AS461" s="697"/>
      <c r="AT461" s="697"/>
      <c r="AU461" s="697"/>
      <c r="AV461" s="697"/>
      <c r="AW461" s="697"/>
      <c r="AX461" s="697"/>
      <c r="AY461" s="697"/>
      <c r="AZ461" s="697"/>
      <c r="BA461" s="697"/>
      <c r="BB461" s="697"/>
      <c r="BC461" s="697"/>
      <c r="BD461" s="697"/>
      <c r="BE461" s="697"/>
      <c r="BF461" s="697"/>
      <c r="BG461" s="697"/>
      <c r="BH461" s="697"/>
      <c r="BI461" s="697"/>
      <c r="BJ461" s="697"/>
      <c r="BK461" s="697"/>
      <c r="BL461" s="697"/>
      <c r="BM461" s="697"/>
      <c r="BN461" s="697"/>
      <c r="BO461" s="697"/>
      <c r="BP461" s="697"/>
      <c r="BQ461" s="697"/>
      <c r="BR461" s="697"/>
      <c r="BS461" s="697"/>
      <c r="BT461" s="697"/>
      <c r="BU461" s="697"/>
      <c r="BV461" s="697"/>
      <c r="BW461" s="697"/>
      <c r="BX461" s="697"/>
      <c r="BY461" s="697"/>
      <c r="BZ461" s="697"/>
      <c r="CA461" s="697"/>
      <c r="CB461" s="697"/>
      <c r="CC461" s="697"/>
      <c r="CD461" s="697"/>
      <c r="CE461" s="697"/>
      <c r="CF461" s="697"/>
      <c r="CG461" s="697"/>
      <c r="CH461" s="697"/>
      <c r="CI461" s="697"/>
      <c r="CJ461" s="697"/>
      <c r="CK461" s="697"/>
      <c r="CL461" s="697"/>
      <c r="CM461" s="697"/>
      <c r="CN461" s="697"/>
      <c r="CO461" s="697"/>
      <c r="CP461" s="697"/>
      <c r="CQ461" s="697"/>
      <c r="CR461" s="697"/>
      <c r="CS461" s="697"/>
      <c r="CT461" s="697"/>
      <c r="CU461" s="697"/>
      <c r="CV461" s="697"/>
      <c r="CW461" s="697"/>
      <c r="CX461" s="697"/>
      <c r="CY461" s="697"/>
      <c r="CZ461" s="697"/>
      <c r="DA461" s="697"/>
    </row>
    <row r="462" spans="1:105" hidden="1" outlineLevel="1" x14ac:dyDescent="0.2">
      <c r="A462" s="709">
        <f t="shared" si="89"/>
        <v>39722</v>
      </c>
      <c r="B462" s="709" t="str">
        <f t="shared" si="86"/>
        <v>4Q08</v>
      </c>
      <c r="C462" s="709" t="str">
        <f t="shared" si="90"/>
        <v>4Q08</v>
      </c>
      <c r="D462" s="710">
        <f t="shared" si="91"/>
        <v>39787</v>
      </c>
      <c r="E462" s="710">
        <f t="shared" si="91"/>
        <v>39727</v>
      </c>
      <c r="F462" s="712">
        <v>3.875</v>
      </c>
      <c r="G462" s="713">
        <f t="shared" si="87"/>
        <v>0.55000000000000027</v>
      </c>
      <c r="H462" s="713">
        <f t="shared" si="88"/>
        <v>0.51000000000000023</v>
      </c>
      <c r="I462" s="697"/>
      <c r="J462" s="697"/>
      <c r="K462" s="697"/>
      <c r="L462" s="697"/>
      <c r="M462" s="697"/>
      <c r="N462" s="697"/>
      <c r="O462" s="697"/>
      <c r="P462" s="697"/>
      <c r="Q462" s="697"/>
      <c r="R462" s="697"/>
      <c r="S462" s="697"/>
      <c r="T462" s="697"/>
      <c r="U462" s="697"/>
      <c r="V462" s="697"/>
      <c r="W462" s="697"/>
      <c r="X462" s="697"/>
      <c r="Y462" s="697"/>
      <c r="Z462" s="697"/>
      <c r="AA462" s="697"/>
      <c r="AB462" s="697"/>
      <c r="AC462" s="697"/>
      <c r="AD462" s="697"/>
      <c r="AE462" s="697"/>
      <c r="AF462" s="697"/>
      <c r="AG462" s="697"/>
      <c r="AH462" s="697"/>
      <c r="AI462" s="697"/>
      <c r="AJ462" s="697"/>
      <c r="AK462" s="697"/>
      <c r="AL462" s="697"/>
      <c r="AM462" s="697"/>
      <c r="AN462" s="697"/>
      <c r="AO462" s="697"/>
      <c r="AP462" s="697"/>
      <c r="AQ462" s="697"/>
      <c r="AR462" s="697"/>
      <c r="AS462" s="697"/>
      <c r="AT462" s="697"/>
      <c r="AU462" s="697"/>
      <c r="AV462" s="697"/>
      <c r="AW462" s="697"/>
      <c r="AX462" s="697"/>
      <c r="AY462" s="697"/>
      <c r="AZ462" s="697"/>
      <c r="BA462" s="697"/>
      <c r="BB462" s="697"/>
      <c r="BC462" s="697"/>
      <c r="BD462" s="697"/>
      <c r="BE462" s="697"/>
      <c r="BF462" s="697"/>
      <c r="BG462" s="697"/>
      <c r="BH462" s="697"/>
      <c r="BI462" s="697"/>
      <c r="BJ462" s="697"/>
      <c r="BK462" s="697"/>
      <c r="BL462" s="697"/>
      <c r="BM462" s="697"/>
      <c r="BN462" s="697"/>
      <c r="BO462" s="697"/>
      <c r="BP462" s="697"/>
      <c r="BQ462" s="697"/>
      <c r="BR462" s="697"/>
      <c r="BS462" s="697"/>
      <c r="BT462" s="697"/>
      <c r="BU462" s="697"/>
      <c r="BV462" s="697"/>
      <c r="BW462" s="697"/>
      <c r="BX462" s="697"/>
      <c r="BY462" s="697"/>
      <c r="BZ462" s="697"/>
      <c r="CA462" s="697"/>
      <c r="CB462" s="697"/>
      <c r="CC462" s="697"/>
      <c r="CD462" s="697"/>
      <c r="CE462" s="697"/>
      <c r="CF462" s="697"/>
      <c r="CG462" s="697"/>
      <c r="CH462" s="697"/>
      <c r="CI462" s="697"/>
      <c r="CJ462" s="697"/>
      <c r="CK462" s="697"/>
      <c r="CL462" s="697"/>
      <c r="CM462" s="697"/>
      <c r="CN462" s="697"/>
      <c r="CO462" s="697"/>
      <c r="CP462" s="697"/>
      <c r="CQ462" s="697"/>
      <c r="CR462" s="697"/>
      <c r="CS462" s="697"/>
      <c r="CT462" s="697"/>
      <c r="CU462" s="697"/>
      <c r="CV462" s="697"/>
      <c r="CW462" s="697"/>
      <c r="CX462" s="697"/>
      <c r="CY462" s="697"/>
      <c r="CZ462" s="697"/>
      <c r="DA462" s="697"/>
    </row>
    <row r="463" spans="1:105" hidden="1" outlineLevel="1" x14ac:dyDescent="0.2">
      <c r="A463" s="709">
        <f t="shared" si="89"/>
        <v>39722</v>
      </c>
      <c r="B463" s="709" t="str">
        <f t="shared" si="86"/>
        <v>4Q08</v>
      </c>
      <c r="C463" s="709" t="str">
        <f t="shared" si="90"/>
        <v>4Q08</v>
      </c>
      <c r="D463" s="710">
        <f t="shared" si="91"/>
        <v>39794</v>
      </c>
      <c r="E463" s="710">
        <f t="shared" si="91"/>
        <v>39734</v>
      </c>
      <c r="F463" s="712">
        <v>3.6589999999999998</v>
      </c>
      <c r="G463" s="713">
        <f t="shared" si="87"/>
        <v>0.51000000000000023</v>
      </c>
      <c r="H463" s="713">
        <f t="shared" si="88"/>
        <v>0.47000000000000025</v>
      </c>
      <c r="I463" s="697"/>
      <c r="J463" s="697"/>
      <c r="K463" s="697"/>
      <c r="L463" s="697"/>
      <c r="M463" s="697"/>
      <c r="N463" s="697"/>
      <c r="O463" s="697"/>
      <c r="P463" s="697"/>
      <c r="Q463" s="697"/>
      <c r="R463" s="697"/>
      <c r="S463" s="697"/>
      <c r="T463" s="697"/>
      <c r="U463" s="697"/>
      <c r="V463" s="697"/>
      <c r="W463" s="697"/>
      <c r="X463" s="697"/>
      <c r="Y463" s="697"/>
      <c r="Z463" s="697"/>
      <c r="AA463" s="697"/>
      <c r="AB463" s="697"/>
      <c r="AC463" s="697"/>
      <c r="AD463" s="697"/>
      <c r="AE463" s="697"/>
      <c r="AF463" s="697"/>
      <c r="AG463" s="697"/>
      <c r="AH463" s="697"/>
      <c r="AI463" s="697"/>
      <c r="AJ463" s="697"/>
      <c r="AK463" s="697"/>
      <c r="AL463" s="697"/>
      <c r="AM463" s="697"/>
      <c r="AN463" s="697"/>
      <c r="AO463" s="697"/>
      <c r="AP463" s="697"/>
      <c r="AQ463" s="697"/>
      <c r="AR463" s="697"/>
      <c r="AS463" s="697"/>
      <c r="AT463" s="697"/>
      <c r="AU463" s="697"/>
      <c r="AV463" s="697"/>
      <c r="AW463" s="697"/>
      <c r="AX463" s="697"/>
      <c r="AY463" s="697"/>
      <c r="AZ463" s="697"/>
      <c r="BA463" s="697"/>
      <c r="BB463" s="697"/>
      <c r="BC463" s="697"/>
      <c r="BD463" s="697"/>
      <c r="BE463" s="697"/>
      <c r="BF463" s="697"/>
      <c r="BG463" s="697"/>
      <c r="BH463" s="697"/>
      <c r="BI463" s="697"/>
      <c r="BJ463" s="697"/>
      <c r="BK463" s="697"/>
      <c r="BL463" s="697"/>
      <c r="BM463" s="697"/>
      <c r="BN463" s="697"/>
      <c r="BO463" s="697"/>
      <c r="BP463" s="697"/>
      <c r="BQ463" s="697"/>
      <c r="BR463" s="697"/>
      <c r="BS463" s="697"/>
      <c r="BT463" s="697"/>
      <c r="BU463" s="697"/>
      <c r="BV463" s="697"/>
      <c r="BW463" s="697"/>
      <c r="BX463" s="697"/>
      <c r="BY463" s="697"/>
      <c r="BZ463" s="697"/>
      <c r="CA463" s="697"/>
      <c r="CB463" s="697"/>
      <c r="CC463" s="697"/>
      <c r="CD463" s="697"/>
      <c r="CE463" s="697"/>
      <c r="CF463" s="697"/>
      <c r="CG463" s="697"/>
      <c r="CH463" s="697"/>
      <c r="CI463" s="697"/>
      <c r="CJ463" s="697"/>
      <c r="CK463" s="697"/>
      <c r="CL463" s="697"/>
      <c r="CM463" s="697"/>
      <c r="CN463" s="697"/>
      <c r="CO463" s="697"/>
      <c r="CP463" s="697"/>
      <c r="CQ463" s="697"/>
      <c r="CR463" s="697"/>
      <c r="CS463" s="697"/>
      <c r="CT463" s="697"/>
      <c r="CU463" s="697"/>
      <c r="CV463" s="697"/>
      <c r="CW463" s="697"/>
      <c r="CX463" s="697"/>
      <c r="CY463" s="697"/>
      <c r="CZ463" s="697"/>
      <c r="DA463" s="697"/>
    </row>
    <row r="464" spans="1:105" hidden="1" outlineLevel="1" x14ac:dyDescent="0.2">
      <c r="A464" s="709">
        <f t="shared" si="89"/>
        <v>39722</v>
      </c>
      <c r="B464" s="709" t="str">
        <f t="shared" si="86"/>
        <v>4Q08</v>
      </c>
      <c r="C464" s="709" t="str">
        <f t="shared" si="90"/>
        <v>4Q08</v>
      </c>
      <c r="D464" s="710">
        <f t="shared" si="91"/>
        <v>39801</v>
      </c>
      <c r="E464" s="710">
        <f t="shared" si="91"/>
        <v>39741</v>
      </c>
      <c r="F464" s="712">
        <v>3.4820000000000002</v>
      </c>
      <c r="G464" s="713">
        <f t="shared" si="87"/>
        <v>0.47000000000000025</v>
      </c>
      <c r="H464" s="713">
        <f t="shared" si="88"/>
        <v>0.43000000000000022</v>
      </c>
      <c r="I464" s="697"/>
      <c r="J464" s="697"/>
      <c r="K464" s="697"/>
      <c r="L464" s="697"/>
      <c r="M464" s="697"/>
      <c r="N464" s="697"/>
      <c r="O464" s="697"/>
      <c r="P464" s="697"/>
      <c r="Q464" s="697"/>
      <c r="R464" s="697"/>
      <c r="S464" s="697"/>
      <c r="T464" s="697"/>
      <c r="U464" s="697"/>
      <c r="V464" s="697"/>
      <c r="W464" s="697"/>
      <c r="X464" s="697"/>
      <c r="Y464" s="697"/>
      <c r="Z464" s="697"/>
      <c r="AA464" s="697"/>
      <c r="AB464" s="697"/>
      <c r="AC464" s="697"/>
      <c r="AD464" s="697"/>
      <c r="AE464" s="697"/>
      <c r="AF464" s="697"/>
      <c r="AG464" s="697"/>
      <c r="AH464" s="697"/>
      <c r="AI464" s="697"/>
      <c r="AJ464" s="697"/>
      <c r="AK464" s="697"/>
      <c r="AL464" s="697"/>
      <c r="AM464" s="697"/>
      <c r="AN464" s="697"/>
      <c r="AO464" s="697"/>
      <c r="AP464" s="697"/>
      <c r="AQ464" s="697"/>
      <c r="AR464" s="697"/>
      <c r="AS464" s="697"/>
      <c r="AT464" s="697"/>
      <c r="AU464" s="697"/>
      <c r="AV464" s="697"/>
      <c r="AW464" s="697"/>
      <c r="AX464" s="697"/>
      <c r="AY464" s="697"/>
      <c r="AZ464" s="697"/>
      <c r="BA464" s="697"/>
      <c r="BB464" s="697"/>
      <c r="BC464" s="697"/>
      <c r="BD464" s="697"/>
      <c r="BE464" s="697"/>
      <c r="BF464" s="697"/>
      <c r="BG464" s="697"/>
      <c r="BH464" s="697"/>
      <c r="BI464" s="697"/>
      <c r="BJ464" s="697"/>
      <c r="BK464" s="697"/>
      <c r="BL464" s="697"/>
      <c r="BM464" s="697"/>
      <c r="BN464" s="697"/>
      <c r="BO464" s="697"/>
      <c r="BP464" s="697"/>
      <c r="BQ464" s="697"/>
      <c r="BR464" s="697"/>
      <c r="BS464" s="697"/>
      <c r="BT464" s="697"/>
      <c r="BU464" s="697"/>
      <c r="BV464" s="697"/>
      <c r="BW464" s="697"/>
      <c r="BX464" s="697"/>
      <c r="BY464" s="697"/>
      <c r="BZ464" s="697"/>
      <c r="CA464" s="697"/>
      <c r="CB464" s="697"/>
      <c r="CC464" s="697"/>
      <c r="CD464" s="697"/>
      <c r="CE464" s="697"/>
      <c r="CF464" s="697"/>
      <c r="CG464" s="697"/>
      <c r="CH464" s="697"/>
      <c r="CI464" s="697"/>
      <c r="CJ464" s="697"/>
      <c r="CK464" s="697"/>
      <c r="CL464" s="697"/>
      <c r="CM464" s="697"/>
      <c r="CN464" s="697"/>
      <c r="CO464" s="697"/>
      <c r="CP464" s="697"/>
      <c r="CQ464" s="697"/>
      <c r="CR464" s="697"/>
      <c r="CS464" s="697"/>
      <c r="CT464" s="697"/>
      <c r="CU464" s="697"/>
      <c r="CV464" s="697"/>
      <c r="CW464" s="697"/>
      <c r="CX464" s="697"/>
      <c r="CY464" s="697"/>
      <c r="CZ464" s="697"/>
      <c r="DA464" s="697"/>
    </row>
    <row r="465" spans="1:105" hidden="1" outlineLevel="1" x14ac:dyDescent="0.2">
      <c r="A465" s="709">
        <f t="shared" si="89"/>
        <v>39722</v>
      </c>
      <c r="B465" s="709" t="str">
        <f t="shared" si="86"/>
        <v>4Q08</v>
      </c>
      <c r="C465" s="709" t="str">
        <f t="shared" si="90"/>
        <v>4Q08</v>
      </c>
      <c r="D465" s="710">
        <f t="shared" si="91"/>
        <v>39808</v>
      </c>
      <c r="E465" s="710">
        <f t="shared" si="91"/>
        <v>39748</v>
      </c>
      <c r="F465" s="712">
        <v>3.2879999999999998</v>
      </c>
      <c r="G465" s="713">
        <f t="shared" si="87"/>
        <v>0.43000000000000022</v>
      </c>
      <c r="H465" s="713">
        <f t="shared" si="88"/>
        <v>0.39000000000000018</v>
      </c>
      <c r="I465" s="697"/>
      <c r="J465" s="697"/>
      <c r="K465" s="697"/>
      <c r="L465" s="697"/>
      <c r="M465" s="697"/>
      <c r="N465" s="697"/>
      <c r="O465" s="697"/>
      <c r="P465" s="697"/>
      <c r="Q465" s="697"/>
      <c r="R465" s="697"/>
      <c r="S465" s="697"/>
      <c r="T465" s="697"/>
      <c r="U465" s="697"/>
      <c r="V465" s="697"/>
      <c r="W465" s="697"/>
      <c r="X465" s="697"/>
      <c r="Y465" s="697"/>
      <c r="Z465" s="697"/>
      <c r="AA465" s="697"/>
      <c r="AB465" s="697"/>
      <c r="AC465" s="697"/>
      <c r="AD465" s="697"/>
      <c r="AE465" s="697"/>
      <c r="AF465" s="697"/>
      <c r="AG465" s="697"/>
      <c r="AH465" s="697"/>
      <c r="AI465" s="697"/>
      <c r="AJ465" s="697"/>
      <c r="AK465" s="697"/>
      <c r="AL465" s="697"/>
      <c r="AM465" s="697"/>
      <c r="AN465" s="697"/>
      <c r="AO465" s="697"/>
      <c r="AP465" s="697"/>
      <c r="AQ465" s="697"/>
      <c r="AR465" s="697"/>
      <c r="AS465" s="697"/>
      <c r="AT465" s="697"/>
      <c r="AU465" s="697"/>
      <c r="AV465" s="697"/>
      <c r="AW465" s="697"/>
      <c r="AX465" s="697"/>
      <c r="AY465" s="697"/>
      <c r="AZ465" s="697"/>
      <c r="BA465" s="697"/>
      <c r="BB465" s="697"/>
      <c r="BC465" s="697"/>
      <c r="BD465" s="697"/>
      <c r="BE465" s="697"/>
      <c r="BF465" s="697"/>
      <c r="BG465" s="697"/>
      <c r="BH465" s="697"/>
      <c r="BI465" s="697"/>
      <c r="BJ465" s="697"/>
      <c r="BK465" s="697"/>
      <c r="BL465" s="697"/>
      <c r="BM465" s="697"/>
      <c r="BN465" s="697"/>
      <c r="BO465" s="697"/>
      <c r="BP465" s="697"/>
      <c r="BQ465" s="697"/>
      <c r="BR465" s="697"/>
      <c r="BS465" s="697"/>
      <c r="BT465" s="697"/>
      <c r="BU465" s="697"/>
      <c r="BV465" s="697"/>
      <c r="BW465" s="697"/>
      <c r="BX465" s="697"/>
      <c r="BY465" s="697"/>
      <c r="BZ465" s="697"/>
      <c r="CA465" s="697"/>
      <c r="CB465" s="697"/>
      <c r="CC465" s="697"/>
      <c r="CD465" s="697"/>
      <c r="CE465" s="697"/>
      <c r="CF465" s="697"/>
      <c r="CG465" s="697"/>
      <c r="CH465" s="697"/>
      <c r="CI465" s="697"/>
      <c r="CJ465" s="697"/>
      <c r="CK465" s="697"/>
      <c r="CL465" s="697"/>
      <c r="CM465" s="697"/>
      <c r="CN465" s="697"/>
      <c r="CO465" s="697"/>
      <c r="CP465" s="697"/>
      <c r="CQ465" s="697"/>
      <c r="CR465" s="697"/>
      <c r="CS465" s="697"/>
      <c r="CT465" s="697"/>
      <c r="CU465" s="697"/>
      <c r="CV465" s="697"/>
      <c r="CW465" s="697"/>
      <c r="CX465" s="697"/>
      <c r="CY465" s="697"/>
      <c r="CZ465" s="697"/>
      <c r="DA465" s="697"/>
    </row>
    <row r="466" spans="1:105" hidden="1" outlineLevel="1" x14ac:dyDescent="0.2">
      <c r="A466" s="709">
        <f t="shared" si="89"/>
        <v>39753</v>
      </c>
      <c r="B466" s="709" t="str">
        <f t="shared" si="86"/>
        <v>4Q08</v>
      </c>
      <c r="C466" s="709" t="str">
        <f t="shared" si="90"/>
        <v>1Q09</v>
      </c>
      <c r="D466" s="710">
        <f t="shared" si="91"/>
        <v>39815</v>
      </c>
      <c r="E466" s="710">
        <f t="shared" si="91"/>
        <v>39755</v>
      </c>
      <c r="F466" s="712">
        <v>3.0880000000000001</v>
      </c>
      <c r="G466" s="713">
        <f t="shared" si="87"/>
        <v>0.39000000000000018</v>
      </c>
      <c r="H466" s="713">
        <f t="shared" si="88"/>
        <v>0.36000000000000015</v>
      </c>
      <c r="I466" s="697"/>
      <c r="J466" s="697"/>
      <c r="K466" s="697"/>
      <c r="L466" s="697"/>
      <c r="M466" s="697"/>
      <c r="N466" s="697"/>
      <c r="O466" s="697"/>
      <c r="P466" s="697"/>
      <c r="Q466" s="697"/>
      <c r="R466" s="697"/>
      <c r="S466" s="697"/>
      <c r="T466" s="697"/>
      <c r="U466" s="697"/>
      <c r="V466" s="697"/>
      <c r="W466" s="697"/>
      <c r="X466" s="697"/>
      <c r="Y466" s="697"/>
      <c r="Z466" s="697"/>
      <c r="AA466" s="697"/>
      <c r="AB466" s="697"/>
      <c r="AC466" s="697"/>
      <c r="AD466" s="697"/>
      <c r="AE466" s="697"/>
      <c r="AF466" s="697"/>
      <c r="AG466" s="697"/>
      <c r="AH466" s="697"/>
      <c r="AI466" s="697"/>
      <c r="AJ466" s="697"/>
      <c r="AK466" s="697"/>
      <c r="AL466" s="697"/>
      <c r="AM466" s="697"/>
      <c r="AN466" s="697"/>
      <c r="AO466" s="697"/>
      <c r="AP466" s="697"/>
      <c r="AQ466" s="697"/>
      <c r="AR466" s="697"/>
      <c r="AS466" s="697"/>
      <c r="AT466" s="697"/>
      <c r="AU466" s="697"/>
      <c r="AV466" s="697"/>
      <c r="AW466" s="697"/>
      <c r="AX466" s="697"/>
      <c r="AY466" s="697"/>
      <c r="AZ466" s="697"/>
      <c r="BA466" s="697"/>
      <c r="BB466" s="697"/>
      <c r="BC466" s="697"/>
      <c r="BD466" s="697"/>
      <c r="BE466" s="697"/>
      <c r="BF466" s="697"/>
      <c r="BG466" s="697"/>
      <c r="BH466" s="697"/>
      <c r="BI466" s="697"/>
      <c r="BJ466" s="697"/>
      <c r="BK466" s="697"/>
      <c r="BL466" s="697"/>
      <c r="BM466" s="697"/>
      <c r="BN466" s="697"/>
      <c r="BO466" s="697"/>
      <c r="BP466" s="697"/>
      <c r="BQ466" s="697"/>
      <c r="BR466" s="697"/>
      <c r="BS466" s="697"/>
      <c r="BT466" s="697"/>
      <c r="BU466" s="697"/>
      <c r="BV466" s="697"/>
      <c r="BW466" s="697"/>
      <c r="BX466" s="697"/>
      <c r="BY466" s="697"/>
      <c r="BZ466" s="697"/>
      <c r="CA466" s="697"/>
      <c r="CB466" s="697"/>
      <c r="CC466" s="697"/>
      <c r="CD466" s="697"/>
      <c r="CE466" s="697"/>
      <c r="CF466" s="697"/>
      <c r="CG466" s="697"/>
      <c r="CH466" s="697"/>
      <c r="CI466" s="697"/>
      <c r="CJ466" s="697"/>
      <c r="CK466" s="697"/>
      <c r="CL466" s="697"/>
      <c r="CM466" s="697"/>
      <c r="CN466" s="697"/>
      <c r="CO466" s="697"/>
      <c r="CP466" s="697"/>
      <c r="CQ466" s="697"/>
      <c r="CR466" s="697"/>
      <c r="CS466" s="697"/>
      <c r="CT466" s="697"/>
      <c r="CU466" s="697"/>
      <c r="CV466" s="697"/>
      <c r="CW466" s="697"/>
      <c r="CX466" s="697"/>
      <c r="CY466" s="697"/>
      <c r="CZ466" s="697"/>
      <c r="DA466" s="697"/>
    </row>
    <row r="467" spans="1:105" hidden="1" outlineLevel="1" x14ac:dyDescent="0.2">
      <c r="A467" s="709">
        <f t="shared" si="89"/>
        <v>39753</v>
      </c>
      <c r="B467" s="709" t="str">
        <f t="shared" si="86"/>
        <v>4Q08</v>
      </c>
      <c r="C467" s="709" t="str">
        <f t="shared" si="90"/>
        <v>1Q09</v>
      </c>
      <c r="D467" s="710">
        <f t="shared" si="91"/>
        <v>39822</v>
      </c>
      <c r="E467" s="710">
        <f t="shared" si="91"/>
        <v>39762</v>
      </c>
      <c r="F467" s="712">
        <v>2.944</v>
      </c>
      <c r="G467" s="713">
        <f t="shared" si="87"/>
        <v>0.36000000000000015</v>
      </c>
      <c r="H467" s="713">
        <f t="shared" si="88"/>
        <v>0.34000000000000014</v>
      </c>
      <c r="I467" s="697"/>
      <c r="J467" s="697"/>
      <c r="K467" s="697"/>
      <c r="L467" s="697"/>
      <c r="M467" s="697"/>
      <c r="N467" s="697"/>
      <c r="O467" s="697"/>
      <c r="P467" s="697"/>
      <c r="Q467" s="697"/>
      <c r="R467" s="697"/>
      <c r="S467" s="697"/>
      <c r="T467" s="697"/>
      <c r="U467" s="697"/>
      <c r="V467" s="697"/>
      <c r="W467" s="697"/>
      <c r="X467" s="697"/>
      <c r="Y467" s="697"/>
      <c r="Z467" s="697"/>
      <c r="AA467" s="697"/>
      <c r="AB467" s="697"/>
      <c r="AC467" s="697"/>
      <c r="AD467" s="697"/>
      <c r="AE467" s="697"/>
      <c r="AF467" s="697"/>
      <c r="AG467" s="697"/>
      <c r="AH467" s="697"/>
      <c r="AI467" s="697"/>
      <c r="AJ467" s="697"/>
      <c r="AK467" s="697"/>
      <c r="AL467" s="697"/>
      <c r="AM467" s="697"/>
      <c r="AN467" s="697"/>
      <c r="AO467" s="697"/>
      <c r="AP467" s="697"/>
      <c r="AQ467" s="697"/>
      <c r="AR467" s="697"/>
      <c r="AS467" s="697"/>
      <c r="AT467" s="697"/>
      <c r="AU467" s="697"/>
      <c r="AV467" s="697"/>
      <c r="AW467" s="697"/>
      <c r="AX467" s="697"/>
      <c r="AY467" s="697"/>
      <c r="AZ467" s="697"/>
      <c r="BA467" s="697"/>
      <c r="BB467" s="697"/>
      <c r="BC467" s="697"/>
      <c r="BD467" s="697"/>
      <c r="BE467" s="697"/>
      <c r="BF467" s="697"/>
      <c r="BG467" s="697"/>
      <c r="BH467" s="697"/>
      <c r="BI467" s="697"/>
      <c r="BJ467" s="697"/>
      <c r="BK467" s="697"/>
      <c r="BL467" s="697"/>
      <c r="BM467" s="697"/>
      <c r="BN467" s="697"/>
      <c r="BO467" s="697"/>
      <c r="BP467" s="697"/>
      <c r="BQ467" s="697"/>
      <c r="BR467" s="697"/>
      <c r="BS467" s="697"/>
      <c r="BT467" s="697"/>
      <c r="BU467" s="697"/>
      <c r="BV467" s="697"/>
      <c r="BW467" s="697"/>
      <c r="BX467" s="697"/>
      <c r="BY467" s="697"/>
      <c r="BZ467" s="697"/>
      <c r="CA467" s="697"/>
      <c r="CB467" s="697"/>
      <c r="CC467" s="697"/>
      <c r="CD467" s="697"/>
      <c r="CE467" s="697"/>
      <c r="CF467" s="697"/>
      <c r="CG467" s="697"/>
      <c r="CH467" s="697"/>
      <c r="CI467" s="697"/>
      <c r="CJ467" s="697"/>
      <c r="CK467" s="697"/>
      <c r="CL467" s="697"/>
      <c r="CM467" s="697"/>
      <c r="CN467" s="697"/>
      <c r="CO467" s="697"/>
      <c r="CP467" s="697"/>
      <c r="CQ467" s="697"/>
      <c r="CR467" s="697"/>
      <c r="CS467" s="697"/>
      <c r="CT467" s="697"/>
      <c r="CU467" s="697"/>
      <c r="CV467" s="697"/>
      <c r="CW467" s="697"/>
      <c r="CX467" s="697"/>
      <c r="CY467" s="697"/>
      <c r="CZ467" s="697"/>
      <c r="DA467" s="697"/>
    </row>
    <row r="468" spans="1:105" hidden="1" outlineLevel="1" x14ac:dyDescent="0.2">
      <c r="A468" s="709">
        <f t="shared" si="89"/>
        <v>39753</v>
      </c>
      <c r="B468" s="709" t="str">
        <f t="shared" si="86"/>
        <v>4Q08</v>
      </c>
      <c r="C468" s="709" t="str">
        <f t="shared" si="90"/>
        <v>1Q09</v>
      </c>
      <c r="D468" s="710">
        <f t="shared" si="91"/>
        <v>39829</v>
      </c>
      <c r="E468" s="710">
        <f t="shared" si="91"/>
        <v>39769</v>
      </c>
      <c r="F468" s="712">
        <v>2.8090000000000002</v>
      </c>
      <c r="G468" s="713">
        <f t="shared" si="87"/>
        <v>0.34000000000000014</v>
      </c>
      <c r="H468" s="713">
        <f t="shared" si="88"/>
        <v>0.31000000000000011</v>
      </c>
      <c r="I468" s="697"/>
      <c r="J468" s="697"/>
      <c r="K468" s="697"/>
      <c r="L468" s="697"/>
      <c r="M468" s="697"/>
      <c r="N468" s="697"/>
      <c r="O468" s="697"/>
      <c r="P468" s="697"/>
      <c r="Q468" s="697"/>
      <c r="R468" s="697"/>
      <c r="S468" s="697"/>
      <c r="T468" s="697"/>
      <c r="U468" s="697"/>
      <c r="V468" s="697"/>
      <c r="W468" s="697"/>
      <c r="X468" s="697"/>
      <c r="Y468" s="697"/>
      <c r="Z468" s="697"/>
      <c r="AA468" s="697"/>
      <c r="AB468" s="697"/>
      <c r="AC468" s="697"/>
      <c r="AD468" s="697"/>
      <c r="AE468" s="697"/>
      <c r="AF468" s="697"/>
      <c r="AG468" s="697"/>
      <c r="AH468" s="697"/>
      <c r="AI468" s="697"/>
      <c r="AJ468" s="697"/>
      <c r="AK468" s="697"/>
      <c r="AL468" s="697"/>
      <c r="AM468" s="697"/>
      <c r="AN468" s="697"/>
      <c r="AO468" s="697"/>
      <c r="AP468" s="697"/>
      <c r="AQ468" s="697"/>
      <c r="AR468" s="697"/>
      <c r="AS468" s="697"/>
      <c r="AT468" s="697"/>
      <c r="AU468" s="697"/>
      <c r="AV468" s="697"/>
      <c r="AW468" s="697"/>
      <c r="AX468" s="697"/>
      <c r="AY468" s="697"/>
      <c r="AZ468" s="697"/>
      <c r="BA468" s="697"/>
      <c r="BB468" s="697"/>
      <c r="BC468" s="697"/>
      <c r="BD468" s="697"/>
      <c r="BE468" s="697"/>
      <c r="BF468" s="697"/>
      <c r="BG468" s="697"/>
      <c r="BH468" s="697"/>
      <c r="BI468" s="697"/>
      <c r="BJ468" s="697"/>
      <c r="BK468" s="697"/>
      <c r="BL468" s="697"/>
      <c r="BM468" s="697"/>
      <c r="BN468" s="697"/>
      <c r="BO468" s="697"/>
      <c r="BP468" s="697"/>
      <c r="BQ468" s="697"/>
      <c r="BR468" s="697"/>
      <c r="BS468" s="697"/>
      <c r="BT468" s="697"/>
      <c r="BU468" s="697"/>
      <c r="BV468" s="697"/>
      <c r="BW468" s="697"/>
      <c r="BX468" s="697"/>
      <c r="BY468" s="697"/>
      <c r="BZ468" s="697"/>
      <c r="CA468" s="697"/>
      <c r="CB468" s="697"/>
      <c r="CC468" s="697"/>
      <c r="CD468" s="697"/>
      <c r="CE468" s="697"/>
      <c r="CF468" s="697"/>
      <c r="CG468" s="697"/>
      <c r="CH468" s="697"/>
      <c r="CI468" s="697"/>
      <c r="CJ468" s="697"/>
      <c r="CK468" s="697"/>
      <c r="CL468" s="697"/>
      <c r="CM468" s="697"/>
      <c r="CN468" s="697"/>
      <c r="CO468" s="697"/>
      <c r="CP468" s="697"/>
      <c r="CQ468" s="697"/>
      <c r="CR468" s="697"/>
      <c r="CS468" s="697"/>
      <c r="CT468" s="697"/>
      <c r="CU468" s="697"/>
      <c r="CV468" s="697"/>
      <c r="CW468" s="697"/>
      <c r="CX468" s="697"/>
      <c r="CY468" s="697"/>
      <c r="CZ468" s="697"/>
      <c r="DA468" s="697"/>
    </row>
    <row r="469" spans="1:105" hidden="1" outlineLevel="1" x14ac:dyDescent="0.2">
      <c r="A469" s="709">
        <f t="shared" si="89"/>
        <v>39753</v>
      </c>
      <c r="B469" s="709" t="str">
        <f t="shared" si="86"/>
        <v>4Q08</v>
      </c>
      <c r="C469" s="709" t="str">
        <f t="shared" si="90"/>
        <v>1Q09</v>
      </c>
      <c r="D469" s="710">
        <f t="shared" ref="D469:E484" si="92">D468+7</f>
        <v>39836</v>
      </c>
      <c r="E469" s="710">
        <f t="shared" si="92"/>
        <v>39776</v>
      </c>
      <c r="F469" s="712">
        <v>2.6640000000000001</v>
      </c>
      <c r="G469" s="713">
        <f t="shared" si="87"/>
        <v>0.31000000000000011</v>
      </c>
      <c r="H469" s="713">
        <f t="shared" si="88"/>
        <v>0.3000000000000001</v>
      </c>
      <c r="I469" s="697"/>
      <c r="J469" s="697"/>
      <c r="K469" s="697"/>
      <c r="L469" s="697"/>
      <c r="M469" s="697"/>
      <c r="N469" s="697"/>
      <c r="O469" s="697"/>
      <c r="P469" s="697"/>
      <c r="Q469" s="697"/>
      <c r="R469" s="697"/>
      <c r="S469" s="697"/>
      <c r="T469" s="697"/>
      <c r="U469" s="697"/>
      <c r="V469" s="697"/>
      <c r="W469" s="697"/>
      <c r="X469" s="697"/>
      <c r="Y469" s="697"/>
      <c r="Z469" s="697"/>
      <c r="AA469" s="697"/>
      <c r="AB469" s="697"/>
      <c r="AC469" s="697"/>
      <c r="AD469" s="697"/>
      <c r="AE469" s="697"/>
      <c r="AF469" s="697"/>
      <c r="AG469" s="697"/>
      <c r="AH469" s="697"/>
      <c r="AI469" s="697"/>
      <c r="AJ469" s="697"/>
      <c r="AK469" s="697"/>
      <c r="AL469" s="697"/>
      <c r="AM469" s="697"/>
      <c r="AN469" s="697"/>
      <c r="AO469" s="697"/>
      <c r="AP469" s="697"/>
      <c r="AQ469" s="697"/>
      <c r="AR469" s="697"/>
      <c r="AS469" s="697"/>
      <c r="AT469" s="697"/>
      <c r="AU469" s="697"/>
      <c r="AV469" s="697"/>
      <c r="AW469" s="697"/>
      <c r="AX469" s="697"/>
      <c r="AY469" s="697"/>
      <c r="AZ469" s="697"/>
      <c r="BA469" s="697"/>
      <c r="BB469" s="697"/>
      <c r="BC469" s="697"/>
      <c r="BD469" s="697"/>
      <c r="BE469" s="697"/>
      <c r="BF469" s="697"/>
      <c r="BG469" s="697"/>
      <c r="BH469" s="697"/>
      <c r="BI469" s="697"/>
      <c r="BJ469" s="697"/>
      <c r="BK469" s="697"/>
      <c r="BL469" s="697"/>
      <c r="BM469" s="697"/>
      <c r="BN469" s="697"/>
      <c r="BO469" s="697"/>
      <c r="BP469" s="697"/>
      <c r="BQ469" s="697"/>
      <c r="BR469" s="697"/>
      <c r="BS469" s="697"/>
      <c r="BT469" s="697"/>
      <c r="BU469" s="697"/>
      <c r="BV469" s="697"/>
      <c r="BW469" s="697"/>
      <c r="BX469" s="697"/>
      <c r="BY469" s="697"/>
      <c r="BZ469" s="697"/>
      <c r="CA469" s="697"/>
      <c r="CB469" s="697"/>
      <c r="CC469" s="697"/>
      <c r="CD469" s="697"/>
      <c r="CE469" s="697"/>
      <c r="CF469" s="697"/>
      <c r="CG469" s="697"/>
      <c r="CH469" s="697"/>
      <c r="CI469" s="697"/>
      <c r="CJ469" s="697"/>
      <c r="CK469" s="697"/>
      <c r="CL469" s="697"/>
      <c r="CM469" s="697"/>
      <c r="CN469" s="697"/>
      <c r="CO469" s="697"/>
      <c r="CP469" s="697"/>
      <c r="CQ469" s="697"/>
      <c r="CR469" s="697"/>
      <c r="CS469" s="697"/>
      <c r="CT469" s="697"/>
      <c r="CU469" s="697"/>
      <c r="CV469" s="697"/>
      <c r="CW469" s="697"/>
      <c r="CX469" s="697"/>
      <c r="CY469" s="697"/>
      <c r="CZ469" s="697"/>
      <c r="DA469" s="697"/>
    </row>
    <row r="470" spans="1:105" hidden="1" outlineLevel="1" x14ac:dyDescent="0.2">
      <c r="A470" s="709">
        <f t="shared" si="89"/>
        <v>39783</v>
      </c>
      <c r="B470" s="709" t="str">
        <f t="shared" si="86"/>
        <v>4Q08</v>
      </c>
      <c r="C470" s="709" t="str">
        <f t="shared" si="90"/>
        <v>1Q09</v>
      </c>
      <c r="D470" s="710">
        <f t="shared" si="92"/>
        <v>39843</v>
      </c>
      <c r="E470" s="710">
        <f t="shared" si="92"/>
        <v>39783</v>
      </c>
      <c r="F470" s="712">
        <v>2.6150000000000002</v>
      </c>
      <c r="G470" s="713">
        <f t="shared" si="87"/>
        <v>0.3000000000000001</v>
      </c>
      <c r="H470" s="713">
        <f t="shared" si="88"/>
        <v>0.28000000000000008</v>
      </c>
      <c r="I470" s="697"/>
      <c r="J470" s="697"/>
      <c r="K470" s="697"/>
      <c r="L470" s="697"/>
      <c r="M470" s="697"/>
      <c r="N470" s="697"/>
      <c r="O470" s="697"/>
      <c r="P470" s="697"/>
      <c r="Q470" s="697"/>
      <c r="R470" s="697"/>
      <c r="S470" s="697"/>
      <c r="T470" s="697"/>
      <c r="U470" s="697"/>
      <c r="V470" s="697"/>
      <c r="W470" s="697"/>
      <c r="X470" s="697"/>
      <c r="Y470" s="697"/>
      <c r="Z470" s="697"/>
      <c r="AA470" s="697"/>
      <c r="AB470" s="697"/>
      <c r="AC470" s="697"/>
      <c r="AD470" s="697"/>
      <c r="AE470" s="697"/>
      <c r="AF470" s="697"/>
      <c r="AG470" s="697"/>
      <c r="AH470" s="697"/>
      <c r="AI470" s="697"/>
      <c r="AJ470" s="697"/>
      <c r="AK470" s="697"/>
      <c r="AL470" s="697"/>
      <c r="AM470" s="697"/>
      <c r="AN470" s="697"/>
      <c r="AO470" s="697"/>
      <c r="AP470" s="697"/>
      <c r="AQ470" s="697"/>
      <c r="AR470" s="697"/>
      <c r="AS470" s="697"/>
      <c r="AT470" s="697"/>
      <c r="AU470" s="697"/>
      <c r="AV470" s="697"/>
      <c r="AW470" s="697"/>
      <c r="AX470" s="697"/>
      <c r="AY470" s="697"/>
      <c r="AZ470" s="697"/>
      <c r="BA470" s="697"/>
      <c r="BB470" s="697"/>
      <c r="BC470" s="697"/>
      <c r="BD470" s="697"/>
      <c r="BE470" s="697"/>
      <c r="BF470" s="697"/>
      <c r="BG470" s="697"/>
      <c r="BH470" s="697"/>
      <c r="BI470" s="697"/>
      <c r="BJ470" s="697"/>
      <c r="BK470" s="697"/>
      <c r="BL470" s="697"/>
      <c r="BM470" s="697"/>
      <c r="BN470" s="697"/>
      <c r="BO470" s="697"/>
      <c r="BP470" s="697"/>
      <c r="BQ470" s="697"/>
      <c r="BR470" s="697"/>
      <c r="BS470" s="697"/>
      <c r="BT470" s="697"/>
      <c r="BU470" s="697"/>
      <c r="BV470" s="697"/>
      <c r="BW470" s="697"/>
      <c r="BX470" s="697"/>
      <c r="BY470" s="697"/>
      <c r="BZ470" s="697"/>
      <c r="CA470" s="697"/>
      <c r="CB470" s="697"/>
      <c r="CC470" s="697"/>
      <c r="CD470" s="697"/>
      <c r="CE470" s="697"/>
      <c r="CF470" s="697"/>
      <c r="CG470" s="697"/>
      <c r="CH470" s="697"/>
      <c r="CI470" s="697"/>
      <c r="CJ470" s="697"/>
      <c r="CK470" s="697"/>
      <c r="CL470" s="697"/>
      <c r="CM470" s="697"/>
      <c r="CN470" s="697"/>
      <c r="CO470" s="697"/>
      <c r="CP470" s="697"/>
      <c r="CQ470" s="697"/>
      <c r="CR470" s="697"/>
      <c r="CS470" s="697"/>
      <c r="CT470" s="697"/>
      <c r="CU470" s="697"/>
      <c r="CV470" s="697"/>
      <c r="CW470" s="697"/>
      <c r="CX470" s="697"/>
      <c r="CY470" s="697"/>
      <c r="CZ470" s="697"/>
      <c r="DA470" s="697"/>
    </row>
    <row r="471" spans="1:105" hidden="1" outlineLevel="1" x14ac:dyDescent="0.2">
      <c r="A471" s="709">
        <f t="shared" si="89"/>
        <v>39783</v>
      </c>
      <c r="B471" s="709" t="str">
        <f t="shared" si="86"/>
        <v>4Q08</v>
      </c>
      <c r="C471" s="709" t="str">
        <f t="shared" si="90"/>
        <v>1Q09</v>
      </c>
      <c r="D471" s="710">
        <f t="shared" si="92"/>
        <v>39850</v>
      </c>
      <c r="E471" s="710">
        <f t="shared" si="92"/>
        <v>39790</v>
      </c>
      <c r="F471" s="712">
        <v>2.5150000000000001</v>
      </c>
      <c r="G471" s="713">
        <f t="shared" si="87"/>
        <v>0.28000000000000008</v>
      </c>
      <c r="H471" s="713">
        <f t="shared" si="88"/>
        <v>0.26000000000000006</v>
      </c>
      <c r="I471" s="697"/>
      <c r="J471" s="697"/>
      <c r="K471" s="697"/>
      <c r="L471" s="697"/>
      <c r="M471" s="697"/>
      <c r="N471" s="697"/>
      <c r="O471" s="697"/>
      <c r="P471" s="697"/>
      <c r="Q471" s="697"/>
      <c r="R471" s="697"/>
      <c r="S471" s="697"/>
      <c r="T471" s="697"/>
      <c r="U471" s="697"/>
      <c r="V471" s="697"/>
      <c r="W471" s="697"/>
      <c r="X471" s="697"/>
      <c r="Y471" s="697"/>
      <c r="Z471" s="697"/>
      <c r="AA471" s="697"/>
      <c r="AB471" s="697"/>
      <c r="AC471" s="697"/>
      <c r="AD471" s="697"/>
      <c r="AE471" s="697"/>
      <c r="AF471" s="697"/>
      <c r="AG471" s="697"/>
      <c r="AH471" s="697"/>
      <c r="AI471" s="697"/>
      <c r="AJ471" s="697"/>
      <c r="AK471" s="697"/>
      <c r="AL471" s="697"/>
      <c r="AM471" s="697"/>
      <c r="AN471" s="697"/>
      <c r="AO471" s="697"/>
      <c r="AP471" s="697"/>
      <c r="AQ471" s="697"/>
      <c r="AR471" s="697"/>
      <c r="AS471" s="697"/>
      <c r="AT471" s="697"/>
      <c r="AU471" s="697"/>
      <c r="AV471" s="697"/>
      <c r="AW471" s="697"/>
      <c r="AX471" s="697"/>
      <c r="AY471" s="697"/>
      <c r="AZ471" s="697"/>
      <c r="BA471" s="697"/>
      <c r="BB471" s="697"/>
      <c r="BC471" s="697"/>
      <c r="BD471" s="697"/>
      <c r="BE471" s="697"/>
      <c r="BF471" s="697"/>
      <c r="BG471" s="697"/>
      <c r="BH471" s="697"/>
      <c r="BI471" s="697"/>
      <c r="BJ471" s="697"/>
      <c r="BK471" s="697"/>
      <c r="BL471" s="697"/>
      <c r="BM471" s="697"/>
      <c r="BN471" s="697"/>
      <c r="BO471" s="697"/>
      <c r="BP471" s="697"/>
      <c r="BQ471" s="697"/>
      <c r="BR471" s="697"/>
      <c r="BS471" s="697"/>
      <c r="BT471" s="697"/>
      <c r="BU471" s="697"/>
      <c r="BV471" s="697"/>
      <c r="BW471" s="697"/>
      <c r="BX471" s="697"/>
      <c r="BY471" s="697"/>
      <c r="BZ471" s="697"/>
      <c r="CA471" s="697"/>
      <c r="CB471" s="697"/>
      <c r="CC471" s="697"/>
      <c r="CD471" s="697"/>
      <c r="CE471" s="697"/>
      <c r="CF471" s="697"/>
      <c r="CG471" s="697"/>
      <c r="CH471" s="697"/>
      <c r="CI471" s="697"/>
      <c r="CJ471" s="697"/>
      <c r="CK471" s="697"/>
      <c r="CL471" s="697"/>
      <c r="CM471" s="697"/>
      <c r="CN471" s="697"/>
      <c r="CO471" s="697"/>
      <c r="CP471" s="697"/>
      <c r="CQ471" s="697"/>
      <c r="CR471" s="697"/>
      <c r="CS471" s="697"/>
      <c r="CT471" s="697"/>
      <c r="CU471" s="697"/>
      <c r="CV471" s="697"/>
      <c r="CW471" s="697"/>
      <c r="CX471" s="697"/>
      <c r="CY471" s="697"/>
      <c r="CZ471" s="697"/>
      <c r="DA471" s="697"/>
    </row>
    <row r="472" spans="1:105" hidden="1" outlineLevel="1" x14ac:dyDescent="0.2">
      <c r="A472" s="709">
        <f t="shared" si="89"/>
        <v>39783</v>
      </c>
      <c r="B472" s="709" t="str">
        <f t="shared" si="86"/>
        <v>4Q08</v>
      </c>
      <c r="C472" s="709" t="str">
        <f t="shared" si="90"/>
        <v>1Q09</v>
      </c>
      <c r="D472" s="710">
        <f t="shared" si="92"/>
        <v>39857</v>
      </c>
      <c r="E472" s="710">
        <f t="shared" si="92"/>
        <v>39797</v>
      </c>
      <c r="F472" s="712">
        <v>2.4220000000000002</v>
      </c>
      <c r="G472" s="713">
        <f t="shared" si="87"/>
        <v>0.26000000000000006</v>
      </c>
      <c r="H472" s="713">
        <f t="shared" si="88"/>
        <v>0.25000000000000006</v>
      </c>
      <c r="I472" s="697"/>
      <c r="J472" s="697"/>
      <c r="K472" s="697"/>
      <c r="L472" s="697"/>
      <c r="M472" s="697"/>
      <c r="N472" s="697"/>
      <c r="O472" s="697"/>
      <c r="P472" s="697"/>
      <c r="Q472" s="697"/>
      <c r="R472" s="697"/>
      <c r="S472" s="697"/>
      <c r="T472" s="697"/>
      <c r="U472" s="697"/>
      <c r="V472" s="697"/>
      <c r="W472" s="697"/>
      <c r="X472" s="697"/>
      <c r="Y472" s="697"/>
      <c r="Z472" s="697"/>
      <c r="AA472" s="697"/>
      <c r="AB472" s="697"/>
      <c r="AC472" s="697"/>
      <c r="AD472" s="697"/>
      <c r="AE472" s="697"/>
      <c r="AF472" s="697"/>
      <c r="AG472" s="697"/>
      <c r="AH472" s="697"/>
      <c r="AI472" s="697"/>
      <c r="AJ472" s="697"/>
      <c r="AK472" s="697"/>
      <c r="AL472" s="697"/>
      <c r="AM472" s="697"/>
      <c r="AN472" s="697"/>
      <c r="AO472" s="697"/>
      <c r="AP472" s="697"/>
      <c r="AQ472" s="697"/>
      <c r="AR472" s="697"/>
      <c r="AS472" s="697"/>
      <c r="AT472" s="697"/>
      <c r="AU472" s="697"/>
      <c r="AV472" s="697"/>
      <c r="AW472" s="697"/>
      <c r="AX472" s="697"/>
      <c r="AY472" s="697"/>
      <c r="AZ472" s="697"/>
      <c r="BA472" s="697"/>
      <c r="BB472" s="697"/>
      <c r="BC472" s="697"/>
      <c r="BD472" s="697"/>
      <c r="BE472" s="697"/>
      <c r="BF472" s="697"/>
      <c r="BG472" s="697"/>
      <c r="BH472" s="697"/>
      <c r="BI472" s="697"/>
      <c r="BJ472" s="697"/>
      <c r="BK472" s="697"/>
      <c r="BL472" s="697"/>
      <c r="BM472" s="697"/>
      <c r="BN472" s="697"/>
      <c r="BO472" s="697"/>
      <c r="BP472" s="697"/>
      <c r="BQ472" s="697"/>
      <c r="BR472" s="697"/>
      <c r="BS472" s="697"/>
      <c r="BT472" s="697"/>
      <c r="BU472" s="697"/>
      <c r="BV472" s="697"/>
      <c r="BW472" s="697"/>
      <c r="BX472" s="697"/>
      <c r="BY472" s="697"/>
      <c r="BZ472" s="697"/>
      <c r="CA472" s="697"/>
      <c r="CB472" s="697"/>
      <c r="CC472" s="697"/>
      <c r="CD472" s="697"/>
      <c r="CE472" s="697"/>
      <c r="CF472" s="697"/>
      <c r="CG472" s="697"/>
      <c r="CH472" s="697"/>
      <c r="CI472" s="697"/>
      <c r="CJ472" s="697"/>
      <c r="CK472" s="697"/>
      <c r="CL472" s="697"/>
      <c r="CM472" s="697"/>
      <c r="CN472" s="697"/>
      <c r="CO472" s="697"/>
      <c r="CP472" s="697"/>
      <c r="CQ472" s="697"/>
      <c r="CR472" s="697"/>
      <c r="CS472" s="697"/>
      <c r="CT472" s="697"/>
      <c r="CU472" s="697"/>
      <c r="CV472" s="697"/>
      <c r="CW472" s="697"/>
      <c r="CX472" s="697"/>
      <c r="CY472" s="697"/>
      <c r="CZ472" s="697"/>
      <c r="DA472" s="697"/>
    </row>
    <row r="473" spans="1:105" hidden="1" outlineLevel="1" x14ac:dyDescent="0.2">
      <c r="A473" s="709">
        <f t="shared" si="89"/>
        <v>39783</v>
      </c>
      <c r="B473" s="709" t="str">
        <f t="shared" si="86"/>
        <v>4Q08</v>
      </c>
      <c r="C473" s="709" t="str">
        <f t="shared" si="90"/>
        <v>1Q09</v>
      </c>
      <c r="D473" s="710">
        <f t="shared" si="92"/>
        <v>39864</v>
      </c>
      <c r="E473" s="710">
        <f t="shared" si="92"/>
        <v>39804</v>
      </c>
      <c r="F473" s="712">
        <v>2.3660000000000001</v>
      </c>
      <c r="G473" s="713">
        <f t="shared" si="87"/>
        <v>0.25000000000000006</v>
      </c>
      <c r="H473" s="713">
        <f t="shared" si="88"/>
        <v>0.24000000000000007</v>
      </c>
      <c r="I473" s="697"/>
      <c r="J473" s="697"/>
      <c r="K473" s="697"/>
      <c r="L473" s="697"/>
      <c r="M473" s="697"/>
      <c r="N473" s="697"/>
      <c r="O473" s="697"/>
      <c r="P473" s="697"/>
      <c r="Q473" s="697"/>
      <c r="R473" s="697"/>
      <c r="S473" s="697"/>
      <c r="T473" s="697"/>
      <c r="U473" s="697"/>
      <c r="V473" s="697"/>
      <c r="W473" s="697"/>
      <c r="X473" s="697"/>
      <c r="Y473" s="697"/>
      <c r="Z473" s="697"/>
      <c r="AA473" s="697"/>
      <c r="AB473" s="697"/>
      <c r="AC473" s="697"/>
      <c r="AD473" s="697"/>
      <c r="AE473" s="697"/>
      <c r="AF473" s="697"/>
      <c r="AG473" s="697"/>
      <c r="AH473" s="697"/>
      <c r="AI473" s="697"/>
      <c r="AJ473" s="697"/>
      <c r="AK473" s="697"/>
      <c r="AL473" s="697"/>
      <c r="AM473" s="697"/>
      <c r="AN473" s="697"/>
      <c r="AO473" s="697"/>
      <c r="AP473" s="697"/>
      <c r="AQ473" s="697"/>
      <c r="AR473" s="697"/>
      <c r="AS473" s="697"/>
      <c r="AT473" s="697"/>
      <c r="AU473" s="697"/>
      <c r="AV473" s="697"/>
      <c r="AW473" s="697"/>
      <c r="AX473" s="697"/>
      <c r="AY473" s="697"/>
      <c r="AZ473" s="697"/>
      <c r="BA473" s="697"/>
      <c r="BB473" s="697"/>
      <c r="BC473" s="697"/>
      <c r="BD473" s="697"/>
      <c r="BE473" s="697"/>
      <c r="BF473" s="697"/>
      <c r="BG473" s="697"/>
      <c r="BH473" s="697"/>
      <c r="BI473" s="697"/>
      <c r="BJ473" s="697"/>
      <c r="BK473" s="697"/>
      <c r="BL473" s="697"/>
      <c r="BM473" s="697"/>
      <c r="BN473" s="697"/>
      <c r="BO473" s="697"/>
      <c r="BP473" s="697"/>
      <c r="BQ473" s="697"/>
      <c r="BR473" s="697"/>
      <c r="BS473" s="697"/>
      <c r="BT473" s="697"/>
      <c r="BU473" s="697"/>
      <c r="BV473" s="697"/>
      <c r="BW473" s="697"/>
      <c r="BX473" s="697"/>
      <c r="BY473" s="697"/>
      <c r="BZ473" s="697"/>
      <c r="CA473" s="697"/>
      <c r="CB473" s="697"/>
      <c r="CC473" s="697"/>
      <c r="CD473" s="697"/>
      <c r="CE473" s="697"/>
      <c r="CF473" s="697"/>
      <c r="CG473" s="697"/>
      <c r="CH473" s="697"/>
      <c r="CI473" s="697"/>
      <c r="CJ473" s="697"/>
      <c r="CK473" s="697"/>
      <c r="CL473" s="697"/>
      <c r="CM473" s="697"/>
      <c r="CN473" s="697"/>
      <c r="CO473" s="697"/>
      <c r="CP473" s="697"/>
      <c r="CQ473" s="697"/>
      <c r="CR473" s="697"/>
      <c r="CS473" s="697"/>
      <c r="CT473" s="697"/>
      <c r="CU473" s="697"/>
      <c r="CV473" s="697"/>
      <c r="CW473" s="697"/>
      <c r="CX473" s="697"/>
      <c r="CY473" s="697"/>
      <c r="CZ473" s="697"/>
      <c r="DA473" s="697"/>
    </row>
    <row r="474" spans="1:105" hidden="1" outlineLevel="1" x14ac:dyDescent="0.2">
      <c r="A474" s="709">
        <f t="shared" si="89"/>
        <v>39783</v>
      </c>
      <c r="B474" s="709" t="str">
        <f t="shared" si="86"/>
        <v>4Q08</v>
      </c>
      <c r="C474" s="709" t="str">
        <f t="shared" si="90"/>
        <v>1Q09</v>
      </c>
      <c r="D474" s="710">
        <f t="shared" si="92"/>
        <v>39871</v>
      </c>
      <c r="E474" s="710">
        <f t="shared" si="92"/>
        <v>39811</v>
      </c>
      <c r="F474" s="712">
        <v>2.327</v>
      </c>
      <c r="G474" s="713">
        <f t="shared" si="87"/>
        <v>0.24000000000000007</v>
      </c>
      <c r="H474" s="713">
        <f t="shared" si="88"/>
        <v>0.23000000000000007</v>
      </c>
      <c r="I474" s="697"/>
      <c r="J474" s="697"/>
      <c r="K474" s="697"/>
      <c r="L474" s="697"/>
      <c r="M474" s="697"/>
      <c r="N474" s="697"/>
      <c r="O474" s="697"/>
      <c r="P474" s="697"/>
      <c r="Q474" s="697"/>
      <c r="R474" s="697"/>
      <c r="S474" s="697"/>
      <c r="T474" s="697"/>
      <c r="U474" s="697"/>
      <c r="V474" s="697"/>
      <c r="W474" s="697"/>
      <c r="X474" s="697"/>
      <c r="Y474" s="697"/>
      <c r="Z474" s="697"/>
      <c r="AA474" s="697"/>
      <c r="AB474" s="697"/>
      <c r="AC474" s="697"/>
      <c r="AD474" s="697"/>
      <c r="AE474" s="697"/>
      <c r="AF474" s="697"/>
      <c r="AG474" s="697"/>
      <c r="AH474" s="697"/>
      <c r="AI474" s="697"/>
      <c r="AJ474" s="697"/>
      <c r="AK474" s="697"/>
      <c r="AL474" s="697"/>
      <c r="AM474" s="697"/>
      <c r="AN474" s="697"/>
      <c r="AO474" s="697"/>
      <c r="AP474" s="697"/>
      <c r="AQ474" s="697"/>
      <c r="AR474" s="697"/>
      <c r="AS474" s="697"/>
      <c r="AT474" s="697"/>
      <c r="AU474" s="697"/>
      <c r="AV474" s="697"/>
      <c r="AW474" s="697"/>
      <c r="AX474" s="697"/>
      <c r="AY474" s="697"/>
      <c r="AZ474" s="697"/>
      <c r="BA474" s="697"/>
      <c r="BB474" s="697"/>
      <c r="BC474" s="697"/>
      <c r="BD474" s="697"/>
      <c r="BE474" s="697"/>
      <c r="BF474" s="697"/>
      <c r="BG474" s="697"/>
      <c r="BH474" s="697"/>
      <c r="BI474" s="697"/>
      <c r="BJ474" s="697"/>
      <c r="BK474" s="697"/>
      <c r="BL474" s="697"/>
      <c r="BM474" s="697"/>
      <c r="BN474" s="697"/>
      <c r="BO474" s="697"/>
      <c r="BP474" s="697"/>
      <c r="BQ474" s="697"/>
      <c r="BR474" s="697"/>
      <c r="BS474" s="697"/>
      <c r="BT474" s="697"/>
      <c r="BU474" s="697"/>
      <c r="BV474" s="697"/>
      <c r="BW474" s="697"/>
      <c r="BX474" s="697"/>
      <c r="BY474" s="697"/>
      <c r="BZ474" s="697"/>
      <c r="CA474" s="697"/>
      <c r="CB474" s="697"/>
      <c r="CC474" s="697"/>
      <c r="CD474" s="697"/>
      <c r="CE474" s="697"/>
      <c r="CF474" s="697"/>
      <c r="CG474" s="697"/>
      <c r="CH474" s="697"/>
      <c r="CI474" s="697"/>
      <c r="CJ474" s="697"/>
      <c r="CK474" s="697"/>
      <c r="CL474" s="697"/>
      <c r="CM474" s="697"/>
      <c r="CN474" s="697"/>
      <c r="CO474" s="697"/>
      <c r="CP474" s="697"/>
      <c r="CQ474" s="697"/>
      <c r="CR474" s="697"/>
      <c r="CS474" s="697"/>
      <c r="CT474" s="697"/>
      <c r="CU474" s="697"/>
      <c r="CV474" s="697"/>
      <c r="CW474" s="697"/>
      <c r="CX474" s="697"/>
      <c r="CY474" s="697"/>
      <c r="CZ474" s="697"/>
      <c r="DA474" s="697"/>
    </row>
    <row r="475" spans="1:105" hidden="1" outlineLevel="1" x14ac:dyDescent="0.2">
      <c r="A475" s="709">
        <f t="shared" si="89"/>
        <v>39814</v>
      </c>
      <c r="B475" s="709" t="str">
        <f t="shared" si="86"/>
        <v>1Q09</v>
      </c>
      <c r="C475" s="709" t="str">
        <f t="shared" si="90"/>
        <v>1Q09</v>
      </c>
      <c r="D475" s="710">
        <f t="shared" si="92"/>
        <v>39878</v>
      </c>
      <c r="E475" s="710">
        <f t="shared" si="92"/>
        <v>39818</v>
      </c>
      <c r="F475" s="712">
        <v>2.2909999999999999</v>
      </c>
      <c r="G475" s="713">
        <f t="shared" si="87"/>
        <v>0.23000000000000007</v>
      </c>
      <c r="H475" s="713">
        <f t="shared" si="88"/>
        <v>0.24000000000000007</v>
      </c>
      <c r="I475" s="697"/>
      <c r="J475" s="697"/>
      <c r="K475" s="697"/>
      <c r="L475" s="697"/>
      <c r="M475" s="697"/>
      <c r="N475" s="697"/>
      <c r="O475" s="697"/>
      <c r="P475" s="697"/>
      <c r="Q475" s="697"/>
      <c r="R475" s="697"/>
      <c r="S475" s="697"/>
      <c r="T475" s="697"/>
      <c r="U475" s="697"/>
      <c r="V475" s="697"/>
      <c r="W475" s="697"/>
      <c r="X475" s="697"/>
      <c r="Y475" s="697"/>
      <c r="Z475" s="697"/>
      <c r="AA475" s="697"/>
      <c r="AB475" s="697"/>
      <c r="AC475" s="697"/>
      <c r="AD475" s="697"/>
      <c r="AE475" s="697"/>
      <c r="AF475" s="697"/>
      <c r="AG475" s="697"/>
      <c r="AH475" s="697"/>
      <c r="AI475" s="697"/>
      <c r="AJ475" s="697"/>
      <c r="AK475" s="697"/>
      <c r="AL475" s="697"/>
      <c r="AM475" s="697"/>
      <c r="AN475" s="697"/>
      <c r="AO475" s="697"/>
      <c r="AP475" s="697"/>
      <c r="AQ475" s="697"/>
      <c r="AR475" s="697"/>
      <c r="AS475" s="697"/>
      <c r="AT475" s="697"/>
      <c r="AU475" s="697"/>
      <c r="AV475" s="697"/>
      <c r="AW475" s="697"/>
      <c r="AX475" s="697"/>
      <c r="AY475" s="697"/>
      <c r="AZ475" s="697"/>
      <c r="BA475" s="697"/>
      <c r="BB475" s="697"/>
      <c r="BC475" s="697"/>
      <c r="BD475" s="697"/>
      <c r="BE475" s="697"/>
      <c r="BF475" s="697"/>
      <c r="BG475" s="697"/>
      <c r="BH475" s="697"/>
      <c r="BI475" s="697"/>
      <c r="BJ475" s="697"/>
      <c r="BK475" s="697"/>
      <c r="BL475" s="697"/>
      <c r="BM475" s="697"/>
      <c r="BN475" s="697"/>
      <c r="BO475" s="697"/>
      <c r="BP475" s="697"/>
      <c r="BQ475" s="697"/>
      <c r="BR475" s="697"/>
      <c r="BS475" s="697"/>
      <c r="BT475" s="697"/>
      <c r="BU475" s="697"/>
      <c r="BV475" s="697"/>
      <c r="BW475" s="697"/>
      <c r="BX475" s="697"/>
      <c r="BY475" s="697"/>
      <c r="BZ475" s="697"/>
      <c r="CA475" s="697"/>
      <c r="CB475" s="697"/>
      <c r="CC475" s="697"/>
      <c r="CD475" s="697"/>
      <c r="CE475" s="697"/>
      <c r="CF475" s="697"/>
      <c r="CG475" s="697"/>
      <c r="CH475" s="697"/>
      <c r="CI475" s="697"/>
      <c r="CJ475" s="697"/>
      <c r="CK475" s="697"/>
      <c r="CL475" s="697"/>
      <c r="CM475" s="697"/>
      <c r="CN475" s="697"/>
      <c r="CO475" s="697"/>
      <c r="CP475" s="697"/>
      <c r="CQ475" s="697"/>
      <c r="CR475" s="697"/>
      <c r="CS475" s="697"/>
      <c r="CT475" s="697"/>
      <c r="CU475" s="697"/>
      <c r="CV475" s="697"/>
      <c r="CW475" s="697"/>
      <c r="CX475" s="697"/>
      <c r="CY475" s="697"/>
      <c r="CZ475" s="697"/>
      <c r="DA475" s="697"/>
    </row>
    <row r="476" spans="1:105" hidden="1" outlineLevel="1" x14ac:dyDescent="0.2">
      <c r="A476" s="709">
        <f t="shared" si="89"/>
        <v>39814</v>
      </c>
      <c r="B476" s="709" t="str">
        <f t="shared" si="86"/>
        <v>1Q09</v>
      </c>
      <c r="C476" s="709" t="str">
        <f t="shared" si="90"/>
        <v>1Q09</v>
      </c>
      <c r="D476" s="710">
        <f t="shared" si="92"/>
        <v>39885</v>
      </c>
      <c r="E476" s="710">
        <f t="shared" si="92"/>
        <v>39825</v>
      </c>
      <c r="F476" s="712">
        <v>2.3140000000000001</v>
      </c>
      <c r="G476" s="713">
        <f t="shared" si="87"/>
        <v>0.24000000000000007</v>
      </c>
      <c r="H476" s="713">
        <f t="shared" si="88"/>
        <v>0.23000000000000007</v>
      </c>
      <c r="I476" s="697"/>
      <c r="J476" s="697"/>
      <c r="K476" s="697"/>
      <c r="L476" s="697"/>
      <c r="M476" s="697"/>
      <c r="N476" s="697"/>
      <c r="O476" s="697"/>
      <c r="P476" s="697"/>
      <c r="Q476" s="697"/>
      <c r="R476" s="697"/>
      <c r="S476" s="697"/>
      <c r="T476" s="697"/>
      <c r="U476" s="697"/>
      <c r="V476" s="697"/>
      <c r="W476" s="697"/>
      <c r="X476" s="697"/>
      <c r="Y476" s="697"/>
      <c r="Z476" s="697"/>
      <c r="AA476" s="697"/>
      <c r="AB476" s="697"/>
      <c r="AC476" s="697"/>
      <c r="AD476" s="697"/>
      <c r="AE476" s="697"/>
      <c r="AF476" s="697"/>
      <c r="AG476" s="697"/>
      <c r="AH476" s="697"/>
      <c r="AI476" s="697"/>
      <c r="AJ476" s="697"/>
      <c r="AK476" s="697"/>
      <c r="AL476" s="697"/>
      <c r="AM476" s="697"/>
      <c r="AN476" s="697"/>
      <c r="AO476" s="697"/>
      <c r="AP476" s="697"/>
      <c r="AQ476" s="697"/>
      <c r="AR476" s="697"/>
      <c r="AS476" s="697"/>
      <c r="AT476" s="697"/>
      <c r="AU476" s="697"/>
      <c r="AV476" s="697"/>
      <c r="AW476" s="697"/>
      <c r="AX476" s="697"/>
      <c r="AY476" s="697"/>
      <c r="AZ476" s="697"/>
      <c r="BA476" s="697"/>
      <c r="BB476" s="697"/>
      <c r="BC476" s="697"/>
      <c r="BD476" s="697"/>
      <c r="BE476" s="697"/>
      <c r="BF476" s="697"/>
      <c r="BG476" s="697"/>
      <c r="BH476" s="697"/>
      <c r="BI476" s="697"/>
      <c r="BJ476" s="697"/>
      <c r="BK476" s="697"/>
      <c r="BL476" s="697"/>
      <c r="BM476" s="697"/>
      <c r="BN476" s="697"/>
      <c r="BO476" s="697"/>
      <c r="BP476" s="697"/>
      <c r="BQ476" s="697"/>
      <c r="BR476" s="697"/>
      <c r="BS476" s="697"/>
      <c r="BT476" s="697"/>
      <c r="BU476" s="697"/>
      <c r="BV476" s="697"/>
      <c r="BW476" s="697"/>
      <c r="BX476" s="697"/>
      <c r="BY476" s="697"/>
      <c r="BZ476" s="697"/>
      <c r="CA476" s="697"/>
      <c r="CB476" s="697"/>
      <c r="CC476" s="697"/>
      <c r="CD476" s="697"/>
      <c r="CE476" s="697"/>
      <c r="CF476" s="697"/>
      <c r="CG476" s="697"/>
      <c r="CH476" s="697"/>
      <c r="CI476" s="697"/>
      <c r="CJ476" s="697"/>
      <c r="CK476" s="697"/>
      <c r="CL476" s="697"/>
      <c r="CM476" s="697"/>
      <c r="CN476" s="697"/>
      <c r="CO476" s="697"/>
      <c r="CP476" s="697"/>
      <c r="CQ476" s="697"/>
      <c r="CR476" s="697"/>
      <c r="CS476" s="697"/>
      <c r="CT476" s="697"/>
      <c r="CU476" s="697"/>
      <c r="CV476" s="697"/>
      <c r="CW476" s="697"/>
      <c r="CX476" s="697"/>
      <c r="CY476" s="697"/>
      <c r="CZ476" s="697"/>
      <c r="DA476" s="697"/>
    </row>
    <row r="477" spans="1:105" hidden="1" outlineLevel="1" x14ac:dyDescent="0.2">
      <c r="A477" s="709">
        <f t="shared" si="89"/>
        <v>39814</v>
      </c>
      <c r="B477" s="709" t="str">
        <f t="shared" si="86"/>
        <v>1Q09</v>
      </c>
      <c r="C477" s="709" t="str">
        <f t="shared" si="90"/>
        <v>1Q09</v>
      </c>
      <c r="D477" s="710">
        <f t="shared" si="92"/>
        <v>39892</v>
      </c>
      <c r="E477" s="710">
        <f t="shared" si="92"/>
        <v>39832</v>
      </c>
      <c r="F477" s="712">
        <v>2.2959999999999998</v>
      </c>
      <c r="G477" s="713">
        <f t="shared" si="87"/>
        <v>0.23000000000000007</v>
      </c>
      <c r="H477" s="713">
        <f t="shared" si="88"/>
        <v>0.23000000000000007</v>
      </c>
      <c r="I477" s="697"/>
      <c r="J477" s="697"/>
      <c r="K477" s="697"/>
      <c r="L477" s="697"/>
      <c r="M477" s="697"/>
      <c r="N477" s="697"/>
      <c r="O477" s="697"/>
      <c r="P477" s="697"/>
      <c r="Q477" s="697"/>
      <c r="R477" s="697"/>
      <c r="S477" s="697"/>
      <c r="T477" s="697"/>
      <c r="U477" s="697"/>
      <c r="V477" s="697"/>
      <c r="W477" s="697"/>
      <c r="X477" s="697"/>
      <c r="Y477" s="697"/>
      <c r="Z477" s="697"/>
      <c r="AA477" s="697"/>
      <c r="AB477" s="697"/>
      <c r="AC477" s="697"/>
      <c r="AD477" s="697"/>
      <c r="AE477" s="697"/>
      <c r="AF477" s="697"/>
      <c r="AG477" s="697"/>
      <c r="AH477" s="697"/>
      <c r="AI477" s="697"/>
      <c r="AJ477" s="697"/>
      <c r="AK477" s="697"/>
      <c r="AL477" s="697"/>
      <c r="AM477" s="697"/>
      <c r="AN477" s="697"/>
      <c r="AO477" s="697"/>
      <c r="AP477" s="697"/>
      <c r="AQ477" s="697"/>
      <c r="AR477" s="697"/>
      <c r="AS477" s="697"/>
      <c r="AT477" s="697"/>
      <c r="AU477" s="697"/>
      <c r="AV477" s="697"/>
      <c r="AW477" s="697"/>
      <c r="AX477" s="697"/>
      <c r="AY477" s="697"/>
      <c r="AZ477" s="697"/>
      <c r="BA477" s="697"/>
      <c r="BB477" s="697"/>
      <c r="BC477" s="697"/>
      <c r="BD477" s="697"/>
      <c r="BE477" s="697"/>
      <c r="BF477" s="697"/>
      <c r="BG477" s="697"/>
      <c r="BH477" s="697"/>
      <c r="BI477" s="697"/>
      <c r="BJ477" s="697"/>
      <c r="BK477" s="697"/>
      <c r="BL477" s="697"/>
      <c r="BM477" s="697"/>
      <c r="BN477" s="697"/>
      <c r="BO477" s="697"/>
      <c r="BP477" s="697"/>
      <c r="BQ477" s="697"/>
      <c r="BR477" s="697"/>
      <c r="BS477" s="697"/>
      <c r="BT477" s="697"/>
      <c r="BU477" s="697"/>
      <c r="BV477" s="697"/>
      <c r="BW477" s="697"/>
      <c r="BX477" s="697"/>
      <c r="BY477" s="697"/>
      <c r="BZ477" s="697"/>
      <c r="CA477" s="697"/>
      <c r="CB477" s="697"/>
      <c r="CC477" s="697"/>
      <c r="CD477" s="697"/>
      <c r="CE477" s="697"/>
      <c r="CF477" s="697"/>
      <c r="CG477" s="697"/>
      <c r="CH477" s="697"/>
      <c r="CI477" s="697"/>
      <c r="CJ477" s="697"/>
      <c r="CK477" s="697"/>
      <c r="CL477" s="697"/>
      <c r="CM477" s="697"/>
      <c r="CN477" s="697"/>
      <c r="CO477" s="697"/>
      <c r="CP477" s="697"/>
      <c r="CQ477" s="697"/>
      <c r="CR477" s="697"/>
      <c r="CS477" s="697"/>
      <c r="CT477" s="697"/>
      <c r="CU477" s="697"/>
      <c r="CV477" s="697"/>
      <c r="CW477" s="697"/>
      <c r="CX477" s="697"/>
      <c r="CY477" s="697"/>
      <c r="CZ477" s="697"/>
      <c r="DA477" s="697"/>
    </row>
    <row r="478" spans="1:105" hidden="1" outlineLevel="1" x14ac:dyDescent="0.2">
      <c r="A478" s="709">
        <f t="shared" si="89"/>
        <v>39814</v>
      </c>
      <c r="B478" s="709" t="str">
        <f t="shared" si="86"/>
        <v>1Q09</v>
      </c>
      <c r="C478" s="709" t="str">
        <f t="shared" si="90"/>
        <v>1Q09</v>
      </c>
      <c r="D478" s="710">
        <f t="shared" si="92"/>
        <v>39899</v>
      </c>
      <c r="E478" s="710">
        <f t="shared" si="92"/>
        <v>39839</v>
      </c>
      <c r="F478" s="712">
        <v>2.2679999999999998</v>
      </c>
      <c r="G478" s="713">
        <f t="shared" si="87"/>
        <v>0.23000000000000007</v>
      </c>
      <c r="H478" s="713">
        <f t="shared" si="88"/>
        <v>0.22000000000000006</v>
      </c>
      <c r="I478" s="697"/>
      <c r="J478" s="697"/>
      <c r="K478" s="697"/>
      <c r="L478" s="697"/>
      <c r="M478" s="697"/>
      <c r="N478" s="697"/>
      <c r="O478" s="697"/>
      <c r="P478" s="697"/>
      <c r="Q478" s="697"/>
      <c r="R478" s="697"/>
      <c r="S478" s="697"/>
      <c r="T478" s="697"/>
      <c r="U478" s="697"/>
      <c r="V478" s="697"/>
      <c r="W478" s="697"/>
      <c r="X478" s="697"/>
      <c r="Y478" s="697"/>
      <c r="Z478" s="697"/>
      <c r="AA478" s="697"/>
      <c r="AB478" s="697"/>
      <c r="AC478" s="697"/>
      <c r="AD478" s="697"/>
      <c r="AE478" s="697"/>
      <c r="AF478" s="697"/>
      <c r="AG478" s="697"/>
      <c r="AH478" s="697"/>
      <c r="AI478" s="697"/>
      <c r="AJ478" s="697"/>
      <c r="AK478" s="697"/>
      <c r="AL478" s="697"/>
      <c r="AM478" s="697"/>
      <c r="AN478" s="697"/>
      <c r="AO478" s="697"/>
      <c r="AP478" s="697"/>
      <c r="AQ478" s="697"/>
      <c r="AR478" s="697"/>
      <c r="AS478" s="697"/>
      <c r="AT478" s="697"/>
      <c r="AU478" s="697"/>
      <c r="AV478" s="697"/>
      <c r="AW478" s="697"/>
      <c r="AX478" s="697"/>
      <c r="AY478" s="697"/>
      <c r="AZ478" s="697"/>
      <c r="BA478" s="697"/>
      <c r="BB478" s="697"/>
      <c r="BC478" s="697"/>
      <c r="BD478" s="697"/>
      <c r="BE478" s="697"/>
      <c r="BF478" s="697"/>
      <c r="BG478" s="697"/>
      <c r="BH478" s="697"/>
      <c r="BI478" s="697"/>
      <c r="BJ478" s="697"/>
      <c r="BK478" s="697"/>
      <c r="BL478" s="697"/>
      <c r="BM478" s="697"/>
      <c r="BN478" s="697"/>
      <c r="BO478" s="697"/>
      <c r="BP478" s="697"/>
      <c r="BQ478" s="697"/>
      <c r="BR478" s="697"/>
      <c r="BS478" s="697"/>
      <c r="BT478" s="697"/>
      <c r="BU478" s="697"/>
      <c r="BV478" s="697"/>
      <c r="BW478" s="697"/>
      <c r="BX478" s="697"/>
      <c r="BY478" s="697"/>
      <c r="BZ478" s="697"/>
      <c r="CA478" s="697"/>
      <c r="CB478" s="697"/>
      <c r="CC478" s="697"/>
      <c r="CD478" s="697"/>
      <c r="CE478" s="697"/>
      <c r="CF478" s="697"/>
      <c r="CG478" s="697"/>
      <c r="CH478" s="697"/>
      <c r="CI478" s="697"/>
      <c r="CJ478" s="697"/>
      <c r="CK478" s="697"/>
      <c r="CL478" s="697"/>
      <c r="CM478" s="697"/>
      <c r="CN478" s="697"/>
      <c r="CO478" s="697"/>
      <c r="CP478" s="697"/>
      <c r="CQ478" s="697"/>
      <c r="CR478" s="697"/>
      <c r="CS478" s="697"/>
      <c r="CT478" s="697"/>
      <c r="CU478" s="697"/>
      <c r="CV478" s="697"/>
      <c r="CW478" s="697"/>
      <c r="CX478" s="697"/>
      <c r="CY478" s="697"/>
      <c r="CZ478" s="697"/>
      <c r="DA478" s="697"/>
    </row>
    <row r="479" spans="1:105" hidden="1" outlineLevel="1" x14ac:dyDescent="0.2">
      <c r="A479" s="709">
        <f t="shared" si="89"/>
        <v>39845</v>
      </c>
      <c r="B479" s="709" t="str">
        <f t="shared" si="86"/>
        <v>1Q09</v>
      </c>
      <c r="C479" s="709" t="str">
        <f t="shared" si="90"/>
        <v>2Q09</v>
      </c>
      <c r="D479" s="710">
        <f t="shared" si="92"/>
        <v>39906</v>
      </c>
      <c r="E479" s="710">
        <f t="shared" si="92"/>
        <v>39846</v>
      </c>
      <c r="F479" s="712">
        <v>2.246</v>
      </c>
      <c r="G479" s="713">
        <f t="shared" si="87"/>
        <v>0.22000000000000006</v>
      </c>
      <c r="H479" s="713">
        <f t="shared" si="88"/>
        <v>0.22000000000000006</v>
      </c>
      <c r="I479" s="697"/>
      <c r="J479" s="697"/>
      <c r="K479" s="697"/>
      <c r="L479" s="697"/>
      <c r="M479" s="697"/>
      <c r="N479" s="697"/>
      <c r="O479" s="697"/>
      <c r="P479" s="697"/>
      <c r="Q479" s="697"/>
      <c r="R479" s="697"/>
      <c r="S479" s="697"/>
      <c r="T479" s="697"/>
      <c r="U479" s="697"/>
      <c r="V479" s="697"/>
      <c r="W479" s="697"/>
      <c r="X479" s="697"/>
      <c r="Y479" s="697"/>
      <c r="Z479" s="697"/>
      <c r="AA479" s="697"/>
      <c r="AB479" s="697"/>
      <c r="AC479" s="697"/>
      <c r="AD479" s="697"/>
      <c r="AE479" s="697"/>
      <c r="AF479" s="697"/>
      <c r="AG479" s="697"/>
      <c r="AH479" s="697"/>
      <c r="AI479" s="697"/>
      <c r="AJ479" s="697"/>
      <c r="AK479" s="697"/>
      <c r="AL479" s="697"/>
      <c r="AM479" s="697"/>
      <c r="AN479" s="697"/>
      <c r="AO479" s="697"/>
      <c r="AP479" s="697"/>
      <c r="AQ479" s="697"/>
      <c r="AR479" s="697"/>
      <c r="AS479" s="697"/>
      <c r="AT479" s="697"/>
      <c r="AU479" s="697"/>
      <c r="AV479" s="697"/>
      <c r="AW479" s="697"/>
      <c r="AX479" s="697"/>
      <c r="AY479" s="697"/>
      <c r="AZ479" s="697"/>
      <c r="BA479" s="697"/>
      <c r="BB479" s="697"/>
      <c r="BC479" s="697"/>
      <c r="BD479" s="697"/>
      <c r="BE479" s="697"/>
      <c r="BF479" s="697"/>
      <c r="BG479" s="697"/>
      <c r="BH479" s="697"/>
      <c r="BI479" s="697"/>
      <c r="BJ479" s="697"/>
      <c r="BK479" s="697"/>
      <c r="BL479" s="697"/>
      <c r="BM479" s="697"/>
      <c r="BN479" s="697"/>
      <c r="BO479" s="697"/>
      <c r="BP479" s="697"/>
      <c r="BQ479" s="697"/>
      <c r="BR479" s="697"/>
      <c r="BS479" s="697"/>
      <c r="BT479" s="697"/>
      <c r="BU479" s="697"/>
      <c r="BV479" s="697"/>
      <c r="BW479" s="697"/>
      <c r="BX479" s="697"/>
      <c r="BY479" s="697"/>
      <c r="BZ479" s="697"/>
      <c r="CA479" s="697"/>
      <c r="CB479" s="697"/>
      <c r="CC479" s="697"/>
      <c r="CD479" s="697"/>
      <c r="CE479" s="697"/>
      <c r="CF479" s="697"/>
      <c r="CG479" s="697"/>
      <c r="CH479" s="697"/>
      <c r="CI479" s="697"/>
      <c r="CJ479" s="697"/>
      <c r="CK479" s="697"/>
      <c r="CL479" s="697"/>
      <c r="CM479" s="697"/>
      <c r="CN479" s="697"/>
      <c r="CO479" s="697"/>
      <c r="CP479" s="697"/>
      <c r="CQ479" s="697"/>
      <c r="CR479" s="697"/>
      <c r="CS479" s="697"/>
      <c r="CT479" s="697"/>
      <c r="CU479" s="697"/>
      <c r="CV479" s="697"/>
      <c r="CW479" s="697"/>
      <c r="CX479" s="697"/>
      <c r="CY479" s="697"/>
      <c r="CZ479" s="697"/>
      <c r="DA479" s="697"/>
    </row>
    <row r="480" spans="1:105" hidden="1" outlineLevel="1" x14ac:dyDescent="0.2">
      <c r="A480" s="709">
        <f t="shared" si="89"/>
        <v>39845</v>
      </c>
      <c r="B480" s="709" t="str">
        <f t="shared" si="86"/>
        <v>1Q09</v>
      </c>
      <c r="C480" s="709" t="str">
        <f t="shared" si="90"/>
        <v>2Q09</v>
      </c>
      <c r="D480" s="710">
        <f t="shared" si="92"/>
        <v>39913</v>
      </c>
      <c r="E480" s="710">
        <f t="shared" si="92"/>
        <v>39853</v>
      </c>
      <c r="F480" s="712">
        <v>2.2189999999999999</v>
      </c>
      <c r="G480" s="713">
        <f t="shared" si="87"/>
        <v>0.22000000000000006</v>
      </c>
      <c r="H480" s="713">
        <f t="shared" si="88"/>
        <v>0.21000000000000005</v>
      </c>
      <c r="I480" s="697"/>
      <c r="J480" s="697"/>
      <c r="K480" s="697"/>
      <c r="L480" s="697"/>
      <c r="M480" s="697"/>
      <c r="N480" s="697"/>
      <c r="O480" s="697"/>
      <c r="P480" s="697"/>
      <c r="Q480" s="697"/>
      <c r="R480" s="697"/>
      <c r="S480" s="697"/>
      <c r="T480" s="697"/>
      <c r="U480" s="697"/>
      <c r="V480" s="697"/>
      <c r="W480" s="697"/>
      <c r="X480" s="697"/>
      <c r="Y480" s="697"/>
      <c r="Z480" s="697"/>
      <c r="AA480" s="697"/>
      <c r="AB480" s="697"/>
      <c r="AC480" s="697"/>
      <c r="AD480" s="697"/>
      <c r="AE480" s="697"/>
      <c r="AF480" s="697"/>
      <c r="AG480" s="697"/>
      <c r="AH480" s="697"/>
      <c r="AI480" s="697"/>
      <c r="AJ480" s="697"/>
      <c r="AK480" s="697"/>
      <c r="AL480" s="697"/>
      <c r="AM480" s="697"/>
      <c r="AN480" s="697"/>
      <c r="AO480" s="697"/>
      <c r="AP480" s="697"/>
      <c r="AQ480" s="697"/>
      <c r="AR480" s="697"/>
      <c r="AS480" s="697"/>
      <c r="AT480" s="697"/>
      <c r="AU480" s="697"/>
      <c r="AV480" s="697"/>
      <c r="AW480" s="697"/>
      <c r="AX480" s="697"/>
      <c r="AY480" s="697"/>
      <c r="AZ480" s="697"/>
      <c r="BA480" s="697"/>
      <c r="BB480" s="697"/>
      <c r="BC480" s="697"/>
      <c r="BD480" s="697"/>
      <c r="BE480" s="697"/>
      <c r="BF480" s="697"/>
      <c r="BG480" s="697"/>
      <c r="BH480" s="697"/>
      <c r="BI480" s="697"/>
      <c r="BJ480" s="697"/>
      <c r="BK480" s="697"/>
      <c r="BL480" s="697"/>
      <c r="BM480" s="697"/>
      <c r="BN480" s="697"/>
      <c r="BO480" s="697"/>
      <c r="BP480" s="697"/>
      <c r="BQ480" s="697"/>
      <c r="BR480" s="697"/>
      <c r="BS480" s="697"/>
      <c r="BT480" s="697"/>
      <c r="BU480" s="697"/>
      <c r="BV480" s="697"/>
      <c r="BW480" s="697"/>
      <c r="BX480" s="697"/>
      <c r="BY480" s="697"/>
      <c r="BZ480" s="697"/>
      <c r="CA480" s="697"/>
      <c r="CB480" s="697"/>
      <c r="CC480" s="697"/>
      <c r="CD480" s="697"/>
      <c r="CE480" s="697"/>
      <c r="CF480" s="697"/>
      <c r="CG480" s="697"/>
      <c r="CH480" s="697"/>
      <c r="CI480" s="697"/>
      <c r="CJ480" s="697"/>
      <c r="CK480" s="697"/>
      <c r="CL480" s="697"/>
      <c r="CM480" s="697"/>
      <c r="CN480" s="697"/>
      <c r="CO480" s="697"/>
      <c r="CP480" s="697"/>
      <c r="CQ480" s="697"/>
      <c r="CR480" s="697"/>
      <c r="CS480" s="697"/>
      <c r="CT480" s="697"/>
      <c r="CU480" s="697"/>
      <c r="CV480" s="697"/>
      <c r="CW480" s="697"/>
      <c r="CX480" s="697"/>
      <c r="CY480" s="697"/>
      <c r="CZ480" s="697"/>
      <c r="DA480" s="697"/>
    </row>
    <row r="481" spans="1:105" hidden="1" outlineLevel="1" x14ac:dyDescent="0.2">
      <c r="A481" s="709">
        <f t="shared" si="89"/>
        <v>39845</v>
      </c>
      <c r="B481" s="709" t="str">
        <f t="shared" si="86"/>
        <v>1Q09</v>
      </c>
      <c r="C481" s="709" t="str">
        <f t="shared" si="90"/>
        <v>2Q09</v>
      </c>
      <c r="D481" s="710">
        <f t="shared" si="92"/>
        <v>39920</v>
      </c>
      <c r="E481" s="710">
        <f t="shared" si="92"/>
        <v>39860</v>
      </c>
      <c r="F481" s="712">
        <v>2.1859999999999999</v>
      </c>
      <c r="G481" s="713">
        <f t="shared" si="87"/>
        <v>0.21000000000000005</v>
      </c>
      <c r="H481" s="713">
        <f t="shared" si="88"/>
        <v>0.20000000000000004</v>
      </c>
      <c r="I481" s="697"/>
      <c r="J481" s="697"/>
      <c r="K481" s="697"/>
      <c r="L481" s="697"/>
      <c r="M481" s="697"/>
      <c r="N481" s="697"/>
      <c r="O481" s="697"/>
      <c r="P481" s="697"/>
      <c r="Q481" s="697"/>
      <c r="R481" s="697"/>
      <c r="S481" s="697"/>
      <c r="T481" s="697"/>
      <c r="U481" s="697"/>
      <c r="V481" s="697"/>
      <c r="W481" s="697"/>
      <c r="X481" s="697"/>
      <c r="Y481" s="697"/>
      <c r="Z481" s="697"/>
      <c r="AA481" s="697"/>
      <c r="AB481" s="697"/>
      <c r="AC481" s="697"/>
      <c r="AD481" s="697"/>
      <c r="AE481" s="697"/>
      <c r="AF481" s="697"/>
      <c r="AG481" s="697"/>
      <c r="AH481" s="697"/>
      <c r="AI481" s="697"/>
      <c r="AJ481" s="697"/>
      <c r="AK481" s="697"/>
      <c r="AL481" s="697"/>
      <c r="AM481" s="697"/>
      <c r="AN481" s="697"/>
      <c r="AO481" s="697"/>
      <c r="AP481" s="697"/>
      <c r="AQ481" s="697"/>
      <c r="AR481" s="697"/>
      <c r="AS481" s="697"/>
      <c r="AT481" s="697"/>
      <c r="AU481" s="697"/>
      <c r="AV481" s="697"/>
      <c r="AW481" s="697"/>
      <c r="AX481" s="697"/>
      <c r="AY481" s="697"/>
      <c r="AZ481" s="697"/>
      <c r="BA481" s="697"/>
      <c r="BB481" s="697"/>
      <c r="BC481" s="697"/>
      <c r="BD481" s="697"/>
      <c r="BE481" s="697"/>
      <c r="BF481" s="697"/>
      <c r="BG481" s="697"/>
      <c r="BH481" s="697"/>
      <c r="BI481" s="697"/>
      <c r="BJ481" s="697"/>
      <c r="BK481" s="697"/>
      <c r="BL481" s="697"/>
      <c r="BM481" s="697"/>
      <c r="BN481" s="697"/>
      <c r="BO481" s="697"/>
      <c r="BP481" s="697"/>
      <c r="BQ481" s="697"/>
      <c r="BR481" s="697"/>
      <c r="BS481" s="697"/>
      <c r="BT481" s="697"/>
      <c r="BU481" s="697"/>
      <c r="BV481" s="697"/>
      <c r="BW481" s="697"/>
      <c r="BX481" s="697"/>
      <c r="BY481" s="697"/>
      <c r="BZ481" s="697"/>
      <c r="CA481" s="697"/>
      <c r="CB481" s="697"/>
      <c r="CC481" s="697"/>
      <c r="CD481" s="697"/>
      <c r="CE481" s="697"/>
      <c r="CF481" s="697"/>
      <c r="CG481" s="697"/>
      <c r="CH481" s="697"/>
      <c r="CI481" s="697"/>
      <c r="CJ481" s="697"/>
      <c r="CK481" s="697"/>
      <c r="CL481" s="697"/>
      <c r="CM481" s="697"/>
      <c r="CN481" s="697"/>
      <c r="CO481" s="697"/>
      <c r="CP481" s="697"/>
      <c r="CQ481" s="697"/>
      <c r="CR481" s="697"/>
      <c r="CS481" s="697"/>
      <c r="CT481" s="697"/>
      <c r="CU481" s="697"/>
      <c r="CV481" s="697"/>
      <c r="CW481" s="697"/>
      <c r="CX481" s="697"/>
      <c r="CY481" s="697"/>
      <c r="CZ481" s="697"/>
      <c r="DA481" s="697"/>
    </row>
    <row r="482" spans="1:105" hidden="1" outlineLevel="1" x14ac:dyDescent="0.2">
      <c r="A482" s="709">
        <f t="shared" si="89"/>
        <v>39845</v>
      </c>
      <c r="B482" s="709" t="str">
        <f t="shared" si="86"/>
        <v>1Q09</v>
      </c>
      <c r="C482" s="709" t="str">
        <f t="shared" si="90"/>
        <v>2Q09</v>
      </c>
      <c r="D482" s="710">
        <f t="shared" si="92"/>
        <v>39927</v>
      </c>
      <c r="E482" s="710">
        <f t="shared" si="92"/>
        <v>39867</v>
      </c>
      <c r="F482" s="712">
        <v>2.13</v>
      </c>
      <c r="G482" s="713">
        <f t="shared" si="87"/>
        <v>0.20000000000000004</v>
      </c>
      <c r="H482" s="713">
        <f t="shared" si="88"/>
        <v>0.19000000000000003</v>
      </c>
      <c r="I482" s="697"/>
      <c r="J482" s="697"/>
      <c r="K482" s="697"/>
      <c r="L482" s="697"/>
      <c r="M482" s="697"/>
      <c r="N482" s="697"/>
      <c r="O482" s="697"/>
      <c r="P482" s="697"/>
      <c r="Q482" s="697"/>
      <c r="R482" s="697"/>
      <c r="S482" s="697"/>
      <c r="T482" s="697"/>
      <c r="U482" s="697"/>
      <c r="V482" s="697"/>
      <c r="W482" s="697"/>
      <c r="X482" s="697"/>
      <c r="Y482" s="697"/>
      <c r="Z482" s="697"/>
      <c r="AA482" s="697"/>
      <c r="AB482" s="697"/>
      <c r="AC482" s="697"/>
      <c r="AD482" s="697"/>
      <c r="AE482" s="697"/>
      <c r="AF482" s="697"/>
      <c r="AG482" s="697"/>
      <c r="AH482" s="697"/>
      <c r="AI482" s="697"/>
      <c r="AJ482" s="697"/>
      <c r="AK482" s="697"/>
      <c r="AL482" s="697"/>
      <c r="AM482" s="697"/>
      <c r="AN482" s="697"/>
      <c r="AO482" s="697"/>
      <c r="AP482" s="697"/>
      <c r="AQ482" s="697"/>
      <c r="AR482" s="697"/>
      <c r="AS482" s="697"/>
      <c r="AT482" s="697"/>
      <c r="AU482" s="697"/>
      <c r="AV482" s="697"/>
      <c r="AW482" s="697"/>
      <c r="AX482" s="697"/>
      <c r="AY482" s="697"/>
      <c r="AZ482" s="697"/>
      <c r="BA482" s="697"/>
      <c r="BB482" s="697"/>
      <c r="BC482" s="697"/>
      <c r="BD482" s="697"/>
      <c r="BE482" s="697"/>
      <c r="BF482" s="697"/>
      <c r="BG482" s="697"/>
      <c r="BH482" s="697"/>
      <c r="BI482" s="697"/>
      <c r="BJ482" s="697"/>
      <c r="BK482" s="697"/>
      <c r="BL482" s="697"/>
      <c r="BM482" s="697"/>
      <c r="BN482" s="697"/>
      <c r="BO482" s="697"/>
      <c r="BP482" s="697"/>
      <c r="BQ482" s="697"/>
      <c r="BR482" s="697"/>
      <c r="BS482" s="697"/>
      <c r="BT482" s="697"/>
      <c r="BU482" s="697"/>
      <c r="BV482" s="697"/>
      <c r="BW482" s="697"/>
      <c r="BX482" s="697"/>
      <c r="BY482" s="697"/>
      <c r="BZ482" s="697"/>
      <c r="CA482" s="697"/>
      <c r="CB482" s="697"/>
      <c r="CC482" s="697"/>
      <c r="CD482" s="697"/>
      <c r="CE482" s="697"/>
      <c r="CF482" s="697"/>
      <c r="CG482" s="697"/>
      <c r="CH482" s="697"/>
      <c r="CI482" s="697"/>
      <c r="CJ482" s="697"/>
      <c r="CK482" s="697"/>
      <c r="CL482" s="697"/>
      <c r="CM482" s="697"/>
      <c r="CN482" s="697"/>
      <c r="CO482" s="697"/>
      <c r="CP482" s="697"/>
      <c r="CQ482" s="697"/>
      <c r="CR482" s="697"/>
      <c r="CS482" s="697"/>
      <c r="CT482" s="697"/>
      <c r="CU482" s="697"/>
      <c r="CV482" s="697"/>
      <c r="CW482" s="697"/>
      <c r="CX482" s="697"/>
      <c r="CY482" s="697"/>
      <c r="CZ482" s="697"/>
      <c r="DA482" s="697"/>
    </row>
    <row r="483" spans="1:105" hidden="1" outlineLevel="1" x14ac:dyDescent="0.2">
      <c r="A483" s="709">
        <f t="shared" si="89"/>
        <v>39873</v>
      </c>
      <c r="B483" s="709" t="str">
        <f t="shared" si="86"/>
        <v>1Q09</v>
      </c>
      <c r="C483" s="709" t="str">
        <f t="shared" si="90"/>
        <v>2Q09</v>
      </c>
      <c r="D483" s="710">
        <f t="shared" si="92"/>
        <v>39934</v>
      </c>
      <c r="E483" s="710">
        <f t="shared" si="92"/>
        <v>39874</v>
      </c>
      <c r="F483" s="712">
        <v>2.0870000000000002</v>
      </c>
      <c r="G483" s="713">
        <f t="shared" si="87"/>
        <v>0.19000000000000003</v>
      </c>
      <c r="H483" s="713">
        <f t="shared" si="88"/>
        <v>0.18000000000000002</v>
      </c>
      <c r="I483" s="697"/>
      <c r="J483" s="697"/>
      <c r="K483" s="697"/>
      <c r="L483" s="697"/>
      <c r="M483" s="697"/>
      <c r="N483" s="697"/>
      <c r="O483" s="697"/>
      <c r="P483" s="697"/>
      <c r="Q483" s="697"/>
      <c r="R483" s="697"/>
      <c r="S483" s="697"/>
      <c r="T483" s="697"/>
      <c r="U483" s="697"/>
      <c r="V483" s="697"/>
      <c r="W483" s="697"/>
      <c r="X483" s="697"/>
      <c r="Y483" s="697"/>
      <c r="Z483" s="697"/>
      <c r="AA483" s="697"/>
      <c r="AB483" s="697"/>
      <c r="AC483" s="697"/>
      <c r="AD483" s="697"/>
      <c r="AE483" s="697"/>
      <c r="AF483" s="697"/>
      <c r="AG483" s="697"/>
      <c r="AH483" s="697"/>
      <c r="AI483" s="697"/>
      <c r="AJ483" s="697"/>
      <c r="AK483" s="697"/>
      <c r="AL483" s="697"/>
      <c r="AM483" s="697"/>
      <c r="AN483" s="697"/>
      <c r="AO483" s="697"/>
      <c r="AP483" s="697"/>
      <c r="AQ483" s="697"/>
      <c r="AR483" s="697"/>
      <c r="AS483" s="697"/>
      <c r="AT483" s="697"/>
      <c r="AU483" s="697"/>
      <c r="AV483" s="697"/>
      <c r="AW483" s="697"/>
      <c r="AX483" s="697"/>
      <c r="AY483" s="697"/>
      <c r="AZ483" s="697"/>
      <c r="BA483" s="697"/>
      <c r="BB483" s="697"/>
      <c r="BC483" s="697"/>
      <c r="BD483" s="697"/>
      <c r="BE483" s="697"/>
      <c r="BF483" s="697"/>
      <c r="BG483" s="697"/>
      <c r="BH483" s="697"/>
      <c r="BI483" s="697"/>
      <c r="BJ483" s="697"/>
      <c r="BK483" s="697"/>
      <c r="BL483" s="697"/>
      <c r="BM483" s="697"/>
      <c r="BN483" s="697"/>
      <c r="BO483" s="697"/>
      <c r="BP483" s="697"/>
      <c r="BQ483" s="697"/>
      <c r="BR483" s="697"/>
      <c r="BS483" s="697"/>
      <c r="BT483" s="697"/>
      <c r="BU483" s="697"/>
      <c r="BV483" s="697"/>
      <c r="BW483" s="697"/>
      <c r="BX483" s="697"/>
      <c r="BY483" s="697"/>
      <c r="BZ483" s="697"/>
      <c r="CA483" s="697"/>
      <c r="CB483" s="697"/>
      <c r="CC483" s="697"/>
      <c r="CD483" s="697"/>
      <c r="CE483" s="697"/>
      <c r="CF483" s="697"/>
      <c r="CG483" s="697"/>
      <c r="CH483" s="697"/>
      <c r="CI483" s="697"/>
      <c r="CJ483" s="697"/>
      <c r="CK483" s="697"/>
      <c r="CL483" s="697"/>
      <c r="CM483" s="697"/>
      <c r="CN483" s="697"/>
      <c r="CO483" s="697"/>
      <c r="CP483" s="697"/>
      <c r="CQ483" s="697"/>
      <c r="CR483" s="697"/>
      <c r="CS483" s="697"/>
      <c r="CT483" s="697"/>
      <c r="CU483" s="697"/>
      <c r="CV483" s="697"/>
      <c r="CW483" s="697"/>
      <c r="CX483" s="697"/>
      <c r="CY483" s="697"/>
      <c r="CZ483" s="697"/>
      <c r="DA483" s="697"/>
    </row>
    <row r="484" spans="1:105" hidden="1" outlineLevel="1" x14ac:dyDescent="0.2">
      <c r="A484" s="709">
        <f t="shared" si="89"/>
        <v>39873</v>
      </c>
      <c r="B484" s="709" t="str">
        <f t="shared" si="86"/>
        <v>1Q09</v>
      </c>
      <c r="C484" s="709" t="str">
        <f t="shared" si="90"/>
        <v>2Q09</v>
      </c>
      <c r="D484" s="710">
        <f t="shared" si="92"/>
        <v>39941</v>
      </c>
      <c r="E484" s="710">
        <f t="shared" si="92"/>
        <v>39881</v>
      </c>
      <c r="F484" s="712">
        <v>2.0449999999999999</v>
      </c>
      <c r="G484" s="713">
        <f t="shared" si="87"/>
        <v>0.18000000000000002</v>
      </c>
      <c r="H484" s="713">
        <f t="shared" si="88"/>
        <v>0.18000000000000002</v>
      </c>
      <c r="I484" s="697"/>
      <c r="J484" s="697"/>
      <c r="K484" s="697"/>
      <c r="L484" s="697"/>
      <c r="M484" s="697"/>
      <c r="N484" s="697"/>
      <c r="O484" s="697"/>
      <c r="P484" s="697"/>
      <c r="Q484" s="697"/>
      <c r="R484" s="697"/>
      <c r="S484" s="697"/>
      <c r="T484" s="697"/>
      <c r="U484" s="697"/>
      <c r="V484" s="697"/>
      <c r="W484" s="697"/>
      <c r="X484" s="697"/>
      <c r="Y484" s="697"/>
      <c r="Z484" s="697"/>
      <c r="AA484" s="697"/>
      <c r="AB484" s="697"/>
      <c r="AC484" s="697"/>
      <c r="AD484" s="697"/>
      <c r="AE484" s="697"/>
      <c r="AF484" s="697"/>
      <c r="AG484" s="697"/>
      <c r="AH484" s="697"/>
      <c r="AI484" s="697"/>
      <c r="AJ484" s="697"/>
      <c r="AK484" s="697"/>
      <c r="AL484" s="697"/>
      <c r="AM484" s="697"/>
      <c r="AN484" s="697"/>
      <c r="AO484" s="697"/>
      <c r="AP484" s="697"/>
      <c r="AQ484" s="697"/>
      <c r="AR484" s="697"/>
      <c r="AS484" s="697"/>
      <c r="AT484" s="697"/>
      <c r="AU484" s="697"/>
      <c r="AV484" s="697"/>
      <c r="AW484" s="697"/>
      <c r="AX484" s="697"/>
      <c r="AY484" s="697"/>
      <c r="AZ484" s="697"/>
      <c r="BA484" s="697"/>
      <c r="BB484" s="697"/>
      <c r="BC484" s="697"/>
      <c r="BD484" s="697"/>
      <c r="BE484" s="697"/>
      <c r="BF484" s="697"/>
      <c r="BG484" s="697"/>
      <c r="BH484" s="697"/>
      <c r="BI484" s="697"/>
      <c r="BJ484" s="697"/>
      <c r="BK484" s="697"/>
      <c r="BL484" s="697"/>
      <c r="BM484" s="697"/>
      <c r="BN484" s="697"/>
      <c r="BO484" s="697"/>
      <c r="BP484" s="697"/>
      <c r="BQ484" s="697"/>
      <c r="BR484" s="697"/>
      <c r="BS484" s="697"/>
      <c r="BT484" s="697"/>
      <c r="BU484" s="697"/>
      <c r="BV484" s="697"/>
      <c r="BW484" s="697"/>
      <c r="BX484" s="697"/>
      <c r="BY484" s="697"/>
      <c r="BZ484" s="697"/>
      <c r="CA484" s="697"/>
      <c r="CB484" s="697"/>
      <c r="CC484" s="697"/>
      <c r="CD484" s="697"/>
      <c r="CE484" s="697"/>
      <c r="CF484" s="697"/>
      <c r="CG484" s="697"/>
      <c r="CH484" s="697"/>
      <c r="CI484" s="697"/>
      <c r="CJ484" s="697"/>
      <c r="CK484" s="697"/>
      <c r="CL484" s="697"/>
      <c r="CM484" s="697"/>
      <c r="CN484" s="697"/>
      <c r="CO484" s="697"/>
      <c r="CP484" s="697"/>
      <c r="CQ484" s="697"/>
      <c r="CR484" s="697"/>
      <c r="CS484" s="697"/>
      <c r="CT484" s="697"/>
      <c r="CU484" s="697"/>
      <c r="CV484" s="697"/>
      <c r="CW484" s="697"/>
      <c r="CX484" s="697"/>
      <c r="CY484" s="697"/>
      <c r="CZ484" s="697"/>
      <c r="DA484" s="697"/>
    </row>
    <row r="485" spans="1:105" hidden="1" outlineLevel="1" x14ac:dyDescent="0.2">
      <c r="A485" s="709">
        <f t="shared" si="89"/>
        <v>39873</v>
      </c>
      <c r="B485" s="709" t="str">
        <f t="shared" si="86"/>
        <v>1Q09</v>
      </c>
      <c r="C485" s="709" t="str">
        <f t="shared" si="90"/>
        <v>2Q09</v>
      </c>
      <c r="D485" s="710">
        <f t="shared" ref="D485:E500" si="93">D484+7</f>
        <v>39948</v>
      </c>
      <c r="E485" s="710">
        <f t="shared" si="93"/>
        <v>39888</v>
      </c>
      <c r="F485" s="712">
        <v>2.0169999999999999</v>
      </c>
      <c r="G485" s="713">
        <f t="shared" si="87"/>
        <v>0.18000000000000002</v>
      </c>
      <c r="H485" s="713">
        <f t="shared" si="88"/>
        <v>0.19000000000000003</v>
      </c>
      <c r="I485" s="697"/>
      <c r="J485" s="697"/>
      <c r="K485" s="697"/>
      <c r="L485" s="697"/>
      <c r="M485" s="697"/>
      <c r="N485" s="697"/>
      <c r="O485" s="697"/>
      <c r="P485" s="697"/>
      <c r="Q485" s="697"/>
      <c r="R485" s="697"/>
      <c r="S485" s="697"/>
      <c r="T485" s="697"/>
      <c r="U485" s="697"/>
      <c r="V485" s="697"/>
      <c r="W485" s="697"/>
      <c r="X485" s="697"/>
      <c r="Y485" s="697"/>
      <c r="Z485" s="697"/>
      <c r="AA485" s="697"/>
      <c r="AB485" s="697"/>
      <c r="AC485" s="697"/>
      <c r="AD485" s="697"/>
      <c r="AE485" s="697"/>
      <c r="AF485" s="697"/>
      <c r="AG485" s="697"/>
      <c r="AH485" s="697"/>
      <c r="AI485" s="697"/>
      <c r="AJ485" s="697"/>
      <c r="AK485" s="697"/>
      <c r="AL485" s="697"/>
      <c r="AM485" s="697"/>
      <c r="AN485" s="697"/>
      <c r="AO485" s="697"/>
      <c r="AP485" s="697"/>
      <c r="AQ485" s="697"/>
      <c r="AR485" s="697"/>
      <c r="AS485" s="697"/>
      <c r="AT485" s="697"/>
      <c r="AU485" s="697"/>
      <c r="AV485" s="697"/>
      <c r="AW485" s="697"/>
      <c r="AX485" s="697"/>
      <c r="AY485" s="697"/>
      <c r="AZ485" s="697"/>
      <c r="BA485" s="697"/>
      <c r="BB485" s="697"/>
      <c r="BC485" s="697"/>
      <c r="BD485" s="697"/>
      <c r="BE485" s="697"/>
      <c r="BF485" s="697"/>
      <c r="BG485" s="697"/>
      <c r="BH485" s="697"/>
      <c r="BI485" s="697"/>
      <c r="BJ485" s="697"/>
      <c r="BK485" s="697"/>
      <c r="BL485" s="697"/>
      <c r="BM485" s="697"/>
      <c r="BN485" s="697"/>
      <c r="BO485" s="697"/>
      <c r="BP485" s="697"/>
      <c r="BQ485" s="697"/>
      <c r="BR485" s="697"/>
      <c r="BS485" s="697"/>
      <c r="BT485" s="697"/>
      <c r="BU485" s="697"/>
      <c r="BV485" s="697"/>
      <c r="BW485" s="697"/>
      <c r="BX485" s="697"/>
      <c r="BY485" s="697"/>
      <c r="BZ485" s="697"/>
      <c r="CA485" s="697"/>
      <c r="CB485" s="697"/>
      <c r="CC485" s="697"/>
      <c r="CD485" s="697"/>
      <c r="CE485" s="697"/>
      <c r="CF485" s="697"/>
      <c r="CG485" s="697"/>
      <c r="CH485" s="697"/>
      <c r="CI485" s="697"/>
      <c r="CJ485" s="697"/>
      <c r="CK485" s="697"/>
      <c r="CL485" s="697"/>
      <c r="CM485" s="697"/>
      <c r="CN485" s="697"/>
      <c r="CO485" s="697"/>
      <c r="CP485" s="697"/>
      <c r="CQ485" s="697"/>
      <c r="CR485" s="697"/>
      <c r="CS485" s="697"/>
      <c r="CT485" s="697"/>
      <c r="CU485" s="697"/>
      <c r="CV485" s="697"/>
      <c r="CW485" s="697"/>
      <c r="CX485" s="697"/>
      <c r="CY485" s="697"/>
      <c r="CZ485" s="697"/>
      <c r="DA485" s="697"/>
    </row>
    <row r="486" spans="1:105" hidden="1" outlineLevel="1" x14ac:dyDescent="0.2">
      <c r="A486" s="709">
        <f t="shared" si="89"/>
        <v>39873</v>
      </c>
      <c r="B486" s="709" t="str">
        <f t="shared" si="86"/>
        <v>1Q09</v>
      </c>
      <c r="C486" s="709" t="str">
        <f t="shared" si="90"/>
        <v>2Q09</v>
      </c>
      <c r="D486" s="710">
        <f t="shared" si="93"/>
        <v>39955</v>
      </c>
      <c r="E486" s="710">
        <f t="shared" si="93"/>
        <v>39895</v>
      </c>
      <c r="F486" s="712">
        <v>2.09</v>
      </c>
      <c r="G486" s="713">
        <f t="shared" si="87"/>
        <v>0.19000000000000003</v>
      </c>
      <c r="H486" s="713">
        <f t="shared" si="88"/>
        <v>0.22000000000000006</v>
      </c>
      <c r="I486" s="697"/>
      <c r="J486" s="697"/>
      <c r="K486" s="697"/>
      <c r="L486" s="697"/>
      <c r="M486" s="697"/>
      <c r="N486" s="697"/>
      <c r="O486" s="697"/>
      <c r="P486" s="697"/>
      <c r="Q486" s="697"/>
      <c r="R486" s="697"/>
      <c r="S486" s="697"/>
      <c r="T486" s="697"/>
      <c r="U486" s="697"/>
      <c r="V486" s="697"/>
      <c r="W486" s="697"/>
      <c r="X486" s="697"/>
      <c r="Y486" s="697"/>
      <c r="Z486" s="697"/>
      <c r="AA486" s="697"/>
      <c r="AB486" s="697"/>
      <c r="AC486" s="697"/>
      <c r="AD486" s="697"/>
      <c r="AE486" s="697"/>
      <c r="AF486" s="697"/>
      <c r="AG486" s="697"/>
      <c r="AH486" s="697"/>
      <c r="AI486" s="697"/>
      <c r="AJ486" s="697"/>
      <c r="AK486" s="697"/>
      <c r="AL486" s="697"/>
      <c r="AM486" s="697"/>
      <c r="AN486" s="697"/>
      <c r="AO486" s="697"/>
      <c r="AP486" s="697"/>
      <c r="AQ486" s="697"/>
      <c r="AR486" s="697"/>
      <c r="AS486" s="697"/>
      <c r="AT486" s="697"/>
      <c r="AU486" s="697"/>
      <c r="AV486" s="697"/>
      <c r="AW486" s="697"/>
      <c r="AX486" s="697"/>
      <c r="AY486" s="697"/>
      <c r="AZ486" s="697"/>
      <c r="BA486" s="697"/>
      <c r="BB486" s="697"/>
      <c r="BC486" s="697"/>
      <c r="BD486" s="697"/>
      <c r="BE486" s="697"/>
      <c r="BF486" s="697"/>
      <c r="BG486" s="697"/>
      <c r="BH486" s="697"/>
      <c r="BI486" s="697"/>
      <c r="BJ486" s="697"/>
      <c r="BK486" s="697"/>
      <c r="BL486" s="697"/>
      <c r="BM486" s="697"/>
      <c r="BN486" s="697"/>
      <c r="BO486" s="697"/>
      <c r="BP486" s="697"/>
      <c r="BQ486" s="697"/>
      <c r="BR486" s="697"/>
      <c r="BS486" s="697"/>
      <c r="BT486" s="697"/>
      <c r="BU486" s="697"/>
      <c r="BV486" s="697"/>
      <c r="BW486" s="697"/>
      <c r="BX486" s="697"/>
      <c r="BY486" s="697"/>
      <c r="BZ486" s="697"/>
      <c r="CA486" s="697"/>
      <c r="CB486" s="697"/>
      <c r="CC486" s="697"/>
      <c r="CD486" s="697"/>
      <c r="CE486" s="697"/>
      <c r="CF486" s="697"/>
      <c r="CG486" s="697"/>
      <c r="CH486" s="697"/>
      <c r="CI486" s="697"/>
      <c r="CJ486" s="697"/>
      <c r="CK486" s="697"/>
      <c r="CL486" s="697"/>
      <c r="CM486" s="697"/>
      <c r="CN486" s="697"/>
      <c r="CO486" s="697"/>
      <c r="CP486" s="697"/>
      <c r="CQ486" s="697"/>
      <c r="CR486" s="697"/>
      <c r="CS486" s="697"/>
      <c r="CT486" s="697"/>
      <c r="CU486" s="697"/>
      <c r="CV486" s="697"/>
      <c r="CW486" s="697"/>
      <c r="CX486" s="697"/>
      <c r="CY486" s="697"/>
      <c r="CZ486" s="697"/>
      <c r="DA486" s="697"/>
    </row>
    <row r="487" spans="1:105" hidden="1" outlineLevel="1" x14ac:dyDescent="0.2">
      <c r="A487" s="709">
        <f t="shared" si="89"/>
        <v>39873</v>
      </c>
      <c r="B487" s="709" t="str">
        <f t="shared" si="86"/>
        <v>1Q09</v>
      </c>
      <c r="C487" s="709" t="str">
        <f t="shared" si="90"/>
        <v>2Q09</v>
      </c>
      <c r="D487" s="710">
        <f t="shared" si="93"/>
        <v>39962</v>
      </c>
      <c r="E487" s="710">
        <f t="shared" si="93"/>
        <v>39902</v>
      </c>
      <c r="F487" s="712">
        <v>2.2210000000000001</v>
      </c>
      <c r="G487" s="713">
        <f t="shared" si="87"/>
        <v>0.22000000000000006</v>
      </c>
      <c r="H487" s="713">
        <f t="shared" si="88"/>
        <v>0.22000000000000006</v>
      </c>
      <c r="I487" s="697"/>
      <c r="J487" s="697"/>
      <c r="K487" s="697"/>
      <c r="L487" s="697"/>
      <c r="M487" s="697"/>
      <c r="N487" s="697"/>
      <c r="O487" s="697"/>
      <c r="P487" s="697"/>
      <c r="Q487" s="697"/>
      <c r="R487" s="697"/>
      <c r="S487" s="697"/>
      <c r="T487" s="697"/>
      <c r="U487" s="697"/>
      <c r="V487" s="697"/>
      <c r="W487" s="697"/>
      <c r="X487" s="697"/>
      <c r="Y487" s="697"/>
      <c r="Z487" s="697"/>
      <c r="AA487" s="697"/>
      <c r="AB487" s="697"/>
      <c r="AC487" s="697"/>
      <c r="AD487" s="697"/>
      <c r="AE487" s="697"/>
      <c r="AF487" s="697"/>
      <c r="AG487" s="697"/>
      <c r="AH487" s="697"/>
      <c r="AI487" s="697"/>
      <c r="AJ487" s="697"/>
      <c r="AK487" s="697"/>
      <c r="AL487" s="697"/>
      <c r="AM487" s="697"/>
      <c r="AN487" s="697"/>
      <c r="AO487" s="697"/>
      <c r="AP487" s="697"/>
      <c r="AQ487" s="697"/>
      <c r="AR487" s="697"/>
      <c r="AS487" s="697"/>
      <c r="AT487" s="697"/>
      <c r="AU487" s="697"/>
      <c r="AV487" s="697"/>
      <c r="AW487" s="697"/>
      <c r="AX487" s="697"/>
      <c r="AY487" s="697"/>
      <c r="AZ487" s="697"/>
      <c r="BA487" s="697"/>
      <c r="BB487" s="697"/>
      <c r="BC487" s="697"/>
      <c r="BD487" s="697"/>
      <c r="BE487" s="697"/>
      <c r="BF487" s="697"/>
      <c r="BG487" s="697"/>
      <c r="BH487" s="697"/>
      <c r="BI487" s="697"/>
      <c r="BJ487" s="697"/>
      <c r="BK487" s="697"/>
      <c r="BL487" s="697"/>
      <c r="BM487" s="697"/>
      <c r="BN487" s="697"/>
      <c r="BO487" s="697"/>
      <c r="BP487" s="697"/>
      <c r="BQ487" s="697"/>
      <c r="BR487" s="697"/>
      <c r="BS487" s="697"/>
      <c r="BT487" s="697"/>
      <c r="BU487" s="697"/>
      <c r="BV487" s="697"/>
      <c r="BW487" s="697"/>
      <c r="BX487" s="697"/>
      <c r="BY487" s="697"/>
      <c r="BZ487" s="697"/>
      <c r="CA487" s="697"/>
      <c r="CB487" s="697"/>
      <c r="CC487" s="697"/>
      <c r="CD487" s="697"/>
      <c r="CE487" s="697"/>
      <c r="CF487" s="697"/>
      <c r="CG487" s="697"/>
      <c r="CH487" s="697"/>
      <c r="CI487" s="697"/>
      <c r="CJ487" s="697"/>
      <c r="CK487" s="697"/>
      <c r="CL487" s="697"/>
      <c r="CM487" s="697"/>
      <c r="CN487" s="697"/>
      <c r="CO487" s="697"/>
      <c r="CP487" s="697"/>
      <c r="CQ487" s="697"/>
      <c r="CR487" s="697"/>
      <c r="CS487" s="697"/>
      <c r="CT487" s="697"/>
      <c r="CU487" s="697"/>
      <c r="CV487" s="697"/>
      <c r="CW487" s="697"/>
      <c r="CX487" s="697"/>
      <c r="CY487" s="697"/>
      <c r="CZ487" s="697"/>
      <c r="DA487" s="697"/>
    </row>
    <row r="488" spans="1:105" hidden="1" outlineLevel="1" x14ac:dyDescent="0.2">
      <c r="A488" s="709">
        <f t="shared" si="89"/>
        <v>39904</v>
      </c>
      <c r="B488" s="709" t="str">
        <f t="shared" si="86"/>
        <v>2Q09</v>
      </c>
      <c r="C488" s="709" t="str">
        <f t="shared" si="90"/>
        <v>2Q09</v>
      </c>
      <c r="D488" s="710">
        <f t="shared" si="93"/>
        <v>39969</v>
      </c>
      <c r="E488" s="710">
        <f t="shared" si="93"/>
        <v>39909</v>
      </c>
      <c r="F488" s="712">
        <v>2.2280000000000002</v>
      </c>
      <c r="G488" s="713">
        <f t="shared" si="87"/>
        <v>0.22000000000000006</v>
      </c>
      <c r="H488" s="713">
        <f t="shared" si="88"/>
        <v>0.22000000000000006</v>
      </c>
      <c r="I488" s="697"/>
      <c r="J488" s="697"/>
      <c r="K488" s="697"/>
      <c r="L488" s="697"/>
      <c r="M488" s="697"/>
      <c r="N488" s="697"/>
      <c r="O488" s="697"/>
      <c r="P488" s="697"/>
      <c r="Q488" s="697"/>
      <c r="R488" s="697"/>
      <c r="S488" s="697"/>
      <c r="T488" s="697"/>
      <c r="U488" s="697"/>
      <c r="V488" s="697"/>
      <c r="W488" s="697"/>
      <c r="X488" s="697"/>
      <c r="Y488" s="697"/>
      <c r="Z488" s="697"/>
      <c r="AA488" s="697"/>
      <c r="AB488" s="697"/>
      <c r="AC488" s="697"/>
      <c r="AD488" s="697"/>
      <c r="AE488" s="697"/>
      <c r="AF488" s="697"/>
      <c r="AG488" s="697"/>
      <c r="AH488" s="697"/>
      <c r="AI488" s="697"/>
      <c r="AJ488" s="697"/>
      <c r="AK488" s="697"/>
      <c r="AL488" s="697"/>
      <c r="AM488" s="697"/>
      <c r="AN488" s="697"/>
      <c r="AO488" s="697"/>
      <c r="AP488" s="697"/>
      <c r="AQ488" s="697"/>
      <c r="AR488" s="697"/>
      <c r="AS488" s="697"/>
      <c r="AT488" s="697"/>
      <c r="AU488" s="697"/>
      <c r="AV488" s="697"/>
      <c r="AW488" s="697"/>
      <c r="AX488" s="697"/>
      <c r="AY488" s="697"/>
      <c r="AZ488" s="697"/>
      <c r="BA488" s="697"/>
      <c r="BB488" s="697"/>
      <c r="BC488" s="697"/>
      <c r="BD488" s="697"/>
      <c r="BE488" s="697"/>
      <c r="BF488" s="697"/>
      <c r="BG488" s="697"/>
      <c r="BH488" s="697"/>
      <c r="BI488" s="697"/>
      <c r="BJ488" s="697"/>
      <c r="BK488" s="697"/>
      <c r="BL488" s="697"/>
      <c r="BM488" s="697"/>
      <c r="BN488" s="697"/>
      <c r="BO488" s="697"/>
      <c r="BP488" s="697"/>
      <c r="BQ488" s="697"/>
      <c r="BR488" s="697"/>
      <c r="BS488" s="697"/>
      <c r="BT488" s="697"/>
      <c r="BU488" s="697"/>
      <c r="BV488" s="697"/>
      <c r="BW488" s="697"/>
      <c r="BX488" s="697"/>
      <c r="BY488" s="697"/>
      <c r="BZ488" s="697"/>
      <c r="CA488" s="697"/>
      <c r="CB488" s="697"/>
      <c r="CC488" s="697"/>
      <c r="CD488" s="697"/>
      <c r="CE488" s="697"/>
      <c r="CF488" s="697"/>
      <c r="CG488" s="697"/>
      <c r="CH488" s="697"/>
      <c r="CI488" s="697"/>
      <c r="CJ488" s="697"/>
      <c r="CK488" s="697"/>
      <c r="CL488" s="697"/>
      <c r="CM488" s="697"/>
      <c r="CN488" s="697"/>
      <c r="CO488" s="697"/>
      <c r="CP488" s="697"/>
      <c r="CQ488" s="697"/>
      <c r="CR488" s="697"/>
      <c r="CS488" s="697"/>
      <c r="CT488" s="697"/>
      <c r="CU488" s="697"/>
      <c r="CV488" s="697"/>
      <c r="CW488" s="697"/>
      <c r="CX488" s="697"/>
      <c r="CY488" s="697"/>
      <c r="CZ488" s="697"/>
      <c r="DA488" s="697"/>
    </row>
    <row r="489" spans="1:105" hidden="1" outlineLevel="1" x14ac:dyDescent="0.2">
      <c r="A489" s="709">
        <f t="shared" si="89"/>
        <v>39904</v>
      </c>
      <c r="B489" s="709" t="str">
        <f t="shared" si="86"/>
        <v>2Q09</v>
      </c>
      <c r="C489" s="709" t="str">
        <f t="shared" si="90"/>
        <v>2Q09</v>
      </c>
      <c r="D489" s="710">
        <f t="shared" si="93"/>
        <v>39976</v>
      </c>
      <c r="E489" s="710">
        <f t="shared" si="93"/>
        <v>39916</v>
      </c>
      <c r="F489" s="712">
        <v>2.2290000000000001</v>
      </c>
      <c r="G489" s="713">
        <f t="shared" si="87"/>
        <v>0.22000000000000006</v>
      </c>
      <c r="H489" s="713">
        <f t="shared" si="88"/>
        <v>0.22000000000000006</v>
      </c>
      <c r="I489" s="697"/>
      <c r="J489" s="697"/>
      <c r="K489" s="697"/>
      <c r="L489" s="697"/>
      <c r="M489" s="697"/>
      <c r="N489" s="697"/>
      <c r="O489" s="697"/>
      <c r="P489" s="697"/>
      <c r="Q489" s="697"/>
      <c r="R489" s="697"/>
      <c r="S489" s="697"/>
      <c r="T489" s="697"/>
      <c r="U489" s="697"/>
      <c r="V489" s="697"/>
      <c r="W489" s="697"/>
      <c r="X489" s="697"/>
      <c r="Y489" s="697"/>
      <c r="Z489" s="697"/>
      <c r="AA489" s="697"/>
      <c r="AB489" s="697"/>
      <c r="AC489" s="697"/>
      <c r="AD489" s="697"/>
      <c r="AE489" s="697"/>
      <c r="AF489" s="697"/>
      <c r="AG489" s="697"/>
      <c r="AH489" s="697"/>
      <c r="AI489" s="697"/>
      <c r="AJ489" s="697"/>
      <c r="AK489" s="697"/>
      <c r="AL489" s="697"/>
      <c r="AM489" s="697"/>
      <c r="AN489" s="697"/>
      <c r="AO489" s="697"/>
      <c r="AP489" s="697"/>
      <c r="AQ489" s="697"/>
      <c r="AR489" s="697"/>
      <c r="AS489" s="697"/>
      <c r="AT489" s="697"/>
      <c r="AU489" s="697"/>
      <c r="AV489" s="697"/>
      <c r="AW489" s="697"/>
      <c r="AX489" s="697"/>
      <c r="AY489" s="697"/>
      <c r="AZ489" s="697"/>
      <c r="BA489" s="697"/>
      <c r="BB489" s="697"/>
      <c r="BC489" s="697"/>
      <c r="BD489" s="697"/>
      <c r="BE489" s="697"/>
      <c r="BF489" s="697"/>
      <c r="BG489" s="697"/>
      <c r="BH489" s="697"/>
      <c r="BI489" s="697"/>
      <c r="BJ489" s="697"/>
      <c r="BK489" s="697"/>
      <c r="BL489" s="697"/>
      <c r="BM489" s="697"/>
      <c r="BN489" s="697"/>
      <c r="BO489" s="697"/>
      <c r="BP489" s="697"/>
      <c r="BQ489" s="697"/>
      <c r="BR489" s="697"/>
      <c r="BS489" s="697"/>
      <c r="BT489" s="697"/>
      <c r="BU489" s="697"/>
      <c r="BV489" s="697"/>
      <c r="BW489" s="697"/>
      <c r="BX489" s="697"/>
      <c r="BY489" s="697"/>
      <c r="BZ489" s="697"/>
      <c r="CA489" s="697"/>
      <c r="CB489" s="697"/>
      <c r="CC489" s="697"/>
      <c r="CD489" s="697"/>
      <c r="CE489" s="697"/>
      <c r="CF489" s="697"/>
      <c r="CG489" s="697"/>
      <c r="CH489" s="697"/>
      <c r="CI489" s="697"/>
      <c r="CJ489" s="697"/>
      <c r="CK489" s="697"/>
      <c r="CL489" s="697"/>
      <c r="CM489" s="697"/>
      <c r="CN489" s="697"/>
      <c r="CO489" s="697"/>
      <c r="CP489" s="697"/>
      <c r="CQ489" s="697"/>
      <c r="CR489" s="697"/>
      <c r="CS489" s="697"/>
      <c r="CT489" s="697"/>
      <c r="CU489" s="697"/>
      <c r="CV489" s="697"/>
      <c r="CW489" s="697"/>
      <c r="CX489" s="697"/>
      <c r="CY489" s="697"/>
      <c r="CZ489" s="697"/>
      <c r="DA489" s="697"/>
    </row>
    <row r="490" spans="1:105" hidden="1" outlineLevel="1" x14ac:dyDescent="0.2">
      <c r="A490" s="709">
        <f t="shared" si="89"/>
        <v>39904</v>
      </c>
      <c r="B490" s="709" t="str">
        <f t="shared" si="86"/>
        <v>2Q09</v>
      </c>
      <c r="C490" s="709" t="str">
        <f t="shared" si="90"/>
        <v>2Q09</v>
      </c>
      <c r="D490" s="710">
        <f t="shared" si="93"/>
        <v>39983</v>
      </c>
      <c r="E490" s="710">
        <f t="shared" si="93"/>
        <v>39923</v>
      </c>
      <c r="F490" s="712">
        <v>2.2210000000000001</v>
      </c>
      <c r="G490" s="713">
        <f t="shared" si="87"/>
        <v>0.22000000000000006</v>
      </c>
      <c r="H490" s="713">
        <f t="shared" si="88"/>
        <v>0.22000000000000006</v>
      </c>
      <c r="I490" s="697"/>
      <c r="J490" s="697"/>
      <c r="K490" s="697"/>
      <c r="L490" s="697"/>
      <c r="M490" s="697"/>
      <c r="N490" s="697"/>
      <c r="O490" s="697"/>
      <c r="P490" s="697"/>
      <c r="Q490" s="697"/>
      <c r="R490" s="697"/>
      <c r="S490" s="697"/>
      <c r="T490" s="697"/>
      <c r="U490" s="697"/>
      <c r="V490" s="697"/>
      <c r="W490" s="697"/>
      <c r="X490" s="697"/>
      <c r="Y490" s="697"/>
      <c r="Z490" s="697"/>
      <c r="AA490" s="697"/>
      <c r="AB490" s="697"/>
      <c r="AC490" s="697"/>
      <c r="AD490" s="697"/>
      <c r="AE490" s="697"/>
      <c r="AF490" s="697"/>
      <c r="AG490" s="697"/>
      <c r="AH490" s="697"/>
      <c r="AI490" s="697"/>
      <c r="AJ490" s="697"/>
      <c r="AK490" s="697"/>
      <c r="AL490" s="697"/>
      <c r="AM490" s="697"/>
      <c r="AN490" s="697"/>
      <c r="AO490" s="697"/>
      <c r="AP490" s="697"/>
      <c r="AQ490" s="697"/>
      <c r="AR490" s="697"/>
      <c r="AS490" s="697"/>
      <c r="AT490" s="697"/>
      <c r="AU490" s="697"/>
      <c r="AV490" s="697"/>
      <c r="AW490" s="697"/>
      <c r="AX490" s="697"/>
      <c r="AY490" s="697"/>
      <c r="AZ490" s="697"/>
      <c r="BA490" s="697"/>
      <c r="BB490" s="697"/>
      <c r="BC490" s="697"/>
      <c r="BD490" s="697"/>
      <c r="BE490" s="697"/>
      <c r="BF490" s="697"/>
      <c r="BG490" s="697"/>
      <c r="BH490" s="697"/>
      <c r="BI490" s="697"/>
      <c r="BJ490" s="697"/>
      <c r="BK490" s="697"/>
      <c r="BL490" s="697"/>
      <c r="BM490" s="697"/>
      <c r="BN490" s="697"/>
      <c r="BO490" s="697"/>
      <c r="BP490" s="697"/>
      <c r="BQ490" s="697"/>
      <c r="BR490" s="697"/>
      <c r="BS490" s="697"/>
      <c r="BT490" s="697"/>
      <c r="BU490" s="697"/>
      <c r="BV490" s="697"/>
      <c r="BW490" s="697"/>
      <c r="BX490" s="697"/>
      <c r="BY490" s="697"/>
      <c r="BZ490" s="697"/>
      <c r="CA490" s="697"/>
      <c r="CB490" s="697"/>
      <c r="CC490" s="697"/>
      <c r="CD490" s="697"/>
      <c r="CE490" s="697"/>
      <c r="CF490" s="697"/>
      <c r="CG490" s="697"/>
      <c r="CH490" s="697"/>
      <c r="CI490" s="697"/>
      <c r="CJ490" s="697"/>
      <c r="CK490" s="697"/>
      <c r="CL490" s="697"/>
      <c r="CM490" s="697"/>
      <c r="CN490" s="697"/>
      <c r="CO490" s="697"/>
      <c r="CP490" s="697"/>
      <c r="CQ490" s="697"/>
      <c r="CR490" s="697"/>
      <c r="CS490" s="697"/>
      <c r="CT490" s="697"/>
      <c r="CU490" s="697"/>
      <c r="CV490" s="697"/>
      <c r="CW490" s="697"/>
      <c r="CX490" s="697"/>
      <c r="CY490" s="697"/>
      <c r="CZ490" s="697"/>
      <c r="DA490" s="697"/>
    </row>
    <row r="491" spans="1:105" hidden="1" outlineLevel="1" x14ac:dyDescent="0.2">
      <c r="A491" s="709">
        <f t="shared" si="89"/>
        <v>39904</v>
      </c>
      <c r="B491" s="709" t="str">
        <f t="shared" si="86"/>
        <v>2Q09</v>
      </c>
      <c r="C491" s="709" t="str">
        <f t="shared" si="90"/>
        <v>2Q09</v>
      </c>
      <c r="D491" s="710">
        <f t="shared" si="93"/>
        <v>39990</v>
      </c>
      <c r="E491" s="710">
        <f t="shared" si="93"/>
        <v>39930</v>
      </c>
      <c r="F491" s="712">
        <v>2.2010000000000001</v>
      </c>
      <c r="G491" s="713">
        <f t="shared" si="87"/>
        <v>0.22000000000000006</v>
      </c>
      <c r="H491" s="713">
        <f t="shared" si="88"/>
        <v>0.21000000000000005</v>
      </c>
      <c r="I491" s="697"/>
      <c r="J491" s="697"/>
      <c r="K491" s="697"/>
      <c r="L491" s="697"/>
      <c r="M491" s="697"/>
      <c r="N491" s="697"/>
      <c r="O491" s="697"/>
      <c r="P491" s="697"/>
      <c r="Q491" s="697"/>
      <c r="R491" s="697"/>
      <c r="S491" s="697"/>
      <c r="T491" s="697"/>
      <c r="U491" s="697"/>
      <c r="V491" s="697"/>
      <c r="W491" s="697"/>
      <c r="X491" s="697"/>
      <c r="Y491" s="697"/>
      <c r="Z491" s="697"/>
      <c r="AA491" s="697"/>
      <c r="AB491" s="697"/>
      <c r="AC491" s="697"/>
      <c r="AD491" s="697"/>
      <c r="AE491" s="697"/>
      <c r="AF491" s="697"/>
      <c r="AG491" s="697"/>
      <c r="AH491" s="697"/>
      <c r="AI491" s="697"/>
      <c r="AJ491" s="697"/>
      <c r="AK491" s="697"/>
      <c r="AL491" s="697"/>
      <c r="AM491" s="697"/>
      <c r="AN491" s="697"/>
      <c r="AO491" s="697"/>
      <c r="AP491" s="697"/>
      <c r="AQ491" s="697"/>
      <c r="AR491" s="697"/>
      <c r="AS491" s="697"/>
      <c r="AT491" s="697"/>
      <c r="AU491" s="697"/>
      <c r="AV491" s="697"/>
      <c r="AW491" s="697"/>
      <c r="AX491" s="697"/>
      <c r="AY491" s="697"/>
      <c r="AZ491" s="697"/>
      <c r="BA491" s="697"/>
      <c r="BB491" s="697"/>
      <c r="BC491" s="697"/>
      <c r="BD491" s="697"/>
      <c r="BE491" s="697"/>
      <c r="BF491" s="697"/>
      <c r="BG491" s="697"/>
      <c r="BH491" s="697"/>
      <c r="BI491" s="697"/>
      <c r="BJ491" s="697"/>
      <c r="BK491" s="697"/>
      <c r="BL491" s="697"/>
      <c r="BM491" s="697"/>
      <c r="BN491" s="697"/>
      <c r="BO491" s="697"/>
      <c r="BP491" s="697"/>
      <c r="BQ491" s="697"/>
      <c r="BR491" s="697"/>
      <c r="BS491" s="697"/>
      <c r="BT491" s="697"/>
      <c r="BU491" s="697"/>
      <c r="BV491" s="697"/>
      <c r="BW491" s="697"/>
      <c r="BX491" s="697"/>
      <c r="BY491" s="697"/>
      <c r="BZ491" s="697"/>
      <c r="CA491" s="697"/>
      <c r="CB491" s="697"/>
      <c r="CC491" s="697"/>
      <c r="CD491" s="697"/>
      <c r="CE491" s="697"/>
      <c r="CF491" s="697"/>
      <c r="CG491" s="697"/>
      <c r="CH491" s="697"/>
      <c r="CI491" s="697"/>
      <c r="CJ491" s="697"/>
      <c r="CK491" s="697"/>
      <c r="CL491" s="697"/>
      <c r="CM491" s="697"/>
      <c r="CN491" s="697"/>
      <c r="CO491" s="697"/>
      <c r="CP491" s="697"/>
      <c r="CQ491" s="697"/>
      <c r="CR491" s="697"/>
      <c r="CS491" s="697"/>
      <c r="CT491" s="697"/>
      <c r="CU491" s="697"/>
      <c r="CV491" s="697"/>
      <c r="CW491" s="697"/>
      <c r="CX491" s="697"/>
      <c r="CY491" s="697"/>
      <c r="CZ491" s="697"/>
      <c r="DA491" s="697"/>
    </row>
    <row r="492" spans="1:105" hidden="1" outlineLevel="1" x14ac:dyDescent="0.2">
      <c r="A492" s="709">
        <f t="shared" si="89"/>
        <v>39934</v>
      </c>
      <c r="B492" s="709" t="str">
        <f t="shared" si="86"/>
        <v>2Q09</v>
      </c>
      <c r="C492" s="709" t="str">
        <f t="shared" si="90"/>
        <v>3Q09</v>
      </c>
      <c r="D492" s="710">
        <f t="shared" si="93"/>
        <v>39997</v>
      </c>
      <c r="E492" s="710">
        <f t="shared" si="93"/>
        <v>39937</v>
      </c>
      <c r="F492" s="712">
        <v>2.1850000000000001</v>
      </c>
      <c r="G492" s="713">
        <f t="shared" si="87"/>
        <v>0.21000000000000005</v>
      </c>
      <c r="H492" s="713">
        <f t="shared" si="88"/>
        <v>0.22000000000000006</v>
      </c>
      <c r="I492" s="697"/>
      <c r="J492" s="697"/>
      <c r="K492" s="697"/>
      <c r="L492" s="697"/>
      <c r="M492" s="697"/>
      <c r="N492" s="697"/>
      <c r="O492" s="697"/>
      <c r="P492" s="697"/>
      <c r="Q492" s="697"/>
      <c r="R492" s="697"/>
      <c r="S492" s="697"/>
      <c r="T492" s="697"/>
      <c r="U492" s="697"/>
      <c r="V492" s="697"/>
      <c r="W492" s="697"/>
      <c r="X492" s="697"/>
      <c r="Y492" s="697"/>
      <c r="Z492" s="697"/>
      <c r="AA492" s="697"/>
      <c r="AB492" s="697"/>
      <c r="AC492" s="697"/>
      <c r="AD492" s="697"/>
      <c r="AE492" s="697"/>
      <c r="AF492" s="697"/>
      <c r="AG492" s="697"/>
      <c r="AH492" s="697"/>
      <c r="AI492" s="697"/>
      <c r="AJ492" s="697"/>
      <c r="AK492" s="697"/>
      <c r="AL492" s="697"/>
      <c r="AM492" s="697"/>
      <c r="AN492" s="697"/>
      <c r="AO492" s="697"/>
      <c r="AP492" s="697"/>
      <c r="AQ492" s="697"/>
      <c r="AR492" s="697"/>
      <c r="AS492" s="697"/>
      <c r="AT492" s="697"/>
      <c r="AU492" s="697"/>
      <c r="AV492" s="697"/>
      <c r="AW492" s="697"/>
      <c r="AX492" s="697"/>
      <c r="AY492" s="697"/>
      <c r="AZ492" s="697"/>
      <c r="BA492" s="697"/>
      <c r="BB492" s="697"/>
      <c r="BC492" s="697"/>
      <c r="BD492" s="697"/>
      <c r="BE492" s="697"/>
      <c r="BF492" s="697"/>
      <c r="BG492" s="697"/>
      <c r="BH492" s="697"/>
      <c r="BI492" s="697"/>
      <c r="BJ492" s="697"/>
      <c r="BK492" s="697"/>
      <c r="BL492" s="697"/>
      <c r="BM492" s="697"/>
      <c r="BN492" s="697"/>
      <c r="BO492" s="697"/>
      <c r="BP492" s="697"/>
      <c r="BQ492" s="697"/>
      <c r="BR492" s="697"/>
      <c r="BS492" s="697"/>
      <c r="BT492" s="697"/>
      <c r="BU492" s="697"/>
      <c r="BV492" s="697"/>
      <c r="BW492" s="697"/>
      <c r="BX492" s="697"/>
      <c r="BY492" s="697"/>
      <c r="BZ492" s="697"/>
      <c r="CA492" s="697"/>
      <c r="CB492" s="697"/>
      <c r="CC492" s="697"/>
      <c r="CD492" s="697"/>
      <c r="CE492" s="697"/>
      <c r="CF492" s="697"/>
      <c r="CG492" s="697"/>
      <c r="CH492" s="697"/>
      <c r="CI492" s="697"/>
      <c r="CJ492" s="697"/>
      <c r="CK492" s="697"/>
      <c r="CL492" s="697"/>
      <c r="CM492" s="697"/>
      <c r="CN492" s="697"/>
      <c r="CO492" s="697"/>
      <c r="CP492" s="697"/>
      <c r="CQ492" s="697"/>
      <c r="CR492" s="697"/>
      <c r="CS492" s="697"/>
      <c r="CT492" s="697"/>
      <c r="CU492" s="697"/>
      <c r="CV492" s="697"/>
      <c r="CW492" s="697"/>
      <c r="CX492" s="697"/>
      <c r="CY492" s="697"/>
      <c r="CZ492" s="697"/>
      <c r="DA492" s="697"/>
    </row>
    <row r="493" spans="1:105" hidden="1" outlineLevel="1" x14ac:dyDescent="0.2">
      <c r="A493" s="709">
        <f t="shared" si="89"/>
        <v>39934</v>
      </c>
      <c r="B493" s="709" t="str">
        <f t="shared" si="86"/>
        <v>2Q09</v>
      </c>
      <c r="C493" s="709" t="str">
        <f t="shared" si="90"/>
        <v>3Q09</v>
      </c>
      <c r="D493" s="710">
        <f t="shared" si="93"/>
        <v>40004</v>
      </c>
      <c r="E493" s="710">
        <f t="shared" si="93"/>
        <v>39944</v>
      </c>
      <c r="F493" s="712">
        <v>2.2160000000000002</v>
      </c>
      <c r="G493" s="713">
        <f t="shared" si="87"/>
        <v>0.22000000000000006</v>
      </c>
      <c r="H493" s="713">
        <f t="shared" si="88"/>
        <v>0.22000000000000006</v>
      </c>
      <c r="I493" s="697"/>
      <c r="J493" s="697"/>
      <c r="K493" s="697"/>
      <c r="L493" s="697"/>
      <c r="M493" s="697"/>
      <c r="N493" s="697"/>
      <c r="O493" s="697"/>
      <c r="P493" s="697"/>
      <c r="Q493" s="697"/>
      <c r="R493" s="697"/>
      <c r="S493" s="697"/>
      <c r="T493" s="697"/>
      <c r="U493" s="697"/>
      <c r="V493" s="697"/>
      <c r="W493" s="697"/>
      <c r="X493" s="697"/>
      <c r="Y493" s="697"/>
      <c r="Z493" s="697"/>
      <c r="AA493" s="697"/>
      <c r="AB493" s="697"/>
      <c r="AC493" s="697"/>
      <c r="AD493" s="697"/>
      <c r="AE493" s="697"/>
      <c r="AF493" s="697"/>
      <c r="AG493" s="697"/>
      <c r="AH493" s="697"/>
      <c r="AI493" s="697"/>
      <c r="AJ493" s="697"/>
      <c r="AK493" s="697"/>
      <c r="AL493" s="697"/>
      <c r="AM493" s="697"/>
      <c r="AN493" s="697"/>
      <c r="AO493" s="697"/>
      <c r="AP493" s="697"/>
      <c r="AQ493" s="697"/>
      <c r="AR493" s="697"/>
      <c r="AS493" s="697"/>
      <c r="AT493" s="697"/>
      <c r="AU493" s="697"/>
      <c r="AV493" s="697"/>
      <c r="AW493" s="697"/>
      <c r="AX493" s="697"/>
      <c r="AY493" s="697"/>
      <c r="AZ493" s="697"/>
      <c r="BA493" s="697"/>
      <c r="BB493" s="697"/>
      <c r="BC493" s="697"/>
      <c r="BD493" s="697"/>
      <c r="BE493" s="697"/>
      <c r="BF493" s="697"/>
      <c r="BG493" s="697"/>
      <c r="BH493" s="697"/>
      <c r="BI493" s="697"/>
      <c r="BJ493" s="697"/>
      <c r="BK493" s="697"/>
      <c r="BL493" s="697"/>
      <c r="BM493" s="697"/>
      <c r="BN493" s="697"/>
      <c r="BO493" s="697"/>
      <c r="BP493" s="697"/>
      <c r="BQ493" s="697"/>
      <c r="BR493" s="697"/>
      <c r="BS493" s="697"/>
      <c r="BT493" s="697"/>
      <c r="BU493" s="697"/>
      <c r="BV493" s="697"/>
      <c r="BW493" s="697"/>
      <c r="BX493" s="697"/>
      <c r="BY493" s="697"/>
      <c r="BZ493" s="697"/>
      <c r="CA493" s="697"/>
      <c r="CB493" s="697"/>
      <c r="CC493" s="697"/>
      <c r="CD493" s="697"/>
      <c r="CE493" s="697"/>
      <c r="CF493" s="697"/>
      <c r="CG493" s="697"/>
      <c r="CH493" s="697"/>
      <c r="CI493" s="697"/>
      <c r="CJ493" s="697"/>
      <c r="CK493" s="697"/>
      <c r="CL493" s="697"/>
      <c r="CM493" s="697"/>
      <c r="CN493" s="697"/>
      <c r="CO493" s="697"/>
      <c r="CP493" s="697"/>
      <c r="CQ493" s="697"/>
      <c r="CR493" s="697"/>
      <c r="CS493" s="697"/>
      <c r="CT493" s="697"/>
      <c r="CU493" s="697"/>
      <c r="CV493" s="697"/>
      <c r="CW493" s="697"/>
      <c r="CX493" s="697"/>
      <c r="CY493" s="697"/>
      <c r="CZ493" s="697"/>
      <c r="DA493" s="697"/>
    </row>
    <row r="494" spans="1:105" hidden="1" outlineLevel="1" x14ac:dyDescent="0.2">
      <c r="A494" s="709">
        <f t="shared" si="89"/>
        <v>39934</v>
      </c>
      <c r="B494" s="709" t="str">
        <f t="shared" si="86"/>
        <v>2Q09</v>
      </c>
      <c r="C494" s="709" t="str">
        <f t="shared" si="90"/>
        <v>3Q09</v>
      </c>
      <c r="D494" s="710">
        <f t="shared" si="93"/>
        <v>40011</v>
      </c>
      <c r="E494" s="710">
        <f t="shared" si="93"/>
        <v>39951</v>
      </c>
      <c r="F494" s="712">
        <v>2.2309999999999999</v>
      </c>
      <c r="G494" s="713">
        <f t="shared" si="87"/>
        <v>0.22000000000000006</v>
      </c>
      <c r="H494" s="713">
        <f t="shared" si="88"/>
        <v>0.23000000000000007</v>
      </c>
      <c r="I494" s="697"/>
      <c r="J494" s="697"/>
      <c r="K494" s="697"/>
      <c r="L494" s="697"/>
      <c r="M494" s="697"/>
      <c r="N494" s="697"/>
      <c r="O494" s="697"/>
      <c r="P494" s="697"/>
      <c r="Q494" s="697"/>
      <c r="R494" s="697"/>
      <c r="S494" s="697"/>
      <c r="T494" s="697"/>
      <c r="U494" s="697"/>
      <c r="V494" s="697"/>
      <c r="W494" s="697"/>
      <c r="X494" s="697"/>
      <c r="Y494" s="697"/>
      <c r="Z494" s="697"/>
      <c r="AA494" s="697"/>
      <c r="AB494" s="697"/>
      <c r="AC494" s="697"/>
      <c r="AD494" s="697"/>
      <c r="AE494" s="697"/>
      <c r="AF494" s="697"/>
      <c r="AG494" s="697"/>
      <c r="AH494" s="697"/>
      <c r="AI494" s="697"/>
      <c r="AJ494" s="697"/>
      <c r="AK494" s="697"/>
      <c r="AL494" s="697"/>
      <c r="AM494" s="697"/>
      <c r="AN494" s="697"/>
      <c r="AO494" s="697"/>
      <c r="AP494" s="697"/>
      <c r="AQ494" s="697"/>
      <c r="AR494" s="697"/>
      <c r="AS494" s="697"/>
      <c r="AT494" s="697"/>
      <c r="AU494" s="697"/>
      <c r="AV494" s="697"/>
      <c r="AW494" s="697"/>
      <c r="AX494" s="697"/>
      <c r="AY494" s="697"/>
      <c r="AZ494" s="697"/>
      <c r="BA494" s="697"/>
      <c r="BB494" s="697"/>
      <c r="BC494" s="697"/>
      <c r="BD494" s="697"/>
      <c r="BE494" s="697"/>
      <c r="BF494" s="697"/>
      <c r="BG494" s="697"/>
      <c r="BH494" s="697"/>
      <c r="BI494" s="697"/>
      <c r="BJ494" s="697"/>
      <c r="BK494" s="697"/>
      <c r="BL494" s="697"/>
      <c r="BM494" s="697"/>
      <c r="BN494" s="697"/>
      <c r="BO494" s="697"/>
      <c r="BP494" s="697"/>
      <c r="BQ494" s="697"/>
      <c r="BR494" s="697"/>
      <c r="BS494" s="697"/>
      <c r="BT494" s="697"/>
      <c r="BU494" s="697"/>
      <c r="BV494" s="697"/>
      <c r="BW494" s="697"/>
      <c r="BX494" s="697"/>
      <c r="BY494" s="697"/>
      <c r="BZ494" s="697"/>
      <c r="CA494" s="697"/>
      <c r="CB494" s="697"/>
      <c r="CC494" s="697"/>
      <c r="CD494" s="697"/>
      <c r="CE494" s="697"/>
      <c r="CF494" s="697"/>
      <c r="CG494" s="697"/>
      <c r="CH494" s="697"/>
      <c r="CI494" s="697"/>
      <c r="CJ494" s="697"/>
      <c r="CK494" s="697"/>
      <c r="CL494" s="697"/>
      <c r="CM494" s="697"/>
      <c r="CN494" s="697"/>
      <c r="CO494" s="697"/>
      <c r="CP494" s="697"/>
      <c r="CQ494" s="697"/>
      <c r="CR494" s="697"/>
      <c r="CS494" s="697"/>
      <c r="CT494" s="697"/>
      <c r="CU494" s="697"/>
      <c r="CV494" s="697"/>
      <c r="CW494" s="697"/>
      <c r="CX494" s="697"/>
      <c r="CY494" s="697"/>
      <c r="CZ494" s="697"/>
      <c r="DA494" s="697"/>
    </row>
    <row r="495" spans="1:105" hidden="1" outlineLevel="1" x14ac:dyDescent="0.2">
      <c r="A495" s="709">
        <f t="shared" si="89"/>
        <v>39934</v>
      </c>
      <c r="B495" s="709" t="str">
        <f t="shared" si="86"/>
        <v>2Q09</v>
      </c>
      <c r="C495" s="709" t="str">
        <f t="shared" si="90"/>
        <v>3Q09</v>
      </c>
      <c r="D495" s="710">
        <f t="shared" si="93"/>
        <v>40018</v>
      </c>
      <c r="E495" s="710">
        <f t="shared" si="93"/>
        <v>39958</v>
      </c>
      <c r="F495" s="712">
        <v>2.274</v>
      </c>
      <c r="G495" s="713">
        <f t="shared" si="87"/>
        <v>0.23000000000000007</v>
      </c>
      <c r="H495" s="713">
        <f t="shared" si="88"/>
        <v>0.25000000000000006</v>
      </c>
      <c r="I495" s="697"/>
      <c r="J495" s="697"/>
      <c r="K495" s="697"/>
      <c r="L495" s="697"/>
      <c r="M495" s="697"/>
      <c r="N495" s="697"/>
      <c r="O495" s="697"/>
      <c r="P495" s="697"/>
      <c r="Q495" s="697"/>
      <c r="R495" s="697"/>
      <c r="S495" s="697"/>
      <c r="T495" s="697"/>
      <c r="U495" s="697"/>
      <c r="V495" s="697"/>
      <c r="W495" s="697"/>
      <c r="X495" s="697"/>
      <c r="Y495" s="697"/>
      <c r="Z495" s="697"/>
      <c r="AA495" s="697"/>
      <c r="AB495" s="697"/>
      <c r="AC495" s="697"/>
      <c r="AD495" s="697"/>
      <c r="AE495" s="697"/>
      <c r="AF495" s="697"/>
      <c r="AG495" s="697"/>
      <c r="AH495" s="697"/>
      <c r="AI495" s="697"/>
      <c r="AJ495" s="697"/>
      <c r="AK495" s="697"/>
      <c r="AL495" s="697"/>
      <c r="AM495" s="697"/>
      <c r="AN495" s="697"/>
      <c r="AO495" s="697"/>
      <c r="AP495" s="697"/>
      <c r="AQ495" s="697"/>
      <c r="AR495" s="697"/>
      <c r="AS495" s="697"/>
      <c r="AT495" s="697"/>
      <c r="AU495" s="697"/>
      <c r="AV495" s="697"/>
      <c r="AW495" s="697"/>
      <c r="AX495" s="697"/>
      <c r="AY495" s="697"/>
      <c r="AZ495" s="697"/>
      <c r="BA495" s="697"/>
      <c r="BB495" s="697"/>
      <c r="BC495" s="697"/>
      <c r="BD495" s="697"/>
      <c r="BE495" s="697"/>
      <c r="BF495" s="697"/>
      <c r="BG495" s="697"/>
      <c r="BH495" s="697"/>
      <c r="BI495" s="697"/>
      <c r="BJ495" s="697"/>
      <c r="BK495" s="697"/>
      <c r="BL495" s="697"/>
      <c r="BM495" s="697"/>
      <c r="BN495" s="697"/>
      <c r="BO495" s="697"/>
      <c r="BP495" s="697"/>
      <c r="BQ495" s="697"/>
      <c r="BR495" s="697"/>
      <c r="BS495" s="697"/>
      <c r="BT495" s="697"/>
      <c r="BU495" s="697"/>
      <c r="BV495" s="697"/>
      <c r="BW495" s="697"/>
      <c r="BX495" s="697"/>
      <c r="BY495" s="697"/>
      <c r="BZ495" s="697"/>
      <c r="CA495" s="697"/>
      <c r="CB495" s="697"/>
      <c r="CC495" s="697"/>
      <c r="CD495" s="697"/>
      <c r="CE495" s="697"/>
      <c r="CF495" s="697"/>
      <c r="CG495" s="697"/>
      <c r="CH495" s="697"/>
      <c r="CI495" s="697"/>
      <c r="CJ495" s="697"/>
      <c r="CK495" s="697"/>
      <c r="CL495" s="697"/>
      <c r="CM495" s="697"/>
      <c r="CN495" s="697"/>
      <c r="CO495" s="697"/>
      <c r="CP495" s="697"/>
      <c r="CQ495" s="697"/>
      <c r="CR495" s="697"/>
      <c r="CS495" s="697"/>
      <c r="CT495" s="697"/>
      <c r="CU495" s="697"/>
      <c r="CV495" s="697"/>
      <c r="CW495" s="697"/>
      <c r="CX495" s="697"/>
      <c r="CY495" s="697"/>
      <c r="CZ495" s="697"/>
      <c r="DA495" s="697"/>
    </row>
    <row r="496" spans="1:105" hidden="1" outlineLevel="1" x14ac:dyDescent="0.2">
      <c r="A496" s="709">
        <f t="shared" si="89"/>
        <v>39965</v>
      </c>
      <c r="B496" s="709" t="str">
        <f t="shared" si="86"/>
        <v>2Q09</v>
      </c>
      <c r="C496" s="709" t="str">
        <f t="shared" si="90"/>
        <v>3Q09</v>
      </c>
      <c r="D496" s="710">
        <f t="shared" si="93"/>
        <v>40025</v>
      </c>
      <c r="E496" s="710">
        <f t="shared" si="93"/>
        <v>39965</v>
      </c>
      <c r="F496" s="712">
        <v>2.3519999999999999</v>
      </c>
      <c r="G496" s="713">
        <f t="shared" si="87"/>
        <v>0.25000000000000006</v>
      </c>
      <c r="H496" s="713">
        <f t="shared" si="88"/>
        <v>0.27000000000000007</v>
      </c>
      <c r="I496" s="697"/>
      <c r="J496" s="697"/>
      <c r="K496" s="697"/>
      <c r="L496" s="697"/>
      <c r="M496" s="697"/>
      <c r="N496" s="697"/>
      <c r="O496" s="697"/>
      <c r="P496" s="697"/>
      <c r="Q496" s="697"/>
      <c r="R496" s="697"/>
      <c r="S496" s="697"/>
      <c r="T496" s="697"/>
      <c r="U496" s="697"/>
      <c r="V496" s="697"/>
      <c r="W496" s="697"/>
      <c r="X496" s="697"/>
      <c r="Y496" s="697"/>
      <c r="Z496" s="697"/>
      <c r="AA496" s="697"/>
      <c r="AB496" s="697"/>
      <c r="AC496" s="697"/>
      <c r="AD496" s="697"/>
      <c r="AE496" s="697"/>
      <c r="AF496" s="697"/>
      <c r="AG496" s="697"/>
      <c r="AH496" s="697"/>
      <c r="AI496" s="697"/>
      <c r="AJ496" s="697"/>
      <c r="AK496" s="697"/>
      <c r="AL496" s="697"/>
      <c r="AM496" s="697"/>
      <c r="AN496" s="697"/>
      <c r="AO496" s="697"/>
      <c r="AP496" s="697"/>
      <c r="AQ496" s="697"/>
      <c r="AR496" s="697"/>
      <c r="AS496" s="697"/>
      <c r="AT496" s="697"/>
      <c r="AU496" s="697"/>
      <c r="AV496" s="697"/>
      <c r="AW496" s="697"/>
      <c r="AX496" s="697"/>
      <c r="AY496" s="697"/>
      <c r="AZ496" s="697"/>
      <c r="BA496" s="697"/>
      <c r="BB496" s="697"/>
      <c r="BC496" s="697"/>
      <c r="BD496" s="697"/>
      <c r="BE496" s="697"/>
      <c r="BF496" s="697"/>
      <c r="BG496" s="697"/>
      <c r="BH496" s="697"/>
      <c r="BI496" s="697"/>
      <c r="BJ496" s="697"/>
      <c r="BK496" s="697"/>
      <c r="BL496" s="697"/>
      <c r="BM496" s="697"/>
      <c r="BN496" s="697"/>
      <c r="BO496" s="697"/>
      <c r="BP496" s="697"/>
      <c r="BQ496" s="697"/>
      <c r="BR496" s="697"/>
      <c r="BS496" s="697"/>
      <c r="BT496" s="697"/>
      <c r="BU496" s="697"/>
      <c r="BV496" s="697"/>
      <c r="BW496" s="697"/>
      <c r="BX496" s="697"/>
      <c r="BY496" s="697"/>
      <c r="BZ496" s="697"/>
      <c r="CA496" s="697"/>
      <c r="CB496" s="697"/>
      <c r="CC496" s="697"/>
      <c r="CD496" s="697"/>
      <c r="CE496" s="697"/>
      <c r="CF496" s="697"/>
      <c r="CG496" s="697"/>
      <c r="CH496" s="697"/>
      <c r="CI496" s="697"/>
      <c r="CJ496" s="697"/>
      <c r="CK496" s="697"/>
      <c r="CL496" s="697"/>
      <c r="CM496" s="697"/>
      <c r="CN496" s="697"/>
      <c r="CO496" s="697"/>
      <c r="CP496" s="697"/>
      <c r="CQ496" s="697"/>
      <c r="CR496" s="697"/>
      <c r="CS496" s="697"/>
      <c r="CT496" s="697"/>
      <c r="CU496" s="697"/>
      <c r="CV496" s="697"/>
      <c r="CW496" s="697"/>
      <c r="CX496" s="697"/>
      <c r="CY496" s="697"/>
      <c r="CZ496" s="697"/>
      <c r="DA496" s="697"/>
    </row>
    <row r="497" spans="1:105" hidden="1" outlineLevel="1" x14ac:dyDescent="0.2">
      <c r="A497" s="709">
        <f t="shared" si="89"/>
        <v>39965</v>
      </c>
      <c r="B497" s="709" t="str">
        <f t="shared" si="86"/>
        <v>2Q09</v>
      </c>
      <c r="C497" s="709" t="str">
        <f t="shared" si="90"/>
        <v>3Q09</v>
      </c>
      <c r="D497" s="710">
        <f t="shared" si="93"/>
        <v>40032</v>
      </c>
      <c r="E497" s="710">
        <f t="shared" si="93"/>
        <v>39972</v>
      </c>
      <c r="F497" s="712">
        <v>2.4980000000000002</v>
      </c>
      <c r="G497" s="713">
        <f t="shared" si="87"/>
        <v>0.27000000000000007</v>
      </c>
      <c r="H497" s="713">
        <f t="shared" si="88"/>
        <v>0.29000000000000009</v>
      </c>
      <c r="I497" s="697"/>
      <c r="J497" s="697"/>
      <c r="K497" s="697"/>
      <c r="L497" s="697"/>
      <c r="M497" s="697"/>
      <c r="N497" s="697"/>
      <c r="O497" s="697"/>
      <c r="P497" s="697"/>
      <c r="Q497" s="697"/>
      <c r="R497" s="697"/>
      <c r="S497" s="697"/>
      <c r="T497" s="697"/>
      <c r="U497" s="697"/>
      <c r="V497" s="697"/>
      <c r="W497" s="697"/>
      <c r="X497" s="697"/>
      <c r="Y497" s="697"/>
      <c r="Z497" s="697"/>
      <c r="AA497" s="697"/>
      <c r="AB497" s="697"/>
      <c r="AC497" s="697"/>
      <c r="AD497" s="697"/>
      <c r="AE497" s="697"/>
      <c r="AF497" s="697"/>
      <c r="AG497" s="697"/>
      <c r="AH497" s="697"/>
      <c r="AI497" s="697"/>
      <c r="AJ497" s="697"/>
      <c r="AK497" s="697"/>
      <c r="AL497" s="697"/>
      <c r="AM497" s="697"/>
      <c r="AN497" s="697"/>
      <c r="AO497" s="697"/>
      <c r="AP497" s="697"/>
      <c r="AQ497" s="697"/>
      <c r="AR497" s="697"/>
      <c r="AS497" s="697"/>
      <c r="AT497" s="697"/>
      <c r="AU497" s="697"/>
      <c r="AV497" s="697"/>
      <c r="AW497" s="697"/>
      <c r="AX497" s="697"/>
      <c r="AY497" s="697"/>
      <c r="AZ497" s="697"/>
      <c r="BA497" s="697"/>
      <c r="BB497" s="697"/>
      <c r="BC497" s="697"/>
      <c r="BD497" s="697"/>
      <c r="BE497" s="697"/>
      <c r="BF497" s="697"/>
      <c r="BG497" s="697"/>
      <c r="BH497" s="697"/>
      <c r="BI497" s="697"/>
      <c r="BJ497" s="697"/>
      <c r="BK497" s="697"/>
      <c r="BL497" s="697"/>
      <c r="BM497" s="697"/>
      <c r="BN497" s="697"/>
      <c r="BO497" s="697"/>
      <c r="BP497" s="697"/>
      <c r="BQ497" s="697"/>
      <c r="BR497" s="697"/>
      <c r="BS497" s="697"/>
      <c r="BT497" s="697"/>
      <c r="BU497" s="697"/>
      <c r="BV497" s="697"/>
      <c r="BW497" s="697"/>
      <c r="BX497" s="697"/>
      <c r="BY497" s="697"/>
      <c r="BZ497" s="697"/>
      <c r="CA497" s="697"/>
      <c r="CB497" s="697"/>
      <c r="CC497" s="697"/>
      <c r="CD497" s="697"/>
      <c r="CE497" s="697"/>
      <c r="CF497" s="697"/>
      <c r="CG497" s="697"/>
      <c r="CH497" s="697"/>
      <c r="CI497" s="697"/>
      <c r="CJ497" s="697"/>
      <c r="CK497" s="697"/>
      <c r="CL497" s="697"/>
      <c r="CM497" s="697"/>
      <c r="CN497" s="697"/>
      <c r="CO497" s="697"/>
      <c r="CP497" s="697"/>
      <c r="CQ497" s="697"/>
      <c r="CR497" s="697"/>
      <c r="CS497" s="697"/>
      <c r="CT497" s="697"/>
      <c r="CU497" s="697"/>
      <c r="CV497" s="697"/>
      <c r="CW497" s="697"/>
      <c r="CX497" s="697"/>
      <c r="CY497" s="697"/>
      <c r="CZ497" s="697"/>
      <c r="DA497" s="697"/>
    </row>
    <row r="498" spans="1:105" hidden="1" outlineLevel="1" x14ac:dyDescent="0.2">
      <c r="A498" s="709">
        <f t="shared" si="89"/>
        <v>39965</v>
      </c>
      <c r="B498" s="709" t="str">
        <f t="shared" si="86"/>
        <v>2Q09</v>
      </c>
      <c r="C498" s="709" t="str">
        <f t="shared" si="90"/>
        <v>3Q09</v>
      </c>
      <c r="D498" s="710">
        <f t="shared" si="93"/>
        <v>40039</v>
      </c>
      <c r="E498" s="710">
        <f t="shared" si="93"/>
        <v>39979</v>
      </c>
      <c r="F498" s="712">
        <v>2.5720000000000001</v>
      </c>
      <c r="G498" s="713">
        <f t="shared" si="87"/>
        <v>0.29000000000000009</v>
      </c>
      <c r="H498" s="713">
        <f t="shared" si="88"/>
        <v>0.3000000000000001</v>
      </c>
      <c r="I498" s="697"/>
      <c r="J498" s="697"/>
      <c r="K498" s="697"/>
      <c r="L498" s="697"/>
      <c r="M498" s="697"/>
      <c r="N498" s="697"/>
      <c r="O498" s="697"/>
      <c r="P498" s="697"/>
      <c r="Q498" s="697"/>
      <c r="R498" s="697"/>
      <c r="S498" s="697"/>
      <c r="T498" s="697"/>
      <c r="U498" s="697"/>
      <c r="V498" s="697"/>
      <c r="W498" s="697"/>
      <c r="X498" s="697"/>
      <c r="Y498" s="697"/>
      <c r="Z498" s="697"/>
      <c r="AA498" s="697"/>
      <c r="AB498" s="697"/>
      <c r="AC498" s="697"/>
      <c r="AD498" s="697"/>
      <c r="AE498" s="697"/>
      <c r="AF498" s="697"/>
      <c r="AG498" s="697"/>
      <c r="AH498" s="697"/>
      <c r="AI498" s="697"/>
      <c r="AJ498" s="697"/>
      <c r="AK498" s="697"/>
      <c r="AL498" s="697"/>
      <c r="AM498" s="697"/>
      <c r="AN498" s="697"/>
      <c r="AO498" s="697"/>
      <c r="AP498" s="697"/>
      <c r="AQ498" s="697"/>
      <c r="AR498" s="697"/>
      <c r="AS498" s="697"/>
      <c r="AT498" s="697"/>
      <c r="AU498" s="697"/>
      <c r="AV498" s="697"/>
      <c r="AW498" s="697"/>
      <c r="AX498" s="697"/>
      <c r="AY498" s="697"/>
      <c r="AZ498" s="697"/>
      <c r="BA498" s="697"/>
      <c r="BB498" s="697"/>
      <c r="BC498" s="697"/>
      <c r="BD498" s="697"/>
      <c r="BE498" s="697"/>
      <c r="BF498" s="697"/>
      <c r="BG498" s="697"/>
      <c r="BH498" s="697"/>
      <c r="BI498" s="697"/>
      <c r="BJ498" s="697"/>
      <c r="BK498" s="697"/>
      <c r="BL498" s="697"/>
      <c r="BM498" s="697"/>
      <c r="BN498" s="697"/>
      <c r="BO498" s="697"/>
      <c r="BP498" s="697"/>
      <c r="BQ498" s="697"/>
      <c r="BR498" s="697"/>
      <c r="BS498" s="697"/>
      <c r="BT498" s="697"/>
      <c r="BU498" s="697"/>
      <c r="BV498" s="697"/>
      <c r="BW498" s="697"/>
      <c r="BX498" s="697"/>
      <c r="BY498" s="697"/>
      <c r="BZ498" s="697"/>
      <c r="CA498" s="697"/>
      <c r="CB498" s="697"/>
      <c r="CC498" s="697"/>
      <c r="CD498" s="697"/>
      <c r="CE498" s="697"/>
      <c r="CF498" s="697"/>
      <c r="CG498" s="697"/>
      <c r="CH498" s="697"/>
      <c r="CI498" s="697"/>
      <c r="CJ498" s="697"/>
      <c r="CK498" s="697"/>
      <c r="CL498" s="697"/>
      <c r="CM498" s="697"/>
      <c r="CN498" s="697"/>
      <c r="CO498" s="697"/>
      <c r="CP498" s="697"/>
      <c r="CQ498" s="697"/>
      <c r="CR498" s="697"/>
      <c r="CS498" s="697"/>
      <c r="CT498" s="697"/>
      <c r="CU498" s="697"/>
      <c r="CV498" s="697"/>
      <c r="CW498" s="697"/>
      <c r="CX498" s="697"/>
      <c r="CY498" s="697"/>
      <c r="CZ498" s="697"/>
      <c r="DA498" s="697"/>
    </row>
    <row r="499" spans="1:105" hidden="1" outlineLevel="1" x14ac:dyDescent="0.2">
      <c r="A499" s="709">
        <f t="shared" si="89"/>
        <v>39965</v>
      </c>
      <c r="B499" s="709" t="str">
        <f t="shared" si="86"/>
        <v>2Q09</v>
      </c>
      <c r="C499" s="709" t="str">
        <f t="shared" si="90"/>
        <v>3Q09</v>
      </c>
      <c r="D499" s="710">
        <f t="shared" si="93"/>
        <v>40046</v>
      </c>
      <c r="E499" s="710">
        <f t="shared" si="93"/>
        <v>39986</v>
      </c>
      <c r="F499" s="712">
        <v>2.6160000000000001</v>
      </c>
      <c r="G499" s="713">
        <f t="shared" si="87"/>
        <v>0.3000000000000001</v>
      </c>
      <c r="H499" s="713">
        <f t="shared" si="88"/>
        <v>0.3000000000000001</v>
      </c>
      <c r="I499" s="697"/>
      <c r="J499" s="697"/>
      <c r="K499" s="697"/>
      <c r="L499" s="697"/>
      <c r="M499" s="697"/>
      <c r="N499" s="697"/>
      <c r="O499" s="697"/>
      <c r="P499" s="697"/>
      <c r="Q499" s="697"/>
      <c r="R499" s="697"/>
      <c r="S499" s="697"/>
      <c r="T499" s="697"/>
      <c r="U499" s="697"/>
      <c r="V499" s="697"/>
      <c r="W499" s="697"/>
      <c r="X499" s="697"/>
      <c r="Y499" s="697"/>
      <c r="Z499" s="697"/>
      <c r="AA499" s="697"/>
      <c r="AB499" s="697"/>
      <c r="AC499" s="697"/>
      <c r="AD499" s="697"/>
      <c r="AE499" s="697"/>
      <c r="AF499" s="697"/>
      <c r="AG499" s="697"/>
      <c r="AH499" s="697"/>
      <c r="AI499" s="697"/>
      <c r="AJ499" s="697"/>
      <c r="AK499" s="697"/>
      <c r="AL499" s="697"/>
      <c r="AM499" s="697"/>
      <c r="AN499" s="697"/>
      <c r="AO499" s="697"/>
      <c r="AP499" s="697"/>
      <c r="AQ499" s="697"/>
      <c r="AR499" s="697"/>
      <c r="AS499" s="697"/>
      <c r="AT499" s="697"/>
      <c r="AU499" s="697"/>
      <c r="AV499" s="697"/>
      <c r="AW499" s="697"/>
      <c r="AX499" s="697"/>
      <c r="AY499" s="697"/>
      <c r="AZ499" s="697"/>
      <c r="BA499" s="697"/>
      <c r="BB499" s="697"/>
      <c r="BC499" s="697"/>
      <c r="BD499" s="697"/>
      <c r="BE499" s="697"/>
      <c r="BF499" s="697"/>
      <c r="BG499" s="697"/>
      <c r="BH499" s="697"/>
      <c r="BI499" s="697"/>
      <c r="BJ499" s="697"/>
      <c r="BK499" s="697"/>
      <c r="BL499" s="697"/>
      <c r="BM499" s="697"/>
      <c r="BN499" s="697"/>
      <c r="BO499" s="697"/>
      <c r="BP499" s="697"/>
      <c r="BQ499" s="697"/>
      <c r="BR499" s="697"/>
      <c r="BS499" s="697"/>
      <c r="BT499" s="697"/>
      <c r="BU499" s="697"/>
      <c r="BV499" s="697"/>
      <c r="BW499" s="697"/>
      <c r="BX499" s="697"/>
      <c r="BY499" s="697"/>
      <c r="BZ499" s="697"/>
      <c r="CA499" s="697"/>
      <c r="CB499" s="697"/>
      <c r="CC499" s="697"/>
      <c r="CD499" s="697"/>
      <c r="CE499" s="697"/>
      <c r="CF499" s="697"/>
      <c r="CG499" s="697"/>
      <c r="CH499" s="697"/>
      <c r="CI499" s="697"/>
      <c r="CJ499" s="697"/>
      <c r="CK499" s="697"/>
      <c r="CL499" s="697"/>
      <c r="CM499" s="697"/>
      <c r="CN499" s="697"/>
      <c r="CO499" s="697"/>
      <c r="CP499" s="697"/>
      <c r="CQ499" s="697"/>
      <c r="CR499" s="697"/>
      <c r="CS499" s="697"/>
      <c r="CT499" s="697"/>
      <c r="CU499" s="697"/>
      <c r="CV499" s="697"/>
      <c r="CW499" s="697"/>
      <c r="CX499" s="697"/>
      <c r="CY499" s="697"/>
      <c r="CZ499" s="697"/>
      <c r="DA499" s="697"/>
    </row>
    <row r="500" spans="1:105" hidden="1" outlineLevel="1" x14ac:dyDescent="0.2">
      <c r="A500" s="709">
        <f t="shared" si="89"/>
        <v>39965</v>
      </c>
      <c r="B500" s="709" t="str">
        <f t="shared" si="86"/>
        <v>2Q09</v>
      </c>
      <c r="C500" s="709" t="str">
        <f t="shared" si="90"/>
        <v>3Q09</v>
      </c>
      <c r="D500" s="710">
        <f t="shared" si="93"/>
        <v>40053</v>
      </c>
      <c r="E500" s="710">
        <f t="shared" si="93"/>
        <v>39993</v>
      </c>
      <c r="F500" s="712">
        <v>2.6080000000000001</v>
      </c>
      <c r="G500" s="713">
        <f t="shared" si="87"/>
        <v>0.3000000000000001</v>
      </c>
      <c r="H500" s="713">
        <f t="shared" si="88"/>
        <v>0.29000000000000009</v>
      </c>
      <c r="I500" s="697"/>
      <c r="J500" s="697"/>
      <c r="K500" s="697"/>
      <c r="L500" s="697"/>
      <c r="M500" s="697"/>
      <c r="N500" s="697"/>
      <c r="O500" s="697"/>
      <c r="P500" s="697"/>
      <c r="Q500" s="697"/>
      <c r="R500" s="697"/>
      <c r="S500" s="697"/>
      <c r="T500" s="697"/>
      <c r="U500" s="697"/>
      <c r="V500" s="697"/>
      <c r="W500" s="697"/>
      <c r="X500" s="697"/>
      <c r="Y500" s="697"/>
      <c r="Z500" s="697"/>
      <c r="AA500" s="697"/>
      <c r="AB500" s="697"/>
      <c r="AC500" s="697"/>
      <c r="AD500" s="697"/>
      <c r="AE500" s="697"/>
      <c r="AF500" s="697"/>
      <c r="AG500" s="697"/>
      <c r="AH500" s="697"/>
      <c r="AI500" s="697"/>
      <c r="AJ500" s="697"/>
      <c r="AK500" s="697"/>
      <c r="AL500" s="697"/>
      <c r="AM500" s="697"/>
      <c r="AN500" s="697"/>
      <c r="AO500" s="697"/>
      <c r="AP500" s="697"/>
      <c r="AQ500" s="697"/>
      <c r="AR500" s="697"/>
      <c r="AS500" s="697"/>
      <c r="AT500" s="697"/>
      <c r="AU500" s="697"/>
      <c r="AV500" s="697"/>
      <c r="AW500" s="697"/>
      <c r="AX500" s="697"/>
      <c r="AY500" s="697"/>
      <c r="AZ500" s="697"/>
      <c r="BA500" s="697"/>
      <c r="BB500" s="697"/>
      <c r="BC500" s="697"/>
      <c r="BD500" s="697"/>
      <c r="BE500" s="697"/>
      <c r="BF500" s="697"/>
      <c r="BG500" s="697"/>
      <c r="BH500" s="697"/>
      <c r="BI500" s="697"/>
      <c r="BJ500" s="697"/>
      <c r="BK500" s="697"/>
      <c r="BL500" s="697"/>
      <c r="BM500" s="697"/>
      <c r="BN500" s="697"/>
      <c r="BO500" s="697"/>
      <c r="BP500" s="697"/>
      <c r="BQ500" s="697"/>
      <c r="BR500" s="697"/>
      <c r="BS500" s="697"/>
      <c r="BT500" s="697"/>
      <c r="BU500" s="697"/>
      <c r="BV500" s="697"/>
      <c r="BW500" s="697"/>
      <c r="BX500" s="697"/>
      <c r="BY500" s="697"/>
      <c r="BZ500" s="697"/>
      <c r="CA500" s="697"/>
      <c r="CB500" s="697"/>
      <c r="CC500" s="697"/>
      <c r="CD500" s="697"/>
      <c r="CE500" s="697"/>
      <c r="CF500" s="697"/>
      <c r="CG500" s="697"/>
      <c r="CH500" s="697"/>
      <c r="CI500" s="697"/>
      <c r="CJ500" s="697"/>
      <c r="CK500" s="697"/>
      <c r="CL500" s="697"/>
      <c r="CM500" s="697"/>
      <c r="CN500" s="697"/>
      <c r="CO500" s="697"/>
      <c r="CP500" s="697"/>
      <c r="CQ500" s="697"/>
      <c r="CR500" s="697"/>
      <c r="CS500" s="697"/>
      <c r="CT500" s="697"/>
      <c r="CU500" s="697"/>
      <c r="CV500" s="697"/>
      <c r="CW500" s="697"/>
      <c r="CX500" s="697"/>
      <c r="CY500" s="697"/>
      <c r="CZ500" s="697"/>
      <c r="DA500" s="697"/>
    </row>
    <row r="501" spans="1:105" hidden="1" outlineLevel="1" x14ac:dyDescent="0.2">
      <c r="A501" s="709">
        <f t="shared" si="89"/>
        <v>39995</v>
      </c>
      <c r="B501" s="709" t="str">
        <f t="shared" si="86"/>
        <v>3Q09</v>
      </c>
      <c r="C501" s="709" t="str">
        <f t="shared" si="90"/>
        <v>3Q09</v>
      </c>
      <c r="D501" s="710">
        <f t="shared" ref="D501:E516" si="94">D500+7</f>
        <v>40060</v>
      </c>
      <c r="E501" s="710">
        <f t="shared" si="94"/>
        <v>40000</v>
      </c>
      <c r="F501" s="712">
        <v>2.5939999999999999</v>
      </c>
      <c r="G501" s="713">
        <f t="shared" si="87"/>
        <v>0.29000000000000009</v>
      </c>
      <c r="H501" s="713">
        <f t="shared" si="88"/>
        <v>0.28000000000000008</v>
      </c>
      <c r="I501" s="697"/>
      <c r="J501" s="697"/>
      <c r="K501" s="697"/>
      <c r="L501" s="697"/>
      <c r="M501" s="697"/>
      <c r="N501" s="697"/>
      <c r="O501" s="697"/>
      <c r="P501" s="697"/>
      <c r="Q501" s="697"/>
      <c r="R501" s="697"/>
      <c r="S501" s="697"/>
      <c r="T501" s="697"/>
      <c r="U501" s="697"/>
      <c r="V501" s="697"/>
      <c r="W501" s="697"/>
      <c r="X501" s="697"/>
      <c r="Y501" s="697"/>
      <c r="Z501" s="697"/>
      <c r="AA501" s="697"/>
      <c r="AB501" s="697"/>
      <c r="AC501" s="697"/>
      <c r="AD501" s="697"/>
      <c r="AE501" s="697"/>
      <c r="AF501" s="697"/>
      <c r="AG501" s="697"/>
      <c r="AH501" s="697"/>
      <c r="AI501" s="697"/>
      <c r="AJ501" s="697"/>
      <c r="AK501" s="697"/>
      <c r="AL501" s="697"/>
      <c r="AM501" s="697"/>
      <c r="AN501" s="697"/>
      <c r="AO501" s="697"/>
      <c r="AP501" s="697"/>
      <c r="AQ501" s="697"/>
      <c r="AR501" s="697"/>
      <c r="AS501" s="697"/>
      <c r="AT501" s="697"/>
      <c r="AU501" s="697"/>
      <c r="AV501" s="697"/>
      <c r="AW501" s="697"/>
      <c r="AX501" s="697"/>
      <c r="AY501" s="697"/>
      <c r="AZ501" s="697"/>
      <c r="BA501" s="697"/>
      <c r="BB501" s="697"/>
      <c r="BC501" s="697"/>
      <c r="BD501" s="697"/>
      <c r="BE501" s="697"/>
      <c r="BF501" s="697"/>
      <c r="BG501" s="697"/>
      <c r="BH501" s="697"/>
      <c r="BI501" s="697"/>
      <c r="BJ501" s="697"/>
      <c r="BK501" s="697"/>
      <c r="BL501" s="697"/>
      <c r="BM501" s="697"/>
      <c r="BN501" s="697"/>
      <c r="BO501" s="697"/>
      <c r="BP501" s="697"/>
      <c r="BQ501" s="697"/>
      <c r="BR501" s="697"/>
      <c r="BS501" s="697"/>
      <c r="BT501" s="697"/>
      <c r="BU501" s="697"/>
      <c r="BV501" s="697"/>
      <c r="BW501" s="697"/>
      <c r="BX501" s="697"/>
      <c r="BY501" s="697"/>
      <c r="BZ501" s="697"/>
      <c r="CA501" s="697"/>
      <c r="CB501" s="697"/>
      <c r="CC501" s="697"/>
      <c r="CD501" s="697"/>
      <c r="CE501" s="697"/>
      <c r="CF501" s="697"/>
      <c r="CG501" s="697"/>
      <c r="CH501" s="697"/>
      <c r="CI501" s="697"/>
      <c r="CJ501" s="697"/>
      <c r="CK501" s="697"/>
      <c r="CL501" s="697"/>
      <c r="CM501" s="697"/>
      <c r="CN501" s="697"/>
      <c r="CO501" s="697"/>
      <c r="CP501" s="697"/>
      <c r="CQ501" s="697"/>
      <c r="CR501" s="697"/>
      <c r="CS501" s="697"/>
      <c r="CT501" s="697"/>
      <c r="CU501" s="697"/>
      <c r="CV501" s="697"/>
      <c r="CW501" s="697"/>
      <c r="CX501" s="697"/>
      <c r="CY501" s="697"/>
      <c r="CZ501" s="697"/>
      <c r="DA501" s="697"/>
    </row>
    <row r="502" spans="1:105" hidden="1" outlineLevel="1" x14ac:dyDescent="0.2">
      <c r="A502" s="709">
        <f t="shared" si="89"/>
        <v>39995</v>
      </c>
      <c r="B502" s="709" t="str">
        <f t="shared" si="86"/>
        <v>3Q09</v>
      </c>
      <c r="C502" s="709" t="str">
        <f t="shared" si="90"/>
        <v>3Q09</v>
      </c>
      <c r="D502" s="710">
        <f t="shared" si="94"/>
        <v>40067</v>
      </c>
      <c r="E502" s="710">
        <f t="shared" si="94"/>
        <v>40007</v>
      </c>
      <c r="F502" s="712">
        <v>2.5419999999999998</v>
      </c>
      <c r="G502" s="713">
        <f t="shared" si="87"/>
        <v>0.28000000000000008</v>
      </c>
      <c r="H502" s="713">
        <f t="shared" si="88"/>
        <v>0.27000000000000007</v>
      </c>
      <c r="I502" s="697"/>
      <c r="J502" s="697"/>
      <c r="K502" s="697"/>
      <c r="L502" s="697"/>
      <c r="M502" s="697"/>
      <c r="N502" s="697"/>
      <c r="O502" s="697"/>
      <c r="P502" s="697"/>
      <c r="Q502" s="697"/>
      <c r="R502" s="697"/>
      <c r="S502" s="697"/>
      <c r="T502" s="697"/>
      <c r="U502" s="697"/>
      <c r="V502" s="697"/>
      <c r="W502" s="697"/>
      <c r="X502" s="697"/>
      <c r="Y502" s="697"/>
      <c r="Z502" s="697"/>
      <c r="AA502" s="697"/>
      <c r="AB502" s="697"/>
      <c r="AC502" s="697"/>
      <c r="AD502" s="697"/>
      <c r="AE502" s="697"/>
      <c r="AF502" s="697"/>
      <c r="AG502" s="697"/>
      <c r="AH502" s="697"/>
      <c r="AI502" s="697"/>
      <c r="AJ502" s="697"/>
      <c r="AK502" s="697"/>
      <c r="AL502" s="697"/>
      <c r="AM502" s="697"/>
      <c r="AN502" s="697"/>
      <c r="AO502" s="697"/>
      <c r="AP502" s="697"/>
      <c r="AQ502" s="697"/>
      <c r="AR502" s="697"/>
      <c r="AS502" s="697"/>
      <c r="AT502" s="697"/>
      <c r="AU502" s="697"/>
      <c r="AV502" s="697"/>
      <c r="AW502" s="697"/>
      <c r="AX502" s="697"/>
      <c r="AY502" s="697"/>
      <c r="AZ502" s="697"/>
      <c r="BA502" s="697"/>
      <c r="BB502" s="697"/>
      <c r="BC502" s="697"/>
      <c r="BD502" s="697"/>
      <c r="BE502" s="697"/>
      <c r="BF502" s="697"/>
      <c r="BG502" s="697"/>
      <c r="BH502" s="697"/>
      <c r="BI502" s="697"/>
      <c r="BJ502" s="697"/>
      <c r="BK502" s="697"/>
      <c r="BL502" s="697"/>
      <c r="BM502" s="697"/>
      <c r="BN502" s="697"/>
      <c r="BO502" s="697"/>
      <c r="BP502" s="697"/>
      <c r="BQ502" s="697"/>
      <c r="BR502" s="697"/>
      <c r="BS502" s="697"/>
      <c r="BT502" s="697"/>
      <c r="BU502" s="697"/>
      <c r="BV502" s="697"/>
      <c r="BW502" s="697"/>
      <c r="BX502" s="697"/>
      <c r="BY502" s="697"/>
      <c r="BZ502" s="697"/>
      <c r="CA502" s="697"/>
      <c r="CB502" s="697"/>
      <c r="CC502" s="697"/>
      <c r="CD502" s="697"/>
      <c r="CE502" s="697"/>
      <c r="CF502" s="697"/>
      <c r="CG502" s="697"/>
      <c r="CH502" s="697"/>
      <c r="CI502" s="697"/>
      <c r="CJ502" s="697"/>
      <c r="CK502" s="697"/>
      <c r="CL502" s="697"/>
      <c r="CM502" s="697"/>
      <c r="CN502" s="697"/>
      <c r="CO502" s="697"/>
      <c r="CP502" s="697"/>
      <c r="CQ502" s="697"/>
      <c r="CR502" s="697"/>
      <c r="CS502" s="697"/>
      <c r="CT502" s="697"/>
      <c r="CU502" s="697"/>
      <c r="CV502" s="697"/>
      <c r="CW502" s="697"/>
      <c r="CX502" s="697"/>
      <c r="CY502" s="697"/>
      <c r="CZ502" s="697"/>
      <c r="DA502" s="697"/>
    </row>
    <row r="503" spans="1:105" hidden="1" outlineLevel="1" x14ac:dyDescent="0.2">
      <c r="A503" s="709">
        <f t="shared" si="89"/>
        <v>39995</v>
      </c>
      <c r="B503" s="709" t="str">
        <f t="shared" si="86"/>
        <v>3Q09</v>
      </c>
      <c r="C503" s="709" t="str">
        <f t="shared" si="90"/>
        <v>3Q09</v>
      </c>
      <c r="D503" s="710">
        <f t="shared" si="94"/>
        <v>40074</v>
      </c>
      <c r="E503" s="710">
        <f t="shared" si="94"/>
        <v>40014</v>
      </c>
      <c r="F503" s="712">
        <v>2.496</v>
      </c>
      <c r="G503" s="713">
        <f t="shared" si="87"/>
        <v>0.27000000000000007</v>
      </c>
      <c r="H503" s="713">
        <f t="shared" si="88"/>
        <v>0.28000000000000008</v>
      </c>
      <c r="I503" s="697"/>
      <c r="J503" s="697"/>
      <c r="K503" s="697"/>
      <c r="L503" s="697"/>
      <c r="M503" s="697"/>
      <c r="N503" s="697"/>
      <c r="O503" s="697"/>
      <c r="P503" s="697"/>
      <c r="Q503" s="697"/>
      <c r="R503" s="697"/>
      <c r="S503" s="697"/>
      <c r="T503" s="697"/>
      <c r="U503" s="697"/>
      <c r="V503" s="697"/>
      <c r="W503" s="697"/>
      <c r="X503" s="697"/>
      <c r="Y503" s="697"/>
      <c r="Z503" s="697"/>
      <c r="AA503" s="697"/>
      <c r="AB503" s="697"/>
      <c r="AC503" s="697"/>
      <c r="AD503" s="697"/>
      <c r="AE503" s="697"/>
      <c r="AF503" s="697"/>
      <c r="AG503" s="697"/>
      <c r="AH503" s="697"/>
      <c r="AI503" s="697"/>
      <c r="AJ503" s="697"/>
      <c r="AK503" s="697"/>
      <c r="AL503" s="697"/>
      <c r="AM503" s="697"/>
      <c r="AN503" s="697"/>
      <c r="AO503" s="697"/>
      <c r="AP503" s="697"/>
      <c r="AQ503" s="697"/>
      <c r="AR503" s="697"/>
      <c r="AS503" s="697"/>
      <c r="AT503" s="697"/>
      <c r="AU503" s="697"/>
      <c r="AV503" s="697"/>
      <c r="AW503" s="697"/>
      <c r="AX503" s="697"/>
      <c r="AY503" s="697"/>
      <c r="AZ503" s="697"/>
      <c r="BA503" s="697"/>
      <c r="BB503" s="697"/>
      <c r="BC503" s="697"/>
      <c r="BD503" s="697"/>
      <c r="BE503" s="697"/>
      <c r="BF503" s="697"/>
      <c r="BG503" s="697"/>
      <c r="BH503" s="697"/>
      <c r="BI503" s="697"/>
      <c r="BJ503" s="697"/>
      <c r="BK503" s="697"/>
      <c r="BL503" s="697"/>
      <c r="BM503" s="697"/>
      <c r="BN503" s="697"/>
      <c r="BO503" s="697"/>
      <c r="BP503" s="697"/>
      <c r="BQ503" s="697"/>
      <c r="BR503" s="697"/>
      <c r="BS503" s="697"/>
      <c r="BT503" s="697"/>
      <c r="BU503" s="697"/>
      <c r="BV503" s="697"/>
      <c r="BW503" s="697"/>
      <c r="BX503" s="697"/>
      <c r="BY503" s="697"/>
      <c r="BZ503" s="697"/>
      <c r="CA503" s="697"/>
      <c r="CB503" s="697"/>
      <c r="CC503" s="697"/>
      <c r="CD503" s="697"/>
      <c r="CE503" s="697"/>
      <c r="CF503" s="697"/>
      <c r="CG503" s="697"/>
      <c r="CH503" s="697"/>
      <c r="CI503" s="697"/>
      <c r="CJ503" s="697"/>
      <c r="CK503" s="697"/>
      <c r="CL503" s="697"/>
      <c r="CM503" s="697"/>
      <c r="CN503" s="697"/>
      <c r="CO503" s="697"/>
      <c r="CP503" s="697"/>
      <c r="CQ503" s="697"/>
      <c r="CR503" s="697"/>
      <c r="CS503" s="697"/>
      <c r="CT503" s="697"/>
      <c r="CU503" s="697"/>
      <c r="CV503" s="697"/>
      <c r="CW503" s="697"/>
      <c r="CX503" s="697"/>
      <c r="CY503" s="697"/>
      <c r="CZ503" s="697"/>
      <c r="DA503" s="697"/>
    </row>
    <row r="504" spans="1:105" hidden="1" outlineLevel="1" x14ac:dyDescent="0.2">
      <c r="A504" s="709">
        <f t="shared" si="89"/>
        <v>39995</v>
      </c>
      <c r="B504" s="709" t="str">
        <f t="shared" si="86"/>
        <v>3Q09</v>
      </c>
      <c r="C504" s="709" t="str">
        <f t="shared" si="90"/>
        <v>3Q09</v>
      </c>
      <c r="D504" s="710">
        <f t="shared" si="94"/>
        <v>40081</v>
      </c>
      <c r="E504" s="710">
        <f t="shared" si="94"/>
        <v>40021</v>
      </c>
      <c r="F504" s="712">
        <v>2.528</v>
      </c>
      <c r="G504" s="713">
        <f t="shared" si="87"/>
        <v>0.28000000000000008</v>
      </c>
      <c r="H504" s="713">
        <f t="shared" si="88"/>
        <v>0.29000000000000009</v>
      </c>
      <c r="I504" s="697"/>
      <c r="J504" s="697"/>
      <c r="K504" s="697"/>
      <c r="L504" s="697"/>
      <c r="M504" s="697"/>
      <c r="N504" s="697"/>
      <c r="O504" s="697"/>
      <c r="P504" s="697"/>
      <c r="Q504" s="697"/>
      <c r="R504" s="697"/>
      <c r="S504" s="697"/>
      <c r="T504" s="697"/>
      <c r="U504" s="697"/>
      <c r="V504" s="697"/>
      <c r="W504" s="697"/>
      <c r="X504" s="697"/>
      <c r="Y504" s="697"/>
      <c r="Z504" s="697"/>
      <c r="AA504" s="697"/>
      <c r="AB504" s="697"/>
      <c r="AC504" s="697"/>
      <c r="AD504" s="697"/>
      <c r="AE504" s="697"/>
      <c r="AF504" s="697"/>
      <c r="AG504" s="697"/>
      <c r="AH504" s="697"/>
      <c r="AI504" s="697"/>
      <c r="AJ504" s="697"/>
      <c r="AK504" s="697"/>
      <c r="AL504" s="697"/>
      <c r="AM504" s="697"/>
      <c r="AN504" s="697"/>
      <c r="AO504" s="697"/>
      <c r="AP504" s="697"/>
      <c r="AQ504" s="697"/>
      <c r="AR504" s="697"/>
      <c r="AS504" s="697"/>
      <c r="AT504" s="697"/>
      <c r="AU504" s="697"/>
      <c r="AV504" s="697"/>
      <c r="AW504" s="697"/>
      <c r="AX504" s="697"/>
      <c r="AY504" s="697"/>
      <c r="AZ504" s="697"/>
      <c r="BA504" s="697"/>
      <c r="BB504" s="697"/>
      <c r="BC504" s="697"/>
      <c r="BD504" s="697"/>
      <c r="BE504" s="697"/>
      <c r="BF504" s="697"/>
      <c r="BG504" s="697"/>
      <c r="BH504" s="697"/>
      <c r="BI504" s="697"/>
      <c r="BJ504" s="697"/>
      <c r="BK504" s="697"/>
      <c r="BL504" s="697"/>
      <c r="BM504" s="697"/>
      <c r="BN504" s="697"/>
      <c r="BO504" s="697"/>
      <c r="BP504" s="697"/>
      <c r="BQ504" s="697"/>
      <c r="BR504" s="697"/>
      <c r="BS504" s="697"/>
      <c r="BT504" s="697"/>
      <c r="BU504" s="697"/>
      <c r="BV504" s="697"/>
      <c r="BW504" s="697"/>
      <c r="BX504" s="697"/>
      <c r="BY504" s="697"/>
      <c r="BZ504" s="697"/>
      <c r="CA504" s="697"/>
      <c r="CB504" s="697"/>
      <c r="CC504" s="697"/>
      <c r="CD504" s="697"/>
      <c r="CE504" s="697"/>
      <c r="CF504" s="697"/>
      <c r="CG504" s="697"/>
      <c r="CH504" s="697"/>
      <c r="CI504" s="697"/>
      <c r="CJ504" s="697"/>
      <c r="CK504" s="697"/>
      <c r="CL504" s="697"/>
      <c r="CM504" s="697"/>
      <c r="CN504" s="697"/>
      <c r="CO504" s="697"/>
      <c r="CP504" s="697"/>
      <c r="CQ504" s="697"/>
      <c r="CR504" s="697"/>
      <c r="CS504" s="697"/>
      <c r="CT504" s="697"/>
      <c r="CU504" s="697"/>
      <c r="CV504" s="697"/>
      <c r="CW504" s="697"/>
      <c r="CX504" s="697"/>
      <c r="CY504" s="697"/>
      <c r="CZ504" s="697"/>
      <c r="DA504" s="697"/>
    </row>
    <row r="505" spans="1:105" hidden="1" outlineLevel="1" x14ac:dyDescent="0.2">
      <c r="A505" s="709">
        <f t="shared" si="89"/>
        <v>40026</v>
      </c>
      <c r="B505" s="709" t="str">
        <f t="shared" si="86"/>
        <v>3Q09</v>
      </c>
      <c r="C505" s="709" t="str">
        <f t="shared" si="90"/>
        <v>4Q09</v>
      </c>
      <c r="D505" s="710">
        <f t="shared" si="94"/>
        <v>40088</v>
      </c>
      <c r="E505" s="710">
        <f t="shared" si="94"/>
        <v>40028</v>
      </c>
      <c r="F505" s="712">
        <v>2.5499999999999998</v>
      </c>
      <c r="G505" s="713">
        <f t="shared" si="87"/>
        <v>0.29000000000000009</v>
      </c>
      <c r="H505" s="713">
        <f t="shared" si="88"/>
        <v>0.3000000000000001</v>
      </c>
      <c r="I505" s="697"/>
      <c r="J505" s="697"/>
      <c r="K505" s="697"/>
      <c r="L505" s="697"/>
      <c r="M505" s="697"/>
      <c r="N505" s="697"/>
      <c r="O505" s="697"/>
      <c r="P505" s="697"/>
      <c r="Q505" s="697"/>
      <c r="R505" s="697"/>
      <c r="S505" s="697"/>
      <c r="T505" s="697"/>
      <c r="U505" s="697"/>
      <c r="V505" s="697"/>
      <c r="W505" s="697"/>
      <c r="X505" s="697"/>
      <c r="Y505" s="697"/>
      <c r="Z505" s="697"/>
      <c r="AA505" s="697"/>
      <c r="AB505" s="697"/>
      <c r="AC505" s="697"/>
      <c r="AD505" s="697"/>
      <c r="AE505" s="697"/>
      <c r="AF505" s="697"/>
      <c r="AG505" s="697"/>
      <c r="AH505" s="697"/>
      <c r="AI505" s="697"/>
      <c r="AJ505" s="697"/>
      <c r="AK505" s="697"/>
      <c r="AL505" s="697"/>
      <c r="AM505" s="697"/>
      <c r="AN505" s="697"/>
      <c r="AO505" s="697"/>
      <c r="AP505" s="697"/>
      <c r="AQ505" s="697"/>
      <c r="AR505" s="697"/>
      <c r="AS505" s="697"/>
      <c r="AT505" s="697"/>
      <c r="AU505" s="697"/>
      <c r="AV505" s="697"/>
      <c r="AW505" s="697"/>
      <c r="AX505" s="697"/>
      <c r="AY505" s="697"/>
      <c r="AZ505" s="697"/>
      <c r="BA505" s="697"/>
      <c r="BB505" s="697"/>
      <c r="BC505" s="697"/>
      <c r="BD505" s="697"/>
      <c r="BE505" s="697"/>
      <c r="BF505" s="697"/>
      <c r="BG505" s="697"/>
      <c r="BH505" s="697"/>
      <c r="BI505" s="697"/>
      <c r="BJ505" s="697"/>
      <c r="BK505" s="697"/>
      <c r="BL505" s="697"/>
      <c r="BM505" s="697"/>
      <c r="BN505" s="697"/>
      <c r="BO505" s="697"/>
      <c r="BP505" s="697"/>
      <c r="BQ505" s="697"/>
      <c r="BR505" s="697"/>
      <c r="BS505" s="697"/>
      <c r="BT505" s="697"/>
      <c r="BU505" s="697"/>
      <c r="BV505" s="697"/>
      <c r="BW505" s="697"/>
      <c r="BX505" s="697"/>
      <c r="BY505" s="697"/>
      <c r="BZ505" s="697"/>
      <c r="CA505" s="697"/>
      <c r="CB505" s="697"/>
      <c r="CC505" s="697"/>
      <c r="CD505" s="697"/>
      <c r="CE505" s="697"/>
      <c r="CF505" s="697"/>
      <c r="CG505" s="697"/>
      <c r="CH505" s="697"/>
      <c r="CI505" s="697"/>
      <c r="CJ505" s="697"/>
      <c r="CK505" s="697"/>
      <c r="CL505" s="697"/>
      <c r="CM505" s="697"/>
      <c r="CN505" s="697"/>
      <c r="CO505" s="697"/>
      <c r="CP505" s="697"/>
      <c r="CQ505" s="697"/>
      <c r="CR505" s="697"/>
      <c r="CS505" s="697"/>
      <c r="CT505" s="697"/>
      <c r="CU505" s="697"/>
      <c r="CV505" s="697"/>
      <c r="CW505" s="697"/>
      <c r="CX505" s="697"/>
      <c r="CY505" s="697"/>
      <c r="CZ505" s="697"/>
      <c r="DA505" s="697"/>
    </row>
    <row r="506" spans="1:105" hidden="1" outlineLevel="1" x14ac:dyDescent="0.2">
      <c r="A506" s="709">
        <f t="shared" si="89"/>
        <v>40026</v>
      </c>
      <c r="B506" s="709" t="str">
        <f t="shared" si="86"/>
        <v>3Q09</v>
      </c>
      <c r="C506" s="709" t="str">
        <f t="shared" si="90"/>
        <v>4Q09</v>
      </c>
      <c r="D506" s="710">
        <f t="shared" si="94"/>
        <v>40095</v>
      </c>
      <c r="E506" s="710">
        <f t="shared" si="94"/>
        <v>40035</v>
      </c>
      <c r="F506" s="712">
        <v>2.625</v>
      </c>
      <c r="G506" s="713">
        <f t="shared" si="87"/>
        <v>0.3000000000000001</v>
      </c>
      <c r="H506" s="713">
        <f t="shared" si="88"/>
        <v>0.31000000000000011</v>
      </c>
      <c r="I506" s="697"/>
      <c r="J506" s="697"/>
      <c r="K506" s="697"/>
      <c r="L506" s="697"/>
      <c r="M506" s="697"/>
      <c r="N506" s="697"/>
      <c r="O506" s="697"/>
      <c r="P506" s="697"/>
      <c r="Q506" s="697"/>
      <c r="R506" s="697"/>
      <c r="S506" s="697"/>
      <c r="T506" s="697"/>
      <c r="U506" s="697"/>
      <c r="V506" s="697"/>
      <c r="W506" s="697"/>
      <c r="X506" s="697"/>
      <c r="Y506" s="697"/>
      <c r="Z506" s="697"/>
      <c r="AA506" s="697"/>
      <c r="AB506" s="697"/>
      <c r="AC506" s="697"/>
      <c r="AD506" s="697"/>
      <c r="AE506" s="697"/>
      <c r="AF506" s="697"/>
      <c r="AG506" s="697"/>
      <c r="AH506" s="697"/>
      <c r="AI506" s="697"/>
      <c r="AJ506" s="697"/>
      <c r="AK506" s="697"/>
      <c r="AL506" s="697"/>
      <c r="AM506" s="697"/>
      <c r="AN506" s="697"/>
      <c r="AO506" s="697"/>
      <c r="AP506" s="697"/>
      <c r="AQ506" s="697"/>
      <c r="AR506" s="697"/>
      <c r="AS506" s="697"/>
      <c r="AT506" s="697"/>
      <c r="AU506" s="697"/>
      <c r="AV506" s="697"/>
      <c r="AW506" s="697"/>
      <c r="AX506" s="697"/>
      <c r="AY506" s="697"/>
      <c r="AZ506" s="697"/>
      <c r="BA506" s="697"/>
      <c r="BB506" s="697"/>
      <c r="BC506" s="697"/>
      <c r="BD506" s="697"/>
      <c r="BE506" s="697"/>
      <c r="BF506" s="697"/>
      <c r="BG506" s="697"/>
      <c r="BH506" s="697"/>
      <c r="BI506" s="697"/>
      <c r="BJ506" s="697"/>
      <c r="BK506" s="697"/>
      <c r="BL506" s="697"/>
      <c r="BM506" s="697"/>
      <c r="BN506" s="697"/>
      <c r="BO506" s="697"/>
      <c r="BP506" s="697"/>
      <c r="BQ506" s="697"/>
      <c r="BR506" s="697"/>
      <c r="BS506" s="697"/>
      <c r="BT506" s="697"/>
      <c r="BU506" s="697"/>
      <c r="BV506" s="697"/>
      <c r="BW506" s="697"/>
      <c r="BX506" s="697"/>
      <c r="BY506" s="697"/>
      <c r="BZ506" s="697"/>
      <c r="CA506" s="697"/>
      <c r="CB506" s="697"/>
      <c r="CC506" s="697"/>
      <c r="CD506" s="697"/>
      <c r="CE506" s="697"/>
      <c r="CF506" s="697"/>
      <c r="CG506" s="697"/>
      <c r="CH506" s="697"/>
      <c r="CI506" s="697"/>
      <c r="CJ506" s="697"/>
      <c r="CK506" s="697"/>
      <c r="CL506" s="697"/>
      <c r="CM506" s="697"/>
      <c r="CN506" s="697"/>
      <c r="CO506" s="697"/>
      <c r="CP506" s="697"/>
      <c r="CQ506" s="697"/>
      <c r="CR506" s="697"/>
      <c r="CS506" s="697"/>
      <c r="CT506" s="697"/>
      <c r="CU506" s="697"/>
      <c r="CV506" s="697"/>
      <c r="CW506" s="697"/>
      <c r="CX506" s="697"/>
      <c r="CY506" s="697"/>
      <c r="CZ506" s="697"/>
      <c r="DA506" s="697"/>
    </row>
    <row r="507" spans="1:105" hidden="1" outlineLevel="1" x14ac:dyDescent="0.2">
      <c r="A507" s="709">
        <f t="shared" si="89"/>
        <v>40026</v>
      </c>
      <c r="B507" s="709" t="str">
        <f t="shared" si="86"/>
        <v>3Q09</v>
      </c>
      <c r="C507" s="709" t="str">
        <f t="shared" si="90"/>
        <v>4Q09</v>
      </c>
      <c r="D507" s="710">
        <f t="shared" si="94"/>
        <v>40102</v>
      </c>
      <c r="E507" s="710">
        <f t="shared" si="94"/>
        <v>40042</v>
      </c>
      <c r="F507" s="712">
        <v>2.6520000000000001</v>
      </c>
      <c r="G507" s="713">
        <f t="shared" si="87"/>
        <v>0.31000000000000011</v>
      </c>
      <c r="H507" s="713">
        <f t="shared" si="88"/>
        <v>0.31000000000000011</v>
      </c>
      <c r="I507" s="697"/>
      <c r="J507" s="697"/>
      <c r="K507" s="697"/>
      <c r="L507" s="697"/>
      <c r="M507" s="697"/>
      <c r="N507" s="697"/>
      <c r="O507" s="697"/>
      <c r="P507" s="697"/>
      <c r="Q507" s="697"/>
      <c r="R507" s="697"/>
      <c r="S507" s="697"/>
      <c r="T507" s="697"/>
      <c r="U507" s="697"/>
      <c r="V507" s="697"/>
      <c r="W507" s="697"/>
      <c r="X507" s="697"/>
      <c r="Y507" s="697"/>
      <c r="Z507" s="697"/>
      <c r="AA507" s="697"/>
      <c r="AB507" s="697"/>
      <c r="AC507" s="697"/>
      <c r="AD507" s="697"/>
      <c r="AE507" s="697"/>
      <c r="AF507" s="697"/>
      <c r="AG507" s="697"/>
      <c r="AH507" s="697"/>
      <c r="AI507" s="697"/>
      <c r="AJ507" s="697"/>
      <c r="AK507" s="697"/>
      <c r="AL507" s="697"/>
      <c r="AM507" s="697"/>
      <c r="AN507" s="697"/>
      <c r="AO507" s="697"/>
      <c r="AP507" s="697"/>
      <c r="AQ507" s="697"/>
      <c r="AR507" s="697"/>
      <c r="AS507" s="697"/>
      <c r="AT507" s="697"/>
      <c r="AU507" s="697"/>
      <c r="AV507" s="697"/>
      <c r="AW507" s="697"/>
      <c r="AX507" s="697"/>
      <c r="AY507" s="697"/>
      <c r="AZ507" s="697"/>
      <c r="BA507" s="697"/>
      <c r="BB507" s="697"/>
      <c r="BC507" s="697"/>
      <c r="BD507" s="697"/>
      <c r="BE507" s="697"/>
      <c r="BF507" s="697"/>
      <c r="BG507" s="697"/>
      <c r="BH507" s="697"/>
      <c r="BI507" s="697"/>
      <c r="BJ507" s="697"/>
      <c r="BK507" s="697"/>
      <c r="BL507" s="697"/>
      <c r="BM507" s="697"/>
      <c r="BN507" s="697"/>
      <c r="BO507" s="697"/>
      <c r="BP507" s="697"/>
      <c r="BQ507" s="697"/>
      <c r="BR507" s="697"/>
      <c r="BS507" s="697"/>
      <c r="BT507" s="697"/>
      <c r="BU507" s="697"/>
      <c r="BV507" s="697"/>
      <c r="BW507" s="697"/>
      <c r="BX507" s="697"/>
      <c r="BY507" s="697"/>
      <c r="BZ507" s="697"/>
      <c r="CA507" s="697"/>
      <c r="CB507" s="697"/>
      <c r="CC507" s="697"/>
      <c r="CD507" s="697"/>
      <c r="CE507" s="697"/>
      <c r="CF507" s="697"/>
      <c r="CG507" s="697"/>
      <c r="CH507" s="697"/>
      <c r="CI507" s="697"/>
      <c r="CJ507" s="697"/>
      <c r="CK507" s="697"/>
      <c r="CL507" s="697"/>
      <c r="CM507" s="697"/>
      <c r="CN507" s="697"/>
      <c r="CO507" s="697"/>
      <c r="CP507" s="697"/>
      <c r="CQ507" s="697"/>
      <c r="CR507" s="697"/>
      <c r="CS507" s="697"/>
      <c r="CT507" s="697"/>
      <c r="CU507" s="697"/>
      <c r="CV507" s="697"/>
      <c r="CW507" s="697"/>
      <c r="CX507" s="697"/>
      <c r="CY507" s="697"/>
      <c r="CZ507" s="697"/>
      <c r="DA507" s="697"/>
    </row>
    <row r="508" spans="1:105" hidden="1" outlineLevel="1" x14ac:dyDescent="0.2">
      <c r="A508" s="709">
        <f t="shared" si="89"/>
        <v>40026</v>
      </c>
      <c r="B508" s="709" t="str">
        <f t="shared" si="86"/>
        <v>3Q09</v>
      </c>
      <c r="C508" s="709" t="str">
        <f t="shared" si="90"/>
        <v>4Q09</v>
      </c>
      <c r="D508" s="710">
        <f t="shared" si="94"/>
        <v>40109</v>
      </c>
      <c r="E508" s="710">
        <f t="shared" si="94"/>
        <v>40049</v>
      </c>
      <c r="F508" s="712">
        <v>2.6680000000000001</v>
      </c>
      <c r="G508" s="713">
        <f t="shared" si="87"/>
        <v>0.31000000000000011</v>
      </c>
      <c r="H508" s="713">
        <f t="shared" si="88"/>
        <v>0.31000000000000011</v>
      </c>
      <c r="I508" s="697"/>
      <c r="J508" s="697"/>
      <c r="K508" s="697"/>
      <c r="L508" s="697"/>
      <c r="M508" s="697"/>
      <c r="N508" s="697"/>
      <c r="O508" s="697"/>
      <c r="P508" s="697"/>
      <c r="Q508" s="697"/>
      <c r="R508" s="697"/>
      <c r="S508" s="697"/>
      <c r="T508" s="697"/>
      <c r="U508" s="697"/>
      <c r="V508" s="697"/>
      <c r="W508" s="697"/>
      <c r="X508" s="697"/>
      <c r="Y508" s="697"/>
      <c r="Z508" s="697"/>
      <c r="AA508" s="697"/>
      <c r="AB508" s="697"/>
      <c r="AC508" s="697"/>
      <c r="AD508" s="697"/>
      <c r="AE508" s="697"/>
      <c r="AF508" s="697"/>
      <c r="AG508" s="697"/>
      <c r="AH508" s="697"/>
      <c r="AI508" s="697"/>
      <c r="AJ508" s="697"/>
      <c r="AK508" s="697"/>
      <c r="AL508" s="697"/>
      <c r="AM508" s="697"/>
      <c r="AN508" s="697"/>
      <c r="AO508" s="697"/>
      <c r="AP508" s="697"/>
      <c r="AQ508" s="697"/>
      <c r="AR508" s="697"/>
      <c r="AS508" s="697"/>
      <c r="AT508" s="697"/>
      <c r="AU508" s="697"/>
      <c r="AV508" s="697"/>
      <c r="AW508" s="697"/>
      <c r="AX508" s="697"/>
      <c r="AY508" s="697"/>
      <c r="AZ508" s="697"/>
      <c r="BA508" s="697"/>
      <c r="BB508" s="697"/>
      <c r="BC508" s="697"/>
      <c r="BD508" s="697"/>
      <c r="BE508" s="697"/>
      <c r="BF508" s="697"/>
      <c r="BG508" s="697"/>
      <c r="BH508" s="697"/>
      <c r="BI508" s="697"/>
      <c r="BJ508" s="697"/>
      <c r="BK508" s="697"/>
      <c r="BL508" s="697"/>
      <c r="BM508" s="697"/>
      <c r="BN508" s="697"/>
      <c r="BO508" s="697"/>
      <c r="BP508" s="697"/>
      <c r="BQ508" s="697"/>
      <c r="BR508" s="697"/>
      <c r="BS508" s="697"/>
      <c r="BT508" s="697"/>
      <c r="BU508" s="697"/>
      <c r="BV508" s="697"/>
      <c r="BW508" s="697"/>
      <c r="BX508" s="697"/>
      <c r="BY508" s="697"/>
      <c r="BZ508" s="697"/>
      <c r="CA508" s="697"/>
      <c r="CB508" s="697"/>
      <c r="CC508" s="697"/>
      <c r="CD508" s="697"/>
      <c r="CE508" s="697"/>
      <c r="CF508" s="697"/>
      <c r="CG508" s="697"/>
      <c r="CH508" s="697"/>
      <c r="CI508" s="697"/>
      <c r="CJ508" s="697"/>
      <c r="CK508" s="697"/>
      <c r="CL508" s="697"/>
      <c r="CM508" s="697"/>
      <c r="CN508" s="697"/>
      <c r="CO508" s="697"/>
      <c r="CP508" s="697"/>
      <c r="CQ508" s="697"/>
      <c r="CR508" s="697"/>
      <c r="CS508" s="697"/>
      <c r="CT508" s="697"/>
      <c r="CU508" s="697"/>
      <c r="CV508" s="697"/>
      <c r="CW508" s="697"/>
      <c r="CX508" s="697"/>
      <c r="CY508" s="697"/>
      <c r="CZ508" s="697"/>
      <c r="DA508" s="697"/>
    </row>
    <row r="509" spans="1:105" hidden="1" outlineLevel="1" x14ac:dyDescent="0.2">
      <c r="A509" s="709">
        <f t="shared" si="89"/>
        <v>40026</v>
      </c>
      <c r="B509" s="709" t="str">
        <f t="shared" si="86"/>
        <v>3Q09</v>
      </c>
      <c r="C509" s="709" t="str">
        <f t="shared" si="90"/>
        <v>4Q09</v>
      </c>
      <c r="D509" s="710">
        <f t="shared" si="94"/>
        <v>40116</v>
      </c>
      <c r="E509" s="710">
        <f t="shared" si="94"/>
        <v>40056</v>
      </c>
      <c r="F509" s="712">
        <v>2.6739999999999999</v>
      </c>
      <c r="G509" s="713">
        <f t="shared" si="87"/>
        <v>0.31000000000000011</v>
      </c>
      <c r="H509" s="713">
        <f t="shared" si="88"/>
        <v>0.3000000000000001</v>
      </c>
      <c r="I509" s="697"/>
      <c r="J509" s="697"/>
      <c r="K509" s="697"/>
      <c r="L509" s="697"/>
      <c r="M509" s="697"/>
      <c r="N509" s="697"/>
      <c r="O509" s="697"/>
      <c r="P509" s="697"/>
      <c r="Q509" s="697"/>
      <c r="R509" s="697"/>
      <c r="S509" s="697"/>
      <c r="T509" s="697"/>
      <c r="U509" s="697"/>
      <c r="V509" s="697"/>
      <c r="W509" s="697"/>
      <c r="X509" s="697"/>
      <c r="Y509" s="697"/>
      <c r="Z509" s="697"/>
      <c r="AA509" s="697"/>
      <c r="AB509" s="697"/>
      <c r="AC509" s="697"/>
      <c r="AD509" s="697"/>
      <c r="AE509" s="697"/>
      <c r="AF509" s="697"/>
      <c r="AG509" s="697"/>
      <c r="AH509" s="697"/>
      <c r="AI509" s="697"/>
      <c r="AJ509" s="697"/>
      <c r="AK509" s="697"/>
      <c r="AL509" s="697"/>
      <c r="AM509" s="697"/>
      <c r="AN509" s="697"/>
      <c r="AO509" s="697"/>
      <c r="AP509" s="697"/>
      <c r="AQ509" s="697"/>
      <c r="AR509" s="697"/>
      <c r="AS509" s="697"/>
      <c r="AT509" s="697"/>
      <c r="AU509" s="697"/>
      <c r="AV509" s="697"/>
      <c r="AW509" s="697"/>
      <c r="AX509" s="697"/>
      <c r="AY509" s="697"/>
      <c r="AZ509" s="697"/>
      <c r="BA509" s="697"/>
      <c r="BB509" s="697"/>
      <c r="BC509" s="697"/>
      <c r="BD509" s="697"/>
      <c r="BE509" s="697"/>
      <c r="BF509" s="697"/>
      <c r="BG509" s="697"/>
      <c r="BH509" s="697"/>
      <c r="BI509" s="697"/>
      <c r="BJ509" s="697"/>
      <c r="BK509" s="697"/>
      <c r="BL509" s="697"/>
      <c r="BM509" s="697"/>
      <c r="BN509" s="697"/>
      <c r="BO509" s="697"/>
      <c r="BP509" s="697"/>
      <c r="BQ509" s="697"/>
      <c r="BR509" s="697"/>
      <c r="BS509" s="697"/>
      <c r="BT509" s="697"/>
      <c r="BU509" s="697"/>
      <c r="BV509" s="697"/>
      <c r="BW509" s="697"/>
      <c r="BX509" s="697"/>
      <c r="BY509" s="697"/>
      <c r="BZ509" s="697"/>
      <c r="CA509" s="697"/>
      <c r="CB509" s="697"/>
      <c r="CC509" s="697"/>
      <c r="CD509" s="697"/>
      <c r="CE509" s="697"/>
      <c r="CF509" s="697"/>
      <c r="CG509" s="697"/>
      <c r="CH509" s="697"/>
      <c r="CI509" s="697"/>
      <c r="CJ509" s="697"/>
      <c r="CK509" s="697"/>
      <c r="CL509" s="697"/>
      <c r="CM509" s="697"/>
      <c r="CN509" s="697"/>
      <c r="CO509" s="697"/>
      <c r="CP509" s="697"/>
      <c r="CQ509" s="697"/>
      <c r="CR509" s="697"/>
      <c r="CS509" s="697"/>
      <c r="CT509" s="697"/>
      <c r="CU509" s="697"/>
      <c r="CV509" s="697"/>
      <c r="CW509" s="697"/>
      <c r="CX509" s="697"/>
      <c r="CY509" s="697"/>
      <c r="CZ509" s="697"/>
      <c r="DA509" s="697"/>
    </row>
    <row r="510" spans="1:105" hidden="1" outlineLevel="1" x14ac:dyDescent="0.2">
      <c r="A510" s="709">
        <f t="shared" si="89"/>
        <v>40057</v>
      </c>
      <c r="B510" s="709" t="str">
        <f t="shared" si="86"/>
        <v>3Q09</v>
      </c>
      <c r="C510" s="709" t="str">
        <f t="shared" si="90"/>
        <v>4Q09</v>
      </c>
      <c r="D510" s="710">
        <f t="shared" si="94"/>
        <v>40123</v>
      </c>
      <c r="E510" s="710">
        <f t="shared" si="94"/>
        <v>40063</v>
      </c>
      <c r="F510" s="712">
        <v>2.6469999999999998</v>
      </c>
      <c r="G510" s="713">
        <f t="shared" si="87"/>
        <v>0.3000000000000001</v>
      </c>
      <c r="H510" s="713">
        <f t="shared" si="88"/>
        <v>0.3000000000000001</v>
      </c>
      <c r="I510" s="697"/>
      <c r="J510" s="697"/>
      <c r="K510" s="697"/>
      <c r="L510" s="697"/>
      <c r="M510" s="697"/>
      <c r="N510" s="697"/>
      <c r="O510" s="697"/>
      <c r="P510" s="697"/>
      <c r="Q510" s="697"/>
      <c r="R510" s="697"/>
      <c r="S510" s="697"/>
      <c r="T510" s="697"/>
      <c r="U510" s="697"/>
      <c r="V510" s="697"/>
      <c r="W510" s="697"/>
      <c r="X510" s="697"/>
      <c r="Y510" s="697"/>
      <c r="Z510" s="697"/>
      <c r="AA510" s="697"/>
      <c r="AB510" s="697"/>
      <c r="AC510" s="697"/>
      <c r="AD510" s="697"/>
      <c r="AE510" s="697"/>
      <c r="AF510" s="697"/>
      <c r="AG510" s="697"/>
      <c r="AH510" s="697"/>
      <c r="AI510" s="697"/>
      <c r="AJ510" s="697"/>
      <c r="AK510" s="697"/>
      <c r="AL510" s="697"/>
      <c r="AM510" s="697"/>
      <c r="AN510" s="697"/>
      <c r="AO510" s="697"/>
      <c r="AP510" s="697"/>
      <c r="AQ510" s="697"/>
      <c r="AR510" s="697"/>
      <c r="AS510" s="697"/>
      <c r="AT510" s="697"/>
      <c r="AU510" s="697"/>
      <c r="AV510" s="697"/>
      <c r="AW510" s="697"/>
      <c r="AX510" s="697"/>
      <c r="AY510" s="697"/>
      <c r="AZ510" s="697"/>
      <c r="BA510" s="697"/>
      <c r="BB510" s="697"/>
      <c r="BC510" s="697"/>
      <c r="BD510" s="697"/>
      <c r="BE510" s="697"/>
      <c r="BF510" s="697"/>
      <c r="BG510" s="697"/>
      <c r="BH510" s="697"/>
      <c r="BI510" s="697"/>
      <c r="BJ510" s="697"/>
      <c r="BK510" s="697"/>
      <c r="BL510" s="697"/>
      <c r="BM510" s="697"/>
      <c r="BN510" s="697"/>
      <c r="BO510" s="697"/>
      <c r="BP510" s="697"/>
      <c r="BQ510" s="697"/>
      <c r="BR510" s="697"/>
      <c r="BS510" s="697"/>
      <c r="BT510" s="697"/>
      <c r="BU510" s="697"/>
      <c r="BV510" s="697"/>
      <c r="BW510" s="697"/>
      <c r="BX510" s="697"/>
      <c r="BY510" s="697"/>
      <c r="BZ510" s="697"/>
      <c r="CA510" s="697"/>
      <c r="CB510" s="697"/>
      <c r="CC510" s="697"/>
      <c r="CD510" s="697"/>
      <c r="CE510" s="697"/>
      <c r="CF510" s="697"/>
      <c r="CG510" s="697"/>
      <c r="CH510" s="697"/>
      <c r="CI510" s="697"/>
      <c r="CJ510" s="697"/>
      <c r="CK510" s="697"/>
      <c r="CL510" s="697"/>
      <c r="CM510" s="697"/>
      <c r="CN510" s="697"/>
      <c r="CO510" s="697"/>
      <c r="CP510" s="697"/>
      <c r="CQ510" s="697"/>
      <c r="CR510" s="697"/>
      <c r="CS510" s="697"/>
      <c r="CT510" s="697"/>
      <c r="CU510" s="697"/>
      <c r="CV510" s="697"/>
      <c r="CW510" s="697"/>
      <c r="CX510" s="697"/>
      <c r="CY510" s="697"/>
      <c r="CZ510" s="697"/>
      <c r="DA510" s="697"/>
    </row>
    <row r="511" spans="1:105" hidden="1" outlineLevel="1" x14ac:dyDescent="0.2">
      <c r="A511" s="709">
        <f t="shared" si="89"/>
        <v>40057</v>
      </c>
      <c r="B511" s="709" t="str">
        <f t="shared" si="86"/>
        <v>3Q09</v>
      </c>
      <c r="C511" s="709" t="str">
        <f t="shared" si="90"/>
        <v>4Q09</v>
      </c>
      <c r="D511" s="710">
        <f t="shared" si="94"/>
        <v>40130</v>
      </c>
      <c r="E511" s="710">
        <f t="shared" si="94"/>
        <v>40070</v>
      </c>
      <c r="F511" s="712">
        <v>2.6339999999999999</v>
      </c>
      <c r="G511" s="713">
        <f t="shared" si="87"/>
        <v>0.3000000000000001</v>
      </c>
      <c r="H511" s="713">
        <f t="shared" si="88"/>
        <v>0.3000000000000001</v>
      </c>
      <c r="I511" s="697"/>
      <c r="J511" s="697"/>
      <c r="K511" s="697"/>
      <c r="L511" s="697"/>
      <c r="M511" s="697"/>
      <c r="N511" s="697"/>
      <c r="O511" s="697"/>
      <c r="P511" s="697"/>
      <c r="Q511" s="697"/>
      <c r="R511" s="697"/>
      <c r="S511" s="697"/>
      <c r="T511" s="697"/>
      <c r="U511" s="697"/>
      <c r="V511" s="697"/>
      <c r="W511" s="697"/>
      <c r="X511" s="697"/>
      <c r="Y511" s="697"/>
      <c r="Z511" s="697"/>
      <c r="AA511" s="697"/>
      <c r="AB511" s="697"/>
      <c r="AC511" s="697"/>
      <c r="AD511" s="697"/>
      <c r="AE511" s="697"/>
      <c r="AF511" s="697"/>
      <c r="AG511" s="697"/>
      <c r="AH511" s="697"/>
      <c r="AI511" s="697"/>
      <c r="AJ511" s="697"/>
      <c r="AK511" s="697"/>
      <c r="AL511" s="697"/>
      <c r="AM511" s="697"/>
      <c r="AN511" s="697"/>
      <c r="AO511" s="697"/>
      <c r="AP511" s="697"/>
      <c r="AQ511" s="697"/>
      <c r="AR511" s="697"/>
      <c r="AS511" s="697"/>
      <c r="AT511" s="697"/>
      <c r="AU511" s="697"/>
      <c r="AV511" s="697"/>
      <c r="AW511" s="697"/>
      <c r="AX511" s="697"/>
      <c r="AY511" s="697"/>
      <c r="AZ511" s="697"/>
      <c r="BA511" s="697"/>
      <c r="BB511" s="697"/>
      <c r="BC511" s="697"/>
      <c r="BD511" s="697"/>
      <c r="BE511" s="697"/>
      <c r="BF511" s="697"/>
      <c r="BG511" s="697"/>
      <c r="BH511" s="697"/>
      <c r="BI511" s="697"/>
      <c r="BJ511" s="697"/>
      <c r="BK511" s="697"/>
      <c r="BL511" s="697"/>
      <c r="BM511" s="697"/>
      <c r="BN511" s="697"/>
      <c r="BO511" s="697"/>
      <c r="BP511" s="697"/>
      <c r="BQ511" s="697"/>
      <c r="BR511" s="697"/>
      <c r="BS511" s="697"/>
      <c r="BT511" s="697"/>
      <c r="BU511" s="697"/>
      <c r="BV511" s="697"/>
      <c r="BW511" s="697"/>
      <c r="BX511" s="697"/>
      <c r="BY511" s="697"/>
      <c r="BZ511" s="697"/>
      <c r="CA511" s="697"/>
      <c r="CB511" s="697"/>
      <c r="CC511" s="697"/>
      <c r="CD511" s="697"/>
      <c r="CE511" s="697"/>
      <c r="CF511" s="697"/>
      <c r="CG511" s="697"/>
      <c r="CH511" s="697"/>
      <c r="CI511" s="697"/>
      <c r="CJ511" s="697"/>
      <c r="CK511" s="697"/>
      <c r="CL511" s="697"/>
      <c r="CM511" s="697"/>
      <c r="CN511" s="697"/>
      <c r="CO511" s="697"/>
      <c r="CP511" s="697"/>
      <c r="CQ511" s="697"/>
      <c r="CR511" s="697"/>
      <c r="CS511" s="697"/>
      <c r="CT511" s="697"/>
      <c r="CU511" s="697"/>
      <c r="CV511" s="697"/>
      <c r="CW511" s="697"/>
      <c r="CX511" s="697"/>
      <c r="CY511" s="697"/>
      <c r="CZ511" s="697"/>
      <c r="DA511" s="697"/>
    </row>
    <row r="512" spans="1:105" hidden="1" outlineLevel="1" x14ac:dyDescent="0.2">
      <c r="A512" s="709">
        <f t="shared" si="89"/>
        <v>40057</v>
      </c>
      <c r="B512" s="709" t="str">
        <f t="shared" si="86"/>
        <v>3Q09</v>
      </c>
      <c r="C512" s="709" t="str">
        <f t="shared" si="90"/>
        <v>4Q09</v>
      </c>
      <c r="D512" s="710">
        <f t="shared" si="94"/>
        <v>40137</v>
      </c>
      <c r="E512" s="710">
        <f t="shared" si="94"/>
        <v>40077</v>
      </c>
      <c r="F512" s="712">
        <v>2.6219999999999999</v>
      </c>
      <c r="G512" s="713">
        <f t="shared" si="87"/>
        <v>0.3000000000000001</v>
      </c>
      <c r="H512" s="713">
        <f t="shared" si="88"/>
        <v>0.3000000000000001</v>
      </c>
      <c r="I512" s="697"/>
      <c r="J512" s="697"/>
      <c r="K512" s="697"/>
      <c r="L512" s="697"/>
      <c r="M512" s="697"/>
      <c r="N512" s="697"/>
      <c r="O512" s="697"/>
      <c r="P512" s="697"/>
      <c r="Q512" s="697"/>
      <c r="R512" s="697"/>
      <c r="S512" s="697"/>
      <c r="T512" s="697"/>
      <c r="U512" s="697"/>
      <c r="V512" s="697"/>
      <c r="W512" s="697"/>
      <c r="X512" s="697"/>
      <c r="Y512" s="697"/>
      <c r="Z512" s="697"/>
      <c r="AA512" s="697"/>
      <c r="AB512" s="697"/>
      <c r="AC512" s="697"/>
      <c r="AD512" s="697"/>
      <c r="AE512" s="697"/>
      <c r="AF512" s="697"/>
      <c r="AG512" s="697"/>
      <c r="AH512" s="697"/>
      <c r="AI512" s="697"/>
      <c r="AJ512" s="697"/>
      <c r="AK512" s="697"/>
      <c r="AL512" s="697"/>
      <c r="AM512" s="697"/>
      <c r="AN512" s="697"/>
      <c r="AO512" s="697"/>
      <c r="AP512" s="697"/>
      <c r="AQ512" s="697"/>
      <c r="AR512" s="697"/>
      <c r="AS512" s="697"/>
      <c r="AT512" s="697"/>
      <c r="AU512" s="697"/>
      <c r="AV512" s="697"/>
      <c r="AW512" s="697"/>
      <c r="AX512" s="697"/>
      <c r="AY512" s="697"/>
      <c r="AZ512" s="697"/>
      <c r="BA512" s="697"/>
      <c r="BB512" s="697"/>
      <c r="BC512" s="697"/>
      <c r="BD512" s="697"/>
      <c r="BE512" s="697"/>
      <c r="BF512" s="697"/>
      <c r="BG512" s="697"/>
      <c r="BH512" s="697"/>
      <c r="BI512" s="697"/>
      <c r="BJ512" s="697"/>
      <c r="BK512" s="697"/>
      <c r="BL512" s="697"/>
      <c r="BM512" s="697"/>
      <c r="BN512" s="697"/>
      <c r="BO512" s="697"/>
      <c r="BP512" s="697"/>
      <c r="BQ512" s="697"/>
      <c r="BR512" s="697"/>
      <c r="BS512" s="697"/>
      <c r="BT512" s="697"/>
      <c r="BU512" s="697"/>
      <c r="BV512" s="697"/>
      <c r="BW512" s="697"/>
      <c r="BX512" s="697"/>
      <c r="BY512" s="697"/>
      <c r="BZ512" s="697"/>
      <c r="CA512" s="697"/>
      <c r="CB512" s="697"/>
      <c r="CC512" s="697"/>
      <c r="CD512" s="697"/>
      <c r="CE512" s="697"/>
      <c r="CF512" s="697"/>
      <c r="CG512" s="697"/>
      <c r="CH512" s="697"/>
      <c r="CI512" s="697"/>
      <c r="CJ512" s="697"/>
      <c r="CK512" s="697"/>
      <c r="CL512" s="697"/>
      <c r="CM512" s="697"/>
      <c r="CN512" s="697"/>
      <c r="CO512" s="697"/>
      <c r="CP512" s="697"/>
      <c r="CQ512" s="697"/>
      <c r="CR512" s="697"/>
      <c r="CS512" s="697"/>
      <c r="CT512" s="697"/>
      <c r="CU512" s="697"/>
      <c r="CV512" s="697"/>
      <c r="CW512" s="697"/>
      <c r="CX512" s="697"/>
      <c r="CY512" s="697"/>
      <c r="CZ512" s="697"/>
      <c r="DA512" s="697"/>
    </row>
    <row r="513" spans="1:105" hidden="1" outlineLevel="1" x14ac:dyDescent="0.2">
      <c r="A513" s="709">
        <f t="shared" si="89"/>
        <v>40057</v>
      </c>
      <c r="B513" s="709" t="str">
        <f t="shared" si="86"/>
        <v>3Q09</v>
      </c>
      <c r="C513" s="709" t="str">
        <f t="shared" si="90"/>
        <v>4Q09</v>
      </c>
      <c r="D513" s="710">
        <f t="shared" si="94"/>
        <v>40144</v>
      </c>
      <c r="E513" s="710">
        <f t="shared" si="94"/>
        <v>40084</v>
      </c>
      <c r="F513" s="712">
        <v>2.601</v>
      </c>
      <c r="G513" s="713">
        <f t="shared" si="87"/>
        <v>0.3000000000000001</v>
      </c>
      <c r="H513" s="713">
        <f t="shared" si="88"/>
        <v>0.29000000000000009</v>
      </c>
      <c r="I513" s="697"/>
      <c r="J513" s="697"/>
      <c r="K513" s="697"/>
      <c r="L513" s="697"/>
      <c r="M513" s="697"/>
      <c r="N513" s="697"/>
      <c r="O513" s="697"/>
      <c r="P513" s="697"/>
      <c r="Q513" s="697"/>
      <c r="R513" s="697"/>
      <c r="S513" s="697"/>
      <c r="T513" s="697"/>
      <c r="U513" s="697"/>
      <c r="V513" s="697"/>
      <c r="W513" s="697"/>
      <c r="X513" s="697"/>
      <c r="Y513" s="697"/>
      <c r="Z513" s="697"/>
      <c r="AA513" s="697"/>
      <c r="AB513" s="697"/>
      <c r="AC513" s="697"/>
      <c r="AD513" s="697"/>
      <c r="AE513" s="697"/>
      <c r="AF513" s="697"/>
      <c r="AG513" s="697"/>
      <c r="AH513" s="697"/>
      <c r="AI513" s="697"/>
      <c r="AJ513" s="697"/>
      <c r="AK513" s="697"/>
      <c r="AL513" s="697"/>
      <c r="AM513" s="697"/>
      <c r="AN513" s="697"/>
      <c r="AO513" s="697"/>
      <c r="AP513" s="697"/>
      <c r="AQ513" s="697"/>
      <c r="AR513" s="697"/>
      <c r="AS513" s="697"/>
      <c r="AT513" s="697"/>
      <c r="AU513" s="697"/>
      <c r="AV513" s="697"/>
      <c r="AW513" s="697"/>
      <c r="AX513" s="697"/>
      <c r="AY513" s="697"/>
      <c r="AZ513" s="697"/>
      <c r="BA513" s="697"/>
      <c r="BB513" s="697"/>
      <c r="BC513" s="697"/>
      <c r="BD513" s="697"/>
      <c r="BE513" s="697"/>
      <c r="BF513" s="697"/>
      <c r="BG513" s="697"/>
      <c r="BH513" s="697"/>
      <c r="BI513" s="697"/>
      <c r="BJ513" s="697"/>
      <c r="BK513" s="697"/>
      <c r="BL513" s="697"/>
      <c r="BM513" s="697"/>
      <c r="BN513" s="697"/>
      <c r="BO513" s="697"/>
      <c r="BP513" s="697"/>
      <c r="BQ513" s="697"/>
      <c r="BR513" s="697"/>
      <c r="BS513" s="697"/>
      <c r="BT513" s="697"/>
      <c r="BU513" s="697"/>
      <c r="BV513" s="697"/>
      <c r="BW513" s="697"/>
      <c r="BX513" s="697"/>
      <c r="BY513" s="697"/>
      <c r="BZ513" s="697"/>
      <c r="CA513" s="697"/>
      <c r="CB513" s="697"/>
      <c r="CC513" s="697"/>
      <c r="CD513" s="697"/>
      <c r="CE513" s="697"/>
      <c r="CF513" s="697"/>
      <c r="CG513" s="697"/>
      <c r="CH513" s="697"/>
      <c r="CI513" s="697"/>
      <c r="CJ513" s="697"/>
      <c r="CK513" s="697"/>
      <c r="CL513" s="697"/>
      <c r="CM513" s="697"/>
      <c r="CN513" s="697"/>
      <c r="CO513" s="697"/>
      <c r="CP513" s="697"/>
      <c r="CQ513" s="697"/>
      <c r="CR513" s="697"/>
      <c r="CS513" s="697"/>
      <c r="CT513" s="697"/>
      <c r="CU513" s="697"/>
      <c r="CV513" s="697"/>
      <c r="CW513" s="697"/>
      <c r="CX513" s="697"/>
      <c r="CY513" s="697"/>
      <c r="CZ513" s="697"/>
      <c r="DA513" s="697"/>
    </row>
    <row r="514" spans="1:105" hidden="1" outlineLevel="1" x14ac:dyDescent="0.2">
      <c r="A514" s="709">
        <f t="shared" si="89"/>
        <v>40087</v>
      </c>
      <c r="B514" s="709" t="str">
        <f t="shared" si="86"/>
        <v>4Q09</v>
      </c>
      <c r="C514" s="709" t="str">
        <f t="shared" si="90"/>
        <v>4Q09</v>
      </c>
      <c r="D514" s="710">
        <f t="shared" si="94"/>
        <v>40151</v>
      </c>
      <c r="E514" s="710">
        <f t="shared" si="94"/>
        <v>40091</v>
      </c>
      <c r="F514" s="712">
        <v>2.5819999999999999</v>
      </c>
      <c r="G514" s="713">
        <f t="shared" si="87"/>
        <v>0.29000000000000009</v>
      </c>
      <c r="H514" s="713">
        <f t="shared" si="88"/>
        <v>0.3000000000000001</v>
      </c>
      <c r="I514" s="697"/>
      <c r="J514" s="697"/>
      <c r="K514" s="697"/>
      <c r="L514" s="697"/>
      <c r="M514" s="697"/>
      <c r="N514" s="697"/>
      <c r="O514" s="697"/>
      <c r="P514" s="697"/>
      <c r="Q514" s="697"/>
      <c r="R514" s="697"/>
      <c r="S514" s="697"/>
      <c r="T514" s="697"/>
      <c r="U514" s="697"/>
      <c r="V514" s="697"/>
      <c r="W514" s="697"/>
      <c r="X514" s="697"/>
      <c r="Y514" s="697"/>
      <c r="Z514" s="697"/>
      <c r="AA514" s="697"/>
      <c r="AB514" s="697"/>
      <c r="AC514" s="697"/>
      <c r="AD514" s="697"/>
      <c r="AE514" s="697"/>
      <c r="AF514" s="697"/>
      <c r="AG514" s="697"/>
      <c r="AH514" s="697"/>
      <c r="AI514" s="697"/>
      <c r="AJ514" s="697"/>
      <c r="AK514" s="697"/>
      <c r="AL514" s="697"/>
      <c r="AM514" s="697"/>
      <c r="AN514" s="697"/>
      <c r="AO514" s="697"/>
      <c r="AP514" s="697"/>
      <c r="AQ514" s="697"/>
      <c r="AR514" s="697"/>
      <c r="AS514" s="697"/>
      <c r="AT514" s="697"/>
      <c r="AU514" s="697"/>
      <c r="AV514" s="697"/>
      <c r="AW514" s="697"/>
      <c r="AX514" s="697"/>
      <c r="AY514" s="697"/>
      <c r="AZ514" s="697"/>
      <c r="BA514" s="697"/>
      <c r="BB514" s="697"/>
      <c r="BC514" s="697"/>
      <c r="BD514" s="697"/>
      <c r="BE514" s="697"/>
      <c r="BF514" s="697"/>
      <c r="BG514" s="697"/>
      <c r="BH514" s="697"/>
      <c r="BI514" s="697"/>
      <c r="BJ514" s="697"/>
      <c r="BK514" s="697"/>
      <c r="BL514" s="697"/>
      <c r="BM514" s="697"/>
      <c r="BN514" s="697"/>
      <c r="BO514" s="697"/>
      <c r="BP514" s="697"/>
      <c r="BQ514" s="697"/>
      <c r="BR514" s="697"/>
      <c r="BS514" s="697"/>
      <c r="BT514" s="697"/>
      <c r="BU514" s="697"/>
      <c r="BV514" s="697"/>
      <c r="BW514" s="697"/>
      <c r="BX514" s="697"/>
      <c r="BY514" s="697"/>
      <c r="BZ514" s="697"/>
      <c r="CA514" s="697"/>
      <c r="CB514" s="697"/>
      <c r="CC514" s="697"/>
      <c r="CD514" s="697"/>
      <c r="CE514" s="697"/>
      <c r="CF514" s="697"/>
      <c r="CG514" s="697"/>
      <c r="CH514" s="697"/>
      <c r="CI514" s="697"/>
      <c r="CJ514" s="697"/>
      <c r="CK514" s="697"/>
      <c r="CL514" s="697"/>
      <c r="CM514" s="697"/>
      <c r="CN514" s="697"/>
      <c r="CO514" s="697"/>
      <c r="CP514" s="697"/>
      <c r="CQ514" s="697"/>
      <c r="CR514" s="697"/>
      <c r="CS514" s="697"/>
      <c r="CT514" s="697"/>
      <c r="CU514" s="697"/>
      <c r="CV514" s="697"/>
      <c r="CW514" s="697"/>
      <c r="CX514" s="697"/>
      <c r="CY514" s="697"/>
      <c r="CZ514" s="697"/>
      <c r="DA514" s="697"/>
    </row>
    <row r="515" spans="1:105" hidden="1" outlineLevel="1" x14ac:dyDescent="0.2">
      <c r="A515" s="709">
        <f t="shared" si="89"/>
        <v>40087</v>
      </c>
      <c r="B515" s="709" t="str">
        <f t="shared" si="86"/>
        <v>4Q09</v>
      </c>
      <c r="C515" s="709" t="str">
        <f t="shared" si="90"/>
        <v>4Q09</v>
      </c>
      <c r="D515" s="710">
        <f t="shared" si="94"/>
        <v>40158</v>
      </c>
      <c r="E515" s="710">
        <f t="shared" si="94"/>
        <v>40098</v>
      </c>
      <c r="F515" s="712">
        <v>2.6</v>
      </c>
      <c r="G515" s="713">
        <f t="shared" si="87"/>
        <v>0.3000000000000001</v>
      </c>
      <c r="H515" s="713">
        <f t="shared" si="88"/>
        <v>0.32000000000000012</v>
      </c>
      <c r="I515" s="697"/>
      <c r="J515" s="697"/>
      <c r="K515" s="697"/>
      <c r="L515" s="697"/>
      <c r="M515" s="697"/>
      <c r="N515" s="697"/>
      <c r="O515" s="697"/>
      <c r="P515" s="697"/>
      <c r="Q515" s="697"/>
      <c r="R515" s="697"/>
      <c r="S515" s="697"/>
      <c r="T515" s="697"/>
      <c r="U515" s="697"/>
      <c r="V515" s="697"/>
      <c r="W515" s="697"/>
      <c r="X515" s="697"/>
      <c r="Y515" s="697"/>
      <c r="Z515" s="697"/>
      <c r="AA515" s="697"/>
      <c r="AB515" s="697"/>
      <c r="AC515" s="697"/>
      <c r="AD515" s="697"/>
      <c r="AE515" s="697"/>
      <c r="AF515" s="697"/>
      <c r="AG515" s="697"/>
      <c r="AH515" s="697"/>
      <c r="AI515" s="697"/>
      <c r="AJ515" s="697"/>
      <c r="AK515" s="697"/>
      <c r="AL515" s="697"/>
      <c r="AM515" s="697"/>
      <c r="AN515" s="697"/>
      <c r="AO515" s="697"/>
      <c r="AP515" s="697"/>
      <c r="AQ515" s="697"/>
      <c r="AR515" s="697"/>
      <c r="AS515" s="697"/>
      <c r="AT515" s="697"/>
      <c r="AU515" s="697"/>
      <c r="AV515" s="697"/>
      <c r="AW515" s="697"/>
      <c r="AX515" s="697"/>
      <c r="AY515" s="697"/>
      <c r="AZ515" s="697"/>
      <c r="BA515" s="697"/>
      <c r="BB515" s="697"/>
      <c r="BC515" s="697"/>
      <c r="BD515" s="697"/>
      <c r="BE515" s="697"/>
      <c r="BF515" s="697"/>
      <c r="BG515" s="697"/>
      <c r="BH515" s="697"/>
      <c r="BI515" s="697"/>
      <c r="BJ515" s="697"/>
      <c r="BK515" s="697"/>
      <c r="BL515" s="697"/>
      <c r="BM515" s="697"/>
      <c r="BN515" s="697"/>
      <c r="BO515" s="697"/>
      <c r="BP515" s="697"/>
      <c r="BQ515" s="697"/>
      <c r="BR515" s="697"/>
      <c r="BS515" s="697"/>
      <c r="BT515" s="697"/>
      <c r="BU515" s="697"/>
      <c r="BV515" s="697"/>
      <c r="BW515" s="697"/>
      <c r="BX515" s="697"/>
      <c r="BY515" s="697"/>
      <c r="BZ515" s="697"/>
      <c r="CA515" s="697"/>
      <c r="CB515" s="697"/>
      <c r="CC515" s="697"/>
      <c r="CD515" s="697"/>
      <c r="CE515" s="697"/>
      <c r="CF515" s="697"/>
      <c r="CG515" s="697"/>
      <c r="CH515" s="697"/>
      <c r="CI515" s="697"/>
      <c r="CJ515" s="697"/>
      <c r="CK515" s="697"/>
      <c r="CL515" s="697"/>
      <c r="CM515" s="697"/>
      <c r="CN515" s="697"/>
      <c r="CO515" s="697"/>
      <c r="CP515" s="697"/>
      <c r="CQ515" s="697"/>
      <c r="CR515" s="697"/>
      <c r="CS515" s="697"/>
      <c r="CT515" s="697"/>
      <c r="CU515" s="697"/>
      <c r="CV515" s="697"/>
      <c r="CW515" s="697"/>
      <c r="CX515" s="697"/>
      <c r="CY515" s="697"/>
      <c r="CZ515" s="697"/>
      <c r="DA515" s="697"/>
    </row>
    <row r="516" spans="1:105" hidden="1" outlineLevel="1" x14ac:dyDescent="0.2">
      <c r="A516" s="709">
        <f t="shared" si="89"/>
        <v>40087</v>
      </c>
      <c r="B516" s="709" t="str">
        <f t="shared" ref="B516:B579" si="95">VLOOKUP(MONTH(A516),$N$4:$O$16,2,FALSE) &amp; "Q" &amp; RIGHT(YEAR(A516),2)</f>
        <v>4Q09</v>
      </c>
      <c r="C516" s="709" t="str">
        <f t="shared" si="90"/>
        <v>4Q09</v>
      </c>
      <c r="D516" s="710">
        <f t="shared" si="94"/>
        <v>40165</v>
      </c>
      <c r="E516" s="710">
        <f t="shared" si="94"/>
        <v>40105</v>
      </c>
      <c r="F516" s="712">
        <v>2.7050000000000001</v>
      </c>
      <c r="G516" s="713">
        <f t="shared" ref="G516:G579" si="96">INDEX($I$4:$K$153,MATCH(F516,$I$4:$I$153,1),3)</f>
        <v>0.32000000000000012</v>
      </c>
      <c r="H516" s="713">
        <f t="shared" ref="H516:H579" si="97">G517</f>
        <v>0.34000000000000014</v>
      </c>
      <c r="I516" s="697"/>
      <c r="J516" s="697"/>
      <c r="K516" s="697"/>
      <c r="L516" s="697"/>
      <c r="M516" s="697"/>
      <c r="N516" s="697"/>
      <c r="O516" s="697"/>
      <c r="P516" s="697"/>
      <c r="Q516" s="697"/>
      <c r="R516" s="697"/>
      <c r="S516" s="697"/>
      <c r="T516" s="697"/>
      <c r="U516" s="697"/>
      <c r="V516" s="697"/>
      <c r="W516" s="697"/>
      <c r="X516" s="697"/>
      <c r="Y516" s="697"/>
      <c r="Z516" s="697"/>
      <c r="AA516" s="697"/>
      <c r="AB516" s="697"/>
      <c r="AC516" s="697"/>
      <c r="AD516" s="697"/>
      <c r="AE516" s="697"/>
      <c r="AF516" s="697"/>
      <c r="AG516" s="697"/>
      <c r="AH516" s="697"/>
      <c r="AI516" s="697"/>
      <c r="AJ516" s="697"/>
      <c r="AK516" s="697"/>
      <c r="AL516" s="697"/>
      <c r="AM516" s="697"/>
      <c r="AN516" s="697"/>
      <c r="AO516" s="697"/>
      <c r="AP516" s="697"/>
      <c r="AQ516" s="697"/>
      <c r="AR516" s="697"/>
      <c r="AS516" s="697"/>
      <c r="AT516" s="697"/>
      <c r="AU516" s="697"/>
      <c r="AV516" s="697"/>
      <c r="AW516" s="697"/>
      <c r="AX516" s="697"/>
      <c r="AY516" s="697"/>
      <c r="AZ516" s="697"/>
      <c r="BA516" s="697"/>
      <c r="BB516" s="697"/>
      <c r="BC516" s="697"/>
      <c r="BD516" s="697"/>
      <c r="BE516" s="697"/>
      <c r="BF516" s="697"/>
      <c r="BG516" s="697"/>
      <c r="BH516" s="697"/>
      <c r="BI516" s="697"/>
      <c r="BJ516" s="697"/>
      <c r="BK516" s="697"/>
      <c r="BL516" s="697"/>
      <c r="BM516" s="697"/>
      <c r="BN516" s="697"/>
      <c r="BO516" s="697"/>
      <c r="BP516" s="697"/>
      <c r="BQ516" s="697"/>
      <c r="BR516" s="697"/>
      <c r="BS516" s="697"/>
      <c r="BT516" s="697"/>
      <c r="BU516" s="697"/>
      <c r="BV516" s="697"/>
      <c r="BW516" s="697"/>
      <c r="BX516" s="697"/>
      <c r="BY516" s="697"/>
      <c r="BZ516" s="697"/>
      <c r="CA516" s="697"/>
      <c r="CB516" s="697"/>
      <c r="CC516" s="697"/>
      <c r="CD516" s="697"/>
      <c r="CE516" s="697"/>
      <c r="CF516" s="697"/>
      <c r="CG516" s="697"/>
      <c r="CH516" s="697"/>
      <c r="CI516" s="697"/>
      <c r="CJ516" s="697"/>
      <c r="CK516" s="697"/>
      <c r="CL516" s="697"/>
      <c r="CM516" s="697"/>
      <c r="CN516" s="697"/>
      <c r="CO516" s="697"/>
      <c r="CP516" s="697"/>
      <c r="CQ516" s="697"/>
      <c r="CR516" s="697"/>
      <c r="CS516" s="697"/>
      <c r="CT516" s="697"/>
      <c r="CU516" s="697"/>
      <c r="CV516" s="697"/>
      <c r="CW516" s="697"/>
      <c r="CX516" s="697"/>
      <c r="CY516" s="697"/>
      <c r="CZ516" s="697"/>
      <c r="DA516" s="697"/>
    </row>
    <row r="517" spans="1:105" hidden="1" outlineLevel="1" x14ac:dyDescent="0.2">
      <c r="A517" s="709">
        <f t="shared" ref="A517:A580" si="98">DATE(YEAR(E517),MONTH(E517),1)</f>
        <v>40087</v>
      </c>
      <c r="B517" s="709" t="str">
        <f t="shared" si="95"/>
        <v>4Q09</v>
      </c>
      <c r="C517" s="709" t="str">
        <f t="shared" ref="C517:C580" si="99">VLOOKUP(MONTH(D517),$N$4:$O$16,2,FALSE) &amp; "Q" &amp; RIGHT(YEAR(D517),2)</f>
        <v>4Q09</v>
      </c>
      <c r="D517" s="710">
        <f t="shared" ref="D517:E532" si="100">D516+7</f>
        <v>40172</v>
      </c>
      <c r="E517" s="710">
        <f t="shared" si="100"/>
        <v>40112</v>
      </c>
      <c r="F517" s="712">
        <v>2.8010000000000002</v>
      </c>
      <c r="G517" s="713">
        <f t="shared" si="96"/>
        <v>0.34000000000000014</v>
      </c>
      <c r="H517" s="713">
        <f t="shared" si="97"/>
        <v>0.34000000000000014</v>
      </c>
      <c r="I517" s="697"/>
      <c r="J517" s="697"/>
      <c r="K517" s="697"/>
      <c r="L517" s="697"/>
      <c r="M517" s="697"/>
      <c r="N517" s="697"/>
      <c r="O517" s="697"/>
      <c r="P517" s="697"/>
      <c r="Q517" s="697"/>
      <c r="R517" s="697"/>
      <c r="S517" s="697"/>
      <c r="T517" s="697"/>
      <c r="U517" s="697"/>
      <c r="V517" s="697"/>
      <c r="W517" s="697"/>
      <c r="X517" s="697"/>
      <c r="Y517" s="697"/>
      <c r="Z517" s="697"/>
      <c r="AA517" s="697"/>
      <c r="AB517" s="697"/>
      <c r="AC517" s="697"/>
      <c r="AD517" s="697"/>
      <c r="AE517" s="697"/>
      <c r="AF517" s="697"/>
      <c r="AG517" s="697"/>
      <c r="AH517" s="697"/>
      <c r="AI517" s="697"/>
      <c r="AJ517" s="697"/>
      <c r="AK517" s="697"/>
      <c r="AL517" s="697"/>
      <c r="AM517" s="697"/>
      <c r="AN517" s="697"/>
      <c r="AO517" s="697"/>
      <c r="AP517" s="697"/>
      <c r="AQ517" s="697"/>
      <c r="AR517" s="697"/>
      <c r="AS517" s="697"/>
      <c r="AT517" s="697"/>
      <c r="AU517" s="697"/>
      <c r="AV517" s="697"/>
      <c r="AW517" s="697"/>
      <c r="AX517" s="697"/>
      <c r="AY517" s="697"/>
      <c r="AZ517" s="697"/>
      <c r="BA517" s="697"/>
      <c r="BB517" s="697"/>
      <c r="BC517" s="697"/>
      <c r="BD517" s="697"/>
      <c r="BE517" s="697"/>
      <c r="BF517" s="697"/>
      <c r="BG517" s="697"/>
      <c r="BH517" s="697"/>
      <c r="BI517" s="697"/>
      <c r="BJ517" s="697"/>
      <c r="BK517" s="697"/>
      <c r="BL517" s="697"/>
      <c r="BM517" s="697"/>
      <c r="BN517" s="697"/>
      <c r="BO517" s="697"/>
      <c r="BP517" s="697"/>
      <c r="BQ517" s="697"/>
      <c r="BR517" s="697"/>
      <c r="BS517" s="697"/>
      <c r="BT517" s="697"/>
      <c r="BU517" s="697"/>
      <c r="BV517" s="697"/>
      <c r="BW517" s="697"/>
      <c r="BX517" s="697"/>
      <c r="BY517" s="697"/>
      <c r="BZ517" s="697"/>
      <c r="CA517" s="697"/>
      <c r="CB517" s="697"/>
      <c r="CC517" s="697"/>
      <c r="CD517" s="697"/>
      <c r="CE517" s="697"/>
      <c r="CF517" s="697"/>
      <c r="CG517" s="697"/>
      <c r="CH517" s="697"/>
      <c r="CI517" s="697"/>
      <c r="CJ517" s="697"/>
      <c r="CK517" s="697"/>
      <c r="CL517" s="697"/>
      <c r="CM517" s="697"/>
      <c r="CN517" s="697"/>
      <c r="CO517" s="697"/>
      <c r="CP517" s="697"/>
      <c r="CQ517" s="697"/>
      <c r="CR517" s="697"/>
      <c r="CS517" s="697"/>
      <c r="CT517" s="697"/>
      <c r="CU517" s="697"/>
      <c r="CV517" s="697"/>
      <c r="CW517" s="697"/>
      <c r="CX517" s="697"/>
      <c r="CY517" s="697"/>
      <c r="CZ517" s="697"/>
      <c r="DA517" s="697"/>
    </row>
    <row r="518" spans="1:105" hidden="1" outlineLevel="1" x14ac:dyDescent="0.2">
      <c r="A518" s="709">
        <f t="shared" si="98"/>
        <v>40118</v>
      </c>
      <c r="B518" s="709" t="str">
        <f t="shared" si="95"/>
        <v>4Q09</v>
      </c>
      <c r="C518" s="709" t="str">
        <f t="shared" si="99"/>
        <v>1Q10</v>
      </c>
      <c r="D518" s="710">
        <f t="shared" si="100"/>
        <v>40179</v>
      </c>
      <c r="E518" s="710">
        <f t="shared" si="100"/>
        <v>40119</v>
      </c>
      <c r="F518" s="712">
        <v>2.8079999999999998</v>
      </c>
      <c r="G518" s="713">
        <f t="shared" si="96"/>
        <v>0.34000000000000014</v>
      </c>
      <c r="H518" s="713">
        <f t="shared" si="97"/>
        <v>0.34000000000000014</v>
      </c>
      <c r="I518" s="697"/>
      <c r="J518" s="697"/>
      <c r="K518" s="697"/>
      <c r="L518" s="697"/>
      <c r="M518" s="697"/>
      <c r="N518" s="697"/>
      <c r="O518" s="697"/>
      <c r="P518" s="697"/>
      <c r="Q518" s="697"/>
      <c r="R518" s="697"/>
      <c r="S518" s="697"/>
      <c r="T518" s="697"/>
      <c r="U518" s="697"/>
      <c r="V518" s="697"/>
      <c r="W518" s="697"/>
      <c r="X518" s="697"/>
      <c r="Y518" s="697"/>
      <c r="Z518" s="697"/>
      <c r="AA518" s="697"/>
      <c r="AB518" s="697"/>
      <c r="AC518" s="697"/>
      <c r="AD518" s="697"/>
      <c r="AE518" s="697"/>
      <c r="AF518" s="697"/>
      <c r="AG518" s="697"/>
      <c r="AH518" s="697"/>
      <c r="AI518" s="697"/>
      <c r="AJ518" s="697"/>
      <c r="AK518" s="697"/>
      <c r="AL518" s="697"/>
      <c r="AM518" s="697"/>
      <c r="AN518" s="697"/>
      <c r="AO518" s="697"/>
      <c r="AP518" s="697"/>
      <c r="AQ518" s="697"/>
      <c r="AR518" s="697"/>
      <c r="AS518" s="697"/>
      <c r="AT518" s="697"/>
      <c r="AU518" s="697"/>
      <c r="AV518" s="697"/>
      <c r="AW518" s="697"/>
      <c r="AX518" s="697"/>
      <c r="AY518" s="697"/>
      <c r="AZ518" s="697"/>
      <c r="BA518" s="697"/>
      <c r="BB518" s="697"/>
      <c r="BC518" s="697"/>
      <c r="BD518" s="697"/>
      <c r="BE518" s="697"/>
      <c r="BF518" s="697"/>
      <c r="BG518" s="697"/>
      <c r="BH518" s="697"/>
      <c r="BI518" s="697"/>
      <c r="BJ518" s="697"/>
      <c r="BK518" s="697"/>
      <c r="BL518" s="697"/>
      <c r="BM518" s="697"/>
      <c r="BN518" s="697"/>
      <c r="BO518" s="697"/>
      <c r="BP518" s="697"/>
      <c r="BQ518" s="697"/>
      <c r="BR518" s="697"/>
      <c r="BS518" s="697"/>
      <c r="BT518" s="697"/>
      <c r="BU518" s="697"/>
      <c r="BV518" s="697"/>
      <c r="BW518" s="697"/>
      <c r="BX518" s="697"/>
      <c r="BY518" s="697"/>
      <c r="BZ518" s="697"/>
      <c r="CA518" s="697"/>
      <c r="CB518" s="697"/>
      <c r="CC518" s="697"/>
      <c r="CD518" s="697"/>
      <c r="CE518" s="697"/>
      <c r="CF518" s="697"/>
      <c r="CG518" s="697"/>
      <c r="CH518" s="697"/>
      <c r="CI518" s="697"/>
      <c r="CJ518" s="697"/>
      <c r="CK518" s="697"/>
      <c r="CL518" s="697"/>
      <c r="CM518" s="697"/>
      <c r="CN518" s="697"/>
      <c r="CO518" s="697"/>
      <c r="CP518" s="697"/>
      <c r="CQ518" s="697"/>
      <c r="CR518" s="697"/>
      <c r="CS518" s="697"/>
      <c r="CT518" s="697"/>
      <c r="CU518" s="697"/>
      <c r="CV518" s="697"/>
      <c r="CW518" s="697"/>
      <c r="CX518" s="697"/>
      <c r="CY518" s="697"/>
      <c r="CZ518" s="697"/>
      <c r="DA518" s="697"/>
    </row>
    <row r="519" spans="1:105" hidden="1" outlineLevel="1" x14ac:dyDescent="0.2">
      <c r="A519" s="709">
        <f t="shared" si="98"/>
        <v>40118</v>
      </c>
      <c r="B519" s="709" t="str">
        <f t="shared" si="95"/>
        <v>4Q09</v>
      </c>
      <c r="C519" s="709" t="str">
        <f t="shared" si="99"/>
        <v>1Q10</v>
      </c>
      <c r="D519" s="710">
        <f t="shared" si="100"/>
        <v>40186</v>
      </c>
      <c r="E519" s="710">
        <f t="shared" si="100"/>
        <v>40126</v>
      </c>
      <c r="F519" s="712">
        <v>2.8010000000000002</v>
      </c>
      <c r="G519" s="713">
        <f t="shared" si="96"/>
        <v>0.34000000000000014</v>
      </c>
      <c r="H519" s="713">
        <f t="shared" si="97"/>
        <v>0.33000000000000013</v>
      </c>
      <c r="I519" s="697"/>
      <c r="J519" s="697"/>
      <c r="K519" s="697"/>
      <c r="L519" s="697"/>
      <c r="M519" s="697"/>
      <c r="N519" s="697"/>
      <c r="O519" s="697"/>
      <c r="P519" s="697"/>
      <c r="Q519" s="697"/>
      <c r="R519" s="697"/>
      <c r="S519" s="697"/>
      <c r="T519" s="697"/>
      <c r="U519" s="697"/>
      <c r="V519" s="697"/>
      <c r="W519" s="697"/>
      <c r="X519" s="697"/>
      <c r="Y519" s="697"/>
      <c r="Z519" s="697"/>
      <c r="AA519" s="697"/>
      <c r="AB519" s="697"/>
      <c r="AC519" s="697"/>
      <c r="AD519" s="697"/>
      <c r="AE519" s="697"/>
      <c r="AF519" s="697"/>
      <c r="AG519" s="697"/>
      <c r="AH519" s="697"/>
      <c r="AI519" s="697"/>
      <c r="AJ519" s="697"/>
      <c r="AK519" s="697"/>
      <c r="AL519" s="697"/>
      <c r="AM519" s="697"/>
      <c r="AN519" s="697"/>
      <c r="AO519" s="697"/>
      <c r="AP519" s="697"/>
      <c r="AQ519" s="697"/>
      <c r="AR519" s="697"/>
      <c r="AS519" s="697"/>
      <c r="AT519" s="697"/>
      <c r="AU519" s="697"/>
      <c r="AV519" s="697"/>
      <c r="AW519" s="697"/>
      <c r="AX519" s="697"/>
      <c r="AY519" s="697"/>
      <c r="AZ519" s="697"/>
      <c r="BA519" s="697"/>
      <c r="BB519" s="697"/>
      <c r="BC519" s="697"/>
      <c r="BD519" s="697"/>
      <c r="BE519" s="697"/>
      <c r="BF519" s="697"/>
      <c r="BG519" s="697"/>
      <c r="BH519" s="697"/>
      <c r="BI519" s="697"/>
      <c r="BJ519" s="697"/>
      <c r="BK519" s="697"/>
      <c r="BL519" s="697"/>
      <c r="BM519" s="697"/>
      <c r="BN519" s="697"/>
      <c r="BO519" s="697"/>
      <c r="BP519" s="697"/>
      <c r="BQ519" s="697"/>
      <c r="BR519" s="697"/>
      <c r="BS519" s="697"/>
      <c r="BT519" s="697"/>
      <c r="BU519" s="697"/>
      <c r="BV519" s="697"/>
      <c r="BW519" s="697"/>
      <c r="BX519" s="697"/>
      <c r="BY519" s="697"/>
      <c r="BZ519" s="697"/>
      <c r="CA519" s="697"/>
      <c r="CB519" s="697"/>
      <c r="CC519" s="697"/>
      <c r="CD519" s="697"/>
      <c r="CE519" s="697"/>
      <c r="CF519" s="697"/>
      <c r="CG519" s="697"/>
      <c r="CH519" s="697"/>
      <c r="CI519" s="697"/>
      <c r="CJ519" s="697"/>
      <c r="CK519" s="697"/>
      <c r="CL519" s="697"/>
      <c r="CM519" s="697"/>
      <c r="CN519" s="697"/>
      <c r="CO519" s="697"/>
      <c r="CP519" s="697"/>
      <c r="CQ519" s="697"/>
      <c r="CR519" s="697"/>
      <c r="CS519" s="697"/>
      <c r="CT519" s="697"/>
      <c r="CU519" s="697"/>
      <c r="CV519" s="697"/>
      <c r="CW519" s="697"/>
      <c r="CX519" s="697"/>
      <c r="CY519" s="697"/>
      <c r="CZ519" s="697"/>
      <c r="DA519" s="697"/>
    </row>
    <row r="520" spans="1:105" hidden="1" outlineLevel="1" x14ac:dyDescent="0.2">
      <c r="A520" s="709">
        <f t="shared" si="98"/>
        <v>40118</v>
      </c>
      <c r="B520" s="709" t="str">
        <f t="shared" si="95"/>
        <v>4Q09</v>
      </c>
      <c r="C520" s="709" t="str">
        <f t="shared" si="99"/>
        <v>1Q10</v>
      </c>
      <c r="D520" s="710">
        <f t="shared" si="100"/>
        <v>40193</v>
      </c>
      <c r="E520" s="710">
        <f t="shared" si="100"/>
        <v>40133</v>
      </c>
      <c r="F520" s="712">
        <v>2.79</v>
      </c>
      <c r="G520" s="713">
        <f t="shared" si="96"/>
        <v>0.33000000000000013</v>
      </c>
      <c r="H520" s="713">
        <f t="shared" si="97"/>
        <v>0.33000000000000013</v>
      </c>
      <c r="I520" s="697"/>
      <c r="J520" s="697"/>
      <c r="K520" s="697"/>
      <c r="L520" s="697"/>
      <c r="M520" s="697"/>
      <c r="N520" s="697"/>
      <c r="O520" s="697"/>
      <c r="P520" s="697"/>
      <c r="Q520" s="697"/>
      <c r="R520" s="697"/>
      <c r="S520" s="697"/>
      <c r="T520" s="697"/>
      <c r="U520" s="697"/>
      <c r="V520" s="697"/>
      <c r="W520" s="697"/>
      <c r="X520" s="697"/>
      <c r="Y520" s="697"/>
      <c r="Z520" s="697"/>
      <c r="AA520" s="697"/>
      <c r="AB520" s="697"/>
      <c r="AC520" s="697"/>
      <c r="AD520" s="697"/>
      <c r="AE520" s="697"/>
      <c r="AF520" s="697"/>
      <c r="AG520" s="697"/>
      <c r="AH520" s="697"/>
      <c r="AI520" s="697"/>
      <c r="AJ520" s="697"/>
      <c r="AK520" s="697"/>
      <c r="AL520" s="697"/>
      <c r="AM520" s="697"/>
      <c r="AN520" s="697"/>
      <c r="AO520" s="697"/>
      <c r="AP520" s="697"/>
      <c r="AQ520" s="697"/>
      <c r="AR520" s="697"/>
      <c r="AS520" s="697"/>
      <c r="AT520" s="697"/>
      <c r="AU520" s="697"/>
      <c r="AV520" s="697"/>
      <c r="AW520" s="697"/>
      <c r="AX520" s="697"/>
      <c r="AY520" s="697"/>
      <c r="AZ520" s="697"/>
      <c r="BA520" s="697"/>
      <c r="BB520" s="697"/>
      <c r="BC520" s="697"/>
      <c r="BD520" s="697"/>
      <c r="BE520" s="697"/>
      <c r="BF520" s="697"/>
      <c r="BG520" s="697"/>
      <c r="BH520" s="697"/>
      <c r="BI520" s="697"/>
      <c r="BJ520" s="697"/>
      <c r="BK520" s="697"/>
      <c r="BL520" s="697"/>
      <c r="BM520" s="697"/>
      <c r="BN520" s="697"/>
      <c r="BO520" s="697"/>
      <c r="BP520" s="697"/>
      <c r="BQ520" s="697"/>
      <c r="BR520" s="697"/>
      <c r="BS520" s="697"/>
      <c r="BT520" s="697"/>
      <c r="BU520" s="697"/>
      <c r="BV520" s="697"/>
      <c r="BW520" s="697"/>
      <c r="BX520" s="697"/>
      <c r="BY520" s="697"/>
      <c r="BZ520" s="697"/>
      <c r="CA520" s="697"/>
      <c r="CB520" s="697"/>
      <c r="CC520" s="697"/>
      <c r="CD520" s="697"/>
      <c r="CE520" s="697"/>
      <c r="CF520" s="697"/>
      <c r="CG520" s="697"/>
      <c r="CH520" s="697"/>
      <c r="CI520" s="697"/>
      <c r="CJ520" s="697"/>
      <c r="CK520" s="697"/>
      <c r="CL520" s="697"/>
      <c r="CM520" s="697"/>
      <c r="CN520" s="697"/>
      <c r="CO520" s="697"/>
      <c r="CP520" s="697"/>
      <c r="CQ520" s="697"/>
      <c r="CR520" s="697"/>
      <c r="CS520" s="697"/>
      <c r="CT520" s="697"/>
      <c r="CU520" s="697"/>
      <c r="CV520" s="697"/>
      <c r="CW520" s="697"/>
      <c r="CX520" s="697"/>
      <c r="CY520" s="697"/>
      <c r="CZ520" s="697"/>
      <c r="DA520" s="697"/>
    </row>
    <row r="521" spans="1:105" hidden="1" outlineLevel="1" x14ac:dyDescent="0.2">
      <c r="A521" s="709">
        <f t="shared" si="98"/>
        <v>40118</v>
      </c>
      <c r="B521" s="709" t="str">
        <f t="shared" si="95"/>
        <v>4Q09</v>
      </c>
      <c r="C521" s="709" t="str">
        <f t="shared" si="99"/>
        <v>1Q10</v>
      </c>
      <c r="D521" s="710">
        <f t="shared" si="100"/>
        <v>40200</v>
      </c>
      <c r="E521" s="710">
        <f t="shared" si="100"/>
        <v>40140</v>
      </c>
      <c r="F521" s="712">
        <v>2.7869999999999999</v>
      </c>
      <c r="G521" s="713">
        <f t="shared" si="96"/>
        <v>0.33000000000000013</v>
      </c>
      <c r="H521" s="713">
        <f t="shared" si="97"/>
        <v>0.33000000000000013</v>
      </c>
      <c r="I521" s="697"/>
      <c r="J521" s="697"/>
      <c r="K521" s="697"/>
      <c r="L521" s="697"/>
      <c r="M521" s="697"/>
      <c r="N521" s="697"/>
      <c r="O521" s="697"/>
      <c r="P521" s="697"/>
      <c r="Q521" s="697"/>
      <c r="R521" s="697"/>
      <c r="S521" s="697"/>
      <c r="T521" s="697"/>
      <c r="U521" s="697"/>
      <c r="V521" s="697"/>
      <c r="W521" s="697"/>
      <c r="X521" s="697"/>
      <c r="Y521" s="697"/>
      <c r="Z521" s="697"/>
      <c r="AA521" s="697"/>
      <c r="AB521" s="697"/>
      <c r="AC521" s="697"/>
      <c r="AD521" s="697"/>
      <c r="AE521" s="697"/>
      <c r="AF521" s="697"/>
      <c r="AG521" s="697"/>
      <c r="AH521" s="697"/>
      <c r="AI521" s="697"/>
      <c r="AJ521" s="697"/>
      <c r="AK521" s="697"/>
      <c r="AL521" s="697"/>
      <c r="AM521" s="697"/>
      <c r="AN521" s="697"/>
      <c r="AO521" s="697"/>
      <c r="AP521" s="697"/>
      <c r="AQ521" s="697"/>
      <c r="AR521" s="697"/>
      <c r="AS521" s="697"/>
      <c r="AT521" s="697"/>
      <c r="AU521" s="697"/>
      <c r="AV521" s="697"/>
      <c r="AW521" s="697"/>
      <c r="AX521" s="697"/>
      <c r="AY521" s="697"/>
      <c r="AZ521" s="697"/>
      <c r="BA521" s="697"/>
      <c r="BB521" s="697"/>
      <c r="BC521" s="697"/>
      <c r="BD521" s="697"/>
      <c r="BE521" s="697"/>
      <c r="BF521" s="697"/>
      <c r="BG521" s="697"/>
      <c r="BH521" s="697"/>
      <c r="BI521" s="697"/>
      <c r="BJ521" s="697"/>
      <c r="BK521" s="697"/>
      <c r="BL521" s="697"/>
      <c r="BM521" s="697"/>
      <c r="BN521" s="697"/>
      <c r="BO521" s="697"/>
      <c r="BP521" s="697"/>
      <c r="BQ521" s="697"/>
      <c r="BR521" s="697"/>
      <c r="BS521" s="697"/>
      <c r="BT521" s="697"/>
      <c r="BU521" s="697"/>
      <c r="BV521" s="697"/>
      <c r="BW521" s="697"/>
      <c r="BX521" s="697"/>
      <c r="BY521" s="697"/>
      <c r="BZ521" s="697"/>
      <c r="CA521" s="697"/>
      <c r="CB521" s="697"/>
      <c r="CC521" s="697"/>
      <c r="CD521" s="697"/>
      <c r="CE521" s="697"/>
      <c r="CF521" s="697"/>
      <c r="CG521" s="697"/>
      <c r="CH521" s="697"/>
      <c r="CI521" s="697"/>
      <c r="CJ521" s="697"/>
      <c r="CK521" s="697"/>
      <c r="CL521" s="697"/>
      <c r="CM521" s="697"/>
      <c r="CN521" s="697"/>
      <c r="CO521" s="697"/>
      <c r="CP521" s="697"/>
      <c r="CQ521" s="697"/>
      <c r="CR521" s="697"/>
      <c r="CS521" s="697"/>
      <c r="CT521" s="697"/>
      <c r="CU521" s="697"/>
      <c r="CV521" s="697"/>
      <c r="CW521" s="697"/>
      <c r="CX521" s="697"/>
      <c r="CY521" s="697"/>
      <c r="CZ521" s="697"/>
      <c r="DA521" s="697"/>
    </row>
    <row r="522" spans="1:105" hidden="1" outlineLevel="1" x14ac:dyDescent="0.2">
      <c r="A522" s="709">
        <f t="shared" si="98"/>
        <v>40118</v>
      </c>
      <c r="B522" s="709" t="str">
        <f t="shared" si="95"/>
        <v>4Q09</v>
      </c>
      <c r="C522" s="709" t="str">
        <f t="shared" si="99"/>
        <v>1Q10</v>
      </c>
      <c r="D522" s="710">
        <f t="shared" si="100"/>
        <v>40207</v>
      </c>
      <c r="E522" s="710">
        <f t="shared" si="100"/>
        <v>40147</v>
      </c>
      <c r="F522" s="712">
        <v>2.7749999999999999</v>
      </c>
      <c r="G522" s="713">
        <f t="shared" si="96"/>
        <v>0.33000000000000013</v>
      </c>
      <c r="H522" s="713">
        <f t="shared" si="97"/>
        <v>0.33000000000000013</v>
      </c>
      <c r="I522" s="697"/>
      <c r="J522" s="697"/>
      <c r="K522" s="697"/>
      <c r="L522" s="697"/>
      <c r="M522" s="697"/>
      <c r="N522" s="697"/>
      <c r="O522" s="697"/>
      <c r="P522" s="697"/>
      <c r="Q522" s="697"/>
      <c r="R522" s="697"/>
      <c r="S522" s="697"/>
      <c r="T522" s="697"/>
      <c r="U522" s="697"/>
      <c r="V522" s="697"/>
      <c r="W522" s="697"/>
      <c r="X522" s="697"/>
      <c r="Y522" s="697"/>
      <c r="Z522" s="697"/>
      <c r="AA522" s="697"/>
      <c r="AB522" s="697"/>
      <c r="AC522" s="697"/>
      <c r="AD522" s="697"/>
      <c r="AE522" s="697"/>
      <c r="AF522" s="697"/>
      <c r="AG522" s="697"/>
      <c r="AH522" s="697"/>
      <c r="AI522" s="697"/>
      <c r="AJ522" s="697"/>
      <c r="AK522" s="697"/>
      <c r="AL522" s="697"/>
      <c r="AM522" s="697"/>
      <c r="AN522" s="697"/>
      <c r="AO522" s="697"/>
      <c r="AP522" s="697"/>
      <c r="AQ522" s="697"/>
      <c r="AR522" s="697"/>
      <c r="AS522" s="697"/>
      <c r="AT522" s="697"/>
      <c r="AU522" s="697"/>
      <c r="AV522" s="697"/>
      <c r="AW522" s="697"/>
      <c r="AX522" s="697"/>
      <c r="AY522" s="697"/>
      <c r="AZ522" s="697"/>
      <c r="BA522" s="697"/>
      <c r="BB522" s="697"/>
      <c r="BC522" s="697"/>
      <c r="BD522" s="697"/>
      <c r="BE522" s="697"/>
      <c r="BF522" s="697"/>
      <c r="BG522" s="697"/>
      <c r="BH522" s="697"/>
      <c r="BI522" s="697"/>
      <c r="BJ522" s="697"/>
      <c r="BK522" s="697"/>
      <c r="BL522" s="697"/>
      <c r="BM522" s="697"/>
      <c r="BN522" s="697"/>
      <c r="BO522" s="697"/>
      <c r="BP522" s="697"/>
      <c r="BQ522" s="697"/>
      <c r="BR522" s="697"/>
      <c r="BS522" s="697"/>
      <c r="BT522" s="697"/>
      <c r="BU522" s="697"/>
      <c r="BV522" s="697"/>
      <c r="BW522" s="697"/>
      <c r="BX522" s="697"/>
      <c r="BY522" s="697"/>
      <c r="BZ522" s="697"/>
      <c r="CA522" s="697"/>
      <c r="CB522" s="697"/>
      <c r="CC522" s="697"/>
      <c r="CD522" s="697"/>
      <c r="CE522" s="697"/>
      <c r="CF522" s="697"/>
      <c r="CG522" s="697"/>
      <c r="CH522" s="697"/>
      <c r="CI522" s="697"/>
      <c r="CJ522" s="697"/>
      <c r="CK522" s="697"/>
      <c r="CL522" s="697"/>
      <c r="CM522" s="697"/>
      <c r="CN522" s="697"/>
      <c r="CO522" s="697"/>
      <c r="CP522" s="697"/>
      <c r="CQ522" s="697"/>
      <c r="CR522" s="697"/>
      <c r="CS522" s="697"/>
      <c r="CT522" s="697"/>
      <c r="CU522" s="697"/>
      <c r="CV522" s="697"/>
      <c r="CW522" s="697"/>
      <c r="CX522" s="697"/>
      <c r="CY522" s="697"/>
      <c r="CZ522" s="697"/>
      <c r="DA522" s="697"/>
    </row>
    <row r="523" spans="1:105" hidden="1" outlineLevel="1" x14ac:dyDescent="0.2">
      <c r="A523" s="709">
        <f t="shared" si="98"/>
        <v>40148</v>
      </c>
      <c r="B523" s="709" t="str">
        <f t="shared" si="95"/>
        <v>4Q09</v>
      </c>
      <c r="C523" s="709" t="str">
        <f t="shared" si="99"/>
        <v>1Q10</v>
      </c>
      <c r="D523" s="710">
        <f t="shared" si="100"/>
        <v>40214</v>
      </c>
      <c r="E523" s="710">
        <f t="shared" si="100"/>
        <v>40154</v>
      </c>
      <c r="F523" s="712">
        <v>2.7719999999999998</v>
      </c>
      <c r="G523" s="713">
        <f t="shared" si="96"/>
        <v>0.33000000000000013</v>
      </c>
      <c r="H523" s="713">
        <f t="shared" si="97"/>
        <v>0.32000000000000012</v>
      </c>
      <c r="I523" s="697"/>
      <c r="J523" s="697"/>
      <c r="K523" s="697"/>
      <c r="L523" s="697"/>
      <c r="M523" s="697"/>
      <c r="N523" s="697"/>
      <c r="O523" s="697"/>
      <c r="P523" s="697"/>
      <c r="Q523" s="697"/>
      <c r="R523" s="697"/>
      <c r="S523" s="697"/>
      <c r="T523" s="697"/>
      <c r="U523" s="697"/>
      <c r="V523" s="697"/>
      <c r="W523" s="697"/>
      <c r="X523" s="697"/>
      <c r="Y523" s="697"/>
      <c r="Z523" s="697"/>
      <c r="AA523" s="697"/>
      <c r="AB523" s="697"/>
      <c r="AC523" s="697"/>
      <c r="AD523" s="697"/>
      <c r="AE523" s="697"/>
      <c r="AF523" s="697"/>
      <c r="AG523" s="697"/>
      <c r="AH523" s="697"/>
      <c r="AI523" s="697"/>
      <c r="AJ523" s="697"/>
      <c r="AK523" s="697"/>
      <c r="AL523" s="697"/>
      <c r="AM523" s="697"/>
      <c r="AN523" s="697"/>
      <c r="AO523" s="697"/>
      <c r="AP523" s="697"/>
      <c r="AQ523" s="697"/>
      <c r="AR523" s="697"/>
      <c r="AS523" s="697"/>
      <c r="AT523" s="697"/>
      <c r="AU523" s="697"/>
      <c r="AV523" s="697"/>
      <c r="AW523" s="697"/>
      <c r="AX523" s="697"/>
      <c r="AY523" s="697"/>
      <c r="AZ523" s="697"/>
      <c r="BA523" s="697"/>
      <c r="BB523" s="697"/>
      <c r="BC523" s="697"/>
      <c r="BD523" s="697"/>
      <c r="BE523" s="697"/>
      <c r="BF523" s="697"/>
      <c r="BG523" s="697"/>
      <c r="BH523" s="697"/>
      <c r="BI523" s="697"/>
      <c r="BJ523" s="697"/>
      <c r="BK523" s="697"/>
      <c r="BL523" s="697"/>
      <c r="BM523" s="697"/>
      <c r="BN523" s="697"/>
      <c r="BO523" s="697"/>
      <c r="BP523" s="697"/>
      <c r="BQ523" s="697"/>
      <c r="BR523" s="697"/>
      <c r="BS523" s="697"/>
      <c r="BT523" s="697"/>
      <c r="BU523" s="697"/>
      <c r="BV523" s="697"/>
      <c r="BW523" s="697"/>
      <c r="BX523" s="697"/>
      <c r="BY523" s="697"/>
      <c r="BZ523" s="697"/>
      <c r="CA523" s="697"/>
      <c r="CB523" s="697"/>
      <c r="CC523" s="697"/>
      <c r="CD523" s="697"/>
      <c r="CE523" s="697"/>
      <c r="CF523" s="697"/>
      <c r="CG523" s="697"/>
      <c r="CH523" s="697"/>
      <c r="CI523" s="697"/>
      <c r="CJ523" s="697"/>
      <c r="CK523" s="697"/>
      <c r="CL523" s="697"/>
      <c r="CM523" s="697"/>
      <c r="CN523" s="697"/>
      <c r="CO523" s="697"/>
      <c r="CP523" s="697"/>
      <c r="CQ523" s="697"/>
      <c r="CR523" s="697"/>
      <c r="CS523" s="697"/>
      <c r="CT523" s="697"/>
      <c r="CU523" s="697"/>
      <c r="CV523" s="697"/>
      <c r="CW523" s="697"/>
      <c r="CX523" s="697"/>
      <c r="CY523" s="697"/>
      <c r="CZ523" s="697"/>
      <c r="DA523" s="697"/>
    </row>
    <row r="524" spans="1:105" hidden="1" outlineLevel="1" x14ac:dyDescent="0.2">
      <c r="A524" s="709">
        <f t="shared" si="98"/>
        <v>40148</v>
      </c>
      <c r="B524" s="709" t="str">
        <f t="shared" si="95"/>
        <v>4Q09</v>
      </c>
      <c r="C524" s="709" t="str">
        <f t="shared" si="99"/>
        <v>1Q10</v>
      </c>
      <c r="D524" s="710">
        <f t="shared" si="100"/>
        <v>40221</v>
      </c>
      <c r="E524" s="710">
        <f t="shared" si="100"/>
        <v>40161</v>
      </c>
      <c r="F524" s="712">
        <v>2.7480000000000002</v>
      </c>
      <c r="G524" s="713">
        <f t="shared" si="96"/>
        <v>0.32000000000000012</v>
      </c>
      <c r="H524" s="713">
        <f t="shared" si="97"/>
        <v>0.32000000000000012</v>
      </c>
      <c r="I524" s="697"/>
      <c r="J524" s="697"/>
      <c r="K524" s="697"/>
      <c r="L524" s="697"/>
      <c r="M524" s="697"/>
      <c r="N524" s="697"/>
      <c r="O524" s="697"/>
      <c r="P524" s="697"/>
      <c r="Q524" s="697"/>
      <c r="R524" s="697"/>
      <c r="S524" s="697"/>
      <c r="T524" s="697"/>
      <c r="U524" s="697"/>
      <c r="V524" s="697"/>
      <c r="W524" s="697"/>
      <c r="X524" s="697"/>
      <c r="Y524" s="697"/>
      <c r="Z524" s="697"/>
      <c r="AA524" s="697"/>
      <c r="AB524" s="697"/>
      <c r="AC524" s="697"/>
      <c r="AD524" s="697"/>
      <c r="AE524" s="697"/>
      <c r="AF524" s="697"/>
      <c r="AG524" s="697"/>
      <c r="AH524" s="697"/>
      <c r="AI524" s="697"/>
      <c r="AJ524" s="697"/>
      <c r="AK524" s="697"/>
      <c r="AL524" s="697"/>
      <c r="AM524" s="697"/>
      <c r="AN524" s="697"/>
      <c r="AO524" s="697"/>
      <c r="AP524" s="697"/>
      <c r="AQ524" s="697"/>
      <c r="AR524" s="697"/>
      <c r="AS524" s="697"/>
      <c r="AT524" s="697"/>
      <c r="AU524" s="697"/>
      <c r="AV524" s="697"/>
      <c r="AW524" s="697"/>
      <c r="AX524" s="697"/>
      <c r="AY524" s="697"/>
      <c r="AZ524" s="697"/>
      <c r="BA524" s="697"/>
      <c r="BB524" s="697"/>
      <c r="BC524" s="697"/>
      <c r="BD524" s="697"/>
      <c r="BE524" s="697"/>
      <c r="BF524" s="697"/>
      <c r="BG524" s="697"/>
      <c r="BH524" s="697"/>
      <c r="BI524" s="697"/>
      <c r="BJ524" s="697"/>
      <c r="BK524" s="697"/>
      <c r="BL524" s="697"/>
      <c r="BM524" s="697"/>
      <c r="BN524" s="697"/>
      <c r="BO524" s="697"/>
      <c r="BP524" s="697"/>
      <c r="BQ524" s="697"/>
      <c r="BR524" s="697"/>
      <c r="BS524" s="697"/>
      <c r="BT524" s="697"/>
      <c r="BU524" s="697"/>
      <c r="BV524" s="697"/>
      <c r="BW524" s="697"/>
      <c r="BX524" s="697"/>
      <c r="BY524" s="697"/>
      <c r="BZ524" s="697"/>
      <c r="CA524" s="697"/>
      <c r="CB524" s="697"/>
      <c r="CC524" s="697"/>
      <c r="CD524" s="697"/>
      <c r="CE524" s="697"/>
      <c r="CF524" s="697"/>
      <c r="CG524" s="697"/>
      <c r="CH524" s="697"/>
      <c r="CI524" s="697"/>
      <c r="CJ524" s="697"/>
      <c r="CK524" s="697"/>
      <c r="CL524" s="697"/>
      <c r="CM524" s="697"/>
      <c r="CN524" s="697"/>
      <c r="CO524" s="697"/>
      <c r="CP524" s="697"/>
      <c r="CQ524" s="697"/>
      <c r="CR524" s="697"/>
      <c r="CS524" s="697"/>
      <c r="CT524" s="697"/>
      <c r="CU524" s="697"/>
      <c r="CV524" s="697"/>
      <c r="CW524" s="697"/>
      <c r="CX524" s="697"/>
      <c r="CY524" s="697"/>
      <c r="CZ524" s="697"/>
      <c r="DA524" s="697"/>
    </row>
    <row r="525" spans="1:105" hidden="1" outlineLevel="1" x14ac:dyDescent="0.2">
      <c r="A525" s="709">
        <f t="shared" si="98"/>
        <v>40148</v>
      </c>
      <c r="B525" s="709" t="str">
        <f t="shared" si="95"/>
        <v>4Q09</v>
      </c>
      <c r="C525" s="709" t="str">
        <f t="shared" si="99"/>
        <v>1Q10</v>
      </c>
      <c r="D525" s="710">
        <f t="shared" si="100"/>
        <v>40228</v>
      </c>
      <c r="E525" s="710">
        <f t="shared" si="100"/>
        <v>40168</v>
      </c>
      <c r="F525" s="712">
        <v>2.726</v>
      </c>
      <c r="G525" s="713">
        <f t="shared" si="96"/>
        <v>0.32000000000000012</v>
      </c>
      <c r="H525" s="713">
        <f t="shared" si="97"/>
        <v>0.32000000000000012</v>
      </c>
      <c r="I525" s="697"/>
      <c r="J525" s="697"/>
      <c r="K525" s="697"/>
      <c r="L525" s="697"/>
      <c r="M525" s="697"/>
      <c r="N525" s="697"/>
      <c r="O525" s="697"/>
      <c r="P525" s="697"/>
      <c r="Q525" s="697"/>
      <c r="R525" s="697"/>
      <c r="S525" s="697"/>
      <c r="T525" s="697"/>
      <c r="U525" s="697"/>
      <c r="V525" s="697"/>
      <c r="W525" s="697"/>
      <c r="X525" s="697"/>
      <c r="Y525" s="697"/>
      <c r="Z525" s="697"/>
      <c r="AA525" s="697"/>
      <c r="AB525" s="697"/>
      <c r="AC525" s="697"/>
      <c r="AD525" s="697"/>
      <c r="AE525" s="697"/>
      <c r="AF525" s="697"/>
      <c r="AG525" s="697"/>
      <c r="AH525" s="697"/>
      <c r="AI525" s="697"/>
      <c r="AJ525" s="697"/>
      <c r="AK525" s="697"/>
      <c r="AL525" s="697"/>
      <c r="AM525" s="697"/>
      <c r="AN525" s="697"/>
      <c r="AO525" s="697"/>
      <c r="AP525" s="697"/>
      <c r="AQ525" s="697"/>
      <c r="AR525" s="697"/>
      <c r="AS525" s="697"/>
      <c r="AT525" s="697"/>
      <c r="AU525" s="697"/>
      <c r="AV525" s="697"/>
      <c r="AW525" s="697"/>
      <c r="AX525" s="697"/>
      <c r="AY525" s="697"/>
      <c r="AZ525" s="697"/>
      <c r="BA525" s="697"/>
      <c r="BB525" s="697"/>
      <c r="BC525" s="697"/>
      <c r="BD525" s="697"/>
      <c r="BE525" s="697"/>
      <c r="BF525" s="697"/>
      <c r="BG525" s="697"/>
      <c r="BH525" s="697"/>
      <c r="BI525" s="697"/>
      <c r="BJ525" s="697"/>
      <c r="BK525" s="697"/>
      <c r="BL525" s="697"/>
      <c r="BM525" s="697"/>
      <c r="BN525" s="697"/>
      <c r="BO525" s="697"/>
      <c r="BP525" s="697"/>
      <c r="BQ525" s="697"/>
      <c r="BR525" s="697"/>
      <c r="BS525" s="697"/>
      <c r="BT525" s="697"/>
      <c r="BU525" s="697"/>
      <c r="BV525" s="697"/>
      <c r="BW525" s="697"/>
      <c r="BX525" s="697"/>
      <c r="BY525" s="697"/>
      <c r="BZ525" s="697"/>
      <c r="CA525" s="697"/>
      <c r="CB525" s="697"/>
      <c r="CC525" s="697"/>
      <c r="CD525" s="697"/>
      <c r="CE525" s="697"/>
      <c r="CF525" s="697"/>
      <c r="CG525" s="697"/>
      <c r="CH525" s="697"/>
      <c r="CI525" s="697"/>
      <c r="CJ525" s="697"/>
      <c r="CK525" s="697"/>
      <c r="CL525" s="697"/>
      <c r="CM525" s="697"/>
      <c r="CN525" s="697"/>
      <c r="CO525" s="697"/>
      <c r="CP525" s="697"/>
      <c r="CQ525" s="697"/>
      <c r="CR525" s="697"/>
      <c r="CS525" s="697"/>
      <c r="CT525" s="697"/>
      <c r="CU525" s="697"/>
      <c r="CV525" s="697"/>
      <c r="CW525" s="697"/>
      <c r="CX525" s="697"/>
      <c r="CY525" s="697"/>
      <c r="CZ525" s="697"/>
      <c r="DA525" s="697"/>
    </row>
    <row r="526" spans="1:105" hidden="1" outlineLevel="1" x14ac:dyDescent="0.2">
      <c r="A526" s="709">
        <f t="shared" si="98"/>
        <v>40148</v>
      </c>
      <c r="B526" s="709" t="str">
        <f t="shared" si="95"/>
        <v>4Q09</v>
      </c>
      <c r="C526" s="709" t="str">
        <f t="shared" si="99"/>
        <v>1Q10</v>
      </c>
      <c r="D526" s="710">
        <f t="shared" si="100"/>
        <v>40235</v>
      </c>
      <c r="E526" s="710">
        <f t="shared" si="100"/>
        <v>40175</v>
      </c>
      <c r="F526" s="712">
        <v>2.7320000000000002</v>
      </c>
      <c r="G526" s="713">
        <f t="shared" si="96"/>
        <v>0.32000000000000012</v>
      </c>
      <c r="H526" s="713">
        <f t="shared" si="97"/>
        <v>0.33000000000000013</v>
      </c>
      <c r="I526" s="697"/>
      <c r="J526" s="697"/>
      <c r="K526" s="697"/>
      <c r="L526" s="697"/>
      <c r="M526" s="697"/>
      <c r="N526" s="697"/>
      <c r="O526" s="697"/>
      <c r="P526" s="697"/>
      <c r="Q526" s="697"/>
      <c r="R526" s="697"/>
      <c r="S526" s="697"/>
      <c r="T526" s="697"/>
      <c r="U526" s="697"/>
      <c r="V526" s="697"/>
      <c r="W526" s="697"/>
      <c r="X526" s="697"/>
      <c r="Y526" s="697"/>
      <c r="Z526" s="697"/>
      <c r="AA526" s="697"/>
      <c r="AB526" s="697"/>
      <c r="AC526" s="697"/>
      <c r="AD526" s="697"/>
      <c r="AE526" s="697"/>
      <c r="AF526" s="697"/>
      <c r="AG526" s="697"/>
      <c r="AH526" s="697"/>
      <c r="AI526" s="697"/>
      <c r="AJ526" s="697"/>
      <c r="AK526" s="697"/>
      <c r="AL526" s="697"/>
      <c r="AM526" s="697"/>
      <c r="AN526" s="697"/>
      <c r="AO526" s="697"/>
      <c r="AP526" s="697"/>
      <c r="AQ526" s="697"/>
      <c r="AR526" s="697"/>
      <c r="AS526" s="697"/>
      <c r="AT526" s="697"/>
      <c r="AU526" s="697"/>
      <c r="AV526" s="697"/>
      <c r="AW526" s="697"/>
      <c r="AX526" s="697"/>
      <c r="AY526" s="697"/>
      <c r="AZ526" s="697"/>
      <c r="BA526" s="697"/>
      <c r="BB526" s="697"/>
      <c r="BC526" s="697"/>
      <c r="BD526" s="697"/>
      <c r="BE526" s="697"/>
      <c r="BF526" s="697"/>
      <c r="BG526" s="697"/>
      <c r="BH526" s="697"/>
      <c r="BI526" s="697"/>
      <c r="BJ526" s="697"/>
      <c r="BK526" s="697"/>
      <c r="BL526" s="697"/>
      <c r="BM526" s="697"/>
      <c r="BN526" s="697"/>
      <c r="BO526" s="697"/>
      <c r="BP526" s="697"/>
      <c r="BQ526" s="697"/>
      <c r="BR526" s="697"/>
      <c r="BS526" s="697"/>
      <c r="BT526" s="697"/>
      <c r="BU526" s="697"/>
      <c r="BV526" s="697"/>
      <c r="BW526" s="697"/>
      <c r="BX526" s="697"/>
      <c r="BY526" s="697"/>
      <c r="BZ526" s="697"/>
      <c r="CA526" s="697"/>
      <c r="CB526" s="697"/>
      <c r="CC526" s="697"/>
      <c r="CD526" s="697"/>
      <c r="CE526" s="697"/>
      <c r="CF526" s="697"/>
      <c r="CG526" s="697"/>
      <c r="CH526" s="697"/>
      <c r="CI526" s="697"/>
      <c r="CJ526" s="697"/>
      <c r="CK526" s="697"/>
      <c r="CL526" s="697"/>
      <c r="CM526" s="697"/>
      <c r="CN526" s="697"/>
      <c r="CO526" s="697"/>
      <c r="CP526" s="697"/>
      <c r="CQ526" s="697"/>
      <c r="CR526" s="697"/>
      <c r="CS526" s="697"/>
      <c r="CT526" s="697"/>
      <c r="CU526" s="697"/>
      <c r="CV526" s="697"/>
      <c r="CW526" s="697"/>
      <c r="CX526" s="697"/>
      <c r="CY526" s="697"/>
      <c r="CZ526" s="697"/>
      <c r="DA526" s="697"/>
    </row>
    <row r="527" spans="1:105" hidden="1" outlineLevel="1" x14ac:dyDescent="0.2">
      <c r="A527" s="709">
        <f t="shared" si="98"/>
        <v>40179</v>
      </c>
      <c r="B527" s="709" t="str">
        <f t="shared" si="95"/>
        <v>1Q10</v>
      </c>
      <c r="C527" s="709" t="str">
        <f t="shared" si="99"/>
        <v>1Q10</v>
      </c>
      <c r="D527" s="710">
        <f t="shared" si="100"/>
        <v>40242</v>
      </c>
      <c r="E527" s="710">
        <f t="shared" si="100"/>
        <v>40182</v>
      </c>
      <c r="F527" s="712">
        <v>2.7970000000000002</v>
      </c>
      <c r="G527" s="713">
        <f t="shared" si="96"/>
        <v>0.33000000000000013</v>
      </c>
      <c r="H527" s="713">
        <f t="shared" si="97"/>
        <v>0.35000000000000014</v>
      </c>
      <c r="I527" s="697"/>
      <c r="J527" s="697"/>
      <c r="K527" s="697"/>
      <c r="L527" s="697"/>
      <c r="M527" s="697"/>
      <c r="N527" s="697"/>
      <c r="O527" s="697"/>
      <c r="P527" s="697"/>
      <c r="Q527" s="697"/>
      <c r="R527" s="697"/>
      <c r="S527" s="697"/>
      <c r="T527" s="697"/>
      <c r="U527" s="697"/>
      <c r="V527" s="697"/>
      <c r="W527" s="697"/>
      <c r="X527" s="697"/>
      <c r="Y527" s="697"/>
      <c r="Z527" s="697"/>
      <c r="AA527" s="697"/>
      <c r="AB527" s="697"/>
      <c r="AC527" s="697"/>
      <c r="AD527" s="697"/>
      <c r="AE527" s="697"/>
      <c r="AF527" s="697"/>
      <c r="AG527" s="697"/>
      <c r="AH527" s="697"/>
      <c r="AI527" s="697"/>
      <c r="AJ527" s="697"/>
      <c r="AK527" s="697"/>
      <c r="AL527" s="697"/>
      <c r="AM527" s="697"/>
      <c r="AN527" s="697"/>
      <c r="AO527" s="697"/>
      <c r="AP527" s="697"/>
      <c r="AQ527" s="697"/>
      <c r="AR527" s="697"/>
      <c r="AS527" s="697"/>
      <c r="AT527" s="697"/>
      <c r="AU527" s="697"/>
      <c r="AV527" s="697"/>
      <c r="AW527" s="697"/>
      <c r="AX527" s="697"/>
      <c r="AY527" s="697"/>
      <c r="AZ527" s="697"/>
      <c r="BA527" s="697"/>
      <c r="BB527" s="697"/>
      <c r="BC527" s="697"/>
      <c r="BD527" s="697"/>
      <c r="BE527" s="697"/>
      <c r="BF527" s="697"/>
      <c r="BG527" s="697"/>
      <c r="BH527" s="697"/>
      <c r="BI527" s="697"/>
      <c r="BJ527" s="697"/>
      <c r="BK527" s="697"/>
      <c r="BL527" s="697"/>
      <c r="BM527" s="697"/>
      <c r="BN527" s="697"/>
      <c r="BO527" s="697"/>
      <c r="BP527" s="697"/>
      <c r="BQ527" s="697"/>
      <c r="BR527" s="697"/>
      <c r="BS527" s="697"/>
      <c r="BT527" s="697"/>
      <c r="BU527" s="697"/>
      <c r="BV527" s="697"/>
      <c r="BW527" s="697"/>
      <c r="BX527" s="697"/>
      <c r="BY527" s="697"/>
      <c r="BZ527" s="697"/>
      <c r="CA527" s="697"/>
      <c r="CB527" s="697"/>
      <c r="CC527" s="697"/>
      <c r="CD527" s="697"/>
      <c r="CE527" s="697"/>
      <c r="CF527" s="697"/>
      <c r="CG527" s="697"/>
      <c r="CH527" s="697"/>
      <c r="CI527" s="697"/>
      <c r="CJ527" s="697"/>
      <c r="CK527" s="697"/>
      <c r="CL527" s="697"/>
      <c r="CM527" s="697"/>
      <c r="CN527" s="697"/>
      <c r="CO527" s="697"/>
      <c r="CP527" s="697"/>
      <c r="CQ527" s="697"/>
      <c r="CR527" s="697"/>
      <c r="CS527" s="697"/>
      <c r="CT527" s="697"/>
      <c r="CU527" s="697"/>
      <c r="CV527" s="697"/>
      <c r="CW527" s="697"/>
      <c r="CX527" s="697"/>
      <c r="CY527" s="697"/>
      <c r="CZ527" s="697"/>
      <c r="DA527" s="697"/>
    </row>
    <row r="528" spans="1:105" hidden="1" outlineLevel="1" x14ac:dyDescent="0.2">
      <c r="A528" s="709">
        <f t="shared" si="98"/>
        <v>40179</v>
      </c>
      <c r="B528" s="709" t="str">
        <f t="shared" si="95"/>
        <v>1Q10</v>
      </c>
      <c r="C528" s="709" t="str">
        <f t="shared" si="99"/>
        <v>1Q10</v>
      </c>
      <c r="D528" s="710">
        <f t="shared" si="100"/>
        <v>40249</v>
      </c>
      <c r="E528" s="710">
        <f t="shared" si="100"/>
        <v>40189</v>
      </c>
      <c r="F528" s="712">
        <v>2.879</v>
      </c>
      <c r="G528" s="713">
        <f t="shared" si="96"/>
        <v>0.35000000000000014</v>
      </c>
      <c r="H528" s="713">
        <f t="shared" si="97"/>
        <v>0.35000000000000014</v>
      </c>
      <c r="I528" s="697"/>
      <c r="J528" s="697"/>
      <c r="K528" s="697"/>
      <c r="L528" s="697"/>
      <c r="M528" s="697"/>
      <c r="N528" s="697"/>
      <c r="O528" s="697"/>
      <c r="P528" s="697"/>
      <c r="Q528" s="697"/>
      <c r="R528" s="697"/>
      <c r="S528" s="697"/>
      <c r="T528" s="697"/>
      <c r="U528" s="697"/>
      <c r="V528" s="697"/>
      <c r="W528" s="697"/>
      <c r="X528" s="697"/>
      <c r="Y528" s="697"/>
      <c r="Z528" s="697"/>
      <c r="AA528" s="697"/>
      <c r="AB528" s="697"/>
      <c r="AC528" s="697"/>
      <c r="AD528" s="697"/>
      <c r="AE528" s="697"/>
      <c r="AF528" s="697"/>
      <c r="AG528" s="697"/>
      <c r="AH528" s="697"/>
      <c r="AI528" s="697"/>
      <c r="AJ528" s="697"/>
      <c r="AK528" s="697"/>
      <c r="AL528" s="697"/>
      <c r="AM528" s="697"/>
      <c r="AN528" s="697"/>
      <c r="AO528" s="697"/>
      <c r="AP528" s="697"/>
      <c r="AQ528" s="697"/>
      <c r="AR528" s="697"/>
      <c r="AS528" s="697"/>
      <c r="AT528" s="697"/>
      <c r="AU528" s="697"/>
      <c r="AV528" s="697"/>
      <c r="AW528" s="697"/>
      <c r="AX528" s="697"/>
      <c r="AY528" s="697"/>
      <c r="AZ528" s="697"/>
      <c r="BA528" s="697"/>
      <c r="BB528" s="697"/>
      <c r="BC528" s="697"/>
      <c r="BD528" s="697"/>
      <c r="BE528" s="697"/>
      <c r="BF528" s="697"/>
      <c r="BG528" s="697"/>
      <c r="BH528" s="697"/>
      <c r="BI528" s="697"/>
      <c r="BJ528" s="697"/>
      <c r="BK528" s="697"/>
      <c r="BL528" s="697"/>
      <c r="BM528" s="697"/>
      <c r="BN528" s="697"/>
      <c r="BO528" s="697"/>
      <c r="BP528" s="697"/>
      <c r="BQ528" s="697"/>
      <c r="BR528" s="697"/>
      <c r="BS528" s="697"/>
      <c r="BT528" s="697"/>
      <c r="BU528" s="697"/>
      <c r="BV528" s="697"/>
      <c r="BW528" s="697"/>
      <c r="BX528" s="697"/>
      <c r="BY528" s="697"/>
      <c r="BZ528" s="697"/>
      <c r="CA528" s="697"/>
      <c r="CB528" s="697"/>
      <c r="CC528" s="697"/>
      <c r="CD528" s="697"/>
      <c r="CE528" s="697"/>
      <c r="CF528" s="697"/>
      <c r="CG528" s="697"/>
      <c r="CH528" s="697"/>
      <c r="CI528" s="697"/>
      <c r="CJ528" s="697"/>
      <c r="CK528" s="697"/>
      <c r="CL528" s="697"/>
      <c r="CM528" s="697"/>
      <c r="CN528" s="697"/>
      <c r="CO528" s="697"/>
      <c r="CP528" s="697"/>
      <c r="CQ528" s="697"/>
      <c r="CR528" s="697"/>
      <c r="CS528" s="697"/>
      <c r="CT528" s="697"/>
      <c r="CU528" s="697"/>
      <c r="CV528" s="697"/>
      <c r="CW528" s="697"/>
      <c r="CX528" s="697"/>
      <c r="CY528" s="697"/>
      <c r="CZ528" s="697"/>
      <c r="DA528" s="697"/>
    </row>
    <row r="529" spans="1:105" hidden="1" outlineLevel="1" x14ac:dyDescent="0.2">
      <c r="A529" s="709">
        <f t="shared" si="98"/>
        <v>40179</v>
      </c>
      <c r="B529" s="709" t="str">
        <f t="shared" si="95"/>
        <v>1Q10</v>
      </c>
      <c r="C529" s="709" t="str">
        <f t="shared" si="99"/>
        <v>1Q10</v>
      </c>
      <c r="D529" s="710">
        <f t="shared" si="100"/>
        <v>40256</v>
      </c>
      <c r="E529" s="710">
        <f t="shared" si="100"/>
        <v>40196</v>
      </c>
      <c r="F529" s="712">
        <v>2.87</v>
      </c>
      <c r="G529" s="713">
        <f t="shared" si="96"/>
        <v>0.35000000000000014</v>
      </c>
      <c r="H529" s="713">
        <f t="shared" si="97"/>
        <v>0.34000000000000014</v>
      </c>
      <c r="I529" s="697"/>
      <c r="J529" s="697"/>
      <c r="K529" s="697"/>
      <c r="L529" s="697"/>
      <c r="M529" s="697"/>
      <c r="N529" s="697"/>
      <c r="O529" s="697"/>
      <c r="P529" s="697"/>
      <c r="Q529" s="697"/>
      <c r="R529" s="697"/>
      <c r="S529" s="697"/>
      <c r="T529" s="697"/>
      <c r="U529" s="697"/>
      <c r="V529" s="697"/>
      <c r="W529" s="697"/>
      <c r="X529" s="697"/>
      <c r="Y529" s="697"/>
      <c r="Z529" s="697"/>
      <c r="AA529" s="697"/>
      <c r="AB529" s="697"/>
      <c r="AC529" s="697"/>
      <c r="AD529" s="697"/>
      <c r="AE529" s="697"/>
      <c r="AF529" s="697"/>
      <c r="AG529" s="697"/>
      <c r="AH529" s="697"/>
      <c r="AI529" s="697"/>
      <c r="AJ529" s="697"/>
      <c r="AK529" s="697"/>
      <c r="AL529" s="697"/>
      <c r="AM529" s="697"/>
      <c r="AN529" s="697"/>
      <c r="AO529" s="697"/>
      <c r="AP529" s="697"/>
      <c r="AQ529" s="697"/>
      <c r="AR529" s="697"/>
      <c r="AS529" s="697"/>
      <c r="AT529" s="697"/>
      <c r="AU529" s="697"/>
      <c r="AV529" s="697"/>
      <c r="AW529" s="697"/>
      <c r="AX529" s="697"/>
      <c r="AY529" s="697"/>
      <c r="AZ529" s="697"/>
      <c r="BA529" s="697"/>
      <c r="BB529" s="697"/>
      <c r="BC529" s="697"/>
      <c r="BD529" s="697"/>
      <c r="BE529" s="697"/>
      <c r="BF529" s="697"/>
      <c r="BG529" s="697"/>
      <c r="BH529" s="697"/>
      <c r="BI529" s="697"/>
      <c r="BJ529" s="697"/>
      <c r="BK529" s="697"/>
      <c r="BL529" s="697"/>
      <c r="BM529" s="697"/>
      <c r="BN529" s="697"/>
      <c r="BO529" s="697"/>
      <c r="BP529" s="697"/>
      <c r="BQ529" s="697"/>
      <c r="BR529" s="697"/>
      <c r="BS529" s="697"/>
      <c r="BT529" s="697"/>
      <c r="BU529" s="697"/>
      <c r="BV529" s="697"/>
      <c r="BW529" s="697"/>
      <c r="BX529" s="697"/>
      <c r="BY529" s="697"/>
      <c r="BZ529" s="697"/>
      <c r="CA529" s="697"/>
      <c r="CB529" s="697"/>
      <c r="CC529" s="697"/>
      <c r="CD529" s="697"/>
      <c r="CE529" s="697"/>
      <c r="CF529" s="697"/>
      <c r="CG529" s="697"/>
      <c r="CH529" s="697"/>
      <c r="CI529" s="697"/>
      <c r="CJ529" s="697"/>
      <c r="CK529" s="697"/>
      <c r="CL529" s="697"/>
      <c r="CM529" s="697"/>
      <c r="CN529" s="697"/>
      <c r="CO529" s="697"/>
      <c r="CP529" s="697"/>
      <c r="CQ529" s="697"/>
      <c r="CR529" s="697"/>
      <c r="CS529" s="697"/>
      <c r="CT529" s="697"/>
      <c r="CU529" s="697"/>
      <c r="CV529" s="697"/>
      <c r="CW529" s="697"/>
      <c r="CX529" s="697"/>
      <c r="CY529" s="697"/>
      <c r="CZ529" s="697"/>
      <c r="DA529" s="697"/>
    </row>
    <row r="530" spans="1:105" hidden="1" outlineLevel="1" x14ac:dyDescent="0.2">
      <c r="A530" s="709">
        <f t="shared" si="98"/>
        <v>40179</v>
      </c>
      <c r="B530" s="709" t="str">
        <f t="shared" si="95"/>
        <v>1Q10</v>
      </c>
      <c r="C530" s="709" t="str">
        <f t="shared" si="99"/>
        <v>1Q10</v>
      </c>
      <c r="D530" s="710">
        <f t="shared" si="100"/>
        <v>40263</v>
      </c>
      <c r="E530" s="710">
        <f t="shared" si="100"/>
        <v>40203</v>
      </c>
      <c r="F530" s="712">
        <v>2.8330000000000002</v>
      </c>
      <c r="G530" s="713">
        <f t="shared" si="96"/>
        <v>0.34000000000000014</v>
      </c>
      <c r="H530" s="713">
        <f t="shared" si="97"/>
        <v>0.33000000000000013</v>
      </c>
      <c r="I530" s="697"/>
      <c r="J530" s="697"/>
      <c r="K530" s="697"/>
      <c r="L530" s="697"/>
      <c r="M530" s="697"/>
      <c r="N530" s="697"/>
      <c r="O530" s="697"/>
      <c r="P530" s="697"/>
      <c r="Q530" s="697"/>
      <c r="R530" s="697"/>
      <c r="S530" s="697"/>
      <c r="T530" s="697"/>
      <c r="U530" s="697"/>
      <c r="V530" s="697"/>
      <c r="W530" s="697"/>
      <c r="X530" s="697"/>
      <c r="Y530" s="697"/>
      <c r="Z530" s="697"/>
      <c r="AA530" s="697"/>
      <c r="AB530" s="697"/>
      <c r="AC530" s="697"/>
      <c r="AD530" s="697"/>
      <c r="AE530" s="697"/>
      <c r="AF530" s="697"/>
      <c r="AG530" s="697"/>
      <c r="AH530" s="697"/>
      <c r="AI530" s="697"/>
      <c r="AJ530" s="697"/>
      <c r="AK530" s="697"/>
      <c r="AL530" s="697"/>
      <c r="AM530" s="697"/>
      <c r="AN530" s="697"/>
      <c r="AO530" s="697"/>
      <c r="AP530" s="697"/>
      <c r="AQ530" s="697"/>
      <c r="AR530" s="697"/>
      <c r="AS530" s="697"/>
      <c r="AT530" s="697"/>
      <c r="AU530" s="697"/>
      <c r="AV530" s="697"/>
      <c r="AW530" s="697"/>
      <c r="AX530" s="697"/>
      <c r="AY530" s="697"/>
      <c r="AZ530" s="697"/>
      <c r="BA530" s="697"/>
      <c r="BB530" s="697"/>
      <c r="BC530" s="697"/>
      <c r="BD530" s="697"/>
      <c r="BE530" s="697"/>
      <c r="BF530" s="697"/>
      <c r="BG530" s="697"/>
      <c r="BH530" s="697"/>
      <c r="BI530" s="697"/>
      <c r="BJ530" s="697"/>
      <c r="BK530" s="697"/>
      <c r="BL530" s="697"/>
      <c r="BM530" s="697"/>
      <c r="BN530" s="697"/>
      <c r="BO530" s="697"/>
      <c r="BP530" s="697"/>
      <c r="BQ530" s="697"/>
      <c r="BR530" s="697"/>
      <c r="BS530" s="697"/>
      <c r="BT530" s="697"/>
      <c r="BU530" s="697"/>
      <c r="BV530" s="697"/>
      <c r="BW530" s="697"/>
      <c r="BX530" s="697"/>
      <c r="BY530" s="697"/>
      <c r="BZ530" s="697"/>
      <c r="CA530" s="697"/>
      <c r="CB530" s="697"/>
      <c r="CC530" s="697"/>
      <c r="CD530" s="697"/>
      <c r="CE530" s="697"/>
      <c r="CF530" s="697"/>
      <c r="CG530" s="697"/>
      <c r="CH530" s="697"/>
      <c r="CI530" s="697"/>
      <c r="CJ530" s="697"/>
      <c r="CK530" s="697"/>
      <c r="CL530" s="697"/>
      <c r="CM530" s="697"/>
      <c r="CN530" s="697"/>
      <c r="CO530" s="697"/>
      <c r="CP530" s="697"/>
      <c r="CQ530" s="697"/>
      <c r="CR530" s="697"/>
      <c r="CS530" s="697"/>
      <c r="CT530" s="697"/>
      <c r="CU530" s="697"/>
      <c r="CV530" s="697"/>
      <c r="CW530" s="697"/>
      <c r="CX530" s="697"/>
      <c r="CY530" s="697"/>
      <c r="CZ530" s="697"/>
      <c r="DA530" s="697"/>
    </row>
    <row r="531" spans="1:105" hidden="1" outlineLevel="1" x14ac:dyDescent="0.2">
      <c r="A531" s="709">
        <f t="shared" si="98"/>
        <v>40210</v>
      </c>
      <c r="B531" s="709" t="str">
        <f t="shared" si="95"/>
        <v>1Q10</v>
      </c>
      <c r="C531" s="709" t="str">
        <f t="shared" si="99"/>
        <v>2Q10</v>
      </c>
      <c r="D531" s="710">
        <f t="shared" si="100"/>
        <v>40270</v>
      </c>
      <c r="E531" s="710">
        <f t="shared" si="100"/>
        <v>40210</v>
      </c>
      <c r="F531" s="712">
        <v>2.7810000000000001</v>
      </c>
      <c r="G531" s="713">
        <f t="shared" si="96"/>
        <v>0.33000000000000013</v>
      </c>
      <c r="H531" s="713">
        <f t="shared" si="97"/>
        <v>0.33000000000000013</v>
      </c>
      <c r="I531" s="697"/>
      <c r="J531" s="697"/>
      <c r="K531" s="697"/>
      <c r="L531" s="697"/>
      <c r="M531" s="697"/>
      <c r="N531" s="697"/>
      <c r="O531" s="697"/>
      <c r="P531" s="697"/>
      <c r="Q531" s="697"/>
      <c r="R531" s="697"/>
      <c r="S531" s="697"/>
      <c r="T531" s="697"/>
      <c r="U531" s="697"/>
      <c r="V531" s="697"/>
      <c r="W531" s="697"/>
      <c r="X531" s="697"/>
      <c r="Y531" s="697"/>
      <c r="Z531" s="697"/>
      <c r="AA531" s="697"/>
      <c r="AB531" s="697"/>
      <c r="AC531" s="697"/>
      <c r="AD531" s="697"/>
      <c r="AE531" s="697"/>
      <c r="AF531" s="697"/>
      <c r="AG531" s="697"/>
      <c r="AH531" s="697"/>
      <c r="AI531" s="697"/>
      <c r="AJ531" s="697"/>
      <c r="AK531" s="697"/>
      <c r="AL531" s="697"/>
      <c r="AM531" s="697"/>
      <c r="AN531" s="697"/>
      <c r="AO531" s="697"/>
      <c r="AP531" s="697"/>
      <c r="AQ531" s="697"/>
      <c r="AR531" s="697"/>
      <c r="AS531" s="697"/>
      <c r="AT531" s="697"/>
      <c r="AU531" s="697"/>
      <c r="AV531" s="697"/>
      <c r="AW531" s="697"/>
      <c r="AX531" s="697"/>
      <c r="AY531" s="697"/>
      <c r="AZ531" s="697"/>
      <c r="BA531" s="697"/>
      <c r="BB531" s="697"/>
      <c r="BC531" s="697"/>
      <c r="BD531" s="697"/>
      <c r="BE531" s="697"/>
      <c r="BF531" s="697"/>
      <c r="BG531" s="697"/>
      <c r="BH531" s="697"/>
      <c r="BI531" s="697"/>
      <c r="BJ531" s="697"/>
      <c r="BK531" s="697"/>
      <c r="BL531" s="697"/>
      <c r="BM531" s="697"/>
      <c r="BN531" s="697"/>
      <c r="BO531" s="697"/>
      <c r="BP531" s="697"/>
      <c r="BQ531" s="697"/>
      <c r="BR531" s="697"/>
      <c r="BS531" s="697"/>
      <c r="BT531" s="697"/>
      <c r="BU531" s="697"/>
      <c r="BV531" s="697"/>
      <c r="BW531" s="697"/>
      <c r="BX531" s="697"/>
      <c r="BY531" s="697"/>
      <c r="BZ531" s="697"/>
      <c r="CA531" s="697"/>
      <c r="CB531" s="697"/>
      <c r="CC531" s="697"/>
      <c r="CD531" s="697"/>
      <c r="CE531" s="697"/>
      <c r="CF531" s="697"/>
      <c r="CG531" s="697"/>
      <c r="CH531" s="697"/>
      <c r="CI531" s="697"/>
      <c r="CJ531" s="697"/>
      <c r="CK531" s="697"/>
      <c r="CL531" s="697"/>
      <c r="CM531" s="697"/>
      <c r="CN531" s="697"/>
      <c r="CO531" s="697"/>
      <c r="CP531" s="697"/>
      <c r="CQ531" s="697"/>
      <c r="CR531" s="697"/>
      <c r="CS531" s="697"/>
      <c r="CT531" s="697"/>
      <c r="CU531" s="697"/>
      <c r="CV531" s="697"/>
      <c r="CW531" s="697"/>
      <c r="CX531" s="697"/>
      <c r="CY531" s="697"/>
      <c r="CZ531" s="697"/>
      <c r="DA531" s="697"/>
    </row>
    <row r="532" spans="1:105" hidden="1" outlineLevel="1" x14ac:dyDescent="0.2">
      <c r="A532" s="709">
        <f t="shared" si="98"/>
        <v>40210</v>
      </c>
      <c r="B532" s="709" t="str">
        <f t="shared" si="95"/>
        <v>1Q10</v>
      </c>
      <c r="C532" s="709" t="str">
        <f t="shared" si="99"/>
        <v>2Q10</v>
      </c>
      <c r="D532" s="710">
        <f t="shared" si="100"/>
        <v>40277</v>
      </c>
      <c r="E532" s="710">
        <f t="shared" si="100"/>
        <v>40217</v>
      </c>
      <c r="F532" s="712">
        <v>2.7690000000000001</v>
      </c>
      <c r="G532" s="713">
        <f t="shared" si="96"/>
        <v>0.33000000000000013</v>
      </c>
      <c r="H532" s="713">
        <f t="shared" si="97"/>
        <v>0.33000000000000013</v>
      </c>
      <c r="I532" s="697"/>
      <c r="J532" s="697"/>
      <c r="K532" s="697"/>
      <c r="L532" s="697"/>
      <c r="M532" s="697"/>
      <c r="N532" s="697"/>
      <c r="O532" s="697"/>
      <c r="P532" s="697"/>
      <c r="Q532" s="697"/>
      <c r="R532" s="697"/>
      <c r="S532" s="697"/>
      <c r="T532" s="697"/>
      <c r="U532" s="697"/>
      <c r="V532" s="697"/>
      <c r="W532" s="697"/>
      <c r="X532" s="697"/>
      <c r="Y532" s="697"/>
      <c r="Z532" s="697"/>
      <c r="AA532" s="697"/>
      <c r="AB532" s="697"/>
      <c r="AC532" s="697"/>
      <c r="AD532" s="697"/>
      <c r="AE532" s="697"/>
      <c r="AF532" s="697"/>
      <c r="AG532" s="697"/>
      <c r="AH532" s="697"/>
      <c r="AI532" s="697"/>
      <c r="AJ532" s="697"/>
      <c r="AK532" s="697"/>
      <c r="AL532" s="697"/>
      <c r="AM532" s="697"/>
      <c r="AN532" s="697"/>
      <c r="AO532" s="697"/>
      <c r="AP532" s="697"/>
      <c r="AQ532" s="697"/>
      <c r="AR532" s="697"/>
      <c r="AS532" s="697"/>
      <c r="AT532" s="697"/>
      <c r="AU532" s="697"/>
      <c r="AV532" s="697"/>
      <c r="AW532" s="697"/>
      <c r="AX532" s="697"/>
      <c r="AY532" s="697"/>
      <c r="AZ532" s="697"/>
      <c r="BA532" s="697"/>
      <c r="BB532" s="697"/>
      <c r="BC532" s="697"/>
      <c r="BD532" s="697"/>
      <c r="BE532" s="697"/>
      <c r="BF532" s="697"/>
      <c r="BG532" s="697"/>
      <c r="BH532" s="697"/>
      <c r="BI532" s="697"/>
      <c r="BJ532" s="697"/>
      <c r="BK532" s="697"/>
      <c r="BL532" s="697"/>
      <c r="BM532" s="697"/>
      <c r="BN532" s="697"/>
      <c r="BO532" s="697"/>
      <c r="BP532" s="697"/>
      <c r="BQ532" s="697"/>
      <c r="BR532" s="697"/>
      <c r="BS532" s="697"/>
      <c r="BT532" s="697"/>
      <c r="BU532" s="697"/>
      <c r="BV532" s="697"/>
      <c r="BW532" s="697"/>
      <c r="BX532" s="697"/>
      <c r="BY532" s="697"/>
      <c r="BZ532" s="697"/>
      <c r="CA532" s="697"/>
      <c r="CB532" s="697"/>
      <c r="CC532" s="697"/>
      <c r="CD532" s="697"/>
      <c r="CE532" s="697"/>
      <c r="CF532" s="697"/>
      <c r="CG532" s="697"/>
      <c r="CH532" s="697"/>
      <c r="CI532" s="697"/>
      <c r="CJ532" s="697"/>
      <c r="CK532" s="697"/>
      <c r="CL532" s="697"/>
      <c r="CM532" s="697"/>
      <c r="CN532" s="697"/>
      <c r="CO532" s="697"/>
      <c r="CP532" s="697"/>
      <c r="CQ532" s="697"/>
      <c r="CR532" s="697"/>
      <c r="CS532" s="697"/>
      <c r="CT532" s="697"/>
      <c r="CU532" s="697"/>
      <c r="CV532" s="697"/>
      <c r="CW532" s="697"/>
      <c r="CX532" s="697"/>
      <c r="CY532" s="697"/>
      <c r="CZ532" s="697"/>
      <c r="DA532" s="697"/>
    </row>
    <row r="533" spans="1:105" hidden="1" outlineLevel="1" x14ac:dyDescent="0.2">
      <c r="A533" s="709">
        <f t="shared" si="98"/>
        <v>40210</v>
      </c>
      <c r="B533" s="709" t="str">
        <f t="shared" si="95"/>
        <v>1Q10</v>
      </c>
      <c r="C533" s="709" t="str">
        <f t="shared" si="99"/>
        <v>2Q10</v>
      </c>
      <c r="D533" s="710">
        <f t="shared" ref="D533:E548" si="101">D532+7</f>
        <v>40284</v>
      </c>
      <c r="E533" s="710">
        <f t="shared" si="101"/>
        <v>40224</v>
      </c>
      <c r="F533" s="712">
        <v>2.7559999999999998</v>
      </c>
      <c r="G533" s="713">
        <f t="shared" si="96"/>
        <v>0.33000000000000013</v>
      </c>
      <c r="H533" s="713">
        <f t="shared" si="97"/>
        <v>0.34000000000000014</v>
      </c>
      <c r="I533" s="697"/>
      <c r="J533" s="697"/>
      <c r="K533" s="697"/>
      <c r="L533" s="697"/>
      <c r="M533" s="697"/>
      <c r="N533" s="697"/>
      <c r="O533" s="697"/>
      <c r="P533" s="697"/>
      <c r="Q533" s="697"/>
      <c r="R533" s="697"/>
      <c r="S533" s="697"/>
      <c r="T533" s="697"/>
      <c r="U533" s="697"/>
      <c r="V533" s="697"/>
      <c r="W533" s="697"/>
      <c r="X533" s="697"/>
      <c r="Y533" s="697"/>
      <c r="Z533" s="697"/>
      <c r="AA533" s="697"/>
      <c r="AB533" s="697"/>
      <c r="AC533" s="697"/>
      <c r="AD533" s="697"/>
      <c r="AE533" s="697"/>
      <c r="AF533" s="697"/>
      <c r="AG533" s="697"/>
      <c r="AH533" s="697"/>
      <c r="AI533" s="697"/>
      <c r="AJ533" s="697"/>
      <c r="AK533" s="697"/>
      <c r="AL533" s="697"/>
      <c r="AM533" s="697"/>
      <c r="AN533" s="697"/>
      <c r="AO533" s="697"/>
      <c r="AP533" s="697"/>
      <c r="AQ533" s="697"/>
      <c r="AR533" s="697"/>
      <c r="AS533" s="697"/>
      <c r="AT533" s="697"/>
      <c r="AU533" s="697"/>
      <c r="AV533" s="697"/>
      <c r="AW533" s="697"/>
      <c r="AX533" s="697"/>
      <c r="AY533" s="697"/>
      <c r="AZ533" s="697"/>
      <c r="BA533" s="697"/>
      <c r="BB533" s="697"/>
      <c r="BC533" s="697"/>
      <c r="BD533" s="697"/>
      <c r="BE533" s="697"/>
      <c r="BF533" s="697"/>
      <c r="BG533" s="697"/>
      <c r="BH533" s="697"/>
      <c r="BI533" s="697"/>
      <c r="BJ533" s="697"/>
      <c r="BK533" s="697"/>
      <c r="BL533" s="697"/>
      <c r="BM533" s="697"/>
      <c r="BN533" s="697"/>
      <c r="BO533" s="697"/>
      <c r="BP533" s="697"/>
      <c r="BQ533" s="697"/>
      <c r="BR533" s="697"/>
      <c r="BS533" s="697"/>
      <c r="BT533" s="697"/>
      <c r="BU533" s="697"/>
      <c r="BV533" s="697"/>
      <c r="BW533" s="697"/>
      <c r="BX533" s="697"/>
      <c r="BY533" s="697"/>
      <c r="BZ533" s="697"/>
      <c r="CA533" s="697"/>
      <c r="CB533" s="697"/>
      <c r="CC533" s="697"/>
      <c r="CD533" s="697"/>
      <c r="CE533" s="697"/>
      <c r="CF533" s="697"/>
      <c r="CG533" s="697"/>
      <c r="CH533" s="697"/>
      <c r="CI533" s="697"/>
      <c r="CJ533" s="697"/>
      <c r="CK533" s="697"/>
      <c r="CL533" s="697"/>
      <c r="CM533" s="697"/>
      <c r="CN533" s="697"/>
      <c r="CO533" s="697"/>
      <c r="CP533" s="697"/>
      <c r="CQ533" s="697"/>
      <c r="CR533" s="697"/>
      <c r="CS533" s="697"/>
      <c r="CT533" s="697"/>
      <c r="CU533" s="697"/>
      <c r="CV533" s="697"/>
      <c r="CW533" s="697"/>
      <c r="CX533" s="697"/>
      <c r="CY533" s="697"/>
      <c r="CZ533" s="697"/>
      <c r="DA533" s="697"/>
    </row>
    <row r="534" spans="1:105" hidden="1" outlineLevel="1" x14ac:dyDescent="0.2">
      <c r="A534" s="709">
        <f t="shared" si="98"/>
        <v>40210</v>
      </c>
      <c r="B534" s="709" t="str">
        <f t="shared" si="95"/>
        <v>1Q10</v>
      </c>
      <c r="C534" s="709" t="str">
        <f t="shared" si="99"/>
        <v>2Q10</v>
      </c>
      <c r="D534" s="710">
        <f t="shared" si="101"/>
        <v>40291</v>
      </c>
      <c r="E534" s="710">
        <f t="shared" si="101"/>
        <v>40231</v>
      </c>
      <c r="F534" s="712">
        <v>2.8319999999999999</v>
      </c>
      <c r="G534" s="713">
        <f t="shared" si="96"/>
        <v>0.34000000000000014</v>
      </c>
      <c r="H534" s="713">
        <f t="shared" si="97"/>
        <v>0.35000000000000014</v>
      </c>
      <c r="I534" s="697"/>
      <c r="J534" s="697"/>
      <c r="K534" s="697"/>
      <c r="L534" s="697"/>
      <c r="M534" s="697"/>
      <c r="N534" s="697"/>
      <c r="O534" s="697"/>
      <c r="P534" s="697"/>
      <c r="Q534" s="697"/>
      <c r="R534" s="697"/>
      <c r="S534" s="697"/>
      <c r="T534" s="697"/>
      <c r="U534" s="697"/>
      <c r="V534" s="697"/>
      <c r="W534" s="697"/>
      <c r="X534" s="697"/>
      <c r="Y534" s="697"/>
      <c r="Z534" s="697"/>
      <c r="AA534" s="697"/>
      <c r="AB534" s="697"/>
      <c r="AC534" s="697"/>
      <c r="AD534" s="697"/>
      <c r="AE534" s="697"/>
      <c r="AF534" s="697"/>
      <c r="AG534" s="697"/>
      <c r="AH534" s="697"/>
      <c r="AI534" s="697"/>
      <c r="AJ534" s="697"/>
      <c r="AK534" s="697"/>
      <c r="AL534" s="697"/>
      <c r="AM534" s="697"/>
      <c r="AN534" s="697"/>
      <c r="AO534" s="697"/>
      <c r="AP534" s="697"/>
      <c r="AQ534" s="697"/>
      <c r="AR534" s="697"/>
      <c r="AS534" s="697"/>
      <c r="AT534" s="697"/>
      <c r="AU534" s="697"/>
      <c r="AV534" s="697"/>
      <c r="AW534" s="697"/>
      <c r="AX534" s="697"/>
      <c r="AY534" s="697"/>
      <c r="AZ534" s="697"/>
      <c r="BA534" s="697"/>
      <c r="BB534" s="697"/>
      <c r="BC534" s="697"/>
      <c r="BD534" s="697"/>
      <c r="BE534" s="697"/>
      <c r="BF534" s="697"/>
      <c r="BG534" s="697"/>
      <c r="BH534" s="697"/>
      <c r="BI534" s="697"/>
      <c r="BJ534" s="697"/>
      <c r="BK534" s="697"/>
      <c r="BL534" s="697"/>
      <c r="BM534" s="697"/>
      <c r="BN534" s="697"/>
      <c r="BO534" s="697"/>
      <c r="BP534" s="697"/>
      <c r="BQ534" s="697"/>
      <c r="BR534" s="697"/>
      <c r="BS534" s="697"/>
      <c r="BT534" s="697"/>
      <c r="BU534" s="697"/>
      <c r="BV534" s="697"/>
      <c r="BW534" s="697"/>
      <c r="BX534" s="697"/>
      <c r="BY534" s="697"/>
      <c r="BZ534" s="697"/>
      <c r="CA534" s="697"/>
      <c r="CB534" s="697"/>
      <c r="CC534" s="697"/>
      <c r="CD534" s="697"/>
      <c r="CE534" s="697"/>
      <c r="CF534" s="697"/>
      <c r="CG534" s="697"/>
      <c r="CH534" s="697"/>
      <c r="CI534" s="697"/>
      <c r="CJ534" s="697"/>
      <c r="CK534" s="697"/>
      <c r="CL534" s="697"/>
      <c r="CM534" s="697"/>
      <c r="CN534" s="697"/>
      <c r="CO534" s="697"/>
      <c r="CP534" s="697"/>
      <c r="CQ534" s="697"/>
      <c r="CR534" s="697"/>
      <c r="CS534" s="697"/>
      <c r="CT534" s="697"/>
      <c r="CU534" s="697"/>
      <c r="CV534" s="697"/>
      <c r="CW534" s="697"/>
      <c r="CX534" s="697"/>
      <c r="CY534" s="697"/>
      <c r="CZ534" s="697"/>
      <c r="DA534" s="697"/>
    </row>
    <row r="535" spans="1:105" hidden="1" outlineLevel="1" x14ac:dyDescent="0.2">
      <c r="A535" s="709">
        <f t="shared" si="98"/>
        <v>40238</v>
      </c>
      <c r="B535" s="709" t="str">
        <f t="shared" si="95"/>
        <v>1Q10</v>
      </c>
      <c r="C535" s="709" t="str">
        <f t="shared" si="99"/>
        <v>2Q10</v>
      </c>
      <c r="D535" s="710">
        <f t="shared" si="101"/>
        <v>40298</v>
      </c>
      <c r="E535" s="710">
        <f t="shared" si="101"/>
        <v>40238</v>
      </c>
      <c r="F535" s="712">
        <v>2.8610000000000002</v>
      </c>
      <c r="G535" s="713">
        <f t="shared" si="96"/>
        <v>0.35000000000000014</v>
      </c>
      <c r="H535" s="713">
        <f t="shared" si="97"/>
        <v>0.36000000000000015</v>
      </c>
      <c r="I535" s="697"/>
      <c r="J535" s="697"/>
      <c r="K535" s="697"/>
      <c r="L535" s="697"/>
      <c r="M535" s="697"/>
      <c r="N535" s="697"/>
      <c r="O535" s="697"/>
      <c r="P535" s="697"/>
      <c r="Q535" s="697"/>
      <c r="R535" s="697"/>
      <c r="S535" s="697"/>
      <c r="T535" s="697"/>
      <c r="U535" s="697"/>
      <c r="V535" s="697"/>
      <c r="W535" s="697"/>
      <c r="X535" s="697"/>
      <c r="Y535" s="697"/>
      <c r="Z535" s="697"/>
      <c r="AA535" s="697"/>
      <c r="AB535" s="697"/>
      <c r="AC535" s="697"/>
      <c r="AD535" s="697"/>
      <c r="AE535" s="697"/>
      <c r="AF535" s="697"/>
      <c r="AG535" s="697"/>
      <c r="AH535" s="697"/>
      <c r="AI535" s="697"/>
      <c r="AJ535" s="697"/>
      <c r="AK535" s="697"/>
      <c r="AL535" s="697"/>
      <c r="AM535" s="697"/>
      <c r="AN535" s="697"/>
      <c r="AO535" s="697"/>
      <c r="AP535" s="697"/>
      <c r="AQ535" s="697"/>
      <c r="AR535" s="697"/>
      <c r="AS535" s="697"/>
      <c r="AT535" s="697"/>
      <c r="AU535" s="697"/>
      <c r="AV535" s="697"/>
      <c r="AW535" s="697"/>
      <c r="AX535" s="697"/>
      <c r="AY535" s="697"/>
      <c r="AZ535" s="697"/>
      <c r="BA535" s="697"/>
      <c r="BB535" s="697"/>
      <c r="BC535" s="697"/>
      <c r="BD535" s="697"/>
      <c r="BE535" s="697"/>
      <c r="BF535" s="697"/>
      <c r="BG535" s="697"/>
      <c r="BH535" s="697"/>
      <c r="BI535" s="697"/>
      <c r="BJ535" s="697"/>
      <c r="BK535" s="697"/>
      <c r="BL535" s="697"/>
      <c r="BM535" s="697"/>
      <c r="BN535" s="697"/>
      <c r="BO535" s="697"/>
      <c r="BP535" s="697"/>
      <c r="BQ535" s="697"/>
      <c r="BR535" s="697"/>
      <c r="BS535" s="697"/>
      <c r="BT535" s="697"/>
      <c r="BU535" s="697"/>
      <c r="BV535" s="697"/>
      <c r="BW535" s="697"/>
      <c r="BX535" s="697"/>
      <c r="BY535" s="697"/>
      <c r="BZ535" s="697"/>
      <c r="CA535" s="697"/>
      <c r="CB535" s="697"/>
      <c r="CC535" s="697"/>
      <c r="CD535" s="697"/>
      <c r="CE535" s="697"/>
      <c r="CF535" s="697"/>
      <c r="CG535" s="697"/>
      <c r="CH535" s="697"/>
      <c r="CI535" s="697"/>
      <c r="CJ535" s="697"/>
      <c r="CK535" s="697"/>
      <c r="CL535" s="697"/>
      <c r="CM535" s="697"/>
      <c r="CN535" s="697"/>
      <c r="CO535" s="697"/>
      <c r="CP535" s="697"/>
      <c r="CQ535" s="697"/>
      <c r="CR535" s="697"/>
      <c r="CS535" s="697"/>
      <c r="CT535" s="697"/>
      <c r="CU535" s="697"/>
      <c r="CV535" s="697"/>
      <c r="CW535" s="697"/>
      <c r="CX535" s="697"/>
      <c r="CY535" s="697"/>
      <c r="CZ535" s="697"/>
      <c r="DA535" s="697"/>
    </row>
    <row r="536" spans="1:105" hidden="1" outlineLevel="1" x14ac:dyDescent="0.2">
      <c r="A536" s="709">
        <f t="shared" si="98"/>
        <v>40238</v>
      </c>
      <c r="B536" s="709" t="str">
        <f t="shared" si="95"/>
        <v>1Q10</v>
      </c>
      <c r="C536" s="709" t="str">
        <f t="shared" si="99"/>
        <v>2Q10</v>
      </c>
      <c r="D536" s="710">
        <f t="shared" si="101"/>
        <v>40305</v>
      </c>
      <c r="E536" s="710">
        <f t="shared" si="101"/>
        <v>40245</v>
      </c>
      <c r="F536" s="712">
        <v>2.9039999999999999</v>
      </c>
      <c r="G536" s="713">
        <f t="shared" si="96"/>
        <v>0.36000000000000015</v>
      </c>
      <c r="H536" s="713">
        <f t="shared" si="97"/>
        <v>0.36000000000000015</v>
      </c>
      <c r="I536" s="697"/>
      <c r="J536" s="697"/>
      <c r="K536" s="697"/>
      <c r="L536" s="697"/>
      <c r="M536" s="697"/>
      <c r="N536" s="697"/>
      <c r="O536" s="697"/>
      <c r="P536" s="697"/>
      <c r="Q536" s="697"/>
      <c r="R536" s="697"/>
      <c r="S536" s="697"/>
      <c r="T536" s="697"/>
      <c r="U536" s="697"/>
      <c r="V536" s="697"/>
      <c r="W536" s="697"/>
      <c r="X536" s="697"/>
      <c r="Y536" s="697"/>
      <c r="Z536" s="697"/>
      <c r="AA536" s="697"/>
      <c r="AB536" s="697"/>
      <c r="AC536" s="697"/>
      <c r="AD536" s="697"/>
      <c r="AE536" s="697"/>
      <c r="AF536" s="697"/>
      <c r="AG536" s="697"/>
      <c r="AH536" s="697"/>
      <c r="AI536" s="697"/>
      <c r="AJ536" s="697"/>
      <c r="AK536" s="697"/>
      <c r="AL536" s="697"/>
      <c r="AM536" s="697"/>
      <c r="AN536" s="697"/>
      <c r="AO536" s="697"/>
      <c r="AP536" s="697"/>
      <c r="AQ536" s="697"/>
      <c r="AR536" s="697"/>
      <c r="AS536" s="697"/>
      <c r="AT536" s="697"/>
      <c r="AU536" s="697"/>
      <c r="AV536" s="697"/>
      <c r="AW536" s="697"/>
      <c r="AX536" s="697"/>
      <c r="AY536" s="697"/>
      <c r="AZ536" s="697"/>
      <c r="BA536" s="697"/>
      <c r="BB536" s="697"/>
      <c r="BC536" s="697"/>
      <c r="BD536" s="697"/>
      <c r="BE536" s="697"/>
      <c r="BF536" s="697"/>
      <c r="BG536" s="697"/>
      <c r="BH536" s="697"/>
      <c r="BI536" s="697"/>
      <c r="BJ536" s="697"/>
      <c r="BK536" s="697"/>
      <c r="BL536" s="697"/>
      <c r="BM536" s="697"/>
      <c r="BN536" s="697"/>
      <c r="BO536" s="697"/>
      <c r="BP536" s="697"/>
      <c r="BQ536" s="697"/>
      <c r="BR536" s="697"/>
      <c r="BS536" s="697"/>
      <c r="BT536" s="697"/>
      <c r="BU536" s="697"/>
      <c r="BV536" s="697"/>
      <c r="BW536" s="697"/>
      <c r="BX536" s="697"/>
      <c r="BY536" s="697"/>
      <c r="BZ536" s="697"/>
      <c r="CA536" s="697"/>
      <c r="CB536" s="697"/>
      <c r="CC536" s="697"/>
      <c r="CD536" s="697"/>
      <c r="CE536" s="697"/>
      <c r="CF536" s="697"/>
      <c r="CG536" s="697"/>
      <c r="CH536" s="697"/>
      <c r="CI536" s="697"/>
      <c r="CJ536" s="697"/>
      <c r="CK536" s="697"/>
      <c r="CL536" s="697"/>
      <c r="CM536" s="697"/>
      <c r="CN536" s="697"/>
      <c r="CO536" s="697"/>
      <c r="CP536" s="697"/>
      <c r="CQ536" s="697"/>
      <c r="CR536" s="697"/>
      <c r="CS536" s="697"/>
      <c r="CT536" s="697"/>
      <c r="CU536" s="697"/>
      <c r="CV536" s="697"/>
      <c r="CW536" s="697"/>
      <c r="CX536" s="697"/>
      <c r="CY536" s="697"/>
      <c r="CZ536" s="697"/>
      <c r="DA536" s="697"/>
    </row>
    <row r="537" spans="1:105" hidden="1" outlineLevel="1" x14ac:dyDescent="0.2">
      <c r="A537" s="709">
        <f t="shared" si="98"/>
        <v>40238</v>
      </c>
      <c r="B537" s="709" t="str">
        <f t="shared" si="95"/>
        <v>1Q10</v>
      </c>
      <c r="C537" s="709" t="str">
        <f t="shared" si="99"/>
        <v>2Q10</v>
      </c>
      <c r="D537" s="710">
        <f t="shared" si="101"/>
        <v>40312</v>
      </c>
      <c r="E537" s="710">
        <f t="shared" si="101"/>
        <v>40252</v>
      </c>
      <c r="F537" s="712">
        <v>2.9239999999999999</v>
      </c>
      <c r="G537" s="713">
        <f t="shared" si="96"/>
        <v>0.36000000000000015</v>
      </c>
      <c r="H537" s="713">
        <f t="shared" si="97"/>
        <v>0.36000000000000015</v>
      </c>
      <c r="I537" s="697"/>
      <c r="J537" s="697"/>
      <c r="K537" s="697"/>
      <c r="L537" s="697"/>
      <c r="M537" s="697"/>
      <c r="N537" s="697"/>
      <c r="O537" s="697"/>
      <c r="P537" s="697"/>
      <c r="Q537" s="697"/>
      <c r="R537" s="697"/>
      <c r="S537" s="697"/>
      <c r="T537" s="697"/>
      <c r="U537" s="697"/>
      <c r="V537" s="697"/>
      <c r="W537" s="697"/>
      <c r="X537" s="697"/>
      <c r="Y537" s="697"/>
      <c r="Z537" s="697"/>
      <c r="AA537" s="697"/>
      <c r="AB537" s="697"/>
      <c r="AC537" s="697"/>
      <c r="AD537" s="697"/>
      <c r="AE537" s="697"/>
      <c r="AF537" s="697"/>
      <c r="AG537" s="697"/>
      <c r="AH537" s="697"/>
      <c r="AI537" s="697"/>
      <c r="AJ537" s="697"/>
      <c r="AK537" s="697"/>
      <c r="AL537" s="697"/>
      <c r="AM537" s="697"/>
      <c r="AN537" s="697"/>
      <c r="AO537" s="697"/>
      <c r="AP537" s="697"/>
      <c r="AQ537" s="697"/>
      <c r="AR537" s="697"/>
      <c r="AS537" s="697"/>
      <c r="AT537" s="697"/>
      <c r="AU537" s="697"/>
      <c r="AV537" s="697"/>
      <c r="AW537" s="697"/>
      <c r="AX537" s="697"/>
      <c r="AY537" s="697"/>
      <c r="AZ537" s="697"/>
      <c r="BA537" s="697"/>
      <c r="BB537" s="697"/>
      <c r="BC537" s="697"/>
      <c r="BD537" s="697"/>
      <c r="BE537" s="697"/>
      <c r="BF537" s="697"/>
      <c r="BG537" s="697"/>
      <c r="BH537" s="697"/>
      <c r="BI537" s="697"/>
      <c r="BJ537" s="697"/>
      <c r="BK537" s="697"/>
      <c r="BL537" s="697"/>
      <c r="BM537" s="697"/>
      <c r="BN537" s="697"/>
      <c r="BO537" s="697"/>
      <c r="BP537" s="697"/>
      <c r="BQ537" s="697"/>
      <c r="BR537" s="697"/>
      <c r="BS537" s="697"/>
      <c r="BT537" s="697"/>
      <c r="BU537" s="697"/>
      <c r="BV537" s="697"/>
      <c r="BW537" s="697"/>
      <c r="BX537" s="697"/>
      <c r="BY537" s="697"/>
      <c r="BZ537" s="697"/>
      <c r="CA537" s="697"/>
      <c r="CB537" s="697"/>
      <c r="CC537" s="697"/>
      <c r="CD537" s="697"/>
      <c r="CE537" s="697"/>
      <c r="CF537" s="697"/>
      <c r="CG537" s="697"/>
      <c r="CH537" s="697"/>
      <c r="CI537" s="697"/>
      <c r="CJ537" s="697"/>
      <c r="CK537" s="697"/>
      <c r="CL537" s="697"/>
      <c r="CM537" s="697"/>
      <c r="CN537" s="697"/>
      <c r="CO537" s="697"/>
      <c r="CP537" s="697"/>
      <c r="CQ537" s="697"/>
      <c r="CR537" s="697"/>
      <c r="CS537" s="697"/>
      <c r="CT537" s="697"/>
      <c r="CU537" s="697"/>
      <c r="CV537" s="697"/>
      <c r="CW537" s="697"/>
      <c r="CX537" s="697"/>
      <c r="CY537" s="697"/>
      <c r="CZ537" s="697"/>
      <c r="DA537" s="697"/>
    </row>
    <row r="538" spans="1:105" hidden="1" outlineLevel="1" x14ac:dyDescent="0.2">
      <c r="A538" s="709">
        <f t="shared" si="98"/>
        <v>40238</v>
      </c>
      <c r="B538" s="709" t="str">
        <f t="shared" si="95"/>
        <v>1Q10</v>
      </c>
      <c r="C538" s="709" t="str">
        <f t="shared" si="99"/>
        <v>2Q10</v>
      </c>
      <c r="D538" s="710">
        <f t="shared" si="101"/>
        <v>40319</v>
      </c>
      <c r="E538" s="710">
        <f t="shared" si="101"/>
        <v>40259</v>
      </c>
      <c r="F538" s="712">
        <v>2.9460000000000002</v>
      </c>
      <c r="G538" s="713">
        <f t="shared" si="96"/>
        <v>0.36000000000000015</v>
      </c>
      <c r="H538" s="713">
        <f t="shared" si="97"/>
        <v>0.36000000000000015</v>
      </c>
      <c r="I538" s="697"/>
      <c r="J538" s="697"/>
      <c r="K538" s="697"/>
      <c r="L538" s="697"/>
      <c r="M538" s="697"/>
      <c r="N538" s="697"/>
      <c r="O538" s="697"/>
      <c r="P538" s="697"/>
      <c r="Q538" s="697"/>
      <c r="R538" s="697"/>
      <c r="S538" s="697"/>
      <c r="T538" s="697"/>
      <c r="U538" s="697"/>
      <c r="V538" s="697"/>
      <c r="W538" s="697"/>
      <c r="X538" s="697"/>
      <c r="Y538" s="697"/>
      <c r="Z538" s="697"/>
      <c r="AA538" s="697"/>
      <c r="AB538" s="697"/>
      <c r="AC538" s="697"/>
      <c r="AD538" s="697"/>
      <c r="AE538" s="697"/>
      <c r="AF538" s="697"/>
      <c r="AG538" s="697"/>
      <c r="AH538" s="697"/>
      <c r="AI538" s="697"/>
      <c r="AJ538" s="697"/>
      <c r="AK538" s="697"/>
      <c r="AL538" s="697"/>
      <c r="AM538" s="697"/>
      <c r="AN538" s="697"/>
      <c r="AO538" s="697"/>
      <c r="AP538" s="697"/>
      <c r="AQ538" s="697"/>
      <c r="AR538" s="697"/>
      <c r="AS538" s="697"/>
      <c r="AT538" s="697"/>
      <c r="AU538" s="697"/>
      <c r="AV538" s="697"/>
      <c r="AW538" s="697"/>
      <c r="AX538" s="697"/>
      <c r="AY538" s="697"/>
      <c r="AZ538" s="697"/>
      <c r="BA538" s="697"/>
      <c r="BB538" s="697"/>
      <c r="BC538" s="697"/>
      <c r="BD538" s="697"/>
      <c r="BE538" s="697"/>
      <c r="BF538" s="697"/>
      <c r="BG538" s="697"/>
      <c r="BH538" s="697"/>
      <c r="BI538" s="697"/>
      <c r="BJ538" s="697"/>
      <c r="BK538" s="697"/>
      <c r="BL538" s="697"/>
      <c r="BM538" s="697"/>
      <c r="BN538" s="697"/>
      <c r="BO538" s="697"/>
      <c r="BP538" s="697"/>
      <c r="BQ538" s="697"/>
      <c r="BR538" s="697"/>
      <c r="BS538" s="697"/>
      <c r="BT538" s="697"/>
      <c r="BU538" s="697"/>
      <c r="BV538" s="697"/>
      <c r="BW538" s="697"/>
      <c r="BX538" s="697"/>
      <c r="BY538" s="697"/>
      <c r="BZ538" s="697"/>
      <c r="CA538" s="697"/>
      <c r="CB538" s="697"/>
      <c r="CC538" s="697"/>
      <c r="CD538" s="697"/>
      <c r="CE538" s="697"/>
      <c r="CF538" s="697"/>
      <c r="CG538" s="697"/>
      <c r="CH538" s="697"/>
      <c r="CI538" s="697"/>
      <c r="CJ538" s="697"/>
      <c r="CK538" s="697"/>
      <c r="CL538" s="697"/>
      <c r="CM538" s="697"/>
      <c r="CN538" s="697"/>
      <c r="CO538" s="697"/>
      <c r="CP538" s="697"/>
      <c r="CQ538" s="697"/>
      <c r="CR538" s="697"/>
      <c r="CS538" s="697"/>
      <c r="CT538" s="697"/>
      <c r="CU538" s="697"/>
      <c r="CV538" s="697"/>
      <c r="CW538" s="697"/>
      <c r="CX538" s="697"/>
      <c r="CY538" s="697"/>
      <c r="CZ538" s="697"/>
      <c r="DA538" s="697"/>
    </row>
    <row r="539" spans="1:105" hidden="1" outlineLevel="1" x14ac:dyDescent="0.2">
      <c r="A539" s="709">
        <f t="shared" si="98"/>
        <v>40238</v>
      </c>
      <c r="B539" s="709" t="str">
        <f t="shared" si="95"/>
        <v>1Q10</v>
      </c>
      <c r="C539" s="709" t="str">
        <f t="shared" si="99"/>
        <v>2Q10</v>
      </c>
      <c r="D539" s="710">
        <f t="shared" si="101"/>
        <v>40326</v>
      </c>
      <c r="E539" s="710">
        <f t="shared" si="101"/>
        <v>40266</v>
      </c>
      <c r="F539" s="712">
        <v>2.9390000000000001</v>
      </c>
      <c r="G539" s="713">
        <f t="shared" si="96"/>
        <v>0.36000000000000015</v>
      </c>
      <c r="H539" s="713">
        <f t="shared" si="97"/>
        <v>0.38000000000000017</v>
      </c>
      <c r="I539" s="697"/>
      <c r="J539" s="697"/>
      <c r="K539" s="697"/>
      <c r="L539" s="697"/>
      <c r="M539" s="697"/>
      <c r="N539" s="697"/>
      <c r="O539" s="697"/>
      <c r="P539" s="697"/>
      <c r="Q539" s="697"/>
      <c r="R539" s="697"/>
      <c r="S539" s="697"/>
      <c r="T539" s="697"/>
      <c r="U539" s="697"/>
      <c r="V539" s="697"/>
      <c r="W539" s="697"/>
      <c r="X539" s="697"/>
      <c r="Y539" s="697"/>
      <c r="Z539" s="697"/>
      <c r="AA539" s="697"/>
      <c r="AB539" s="697"/>
      <c r="AC539" s="697"/>
      <c r="AD539" s="697"/>
      <c r="AE539" s="697"/>
      <c r="AF539" s="697"/>
      <c r="AG539" s="697"/>
      <c r="AH539" s="697"/>
      <c r="AI539" s="697"/>
      <c r="AJ539" s="697"/>
      <c r="AK539" s="697"/>
      <c r="AL539" s="697"/>
      <c r="AM539" s="697"/>
      <c r="AN539" s="697"/>
      <c r="AO539" s="697"/>
      <c r="AP539" s="697"/>
      <c r="AQ539" s="697"/>
      <c r="AR539" s="697"/>
      <c r="AS539" s="697"/>
      <c r="AT539" s="697"/>
      <c r="AU539" s="697"/>
      <c r="AV539" s="697"/>
      <c r="AW539" s="697"/>
      <c r="AX539" s="697"/>
      <c r="AY539" s="697"/>
      <c r="AZ539" s="697"/>
      <c r="BA539" s="697"/>
      <c r="BB539" s="697"/>
      <c r="BC539" s="697"/>
      <c r="BD539" s="697"/>
      <c r="BE539" s="697"/>
      <c r="BF539" s="697"/>
      <c r="BG539" s="697"/>
      <c r="BH539" s="697"/>
      <c r="BI539" s="697"/>
      <c r="BJ539" s="697"/>
      <c r="BK539" s="697"/>
      <c r="BL539" s="697"/>
      <c r="BM539" s="697"/>
      <c r="BN539" s="697"/>
      <c r="BO539" s="697"/>
      <c r="BP539" s="697"/>
      <c r="BQ539" s="697"/>
      <c r="BR539" s="697"/>
      <c r="BS539" s="697"/>
      <c r="BT539" s="697"/>
      <c r="BU539" s="697"/>
      <c r="BV539" s="697"/>
      <c r="BW539" s="697"/>
      <c r="BX539" s="697"/>
      <c r="BY539" s="697"/>
      <c r="BZ539" s="697"/>
      <c r="CA539" s="697"/>
      <c r="CB539" s="697"/>
      <c r="CC539" s="697"/>
      <c r="CD539" s="697"/>
      <c r="CE539" s="697"/>
      <c r="CF539" s="697"/>
      <c r="CG539" s="697"/>
      <c r="CH539" s="697"/>
      <c r="CI539" s="697"/>
      <c r="CJ539" s="697"/>
      <c r="CK539" s="697"/>
      <c r="CL539" s="697"/>
      <c r="CM539" s="697"/>
      <c r="CN539" s="697"/>
      <c r="CO539" s="697"/>
      <c r="CP539" s="697"/>
      <c r="CQ539" s="697"/>
      <c r="CR539" s="697"/>
      <c r="CS539" s="697"/>
      <c r="CT539" s="697"/>
      <c r="CU539" s="697"/>
      <c r="CV539" s="697"/>
      <c r="CW539" s="697"/>
      <c r="CX539" s="697"/>
      <c r="CY539" s="697"/>
      <c r="CZ539" s="697"/>
      <c r="DA539" s="697"/>
    </row>
    <row r="540" spans="1:105" hidden="1" outlineLevel="1" x14ac:dyDescent="0.2">
      <c r="A540" s="709">
        <f t="shared" si="98"/>
        <v>40269</v>
      </c>
      <c r="B540" s="709" t="str">
        <f t="shared" si="95"/>
        <v>2Q10</v>
      </c>
      <c r="C540" s="709" t="str">
        <f t="shared" si="99"/>
        <v>2Q10</v>
      </c>
      <c r="D540" s="710">
        <f t="shared" si="101"/>
        <v>40333</v>
      </c>
      <c r="E540" s="710">
        <f t="shared" si="101"/>
        <v>40273</v>
      </c>
      <c r="F540" s="712">
        <v>3.0150000000000001</v>
      </c>
      <c r="G540" s="713">
        <f t="shared" si="96"/>
        <v>0.38000000000000017</v>
      </c>
      <c r="H540" s="713">
        <f t="shared" si="97"/>
        <v>0.39000000000000018</v>
      </c>
      <c r="I540" s="697"/>
      <c r="J540" s="697"/>
      <c r="K540" s="697"/>
      <c r="L540" s="697"/>
      <c r="M540" s="697"/>
      <c r="N540" s="697"/>
      <c r="O540" s="697"/>
      <c r="P540" s="697"/>
      <c r="Q540" s="697"/>
      <c r="R540" s="697"/>
      <c r="S540" s="697"/>
      <c r="T540" s="697"/>
      <c r="U540" s="697"/>
      <c r="V540" s="697"/>
      <c r="W540" s="697"/>
      <c r="X540" s="697"/>
      <c r="Y540" s="697"/>
      <c r="Z540" s="697"/>
      <c r="AA540" s="697"/>
      <c r="AB540" s="697"/>
      <c r="AC540" s="697"/>
      <c r="AD540" s="697"/>
      <c r="AE540" s="697"/>
      <c r="AF540" s="697"/>
      <c r="AG540" s="697"/>
      <c r="AH540" s="697"/>
      <c r="AI540" s="697"/>
      <c r="AJ540" s="697"/>
      <c r="AK540" s="697"/>
      <c r="AL540" s="697"/>
      <c r="AM540" s="697"/>
      <c r="AN540" s="697"/>
      <c r="AO540" s="697"/>
      <c r="AP540" s="697"/>
      <c r="AQ540" s="697"/>
      <c r="AR540" s="697"/>
      <c r="AS540" s="697"/>
      <c r="AT540" s="697"/>
      <c r="AU540" s="697"/>
      <c r="AV540" s="697"/>
      <c r="AW540" s="697"/>
      <c r="AX540" s="697"/>
      <c r="AY540" s="697"/>
      <c r="AZ540" s="697"/>
      <c r="BA540" s="697"/>
      <c r="BB540" s="697"/>
      <c r="BC540" s="697"/>
      <c r="BD540" s="697"/>
      <c r="BE540" s="697"/>
      <c r="BF540" s="697"/>
      <c r="BG540" s="697"/>
      <c r="BH540" s="697"/>
      <c r="BI540" s="697"/>
      <c r="BJ540" s="697"/>
      <c r="BK540" s="697"/>
      <c r="BL540" s="697"/>
      <c r="BM540" s="697"/>
      <c r="BN540" s="697"/>
      <c r="BO540" s="697"/>
      <c r="BP540" s="697"/>
      <c r="BQ540" s="697"/>
      <c r="BR540" s="697"/>
      <c r="BS540" s="697"/>
      <c r="BT540" s="697"/>
      <c r="BU540" s="697"/>
      <c r="BV540" s="697"/>
      <c r="BW540" s="697"/>
      <c r="BX540" s="697"/>
      <c r="BY540" s="697"/>
      <c r="BZ540" s="697"/>
      <c r="CA540" s="697"/>
      <c r="CB540" s="697"/>
      <c r="CC540" s="697"/>
      <c r="CD540" s="697"/>
      <c r="CE540" s="697"/>
      <c r="CF540" s="697"/>
      <c r="CG540" s="697"/>
      <c r="CH540" s="697"/>
      <c r="CI540" s="697"/>
      <c r="CJ540" s="697"/>
      <c r="CK540" s="697"/>
      <c r="CL540" s="697"/>
      <c r="CM540" s="697"/>
      <c r="CN540" s="697"/>
      <c r="CO540" s="697"/>
      <c r="CP540" s="697"/>
      <c r="CQ540" s="697"/>
      <c r="CR540" s="697"/>
      <c r="CS540" s="697"/>
      <c r="CT540" s="697"/>
      <c r="CU540" s="697"/>
      <c r="CV540" s="697"/>
      <c r="CW540" s="697"/>
      <c r="CX540" s="697"/>
      <c r="CY540" s="697"/>
      <c r="CZ540" s="697"/>
      <c r="DA540" s="697"/>
    </row>
    <row r="541" spans="1:105" hidden="1" outlineLevel="1" x14ac:dyDescent="0.2">
      <c r="A541" s="709">
        <f t="shared" si="98"/>
        <v>40269</v>
      </c>
      <c r="B541" s="709" t="str">
        <f t="shared" si="95"/>
        <v>2Q10</v>
      </c>
      <c r="C541" s="709" t="str">
        <f t="shared" si="99"/>
        <v>2Q10</v>
      </c>
      <c r="D541" s="710">
        <f t="shared" si="101"/>
        <v>40340</v>
      </c>
      <c r="E541" s="710">
        <f t="shared" si="101"/>
        <v>40280</v>
      </c>
      <c r="F541" s="712">
        <v>3.069</v>
      </c>
      <c r="G541" s="713">
        <f t="shared" si="96"/>
        <v>0.39000000000000018</v>
      </c>
      <c r="H541" s="713">
        <f t="shared" si="97"/>
        <v>0.39000000000000018</v>
      </c>
      <c r="I541" s="697"/>
      <c r="J541" s="697"/>
      <c r="K541" s="697"/>
      <c r="L541" s="697"/>
      <c r="M541" s="697"/>
      <c r="N541" s="697"/>
      <c r="O541" s="697"/>
      <c r="P541" s="697"/>
      <c r="Q541" s="697"/>
      <c r="R541" s="697"/>
      <c r="S541" s="697"/>
      <c r="T541" s="697"/>
      <c r="U541" s="697"/>
      <c r="V541" s="697"/>
      <c r="W541" s="697"/>
      <c r="X541" s="697"/>
      <c r="Y541" s="697"/>
      <c r="Z541" s="697"/>
      <c r="AA541" s="697"/>
      <c r="AB541" s="697"/>
      <c r="AC541" s="697"/>
      <c r="AD541" s="697"/>
      <c r="AE541" s="697"/>
      <c r="AF541" s="697"/>
      <c r="AG541" s="697"/>
      <c r="AH541" s="697"/>
      <c r="AI541" s="697"/>
      <c r="AJ541" s="697"/>
      <c r="AK541" s="697"/>
      <c r="AL541" s="697"/>
      <c r="AM541" s="697"/>
      <c r="AN541" s="697"/>
      <c r="AO541" s="697"/>
      <c r="AP541" s="697"/>
      <c r="AQ541" s="697"/>
      <c r="AR541" s="697"/>
      <c r="AS541" s="697"/>
      <c r="AT541" s="697"/>
      <c r="AU541" s="697"/>
      <c r="AV541" s="697"/>
      <c r="AW541" s="697"/>
      <c r="AX541" s="697"/>
      <c r="AY541" s="697"/>
      <c r="AZ541" s="697"/>
      <c r="BA541" s="697"/>
      <c r="BB541" s="697"/>
      <c r="BC541" s="697"/>
      <c r="BD541" s="697"/>
      <c r="BE541" s="697"/>
      <c r="BF541" s="697"/>
      <c r="BG541" s="697"/>
      <c r="BH541" s="697"/>
      <c r="BI541" s="697"/>
      <c r="BJ541" s="697"/>
      <c r="BK541" s="697"/>
      <c r="BL541" s="697"/>
      <c r="BM541" s="697"/>
      <c r="BN541" s="697"/>
      <c r="BO541" s="697"/>
      <c r="BP541" s="697"/>
      <c r="BQ541" s="697"/>
      <c r="BR541" s="697"/>
      <c r="BS541" s="697"/>
      <c r="BT541" s="697"/>
      <c r="BU541" s="697"/>
      <c r="BV541" s="697"/>
      <c r="BW541" s="697"/>
      <c r="BX541" s="697"/>
      <c r="BY541" s="697"/>
      <c r="BZ541" s="697"/>
      <c r="CA541" s="697"/>
      <c r="CB541" s="697"/>
      <c r="CC541" s="697"/>
      <c r="CD541" s="697"/>
      <c r="CE541" s="697"/>
      <c r="CF541" s="697"/>
      <c r="CG541" s="697"/>
      <c r="CH541" s="697"/>
      <c r="CI541" s="697"/>
      <c r="CJ541" s="697"/>
      <c r="CK541" s="697"/>
      <c r="CL541" s="697"/>
      <c r="CM541" s="697"/>
      <c r="CN541" s="697"/>
      <c r="CO541" s="697"/>
      <c r="CP541" s="697"/>
      <c r="CQ541" s="697"/>
      <c r="CR541" s="697"/>
      <c r="CS541" s="697"/>
      <c r="CT541" s="697"/>
      <c r="CU541" s="697"/>
      <c r="CV541" s="697"/>
      <c r="CW541" s="697"/>
      <c r="CX541" s="697"/>
      <c r="CY541" s="697"/>
      <c r="CZ541" s="697"/>
      <c r="DA541" s="697"/>
    </row>
    <row r="542" spans="1:105" hidden="1" outlineLevel="1" x14ac:dyDescent="0.2">
      <c r="A542" s="709">
        <f t="shared" si="98"/>
        <v>40269</v>
      </c>
      <c r="B542" s="709" t="str">
        <f t="shared" si="95"/>
        <v>2Q10</v>
      </c>
      <c r="C542" s="709" t="str">
        <f t="shared" si="99"/>
        <v>2Q10</v>
      </c>
      <c r="D542" s="710">
        <f t="shared" si="101"/>
        <v>40347</v>
      </c>
      <c r="E542" s="710">
        <f t="shared" si="101"/>
        <v>40287</v>
      </c>
      <c r="F542" s="712">
        <v>3.0739999999999998</v>
      </c>
      <c r="G542" s="713">
        <f t="shared" si="96"/>
        <v>0.39000000000000018</v>
      </c>
      <c r="H542" s="713">
        <f t="shared" si="97"/>
        <v>0.39000000000000018</v>
      </c>
      <c r="I542" s="697"/>
      <c r="J542" s="697"/>
      <c r="K542" s="697"/>
      <c r="L542" s="697"/>
      <c r="M542" s="697"/>
      <c r="N542" s="697"/>
      <c r="O542" s="697"/>
      <c r="P542" s="697"/>
      <c r="Q542" s="697"/>
      <c r="R542" s="697"/>
      <c r="S542" s="697"/>
      <c r="T542" s="697"/>
      <c r="U542" s="697"/>
      <c r="V542" s="697"/>
      <c r="W542" s="697"/>
      <c r="X542" s="697"/>
      <c r="Y542" s="697"/>
      <c r="Z542" s="697"/>
      <c r="AA542" s="697"/>
      <c r="AB542" s="697"/>
      <c r="AC542" s="697"/>
      <c r="AD542" s="697"/>
      <c r="AE542" s="697"/>
      <c r="AF542" s="697"/>
      <c r="AG542" s="697"/>
      <c r="AH542" s="697"/>
      <c r="AI542" s="697"/>
      <c r="AJ542" s="697"/>
      <c r="AK542" s="697"/>
      <c r="AL542" s="697"/>
      <c r="AM542" s="697"/>
      <c r="AN542" s="697"/>
      <c r="AO542" s="697"/>
      <c r="AP542" s="697"/>
      <c r="AQ542" s="697"/>
      <c r="AR542" s="697"/>
      <c r="AS542" s="697"/>
      <c r="AT542" s="697"/>
      <c r="AU542" s="697"/>
      <c r="AV542" s="697"/>
      <c r="AW542" s="697"/>
      <c r="AX542" s="697"/>
      <c r="AY542" s="697"/>
      <c r="AZ542" s="697"/>
      <c r="BA542" s="697"/>
      <c r="BB542" s="697"/>
      <c r="BC542" s="697"/>
      <c r="BD542" s="697"/>
      <c r="BE542" s="697"/>
      <c r="BF542" s="697"/>
      <c r="BG542" s="697"/>
      <c r="BH542" s="697"/>
      <c r="BI542" s="697"/>
      <c r="BJ542" s="697"/>
      <c r="BK542" s="697"/>
      <c r="BL542" s="697"/>
      <c r="BM542" s="697"/>
      <c r="BN542" s="697"/>
      <c r="BO542" s="697"/>
      <c r="BP542" s="697"/>
      <c r="BQ542" s="697"/>
      <c r="BR542" s="697"/>
      <c r="BS542" s="697"/>
      <c r="BT542" s="697"/>
      <c r="BU542" s="697"/>
      <c r="BV542" s="697"/>
      <c r="BW542" s="697"/>
      <c r="BX542" s="697"/>
      <c r="BY542" s="697"/>
      <c r="BZ542" s="697"/>
      <c r="CA542" s="697"/>
      <c r="CB542" s="697"/>
      <c r="CC542" s="697"/>
      <c r="CD542" s="697"/>
      <c r="CE542" s="697"/>
      <c r="CF542" s="697"/>
      <c r="CG542" s="697"/>
      <c r="CH542" s="697"/>
      <c r="CI542" s="697"/>
      <c r="CJ542" s="697"/>
      <c r="CK542" s="697"/>
      <c r="CL542" s="697"/>
      <c r="CM542" s="697"/>
      <c r="CN542" s="697"/>
      <c r="CO542" s="697"/>
      <c r="CP542" s="697"/>
      <c r="CQ542" s="697"/>
      <c r="CR542" s="697"/>
      <c r="CS542" s="697"/>
      <c r="CT542" s="697"/>
      <c r="CU542" s="697"/>
      <c r="CV542" s="697"/>
      <c r="CW542" s="697"/>
      <c r="CX542" s="697"/>
      <c r="CY542" s="697"/>
      <c r="CZ542" s="697"/>
      <c r="DA542" s="697"/>
    </row>
    <row r="543" spans="1:105" hidden="1" outlineLevel="1" x14ac:dyDescent="0.2">
      <c r="A543" s="709">
        <f t="shared" si="98"/>
        <v>40269</v>
      </c>
      <c r="B543" s="709" t="str">
        <f t="shared" si="95"/>
        <v>2Q10</v>
      </c>
      <c r="C543" s="709" t="str">
        <f t="shared" si="99"/>
        <v>2Q10</v>
      </c>
      <c r="D543" s="710">
        <f t="shared" si="101"/>
        <v>40354</v>
      </c>
      <c r="E543" s="710">
        <f t="shared" si="101"/>
        <v>40294</v>
      </c>
      <c r="F543" s="712">
        <v>3.0779999999999998</v>
      </c>
      <c r="G543" s="713">
        <f t="shared" si="96"/>
        <v>0.39000000000000018</v>
      </c>
      <c r="H543" s="713">
        <f t="shared" si="97"/>
        <v>0.40000000000000019</v>
      </c>
      <c r="I543" s="697"/>
      <c r="J543" s="697"/>
      <c r="K543" s="697"/>
      <c r="L543" s="697"/>
      <c r="M543" s="697"/>
      <c r="N543" s="697"/>
      <c r="O543" s="697"/>
      <c r="P543" s="697"/>
      <c r="Q543" s="697"/>
      <c r="R543" s="697"/>
      <c r="S543" s="697"/>
      <c r="T543" s="697"/>
      <c r="U543" s="697"/>
      <c r="V543" s="697"/>
      <c r="W543" s="697"/>
      <c r="X543" s="697"/>
      <c r="Y543" s="697"/>
      <c r="Z543" s="697"/>
      <c r="AA543" s="697"/>
      <c r="AB543" s="697"/>
      <c r="AC543" s="697"/>
      <c r="AD543" s="697"/>
      <c r="AE543" s="697"/>
      <c r="AF543" s="697"/>
      <c r="AG543" s="697"/>
      <c r="AH543" s="697"/>
      <c r="AI543" s="697"/>
      <c r="AJ543" s="697"/>
      <c r="AK543" s="697"/>
      <c r="AL543" s="697"/>
      <c r="AM543" s="697"/>
      <c r="AN543" s="697"/>
      <c r="AO543" s="697"/>
      <c r="AP543" s="697"/>
      <c r="AQ543" s="697"/>
      <c r="AR543" s="697"/>
      <c r="AS543" s="697"/>
      <c r="AT543" s="697"/>
      <c r="AU543" s="697"/>
      <c r="AV543" s="697"/>
      <c r="AW543" s="697"/>
      <c r="AX543" s="697"/>
      <c r="AY543" s="697"/>
      <c r="AZ543" s="697"/>
      <c r="BA543" s="697"/>
      <c r="BB543" s="697"/>
      <c r="BC543" s="697"/>
      <c r="BD543" s="697"/>
      <c r="BE543" s="697"/>
      <c r="BF543" s="697"/>
      <c r="BG543" s="697"/>
      <c r="BH543" s="697"/>
      <c r="BI543" s="697"/>
      <c r="BJ543" s="697"/>
      <c r="BK543" s="697"/>
      <c r="BL543" s="697"/>
      <c r="BM543" s="697"/>
      <c r="BN543" s="697"/>
      <c r="BO543" s="697"/>
      <c r="BP543" s="697"/>
      <c r="BQ543" s="697"/>
      <c r="BR543" s="697"/>
      <c r="BS543" s="697"/>
      <c r="BT543" s="697"/>
      <c r="BU543" s="697"/>
      <c r="BV543" s="697"/>
      <c r="BW543" s="697"/>
      <c r="BX543" s="697"/>
      <c r="BY543" s="697"/>
      <c r="BZ543" s="697"/>
      <c r="CA543" s="697"/>
      <c r="CB543" s="697"/>
      <c r="CC543" s="697"/>
      <c r="CD543" s="697"/>
      <c r="CE543" s="697"/>
      <c r="CF543" s="697"/>
      <c r="CG543" s="697"/>
      <c r="CH543" s="697"/>
      <c r="CI543" s="697"/>
      <c r="CJ543" s="697"/>
      <c r="CK543" s="697"/>
      <c r="CL543" s="697"/>
      <c r="CM543" s="697"/>
      <c r="CN543" s="697"/>
      <c r="CO543" s="697"/>
      <c r="CP543" s="697"/>
      <c r="CQ543" s="697"/>
      <c r="CR543" s="697"/>
      <c r="CS543" s="697"/>
      <c r="CT543" s="697"/>
      <c r="CU543" s="697"/>
      <c r="CV543" s="697"/>
      <c r="CW543" s="697"/>
      <c r="CX543" s="697"/>
      <c r="CY543" s="697"/>
      <c r="CZ543" s="697"/>
      <c r="DA543" s="697"/>
    </row>
    <row r="544" spans="1:105" hidden="1" outlineLevel="1" x14ac:dyDescent="0.2">
      <c r="A544" s="709">
        <f t="shared" si="98"/>
        <v>40299</v>
      </c>
      <c r="B544" s="709" t="str">
        <f t="shared" si="95"/>
        <v>2Q10</v>
      </c>
      <c r="C544" s="709" t="str">
        <f t="shared" si="99"/>
        <v>3Q10</v>
      </c>
      <c r="D544" s="710">
        <f t="shared" si="101"/>
        <v>40361</v>
      </c>
      <c r="E544" s="710">
        <f t="shared" si="101"/>
        <v>40301</v>
      </c>
      <c r="F544" s="712">
        <v>3.1219999999999999</v>
      </c>
      <c r="G544" s="713">
        <f t="shared" si="96"/>
        <v>0.40000000000000019</v>
      </c>
      <c r="H544" s="713">
        <f t="shared" si="97"/>
        <v>0.40000000000000019</v>
      </c>
      <c r="I544" s="697"/>
      <c r="J544" s="697"/>
      <c r="K544" s="697"/>
      <c r="L544" s="697"/>
      <c r="M544" s="697"/>
      <c r="N544" s="697"/>
      <c r="O544" s="697"/>
      <c r="P544" s="697"/>
      <c r="Q544" s="697"/>
      <c r="R544" s="697"/>
      <c r="S544" s="697"/>
      <c r="T544" s="697"/>
      <c r="U544" s="697"/>
      <c r="V544" s="697"/>
      <c r="W544" s="697"/>
      <c r="X544" s="697"/>
      <c r="Y544" s="697"/>
      <c r="Z544" s="697"/>
      <c r="AA544" s="697"/>
      <c r="AB544" s="697"/>
      <c r="AC544" s="697"/>
      <c r="AD544" s="697"/>
      <c r="AE544" s="697"/>
      <c r="AF544" s="697"/>
      <c r="AG544" s="697"/>
      <c r="AH544" s="697"/>
      <c r="AI544" s="697"/>
      <c r="AJ544" s="697"/>
      <c r="AK544" s="697"/>
      <c r="AL544" s="697"/>
      <c r="AM544" s="697"/>
      <c r="AN544" s="697"/>
      <c r="AO544" s="697"/>
      <c r="AP544" s="697"/>
      <c r="AQ544" s="697"/>
      <c r="AR544" s="697"/>
      <c r="AS544" s="697"/>
      <c r="AT544" s="697"/>
      <c r="AU544" s="697"/>
      <c r="AV544" s="697"/>
      <c r="AW544" s="697"/>
      <c r="AX544" s="697"/>
      <c r="AY544" s="697"/>
      <c r="AZ544" s="697"/>
      <c r="BA544" s="697"/>
      <c r="BB544" s="697"/>
      <c r="BC544" s="697"/>
      <c r="BD544" s="697"/>
      <c r="BE544" s="697"/>
      <c r="BF544" s="697"/>
      <c r="BG544" s="697"/>
      <c r="BH544" s="697"/>
      <c r="BI544" s="697"/>
      <c r="BJ544" s="697"/>
      <c r="BK544" s="697"/>
      <c r="BL544" s="697"/>
      <c r="BM544" s="697"/>
      <c r="BN544" s="697"/>
      <c r="BO544" s="697"/>
      <c r="BP544" s="697"/>
      <c r="BQ544" s="697"/>
      <c r="BR544" s="697"/>
      <c r="BS544" s="697"/>
      <c r="BT544" s="697"/>
      <c r="BU544" s="697"/>
      <c r="BV544" s="697"/>
      <c r="BW544" s="697"/>
      <c r="BX544" s="697"/>
      <c r="BY544" s="697"/>
      <c r="BZ544" s="697"/>
      <c r="CA544" s="697"/>
      <c r="CB544" s="697"/>
      <c r="CC544" s="697"/>
      <c r="CD544" s="697"/>
      <c r="CE544" s="697"/>
      <c r="CF544" s="697"/>
      <c r="CG544" s="697"/>
      <c r="CH544" s="697"/>
      <c r="CI544" s="697"/>
      <c r="CJ544" s="697"/>
      <c r="CK544" s="697"/>
      <c r="CL544" s="697"/>
      <c r="CM544" s="697"/>
      <c r="CN544" s="697"/>
      <c r="CO544" s="697"/>
      <c r="CP544" s="697"/>
      <c r="CQ544" s="697"/>
      <c r="CR544" s="697"/>
      <c r="CS544" s="697"/>
      <c r="CT544" s="697"/>
      <c r="CU544" s="697"/>
      <c r="CV544" s="697"/>
      <c r="CW544" s="697"/>
      <c r="CX544" s="697"/>
      <c r="CY544" s="697"/>
      <c r="CZ544" s="697"/>
      <c r="DA544" s="697"/>
    </row>
    <row r="545" spans="1:105" hidden="1" outlineLevel="1" x14ac:dyDescent="0.2">
      <c r="A545" s="709">
        <f t="shared" si="98"/>
        <v>40299</v>
      </c>
      <c r="B545" s="709" t="str">
        <f t="shared" si="95"/>
        <v>2Q10</v>
      </c>
      <c r="C545" s="709" t="str">
        <f t="shared" si="99"/>
        <v>3Q10</v>
      </c>
      <c r="D545" s="710">
        <f t="shared" si="101"/>
        <v>40368</v>
      </c>
      <c r="E545" s="710">
        <f t="shared" si="101"/>
        <v>40308</v>
      </c>
      <c r="F545" s="712">
        <v>3.1269999999999998</v>
      </c>
      <c r="G545" s="713">
        <f t="shared" si="96"/>
        <v>0.40000000000000019</v>
      </c>
      <c r="H545" s="713">
        <f t="shared" si="97"/>
        <v>0.39000000000000018</v>
      </c>
      <c r="I545" s="697"/>
      <c r="J545" s="697"/>
      <c r="K545" s="697"/>
      <c r="L545" s="697"/>
      <c r="M545" s="697"/>
      <c r="N545" s="697"/>
      <c r="O545" s="697"/>
      <c r="P545" s="697"/>
      <c r="Q545" s="697"/>
      <c r="R545" s="697"/>
      <c r="S545" s="697"/>
      <c r="T545" s="697"/>
      <c r="U545" s="697"/>
      <c r="V545" s="697"/>
      <c r="W545" s="697"/>
      <c r="X545" s="697"/>
      <c r="Y545" s="697"/>
      <c r="Z545" s="697"/>
      <c r="AA545" s="697"/>
      <c r="AB545" s="697"/>
      <c r="AC545" s="697"/>
      <c r="AD545" s="697"/>
      <c r="AE545" s="697"/>
      <c r="AF545" s="697"/>
      <c r="AG545" s="697"/>
      <c r="AH545" s="697"/>
      <c r="AI545" s="697"/>
      <c r="AJ545" s="697"/>
      <c r="AK545" s="697"/>
      <c r="AL545" s="697"/>
      <c r="AM545" s="697"/>
      <c r="AN545" s="697"/>
      <c r="AO545" s="697"/>
      <c r="AP545" s="697"/>
      <c r="AQ545" s="697"/>
      <c r="AR545" s="697"/>
      <c r="AS545" s="697"/>
      <c r="AT545" s="697"/>
      <c r="AU545" s="697"/>
      <c r="AV545" s="697"/>
      <c r="AW545" s="697"/>
      <c r="AX545" s="697"/>
      <c r="AY545" s="697"/>
      <c r="AZ545" s="697"/>
      <c r="BA545" s="697"/>
      <c r="BB545" s="697"/>
      <c r="BC545" s="697"/>
      <c r="BD545" s="697"/>
      <c r="BE545" s="697"/>
      <c r="BF545" s="697"/>
      <c r="BG545" s="697"/>
      <c r="BH545" s="697"/>
      <c r="BI545" s="697"/>
      <c r="BJ545" s="697"/>
      <c r="BK545" s="697"/>
      <c r="BL545" s="697"/>
      <c r="BM545" s="697"/>
      <c r="BN545" s="697"/>
      <c r="BO545" s="697"/>
      <c r="BP545" s="697"/>
      <c r="BQ545" s="697"/>
      <c r="BR545" s="697"/>
      <c r="BS545" s="697"/>
      <c r="BT545" s="697"/>
      <c r="BU545" s="697"/>
      <c r="BV545" s="697"/>
      <c r="BW545" s="697"/>
      <c r="BX545" s="697"/>
      <c r="BY545" s="697"/>
      <c r="BZ545" s="697"/>
      <c r="CA545" s="697"/>
      <c r="CB545" s="697"/>
      <c r="CC545" s="697"/>
      <c r="CD545" s="697"/>
      <c r="CE545" s="697"/>
      <c r="CF545" s="697"/>
      <c r="CG545" s="697"/>
      <c r="CH545" s="697"/>
      <c r="CI545" s="697"/>
      <c r="CJ545" s="697"/>
      <c r="CK545" s="697"/>
      <c r="CL545" s="697"/>
      <c r="CM545" s="697"/>
      <c r="CN545" s="697"/>
      <c r="CO545" s="697"/>
      <c r="CP545" s="697"/>
      <c r="CQ545" s="697"/>
      <c r="CR545" s="697"/>
      <c r="CS545" s="697"/>
      <c r="CT545" s="697"/>
      <c r="CU545" s="697"/>
      <c r="CV545" s="697"/>
      <c r="CW545" s="697"/>
      <c r="CX545" s="697"/>
      <c r="CY545" s="697"/>
      <c r="CZ545" s="697"/>
      <c r="DA545" s="697"/>
    </row>
    <row r="546" spans="1:105" hidden="1" outlineLevel="1" x14ac:dyDescent="0.2">
      <c r="A546" s="709">
        <f t="shared" si="98"/>
        <v>40299</v>
      </c>
      <c r="B546" s="709" t="str">
        <f t="shared" si="95"/>
        <v>2Q10</v>
      </c>
      <c r="C546" s="709" t="str">
        <f t="shared" si="99"/>
        <v>3Q10</v>
      </c>
      <c r="D546" s="710">
        <f t="shared" si="101"/>
        <v>40375</v>
      </c>
      <c r="E546" s="710">
        <f t="shared" si="101"/>
        <v>40315</v>
      </c>
      <c r="F546" s="712">
        <v>3.0939999999999999</v>
      </c>
      <c r="G546" s="713">
        <f t="shared" si="96"/>
        <v>0.39000000000000018</v>
      </c>
      <c r="H546" s="713">
        <f t="shared" si="97"/>
        <v>0.38000000000000017</v>
      </c>
      <c r="I546" s="697"/>
      <c r="J546" s="697"/>
      <c r="K546" s="697"/>
      <c r="L546" s="697"/>
      <c r="M546" s="697"/>
      <c r="N546" s="697"/>
      <c r="O546" s="697"/>
      <c r="P546" s="697"/>
      <c r="Q546" s="697"/>
      <c r="R546" s="697"/>
      <c r="S546" s="697"/>
      <c r="T546" s="697"/>
      <c r="U546" s="697"/>
      <c r="V546" s="697"/>
      <c r="W546" s="697"/>
      <c r="X546" s="697"/>
      <c r="Y546" s="697"/>
      <c r="Z546" s="697"/>
      <c r="AA546" s="697"/>
      <c r="AB546" s="697"/>
      <c r="AC546" s="697"/>
      <c r="AD546" s="697"/>
      <c r="AE546" s="697"/>
      <c r="AF546" s="697"/>
      <c r="AG546" s="697"/>
      <c r="AH546" s="697"/>
      <c r="AI546" s="697"/>
      <c r="AJ546" s="697"/>
      <c r="AK546" s="697"/>
      <c r="AL546" s="697"/>
      <c r="AM546" s="697"/>
      <c r="AN546" s="697"/>
      <c r="AO546" s="697"/>
      <c r="AP546" s="697"/>
      <c r="AQ546" s="697"/>
      <c r="AR546" s="697"/>
      <c r="AS546" s="697"/>
      <c r="AT546" s="697"/>
      <c r="AU546" s="697"/>
      <c r="AV546" s="697"/>
      <c r="AW546" s="697"/>
      <c r="AX546" s="697"/>
      <c r="AY546" s="697"/>
      <c r="AZ546" s="697"/>
      <c r="BA546" s="697"/>
      <c r="BB546" s="697"/>
      <c r="BC546" s="697"/>
      <c r="BD546" s="697"/>
      <c r="BE546" s="697"/>
      <c r="BF546" s="697"/>
      <c r="BG546" s="697"/>
      <c r="BH546" s="697"/>
      <c r="BI546" s="697"/>
      <c r="BJ546" s="697"/>
      <c r="BK546" s="697"/>
      <c r="BL546" s="697"/>
      <c r="BM546" s="697"/>
      <c r="BN546" s="697"/>
      <c r="BO546" s="697"/>
      <c r="BP546" s="697"/>
      <c r="BQ546" s="697"/>
      <c r="BR546" s="697"/>
      <c r="BS546" s="697"/>
      <c r="BT546" s="697"/>
      <c r="BU546" s="697"/>
      <c r="BV546" s="697"/>
      <c r="BW546" s="697"/>
      <c r="BX546" s="697"/>
      <c r="BY546" s="697"/>
      <c r="BZ546" s="697"/>
      <c r="CA546" s="697"/>
      <c r="CB546" s="697"/>
      <c r="CC546" s="697"/>
      <c r="CD546" s="697"/>
      <c r="CE546" s="697"/>
      <c r="CF546" s="697"/>
      <c r="CG546" s="697"/>
      <c r="CH546" s="697"/>
      <c r="CI546" s="697"/>
      <c r="CJ546" s="697"/>
      <c r="CK546" s="697"/>
      <c r="CL546" s="697"/>
      <c r="CM546" s="697"/>
      <c r="CN546" s="697"/>
      <c r="CO546" s="697"/>
      <c r="CP546" s="697"/>
      <c r="CQ546" s="697"/>
      <c r="CR546" s="697"/>
      <c r="CS546" s="697"/>
      <c r="CT546" s="697"/>
      <c r="CU546" s="697"/>
      <c r="CV546" s="697"/>
      <c r="CW546" s="697"/>
      <c r="CX546" s="697"/>
      <c r="CY546" s="697"/>
      <c r="CZ546" s="697"/>
      <c r="DA546" s="697"/>
    </row>
    <row r="547" spans="1:105" hidden="1" outlineLevel="1" x14ac:dyDescent="0.2">
      <c r="A547" s="709">
        <f t="shared" si="98"/>
        <v>40299</v>
      </c>
      <c r="B547" s="709" t="str">
        <f t="shared" si="95"/>
        <v>2Q10</v>
      </c>
      <c r="C547" s="709" t="str">
        <f t="shared" si="99"/>
        <v>3Q10</v>
      </c>
      <c r="D547" s="710">
        <f t="shared" si="101"/>
        <v>40382</v>
      </c>
      <c r="E547" s="710">
        <f t="shared" si="101"/>
        <v>40322</v>
      </c>
      <c r="F547" s="712">
        <v>3.0209999999999999</v>
      </c>
      <c r="G547" s="713">
        <f t="shared" si="96"/>
        <v>0.38000000000000017</v>
      </c>
      <c r="H547" s="713">
        <f t="shared" si="97"/>
        <v>0.37000000000000016</v>
      </c>
      <c r="I547" s="697"/>
      <c r="J547" s="697"/>
      <c r="K547" s="697"/>
      <c r="L547" s="697"/>
      <c r="M547" s="697"/>
      <c r="N547" s="697"/>
      <c r="O547" s="697"/>
      <c r="P547" s="697"/>
      <c r="Q547" s="697"/>
      <c r="R547" s="697"/>
      <c r="S547" s="697"/>
      <c r="T547" s="697"/>
      <c r="U547" s="697"/>
      <c r="V547" s="697"/>
      <c r="W547" s="697"/>
      <c r="X547" s="697"/>
      <c r="Y547" s="697"/>
      <c r="Z547" s="697"/>
      <c r="AA547" s="697"/>
      <c r="AB547" s="697"/>
      <c r="AC547" s="697"/>
      <c r="AD547" s="697"/>
      <c r="AE547" s="697"/>
      <c r="AF547" s="697"/>
      <c r="AG547" s="697"/>
      <c r="AH547" s="697"/>
      <c r="AI547" s="697"/>
      <c r="AJ547" s="697"/>
      <c r="AK547" s="697"/>
      <c r="AL547" s="697"/>
      <c r="AM547" s="697"/>
      <c r="AN547" s="697"/>
      <c r="AO547" s="697"/>
      <c r="AP547" s="697"/>
      <c r="AQ547" s="697"/>
      <c r="AR547" s="697"/>
      <c r="AS547" s="697"/>
      <c r="AT547" s="697"/>
      <c r="AU547" s="697"/>
      <c r="AV547" s="697"/>
      <c r="AW547" s="697"/>
      <c r="AX547" s="697"/>
      <c r="AY547" s="697"/>
      <c r="AZ547" s="697"/>
      <c r="BA547" s="697"/>
      <c r="BB547" s="697"/>
      <c r="BC547" s="697"/>
      <c r="BD547" s="697"/>
      <c r="BE547" s="697"/>
      <c r="BF547" s="697"/>
      <c r="BG547" s="697"/>
      <c r="BH547" s="697"/>
      <c r="BI547" s="697"/>
      <c r="BJ547" s="697"/>
      <c r="BK547" s="697"/>
      <c r="BL547" s="697"/>
      <c r="BM547" s="697"/>
      <c r="BN547" s="697"/>
      <c r="BO547" s="697"/>
      <c r="BP547" s="697"/>
      <c r="BQ547" s="697"/>
      <c r="BR547" s="697"/>
      <c r="BS547" s="697"/>
      <c r="BT547" s="697"/>
      <c r="BU547" s="697"/>
      <c r="BV547" s="697"/>
      <c r="BW547" s="697"/>
      <c r="BX547" s="697"/>
      <c r="BY547" s="697"/>
      <c r="BZ547" s="697"/>
      <c r="CA547" s="697"/>
      <c r="CB547" s="697"/>
      <c r="CC547" s="697"/>
      <c r="CD547" s="697"/>
      <c r="CE547" s="697"/>
      <c r="CF547" s="697"/>
      <c r="CG547" s="697"/>
      <c r="CH547" s="697"/>
      <c r="CI547" s="697"/>
      <c r="CJ547" s="697"/>
      <c r="CK547" s="697"/>
      <c r="CL547" s="697"/>
      <c r="CM547" s="697"/>
      <c r="CN547" s="697"/>
      <c r="CO547" s="697"/>
      <c r="CP547" s="697"/>
      <c r="CQ547" s="697"/>
      <c r="CR547" s="697"/>
      <c r="CS547" s="697"/>
      <c r="CT547" s="697"/>
      <c r="CU547" s="697"/>
      <c r="CV547" s="697"/>
      <c r="CW547" s="697"/>
      <c r="CX547" s="697"/>
      <c r="CY547" s="697"/>
      <c r="CZ547" s="697"/>
      <c r="DA547" s="697"/>
    </row>
    <row r="548" spans="1:105" hidden="1" outlineLevel="1" x14ac:dyDescent="0.2">
      <c r="A548" s="709">
        <f t="shared" si="98"/>
        <v>40299</v>
      </c>
      <c r="B548" s="709" t="str">
        <f t="shared" si="95"/>
        <v>2Q10</v>
      </c>
      <c r="C548" s="709" t="str">
        <f t="shared" si="99"/>
        <v>3Q10</v>
      </c>
      <c r="D548" s="710">
        <f t="shared" si="101"/>
        <v>40389</v>
      </c>
      <c r="E548" s="710">
        <f t="shared" si="101"/>
        <v>40329</v>
      </c>
      <c r="F548" s="712">
        <v>2.98</v>
      </c>
      <c r="G548" s="713">
        <f t="shared" si="96"/>
        <v>0.37000000000000016</v>
      </c>
      <c r="H548" s="713">
        <f t="shared" si="97"/>
        <v>0.36000000000000015</v>
      </c>
      <c r="I548" s="697"/>
      <c r="J548" s="697"/>
      <c r="K548" s="697"/>
      <c r="L548" s="697"/>
      <c r="M548" s="697"/>
      <c r="N548" s="697"/>
      <c r="O548" s="697"/>
      <c r="P548" s="697"/>
      <c r="Q548" s="697"/>
      <c r="R548" s="697"/>
      <c r="S548" s="697"/>
      <c r="T548" s="697"/>
      <c r="U548" s="697"/>
      <c r="V548" s="697"/>
      <c r="W548" s="697"/>
      <c r="X548" s="697"/>
      <c r="Y548" s="697"/>
      <c r="Z548" s="697"/>
      <c r="AA548" s="697"/>
      <c r="AB548" s="697"/>
      <c r="AC548" s="697"/>
      <c r="AD548" s="697"/>
      <c r="AE548" s="697"/>
      <c r="AF548" s="697"/>
      <c r="AG548" s="697"/>
      <c r="AH548" s="697"/>
      <c r="AI548" s="697"/>
      <c r="AJ548" s="697"/>
      <c r="AK548" s="697"/>
      <c r="AL548" s="697"/>
      <c r="AM548" s="697"/>
      <c r="AN548" s="697"/>
      <c r="AO548" s="697"/>
      <c r="AP548" s="697"/>
      <c r="AQ548" s="697"/>
      <c r="AR548" s="697"/>
      <c r="AS548" s="697"/>
      <c r="AT548" s="697"/>
      <c r="AU548" s="697"/>
      <c r="AV548" s="697"/>
      <c r="AW548" s="697"/>
      <c r="AX548" s="697"/>
      <c r="AY548" s="697"/>
      <c r="AZ548" s="697"/>
      <c r="BA548" s="697"/>
      <c r="BB548" s="697"/>
      <c r="BC548" s="697"/>
      <c r="BD548" s="697"/>
      <c r="BE548" s="697"/>
      <c r="BF548" s="697"/>
      <c r="BG548" s="697"/>
      <c r="BH548" s="697"/>
      <c r="BI548" s="697"/>
      <c r="BJ548" s="697"/>
      <c r="BK548" s="697"/>
      <c r="BL548" s="697"/>
      <c r="BM548" s="697"/>
      <c r="BN548" s="697"/>
      <c r="BO548" s="697"/>
      <c r="BP548" s="697"/>
      <c r="BQ548" s="697"/>
      <c r="BR548" s="697"/>
      <c r="BS548" s="697"/>
      <c r="BT548" s="697"/>
      <c r="BU548" s="697"/>
      <c r="BV548" s="697"/>
      <c r="BW548" s="697"/>
      <c r="BX548" s="697"/>
      <c r="BY548" s="697"/>
      <c r="BZ548" s="697"/>
      <c r="CA548" s="697"/>
      <c r="CB548" s="697"/>
      <c r="CC548" s="697"/>
      <c r="CD548" s="697"/>
      <c r="CE548" s="697"/>
      <c r="CF548" s="697"/>
      <c r="CG548" s="697"/>
      <c r="CH548" s="697"/>
      <c r="CI548" s="697"/>
      <c r="CJ548" s="697"/>
      <c r="CK548" s="697"/>
      <c r="CL548" s="697"/>
      <c r="CM548" s="697"/>
      <c r="CN548" s="697"/>
      <c r="CO548" s="697"/>
      <c r="CP548" s="697"/>
      <c r="CQ548" s="697"/>
      <c r="CR548" s="697"/>
      <c r="CS548" s="697"/>
      <c r="CT548" s="697"/>
      <c r="CU548" s="697"/>
      <c r="CV548" s="697"/>
      <c r="CW548" s="697"/>
      <c r="CX548" s="697"/>
      <c r="CY548" s="697"/>
      <c r="CZ548" s="697"/>
      <c r="DA548" s="697"/>
    </row>
    <row r="549" spans="1:105" hidden="1" outlineLevel="1" x14ac:dyDescent="0.2">
      <c r="A549" s="709">
        <f t="shared" si="98"/>
        <v>40330</v>
      </c>
      <c r="B549" s="709" t="str">
        <f t="shared" si="95"/>
        <v>2Q10</v>
      </c>
      <c r="C549" s="709" t="str">
        <f t="shared" si="99"/>
        <v>3Q10</v>
      </c>
      <c r="D549" s="710">
        <f t="shared" ref="D549:E564" si="102">D548+7</f>
        <v>40396</v>
      </c>
      <c r="E549" s="710">
        <f t="shared" si="102"/>
        <v>40336</v>
      </c>
      <c r="F549" s="712">
        <v>2.9460000000000002</v>
      </c>
      <c r="G549" s="713">
        <f t="shared" si="96"/>
        <v>0.36000000000000015</v>
      </c>
      <c r="H549" s="713">
        <f t="shared" si="97"/>
        <v>0.36000000000000015</v>
      </c>
      <c r="I549" s="697"/>
      <c r="J549" s="697"/>
      <c r="K549" s="697"/>
      <c r="L549" s="697"/>
      <c r="M549" s="697"/>
      <c r="N549" s="697"/>
      <c r="O549" s="697"/>
      <c r="P549" s="697"/>
      <c r="Q549" s="697"/>
      <c r="R549" s="697"/>
      <c r="S549" s="697"/>
      <c r="T549" s="697"/>
      <c r="U549" s="697"/>
      <c r="V549" s="697"/>
      <c r="W549" s="697"/>
      <c r="X549" s="697"/>
      <c r="Y549" s="697"/>
      <c r="Z549" s="697"/>
      <c r="AA549" s="697"/>
      <c r="AB549" s="697"/>
      <c r="AC549" s="697"/>
      <c r="AD549" s="697"/>
      <c r="AE549" s="697"/>
      <c r="AF549" s="697"/>
      <c r="AG549" s="697"/>
      <c r="AH549" s="697"/>
      <c r="AI549" s="697"/>
      <c r="AJ549" s="697"/>
      <c r="AK549" s="697"/>
      <c r="AL549" s="697"/>
      <c r="AM549" s="697"/>
      <c r="AN549" s="697"/>
      <c r="AO549" s="697"/>
      <c r="AP549" s="697"/>
      <c r="AQ549" s="697"/>
      <c r="AR549" s="697"/>
      <c r="AS549" s="697"/>
      <c r="AT549" s="697"/>
      <c r="AU549" s="697"/>
      <c r="AV549" s="697"/>
      <c r="AW549" s="697"/>
      <c r="AX549" s="697"/>
      <c r="AY549" s="697"/>
      <c r="AZ549" s="697"/>
      <c r="BA549" s="697"/>
      <c r="BB549" s="697"/>
      <c r="BC549" s="697"/>
      <c r="BD549" s="697"/>
      <c r="BE549" s="697"/>
      <c r="BF549" s="697"/>
      <c r="BG549" s="697"/>
      <c r="BH549" s="697"/>
      <c r="BI549" s="697"/>
      <c r="BJ549" s="697"/>
      <c r="BK549" s="697"/>
      <c r="BL549" s="697"/>
      <c r="BM549" s="697"/>
      <c r="BN549" s="697"/>
      <c r="BO549" s="697"/>
      <c r="BP549" s="697"/>
      <c r="BQ549" s="697"/>
      <c r="BR549" s="697"/>
      <c r="BS549" s="697"/>
      <c r="BT549" s="697"/>
      <c r="BU549" s="697"/>
      <c r="BV549" s="697"/>
      <c r="BW549" s="697"/>
      <c r="BX549" s="697"/>
      <c r="BY549" s="697"/>
      <c r="BZ549" s="697"/>
      <c r="CA549" s="697"/>
      <c r="CB549" s="697"/>
      <c r="CC549" s="697"/>
      <c r="CD549" s="697"/>
      <c r="CE549" s="697"/>
      <c r="CF549" s="697"/>
      <c r="CG549" s="697"/>
      <c r="CH549" s="697"/>
      <c r="CI549" s="697"/>
      <c r="CJ549" s="697"/>
      <c r="CK549" s="697"/>
      <c r="CL549" s="697"/>
      <c r="CM549" s="697"/>
      <c r="CN549" s="697"/>
      <c r="CO549" s="697"/>
      <c r="CP549" s="697"/>
      <c r="CQ549" s="697"/>
      <c r="CR549" s="697"/>
      <c r="CS549" s="697"/>
      <c r="CT549" s="697"/>
      <c r="CU549" s="697"/>
      <c r="CV549" s="697"/>
      <c r="CW549" s="697"/>
      <c r="CX549" s="697"/>
      <c r="CY549" s="697"/>
      <c r="CZ549" s="697"/>
      <c r="DA549" s="697"/>
    </row>
    <row r="550" spans="1:105" hidden="1" outlineLevel="1" x14ac:dyDescent="0.2">
      <c r="A550" s="709">
        <f t="shared" si="98"/>
        <v>40330</v>
      </c>
      <c r="B550" s="709" t="str">
        <f t="shared" si="95"/>
        <v>2Q10</v>
      </c>
      <c r="C550" s="709" t="str">
        <f t="shared" si="99"/>
        <v>3Q10</v>
      </c>
      <c r="D550" s="710">
        <f t="shared" si="102"/>
        <v>40403</v>
      </c>
      <c r="E550" s="710">
        <f t="shared" si="102"/>
        <v>40343</v>
      </c>
      <c r="F550" s="712">
        <v>2.9279999999999999</v>
      </c>
      <c r="G550" s="713">
        <f t="shared" si="96"/>
        <v>0.36000000000000015</v>
      </c>
      <c r="H550" s="713">
        <f t="shared" si="97"/>
        <v>0.37000000000000016</v>
      </c>
      <c r="I550" s="697"/>
      <c r="J550" s="697"/>
      <c r="K550" s="697"/>
      <c r="L550" s="697"/>
      <c r="M550" s="697"/>
      <c r="N550" s="697"/>
      <c r="O550" s="697"/>
      <c r="P550" s="697"/>
      <c r="Q550" s="697"/>
      <c r="R550" s="697"/>
      <c r="S550" s="697"/>
      <c r="T550" s="697"/>
      <c r="U550" s="697"/>
      <c r="V550" s="697"/>
      <c r="W550" s="697"/>
      <c r="X550" s="697"/>
      <c r="Y550" s="697"/>
      <c r="Z550" s="697"/>
      <c r="AA550" s="697"/>
      <c r="AB550" s="697"/>
      <c r="AC550" s="697"/>
      <c r="AD550" s="697"/>
      <c r="AE550" s="697"/>
      <c r="AF550" s="697"/>
      <c r="AG550" s="697"/>
      <c r="AH550" s="697"/>
      <c r="AI550" s="697"/>
      <c r="AJ550" s="697"/>
      <c r="AK550" s="697"/>
      <c r="AL550" s="697"/>
      <c r="AM550" s="697"/>
      <c r="AN550" s="697"/>
      <c r="AO550" s="697"/>
      <c r="AP550" s="697"/>
      <c r="AQ550" s="697"/>
      <c r="AR550" s="697"/>
      <c r="AS550" s="697"/>
      <c r="AT550" s="697"/>
      <c r="AU550" s="697"/>
      <c r="AV550" s="697"/>
      <c r="AW550" s="697"/>
      <c r="AX550" s="697"/>
      <c r="AY550" s="697"/>
      <c r="AZ550" s="697"/>
      <c r="BA550" s="697"/>
      <c r="BB550" s="697"/>
      <c r="BC550" s="697"/>
      <c r="BD550" s="697"/>
      <c r="BE550" s="697"/>
      <c r="BF550" s="697"/>
      <c r="BG550" s="697"/>
      <c r="BH550" s="697"/>
      <c r="BI550" s="697"/>
      <c r="BJ550" s="697"/>
      <c r="BK550" s="697"/>
      <c r="BL550" s="697"/>
      <c r="BM550" s="697"/>
      <c r="BN550" s="697"/>
      <c r="BO550" s="697"/>
      <c r="BP550" s="697"/>
      <c r="BQ550" s="697"/>
      <c r="BR550" s="697"/>
      <c r="BS550" s="697"/>
      <c r="BT550" s="697"/>
      <c r="BU550" s="697"/>
      <c r="BV550" s="697"/>
      <c r="BW550" s="697"/>
      <c r="BX550" s="697"/>
      <c r="BY550" s="697"/>
      <c r="BZ550" s="697"/>
      <c r="CA550" s="697"/>
      <c r="CB550" s="697"/>
      <c r="CC550" s="697"/>
      <c r="CD550" s="697"/>
      <c r="CE550" s="697"/>
      <c r="CF550" s="697"/>
      <c r="CG550" s="697"/>
      <c r="CH550" s="697"/>
      <c r="CI550" s="697"/>
      <c r="CJ550" s="697"/>
      <c r="CK550" s="697"/>
      <c r="CL550" s="697"/>
      <c r="CM550" s="697"/>
      <c r="CN550" s="697"/>
      <c r="CO550" s="697"/>
      <c r="CP550" s="697"/>
      <c r="CQ550" s="697"/>
      <c r="CR550" s="697"/>
      <c r="CS550" s="697"/>
      <c r="CT550" s="697"/>
      <c r="CU550" s="697"/>
      <c r="CV550" s="697"/>
      <c r="CW550" s="697"/>
      <c r="CX550" s="697"/>
      <c r="CY550" s="697"/>
      <c r="CZ550" s="697"/>
      <c r="DA550" s="697"/>
    </row>
    <row r="551" spans="1:105" hidden="1" outlineLevel="1" x14ac:dyDescent="0.2">
      <c r="A551" s="709">
        <f t="shared" si="98"/>
        <v>40330</v>
      </c>
      <c r="B551" s="709" t="str">
        <f t="shared" si="95"/>
        <v>2Q10</v>
      </c>
      <c r="C551" s="709" t="str">
        <f t="shared" si="99"/>
        <v>3Q10</v>
      </c>
      <c r="D551" s="710">
        <f t="shared" si="102"/>
        <v>40410</v>
      </c>
      <c r="E551" s="710">
        <f t="shared" si="102"/>
        <v>40350</v>
      </c>
      <c r="F551" s="712">
        <v>2.9609999999999999</v>
      </c>
      <c r="G551" s="713">
        <f t="shared" si="96"/>
        <v>0.37000000000000016</v>
      </c>
      <c r="H551" s="713">
        <f t="shared" si="97"/>
        <v>0.37000000000000016</v>
      </c>
      <c r="I551" s="697"/>
      <c r="J551" s="697"/>
      <c r="K551" s="697"/>
      <c r="L551" s="697"/>
      <c r="M551" s="697"/>
      <c r="N551" s="697"/>
      <c r="O551" s="697"/>
      <c r="P551" s="697"/>
      <c r="Q551" s="697"/>
      <c r="R551" s="697"/>
      <c r="S551" s="697"/>
      <c r="T551" s="697"/>
      <c r="U551" s="697"/>
      <c r="V551" s="697"/>
      <c r="W551" s="697"/>
      <c r="X551" s="697"/>
      <c r="Y551" s="697"/>
      <c r="Z551" s="697"/>
      <c r="AA551" s="697"/>
      <c r="AB551" s="697"/>
      <c r="AC551" s="697"/>
      <c r="AD551" s="697"/>
      <c r="AE551" s="697"/>
      <c r="AF551" s="697"/>
      <c r="AG551" s="697"/>
      <c r="AH551" s="697"/>
      <c r="AI551" s="697"/>
      <c r="AJ551" s="697"/>
      <c r="AK551" s="697"/>
      <c r="AL551" s="697"/>
      <c r="AM551" s="697"/>
      <c r="AN551" s="697"/>
      <c r="AO551" s="697"/>
      <c r="AP551" s="697"/>
      <c r="AQ551" s="697"/>
      <c r="AR551" s="697"/>
      <c r="AS551" s="697"/>
      <c r="AT551" s="697"/>
      <c r="AU551" s="697"/>
      <c r="AV551" s="697"/>
      <c r="AW551" s="697"/>
      <c r="AX551" s="697"/>
      <c r="AY551" s="697"/>
      <c r="AZ551" s="697"/>
      <c r="BA551" s="697"/>
      <c r="BB551" s="697"/>
      <c r="BC551" s="697"/>
      <c r="BD551" s="697"/>
      <c r="BE551" s="697"/>
      <c r="BF551" s="697"/>
      <c r="BG551" s="697"/>
      <c r="BH551" s="697"/>
      <c r="BI551" s="697"/>
      <c r="BJ551" s="697"/>
      <c r="BK551" s="697"/>
      <c r="BL551" s="697"/>
      <c r="BM551" s="697"/>
      <c r="BN551" s="697"/>
      <c r="BO551" s="697"/>
      <c r="BP551" s="697"/>
      <c r="BQ551" s="697"/>
      <c r="BR551" s="697"/>
      <c r="BS551" s="697"/>
      <c r="BT551" s="697"/>
      <c r="BU551" s="697"/>
      <c r="BV551" s="697"/>
      <c r="BW551" s="697"/>
      <c r="BX551" s="697"/>
      <c r="BY551" s="697"/>
      <c r="BZ551" s="697"/>
      <c r="CA551" s="697"/>
      <c r="CB551" s="697"/>
      <c r="CC551" s="697"/>
      <c r="CD551" s="697"/>
      <c r="CE551" s="697"/>
      <c r="CF551" s="697"/>
      <c r="CG551" s="697"/>
      <c r="CH551" s="697"/>
      <c r="CI551" s="697"/>
      <c r="CJ551" s="697"/>
      <c r="CK551" s="697"/>
      <c r="CL551" s="697"/>
      <c r="CM551" s="697"/>
      <c r="CN551" s="697"/>
      <c r="CO551" s="697"/>
      <c r="CP551" s="697"/>
      <c r="CQ551" s="697"/>
      <c r="CR551" s="697"/>
      <c r="CS551" s="697"/>
      <c r="CT551" s="697"/>
      <c r="CU551" s="697"/>
      <c r="CV551" s="697"/>
      <c r="CW551" s="697"/>
      <c r="CX551" s="697"/>
      <c r="CY551" s="697"/>
      <c r="CZ551" s="697"/>
      <c r="DA551" s="697"/>
    </row>
    <row r="552" spans="1:105" hidden="1" outlineLevel="1" x14ac:dyDescent="0.2">
      <c r="A552" s="709">
        <f t="shared" si="98"/>
        <v>40330</v>
      </c>
      <c r="B552" s="709" t="str">
        <f t="shared" si="95"/>
        <v>2Q10</v>
      </c>
      <c r="C552" s="709" t="str">
        <f t="shared" si="99"/>
        <v>3Q10</v>
      </c>
      <c r="D552" s="710">
        <f t="shared" si="102"/>
        <v>40417</v>
      </c>
      <c r="E552" s="710">
        <f t="shared" si="102"/>
        <v>40357</v>
      </c>
      <c r="F552" s="712">
        <v>2.956</v>
      </c>
      <c r="G552" s="713">
        <f t="shared" si="96"/>
        <v>0.37000000000000016</v>
      </c>
      <c r="H552" s="713">
        <f t="shared" si="97"/>
        <v>0.36000000000000015</v>
      </c>
      <c r="I552" s="697"/>
      <c r="J552" s="697"/>
      <c r="K552" s="697"/>
      <c r="L552" s="697"/>
      <c r="M552" s="697"/>
      <c r="N552" s="697"/>
      <c r="O552" s="697"/>
      <c r="P552" s="697"/>
      <c r="Q552" s="697"/>
      <c r="R552" s="697"/>
      <c r="S552" s="697"/>
      <c r="T552" s="697"/>
      <c r="U552" s="697"/>
      <c r="V552" s="697"/>
      <c r="W552" s="697"/>
      <c r="X552" s="697"/>
      <c r="Y552" s="697"/>
      <c r="Z552" s="697"/>
      <c r="AA552" s="697"/>
      <c r="AB552" s="697"/>
      <c r="AC552" s="697"/>
      <c r="AD552" s="697"/>
      <c r="AE552" s="697"/>
      <c r="AF552" s="697"/>
      <c r="AG552" s="697"/>
      <c r="AH552" s="697"/>
      <c r="AI552" s="697"/>
      <c r="AJ552" s="697"/>
      <c r="AK552" s="697"/>
      <c r="AL552" s="697"/>
      <c r="AM552" s="697"/>
      <c r="AN552" s="697"/>
      <c r="AO552" s="697"/>
      <c r="AP552" s="697"/>
      <c r="AQ552" s="697"/>
      <c r="AR552" s="697"/>
      <c r="AS552" s="697"/>
      <c r="AT552" s="697"/>
      <c r="AU552" s="697"/>
      <c r="AV552" s="697"/>
      <c r="AW552" s="697"/>
      <c r="AX552" s="697"/>
      <c r="AY552" s="697"/>
      <c r="AZ552" s="697"/>
      <c r="BA552" s="697"/>
      <c r="BB552" s="697"/>
      <c r="BC552" s="697"/>
      <c r="BD552" s="697"/>
      <c r="BE552" s="697"/>
      <c r="BF552" s="697"/>
      <c r="BG552" s="697"/>
      <c r="BH552" s="697"/>
      <c r="BI552" s="697"/>
      <c r="BJ552" s="697"/>
      <c r="BK552" s="697"/>
      <c r="BL552" s="697"/>
      <c r="BM552" s="697"/>
      <c r="BN552" s="697"/>
      <c r="BO552" s="697"/>
      <c r="BP552" s="697"/>
      <c r="BQ552" s="697"/>
      <c r="BR552" s="697"/>
      <c r="BS552" s="697"/>
      <c r="BT552" s="697"/>
      <c r="BU552" s="697"/>
      <c r="BV552" s="697"/>
      <c r="BW552" s="697"/>
      <c r="BX552" s="697"/>
      <c r="BY552" s="697"/>
      <c r="BZ552" s="697"/>
      <c r="CA552" s="697"/>
      <c r="CB552" s="697"/>
      <c r="CC552" s="697"/>
      <c r="CD552" s="697"/>
      <c r="CE552" s="697"/>
      <c r="CF552" s="697"/>
      <c r="CG552" s="697"/>
      <c r="CH552" s="697"/>
      <c r="CI552" s="697"/>
      <c r="CJ552" s="697"/>
      <c r="CK552" s="697"/>
      <c r="CL552" s="697"/>
      <c r="CM552" s="697"/>
      <c r="CN552" s="697"/>
      <c r="CO552" s="697"/>
      <c r="CP552" s="697"/>
      <c r="CQ552" s="697"/>
      <c r="CR552" s="697"/>
      <c r="CS552" s="697"/>
      <c r="CT552" s="697"/>
      <c r="CU552" s="697"/>
      <c r="CV552" s="697"/>
      <c r="CW552" s="697"/>
      <c r="CX552" s="697"/>
      <c r="CY552" s="697"/>
      <c r="CZ552" s="697"/>
      <c r="DA552" s="697"/>
    </row>
    <row r="553" spans="1:105" hidden="1" outlineLevel="1" x14ac:dyDescent="0.2">
      <c r="A553" s="709">
        <f t="shared" si="98"/>
        <v>40360</v>
      </c>
      <c r="B553" s="709" t="str">
        <f t="shared" si="95"/>
        <v>3Q10</v>
      </c>
      <c r="C553" s="709" t="str">
        <f t="shared" si="99"/>
        <v>3Q10</v>
      </c>
      <c r="D553" s="710">
        <f t="shared" si="102"/>
        <v>40424</v>
      </c>
      <c r="E553" s="710">
        <f t="shared" si="102"/>
        <v>40364</v>
      </c>
      <c r="F553" s="712">
        <v>2.9239999999999999</v>
      </c>
      <c r="G553" s="713">
        <f t="shared" si="96"/>
        <v>0.36000000000000015</v>
      </c>
      <c r="H553" s="713">
        <f t="shared" si="97"/>
        <v>0.36000000000000015</v>
      </c>
      <c r="I553" s="697"/>
      <c r="J553" s="697"/>
      <c r="K553" s="697"/>
      <c r="L553" s="697"/>
      <c r="M553" s="697"/>
      <c r="N553" s="697"/>
      <c r="O553" s="697"/>
      <c r="P553" s="697"/>
      <c r="Q553" s="697"/>
      <c r="R553" s="697"/>
      <c r="S553" s="697"/>
      <c r="T553" s="697"/>
      <c r="U553" s="697"/>
      <c r="V553" s="697"/>
      <c r="W553" s="697"/>
      <c r="X553" s="697"/>
      <c r="Y553" s="697"/>
      <c r="Z553" s="697"/>
      <c r="AA553" s="697"/>
      <c r="AB553" s="697"/>
      <c r="AC553" s="697"/>
      <c r="AD553" s="697"/>
      <c r="AE553" s="697"/>
      <c r="AF553" s="697"/>
      <c r="AG553" s="697"/>
      <c r="AH553" s="697"/>
      <c r="AI553" s="697"/>
      <c r="AJ553" s="697"/>
      <c r="AK553" s="697"/>
      <c r="AL553" s="697"/>
      <c r="AM553" s="697"/>
      <c r="AN553" s="697"/>
      <c r="AO553" s="697"/>
      <c r="AP553" s="697"/>
      <c r="AQ553" s="697"/>
      <c r="AR553" s="697"/>
      <c r="AS553" s="697"/>
      <c r="AT553" s="697"/>
      <c r="AU553" s="697"/>
      <c r="AV553" s="697"/>
      <c r="AW553" s="697"/>
      <c r="AX553" s="697"/>
      <c r="AY553" s="697"/>
      <c r="AZ553" s="697"/>
      <c r="BA553" s="697"/>
      <c r="BB553" s="697"/>
      <c r="BC553" s="697"/>
      <c r="BD553" s="697"/>
      <c r="BE553" s="697"/>
      <c r="BF553" s="697"/>
      <c r="BG553" s="697"/>
      <c r="BH553" s="697"/>
      <c r="BI553" s="697"/>
      <c r="BJ553" s="697"/>
      <c r="BK553" s="697"/>
      <c r="BL553" s="697"/>
      <c r="BM553" s="697"/>
      <c r="BN553" s="697"/>
      <c r="BO553" s="697"/>
      <c r="BP553" s="697"/>
      <c r="BQ553" s="697"/>
      <c r="BR553" s="697"/>
      <c r="BS553" s="697"/>
      <c r="BT553" s="697"/>
      <c r="BU553" s="697"/>
      <c r="BV553" s="697"/>
      <c r="BW553" s="697"/>
      <c r="BX553" s="697"/>
      <c r="BY553" s="697"/>
      <c r="BZ553" s="697"/>
      <c r="CA553" s="697"/>
      <c r="CB553" s="697"/>
      <c r="CC553" s="697"/>
      <c r="CD553" s="697"/>
      <c r="CE553" s="697"/>
      <c r="CF553" s="697"/>
      <c r="CG553" s="697"/>
      <c r="CH553" s="697"/>
      <c r="CI553" s="697"/>
      <c r="CJ553" s="697"/>
      <c r="CK553" s="697"/>
      <c r="CL553" s="697"/>
      <c r="CM553" s="697"/>
      <c r="CN553" s="697"/>
      <c r="CO553" s="697"/>
      <c r="CP553" s="697"/>
      <c r="CQ553" s="697"/>
      <c r="CR553" s="697"/>
      <c r="CS553" s="697"/>
      <c r="CT553" s="697"/>
      <c r="CU553" s="697"/>
      <c r="CV553" s="697"/>
      <c r="CW553" s="697"/>
      <c r="CX553" s="697"/>
      <c r="CY553" s="697"/>
      <c r="CZ553" s="697"/>
      <c r="DA553" s="697"/>
    </row>
    <row r="554" spans="1:105" hidden="1" outlineLevel="1" x14ac:dyDescent="0.2">
      <c r="A554" s="709">
        <f t="shared" si="98"/>
        <v>40360</v>
      </c>
      <c r="B554" s="709" t="str">
        <f t="shared" si="95"/>
        <v>3Q10</v>
      </c>
      <c r="C554" s="709" t="str">
        <f t="shared" si="99"/>
        <v>3Q10</v>
      </c>
      <c r="D554" s="710">
        <f t="shared" si="102"/>
        <v>40431</v>
      </c>
      <c r="E554" s="710">
        <f t="shared" si="102"/>
        <v>40371</v>
      </c>
      <c r="F554" s="712">
        <v>2.903</v>
      </c>
      <c r="G554" s="713">
        <f t="shared" si="96"/>
        <v>0.36000000000000015</v>
      </c>
      <c r="H554" s="713">
        <f t="shared" si="97"/>
        <v>0.35000000000000014</v>
      </c>
      <c r="I554" s="697"/>
      <c r="J554" s="697"/>
      <c r="K554" s="697"/>
      <c r="L554" s="697"/>
      <c r="M554" s="697"/>
      <c r="N554" s="697"/>
      <c r="O554" s="697"/>
      <c r="P554" s="697"/>
      <c r="Q554" s="697"/>
      <c r="R554" s="697"/>
      <c r="S554" s="697"/>
      <c r="T554" s="697"/>
      <c r="U554" s="697"/>
      <c r="V554" s="697"/>
      <c r="W554" s="697"/>
      <c r="X554" s="697"/>
      <c r="Y554" s="697"/>
      <c r="Z554" s="697"/>
      <c r="AA554" s="697"/>
      <c r="AB554" s="697"/>
      <c r="AC554" s="697"/>
      <c r="AD554" s="697"/>
      <c r="AE554" s="697"/>
      <c r="AF554" s="697"/>
      <c r="AG554" s="697"/>
      <c r="AH554" s="697"/>
      <c r="AI554" s="697"/>
      <c r="AJ554" s="697"/>
      <c r="AK554" s="697"/>
      <c r="AL554" s="697"/>
      <c r="AM554" s="697"/>
      <c r="AN554" s="697"/>
      <c r="AO554" s="697"/>
      <c r="AP554" s="697"/>
      <c r="AQ554" s="697"/>
      <c r="AR554" s="697"/>
      <c r="AS554" s="697"/>
      <c r="AT554" s="697"/>
      <c r="AU554" s="697"/>
      <c r="AV554" s="697"/>
      <c r="AW554" s="697"/>
      <c r="AX554" s="697"/>
      <c r="AY554" s="697"/>
      <c r="AZ554" s="697"/>
      <c r="BA554" s="697"/>
      <c r="BB554" s="697"/>
      <c r="BC554" s="697"/>
      <c r="BD554" s="697"/>
      <c r="BE554" s="697"/>
      <c r="BF554" s="697"/>
      <c r="BG554" s="697"/>
      <c r="BH554" s="697"/>
      <c r="BI554" s="697"/>
      <c r="BJ554" s="697"/>
      <c r="BK554" s="697"/>
      <c r="BL554" s="697"/>
      <c r="BM554" s="697"/>
      <c r="BN554" s="697"/>
      <c r="BO554" s="697"/>
      <c r="BP554" s="697"/>
      <c r="BQ554" s="697"/>
      <c r="BR554" s="697"/>
      <c r="BS554" s="697"/>
      <c r="BT554" s="697"/>
      <c r="BU554" s="697"/>
      <c r="BV554" s="697"/>
      <c r="BW554" s="697"/>
      <c r="BX554" s="697"/>
      <c r="BY554" s="697"/>
      <c r="BZ554" s="697"/>
      <c r="CA554" s="697"/>
      <c r="CB554" s="697"/>
      <c r="CC554" s="697"/>
      <c r="CD554" s="697"/>
      <c r="CE554" s="697"/>
      <c r="CF554" s="697"/>
      <c r="CG554" s="697"/>
      <c r="CH554" s="697"/>
      <c r="CI554" s="697"/>
      <c r="CJ554" s="697"/>
      <c r="CK554" s="697"/>
      <c r="CL554" s="697"/>
      <c r="CM554" s="697"/>
      <c r="CN554" s="697"/>
      <c r="CO554" s="697"/>
      <c r="CP554" s="697"/>
      <c r="CQ554" s="697"/>
      <c r="CR554" s="697"/>
      <c r="CS554" s="697"/>
      <c r="CT554" s="697"/>
      <c r="CU554" s="697"/>
      <c r="CV554" s="697"/>
      <c r="CW554" s="697"/>
      <c r="CX554" s="697"/>
      <c r="CY554" s="697"/>
      <c r="CZ554" s="697"/>
      <c r="DA554" s="697"/>
    </row>
    <row r="555" spans="1:105" hidden="1" outlineLevel="1" x14ac:dyDescent="0.2">
      <c r="A555" s="709">
        <f t="shared" si="98"/>
        <v>40360</v>
      </c>
      <c r="B555" s="709" t="str">
        <f t="shared" si="95"/>
        <v>3Q10</v>
      </c>
      <c r="C555" s="709" t="str">
        <f t="shared" si="99"/>
        <v>3Q10</v>
      </c>
      <c r="D555" s="710">
        <f t="shared" si="102"/>
        <v>40438</v>
      </c>
      <c r="E555" s="710">
        <f t="shared" si="102"/>
        <v>40378</v>
      </c>
      <c r="F555" s="712">
        <v>2.899</v>
      </c>
      <c r="G555" s="713">
        <f t="shared" si="96"/>
        <v>0.35000000000000014</v>
      </c>
      <c r="H555" s="713">
        <f t="shared" si="97"/>
        <v>0.36000000000000015</v>
      </c>
      <c r="I555" s="697"/>
      <c r="J555" s="697"/>
      <c r="K555" s="697"/>
      <c r="L555" s="697"/>
      <c r="M555" s="697"/>
      <c r="N555" s="697"/>
      <c r="O555" s="697"/>
      <c r="P555" s="697"/>
      <c r="Q555" s="697"/>
      <c r="R555" s="697"/>
      <c r="S555" s="697"/>
      <c r="T555" s="697"/>
      <c r="U555" s="697"/>
      <c r="V555" s="697"/>
      <c r="W555" s="697"/>
      <c r="X555" s="697"/>
      <c r="Y555" s="697"/>
      <c r="Z555" s="697"/>
      <c r="AA555" s="697"/>
      <c r="AB555" s="697"/>
      <c r="AC555" s="697"/>
      <c r="AD555" s="697"/>
      <c r="AE555" s="697"/>
      <c r="AF555" s="697"/>
      <c r="AG555" s="697"/>
      <c r="AH555" s="697"/>
      <c r="AI555" s="697"/>
      <c r="AJ555" s="697"/>
      <c r="AK555" s="697"/>
      <c r="AL555" s="697"/>
      <c r="AM555" s="697"/>
      <c r="AN555" s="697"/>
      <c r="AO555" s="697"/>
      <c r="AP555" s="697"/>
      <c r="AQ555" s="697"/>
      <c r="AR555" s="697"/>
      <c r="AS555" s="697"/>
      <c r="AT555" s="697"/>
      <c r="AU555" s="697"/>
      <c r="AV555" s="697"/>
      <c r="AW555" s="697"/>
      <c r="AX555" s="697"/>
      <c r="AY555" s="697"/>
      <c r="AZ555" s="697"/>
      <c r="BA555" s="697"/>
      <c r="BB555" s="697"/>
      <c r="BC555" s="697"/>
      <c r="BD555" s="697"/>
      <c r="BE555" s="697"/>
      <c r="BF555" s="697"/>
      <c r="BG555" s="697"/>
      <c r="BH555" s="697"/>
      <c r="BI555" s="697"/>
      <c r="BJ555" s="697"/>
      <c r="BK555" s="697"/>
      <c r="BL555" s="697"/>
      <c r="BM555" s="697"/>
      <c r="BN555" s="697"/>
      <c r="BO555" s="697"/>
      <c r="BP555" s="697"/>
      <c r="BQ555" s="697"/>
      <c r="BR555" s="697"/>
      <c r="BS555" s="697"/>
      <c r="BT555" s="697"/>
      <c r="BU555" s="697"/>
      <c r="BV555" s="697"/>
      <c r="BW555" s="697"/>
      <c r="BX555" s="697"/>
      <c r="BY555" s="697"/>
      <c r="BZ555" s="697"/>
      <c r="CA555" s="697"/>
      <c r="CB555" s="697"/>
      <c r="CC555" s="697"/>
      <c r="CD555" s="697"/>
      <c r="CE555" s="697"/>
      <c r="CF555" s="697"/>
      <c r="CG555" s="697"/>
      <c r="CH555" s="697"/>
      <c r="CI555" s="697"/>
      <c r="CJ555" s="697"/>
      <c r="CK555" s="697"/>
      <c r="CL555" s="697"/>
      <c r="CM555" s="697"/>
      <c r="CN555" s="697"/>
      <c r="CO555" s="697"/>
      <c r="CP555" s="697"/>
      <c r="CQ555" s="697"/>
      <c r="CR555" s="697"/>
      <c r="CS555" s="697"/>
      <c r="CT555" s="697"/>
      <c r="CU555" s="697"/>
      <c r="CV555" s="697"/>
      <c r="CW555" s="697"/>
      <c r="CX555" s="697"/>
      <c r="CY555" s="697"/>
      <c r="CZ555" s="697"/>
      <c r="DA555" s="697"/>
    </row>
    <row r="556" spans="1:105" hidden="1" outlineLevel="1" x14ac:dyDescent="0.2">
      <c r="A556" s="709">
        <f t="shared" si="98"/>
        <v>40360</v>
      </c>
      <c r="B556" s="709" t="str">
        <f t="shared" si="95"/>
        <v>3Q10</v>
      </c>
      <c r="C556" s="709" t="str">
        <f t="shared" si="99"/>
        <v>3Q10</v>
      </c>
      <c r="D556" s="710">
        <f t="shared" si="102"/>
        <v>40445</v>
      </c>
      <c r="E556" s="710">
        <f t="shared" si="102"/>
        <v>40385</v>
      </c>
      <c r="F556" s="712">
        <v>2.919</v>
      </c>
      <c r="G556" s="713">
        <f t="shared" si="96"/>
        <v>0.36000000000000015</v>
      </c>
      <c r="H556" s="713">
        <f t="shared" si="97"/>
        <v>0.36000000000000015</v>
      </c>
      <c r="I556" s="697"/>
      <c r="J556" s="697"/>
      <c r="K556" s="697"/>
      <c r="L556" s="697"/>
      <c r="M556" s="697"/>
      <c r="N556" s="697"/>
      <c r="O556" s="697"/>
      <c r="P556" s="697"/>
      <c r="Q556" s="697"/>
      <c r="R556" s="697"/>
      <c r="S556" s="697"/>
      <c r="T556" s="697"/>
      <c r="U556" s="697"/>
      <c r="V556" s="697"/>
      <c r="W556" s="697"/>
      <c r="X556" s="697"/>
      <c r="Y556" s="697"/>
      <c r="Z556" s="697"/>
      <c r="AA556" s="697"/>
      <c r="AB556" s="697"/>
      <c r="AC556" s="697"/>
      <c r="AD556" s="697"/>
      <c r="AE556" s="697"/>
      <c r="AF556" s="697"/>
      <c r="AG556" s="697"/>
      <c r="AH556" s="697"/>
      <c r="AI556" s="697"/>
      <c r="AJ556" s="697"/>
      <c r="AK556" s="697"/>
      <c r="AL556" s="697"/>
      <c r="AM556" s="697"/>
      <c r="AN556" s="697"/>
      <c r="AO556" s="697"/>
      <c r="AP556" s="697"/>
      <c r="AQ556" s="697"/>
      <c r="AR556" s="697"/>
      <c r="AS556" s="697"/>
      <c r="AT556" s="697"/>
      <c r="AU556" s="697"/>
      <c r="AV556" s="697"/>
      <c r="AW556" s="697"/>
      <c r="AX556" s="697"/>
      <c r="AY556" s="697"/>
      <c r="AZ556" s="697"/>
      <c r="BA556" s="697"/>
      <c r="BB556" s="697"/>
      <c r="BC556" s="697"/>
      <c r="BD556" s="697"/>
      <c r="BE556" s="697"/>
      <c r="BF556" s="697"/>
      <c r="BG556" s="697"/>
      <c r="BH556" s="697"/>
      <c r="BI556" s="697"/>
      <c r="BJ556" s="697"/>
      <c r="BK556" s="697"/>
      <c r="BL556" s="697"/>
      <c r="BM556" s="697"/>
      <c r="BN556" s="697"/>
      <c r="BO556" s="697"/>
      <c r="BP556" s="697"/>
      <c r="BQ556" s="697"/>
      <c r="BR556" s="697"/>
      <c r="BS556" s="697"/>
      <c r="BT556" s="697"/>
      <c r="BU556" s="697"/>
      <c r="BV556" s="697"/>
      <c r="BW556" s="697"/>
      <c r="BX556" s="697"/>
      <c r="BY556" s="697"/>
      <c r="BZ556" s="697"/>
      <c r="CA556" s="697"/>
      <c r="CB556" s="697"/>
      <c r="CC556" s="697"/>
      <c r="CD556" s="697"/>
      <c r="CE556" s="697"/>
      <c r="CF556" s="697"/>
      <c r="CG556" s="697"/>
      <c r="CH556" s="697"/>
      <c r="CI556" s="697"/>
      <c r="CJ556" s="697"/>
      <c r="CK556" s="697"/>
      <c r="CL556" s="697"/>
      <c r="CM556" s="697"/>
      <c r="CN556" s="697"/>
      <c r="CO556" s="697"/>
      <c r="CP556" s="697"/>
      <c r="CQ556" s="697"/>
      <c r="CR556" s="697"/>
      <c r="CS556" s="697"/>
      <c r="CT556" s="697"/>
      <c r="CU556" s="697"/>
      <c r="CV556" s="697"/>
      <c r="CW556" s="697"/>
      <c r="CX556" s="697"/>
      <c r="CY556" s="697"/>
      <c r="CZ556" s="697"/>
      <c r="DA556" s="697"/>
    </row>
    <row r="557" spans="1:105" hidden="1" outlineLevel="1" x14ac:dyDescent="0.2">
      <c r="A557" s="709">
        <f t="shared" si="98"/>
        <v>40391</v>
      </c>
      <c r="B557" s="709" t="str">
        <f t="shared" si="95"/>
        <v>3Q10</v>
      </c>
      <c r="C557" s="709" t="str">
        <f t="shared" si="99"/>
        <v>4Q10</v>
      </c>
      <c r="D557" s="710">
        <f t="shared" si="102"/>
        <v>40452</v>
      </c>
      <c r="E557" s="710">
        <f t="shared" si="102"/>
        <v>40392</v>
      </c>
      <c r="F557" s="712">
        <v>2.9279999999999999</v>
      </c>
      <c r="G557" s="713">
        <f t="shared" si="96"/>
        <v>0.36000000000000015</v>
      </c>
      <c r="H557" s="713">
        <f t="shared" si="97"/>
        <v>0.37000000000000016</v>
      </c>
      <c r="I557" s="697"/>
      <c r="J557" s="697"/>
      <c r="K557" s="697"/>
      <c r="L557" s="697"/>
      <c r="M557" s="697"/>
      <c r="N557" s="697"/>
      <c r="O557" s="697"/>
      <c r="P557" s="697"/>
      <c r="Q557" s="697"/>
      <c r="R557" s="697"/>
      <c r="S557" s="697"/>
      <c r="T557" s="697"/>
      <c r="U557" s="697"/>
      <c r="V557" s="697"/>
      <c r="W557" s="697"/>
      <c r="X557" s="697"/>
      <c r="Y557" s="697"/>
      <c r="Z557" s="697"/>
      <c r="AA557" s="697"/>
      <c r="AB557" s="697"/>
      <c r="AC557" s="697"/>
      <c r="AD557" s="697"/>
      <c r="AE557" s="697"/>
      <c r="AF557" s="697"/>
      <c r="AG557" s="697"/>
      <c r="AH557" s="697"/>
      <c r="AI557" s="697"/>
      <c r="AJ557" s="697"/>
      <c r="AK557" s="697"/>
      <c r="AL557" s="697"/>
      <c r="AM557" s="697"/>
      <c r="AN557" s="697"/>
      <c r="AO557" s="697"/>
      <c r="AP557" s="697"/>
      <c r="AQ557" s="697"/>
      <c r="AR557" s="697"/>
      <c r="AS557" s="697"/>
      <c r="AT557" s="697"/>
      <c r="AU557" s="697"/>
      <c r="AV557" s="697"/>
      <c r="AW557" s="697"/>
      <c r="AX557" s="697"/>
      <c r="AY557" s="697"/>
      <c r="AZ557" s="697"/>
      <c r="BA557" s="697"/>
      <c r="BB557" s="697"/>
      <c r="BC557" s="697"/>
      <c r="BD557" s="697"/>
      <c r="BE557" s="697"/>
      <c r="BF557" s="697"/>
      <c r="BG557" s="697"/>
      <c r="BH557" s="697"/>
      <c r="BI557" s="697"/>
      <c r="BJ557" s="697"/>
      <c r="BK557" s="697"/>
      <c r="BL557" s="697"/>
      <c r="BM557" s="697"/>
      <c r="BN557" s="697"/>
      <c r="BO557" s="697"/>
      <c r="BP557" s="697"/>
      <c r="BQ557" s="697"/>
      <c r="BR557" s="697"/>
      <c r="BS557" s="697"/>
      <c r="BT557" s="697"/>
      <c r="BU557" s="697"/>
      <c r="BV557" s="697"/>
      <c r="BW557" s="697"/>
      <c r="BX557" s="697"/>
      <c r="BY557" s="697"/>
      <c r="BZ557" s="697"/>
      <c r="CA557" s="697"/>
      <c r="CB557" s="697"/>
      <c r="CC557" s="697"/>
      <c r="CD557" s="697"/>
      <c r="CE557" s="697"/>
      <c r="CF557" s="697"/>
      <c r="CG557" s="697"/>
      <c r="CH557" s="697"/>
      <c r="CI557" s="697"/>
      <c r="CJ557" s="697"/>
      <c r="CK557" s="697"/>
      <c r="CL557" s="697"/>
      <c r="CM557" s="697"/>
      <c r="CN557" s="697"/>
      <c r="CO557" s="697"/>
      <c r="CP557" s="697"/>
      <c r="CQ557" s="697"/>
      <c r="CR557" s="697"/>
      <c r="CS557" s="697"/>
      <c r="CT557" s="697"/>
      <c r="CU557" s="697"/>
      <c r="CV557" s="697"/>
      <c r="CW557" s="697"/>
      <c r="CX557" s="697"/>
      <c r="CY557" s="697"/>
      <c r="CZ557" s="697"/>
      <c r="DA557" s="697"/>
    </row>
    <row r="558" spans="1:105" hidden="1" outlineLevel="1" x14ac:dyDescent="0.2">
      <c r="A558" s="709">
        <f t="shared" si="98"/>
        <v>40391</v>
      </c>
      <c r="B558" s="709" t="str">
        <f t="shared" si="95"/>
        <v>3Q10</v>
      </c>
      <c r="C558" s="709" t="str">
        <f t="shared" si="99"/>
        <v>4Q10</v>
      </c>
      <c r="D558" s="710">
        <f t="shared" si="102"/>
        <v>40459</v>
      </c>
      <c r="E558" s="710">
        <f t="shared" si="102"/>
        <v>40399</v>
      </c>
      <c r="F558" s="712">
        <v>2.9910000000000001</v>
      </c>
      <c r="G558" s="713">
        <f t="shared" si="96"/>
        <v>0.37000000000000016</v>
      </c>
      <c r="H558" s="713">
        <f t="shared" si="97"/>
        <v>0.37000000000000016</v>
      </c>
      <c r="I558" s="697"/>
      <c r="J558" s="697"/>
      <c r="K558" s="697"/>
      <c r="L558" s="697"/>
      <c r="M558" s="697"/>
      <c r="N558" s="697"/>
      <c r="O558" s="697"/>
      <c r="P558" s="697"/>
      <c r="Q558" s="697"/>
      <c r="R558" s="697"/>
      <c r="S558" s="697"/>
      <c r="T558" s="697"/>
      <c r="U558" s="697"/>
      <c r="V558" s="697"/>
      <c r="W558" s="697"/>
      <c r="X558" s="697"/>
      <c r="Y558" s="697"/>
      <c r="Z558" s="697"/>
      <c r="AA558" s="697"/>
      <c r="AB558" s="697"/>
      <c r="AC558" s="697"/>
      <c r="AD558" s="697"/>
      <c r="AE558" s="697"/>
      <c r="AF558" s="697"/>
      <c r="AG558" s="697"/>
      <c r="AH558" s="697"/>
      <c r="AI558" s="697"/>
      <c r="AJ558" s="697"/>
      <c r="AK558" s="697"/>
      <c r="AL558" s="697"/>
      <c r="AM558" s="697"/>
      <c r="AN558" s="697"/>
      <c r="AO558" s="697"/>
      <c r="AP558" s="697"/>
      <c r="AQ558" s="697"/>
      <c r="AR558" s="697"/>
      <c r="AS558" s="697"/>
      <c r="AT558" s="697"/>
      <c r="AU558" s="697"/>
      <c r="AV558" s="697"/>
      <c r="AW558" s="697"/>
      <c r="AX558" s="697"/>
      <c r="AY558" s="697"/>
      <c r="AZ558" s="697"/>
      <c r="BA558" s="697"/>
      <c r="BB558" s="697"/>
      <c r="BC558" s="697"/>
      <c r="BD558" s="697"/>
      <c r="BE558" s="697"/>
      <c r="BF558" s="697"/>
      <c r="BG558" s="697"/>
      <c r="BH558" s="697"/>
      <c r="BI558" s="697"/>
      <c r="BJ558" s="697"/>
      <c r="BK558" s="697"/>
      <c r="BL558" s="697"/>
      <c r="BM558" s="697"/>
      <c r="BN558" s="697"/>
      <c r="BO558" s="697"/>
      <c r="BP558" s="697"/>
      <c r="BQ558" s="697"/>
      <c r="BR558" s="697"/>
      <c r="BS558" s="697"/>
      <c r="BT558" s="697"/>
      <c r="BU558" s="697"/>
      <c r="BV558" s="697"/>
      <c r="BW558" s="697"/>
      <c r="BX558" s="697"/>
      <c r="BY558" s="697"/>
      <c r="BZ558" s="697"/>
      <c r="CA558" s="697"/>
      <c r="CB558" s="697"/>
      <c r="CC558" s="697"/>
      <c r="CD558" s="697"/>
      <c r="CE558" s="697"/>
      <c r="CF558" s="697"/>
      <c r="CG558" s="697"/>
      <c r="CH558" s="697"/>
      <c r="CI558" s="697"/>
      <c r="CJ558" s="697"/>
      <c r="CK558" s="697"/>
      <c r="CL558" s="697"/>
      <c r="CM558" s="697"/>
      <c r="CN558" s="697"/>
      <c r="CO558" s="697"/>
      <c r="CP558" s="697"/>
      <c r="CQ558" s="697"/>
      <c r="CR558" s="697"/>
      <c r="CS558" s="697"/>
      <c r="CT558" s="697"/>
      <c r="CU558" s="697"/>
      <c r="CV558" s="697"/>
      <c r="CW558" s="697"/>
      <c r="CX558" s="697"/>
      <c r="CY558" s="697"/>
      <c r="CZ558" s="697"/>
      <c r="DA558" s="697"/>
    </row>
    <row r="559" spans="1:105" hidden="1" outlineLevel="1" x14ac:dyDescent="0.2">
      <c r="A559" s="709">
        <f t="shared" si="98"/>
        <v>40391</v>
      </c>
      <c r="B559" s="709" t="str">
        <f t="shared" si="95"/>
        <v>3Q10</v>
      </c>
      <c r="C559" s="709" t="str">
        <f t="shared" si="99"/>
        <v>4Q10</v>
      </c>
      <c r="D559" s="710">
        <f t="shared" si="102"/>
        <v>40466</v>
      </c>
      <c r="E559" s="710">
        <f t="shared" si="102"/>
        <v>40406</v>
      </c>
      <c r="F559" s="712">
        <v>2.9790000000000001</v>
      </c>
      <c r="G559" s="713">
        <f t="shared" si="96"/>
        <v>0.37000000000000016</v>
      </c>
      <c r="H559" s="713">
        <f t="shared" si="97"/>
        <v>0.37000000000000016</v>
      </c>
      <c r="I559" s="697"/>
      <c r="J559" s="697"/>
      <c r="K559" s="697"/>
      <c r="L559" s="697"/>
      <c r="M559" s="697"/>
      <c r="N559" s="697"/>
      <c r="O559" s="697"/>
      <c r="P559" s="697"/>
      <c r="Q559" s="697"/>
      <c r="R559" s="697"/>
      <c r="S559" s="697"/>
      <c r="T559" s="697"/>
      <c r="U559" s="697"/>
      <c r="V559" s="697"/>
      <c r="W559" s="697"/>
      <c r="X559" s="697"/>
      <c r="Y559" s="697"/>
      <c r="Z559" s="697"/>
      <c r="AA559" s="697"/>
      <c r="AB559" s="697"/>
      <c r="AC559" s="697"/>
      <c r="AD559" s="697"/>
      <c r="AE559" s="697"/>
      <c r="AF559" s="697"/>
      <c r="AG559" s="697"/>
      <c r="AH559" s="697"/>
      <c r="AI559" s="697"/>
      <c r="AJ559" s="697"/>
      <c r="AK559" s="697"/>
      <c r="AL559" s="697"/>
      <c r="AM559" s="697"/>
      <c r="AN559" s="697"/>
      <c r="AO559" s="697"/>
      <c r="AP559" s="697"/>
      <c r="AQ559" s="697"/>
      <c r="AR559" s="697"/>
      <c r="AS559" s="697"/>
      <c r="AT559" s="697"/>
      <c r="AU559" s="697"/>
      <c r="AV559" s="697"/>
      <c r="AW559" s="697"/>
      <c r="AX559" s="697"/>
      <c r="AY559" s="697"/>
      <c r="AZ559" s="697"/>
      <c r="BA559" s="697"/>
      <c r="BB559" s="697"/>
      <c r="BC559" s="697"/>
      <c r="BD559" s="697"/>
      <c r="BE559" s="697"/>
      <c r="BF559" s="697"/>
      <c r="BG559" s="697"/>
      <c r="BH559" s="697"/>
      <c r="BI559" s="697"/>
      <c r="BJ559" s="697"/>
      <c r="BK559" s="697"/>
      <c r="BL559" s="697"/>
      <c r="BM559" s="697"/>
      <c r="BN559" s="697"/>
      <c r="BO559" s="697"/>
      <c r="BP559" s="697"/>
      <c r="BQ559" s="697"/>
      <c r="BR559" s="697"/>
      <c r="BS559" s="697"/>
      <c r="BT559" s="697"/>
      <c r="BU559" s="697"/>
      <c r="BV559" s="697"/>
      <c r="BW559" s="697"/>
      <c r="BX559" s="697"/>
      <c r="BY559" s="697"/>
      <c r="BZ559" s="697"/>
      <c r="CA559" s="697"/>
      <c r="CB559" s="697"/>
      <c r="CC559" s="697"/>
      <c r="CD559" s="697"/>
      <c r="CE559" s="697"/>
      <c r="CF559" s="697"/>
      <c r="CG559" s="697"/>
      <c r="CH559" s="697"/>
      <c r="CI559" s="697"/>
      <c r="CJ559" s="697"/>
      <c r="CK559" s="697"/>
      <c r="CL559" s="697"/>
      <c r="CM559" s="697"/>
      <c r="CN559" s="697"/>
      <c r="CO559" s="697"/>
      <c r="CP559" s="697"/>
      <c r="CQ559" s="697"/>
      <c r="CR559" s="697"/>
      <c r="CS559" s="697"/>
      <c r="CT559" s="697"/>
      <c r="CU559" s="697"/>
      <c r="CV559" s="697"/>
      <c r="CW559" s="697"/>
      <c r="CX559" s="697"/>
      <c r="CY559" s="697"/>
      <c r="CZ559" s="697"/>
      <c r="DA559" s="697"/>
    </row>
    <row r="560" spans="1:105" hidden="1" outlineLevel="1" x14ac:dyDescent="0.2">
      <c r="A560" s="709">
        <f t="shared" si="98"/>
        <v>40391</v>
      </c>
      <c r="B560" s="709" t="str">
        <f t="shared" si="95"/>
        <v>3Q10</v>
      </c>
      <c r="C560" s="709" t="str">
        <f t="shared" si="99"/>
        <v>4Q10</v>
      </c>
      <c r="D560" s="710">
        <f t="shared" si="102"/>
        <v>40473</v>
      </c>
      <c r="E560" s="710">
        <f t="shared" si="102"/>
        <v>40413</v>
      </c>
      <c r="F560" s="712">
        <v>2.9569999999999999</v>
      </c>
      <c r="G560" s="713">
        <f t="shared" si="96"/>
        <v>0.37000000000000016</v>
      </c>
      <c r="H560" s="713">
        <f t="shared" si="97"/>
        <v>0.36000000000000015</v>
      </c>
      <c r="I560" s="697"/>
      <c r="J560" s="697"/>
      <c r="K560" s="697"/>
      <c r="L560" s="697"/>
      <c r="M560" s="697"/>
      <c r="N560" s="697"/>
      <c r="O560" s="697"/>
      <c r="P560" s="697"/>
      <c r="Q560" s="697"/>
      <c r="R560" s="697"/>
      <c r="S560" s="697"/>
      <c r="T560" s="697"/>
      <c r="U560" s="697"/>
      <c r="V560" s="697"/>
      <c r="W560" s="697"/>
      <c r="X560" s="697"/>
      <c r="Y560" s="697"/>
      <c r="Z560" s="697"/>
      <c r="AA560" s="697"/>
      <c r="AB560" s="697"/>
      <c r="AC560" s="697"/>
      <c r="AD560" s="697"/>
      <c r="AE560" s="697"/>
      <c r="AF560" s="697"/>
      <c r="AG560" s="697"/>
      <c r="AH560" s="697"/>
      <c r="AI560" s="697"/>
      <c r="AJ560" s="697"/>
      <c r="AK560" s="697"/>
      <c r="AL560" s="697"/>
      <c r="AM560" s="697"/>
      <c r="AN560" s="697"/>
      <c r="AO560" s="697"/>
      <c r="AP560" s="697"/>
      <c r="AQ560" s="697"/>
      <c r="AR560" s="697"/>
      <c r="AS560" s="697"/>
      <c r="AT560" s="697"/>
      <c r="AU560" s="697"/>
      <c r="AV560" s="697"/>
      <c r="AW560" s="697"/>
      <c r="AX560" s="697"/>
      <c r="AY560" s="697"/>
      <c r="AZ560" s="697"/>
      <c r="BA560" s="697"/>
      <c r="BB560" s="697"/>
      <c r="BC560" s="697"/>
      <c r="BD560" s="697"/>
      <c r="BE560" s="697"/>
      <c r="BF560" s="697"/>
      <c r="BG560" s="697"/>
      <c r="BH560" s="697"/>
      <c r="BI560" s="697"/>
      <c r="BJ560" s="697"/>
      <c r="BK560" s="697"/>
      <c r="BL560" s="697"/>
      <c r="BM560" s="697"/>
      <c r="BN560" s="697"/>
      <c r="BO560" s="697"/>
      <c r="BP560" s="697"/>
      <c r="BQ560" s="697"/>
      <c r="BR560" s="697"/>
      <c r="BS560" s="697"/>
      <c r="BT560" s="697"/>
      <c r="BU560" s="697"/>
      <c r="BV560" s="697"/>
      <c r="BW560" s="697"/>
      <c r="BX560" s="697"/>
      <c r="BY560" s="697"/>
      <c r="BZ560" s="697"/>
      <c r="CA560" s="697"/>
      <c r="CB560" s="697"/>
      <c r="CC560" s="697"/>
      <c r="CD560" s="697"/>
      <c r="CE560" s="697"/>
      <c r="CF560" s="697"/>
      <c r="CG560" s="697"/>
      <c r="CH560" s="697"/>
      <c r="CI560" s="697"/>
      <c r="CJ560" s="697"/>
      <c r="CK560" s="697"/>
      <c r="CL560" s="697"/>
      <c r="CM560" s="697"/>
      <c r="CN560" s="697"/>
      <c r="CO560" s="697"/>
      <c r="CP560" s="697"/>
      <c r="CQ560" s="697"/>
      <c r="CR560" s="697"/>
      <c r="CS560" s="697"/>
      <c r="CT560" s="697"/>
      <c r="CU560" s="697"/>
      <c r="CV560" s="697"/>
      <c r="CW560" s="697"/>
      <c r="CX560" s="697"/>
      <c r="CY560" s="697"/>
      <c r="CZ560" s="697"/>
      <c r="DA560" s="697"/>
    </row>
    <row r="561" spans="1:105" hidden="1" outlineLevel="1" x14ac:dyDescent="0.2">
      <c r="A561" s="709">
        <f t="shared" si="98"/>
        <v>40391</v>
      </c>
      <c r="B561" s="709" t="str">
        <f t="shared" si="95"/>
        <v>3Q10</v>
      </c>
      <c r="C561" s="709" t="str">
        <f t="shared" si="99"/>
        <v>4Q10</v>
      </c>
      <c r="D561" s="710">
        <f t="shared" si="102"/>
        <v>40480</v>
      </c>
      <c r="E561" s="710">
        <f t="shared" si="102"/>
        <v>40420</v>
      </c>
      <c r="F561" s="712">
        <v>2.9380000000000002</v>
      </c>
      <c r="G561" s="713">
        <f t="shared" si="96"/>
        <v>0.36000000000000015</v>
      </c>
      <c r="H561" s="713">
        <f t="shared" si="97"/>
        <v>0.36000000000000015</v>
      </c>
      <c r="I561" s="697"/>
      <c r="J561" s="697"/>
      <c r="K561" s="697"/>
      <c r="L561" s="697"/>
      <c r="M561" s="697"/>
      <c r="N561" s="697"/>
      <c r="O561" s="697"/>
      <c r="P561" s="697"/>
      <c r="Q561" s="697"/>
      <c r="R561" s="697"/>
      <c r="S561" s="697"/>
      <c r="T561" s="697"/>
      <c r="U561" s="697"/>
      <c r="V561" s="697"/>
      <c r="W561" s="697"/>
      <c r="X561" s="697"/>
      <c r="Y561" s="697"/>
      <c r="Z561" s="697"/>
      <c r="AA561" s="697"/>
      <c r="AB561" s="697"/>
      <c r="AC561" s="697"/>
      <c r="AD561" s="697"/>
      <c r="AE561" s="697"/>
      <c r="AF561" s="697"/>
      <c r="AG561" s="697"/>
      <c r="AH561" s="697"/>
      <c r="AI561" s="697"/>
      <c r="AJ561" s="697"/>
      <c r="AK561" s="697"/>
      <c r="AL561" s="697"/>
      <c r="AM561" s="697"/>
      <c r="AN561" s="697"/>
      <c r="AO561" s="697"/>
      <c r="AP561" s="697"/>
      <c r="AQ561" s="697"/>
      <c r="AR561" s="697"/>
      <c r="AS561" s="697"/>
      <c r="AT561" s="697"/>
      <c r="AU561" s="697"/>
      <c r="AV561" s="697"/>
      <c r="AW561" s="697"/>
      <c r="AX561" s="697"/>
      <c r="AY561" s="697"/>
      <c r="AZ561" s="697"/>
      <c r="BA561" s="697"/>
      <c r="BB561" s="697"/>
      <c r="BC561" s="697"/>
      <c r="BD561" s="697"/>
      <c r="BE561" s="697"/>
      <c r="BF561" s="697"/>
      <c r="BG561" s="697"/>
      <c r="BH561" s="697"/>
      <c r="BI561" s="697"/>
      <c r="BJ561" s="697"/>
      <c r="BK561" s="697"/>
      <c r="BL561" s="697"/>
      <c r="BM561" s="697"/>
      <c r="BN561" s="697"/>
      <c r="BO561" s="697"/>
      <c r="BP561" s="697"/>
      <c r="BQ561" s="697"/>
      <c r="BR561" s="697"/>
      <c r="BS561" s="697"/>
      <c r="BT561" s="697"/>
      <c r="BU561" s="697"/>
      <c r="BV561" s="697"/>
      <c r="BW561" s="697"/>
      <c r="BX561" s="697"/>
      <c r="BY561" s="697"/>
      <c r="BZ561" s="697"/>
      <c r="CA561" s="697"/>
      <c r="CB561" s="697"/>
      <c r="CC561" s="697"/>
      <c r="CD561" s="697"/>
      <c r="CE561" s="697"/>
      <c r="CF561" s="697"/>
      <c r="CG561" s="697"/>
      <c r="CH561" s="697"/>
      <c r="CI561" s="697"/>
      <c r="CJ561" s="697"/>
      <c r="CK561" s="697"/>
      <c r="CL561" s="697"/>
      <c r="CM561" s="697"/>
      <c r="CN561" s="697"/>
      <c r="CO561" s="697"/>
      <c r="CP561" s="697"/>
      <c r="CQ561" s="697"/>
      <c r="CR561" s="697"/>
      <c r="CS561" s="697"/>
      <c r="CT561" s="697"/>
      <c r="CU561" s="697"/>
      <c r="CV561" s="697"/>
      <c r="CW561" s="697"/>
      <c r="CX561" s="697"/>
      <c r="CY561" s="697"/>
      <c r="CZ561" s="697"/>
      <c r="DA561" s="697"/>
    </row>
    <row r="562" spans="1:105" hidden="1" outlineLevel="1" x14ac:dyDescent="0.2">
      <c r="A562" s="709">
        <f t="shared" si="98"/>
        <v>40422</v>
      </c>
      <c r="B562" s="709" t="str">
        <f t="shared" si="95"/>
        <v>3Q10</v>
      </c>
      <c r="C562" s="709" t="str">
        <f t="shared" si="99"/>
        <v>4Q10</v>
      </c>
      <c r="D562" s="710">
        <f t="shared" si="102"/>
        <v>40487</v>
      </c>
      <c r="E562" s="710">
        <f t="shared" si="102"/>
        <v>40427</v>
      </c>
      <c r="F562" s="712">
        <v>2.931</v>
      </c>
      <c r="G562" s="713">
        <f t="shared" si="96"/>
        <v>0.36000000000000015</v>
      </c>
      <c r="H562" s="713">
        <f t="shared" si="97"/>
        <v>0.36000000000000015</v>
      </c>
      <c r="I562" s="697"/>
      <c r="J562" s="697"/>
      <c r="K562" s="697"/>
      <c r="L562" s="697"/>
      <c r="M562" s="697"/>
      <c r="N562" s="697"/>
      <c r="O562" s="697"/>
      <c r="P562" s="697"/>
      <c r="Q562" s="697"/>
      <c r="R562" s="697"/>
      <c r="S562" s="697"/>
      <c r="T562" s="697"/>
      <c r="U562" s="697"/>
      <c r="V562" s="697"/>
      <c r="W562" s="697"/>
      <c r="X562" s="697"/>
      <c r="Y562" s="697"/>
      <c r="Z562" s="697"/>
      <c r="AA562" s="697"/>
      <c r="AB562" s="697"/>
      <c r="AC562" s="697"/>
      <c r="AD562" s="697"/>
      <c r="AE562" s="697"/>
      <c r="AF562" s="697"/>
      <c r="AG562" s="697"/>
      <c r="AH562" s="697"/>
      <c r="AI562" s="697"/>
      <c r="AJ562" s="697"/>
      <c r="AK562" s="697"/>
      <c r="AL562" s="697"/>
      <c r="AM562" s="697"/>
      <c r="AN562" s="697"/>
      <c r="AO562" s="697"/>
      <c r="AP562" s="697"/>
      <c r="AQ562" s="697"/>
      <c r="AR562" s="697"/>
      <c r="AS562" s="697"/>
      <c r="AT562" s="697"/>
      <c r="AU562" s="697"/>
      <c r="AV562" s="697"/>
      <c r="AW562" s="697"/>
      <c r="AX562" s="697"/>
      <c r="AY562" s="697"/>
      <c r="AZ562" s="697"/>
      <c r="BA562" s="697"/>
      <c r="BB562" s="697"/>
      <c r="BC562" s="697"/>
      <c r="BD562" s="697"/>
      <c r="BE562" s="697"/>
      <c r="BF562" s="697"/>
      <c r="BG562" s="697"/>
      <c r="BH562" s="697"/>
      <c r="BI562" s="697"/>
      <c r="BJ562" s="697"/>
      <c r="BK562" s="697"/>
      <c r="BL562" s="697"/>
      <c r="BM562" s="697"/>
      <c r="BN562" s="697"/>
      <c r="BO562" s="697"/>
      <c r="BP562" s="697"/>
      <c r="BQ562" s="697"/>
      <c r="BR562" s="697"/>
      <c r="BS562" s="697"/>
      <c r="BT562" s="697"/>
      <c r="BU562" s="697"/>
      <c r="BV562" s="697"/>
      <c r="BW562" s="697"/>
      <c r="BX562" s="697"/>
      <c r="BY562" s="697"/>
      <c r="BZ562" s="697"/>
      <c r="CA562" s="697"/>
      <c r="CB562" s="697"/>
      <c r="CC562" s="697"/>
      <c r="CD562" s="697"/>
      <c r="CE562" s="697"/>
      <c r="CF562" s="697"/>
      <c r="CG562" s="697"/>
      <c r="CH562" s="697"/>
      <c r="CI562" s="697"/>
      <c r="CJ562" s="697"/>
      <c r="CK562" s="697"/>
      <c r="CL562" s="697"/>
      <c r="CM562" s="697"/>
      <c r="CN562" s="697"/>
      <c r="CO562" s="697"/>
      <c r="CP562" s="697"/>
      <c r="CQ562" s="697"/>
      <c r="CR562" s="697"/>
      <c r="CS562" s="697"/>
      <c r="CT562" s="697"/>
      <c r="CU562" s="697"/>
      <c r="CV562" s="697"/>
      <c r="CW562" s="697"/>
      <c r="CX562" s="697"/>
      <c r="CY562" s="697"/>
      <c r="CZ562" s="697"/>
      <c r="DA562" s="697"/>
    </row>
    <row r="563" spans="1:105" hidden="1" outlineLevel="1" x14ac:dyDescent="0.2">
      <c r="A563" s="709">
        <f t="shared" si="98"/>
        <v>40422</v>
      </c>
      <c r="B563" s="709" t="str">
        <f t="shared" si="95"/>
        <v>3Q10</v>
      </c>
      <c r="C563" s="709" t="str">
        <f t="shared" si="99"/>
        <v>4Q10</v>
      </c>
      <c r="D563" s="710">
        <f t="shared" si="102"/>
        <v>40494</v>
      </c>
      <c r="E563" s="710">
        <f t="shared" si="102"/>
        <v>40434</v>
      </c>
      <c r="F563" s="712">
        <v>2.9430000000000001</v>
      </c>
      <c r="G563" s="713">
        <f t="shared" si="96"/>
        <v>0.36000000000000015</v>
      </c>
      <c r="H563" s="713">
        <f t="shared" si="97"/>
        <v>0.37000000000000016</v>
      </c>
      <c r="I563" s="697"/>
      <c r="J563" s="697"/>
      <c r="K563" s="697"/>
      <c r="L563" s="697"/>
      <c r="M563" s="697"/>
      <c r="N563" s="697"/>
      <c r="O563" s="697"/>
      <c r="P563" s="697"/>
      <c r="Q563" s="697"/>
      <c r="R563" s="697"/>
      <c r="S563" s="697"/>
      <c r="T563" s="697"/>
      <c r="U563" s="697"/>
      <c r="V563" s="697"/>
      <c r="W563" s="697"/>
      <c r="X563" s="697"/>
      <c r="Y563" s="697"/>
      <c r="Z563" s="697"/>
      <c r="AA563" s="697"/>
      <c r="AB563" s="697"/>
      <c r="AC563" s="697"/>
      <c r="AD563" s="697"/>
      <c r="AE563" s="697"/>
      <c r="AF563" s="697"/>
      <c r="AG563" s="697"/>
      <c r="AH563" s="697"/>
      <c r="AI563" s="697"/>
      <c r="AJ563" s="697"/>
      <c r="AK563" s="697"/>
      <c r="AL563" s="697"/>
      <c r="AM563" s="697"/>
      <c r="AN563" s="697"/>
      <c r="AO563" s="697"/>
      <c r="AP563" s="697"/>
      <c r="AQ563" s="697"/>
      <c r="AR563" s="697"/>
      <c r="AS563" s="697"/>
      <c r="AT563" s="697"/>
      <c r="AU563" s="697"/>
      <c r="AV563" s="697"/>
      <c r="AW563" s="697"/>
      <c r="AX563" s="697"/>
      <c r="AY563" s="697"/>
      <c r="AZ563" s="697"/>
      <c r="BA563" s="697"/>
      <c r="BB563" s="697"/>
      <c r="BC563" s="697"/>
      <c r="BD563" s="697"/>
      <c r="BE563" s="697"/>
      <c r="BF563" s="697"/>
      <c r="BG563" s="697"/>
      <c r="BH563" s="697"/>
      <c r="BI563" s="697"/>
      <c r="BJ563" s="697"/>
      <c r="BK563" s="697"/>
      <c r="BL563" s="697"/>
      <c r="BM563" s="697"/>
      <c r="BN563" s="697"/>
      <c r="BO563" s="697"/>
      <c r="BP563" s="697"/>
      <c r="BQ563" s="697"/>
      <c r="BR563" s="697"/>
      <c r="BS563" s="697"/>
      <c r="BT563" s="697"/>
      <c r="BU563" s="697"/>
      <c r="BV563" s="697"/>
      <c r="BW563" s="697"/>
      <c r="BX563" s="697"/>
      <c r="BY563" s="697"/>
      <c r="BZ563" s="697"/>
      <c r="CA563" s="697"/>
      <c r="CB563" s="697"/>
      <c r="CC563" s="697"/>
      <c r="CD563" s="697"/>
      <c r="CE563" s="697"/>
      <c r="CF563" s="697"/>
      <c r="CG563" s="697"/>
      <c r="CH563" s="697"/>
      <c r="CI563" s="697"/>
      <c r="CJ563" s="697"/>
      <c r="CK563" s="697"/>
      <c r="CL563" s="697"/>
      <c r="CM563" s="697"/>
      <c r="CN563" s="697"/>
      <c r="CO563" s="697"/>
      <c r="CP563" s="697"/>
      <c r="CQ563" s="697"/>
      <c r="CR563" s="697"/>
      <c r="CS563" s="697"/>
      <c r="CT563" s="697"/>
      <c r="CU563" s="697"/>
      <c r="CV563" s="697"/>
      <c r="CW563" s="697"/>
      <c r="CX563" s="697"/>
      <c r="CY563" s="697"/>
      <c r="CZ563" s="697"/>
      <c r="DA563" s="697"/>
    </row>
    <row r="564" spans="1:105" hidden="1" outlineLevel="1" x14ac:dyDescent="0.2">
      <c r="A564" s="709">
        <f t="shared" si="98"/>
        <v>40422</v>
      </c>
      <c r="B564" s="709" t="str">
        <f t="shared" si="95"/>
        <v>3Q10</v>
      </c>
      <c r="C564" s="709" t="str">
        <f t="shared" si="99"/>
        <v>4Q10</v>
      </c>
      <c r="D564" s="710">
        <f t="shared" si="102"/>
        <v>40501</v>
      </c>
      <c r="E564" s="710">
        <f t="shared" si="102"/>
        <v>40441</v>
      </c>
      <c r="F564" s="712">
        <v>2.96</v>
      </c>
      <c r="G564" s="713">
        <f t="shared" si="96"/>
        <v>0.37000000000000016</v>
      </c>
      <c r="H564" s="713">
        <f t="shared" si="97"/>
        <v>0.37000000000000016</v>
      </c>
      <c r="I564" s="697"/>
      <c r="J564" s="697"/>
      <c r="K564" s="697"/>
      <c r="L564" s="697"/>
      <c r="M564" s="697"/>
      <c r="N564" s="697"/>
      <c r="O564" s="697"/>
      <c r="P564" s="697"/>
      <c r="Q564" s="697"/>
      <c r="R564" s="697"/>
      <c r="S564" s="697"/>
      <c r="T564" s="697"/>
      <c r="U564" s="697"/>
      <c r="V564" s="697"/>
      <c r="W564" s="697"/>
      <c r="X564" s="697"/>
      <c r="Y564" s="697"/>
      <c r="Z564" s="697"/>
      <c r="AA564" s="697"/>
      <c r="AB564" s="697"/>
      <c r="AC564" s="697"/>
      <c r="AD564" s="697"/>
      <c r="AE564" s="697"/>
      <c r="AF564" s="697"/>
      <c r="AG564" s="697"/>
      <c r="AH564" s="697"/>
      <c r="AI564" s="697"/>
      <c r="AJ564" s="697"/>
      <c r="AK564" s="697"/>
      <c r="AL564" s="697"/>
      <c r="AM564" s="697"/>
      <c r="AN564" s="697"/>
      <c r="AO564" s="697"/>
      <c r="AP564" s="697"/>
      <c r="AQ564" s="697"/>
      <c r="AR564" s="697"/>
      <c r="AS564" s="697"/>
      <c r="AT564" s="697"/>
      <c r="AU564" s="697"/>
      <c r="AV564" s="697"/>
      <c r="AW564" s="697"/>
      <c r="AX564" s="697"/>
      <c r="AY564" s="697"/>
      <c r="AZ564" s="697"/>
      <c r="BA564" s="697"/>
      <c r="BB564" s="697"/>
      <c r="BC564" s="697"/>
      <c r="BD564" s="697"/>
      <c r="BE564" s="697"/>
      <c r="BF564" s="697"/>
      <c r="BG564" s="697"/>
      <c r="BH564" s="697"/>
      <c r="BI564" s="697"/>
      <c r="BJ564" s="697"/>
      <c r="BK564" s="697"/>
      <c r="BL564" s="697"/>
      <c r="BM564" s="697"/>
      <c r="BN564" s="697"/>
      <c r="BO564" s="697"/>
      <c r="BP564" s="697"/>
      <c r="BQ564" s="697"/>
      <c r="BR564" s="697"/>
      <c r="BS564" s="697"/>
      <c r="BT564" s="697"/>
      <c r="BU564" s="697"/>
      <c r="BV564" s="697"/>
      <c r="BW564" s="697"/>
      <c r="BX564" s="697"/>
      <c r="BY564" s="697"/>
      <c r="BZ564" s="697"/>
      <c r="CA564" s="697"/>
      <c r="CB564" s="697"/>
      <c r="CC564" s="697"/>
      <c r="CD564" s="697"/>
      <c r="CE564" s="697"/>
      <c r="CF564" s="697"/>
      <c r="CG564" s="697"/>
      <c r="CH564" s="697"/>
      <c r="CI564" s="697"/>
      <c r="CJ564" s="697"/>
      <c r="CK564" s="697"/>
      <c r="CL564" s="697"/>
      <c r="CM564" s="697"/>
      <c r="CN564" s="697"/>
      <c r="CO564" s="697"/>
      <c r="CP564" s="697"/>
      <c r="CQ564" s="697"/>
      <c r="CR564" s="697"/>
      <c r="CS564" s="697"/>
      <c r="CT564" s="697"/>
      <c r="CU564" s="697"/>
      <c r="CV564" s="697"/>
      <c r="CW564" s="697"/>
      <c r="CX564" s="697"/>
      <c r="CY564" s="697"/>
      <c r="CZ564" s="697"/>
      <c r="DA564" s="697"/>
    </row>
    <row r="565" spans="1:105" hidden="1" outlineLevel="1" x14ac:dyDescent="0.2">
      <c r="A565" s="709">
        <f t="shared" si="98"/>
        <v>40422</v>
      </c>
      <c r="B565" s="709" t="str">
        <f t="shared" si="95"/>
        <v>3Q10</v>
      </c>
      <c r="C565" s="709" t="str">
        <f t="shared" si="99"/>
        <v>4Q10</v>
      </c>
      <c r="D565" s="710">
        <f t="shared" ref="D565:E580" si="103">D564+7</f>
        <v>40508</v>
      </c>
      <c r="E565" s="710">
        <f t="shared" si="103"/>
        <v>40448</v>
      </c>
      <c r="F565" s="712">
        <v>2.9510000000000001</v>
      </c>
      <c r="G565" s="713">
        <f t="shared" si="96"/>
        <v>0.37000000000000016</v>
      </c>
      <c r="H565" s="713">
        <f t="shared" si="97"/>
        <v>0.38000000000000017</v>
      </c>
      <c r="I565" s="697"/>
      <c r="J565" s="697"/>
      <c r="K565" s="697"/>
      <c r="L565" s="697"/>
      <c r="M565" s="697"/>
      <c r="N565" s="697"/>
      <c r="O565" s="697"/>
      <c r="P565" s="697"/>
      <c r="Q565" s="697"/>
      <c r="R565" s="697"/>
      <c r="S565" s="697"/>
      <c r="T565" s="697"/>
      <c r="U565" s="697"/>
      <c r="V565" s="697"/>
      <c r="W565" s="697"/>
      <c r="X565" s="697"/>
      <c r="Y565" s="697"/>
      <c r="Z565" s="697"/>
      <c r="AA565" s="697"/>
      <c r="AB565" s="697"/>
      <c r="AC565" s="697"/>
      <c r="AD565" s="697"/>
      <c r="AE565" s="697"/>
      <c r="AF565" s="697"/>
      <c r="AG565" s="697"/>
      <c r="AH565" s="697"/>
      <c r="AI565" s="697"/>
      <c r="AJ565" s="697"/>
      <c r="AK565" s="697"/>
      <c r="AL565" s="697"/>
      <c r="AM565" s="697"/>
      <c r="AN565" s="697"/>
      <c r="AO565" s="697"/>
      <c r="AP565" s="697"/>
      <c r="AQ565" s="697"/>
      <c r="AR565" s="697"/>
      <c r="AS565" s="697"/>
      <c r="AT565" s="697"/>
      <c r="AU565" s="697"/>
      <c r="AV565" s="697"/>
      <c r="AW565" s="697"/>
      <c r="AX565" s="697"/>
      <c r="AY565" s="697"/>
      <c r="AZ565" s="697"/>
      <c r="BA565" s="697"/>
      <c r="BB565" s="697"/>
      <c r="BC565" s="697"/>
      <c r="BD565" s="697"/>
      <c r="BE565" s="697"/>
      <c r="BF565" s="697"/>
      <c r="BG565" s="697"/>
      <c r="BH565" s="697"/>
      <c r="BI565" s="697"/>
      <c r="BJ565" s="697"/>
      <c r="BK565" s="697"/>
      <c r="BL565" s="697"/>
      <c r="BM565" s="697"/>
      <c r="BN565" s="697"/>
      <c r="BO565" s="697"/>
      <c r="BP565" s="697"/>
      <c r="BQ565" s="697"/>
      <c r="BR565" s="697"/>
      <c r="BS565" s="697"/>
      <c r="BT565" s="697"/>
      <c r="BU565" s="697"/>
      <c r="BV565" s="697"/>
      <c r="BW565" s="697"/>
      <c r="BX565" s="697"/>
      <c r="BY565" s="697"/>
      <c r="BZ565" s="697"/>
      <c r="CA565" s="697"/>
      <c r="CB565" s="697"/>
      <c r="CC565" s="697"/>
      <c r="CD565" s="697"/>
      <c r="CE565" s="697"/>
      <c r="CF565" s="697"/>
      <c r="CG565" s="697"/>
      <c r="CH565" s="697"/>
      <c r="CI565" s="697"/>
      <c r="CJ565" s="697"/>
      <c r="CK565" s="697"/>
      <c r="CL565" s="697"/>
      <c r="CM565" s="697"/>
      <c r="CN565" s="697"/>
      <c r="CO565" s="697"/>
      <c r="CP565" s="697"/>
      <c r="CQ565" s="697"/>
      <c r="CR565" s="697"/>
      <c r="CS565" s="697"/>
      <c r="CT565" s="697"/>
      <c r="CU565" s="697"/>
      <c r="CV565" s="697"/>
      <c r="CW565" s="697"/>
      <c r="CX565" s="697"/>
      <c r="CY565" s="697"/>
      <c r="CZ565" s="697"/>
      <c r="DA565" s="697"/>
    </row>
    <row r="566" spans="1:105" hidden="1" outlineLevel="1" x14ac:dyDescent="0.2">
      <c r="A566" s="709">
        <f t="shared" si="98"/>
        <v>40452</v>
      </c>
      <c r="B566" s="709" t="str">
        <f t="shared" si="95"/>
        <v>4Q10</v>
      </c>
      <c r="C566" s="709" t="str">
        <f t="shared" si="99"/>
        <v>4Q10</v>
      </c>
      <c r="D566" s="710">
        <f t="shared" si="103"/>
        <v>40515</v>
      </c>
      <c r="E566" s="710">
        <f t="shared" si="103"/>
        <v>40455</v>
      </c>
      <c r="F566" s="712">
        <v>3</v>
      </c>
      <c r="G566" s="713">
        <f t="shared" si="96"/>
        <v>0.38000000000000017</v>
      </c>
      <c r="H566" s="713">
        <f t="shared" si="97"/>
        <v>0.39000000000000018</v>
      </c>
      <c r="I566" s="697"/>
      <c r="J566" s="697"/>
      <c r="K566" s="697"/>
      <c r="L566" s="697"/>
      <c r="M566" s="697"/>
      <c r="N566" s="697"/>
      <c r="O566" s="697"/>
      <c r="P566" s="697"/>
      <c r="Q566" s="697"/>
      <c r="R566" s="697"/>
      <c r="S566" s="697"/>
      <c r="T566" s="697"/>
      <c r="U566" s="697"/>
      <c r="V566" s="697"/>
      <c r="W566" s="697"/>
      <c r="X566" s="697"/>
      <c r="Y566" s="697"/>
      <c r="Z566" s="697"/>
      <c r="AA566" s="697"/>
      <c r="AB566" s="697"/>
      <c r="AC566" s="697"/>
      <c r="AD566" s="697"/>
      <c r="AE566" s="697"/>
      <c r="AF566" s="697"/>
      <c r="AG566" s="697"/>
      <c r="AH566" s="697"/>
      <c r="AI566" s="697"/>
      <c r="AJ566" s="697"/>
      <c r="AK566" s="697"/>
      <c r="AL566" s="697"/>
      <c r="AM566" s="697"/>
      <c r="AN566" s="697"/>
      <c r="AO566" s="697"/>
      <c r="AP566" s="697"/>
      <c r="AQ566" s="697"/>
      <c r="AR566" s="697"/>
      <c r="AS566" s="697"/>
      <c r="AT566" s="697"/>
      <c r="AU566" s="697"/>
      <c r="AV566" s="697"/>
      <c r="AW566" s="697"/>
      <c r="AX566" s="697"/>
      <c r="AY566" s="697"/>
      <c r="AZ566" s="697"/>
      <c r="BA566" s="697"/>
      <c r="BB566" s="697"/>
      <c r="BC566" s="697"/>
      <c r="BD566" s="697"/>
      <c r="BE566" s="697"/>
      <c r="BF566" s="697"/>
      <c r="BG566" s="697"/>
      <c r="BH566" s="697"/>
      <c r="BI566" s="697"/>
      <c r="BJ566" s="697"/>
      <c r="BK566" s="697"/>
      <c r="BL566" s="697"/>
      <c r="BM566" s="697"/>
      <c r="BN566" s="697"/>
      <c r="BO566" s="697"/>
      <c r="BP566" s="697"/>
      <c r="BQ566" s="697"/>
      <c r="BR566" s="697"/>
      <c r="BS566" s="697"/>
      <c r="BT566" s="697"/>
      <c r="BU566" s="697"/>
      <c r="BV566" s="697"/>
      <c r="BW566" s="697"/>
      <c r="BX566" s="697"/>
      <c r="BY566" s="697"/>
      <c r="BZ566" s="697"/>
      <c r="CA566" s="697"/>
      <c r="CB566" s="697"/>
      <c r="CC566" s="697"/>
      <c r="CD566" s="697"/>
      <c r="CE566" s="697"/>
      <c r="CF566" s="697"/>
      <c r="CG566" s="697"/>
      <c r="CH566" s="697"/>
      <c r="CI566" s="697"/>
      <c r="CJ566" s="697"/>
      <c r="CK566" s="697"/>
      <c r="CL566" s="697"/>
      <c r="CM566" s="697"/>
      <c r="CN566" s="697"/>
      <c r="CO566" s="697"/>
      <c r="CP566" s="697"/>
      <c r="CQ566" s="697"/>
      <c r="CR566" s="697"/>
      <c r="CS566" s="697"/>
      <c r="CT566" s="697"/>
      <c r="CU566" s="697"/>
      <c r="CV566" s="697"/>
      <c r="CW566" s="697"/>
      <c r="CX566" s="697"/>
      <c r="CY566" s="697"/>
      <c r="CZ566" s="697"/>
      <c r="DA566" s="697"/>
    </row>
    <row r="567" spans="1:105" hidden="1" outlineLevel="1" x14ac:dyDescent="0.2">
      <c r="A567" s="709">
        <f t="shared" si="98"/>
        <v>40452</v>
      </c>
      <c r="B567" s="709" t="str">
        <f t="shared" si="95"/>
        <v>4Q10</v>
      </c>
      <c r="C567" s="709" t="str">
        <f t="shared" si="99"/>
        <v>4Q10</v>
      </c>
      <c r="D567" s="710">
        <f t="shared" si="103"/>
        <v>40522</v>
      </c>
      <c r="E567" s="710">
        <f t="shared" si="103"/>
        <v>40462</v>
      </c>
      <c r="F567" s="712">
        <v>3.0659999999999998</v>
      </c>
      <c r="G567" s="713">
        <f t="shared" si="96"/>
        <v>0.39000000000000018</v>
      </c>
      <c r="H567" s="713">
        <f t="shared" si="97"/>
        <v>0.39000000000000018</v>
      </c>
      <c r="I567" s="697"/>
      <c r="J567" s="697"/>
      <c r="K567" s="697"/>
      <c r="L567" s="697"/>
      <c r="M567" s="697"/>
      <c r="N567" s="697"/>
      <c r="O567" s="697"/>
      <c r="P567" s="697"/>
      <c r="Q567" s="697"/>
      <c r="R567" s="697"/>
      <c r="S567" s="697"/>
      <c r="T567" s="697"/>
      <c r="U567" s="697"/>
      <c r="V567" s="697"/>
      <c r="W567" s="697"/>
      <c r="X567" s="697"/>
      <c r="Y567" s="697"/>
      <c r="Z567" s="697"/>
      <c r="AA567" s="697"/>
      <c r="AB567" s="697"/>
      <c r="AC567" s="697"/>
      <c r="AD567" s="697"/>
      <c r="AE567" s="697"/>
      <c r="AF567" s="697"/>
      <c r="AG567" s="697"/>
      <c r="AH567" s="697"/>
      <c r="AI567" s="697"/>
      <c r="AJ567" s="697"/>
      <c r="AK567" s="697"/>
      <c r="AL567" s="697"/>
      <c r="AM567" s="697"/>
      <c r="AN567" s="697"/>
      <c r="AO567" s="697"/>
      <c r="AP567" s="697"/>
      <c r="AQ567" s="697"/>
      <c r="AR567" s="697"/>
      <c r="AS567" s="697"/>
      <c r="AT567" s="697"/>
      <c r="AU567" s="697"/>
      <c r="AV567" s="697"/>
      <c r="AW567" s="697"/>
      <c r="AX567" s="697"/>
      <c r="AY567" s="697"/>
      <c r="AZ567" s="697"/>
      <c r="BA567" s="697"/>
      <c r="BB567" s="697"/>
      <c r="BC567" s="697"/>
      <c r="BD567" s="697"/>
      <c r="BE567" s="697"/>
      <c r="BF567" s="697"/>
      <c r="BG567" s="697"/>
      <c r="BH567" s="697"/>
      <c r="BI567" s="697"/>
      <c r="BJ567" s="697"/>
      <c r="BK567" s="697"/>
      <c r="BL567" s="697"/>
      <c r="BM567" s="697"/>
      <c r="BN567" s="697"/>
      <c r="BO567" s="697"/>
      <c r="BP567" s="697"/>
      <c r="BQ567" s="697"/>
      <c r="BR567" s="697"/>
      <c r="BS567" s="697"/>
      <c r="BT567" s="697"/>
      <c r="BU567" s="697"/>
      <c r="BV567" s="697"/>
      <c r="BW567" s="697"/>
      <c r="BX567" s="697"/>
      <c r="BY567" s="697"/>
      <c r="BZ567" s="697"/>
      <c r="CA567" s="697"/>
      <c r="CB567" s="697"/>
      <c r="CC567" s="697"/>
      <c r="CD567" s="697"/>
      <c r="CE567" s="697"/>
      <c r="CF567" s="697"/>
      <c r="CG567" s="697"/>
      <c r="CH567" s="697"/>
      <c r="CI567" s="697"/>
      <c r="CJ567" s="697"/>
      <c r="CK567" s="697"/>
      <c r="CL567" s="697"/>
      <c r="CM567" s="697"/>
      <c r="CN567" s="697"/>
      <c r="CO567" s="697"/>
      <c r="CP567" s="697"/>
      <c r="CQ567" s="697"/>
      <c r="CR567" s="697"/>
      <c r="CS567" s="697"/>
      <c r="CT567" s="697"/>
      <c r="CU567" s="697"/>
      <c r="CV567" s="697"/>
      <c r="CW567" s="697"/>
      <c r="CX567" s="697"/>
      <c r="CY567" s="697"/>
      <c r="CZ567" s="697"/>
      <c r="DA567" s="697"/>
    </row>
    <row r="568" spans="1:105" hidden="1" outlineLevel="1" x14ac:dyDescent="0.2">
      <c r="A568" s="709">
        <f t="shared" si="98"/>
        <v>40452</v>
      </c>
      <c r="B568" s="709" t="str">
        <f t="shared" si="95"/>
        <v>4Q10</v>
      </c>
      <c r="C568" s="709" t="str">
        <f t="shared" si="99"/>
        <v>4Q10</v>
      </c>
      <c r="D568" s="710">
        <f t="shared" si="103"/>
        <v>40529</v>
      </c>
      <c r="E568" s="710">
        <f t="shared" si="103"/>
        <v>40469</v>
      </c>
      <c r="F568" s="712">
        <v>3.073</v>
      </c>
      <c r="G568" s="713">
        <f t="shared" si="96"/>
        <v>0.39000000000000018</v>
      </c>
      <c r="H568" s="713">
        <f t="shared" si="97"/>
        <v>0.39000000000000018</v>
      </c>
      <c r="I568" s="697"/>
      <c r="J568" s="697"/>
      <c r="K568" s="697"/>
      <c r="L568" s="697"/>
      <c r="M568" s="697"/>
      <c r="N568" s="697"/>
      <c r="O568" s="697"/>
      <c r="P568" s="697"/>
      <c r="Q568" s="697"/>
      <c r="R568" s="697"/>
      <c r="S568" s="697"/>
      <c r="T568" s="697"/>
      <c r="U568" s="697"/>
      <c r="V568" s="697"/>
      <c r="W568" s="697"/>
      <c r="X568" s="697"/>
      <c r="Y568" s="697"/>
      <c r="Z568" s="697"/>
      <c r="AA568" s="697"/>
      <c r="AB568" s="697"/>
      <c r="AC568" s="697"/>
      <c r="AD568" s="697"/>
      <c r="AE568" s="697"/>
      <c r="AF568" s="697"/>
      <c r="AG568" s="697"/>
      <c r="AH568" s="697"/>
      <c r="AI568" s="697"/>
      <c r="AJ568" s="697"/>
      <c r="AK568" s="697"/>
      <c r="AL568" s="697"/>
      <c r="AM568" s="697"/>
      <c r="AN568" s="697"/>
      <c r="AO568" s="697"/>
      <c r="AP568" s="697"/>
      <c r="AQ568" s="697"/>
      <c r="AR568" s="697"/>
      <c r="AS568" s="697"/>
      <c r="AT568" s="697"/>
      <c r="AU568" s="697"/>
      <c r="AV568" s="697"/>
      <c r="AW568" s="697"/>
      <c r="AX568" s="697"/>
      <c r="AY568" s="697"/>
      <c r="AZ568" s="697"/>
      <c r="BA568" s="697"/>
      <c r="BB568" s="697"/>
      <c r="BC568" s="697"/>
      <c r="BD568" s="697"/>
      <c r="BE568" s="697"/>
      <c r="BF568" s="697"/>
      <c r="BG568" s="697"/>
      <c r="BH568" s="697"/>
      <c r="BI568" s="697"/>
      <c r="BJ568" s="697"/>
      <c r="BK568" s="697"/>
      <c r="BL568" s="697"/>
      <c r="BM568" s="697"/>
      <c r="BN568" s="697"/>
      <c r="BO568" s="697"/>
      <c r="BP568" s="697"/>
      <c r="BQ568" s="697"/>
      <c r="BR568" s="697"/>
      <c r="BS568" s="697"/>
      <c r="BT568" s="697"/>
      <c r="BU568" s="697"/>
      <c r="BV568" s="697"/>
      <c r="BW568" s="697"/>
      <c r="BX568" s="697"/>
      <c r="BY568" s="697"/>
      <c r="BZ568" s="697"/>
      <c r="CA568" s="697"/>
      <c r="CB568" s="697"/>
      <c r="CC568" s="697"/>
      <c r="CD568" s="697"/>
      <c r="CE568" s="697"/>
      <c r="CF568" s="697"/>
      <c r="CG568" s="697"/>
      <c r="CH568" s="697"/>
      <c r="CI568" s="697"/>
      <c r="CJ568" s="697"/>
      <c r="CK568" s="697"/>
      <c r="CL568" s="697"/>
      <c r="CM568" s="697"/>
      <c r="CN568" s="697"/>
      <c r="CO568" s="697"/>
      <c r="CP568" s="697"/>
      <c r="CQ568" s="697"/>
      <c r="CR568" s="697"/>
      <c r="CS568" s="697"/>
      <c r="CT568" s="697"/>
      <c r="CU568" s="697"/>
      <c r="CV568" s="697"/>
      <c r="CW568" s="697"/>
      <c r="CX568" s="697"/>
      <c r="CY568" s="697"/>
      <c r="CZ568" s="697"/>
      <c r="DA568" s="697"/>
    </row>
    <row r="569" spans="1:105" hidden="1" outlineLevel="1" x14ac:dyDescent="0.2">
      <c r="A569" s="709">
        <f t="shared" si="98"/>
        <v>40452</v>
      </c>
      <c r="B569" s="709" t="str">
        <f t="shared" si="95"/>
        <v>4Q10</v>
      </c>
      <c r="C569" s="709" t="str">
        <f t="shared" si="99"/>
        <v>4Q10</v>
      </c>
      <c r="D569" s="710">
        <f t="shared" si="103"/>
        <v>40536</v>
      </c>
      <c r="E569" s="710">
        <f t="shared" si="103"/>
        <v>40476</v>
      </c>
      <c r="F569" s="712">
        <v>3.0670000000000002</v>
      </c>
      <c r="G569" s="713">
        <f t="shared" si="96"/>
        <v>0.39000000000000018</v>
      </c>
      <c r="H569" s="713">
        <f t="shared" si="97"/>
        <v>0.39000000000000018</v>
      </c>
      <c r="I569" s="697"/>
      <c r="J569" s="697"/>
      <c r="K569" s="697"/>
      <c r="L569" s="697"/>
      <c r="M569" s="697"/>
      <c r="N569" s="697"/>
      <c r="O569" s="697"/>
      <c r="P569" s="697"/>
      <c r="Q569" s="697"/>
      <c r="R569" s="697"/>
      <c r="S569" s="697"/>
      <c r="T569" s="697"/>
      <c r="U569" s="697"/>
      <c r="V569" s="697"/>
      <c r="W569" s="697"/>
      <c r="X569" s="697"/>
      <c r="Y569" s="697"/>
      <c r="Z569" s="697"/>
      <c r="AA569" s="697"/>
      <c r="AB569" s="697"/>
      <c r="AC569" s="697"/>
      <c r="AD569" s="697"/>
      <c r="AE569" s="697"/>
      <c r="AF569" s="697"/>
      <c r="AG569" s="697"/>
      <c r="AH569" s="697"/>
      <c r="AI569" s="697"/>
      <c r="AJ569" s="697"/>
      <c r="AK569" s="697"/>
      <c r="AL569" s="697"/>
      <c r="AM569" s="697"/>
      <c r="AN569" s="697"/>
      <c r="AO569" s="697"/>
      <c r="AP569" s="697"/>
      <c r="AQ569" s="697"/>
      <c r="AR569" s="697"/>
      <c r="AS569" s="697"/>
      <c r="AT569" s="697"/>
      <c r="AU569" s="697"/>
      <c r="AV569" s="697"/>
      <c r="AW569" s="697"/>
      <c r="AX569" s="697"/>
      <c r="AY569" s="697"/>
      <c r="AZ569" s="697"/>
      <c r="BA569" s="697"/>
      <c r="BB569" s="697"/>
      <c r="BC569" s="697"/>
      <c r="BD569" s="697"/>
      <c r="BE569" s="697"/>
      <c r="BF569" s="697"/>
      <c r="BG569" s="697"/>
      <c r="BH569" s="697"/>
      <c r="BI569" s="697"/>
      <c r="BJ569" s="697"/>
      <c r="BK569" s="697"/>
      <c r="BL569" s="697"/>
      <c r="BM569" s="697"/>
      <c r="BN569" s="697"/>
      <c r="BO569" s="697"/>
      <c r="BP569" s="697"/>
      <c r="BQ569" s="697"/>
      <c r="BR569" s="697"/>
      <c r="BS569" s="697"/>
      <c r="BT569" s="697"/>
      <c r="BU569" s="697"/>
      <c r="BV569" s="697"/>
      <c r="BW569" s="697"/>
      <c r="BX569" s="697"/>
      <c r="BY569" s="697"/>
      <c r="BZ569" s="697"/>
      <c r="CA569" s="697"/>
      <c r="CB569" s="697"/>
      <c r="CC569" s="697"/>
      <c r="CD569" s="697"/>
      <c r="CE569" s="697"/>
      <c r="CF569" s="697"/>
      <c r="CG569" s="697"/>
      <c r="CH569" s="697"/>
      <c r="CI569" s="697"/>
      <c r="CJ569" s="697"/>
      <c r="CK569" s="697"/>
      <c r="CL569" s="697"/>
      <c r="CM569" s="697"/>
      <c r="CN569" s="697"/>
      <c r="CO569" s="697"/>
      <c r="CP569" s="697"/>
      <c r="CQ569" s="697"/>
      <c r="CR569" s="697"/>
      <c r="CS569" s="697"/>
      <c r="CT569" s="697"/>
      <c r="CU569" s="697"/>
      <c r="CV569" s="697"/>
      <c r="CW569" s="697"/>
      <c r="CX569" s="697"/>
      <c r="CY569" s="697"/>
      <c r="CZ569" s="697"/>
      <c r="DA569" s="697"/>
    </row>
    <row r="570" spans="1:105" hidden="1" outlineLevel="1" x14ac:dyDescent="0.2">
      <c r="A570" s="709">
        <f t="shared" si="98"/>
        <v>40483</v>
      </c>
      <c r="B570" s="709" t="str">
        <f t="shared" si="95"/>
        <v>4Q10</v>
      </c>
      <c r="C570" s="709" t="str">
        <f t="shared" si="99"/>
        <v>4Q10</v>
      </c>
      <c r="D570" s="710">
        <f t="shared" si="103"/>
        <v>40543</v>
      </c>
      <c r="E570" s="710">
        <f t="shared" si="103"/>
        <v>40483</v>
      </c>
      <c r="F570" s="712">
        <v>3.0670000000000002</v>
      </c>
      <c r="G570" s="713">
        <f t="shared" si="96"/>
        <v>0.39000000000000018</v>
      </c>
      <c r="H570" s="713">
        <f t="shared" si="97"/>
        <v>0.40000000000000019</v>
      </c>
      <c r="I570" s="697"/>
      <c r="J570" s="697"/>
      <c r="K570" s="697"/>
      <c r="L570" s="697"/>
      <c r="M570" s="697"/>
      <c r="N570" s="697"/>
      <c r="O570" s="697"/>
      <c r="P570" s="697"/>
      <c r="Q570" s="697"/>
      <c r="R570" s="697"/>
      <c r="S570" s="697"/>
      <c r="T570" s="697"/>
      <c r="U570" s="697"/>
      <c r="V570" s="697"/>
      <c r="W570" s="697"/>
      <c r="X570" s="697"/>
      <c r="Y570" s="697"/>
      <c r="Z570" s="697"/>
      <c r="AA570" s="697"/>
      <c r="AB570" s="697"/>
      <c r="AC570" s="697"/>
      <c r="AD570" s="697"/>
      <c r="AE570" s="697"/>
      <c r="AF570" s="697"/>
      <c r="AG570" s="697"/>
      <c r="AH570" s="697"/>
      <c r="AI570" s="697"/>
      <c r="AJ570" s="697"/>
      <c r="AK570" s="697"/>
      <c r="AL570" s="697"/>
      <c r="AM570" s="697"/>
      <c r="AN570" s="697"/>
      <c r="AO570" s="697"/>
      <c r="AP570" s="697"/>
      <c r="AQ570" s="697"/>
      <c r="AR570" s="697"/>
      <c r="AS570" s="697"/>
      <c r="AT570" s="697"/>
      <c r="AU570" s="697"/>
      <c r="AV570" s="697"/>
      <c r="AW570" s="697"/>
      <c r="AX570" s="697"/>
      <c r="AY570" s="697"/>
      <c r="AZ570" s="697"/>
      <c r="BA570" s="697"/>
      <c r="BB570" s="697"/>
      <c r="BC570" s="697"/>
      <c r="BD570" s="697"/>
      <c r="BE570" s="697"/>
      <c r="BF570" s="697"/>
      <c r="BG570" s="697"/>
      <c r="BH570" s="697"/>
      <c r="BI570" s="697"/>
      <c r="BJ570" s="697"/>
      <c r="BK570" s="697"/>
      <c r="BL570" s="697"/>
      <c r="BM570" s="697"/>
      <c r="BN570" s="697"/>
      <c r="BO570" s="697"/>
      <c r="BP570" s="697"/>
      <c r="BQ570" s="697"/>
      <c r="BR570" s="697"/>
      <c r="BS570" s="697"/>
      <c r="BT570" s="697"/>
      <c r="BU570" s="697"/>
      <c r="BV570" s="697"/>
      <c r="BW570" s="697"/>
      <c r="BX570" s="697"/>
      <c r="BY570" s="697"/>
      <c r="BZ570" s="697"/>
      <c r="CA570" s="697"/>
      <c r="CB570" s="697"/>
      <c r="CC570" s="697"/>
      <c r="CD570" s="697"/>
      <c r="CE570" s="697"/>
      <c r="CF570" s="697"/>
      <c r="CG570" s="697"/>
      <c r="CH570" s="697"/>
      <c r="CI570" s="697"/>
      <c r="CJ570" s="697"/>
      <c r="CK570" s="697"/>
      <c r="CL570" s="697"/>
      <c r="CM570" s="697"/>
      <c r="CN570" s="697"/>
      <c r="CO570" s="697"/>
      <c r="CP570" s="697"/>
      <c r="CQ570" s="697"/>
      <c r="CR570" s="697"/>
      <c r="CS570" s="697"/>
      <c r="CT570" s="697"/>
      <c r="CU570" s="697"/>
      <c r="CV570" s="697"/>
      <c r="CW570" s="697"/>
      <c r="CX570" s="697"/>
      <c r="CY570" s="697"/>
      <c r="CZ570" s="697"/>
      <c r="DA570" s="697"/>
    </row>
    <row r="571" spans="1:105" hidden="1" outlineLevel="1" x14ac:dyDescent="0.2">
      <c r="A571" s="709">
        <f t="shared" si="98"/>
        <v>40483</v>
      </c>
      <c r="B571" s="709" t="str">
        <f t="shared" si="95"/>
        <v>4Q10</v>
      </c>
      <c r="C571" s="709" t="str">
        <f t="shared" si="99"/>
        <v>1Q11</v>
      </c>
      <c r="D571" s="710">
        <f t="shared" si="103"/>
        <v>40550</v>
      </c>
      <c r="E571" s="710">
        <f t="shared" si="103"/>
        <v>40490</v>
      </c>
      <c r="F571" s="712">
        <v>3.1160000000000001</v>
      </c>
      <c r="G571" s="713">
        <f t="shared" si="96"/>
        <v>0.40000000000000019</v>
      </c>
      <c r="H571" s="713">
        <f t="shared" si="97"/>
        <v>0.4100000000000002</v>
      </c>
      <c r="I571" s="697"/>
      <c r="J571" s="697"/>
      <c r="K571" s="697"/>
      <c r="L571" s="697"/>
      <c r="M571" s="697"/>
      <c r="N571" s="697"/>
      <c r="O571" s="697"/>
      <c r="P571" s="697"/>
      <c r="Q571" s="697"/>
      <c r="R571" s="697"/>
      <c r="S571" s="697"/>
      <c r="T571" s="697"/>
      <c r="U571" s="697"/>
      <c r="V571" s="697"/>
      <c r="W571" s="697"/>
      <c r="X571" s="697"/>
      <c r="Y571" s="697"/>
      <c r="Z571" s="697"/>
      <c r="AA571" s="697"/>
      <c r="AB571" s="697"/>
      <c r="AC571" s="697"/>
      <c r="AD571" s="697"/>
      <c r="AE571" s="697"/>
      <c r="AF571" s="697"/>
      <c r="AG571" s="697"/>
      <c r="AH571" s="697"/>
      <c r="AI571" s="697"/>
      <c r="AJ571" s="697"/>
      <c r="AK571" s="697"/>
      <c r="AL571" s="697"/>
      <c r="AM571" s="697"/>
      <c r="AN571" s="697"/>
      <c r="AO571" s="697"/>
      <c r="AP571" s="697"/>
      <c r="AQ571" s="697"/>
      <c r="AR571" s="697"/>
      <c r="AS571" s="697"/>
      <c r="AT571" s="697"/>
      <c r="AU571" s="697"/>
      <c r="AV571" s="697"/>
      <c r="AW571" s="697"/>
      <c r="AX571" s="697"/>
      <c r="AY571" s="697"/>
      <c r="AZ571" s="697"/>
      <c r="BA571" s="697"/>
      <c r="BB571" s="697"/>
      <c r="BC571" s="697"/>
      <c r="BD571" s="697"/>
      <c r="BE571" s="697"/>
      <c r="BF571" s="697"/>
      <c r="BG571" s="697"/>
      <c r="BH571" s="697"/>
      <c r="BI571" s="697"/>
      <c r="BJ571" s="697"/>
      <c r="BK571" s="697"/>
      <c r="BL571" s="697"/>
      <c r="BM571" s="697"/>
      <c r="BN571" s="697"/>
      <c r="BO571" s="697"/>
      <c r="BP571" s="697"/>
      <c r="BQ571" s="697"/>
      <c r="BR571" s="697"/>
      <c r="BS571" s="697"/>
      <c r="BT571" s="697"/>
      <c r="BU571" s="697"/>
      <c r="BV571" s="697"/>
      <c r="BW571" s="697"/>
      <c r="BX571" s="697"/>
      <c r="BY571" s="697"/>
      <c r="BZ571" s="697"/>
      <c r="CA571" s="697"/>
      <c r="CB571" s="697"/>
      <c r="CC571" s="697"/>
      <c r="CD571" s="697"/>
      <c r="CE571" s="697"/>
      <c r="CF571" s="697"/>
      <c r="CG571" s="697"/>
      <c r="CH571" s="697"/>
      <c r="CI571" s="697"/>
      <c r="CJ571" s="697"/>
      <c r="CK571" s="697"/>
      <c r="CL571" s="697"/>
      <c r="CM571" s="697"/>
      <c r="CN571" s="697"/>
      <c r="CO571" s="697"/>
      <c r="CP571" s="697"/>
      <c r="CQ571" s="697"/>
      <c r="CR571" s="697"/>
      <c r="CS571" s="697"/>
      <c r="CT571" s="697"/>
      <c r="CU571" s="697"/>
      <c r="CV571" s="697"/>
      <c r="CW571" s="697"/>
      <c r="CX571" s="697"/>
      <c r="CY571" s="697"/>
      <c r="CZ571" s="697"/>
      <c r="DA571" s="697"/>
    </row>
    <row r="572" spans="1:105" hidden="1" outlineLevel="1" x14ac:dyDescent="0.2">
      <c r="A572" s="709">
        <f t="shared" si="98"/>
        <v>40483</v>
      </c>
      <c r="B572" s="709" t="str">
        <f t="shared" si="95"/>
        <v>4Q10</v>
      </c>
      <c r="C572" s="709" t="str">
        <f t="shared" si="99"/>
        <v>1Q11</v>
      </c>
      <c r="D572" s="710">
        <f t="shared" si="103"/>
        <v>40557</v>
      </c>
      <c r="E572" s="710">
        <f t="shared" si="103"/>
        <v>40497</v>
      </c>
      <c r="F572" s="712">
        <v>3.1840000000000002</v>
      </c>
      <c r="G572" s="713">
        <f t="shared" si="96"/>
        <v>0.4100000000000002</v>
      </c>
      <c r="H572" s="713">
        <f t="shared" si="97"/>
        <v>0.4100000000000002</v>
      </c>
      <c r="I572" s="697"/>
      <c r="J572" s="697"/>
      <c r="K572" s="697"/>
      <c r="L572" s="697"/>
      <c r="M572" s="697"/>
      <c r="N572" s="697"/>
      <c r="O572" s="697"/>
      <c r="P572" s="697"/>
      <c r="Q572" s="697"/>
      <c r="R572" s="697"/>
      <c r="S572" s="697"/>
      <c r="T572" s="697"/>
      <c r="U572" s="697"/>
      <c r="V572" s="697"/>
      <c r="W572" s="697"/>
      <c r="X572" s="697"/>
      <c r="Y572" s="697"/>
      <c r="Z572" s="697"/>
      <c r="AA572" s="697"/>
      <c r="AB572" s="697"/>
      <c r="AC572" s="697"/>
      <c r="AD572" s="697"/>
      <c r="AE572" s="697"/>
      <c r="AF572" s="697"/>
      <c r="AG572" s="697"/>
      <c r="AH572" s="697"/>
      <c r="AI572" s="697"/>
      <c r="AJ572" s="697"/>
      <c r="AK572" s="697"/>
      <c r="AL572" s="697"/>
      <c r="AM572" s="697"/>
      <c r="AN572" s="697"/>
      <c r="AO572" s="697"/>
      <c r="AP572" s="697"/>
      <c r="AQ572" s="697"/>
      <c r="AR572" s="697"/>
      <c r="AS572" s="697"/>
      <c r="AT572" s="697"/>
      <c r="AU572" s="697"/>
      <c r="AV572" s="697"/>
      <c r="AW572" s="697"/>
      <c r="AX572" s="697"/>
      <c r="AY572" s="697"/>
      <c r="AZ572" s="697"/>
      <c r="BA572" s="697"/>
      <c r="BB572" s="697"/>
      <c r="BC572" s="697"/>
      <c r="BD572" s="697"/>
      <c r="BE572" s="697"/>
      <c r="BF572" s="697"/>
      <c r="BG572" s="697"/>
      <c r="BH572" s="697"/>
      <c r="BI572" s="697"/>
      <c r="BJ572" s="697"/>
      <c r="BK572" s="697"/>
      <c r="BL572" s="697"/>
      <c r="BM572" s="697"/>
      <c r="BN572" s="697"/>
      <c r="BO572" s="697"/>
      <c r="BP572" s="697"/>
      <c r="BQ572" s="697"/>
      <c r="BR572" s="697"/>
      <c r="BS572" s="697"/>
      <c r="BT572" s="697"/>
      <c r="BU572" s="697"/>
      <c r="BV572" s="697"/>
      <c r="BW572" s="697"/>
      <c r="BX572" s="697"/>
      <c r="BY572" s="697"/>
      <c r="BZ572" s="697"/>
      <c r="CA572" s="697"/>
      <c r="CB572" s="697"/>
      <c r="CC572" s="697"/>
      <c r="CD572" s="697"/>
      <c r="CE572" s="697"/>
      <c r="CF572" s="697"/>
      <c r="CG572" s="697"/>
      <c r="CH572" s="697"/>
      <c r="CI572" s="697"/>
      <c r="CJ572" s="697"/>
      <c r="CK572" s="697"/>
      <c r="CL572" s="697"/>
      <c r="CM572" s="697"/>
      <c r="CN572" s="697"/>
      <c r="CO572" s="697"/>
      <c r="CP572" s="697"/>
      <c r="CQ572" s="697"/>
      <c r="CR572" s="697"/>
      <c r="CS572" s="697"/>
      <c r="CT572" s="697"/>
      <c r="CU572" s="697"/>
      <c r="CV572" s="697"/>
      <c r="CW572" s="697"/>
      <c r="CX572" s="697"/>
      <c r="CY572" s="697"/>
      <c r="CZ572" s="697"/>
      <c r="DA572" s="697"/>
    </row>
    <row r="573" spans="1:105" hidden="1" outlineLevel="1" x14ac:dyDescent="0.2">
      <c r="A573" s="709">
        <f t="shared" si="98"/>
        <v>40483</v>
      </c>
      <c r="B573" s="709" t="str">
        <f t="shared" si="95"/>
        <v>4Q10</v>
      </c>
      <c r="C573" s="709" t="str">
        <f t="shared" si="99"/>
        <v>1Q11</v>
      </c>
      <c r="D573" s="710">
        <f t="shared" si="103"/>
        <v>40564</v>
      </c>
      <c r="E573" s="710">
        <f t="shared" si="103"/>
        <v>40504</v>
      </c>
      <c r="F573" s="712">
        <v>3.1709999999999998</v>
      </c>
      <c r="G573" s="713">
        <f t="shared" si="96"/>
        <v>0.4100000000000002</v>
      </c>
      <c r="H573" s="713">
        <f t="shared" si="97"/>
        <v>0.4100000000000002</v>
      </c>
      <c r="I573" s="697"/>
      <c r="J573" s="697"/>
      <c r="K573" s="697"/>
      <c r="L573" s="697"/>
      <c r="M573" s="697"/>
      <c r="N573" s="697"/>
      <c r="O573" s="697"/>
      <c r="P573" s="697"/>
      <c r="Q573" s="697"/>
      <c r="R573" s="697"/>
      <c r="S573" s="697"/>
      <c r="T573" s="697"/>
      <c r="U573" s="697"/>
      <c r="V573" s="697"/>
      <c r="W573" s="697"/>
      <c r="X573" s="697"/>
      <c r="Y573" s="697"/>
      <c r="Z573" s="697"/>
      <c r="AA573" s="697"/>
      <c r="AB573" s="697"/>
      <c r="AC573" s="697"/>
      <c r="AD573" s="697"/>
      <c r="AE573" s="697"/>
      <c r="AF573" s="697"/>
      <c r="AG573" s="697"/>
      <c r="AH573" s="697"/>
      <c r="AI573" s="697"/>
      <c r="AJ573" s="697"/>
      <c r="AK573" s="697"/>
      <c r="AL573" s="697"/>
      <c r="AM573" s="697"/>
      <c r="AN573" s="697"/>
      <c r="AO573" s="697"/>
      <c r="AP573" s="697"/>
      <c r="AQ573" s="697"/>
      <c r="AR573" s="697"/>
      <c r="AS573" s="697"/>
      <c r="AT573" s="697"/>
      <c r="AU573" s="697"/>
      <c r="AV573" s="697"/>
      <c r="AW573" s="697"/>
      <c r="AX573" s="697"/>
      <c r="AY573" s="697"/>
      <c r="AZ573" s="697"/>
      <c r="BA573" s="697"/>
      <c r="BB573" s="697"/>
      <c r="BC573" s="697"/>
      <c r="BD573" s="697"/>
      <c r="BE573" s="697"/>
      <c r="BF573" s="697"/>
      <c r="BG573" s="697"/>
      <c r="BH573" s="697"/>
      <c r="BI573" s="697"/>
      <c r="BJ573" s="697"/>
      <c r="BK573" s="697"/>
      <c r="BL573" s="697"/>
      <c r="BM573" s="697"/>
      <c r="BN573" s="697"/>
      <c r="BO573" s="697"/>
      <c r="BP573" s="697"/>
      <c r="BQ573" s="697"/>
      <c r="BR573" s="697"/>
      <c r="BS573" s="697"/>
      <c r="BT573" s="697"/>
      <c r="BU573" s="697"/>
      <c r="BV573" s="697"/>
      <c r="BW573" s="697"/>
      <c r="BX573" s="697"/>
      <c r="BY573" s="697"/>
      <c r="BZ573" s="697"/>
      <c r="CA573" s="697"/>
      <c r="CB573" s="697"/>
      <c r="CC573" s="697"/>
      <c r="CD573" s="697"/>
      <c r="CE573" s="697"/>
      <c r="CF573" s="697"/>
      <c r="CG573" s="697"/>
      <c r="CH573" s="697"/>
      <c r="CI573" s="697"/>
      <c r="CJ573" s="697"/>
      <c r="CK573" s="697"/>
      <c r="CL573" s="697"/>
      <c r="CM573" s="697"/>
      <c r="CN573" s="697"/>
      <c r="CO573" s="697"/>
      <c r="CP573" s="697"/>
      <c r="CQ573" s="697"/>
      <c r="CR573" s="697"/>
      <c r="CS573" s="697"/>
      <c r="CT573" s="697"/>
      <c r="CU573" s="697"/>
      <c r="CV573" s="697"/>
      <c r="CW573" s="697"/>
      <c r="CX573" s="697"/>
      <c r="CY573" s="697"/>
      <c r="CZ573" s="697"/>
      <c r="DA573" s="697"/>
    </row>
    <row r="574" spans="1:105" hidden="1" outlineLevel="1" x14ac:dyDescent="0.2">
      <c r="A574" s="709">
        <f t="shared" si="98"/>
        <v>40483</v>
      </c>
      <c r="B574" s="709" t="str">
        <f t="shared" si="95"/>
        <v>4Q10</v>
      </c>
      <c r="C574" s="709" t="str">
        <f t="shared" si="99"/>
        <v>1Q11</v>
      </c>
      <c r="D574" s="710">
        <f t="shared" si="103"/>
        <v>40571</v>
      </c>
      <c r="E574" s="710">
        <f t="shared" si="103"/>
        <v>40511</v>
      </c>
      <c r="F574" s="712">
        <v>3.1619999999999999</v>
      </c>
      <c r="G574" s="713">
        <f t="shared" si="96"/>
        <v>0.4100000000000002</v>
      </c>
      <c r="H574" s="713">
        <f t="shared" si="97"/>
        <v>0.4100000000000002</v>
      </c>
      <c r="I574" s="697"/>
      <c r="J574" s="697"/>
      <c r="K574" s="697"/>
      <c r="L574" s="697"/>
      <c r="M574" s="697"/>
      <c r="N574" s="697"/>
      <c r="O574" s="697"/>
      <c r="P574" s="697"/>
      <c r="Q574" s="697"/>
      <c r="R574" s="697"/>
      <c r="S574" s="697"/>
      <c r="T574" s="697"/>
      <c r="U574" s="697"/>
      <c r="V574" s="697"/>
      <c r="W574" s="697"/>
      <c r="X574" s="697"/>
      <c r="Y574" s="697"/>
      <c r="Z574" s="697"/>
      <c r="AA574" s="697"/>
      <c r="AB574" s="697"/>
      <c r="AC574" s="697"/>
      <c r="AD574" s="697"/>
      <c r="AE574" s="697"/>
      <c r="AF574" s="697"/>
      <c r="AG574" s="697"/>
      <c r="AH574" s="697"/>
      <c r="AI574" s="697"/>
      <c r="AJ574" s="697"/>
      <c r="AK574" s="697"/>
      <c r="AL574" s="697"/>
      <c r="AM574" s="697"/>
      <c r="AN574" s="697"/>
      <c r="AO574" s="697"/>
      <c r="AP574" s="697"/>
      <c r="AQ574" s="697"/>
      <c r="AR574" s="697"/>
      <c r="AS574" s="697"/>
      <c r="AT574" s="697"/>
      <c r="AU574" s="697"/>
      <c r="AV574" s="697"/>
      <c r="AW574" s="697"/>
      <c r="AX574" s="697"/>
      <c r="AY574" s="697"/>
      <c r="AZ574" s="697"/>
      <c r="BA574" s="697"/>
      <c r="BB574" s="697"/>
      <c r="BC574" s="697"/>
      <c r="BD574" s="697"/>
      <c r="BE574" s="697"/>
      <c r="BF574" s="697"/>
      <c r="BG574" s="697"/>
      <c r="BH574" s="697"/>
      <c r="BI574" s="697"/>
      <c r="BJ574" s="697"/>
      <c r="BK574" s="697"/>
      <c r="BL574" s="697"/>
      <c r="BM574" s="697"/>
      <c r="BN574" s="697"/>
      <c r="BO574" s="697"/>
      <c r="BP574" s="697"/>
      <c r="BQ574" s="697"/>
      <c r="BR574" s="697"/>
      <c r="BS574" s="697"/>
      <c r="BT574" s="697"/>
      <c r="BU574" s="697"/>
      <c r="BV574" s="697"/>
      <c r="BW574" s="697"/>
      <c r="BX574" s="697"/>
      <c r="BY574" s="697"/>
      <c r="BZ574" s="697"/>
      <c r="CA574" s="697"/>
      <c r="CB574" s="697"/>
      <c r="CC574" s="697"/>
      <c r="CD574" s="697"/>
      <c r="CE574" s="697"/>
      <c r="CF574" s="697"/>
      <c r="CG574" s="697"/>
      <c r="CH574" s="697"/>
      <c r="CI574" s="697"/>
      <c r="CJ574" s="697"/>
      <c r="CK574" s="697"/>
      <c r="CL574" s="697"/>
      <c r="CM574" s="697"/>
      <c r="CN574" s="697"/>
      <c r="CO574" s="697"/>
      <c r="CP574" s="697"/>
      <c r="CQ574" s="697"/>
      <c r="CR574" s="697"/>
      <c r="CS574" s="697"/>
      <c r="CT574" s="697"/>
      <c r="CU574" s="697"/>
      <c r="CV574" s="697"/>
      <c r="CW574" s="697"/>
      <c r="CX574" s="697"/>
      <c r="CY574" s="697"/>
      <c r="CZ574" s="697"/>
      <c r="DA574" s="697"/>
    </row>
    <row r="575" spans="1:105" hidden="1" outlineLevel="1" x14ac:dyDescent="0.2">
      <c r="A575" s="709">
        <f t="shared" si="98"/>
        <v>40513</v>
      </c>
      <c r="B575" s="709" t="str">
        <f t="shared" si="95"/>
        <v>4Q10</v>
      </c>
      <c r="C575" s="709" t="str">
        <f t="shared" si="99"/>
        <v>1Q11</v>
      </c>
      <c r="D575" s="710">
        <f t="shared" si="103"/>
        <v>40578</v>
      </c>
      <c r="E575" s="710">
        <f t="shared" si="103"/>
        <v>40518</v>
      </c>
      <c r="F575" s="712">
        <v>3.1970000000000001</v>
      </c>
      <c r="G575" s="713">
        <f t="shared" si="96"/>
        <v>0.4100000000000002</v>
      </c>
      <c r="H575" s="713">
        <f t="shared" si="97"/>
        <v>0.42000000000000021</v>
      </c>
      <c r="I575" s="697"/>
      <c r="J575" s="697"/>
      <c r="K575" s="697"/>
      <c r="L575" s="697"/>
      <c r="M575" s="697"/>
      <c r="N575" s="697"/>
      <c r="O575" s="697"/>
      <c r="P575" s="697"/>
      <c r="Q575" s="697"/>
      <c r="R575" s="697"/>
      <c r="S575" s="697"/>
      <c r="T575" s="697"/>
      <c r="U575" s="697"/>
      <c r="V575" s="697"/>
      <c r="W575" s="697"/>
      <c r="X575" s="697"/>
      <c r="Y575" s="697"/>
      <c r="Z575" s="697"/>
      <c r="AA575" s="697"/>
      <c r="AB575" s="697"/>
      <c r="AC575" s="697"/>
      <c r="AD575" s="697"/>
      <c r="AE575" s="697"/>
      <c r="AF575" s="697"/>
      <c r="AG575" s="697"/>
      <c r="AH575" s="697"/>
      <c r="AI575" s="697"/>
      <c r="AJ575" s="697"/>
      <c r="AK575" s="697"/>
      <c r="AL575" s="697"/>
      <c r="AM575" s="697"/>
      <c r="AN575" s="697"/>
      <c r="AO575" s="697"/>
      <c r="AP575" s="697"/>
      <c r="AQ575" s="697"/>
      <c r="AR575" s="697"/>
      <c r="AS575" s="697"/>
      <c r="AT575" s="697"/>
      <c r="AU575" s="697"/>
      <c r="AV575" s="697"/>
      <c r="AW575" s="697"/>
      <c r="AX575" s="697"/>
      <c r="AY575" s="697"/>
      <c r="AZ575" s="697"/>
      <c r="BA575" s="697"/>
      <c r="BB575" s="697"/>
      <c r="BC575" s="697"/>
      <c r="BD575" s="697"/>
      <c r="BE575" s="697"/>
      <c r="BF575" s="697"/>
      <c r="BG575" s="697"/>
      <c r="BH575" s="697"/>
      <c r="BI575" s="697"/>
      <c r="BJ575" s="697"/>
      <c r="BK575" s="697"/>
      <c r="BL575" s="697"/>
      <c r="BM575" s="697"/>
      <c r="BN575" s="697"/>
      <c r="BO575" s="697"/>
      <c r="BP575" s="697"/>
      <c r="BQ575" s="697"/>
      <c r="BR575" s="697"/>
      <c r="BS575" s="697"/>
      <c r="BT575" s="697"/>
      <c r="BU575" s="697"/>
      <c r="BV575" s="697"/>
      <c r="BW575" s="697"/>
      <c r="BX575" s="697"/>
      <c r="BY575" s="697"/>
      <c r="BZ575" s="697"/>
      <c r="CA575" s="697"/>
      <c r="CB575" s="697"/>
      <c r="CC575" s="697"/>
      <c r="CD575" s="697"/>
      <c r="CE575" s="697"/>
      <c r="CF575" s="697"/>
      <c r="CG575" s="697"/>
      <c r="CH575" s="697"/>
      <c r="CI575" s="697"/>
      <c r="CJ575" s="697"/>
      <c r="CK575" s="697"/>
      <c r="CL575" s="697"/>
      <c r="CM575" s="697"/>
      <c r="CN575" s="697"/>
      <c r="CO575" s="697"/>
      <c r="CP575" s="697"/>
      <c r="CQ575" s="697"/>
      <c r="CR575" s="697"/>
      <c r="CS575" s="697"/>
      <c r="CT575" s="697"/>
      <c r="CU575" s="697"/>
      <c r="CV575" s="697"/>
      <c r="CW575" s="697"/>
      <c r="CX575" s="697"/>
      <c r="CY575" s="697"/>
      <c r="CZ575" s="697"/>
      <c r="DA575" s="697"/>
    </row>
    <row r="576" spans="1:105" hidden="1" outlineLevel="1" x14ac:dyDescent="0.2">
      <c r="A576" s="709">
        <f t="shared" si="98"/>
        <v>40513</v>
      </c>
      <c r="B576" s="709" t="str">
        <f t="shared" si="95"/>
        <v>4Q10</v>
      </c>
      <c r="C576" s="709" t="str">
        <f t="shared" si="99"/>
        <v>1Q11</v>
      </c>
      <c r="D576" s="710">
        <f t="shared" si="103"/>
        <v>40585</v>
      </c>
      <c r="E576" s="710">
        <f t="shared" si="103"/>
        <v>40525</v>
      </c>
      <c r="F576" s="712">
        <v>3.2309999999999999</v>
      </c>
      <c r="G576" s="713">
        <f t="shared" si="96"/>
        <v>0.42000000000000021</v>
      </c>
      <c r="H576" s="713">
        <f t="shared" si="97"/>
        <v>0.42000000000000021</v>
      </c>
      <c r="I576" s="697"/>
      <c r="J576" s="697"/>
      <c r="K576" s="697"/>
      <c r="L576" s="697"/>
      <c r="M576" s="697"/>
      <c r="N576" s="697"/>
      <c r="O576" s="697"/>
      <c r="P576" s="697"/>
      <c r="Q576" s="697"/>
      <c r="R576" s="697"/>
      <c r="S576" s="697"/>
      <c r="T576" s="697"/>
      <c r="U576" s="697"/>
      <c r="V576" s="697"/>
      <c r="W576" s="697"/>
      <c r="X576" s="697"/>
      <c r="Y576" s="697"/>
      <c r="Z576" s="697"/>
      <c r="AA576" s="697"/>
      <c r="AB576" s="697"/>
      <c r="AC576" s="697"/>
      <c r="AD576" s="697"/>
      <c r="AE576" s="697"/>
      <c r="AF576" s="697"/>
      <c r="AG576" s="697"/>
      <c r="AH576" s="697"/>
      <c r="AI576" s="697"/>
      <c r="AJ576" s="697"/>
      <c r="AK576" s="697"/>
      <c r="AL576" s="697"/>
      <c r="AM576" s="697"/>
      <c r="AN576" s="697"/>
      <c r="AO576" s="697"/>
      <c r="AP576" s="697"/>
      <c r="AQ576" s="697"/>
      <c r="AR576" s="697"/>
      <c r="AS576" s="697"/>
      <c r="AT576" s="697"/>
      <c r="AU576" s="697"/>
      <c r="AV576" s="697"/>
      <c r="AW576" s="697"/>
      <c r="AX576" s="697"/>
      <c r="AY576" s="697"/>
      <c r="AZ576" s="697"/>
      <c r="BA576" s="697"/>
      <c r="BB576" s="697"/>
      <c r="BC576" s="697"/>
      <c r="BD576" s="697"/>
      <c r="BE576" s="697"/>
      <c r="BF576" s="697"/>
      <c r="BG576" s="697"/>
      <c r="BH576" s="697"/>
      <c r="BI576" s="697"/>
      <c r="BJ576" s="697"/>
      <c r="BK576" s="697"/>
      <c r="BL576" s="697"/>
      <c r="BM576" s="697"/>
      <c r="BN576" s="697"/>
      <c r="BO576" s="697"/>
      <c r="BP576" s="697"/>
      <c r="BQ576" s="697"/>
      <c r="BR576" s="697"/>
      <c r="BS576" s="697"/>
      <c r="BT576" s="697"/>
      <c r="BU576" s="697"/>
      <c r="BV576" s="697"/>
      <c r="BW576" s="697"/>
      <c r="BX576" s="697"/>
      <c r="BY576" s="697"/>
      <c r="BZ576" s="697"/>
      <c r="CA576" s="697"/>
      <c r="CB576" s="697"/>
      <c r="CC576" s="697"/>
      <c r="CD576" s="697"/>
      <c r="CE576" s="697"/>
      <c r="CF576" s="697"/>
      <c r="CG576" s="697"/>
      <c r="CH576" s="697"/>
      <c r="CI576" s="697"/>
      <c r="CJ576" s="697"/>
      <c r="CK576" s="697"/>
      <c r="CL576" s="697"/>
      <c r="CM576" s="697"/>
      <c r="CN576" s="697"/>
      <c r="CO576" s="697"/>
      <c r="CP576" s="697"/>
      <c r="CQ576" s="697"/>
      <c r="CR576" s="697"/>
      <c r="CS576" s="697"/>
      <c r="CT576" s="697"/>
      <c r="CU576" s="697"/>
      <c r="CV576" s="697"/>
      <c r="CW576" s="697"/>
      <c r="CX576" s="697"/>
      <c r="CY576" s="697"/>
      <c r="CZ576" s="697"/>
      <c r="DA576" s="697"/>
    </row>
    <row r="577" spans="1:105" hidden="1" outlineLevel="1" x14ac:dyDescent="0.2">
      <c r="A577" s="709">
        <f t="shared" si="98"/>
        <v>40513</v>
      </c>
      <c r="B577" s="709" t="str">
        <f t="shared" si="95"/>
        <v>4Q10</v>
      </c>
      <c r="C577" s="709" t="str">
        <f t="shared" si="99"/>
        <v>1Q11</v>
      </c>
      <c r="D577" s="710">
        <f t="shared" si="103"/>
        <v>40592</v>
      </c>
      <c r="E577" s="710">
        <f t="shared" si="103"/>
        <v>40532</v>
      </c>
      <c r="F577" s="712">
        <v>3.2480000000000002</v>
      </c>
      <c r="G577" s="713">
        <f t="shared" si="96"/>
        <v>0.42000000000000021</v>
      </c>
      <c r="H577" s="713">
        <f t="shared" si="97"/>
        <v>0.43000000000000022</v>
      </c>
      <c r="I577" s="697"/>
      <c r="J577" s="697"/>
      <c r="K577" s="697"/>
      <c r="L577" s="697"/>
      <c r="M577" s="697"/>
      <c r="N577" s="697"/>
      <c r="O577" s="697"/>
      <c r="P577" s="697"/>
      <c r="Q577" s="697"/>
      <c r="R577" s="697"/>
      <c r="S577" s="697"/>
      <c r="T577" s="697"/>
      <c r="U577" s="697"/>
      <c r="V577" s="697"/>
      <c r="W577" s="697"/>
      <c r="X577" s="697"/>
      <c r="Y577" s="697"/>
      <c r="Z577" s="697"/>
      <c r="AA577" s="697"/>
      <c r="AB577" s="697"/>
      <c r="AC577" s="697"/>
      <c r="AD577" s="697"/>
      <c r="AE577" s="697"/>
      <c r="AF577" s="697"/>
      <c r="AG577" s="697"/>
      <c r="AH577" s="697"/>
      <c r="AI577" s="697"/>
      <c r="AJ577" s="697"/>
      <c r="AK577" s="697"/>
      <c r="AL577" s="697"/>
      <c r="AM577" s="697"/>
      <c r="AN577" s="697"/>
      <c r="AO577" s="697"/>
      <c r="AP577" s="697"/>
      <c r="AQ577" s="697"/>
      <c r="AR577" s="697"/>
      <c r="AS577" s="697"/>
      <c r="AT577" s="697"/>
      <c r="AU577" s="697"/>
      <c r="AV577" s="697"/>
      <c r="AW577" s="697"/>
      <c r="AX577" s="697"/>
      <c r="AY577" s="697"/>
      <c r="AZ577" s="697"/>
      <c r="BA577" s="697"/>
      <c r="BB577" s="697"/>
      <c r="BC577" s="697"/>
      <c r="BD577" s="697"/>
      <c r="BE577" s="697"/>
      <c r="BF577" s="697"/>
      <c r="BG577" s="697"/>
      <c r="BH577" s="697"/>
      <c r="BI577" s="697"/>
      <c r="BJ577" s="697"/>
      <c r="BK577" s="697"/>
      <c r="BL577" s="697"/>
      <c r="BM577" s="697"/>
      <c r="BN577" s="697"/>
      <c r="BO577" s="697"/>
      <c r="BP577" s="697"/>
      <c r="BQ577" s="697"/>
      <c r="BR577" s="697"/>
      <c r="BS577" s="697"/>
      <c r="BT577" s="697"/>
      <c r="BU577" s="697"/>
      <c r="BV577" s="697"/>
      <c r="BW577" s="697"/>
      <c r="BX577" s="697"/>
      <c r="BY577" s="697"/>
      <c r="BZ577" s="697"/>
      <c r="CA577" s="697"/>
      <c r="CB577" s="697"/>
      <c r="CC577" s="697"/>
      <c r="CD577" s="697"/>
      <c r="CE577" s="697"/>
      <c r="CF577" s="697"/>
      <c r="CG577" s="697"/>
      <c r="CH577" s="697"/>
      <c r="CI577" s="697"/>
      <c r="CJ577" s="697"/>
      <c r="CK577" s="697"/>
      <c r="CL577" s="697"/>
      <c r="CM577" s="697"/>
      <c r="CN577" s="697"/>
      <c r="CO577" s="697"/>
      <c r="CP577" s="697"/>
      <c r="CQ577" s="697"/>
      <c r="CR577" s="697"/>
      <c r="CS577" s="697"/>
      <c r="CT577" s="697"/>
      <c r="CU577" s="697"/>
      <c r="CV577" s="697"/>
      <c r="CW577" s="697"/>
      <c r="CX577" s="697"/>
      <c r="CY577" s="697"/>
      <c r="CZ577" s="697"/>
      <c r="DA577" s="697"/>
    </row>
    <row r="578" spans="1:105" hidden="1" outlineLevel="1" x14ac:dyDescent="0.2">
      <c r="A578" s="709">
        <f t="shared" si="98"/>
        <v>40513</v>
      </c>
      <c r="B578" s="709" t="str">
        <f t="shared" si="95"/>
        <v>4Q10</v>
      </c>
      <c r="C578" s="709" t="str">
        <f t="shared" si="99"/>
        <v>1Q11</v>
      </c>
      <c r="D578" s="710">
        <f t="shared" si="103"/>
        <v>40599</v>
      </c>
      <c r="E578" s="710">
        <f t="shared" si="103"/>
        <v>40539</v>
      </c>
      <c r="F578" s="712">
        <v>3.294</v>
      </c>
      <c r="G578" s="713">
        <f t="shared" si="96"/>
        <v>0.43000000000000022</v>
      </c>
      <c r="H578" s="713">
        <f t="shared" si="97"/>
        <v>0.44000000000000022</v>
      </c>
      <c r="I578" s="697"/>
      <c r="J578" s="697"/>
      <c r="K578" s="697"/>
      <c r="L578" s="697"/>
      <c r="M578" s="697"/>
      <c r="N578" s="697"/>
      <c r="O578" s="697"/>
      <c r="P578" s="697"/>
      <c r="Q578" s="697"/>
      <c r="R578" s="697"/>
      <c r="S578" s="697"/>
      <c r="T578" s="697"/>
      <c r="U578" s="697"/>
      <c r="V578" s="697"/>
      <c r="W578" s="697"/>
      <c r="X578" s="697"/>
      <c r="Y578" s="697"/>
      <c r="Z578" s="697"/>
      <c r="AA578" s="697"/>
      <c r="AB578" s="697"/>
      <c r="AC578" s="697"/>
      <c r="AD578" s="697"/>
      <c r="AE578" s="697"/>
      <c r="AF578" s="697"/>
      <c r="AG578" s="697"/>
      <c r="AH578" s="697"/>
      <c r="AI578" s="697"/>
      <c r="AJ578" s="697"/>
      <c r="AK578" s="697"/>
      <c r="AL578" s="697"/>
      <c r="AM578" s="697"/>
      <c r="AN578" s="697"/>
      <c r="AO578" s="697"/>
      <c r="AP578" s="697"/>
      <c r="AQ578" s="697"/>
      <c r="AR578" s="697"/>
      <c r="AS578" s="697"/>
      <c r="AT578" s="697"/>
      <c r="AU578" s="697"/>
      <c r="AV578" s="697"/>
      <c r="AW578" s="697"/>
      <c r="AX578" s="697"/>
      <c r="AY578" s="697"/>
      <c r="AZ578" s="697"/>
      <c r="BA578" s="697"/>
      <c r="BB578" s="697"/>
      <c r="BC578" s="697"/>
      <c r="BD578" s="697"/>
      <c r="BE578" s="697"/>
      <c r="BF578" s="697"/>
      <c r="BG578" s="697"/>
      <c r="BH578" s="697"/>
      <c r="BI578" s="697"/>
      <c r="BJ578" s="697"/>
      <c r="BK578" s="697"/>
      <c r="BL578" s="697"/>
      <c r="BM578" s="697"/>
      <c r="BN578" s="697"/>
      <c r="BO578" s="697"/>
      <c r="BP578" s="697"/>
      <c r="BQ578" s="697"/>
      <c r="BR578" s="697"/>
      <c r="BS578" s="697"/>
      <c r="BT578" s="697"/>
      <c r="BU578" s="697"/>
      <c r="BV578" s="697"/>
      <c r="BW578" s="697"/>
      <c r="BX578" s="697"/>
      <c r="BY578" s="697"/>
      <c r="BZ578" s="697"/>
      <c r="CA578" s="697"/>
      <c r="CB578" s="697"/>
      <c r="CC578" s="697"/>
      <c r="CD578" s="697"/>
      <c r="CE578" s="697"/>
      <c r="CF578" s="697"/>
      <c r="CG578" s="697"/>
      <c r="CH578" s="697"/>
      <c r="CI578" s="697"/>
      <c r="CJ578" s="697"/>
      <c r="CK578" s="697"/>
      <c r="CL578" s="697"/>
      <c r="CM578" s="697"/>
      <c r="CN578" s="697"/>
      <c r="CO578" s="697"/>
      <c r="CP578" s="697"/>
      <c r="CQ578" s="697"/>
      <c r="CR578" s="697"/>
      <c r="CS578" s="697"/>
      <c r="CT578" s="697"/>
      <c r="CU578" s="697"/>
      <c r="CV578" s="697"/>
      <c r="CW578" s="697"/>
      <c r="CX578" s="697"/>
      <c r="CY578" s="697"/>
      <c r="CZ578" s="697"/>
      <c r="DA578" s="697"/>
    </row>
    <row r="579" spans="1:105" hidden="1" outlineLevel="1" x14ac:dyDescent="0.2">
      <c r="A579" s="709">
        <f t="shared" si="98"/>
        <v>40544</v>
      </c>
      <c r="B579" s="709" t="str">
        <f t="shared" si="95"/>
        <v>1Q11</v>
      </c>
      <c r="C579" s="709" t="str">
        <f t="shared" si="99"/>
        <v>1Q11</v>
      </c>
      <c r="D579" s="710">
        <f>D578+7</f>
        <v>40606</v>
      </c>
      <c r="E579" s="710">
        <f t="shared" si="103"/>
        <v>40546</v>
      </c>
      <c r="F579" s="712">
        <v>3.331</v>
      </c>
      <c r="G579" s="713">
        <f t="shared" si="96"/>
        <v>0.44000000000000022</v>
      </c>
      <c r="H579" s="713">
        <f t="shared" si="97"/>
        <v>0.44000000000000022</v>
      </c>
      <c r="I579" s="697"/>
      <c r="J579" s="697"/>
      <c r="K579" s="697"/>
      <c r="L579" s="697"/>
      <c r="M579" s="697"/>
      <c r="N579" s="697"/>
      <c r="O579" s="697"/>
      <c r="P579" s="697"/>
      <c r="Q579" s="697"/>
      <c r="R579" s="697"/>
      <c r="S579" s="697"/>
      <c r="T579" s="697"/>
      <c r="U579" s="697"/>
      <c r="V579" s="697"/>
      <c r="W579" s="697"/>
      <c r="X579" s="697"/>
      <c r="Y579" s="697"/>
      <c r="Z579" s="697"/>
      <c r="AA579" s="697"/>
      <c r="AB579" s="697"/>
      <c r="AC579" s="697"/>
      <c r="AD579" s="697"/>
      <c r="AE579" s="697"/>
      <c r="AF579" s="697"/>
      <c r="AG579" s="697"/>
      <c r="AH579" s="697"/>
      <c r="AI579" s="697"/>
      <c r="AJ579" s="697"/>
      <c r="AK579" s="697"/>
      <c r="AL579" s="697"/>
      <c r="AM579" s="697"/>
      <c r="AN579" s="697"/>
      <c r="AO579" s="697"/>
      <c r="AP579" s="697"/>
      <c r="AQ579" s="697"/>
      <c r="AR579" s="697"/>
      <c r="AS579" s="697"/>
      <c r="AT579" s="697"/>
      <c r="AU579" s="697"/>
      <c r="AV579" s="697"/>
      <c r="AW579" s="697"/>
      <c r="AX579" s="697"/>
      <c r="AY579" s="697"/>
      <c r="AZ579" s="697"/>
      <c r="BA579" s="697"/>
      <c r="BB579" s="697"/>
      <c r="BC579" s="697"/>
      <c r="BD579" s="697"/>
      <c r="BE579" s="697"/>
      <c r="BF579" s="697"/>
      <c r="BG579" s="697"/>
      <c r="BH579" s="697"/>
      <c r="BI579" s="697"/>
      <c r="BJ579" s="697"/>
      <c r="BK579" s="697"/>
      <c r="BL579" s="697"/>
      <c r="BM579" s="697"/>
      <c r="BN579" s="697"/>
      <c r="BO579" s="697"/>
      <c r="BP579" s="697"/>
      <c r="BQ579" s="697"/>
      <c r="BR579" s="697"/>
      <c r="BS579" s="697"/>
      <c r="BT579" s="697"/>
      <c r="BU579" s="697"/>
      <c r="BV579" s="697"/>
      <c r="BW579" s="697"/>
      <c r="BX579" s="697"/>
      <c r="BY579" s="697"/>
      <c r="BZ579" s="697"/>
      <c r="CA579" s="697"/>
      <c r="CB579" s="697"/>
      <c r="CC579" s="697"/>
      <c r="CD579" s="697"/>
      <c r="CE579" s="697"/>
      <c r="CF579" s="697"/>
      <c r="CG579" s="697"/>
      <c r="CH579" s="697"/>
      <c r="CI579" s="697"/>
      <c r="CJ579" s="697"/>
      <c r="CK579" s="697"/>
      <c r="CL579" s="697"/>
      <c r="CM579" s="697"/>
      <c r="CN579" s="697"/>
      <c r="CO579" s="697"/>
      <c r="CP579" s="697"/>
      <c r="CQ579" s="697"/>
      <c r="CR579" s="697"/>
      <c r="CS579" s="697"/>
      <c r="CT579" s="697"/>
      <c r="CU579" s="697"/>
      <c r="CV579" s="697"/>
      <c r="CW579" s="697"/>
      <c r="CX579" s="697"/>
      <c r="CY579" s="697"/>
      <c r="CZ579" s="697"/>
      <c r="DA579" s="697"/>
    </row>
    <row r="580" spans="1:105" hidden="1" outlineLevel="1" x14ac:dyDescent="0.2">
      <c r="A580" s="709">
        <f t="shared" si="98"/>
        <v>40544</v>
      </c>
      <c r="B580" s="709" t="str">
        <f t="shared" ref="B580:B643" si="104">VLOOKUP(MONTH(A580),$N$4:$O$16,2,FALSE) &amp; "Q" &amp; RIGHT(YEAR(A580),2)</f>
        <v>1Q11</v>
      </c>
      <c r="C580" s="709" t="str">
        <f t="shared" si="99"/>
        <v>1Q11</v>
      </c>
      <c r="D580" s="710">
        <f t="shared" si="103"/>
        <v>40613</v>
      </c>
      <c r="E580" s="710">
        <f t="shared" si="103"/>
        <v>40553</v>
      </c>
      <c r="F580" s="712">
        <v>3.3330000000000002</v>
      </c>
      <c r="G580" s="713">
        <f t="shared" ref="G580:G643" si="105">INDEX($I$4:$K$153,MATCH(F580,$I$4:$I$153,1),3)</f>
        <v>0.44000000000000022</v>
      </c>
      <c r="H580" s="713">
        <f t="shared" ref="H580:H643" si="106">G581</f>
        <v>0.46000000000000024</v>
      </c>
      <c r="I580" s="697"/>
      <c r="J580" s="697"/>
      <c r="K580" s="697"/>
      <c r="L580" s="697"/>
      <c r="M580" s="697"/>
      <c r="N580" s="697"/>
      <c r="O580" s="697"/>
      <c r="P580" s="697"/>
      <c r="Q580" s="697"/>
      <c r="R580" s="697"/>
      <c r="S580" s="697"/>
      <c r="T580" s="697"/>
      <c r="U580" s="697"/>
      <c r="V580" s="697"/>
      <c r="W580" s="697"/>
      <c r="X580" s="697"/>
      <c r="Y580" s="697"/>
      <c r="Z580" s="697"/>
      <c r="AA580" s="697"/>
      <c r="AB580" s="697"/>
      <c r="AC580" s="697"/>
      <c r="AD580" s="697"/>
      <c r="AE580" s="697"/>
      <c r="AF580" s="697"/>
      <c r="AG580" s="697"/>
      <c r="AH580" s="697"/>
      <c r="AI580" s="697"/>
      <c r="AJ580" s="697"/>
      <c r="AK580" s="697"/>
      <c r="AL580" s="697"/>
      <c r="AM580" s="697"/>
      <c r="AN580" s="697"/>
      <c r="AO580" s="697"/>
      <c r="AP580" s="697"/>
      <c r="AQ580" s="697"/>
      <c r="AR580" s="697"/>
      <c r="AS580" s="697"/>
      <c r="AT580" s="697"/>
      <c r="AU580" s="697"/>
      <c r="AV580" s="697"/>
      <c r="AW580" s="697"/>
      <c r="AX580" s="697"/>
      <c r="AY580" s="697"/>
      <c r="AZ580" s="697"/>
      <c r="BA580" s="697"/>
      <c r="BB580" s="697"/>
      <c r="BC580" s="697"/>
      <c r="BD580" s="697"/>
      <c r="BE580" s="697"/>
      <c r="BF580" s="697"/>
      <c r="BG580" s="697"/>
      <c r="BH580" s="697"/>
      <c r="BI580" s="697"/>
      <c r="BJ580" s="697"/>
      <c r="BK580" s="697"/>
      <c r="BL580" s="697"/>
      <c r="BM580" s="697"/>
      <c r="BN580" s="697"/>
      <c r="BO580" s="697"/>
      <c r="BP580" s="697"/>
      <c r="BQ580" s="697"/>
      <c r="BR580" s="697"/>
      <c r="BS580" s="697"/>
      <c r="BT580" s="697"/>
      <c r="BU580" s="697"/>
      <c r="BV580" s="697"/>
      <c r="BW580" s="697"/>
      <c r="BX580" s="697"/>
      <c r="BY580" s="697"/>
      <c r="BZ580" s="697"/>
      <c r="CA580" s="697"/>
      <c r="CB580" s="697"/>
      <c r="CC580" s="697"/>
      <c r="CD580" s="697"/>
      <c r="CE580" s="697"/>
      <c r="CF580" s="697"/>
      <c r="CG580" s="697"/>
      <c r="CH580" s="697"/>
      <c r="CI580" s="697"/>
      <c r="CJ580" s="697"/>
      <c r="CK580" s="697"/>
      <c r="CL580" s="697"/>
      <c r="CM580" s="697"/>
      <c r="CN580" s="697"/>
      <c r="CO580" s="697"/>
      <c r="CP580" s="697"/>
      <c r="CQ580" s="697"/>
      <c r="CR580" s="697"/>
      <c r="CS580" s="697"/>
      <c r="CT580" s="697"/>
      <c r="CU580" s="697"/>
      <c r="CV580" s="697"/>
      <c r="CW580" s="697"/>
      <c r="CX580" s="697"/>
      <c r="CY580" s="697"/>
      <c r="CZ580" s="697"/>
      <c r="DA580" s="697"/>
    </row>
    <row r="581" spans="1:105" hidden="1" outlineLevel="1" x14ac:dyDescent="0.2">
      <c r="A581" s="709">
        <f t="shared" ref="A581:A644" si="107">DATE(YEAR(E581),MONTH(E581),1)</f>
        <v>40544</v>
      </c>
      <c r="B581" s="709" t="str">
        <f t="shared" si="104"/>
        <v>1Q11</v>
      </c>
      <c r="C581" s="709" t="str">
        <f t="shared" ref="C581:C644" si="108">VLOOKUP(MONTH(D581),$N$4:$O$16,2,FALSE) &amp; "Q" &amp; RIGHT(YEAR(D581),2)</f>
        <v>1Q11</v>
      </c>
      <c r="D581" s="710">
        <f t="shared" ref="D581:E596" si="109">D580+7</f>
        <v>40620</v>
      </c>
      <c r="E581" s="710">
        <f t="shared" si="109"/>
        <v>40560</v>
      </c>
      <c r="F581" s="712">
        <v>3.407</v>
      </c>
      <c r="G581" s="713">
        <f t="shared" si="105"/>
        <v>0.46000000000000024</v>
      </c>
      <c r="H581" s="713">
        <f t="shared" si="106"/>
        <v>0.46000000000000024</v>
      </c>
      <c r="I581" s="697"/>
      <c r="J581" s="697"/>
      <c r="K581" s="697"/>
      <c r="L581" s="697"/>
      <c r="M581" s="697"/>
      <c r="N581" s="697"/>
      <c r="O581" s="697"/>
      <c r="P581" s="697"/>
      <c r="Q581" s="697"/>
      <c r="R581" s="697"/>
      <c r="S581" s="697"/>
      <c r="T581" s="697"/>
      <c r="U581" s="697"/>
      <c r="V581" s="697"/>
      <c r="W581" s="697"/>
      <c r="X581" s="697"/>
      <c r="Y581" s="697"/>
      <c r="Z581" s="697"/>
      <c r="AA581" s="697"/>
      <c r="AB581" s="697"/>
      <c r="AC581" s="697"/>
      <c r="AD581" s="697"/>
      <c r="AE581" s="697"/>
      <c r="AF581" s="697"/>
      <c r="AG581" s="697"/>
      <c r="AH581" s="697"/>
      <c r="AI581" s="697"/>
      <c r="AJ581" s="697"/>
      <c r="AK581" s="697"/>
      <c r="AL581" s="697"/>
      <c r="AM581" s="697"/>
      <c r="AN581" s="697"/>
      <c r="AO581" s="697"/>
      <c r="AP581" s="697"/>
      <c r="AQ581" s="697"/>
      <c r="AR581" s="697"/>
      <c r="AS581" s="697"/>
      <c r="AT581" s="697"/>
      <c r="AU581" s="697"/>
      <c r="AV581" s="697"/>
      <c r="AW581" s="697"/>
      <c r="AX581" s="697"/>
      <c r="AY581" s="697"/>
      <c r="AZ581" s="697"/>
      <c r="BA581" s="697"/>
      <c r="BB581" s="697"/>
      <c r="BC581" s="697"/>
      <c r="BD581" s="697"/>
      <c r="BE581" s="697"/>
      <c r="BF581" s="697"/>
      <c r="BG581" s="697"/>
      <c r="BH581" s="697"/>
      <c r="BI581" s="697"/>
      <c r="BJ581" s="697"/>
      <c r="BK581" s="697"/>
      <c r="BL581" s="697"/>
      <c r="BM581" s="697"/>
      <c r="BN581" s="697"/>
      <c r="BO581" s="697"/>
      <c r="BP581" s="697"/>
      <c r="BQ581" s="697"/>
      <c r="BR581" s="697"/>
      <c r="BS581" s="697"/>
      <c r="BT581" s="697"/>
      <c r="BU581" s="697"/>
      <c r="BV581" s="697"/>
      <c r="BW581" s="697"/>
      <c r="BX581" s="697"/>
      <c r="BY581" s="697"/>
      <c r="BZ581" s="697"/>
      <c r="CA581" s="697"/>
      <c r="CB581" s="697"/>
      <c r="CC581" s="697"/>
      <c r="CD581" s="697"/>
      <c r="CE581" s="697"/>
      <c r="CF581" s="697"/>
      <c r="CG581" s="697"/>
      <c r="CH581" s="697"/>
      <c r="CI581" s="697"/>
      <c r="CJ581" s="697"/>
      <c r="CK581" s="697"/>
      <c r="CL581" s="697"/>
      <c r="CM581" s="697"/>
      <c r="CN581" s="697"/>
      <c r="CO581" s="697"/>
      <c r="CP581" s="697"/>
      <c r="CQ581" s="697"/>
      <c r="CR581" s="697"/>
      <c r="CS581" s="697"/>
      <c r="CT581" s="697"/>
      <c r="CU581" s="697"/>
      <c r="CV581" s="697"/>
      <c r="CW581" s="697"/>
      <c r="CX581" s="697"/>
      <c r="CY581" s="697"/>
      <c r="CZ581" s="697"/>
      <c r="DA581" s="697"/>
    </row>
    <row r="582" spans="1:105" hidden="1" outlineLevel="1" x14ac:dyDescent="0.2">
      <c r="A582" s="709">
        <f t="shared" si="107"/>
        <v>40544</v>
      </c>
      <c r="B582" s="709" t="str">
        <f t="shared" si="104"/>
        <v>1Q11</v>
      </c>
      <c r="C582" s="709" t="str">
        <f t="shared" si="108"/>
        <v>1Q11</v>
      </c>
      <c r="D582" s="710">
        <f t="shared" si="109"/>
        <v>40627</v>
      </c>
      <c r="E582" s="710">
        <f t="shared" si="109"/>
        <v>40567</v>
      </c>
      <c r="F582" s="712">
        <v>3.43</v>
      </c>
      <c r="G582" s="713">
        <f t="shared" si="105"/>
        <v>0.46000000000000024</v>
      </c>
      <c r="H582" s="713">
        <f t="shared" si="106"/>
        <v>0.46000000000000024</v>
      </c>
      <c r="I582" s="697"/>
      <c r="J582" s="697"/>
      <c r="K582" s="697"/>
      <c r="L582" s="697"/>
      <c r="M582" s="697"/>
      <c r="N582" s="697"/>
      <c r="O582" s="697"/>
      <c r="P582" s="697"/>
      <c r="Q582" s="697"/>
      <c r="R582" s="697"/>
      <c r="S582" s="697"/>
      <c r="T582" s="697"/>
      <c r="U582" s="697"/>
      <c r="V582" s="697"/>
      <c r="W582" s="697"/>
      <c r="X582" s="697"/>
      <c r="Y582" s="697"/>
      <c r="Z582" s="697"/>
      <c r="AA582" s="697"/>
      <c r="AB582" s="697"/>
      <c r="AC582" s="697"/>
      <c r="AD582" s="697"/>
      <c r="AE582" s="697"/>
      <c r="AF582" s="697"/>
      <c r="AG582" s="697"/>
      <c r="AH582" s="697"/>
      <c r="AI582" s="697"/>
      <c r="AJ582" s="697"/>
      <c r="AK582" s="697"/>
      <c r="AL582" s="697"/>
      <c r="AM582" s="697"/>
      <c r="AN582" s="697"/>
      <c r="AO582" s="697"/>
      <c r="AP582" s="697"/>
      <c r="AQ582" s="697"/>
      <c r="AR582" s="697"/>
      <c r="AS582" s="697"/>
      <c r="AT582" s="697"/>
      <c r="AU582" s="697"/>
      <c r="AV582" s="697"/>
      <c r="AW582" s="697"/>
      <c r="AX582" s="697"/>
      <c r="AY582" s="697"/>
      <c r="AZ582" s="697"/>
      <c r="BA582" s="697"/>
      <c r="BB582" s="697"/>
      <c r="BC582" s="697"/>
      <c r="BD582" s="697"/>
      <c r="BE582" s="697"/>
      <c r="BF582" s="697"/>
      <c r="BG582" s="697"/>
      <c r="BH582" s="697"/>
      <c r="BI582" s="697"/>
      <c r="BJ582" s="697"/>
      <c r="BK582" s="697"/>
      <c r="BL582" s="697"/>
      <c r="BM582" s="697"/>
      <c r="BN582" s="697"/>
      <c r="BO582" s="697"/>
      <c r="BP582" s="697"/>
      <c r="BQ582" s="697"/>
      <c r="BR582" s="697"/>
      <c r="BS582" s="697"/>
      <c r="BT582" s="697"/>
      <c r="BU582" s="697"/>
      <c r="BV582" s="697"/>
      <c r="BW582" s="697"/>
      <c r="BX582" s="697"/>
      <c r="BY582" s="697"/>
      <c r="BZ582" s="697"/>
      <c r="CA582" s="697"/>
      <c r="CB582" s="697"/>
      <c r="CC582" s="697"/>
      <c r="CD582" s="697"/>
      <c r="CE582" s="697"/>
      <c r="CF582" s="697"/>
      <c r="CG582" s="697"/>
      <c r="CH582" s="697"/>
      <c r="CI582" s="697"/>
      <c r="CJ582" s="697"/>
      <c r="CK582" s="697"/>
      <c r="CL582" s="697"/>
      <c r="CM582" s="697"/>
      <c r="CN582" s="697"/>
      <c r="CO582" s="697"/>
      <c r="CP582" s="697"/>
      <c r="CQ582" s="697"/>
      <c r="CR582" s="697"/>
      <c r="CS582" s="697"/>
      <c r="CT582" s="697"/>
      <c r="CU582" s="697"/>
      <c r="CV582" s="697"/>
      <c r="CW582" s="697"/>
      <c r="CX582" s="697"/>
      <c r="CY582" s="697"/>
      <c r="CZ582" s="697"/>
      <c r="DA582" s="697"/>
    </row>
    <row r="583" spans="1:105" hidden="1" outlineLevel="1" x14ac:dyDescent="0.2">
      <c r="A583" s="709">
        <f t="shared" si="107"/>
        <v>40544</v>
      </c>
      <c r="B583" s="709" t="str">
        <f t="shared" si="104"/>
        <v>1Q11</v>
      </c>
      <c r="C583" s="709" t="str">
        <f t="shared" si="108"/>
        <v>2Q11</v>
      </c>
      <c r="D583" s="710">
        <f t="shared" si="109"/>
        <v>40634</v>
      </c>
      <c r="E583" s="710">
        <f t="shared" si="109"/>
        <v>40574</v>
      </c>
      <c r="F583" s="712">
        <v>3.4380000000000002</v>
      </c>
      <c r="G583" s="713">
        <f t="shared" si="105"/>
        <v>0.46000000000000024</v>
      </c>
      <c r="H583" s="713">
        <f t="shared" si="106"/>
        <v>0.48000000000000026</v>
      </c>
      <c r="I583" s="697"/>
      <c r="J583" s="697"/>
      <c r="K583" s="697"/>
      <c r="L583" s="697"/>
      <c r="M583" s="697"/>
      <c r="N583" s="697"/>
      <c r="O583" s="697"/>
      <c r="P583" s="697"/>
      <c r="Q583" s="697"/>
      <c r="R583" s="697"/>
      <c r="S583" s="697"/>
      <c r="T583" s="697"/>
      <c r="U583" s="697"/>
      <c r="V583" s="697"/>
      <c r="W583" s="697"/>
      <c r="X583" s="697"/>
      <c r="Y583" s="697"/>
      <c r="Z583" s="697"/>
      <c r="AA583" s="697"/>
      <c r="AB583" s="697"/>
      <c r="AC583" s="697"/>
      <c r="AD583" s="697"/>
      <c r="AE583" s="697"/>
      <c r="AF583" s="697"/>
      <c r="AG583" s="697"/>
      <c r="AH583" s="697"/>
      <c r="AI583" s="697"/>
      <c r="AJ583" s="697"/>
      <c r="AK583" s="697"/>
      <c r="AL583" s="697"/>
      <c r="AM583" s="697"/>
      <c r="AN583" s="697"/>
      <c r="AO583" s="697"/>
      <c r="AP583" s="697"/>
      <c r="AQ583" s="697"/>
      <c r="AR583" s="697"/>
      <c r="AS583" s="697"/>
      <c r="AT583" s="697"/>
      <c r="AU583" s="697"/>
      <c r="AV583" s="697"/>
      <c r="AW583" s="697"/>
      <c r="AX583" s="697"/>
      <c r="AY583" s="697"/>
      <c r="AZ583" s="697"/>
      <c r="BA583" s="697"/>
      <c r="BB583" s="697"/>
      <c r="BC583" s="697"/>
      <c r="BD583" s="697"/>
      <c r="BE583" s="697"/>
      <c r="BF583" s="697"/>
      <c r="BG583" s="697"/>
      <c r="BH583" s="697"/>
      <c r="BI583" s="697"/>
      <c r="BJ583" s="697"/>
      <c r="BK583" s="697"/>
      <c r="BL583" s="697"/>
      <c r="BM583" s="697"/>
      <c r="BN583" s="697"/>
      <c r="BO583" s="697"/>
      <c r="BP583" s="697"/>
      <c r="BQ583" s="697"/>
      <c r="BR583" s="697"/>
      <c r="BS583" s="697"/>
      <c r="BT583" s="697"/>
      <c r="BU583" s="697"/>
      <c r="BV583" s="697"/>
      <c r="BW583" s="697"/>
      <c r="BX583" s="697"/>
      <c r="BY583" s="697"/>
      <c r="BZ583" s="697"/>
      <c r="CA583" s="697"/>
      <c r="CB583" s="697"/>
      <c r="CC583" s="697"/>
      <c r="CD583" s="697"/>
      <c r="CE583" s="697"/>
      <c r="CF583" s="697"/>
      <c r="CG583" s="697"/>
      <c r="CH583" s="697"/>
      <c r="CI583" s="697"/>
      <c r="CJ583" s="697"/>
      <c r="CK583" s="697"/>
      <c r="CL583" s="697"/>
      <c r="CM583" s="697"/>
      <c r="CN583" s="697"/>
      <c r="CO583" s="697"/>
      <c r="CP583" s="697"/>
      <c r="CQ583" s="697"/>
      <c r="CR583" s="697"/>
      <c r="CS583" s="697"/>
      <c r="CT583" s="697"/>
      <c r="CU583" s="697"/>
      <c r="CV583" s="697"/>
      <c r="CW583" s="697"/>
      <c r="CX583" s="697"/>
      <c r="CY583" s="697"/>
      <c r="CZ583" s="697"/>
      <c r="DA583" s="697"/>
    </row>
    <row r="584" spans="1:105" hidden="1" outlineLevel="1" x14ac:dyDescent="0.2">
      <c r="A584" s="709">
        <f t="shared" si="107"/>
        <v>40575</v>
      </c>
      <c r="B584" s="709" t="str">
        <f t="shared" si="104"/>
        <v>1Q11</v>
      </c>
      <c r="C584" s="709" t="str">
        <f t="shared" si="108"/>
        <v>2Q11</v>
      </c>
      <c r="D584" s="710">
        <f t="shared" si="109"/>
        <v>40641</v>
      </c>
      <c r="E584" s="710">
        <f t="shared" si="109"/>
        <v>40581</v>
      </c>
      <c r="F584" s="712">
        <v>3.5129999999999999</v>
      </c>
      <c r="G584" s="713">
        <f t="shared" si="105"/>
        <v>0.48000000000000026</v>
      </c>
      <c r="H584" s="713">
        <f t="shared" si="106"/>
        <v>0.48000000000000026</v>
      </c>
      <c r="I584" s="697"/>
      <c r="J584" s="697"/>
      <c r="K584" s="697"/>
      <c r="L584" s="697"/>
      <c r="M584" s="697"/>
      <c r="N584" s="697"/>
      <c r="O584" s="697"/>
      <c r="P584" s="697"/>
      <c r="Q584" s="697"/>
      <c r="R584" s="697"/>
      <c r="S584" s="697"/>
      <c r="T584" s="697"/>
      <c r="U584" s="697"/>
      <c r="V584" s="697"/>
      <c r="W584" s="697"/>
      <c r="X584" s="697"/>
      <c r="Y584" s="697"/>
      <c r="Z584" s="697"/>
      <c r="AA584" s="697"/>
      <c r="AB584" s="697"/>
      <c r="AC584" s="697"/>
      <c r="AD584" s="697"/>
      <c r="AE584" s="697"/>
      <c r="AF584" s="697"/>
      <c r="AG584" s="697"/>
      <c r="AH584" s="697"/>
      <c r="AI584" s="697"/>
      <c r="AJ584" s="697"/>
      <c r="AK584" s="697"/>
      <c r="AL584" s="697"/>
      <c r="AM584" s="697"/>
      <c r="AN584" s="697"/>
      <c r="AO584" s="697"/>
      <c r="AP584" s="697"/>
      <c r="AQ584" s="697"/>
      <c r="AR584" s="697"/>
      <c r="AS584" s="697"/>
      <c r="AT584" s="697"/>
      <c r="AU584" s="697"/>
      <c r="AV584" s="697"/>
      <c r="AW584" s="697"/>
      <c r="AX584" s="697"/>
      <c r="AY584" s="697"/>
      <c r="AZ584" s="697"/>
      <c r="BA584" s="697"/>
      <c r="BB584" s="697"/>
      <c r="BC584" s="697"/>
      <c r="BD584" s="697"/>
      <c r="BE584" s="697"/>
      <c r="BF584" s="697"/>
      <c r="BG584" s="697"/>
      <c r="BH584" s="697"/>
      <c r="BI584" s="697"/>
      <c r="BJ584" s="697"/>
      <c r="BK584" s="697"/>
      <c r="BL584" s="697"/>
      <c r="BM584" s="697"/>
      <c r="BN584" s="697"/>
      <c r="BO584" s="697"/>
      <c r="BP584" s="697"/>
      <c r="BQ584" s="697"/>
      <c r="BR584" s="697"/>
      <c r="BS584" s="697"/>
      <c r="BT584" s="697"/>
      <c r="BU584" s="697"/>
      <c r="BV584" s="697"/>
      <c r="BW584" s="697"/>
      <c r="BX584" s="697"/>
      <c r="BY584" s="697"/>
      <c r="BZ584" s="697"/>
      <c r="CA584" s="697"/>
      <c r="CB584" s="697"/>
      <c r="CC584" s="697"/>
      <c r="CD584" s="697"/>
      <c r="CE584" s="697"/>
      <c r="CF584" s="697"/>
      <c r="CG584" s="697"/>
      <c r="CH584" s="697"/>
      <c r="CI584" s="697"/>
      <c r="CJ584" s="697"/>
      <c r="CK584" s="697"/>
      <c r="CL584" s="697"/>
      <c r="CM584" s="697"/>
      <c r="CN584" s="697"/>
      <c r="CO584" s="697"/>
      <c r="CP584" s="697"/>
      <c r="CQ584" s="697"/>
      <c r="CR584" s="697"/>
      <c r="CS584" s="697"/>
      <c r="CT584" s="697"/>
      <c r="CU584" s="697"/>
      <c r="CV584" s="697"/>
      <c r="CW584" s="697"/>
      <c r="CX584" s="697"/>
      <c r="CY584" s="697"/>
      <c r="CZ584" s="697"/>
      <c r="DA584" s="697"/>
    </row>
    <row r="585" spans="1:105" hidden="1" outlineLevel="1" x14ac:dyDescent="0.2">
      <c r="A585" s="709">
        <f t="shared" si="107"/>
        <v>40575</v>
      </c>
      <c r="B585" s="709" t="str">
        <f t="shared" si="104"/>
        <v>1Q11</v>
      </c>
      <c r="C585" s="709" t="str">
        <f t="shared" si="108"/>
        <v>2Q11</v>
      </c>
      <c r="D585" s="710">
        <f t="shared" si="109"/>
        <v>40648</v>
      </c>
      <c r="E585" s="710">
        <f t="shared" si="109"/>
        <v>40588</v>
      </c>
      <c r="F585" s="712">
        <v>3.5339999999999998</v>
      </c>
      <c r="G585" s="713">
        <f t="shared" si="105"/>
        <v>0.48000000000000026</v>
      </c>
      <c r="H585" s="713">
        <f t="shared" si="106"/>
        <v>0.49000000000000027</v>
      </c>
      <c r="I585" s="697"/>
      <c r="J585" s="697"/>
      <c r="K585" s="697"/>
      <c r="L585" s="697"/>
      <c r="M585" s="697"/>
      <c r="N585" s="697"/>
      <c r="O585" s="697"/>
      <c r="P585" s="697"/>
      <c r="Q585" s="697"/>
      <c r="R585" s="697"/>
      <c r="S585" s="697"/>
      <c r="T585" s="697"/>
      <c r="U585" s="697"/>
      <c r="V585" s="697"/>
      <c r="W585" s="697"/>
      <c r="X585" s="697"/>
      <c r="Y585" s="697"/>
      <c r="Z585" s="697"/>
      <c r="AA585" s="697"/>
      <c r="AB585" s="697"/>
      <c r="AC585" s="697"/>
      <c r="AD585" s="697"/>
      <c r="AE585" s="697"/>
      <c r="AF585" s="697"/>
      <c r="AG585" s="697"/>
      <c r="AH585" s="697"/>
      <c r="AI585" s="697"/>
      <c r="AJ585" s="697"/>
      <c r="AK585" s="697"/>
      <c r="AL585" s="697"/>
      <c r="AM585" s="697"/>
      <c r="AN585" s="697"/>
      <c r="AO585" s="697"/>
      <c r="AP585" s="697"/>
      <c r="AQ585" s="697"/>
      <c r="AR585" s="697"/>
      <c r="AS585" s="697"/>
      <c r="AT585" s="697"/>
      <c r="AU585" s="697"/>
      <c r="AV585" s="697"/>
      <c r="AW585" s="697"/>
      <c r="AX585" s="697"/>
      <c r="AY585" s="697"/>
      <c r="AZ585" s="697"/>
      <c r="BA585" s="697"/>
      <c r="BB585" s="697"/>
      <c r="BC585" s="697"/>
      <c r="BD585" s="697"/>
      <c r="BE585" s="697"/>
      <c r="BF585" s="697"/>
      <c r="BG585" s="697"/>
      <c r="BH585" s="697"/>
      <c r="BI585" s="697"/>
      <c r="BJ585" s="697"/>
      <c r="BK585" s="697"/>
      <c r="BL585" s="697"/>
      <c r="BM585" s="697"/>
      <c r="BN585" s="697"/>
      <c r="BO585" s="697"/>
      <c r="BP585" s="697"/>
      <c r="BQ585" s="697"/>
      <c r="BR585" s="697"/>
      <c r="BS585" s="697"/>
      <c r="BT585" s="697"/>
      <c r="BU585" s="697"/>
      <c r="BV585" s="697"/>
      <c r="BW585" s="697"/>
      <c r="BX585" s="697"/>
      <c r="BY585" s="697"/>
      <c r="BZ585" s="697"/>
      <c r="CA585" s="697"/>
      <c r="CB585" s="697"/>
      <c r="CC585" s="697"/>
      <c r="CD585" s="697"/>
      <c r="CE585" s="697"/>
      <c r="CF585" s="697"/>
      <c r="CG585" s="697"/>
      <c r="CH585" s="697"/>
      <c r="CI585" s="697"/>
      <c r="CJ585" s="697"/>
      <c r="CK585" s="697"/>
      <c r="CL585" s="697"/>
      <c r="CM585" s="697"/>
      <c r="CN585" s="697"/>
      <c r="CO585" s="697"/>
      <c r="CP585" s="697"/>
      <c r="CQ585" s="697"/>
      <c r="CR585" s="697"/>
      <c r="CS585" s="697"/>
      <c r="CT585" s="697"/>
      <c r="CU585" s="697"/>
      <c r="CV585" s="697"/>
      <c r="CW585" s="697"/>
      <c r="CX585" s="697"/>
      <c r="CY585" s="697"/>
      <c r="CZ585" s="697"/>
      <c r="DA585" s="697"/>
    </row>
    <row r="586" spans="1:105" hidden="1" outlineLevel="1" x14ac:dyDescent="0.2">
      <c r="A586" s="709">
        <f t="shared" si="107"/>
        <v>40575</v>
      </c>
      <c r="B586" s="709" t="str">
        <f t="shared" si="104"/>
        <v>1Q11</v>
      </c>
      <c r="C586" s="709" t="str">
        <f t="shared" si="108"/>
        <v>2Q11</v>
      </c>
      <c r="D586" s="710">
        <f t="shared" si="109"/>
        <v>40655</v>
      </c>
      <c r="E586" s="710">
        <f t="shared" si="109"/>
        <v>40595</v>
      </c>
      <c r="F586" s="712">
        <v>3.573</v>
      </c>
      <c r="G586" s="713">
        <f t="shared" si="105"/>
        <v>0.49000000000000027</v>
      </c>
      <c r="H586" s="713">
        <f t="shared" si="106"/>
        <v>0.52000000000000024</v>
      </c>
      <c r="I586" s="697"/>
      <c r="J586" s="697"/>
      <c r="K586" s="697"/>
      <c r="L586" s="697"/>
      <c r="M586" s="697"/>
      <c r="N586" s="697"/>
      <c r="O586" s="697"/>
      <c r="P586" s="697"/>
      <c r="Q586" s="697"/>
      <c r="R586" s="697"/>
      <c r="S586" s="697"/>
      <c r="T586" s="697"/>
      <c r="U586" s="697"/>
      <c r="V586" s="697"/>
      <c r="W586" s="697"/>
      <c r="X586" s="697"/>
      <c r="Y586" s="697"/>
      <c r="Z586" s="697"/>
      <c r="AA586" s="697"/>
      <c r="AB586" s="697"/>
      <c r="AC586" s="697"/>
      <c r="AD586" s="697"/>
      <c r="AE586" s="697"/>
      <c r="AF586" s="697"/>
      <c r="AG586" s="697"/>
      <c r="AH586" s="697"/>
      <c r="AI586" s="697"/>
      <c r="AJ586" s="697"/>
      <c r="AK586" s="697"/>
      <c r="AL586" s="697"/>
      <c r="AM586" s="697"/>
      <c r="AN586" s="697"/>
      <c r="AO586" s="697"/>
      <c r="AP586" s="697"/>
      <c r="AQ586" s="697"/>
      <c r="AR586" s="697"/>
      <c r="AS586" s="697"/>
      <c r="AT586" s="697"/>
      <c r="AU586" s="697"/>
      <c r="AV586" s="697"/>
      <c r="AW586" s="697"/>
      <c r="AX586" s="697"/>
      <c r="AY586" s="697"/>
      <c r="AZ586" s="697"/>
      <c r="BA586" s="697"/>
      <c r="BB586" s="697"/>
      <c r="BC586" s="697"/>
      <c r="BD586" s="697"/>
      <c r="BE586" s="697"/>
      <c r="BF586" s="697"/>
      <c r="BG586" s="697"/>
      <c r="BH586" s="697"/>
      <c r="BI586" s="697"/>
      <c r="BJ586" s="697"/>
      <c r="BK586" s="697"/>
      <c r="BL586" s="697"/>
      <c r="BM586" s="697"/>
      <c r="BN586" s="697"/>
      <c r="BO586" s="697"/>
      <c r="BP586" s="697"/>
      <c r="BQ586" s="697"/>
      <c r="BR586" s="697"/>
      <c r="BS586" s="697"/>
      <c r="BT586" s="697"/>
      <c r="BU586" s="697"/>
      <c r="BV586" s="697"/>
      <c r="BW586" s="697"/>
      <c r="BX586" s="697"/>
      <c r="BY586" s="697"/>
      <c r="BZ586" s="697"/>
      <c r="CA586" s="697"/>
      <c r="CB586" s="697"/>
      <c r="CC586" s="697"/>
      <c r="CD586" s="697"/>
      <c r="CE586" s="697"/>
      <c r="CF586" s="697"/>
      <c r="CG586" s="697"/>
      <c r="CH586" s="697"/>
      <c r="CI586" s="697"/>
      <c r="CJ586" s="697"/>
      <c r="CK586" s="697"/>
      <c r="CL586" s="697"/>
      <c r="CM586" s="697"/>
      <c r="CN586" s="697"/>
      <c r="CO586" s="697"/>
      <c r="CP586" s="697"/>
      <c r="CQ586" s="697"/>
      <c r="CR586" s="697"/>
      <c r="CS586" s="697"/>
      <c r="CT586" s="697"/>
      <c r="CU586" s="697"/>
      <c r="CV586" s="697"/>
      <c r="CW586" s="697"/>
      <c r="CX586" s="697"/>
      <c r="CY586" s="697"/>
      <c r="CZ586" s="697"/>
      <c r="DA586" s="697"/>
    </row>
    <row r="587" spans="1:105" hidden="1" outlineLevel="1" x14ac:dyDescent="0.2">
      <c r="A587" s="709">
        <f t="shared" si="107"/>
        <v>40575</v>
      </c>
      <c r="B587" s="709" t="str">
        <f t="shared" si="104"/>
        <v>1Q11</v>
      </c>
      <c r="C587" s="709" t="str">
        <f t="shared" si="108"/>
        <v>2Q11</v>
      </c>
      <c r="D587" s="710">
        <f t="shared" si="109"/>
        <v>40662</v>
      </c>
      <c r="E587" s="710">
        <f t="shared" si="109"/>
        <v>40602</v>
      </c>
      <c r="F587" s="712">
        <v>3.7160000000000002</v>
      </c>
      <c r="G587" s="713">
        <f t="shared" si="105"/>
        <v>0.52000000000000024</v>
      </c>
      <c r="H587" s="713">
        <f t="shared" si="106"/>
        <v>0.55000000000000027</v>
      </c>
      <c r="I587" s="697"/>
      <c r="J587" s="697"/>
      <c r="K587" s="697"/>
      <c r="L587" s="697"/>
      <c r="M587" s="697"/>
      <c r="N587" s="697"/>
      <c r="O587" s="697"/>
      <c r="P587" s="697"/>
      <c r="Q587" s="697"/>
      <c r="R587" s="697"/>
      <c r="S587" s="697"/>
      <c r="T587" s="697"/>
      <c r="U587" s="697"/>
      <c r="V587" s="697"/>
      <c r="W587" s="697"/>
      <c r="X587" s="697"/>
      <c r="Y587" s="697"/>
      <c r="Z587" s="697"/>
      <c r="AA587" s="697"/>
      <c r="AB587" s="697"/>
      <c r="AC587" s="697"/>
      <c r="AD587" s="697"/>
      <c r="AE587" s="697"/>
      <c r="AF587" s="697"/>
      <c r="AG587" s="697"/>
      <c r="AH587" s="697"/>
      <c r="AI587" s="697"/>
      <c r="AJ587" s="697"/>
      <c r="AK587" s="697"/>
      <c r="AL587" s="697"/>
      <c r="AM587" s="697"/>
      <c r="AN587" s="697"/>
      <c r="AO587" s="697"/>
      <c r="AP587" s="697"/>
      <c r="AQ587" s="697"/>
      <c r="AR587" s="697"/>
      <c r="AS587" s="697"/>
      <c r="AT587" s="697"/>
      <c r="AU587" s="697"/>
      <c r="AV587" s="697"/>
      <c r="AW587" s="697"/>
      <c r="AX587" s="697"/>
      <c r="AY587" s="697"/>
      <c r="AZ587" s="697"/>
      <c r="BA587" s="697"/>
      <c r="BB587" s="697"/>
      <c r="BC587" s="697"/>
      <c r="BD587" s="697"/>
      <c r="BE587" s="697"/>
      <c r="BF587" s="697"/>
      <c r="BG587" s="697"/>
      <c r="BH587" s="697"/>
      <c r="BI587" s="697"/>
      <c r="BJ587" s="697"/>
      <c r="BK587" s="697"/>
      <c r="BL587" s="697"/>
      <c r="BM587" s="697"/>
      <c r="BN587" s="697"/>
      <c r="BO587" s="697"/>
      <c r="BP587" s="697"/>
      <c r="BQ587" s="697"/>
      <c r="BR587" s="697"/>
      <c r="BS587" s="697"/>
      <c r="BT587" s="697"/>
      <c r="BU587" s="697"/>
      <c r="BV587" s="697"/>
      <c r="BW587" s="697"/>
      <c r="BX587" s="697"/>
      <c r="BY587" s="697"/>
      <c r="BZ587" s="697"/>
      <c r="CA587" s="697"/>
      <c r="CB587" s="697"/>
      <c r="CC587" s="697"/>
      <c r="CD587" s="697"/>
      <c r="CE587" s="697"/>
      <c r="CF587" s="697"/>
      <c r="CG587" s="697"/>
      <c r="CH587" s="697"/>
      <c r="CI587" s="697"/>
      <c r="CJ587" s="697"/>
      <c r="CK587" s="697"/>
      <c r="CL587" s="697"/>
      <c r="CM587" s="697"/>
      <c r="CN587" s="697"/>
      <c r="CO587" s="697"/>
      <c r="CP587" s="697"/>
      <c r="CQ587" s="697"/>
      <c r="CR587" s="697"/>
      <c r="CS587" s="697"/>
      <c r="CT587" s="697"/>
      <c r="CU587" s="697"/>
      <c r="CV587" s="697"/>
      <c r="CW587" s="697"/>
      <c r="CX587" s="697"/>
      <c r="CY587" s="697"/>
      <c r="CZ587" s="697"/>
      <c r="DA587" s="697"/>
    </row>
    <row r="588" spans="1:105" hidden="1" outlineLevel="1" x14ac:dyDescent="0.2">
      <c r="A588" s="709">
        <f t="shared" si="107"/>
        <v>40603</v>
      </c>
      <c r="B588" s="709" t="str">
        <f t="shared" si="104"/>
        <v>1Q11</v>
      </c>
      <c r="C588" s="709" t="str">
        <f t="shared" si="108"/>
        <v>2Q11</v>
      </c>
      <c r="D588" s="710">
        <f t="shared" si="109"/>
        <v>40669</v>
      </c>
      <c r="E588" s="710">
        <f t="shared" si="109"/>
        <v>40609</v>
      </c>
      <c r="F588" s="712">
        <v>3.871</v>
      </c>
      <c r="G588" s="713">
        <f t="shared" si="105"/>
        <v>0.55000000000000027</v>
      </c>
      <c r="H588" s="713">
        <f t="shared" si="106"/>
        <v>0.56000000000000028</v>
      </c>
      <c r="I588" s="697"/>
      <c r="J588" s="697"/>
      <c r="K588" s="697"/>
      <c r="L588" s="697"/>
      <c r="M588" s="697"/>
      <c r="N588" s="697"/>
      <c r="O588" s="697"/>
      <c r="P588" s="697"/>
      <c r="Q588" s="697"/>
      <c r="R588" s="697"/>
      <c r="S588" s="697"/>
      <c r="T588" s="697"/>
      <c r="U588" s="697"/>
      <c r="V588" s="697"/>
      <c r="W588" s="697"/>
      <c r="X588" s="697"/>
      <c r="Y588" s="697"/>
      <c r="Z588" s="697"/>
      <c r="AA588" s="697"/>
      <c r="AB588" s="697"/>
      <c r="AC588" s="697"/>
      <c r="AD588" s="697"/>
      <c r="AE588" s="697"/>
      <c r="AF588" s="697"/>
      <c r="AG588" s="697"/>
      <c r="AH588" s="697"/>
      <c r="AI588" s="697"/>
      <c r="AJ588" s="697"/>
      <c r="AK588" s="697"/>
      <c r="AL588" s="697"/>
      <c r="AM588" s="697"/>
      <c r="AN588" s="697"/>
      <c r="AO588" s="697"/>
      <c r="AP588" s="697"/>
      <c r="AQ588" s="697"/>
      <c r="AR588" s="697"/>
      <c r="AS588" s="697"/>
      <c r="AT588" s="697"/>
      <c r="AU588" s="697"/>
      <c r="AV588" s="697"/>
      <c r="AW588" s="697"/>
      <c r="AX588" s="697"/>
      <c r="AY588" s="697"/>
      <c r="AZ588" s="697"/>
      <c r="BA588" s="697"/>
      <c r="BB588" s="697"/>
      <c r="BC588" s="697"/>
      <c r="BD588" s="697"/>
      <c r="BE588" s="697"/>
      <c r="BF588" s="697"/>
      <c r="BG588" s="697"/>
      <c r="BH588" s="697"/>
      <c r="BI588" s="697"/>
      <c r="BJ588" s="697"/>
      <c r="BK588" s="697"/>
      <c r="BL588" s="697"/>
      <c r="BM588" s="697"/>
      <c r="BN588" s="697"/>
      <c r="BO588" s="697"/>
      <c r="BP588" s="697"/>
      <c r="BQ588" s="697"/>
      <c r="BR588" s="697"/>
      <c r="BS588" s="697"/>
      <c r="BT588" s="697"/>
      <c r="BU588" s="697"/>
      <c r="BV588" s="697"/>
      <c r="BW588" s="697"/>
      <c r="BX588" s="697"/>
      <c r="BY588" s="697"/>
      <c r="BZ588" s="697"/>
      <c r="CA588" s="697"/>
      <c r="CB588" s="697"/>
      <c r="CC588" s="697"/>
      <c r="CD588" s="697"/>
      <c r="CE588" s="697"/>
      <c r="CF588" s="697"/>
      <c r="CG588" s="697"/>
      <c r="CH588" s="697"/>
      <c r="CI588" s="697"/>
      <c r="CJ588" s="697"/>
      <c r="CK588" s="697"/>
      <c r="CL588" s="697"/>
      <c r="CM588" s="697"/>
      <c r="CN588" s="697"/>
      <c r="CO588" s="697"/>
      <c r="CP588" s="697"/>
      <c r="CQ588" s="697"/>
      <c r="CR588" s="697"/>
      <c r="CS588" s="697"/>
      <c r="CT588" s="697"/>
      <c r="CU588" s="697"/>
      <c r="CV588" s="697"/>
      <c r="CW588" s="697"/>
      <c r="CX588" s="697"/>
      <c r="CY588" s="697"/>
      <c r="CZ588" s="697"/>
      <c r="DA588" s="697"/>
    </row>
    <row r="589" spans="1:105" hidden="1" outlineLevel="1" x14ac:dyDescent="0.2">
      <c r="A589" s="709">
        <f t="shared" si="107"/>
        <v>40603</v>
      </c>
      <c r="B589" s="709" t="str">
        <f t="shared" si="104"/>
        <v>1Q11</v>
      </c>
      <c r="C589" s="709" t="str">
        <f t="shared" si="108"/>
        <v>2Q11</v>
      </c>
      <c r="D589" s="710">
        <f t="shared" si="109"/>
        <v>40676</v>
      </c>
      <c r="E589" s="710">
        <f t="shared" si="109"/>
        <v>40616</v>
      </c>
      <c r="F589" s="712">
        <v>3.9079999999999999</v>
      </c>
      <c r="G589" s="713">
        <f t="shared" si="105"/>
        <v>0.56000000000000028</v>
      </c>
      <c r="H589" s="713">
        <f t="shared" si="106"/>
        <v>0.56000000000000028</v>
      </c>
      <c r="I589" s="697"/>
      <c r="J589" s="697"/>
      <c r="K589" s="697"/>
      <c r="L589" s="697"/>
      <c r="M589" s="697"/>
      <c r="N589" s="697"/>
      <c r="O589" s="697"/>
      <c r="P589" s="697"/>
      <c r="Q589" s="697"/>
      <c r="R589" s="697"/>
      <c r="S589" s="697"/>
      <c r="T589" s="697"/>
      <c r="U589" s="697"/>
      <c r="V589" s="697"/>
      <c r="W589" s="697"/>
      <c r="X589" s="697"/>
      <c r="Y589" s="697"/>
      <c r="Z589" s="697"/>
      <c r="AA589" s="697"/>
      <c r="AB589" s="697"/>
      <c r="AC589" s="697"/>
      <c r="AD589" s="697"/>
      <c r="AE589" s="697"/>
      <c r="AF589" s="697"/>
      <c r="AG589" s="697"/>
      <c r="AH589" s="697"/>
      <c r="AI589" s="697"/>
      <c r="AJ589" s="697"/>
      <c r="AK589" s="697"/>
      <c r="AL589" s="697"/>
      <c r="AM589" s="697"/>
      <c r="AN589" s="697"/>
      <c r="AO589" s="697"/>
      <c r="AP589" s="697"/>
      <c r="AQ589" s="697"/>
      <c r="AR589" s="697"/>
      <c r="AS589" s="697"/>
      <c r="AT589" s="697"/>
      <c r="AU589" s="697"/>
      <c r="AV589" s="697"/>
      <c r="AW589" s="697"/>
      <c r="AX589" s="697"/>
      <c r="AY589" s="697"/>
      <c r="AZ589" s="697"/>
      <c r="BA589" s="697"/>
      <c r="BB589" s="697"/>
      <c r="BC589" s="697"/>
      <c r="BD589" s="697"/>
      <c r="BE589" s="697"/>
      <c r="BF589" s="697"/>
      <c r="BG589" s="697"/>
      <c r="BH589" s="697"/>
      <c r="BI589" s="697"/>
      <c r="BJ589" s="697"/>
      <c r="BK589" s="697"/>
      <c r="BL589" s="697"/>
      <c r="BM589" s="697"/>
      <c r="BN589" s="697"/>
      <c r="BO589" s="697"/>
      <c r="BP589" s="697"/>
      <c r="BQ589" s="697"/>
      <c r="BR589" s="697"/>
      <c r="BS589" s="697"/>
      <c r="BT589" s="697"/>
      <c r="BU589" s="697"/>
      <c r="BV589" s="697"/>
      <c r="BW589" s="697"/>
      <c r="BX589" s="697"/>
      <c r="BY589" s="697"/>
      <c r="BZ589" s="697"/>
      <c r="CA589" s="697"/>
      <c r="CB589" s="697"/>
      <c r="CC589" s="697"/>
      <c r="CD589" s="697"/>
      <c r="CE589" s="697"/>
      <c r="CF589" s="697"/>
      <c r="CG589" s="697"/>
      <c r="CH589" s="697"/>
      <c r="CI589" s="697"/>
      <c r="CJ589" s="697"/>
      <c r="CK589" s="697"/>
      <c r="CL589" s="697"/>
      <c r="CM589" s="697"/>
      <c r="CN589" s="697"/>
      <c r="CO589" s="697"/>
      <c r="CP589" s="697"/>
      <c r="CQ589" s="697"/>
      <c r="CR589" s="697"/>
      <c r="CS589" s="697"/>
      <c r="CT589" s="697"/>
      <c r="CU589" s="697"/>
      <c r="CV589" s="697"/>
      <c r="CW589" s="697"/>
      <c r="CX589" s="697"/>
      <c r="CY589" s="697"/>
      <c r="CZ589" s="697"/>
      <c r="DA589" s="697"/>
    </row>
    <row r="590" spans="1:105" hidden="1" outlineLevel="1" x14ac:dyDescent="0.2">
      <c r="A590" s="709">
        <f t="shared" si="107"/>
        <v>40603</v>
      </c>
      <c r="B590" s="709" t="str">
        <f t="shared" si="104"/>
        <v>1Q11</v>
      </c>
      <c r="C590" s="709" t="str">
        <f t="shared" si="108"/>
        <v>2Q11</v>
      </c>
      <c r="D590" s="710">
        <f t="shared" si="109"/>
        <v>40683</v>
      </c>
      <c r="E590" s="710">
        <f t="shared" si="109"/>
        <v>40623</v>
      </c>
      <c r="F590" s="712">
        <v>3.907</v>
      </c>
      <c r="G590" s="713">
        <f t="shared" si="105"/>
        <v>0.56000000000000028</v>
      </c>
      <c r="H590" s="713">
        <f t="shared" si="106"/>
        <v>0.56000000000000028</v>
      </c>
      <c r="I590" s="697"/>
      <c r="J590" s="697"/>
      <c r="K590" s="697"/>
      <c r="L590" s="697"/>
      <c r="M590" s="697"/>
      <c r="N590" s="697"/>
      <c r="O590" s="697"/>
      <c r="P590" s="697"/>
      <c r="Q590" s="697"/>
      <c r="R590" s="697"/>
      <c r="S590" s="697"/>
      <c r="T590" s="697"/>
      <c r="U590" s="697"/>
      <c r="V590" s="697"/>
      <c r="W590" s="697"/>
      <c r="X590" s="697"/>
      <c r="Y590" s="697"/>
      <c r="Z590" s="697"/>
      <c r="AA590" s="697"/>
      <c r="AB590" s="697"/>
      <c r="AC590" s="697"/>
      <c r="AD590" s="697"/>
      <c r="AE590" s="697"/>
      <c r="AF590" s="697"/>
      <c r="AG590" s="697"/>
      <c r="AH590" s="697"/>
      <c r="AI590" s="697"/>
      <c r="AJ590" s="697"/>
      <c r="AK590" s="697"/>
      <c r="AL590" s="697"/>
      <c r="AM590" s="697"/>
      <c r="AN590" s="697"/>
      <c r="AO590" s="697"/>
      <c r="AP590" s="697"/>
      <c r="AQ590" s="697"/>
      <c r="AR590" s="697"/>
      <c r="AS590" s="697"/>
      <c r="AT590" s="697"/>
      <c r="AU590" s="697"/>
      <c r="AV590" s="697"/>
      <c r="AW590" s="697"/>
      <c r="AX590" s="697"/>
      <c r="AY590" s="697"/>
      <c r="AZ590" s="697"/>
      <c r="BA590" s="697"/>
      <c r="BB590" s="697"/>
      <c r="BC590" s="697"/>
      <c r="BD590" s="697"/>
      <c r="BE590" s="697"/>
      <c r="BF590" s="697"/>
      <c r="BG590" s="697"/>
      <c r="BH590" s="697"/>
      <c r="BI590" s="697"/>
      <c r="BJ590" s="697"/>
      <c r="BK590" s="697"/>
      <c r="BL590" s="697"/>
      <c r="BM590" s="697"/>
      <c r="BN590" s="697"/>
      <c r="BO590" s="697"/>
      <c r="BP590" s="697"/>
      <c r="BQ590" s="697"/>
      <c r="BR590" s="697"/>
      <c r="BS590" s="697"/>
      <c r="BT590" s="697"/>
      <c r="BU590" s="697"/>
      <c r="BV590" s="697"/>
      <c r="BW590" s="697"/>
      <c r="BX590" s="697"/>
      <c r="BY590" s="697"/>
      <c r="BZ590" s="697"/>
      <c r="CA590" s="697"/>
      <c r="CB590" s="697"/>
      <c r="CC590" s="697"/>
      <c r="CD590" s="697"/>
      <c r="CE590" s="697"/>
      <c r="CF590" s="697"/>
      <c r="CG590" s="697"/>
      <c r="CH590" s="697"/>
      <c r="CI590" s="697"/>
      <c r="CJ590" s="697"/>
      <c r="CK590" s="697"/>
      <c r="CL590" s="697"/>
      <c r="CM590" s="697"/>
      <c r="CN590" s="697"/>
      <c r="CO590" s="697"/>
      <c r="CP590" s="697"/>
      <c r="CQ590" s="697"/>
      <c r="CR590" s="697"/>
      <c r="CS590" s="697"/>
      <c r="CT590" s="697"/>
      <c r="CU590" s="697"/>
      <c r="CV590" s="697"/>
      <c r="CW590" s="697"/>
      <c r="CX590" s="697"/>
      <c r="CY590" s="697"/>
      <c r="CZ590" s="697"/>
      <c r="DA590" s="697"/>
    </row>
    <row r="591" spans="1:105" hidden="1" outlineLevel="1" x14ac:dyDescent="0.2">
      <c r="A591" s="709">
        <f t="shared" si="107"/>
        <v>40603</v>
      </c>
      <c r="B591" s="709" t="str">
        <f t="shared" si="104"/>
        <v>1Q11</v>
      </c>
      <c r="C591" s="709" t="str">
        <f t="shared" si="108"/>
        <v>2Q11</v>
      </c>
      <c r="D591" s="710">
        <f t="shared" si="109"/>
        <v>40690</v>
      </c>
      <c r="E591" s="710">
        <f t="shared" si="109"/>
        <v>40630</v>
      </c>
      <c r="F591" s="712">
        <v>3.9319999999999999</v>
      </c>
      <c r="G591" s="713">
        <f t="shared" si="105"/>
        <v>0.56000000000000028</v>
      </c>
      <c r="H591" s="713">
        <f t="shared" si="106"/>
        <v>0.57000000000000028</v>
      </c>
      <c r="I591" s="697"/>
      <c r="J591" s="697"/>
      <c r="K591" s="697"/>
      <c r="L591" s="697"/>
      <c r="M591" s="697"/>
      <c r="N591" s="697"/>
      <c r="O591" s="697"/>
      <c r="P591" s="697"/>
      <c r="Q591" s="697"/>
      <c r="R591" s="697"/>
      <c r="S591" s="697"/>
      <c r="T591" s="697"/>
      <c r="U591" s="697"/>
      <c r="V591" s="697"/>
      <c r="W591" s="697"/>
      <c r="X591" s="697"/>
      <c r="Y591" s="697"/>
      <c r="Z591" s="697"/>
      <c r="AA591" s="697"/>
      <c r="AB591" s="697"/>
      <c r="AC591" s="697"/>
      <c r="AD591" s="697"/>
      <c r="AE591" s="697"/>
      <c r="AF591" s="697"/>
      <c r="AG591" s="697"/>
      <c r="AH591" s="697"/>
      <c r="AI591" s="697"/>
      <c r="AJ591" s="697"/>
      <c r="AK591" s="697"/>
      <c r="AL591" s="697"/>
      <c r="AM591" s="697"/>
      <c r="AN591" s="697"/>
      <c r="AO591" s="697"/>
      <c r="AP591" s="697"/>
      <c r="AQ591" s="697"/>
      <c r="AR591" s="697"/>
      <c r="AS591" s="697"/>
      <c r="AT591" s="697"/>
      <c r="AU591" s="697"/>
      <c r="AV591" s="697"/>
      <c r="AW591" s="697"/>
      <c r="AX591" s="697"/>
      <c r="AY591" s="697"/>
      <c r="AZ591" s="697"/>
      <c r="BA591" s="697"/>
      <c r="BB591" s="697"/>
      <c r="BC591" s="697"/>
      <c r="BD591" s="697"/>
      <c r="BE591" s="697"/>
      <c r="BF591" s="697"/>
      <c r="BG591" s="697"/>
      <c r="BH591" s="697"/>
      <c r="BI591" s="697"/>
      <c r="BJ591" s="697"/>
      <c r="BK591" s="697"/>
      <c r="BL591" s="697"/>
      <c r="BM591" s="697"/>
      <c r="BN591" s="697"/>
      <c r="BO591" s="697"/>
      <c r="BP591" s="697"/>
      <c r="BQ591" s="697"/>
      <c r="BR591" s="697"/>
      <c r="BS591" s="697"/>
      <c r="BT591" s="697"/>
      <c r="BU591" s="697"/>
      <c r="BV591" s="697"/>
      <c r="BW591" s="697"/>
      <c r="BX591" s="697"/>
      <c r="BY591" s="697"/>
      <c r="BZ591" s="697"/>
      <c r="CA591" s="697"/>
      <c r="CB591" s="697"/>
      <c r="CC591" s="697"/>
      <c r="CD591" s="697"/>
      <c r="CE591" s="697"/>
      <c r="CF591" s="697"/>
      <c r="CG591" s="697"/>
      <c r="CH591" s="697"/>
      <c r="CI591" s="697"/>
      <c r="CJ591" s="697"/>
      <c r="CK591" s="697"/>
      <c r="CL591" s="697"/>
      <c r="CM591" s="697"/>
      <c r="CN591" s="697"/>
      <c r="CO591" s="697"/>
      <c r="CP591" s="697"/>
      <c r="CQ591" s="697"/>
      <c r="CR591" s="697"/>
      <c r="CS591" s="697"/>
      <c r="CT591" s="697"/>
      <c r="CU591" s="697"/>
      <c r="CV591" s="697"/>
      <c r="CW591" s="697"/>
      <c r="CX591" s="697"/>
      <c r="CY591" s="697"/>
      <c r="CZ591" s="697"/>
      <c r="DA591" s="697"/>
    </row>
    <row r="592" spans="1:105" hidden="1" outlineLevel="1" x14ac:dyDescent="0.2">
      <c r="A592" s="709">
        <f t="shared" si="107"/>
        <v>40634</v>
      </c>
      <c r="B592" s="709" t="str">
        <f t="shared" si="104"/>
        <v>2Q11</v>
      </c>
      <c r="C592" s="709" t="str">
        <f t="shared" si="108"/>
        <v>2Q11</v>
      </c>
      <c r="D592" s="710">
        <f t="shared" si="109"/>
        <v>40697</v>
      </c>
      <c r="E592" s="710">
        <f t="shared" si="109"/>
        <v>40637</v>
      </c>
      <c r="F592" s="712">
        <v>3.976</v>
      </c>
      <c r="G592" s="713">
        <f t="shared" si="105"/>
        <v>0.57000000000000028</v>
      </c>
      <c r="H592" s="713">
        <f t="shared" si="106"/>
        <v>0.5900000000000003</v>
      </c>
      <c r="I592" s="697"/>
      <c r="J592" s="697"/>
      <c r="K592" s="697"/>
      <c r="L592" s="697"/>
      <c r="M592" s="697"/>
      <c r="N592" s="697"/>
      <c r="O592" s="697"/>
      <c r="P592" s="697"/>
      <c r="Q592" s="697"/>
      <c r="R592" s="697"/>
      <c r="S592" s="697"/>
      <c r="T592" s="697"/>
      <c r="U592" s="697"/>
      <c r="V592" s="697"/>
      <c r="W592" s="697"/>
      <c r="X592" s="697"/>
      <c r="Y592" s="697"/>
      <c r="Z592" s="697"/>
      <c r="AA592" s="697"/>
      <c r="AB592" s="697"/>
      <c r="AC592" s="697"/>
      <c r="AD592" s="697"/>
      <c r="AE592" s="697"/>
      <c r="AF592" s="697"/>
      <c r="AG592" s="697"/>
      <c r="AH592" s="697"/>
      <c r="AI592" s="697"/>
      <c r="AJ592" s="697"/>
      <c r="AK592" s="697"/>
      <c r="AL592" s="697"/>
      <c r="AM592" s="697"/>
      <c r="AN592" s="697"/>
      <c r="AO592" s="697"/>
      <c r="AP592" s="697"/>
      <c r="AQ592" s="697"/>
      <c r="AR592" s="697"/>
      <c r="AS592" s="697"/>
      <c r="AT592" s="697"/>
      <c r="AU592" s="697"/>
      <c r="AV592" s="697"/>
      <c r="AW592" s="697"/>
      <c r="AX592" s="697"/>
      <c r="AY592" s="697"/>
      <c r="AZ592" s="697"/>
      <c r="BA592" s="697"/>
      <c r="BB592" s="697"/>
      <c r="BC592" s="697"/>
      <c r="BD592" s="697"/>
      <c r="BE592" s="697"/>
      <c r="BF592" s="697"/>
      <c r="BG592" s="697"/>
      <c r="BH592" s="697"/>
      <c r="BI592" s="697"/>
      <c r="BJ592" s="697"/>
      <c r="BK592" s="697"/>
      <c r="BL592" s="697"/>
      <c r="BM592" s="697"/>
      <c r="BN592" s="697"/>
      <c r="BO592" s="697"/>
      <c r="BP592" s="697"/>
      <c r="BQ592" s="697"/>
      <c r="BR592" s="697"/>
      <c r="BS592" s="697"/>
      <c r="BT592" s="697"/>
      <c r="BU592" s="697"/>
      <c r="BV592" s="697"/>
      <c r="BW592" s="697"/>
      <c r="BX592" s="697"/>
      <c r="BY592" s="697"/>
      <c r="BZ592" s="697"/>
      <c r="CA592" s="697"/>
      <c r="CB592" s="697"/>
      <c r="CC592" s="697"/>
      <c r="CD592" s="697"/>
      <c r="CE592" s="697"/>
      <c r="CF592" s="697"/>
      <c r="CG592" s="697"/>
      <c r="CH592" s="697"/>
      <c r="CI592" s="697"/>
      <c r="CJ592" s="697"/>
      <c r="CK592" s="697"/>
      <c r="CL592" s="697"/>
      <c r="CM592" s="697"/>
      <c r="CN592" s="697"/>
      <c r="CO592" s="697"/>
      <c r="CP592" s="697"/>
      <c r="CQ592" s="697"/>
      <c r="CR592" s="697"/>
      <c r="CS592" s="697"/>
      <c r="CT592" s="697"/>
      <c r="CU592" s="697"/>
      <c r="CV592" s="697"/>
      <c r="CW592" s="697"/>
      <c r="CX592" s="697"/>
      <c r="CY592" s="697"/>
      <c r="CZ592" s="697"/>
      <c r="DA592" s="697"/>
    </row>
    <row r="593" spans="1:105" hidden="1" outlineLevel="1" x14ac:dyDescent="0.2">
      <c r="A593" s="709">
        <f t="shared" si="107"/>
        <v>40634</v>
      </c>
      <c r="B593" s="709" t="str">
        <f t="shared" si="104"/>
        <v>2Q11</v>
      </c>
      <c r="C593" s="709" t="str">
        <f t="shared" si="108"/>
        <v>2Q11</v>
      </c>
      <c r="D593" s="710">
        <f t="shared" si="109"/>
        <v>40704</v>
      </c>
      <c r="E593" s="710">
        <f t="shared" si="109"/>
        <v>40644</v>
      </c>
      <c r="F593" s="712">
        <v>4.0780000000000003</v>
      </c>
      <c r="G593" s="713">
        <f t="shared" si="105"/>
        <v>0.5900000000000003</v>
      </c>
      <c r="H593" s="713">
        <f t="shared" si="106"/>
        <v>0.60000000000000031</v>
      </c>
      <c r="I593" s="697"/>
      <c r="J593" s="697"/>
      <c r="K593" s="697"/>
      <c r="L593" s="697"/>
      <c r="M593" s="697"/>
      <c r="N593" s="697"/>
      <c r="O593" s="697"/>
      <c r="P593" s="697"/>
      <c r="Q593" s="697"/>
      <c r="R593" s="697"/>
      <c r="S593" s="697"/>
      <c r="T593" s="697"/>
      <c r="U593" s="697"/>
      <c r="V593" s="697"/>
      <c r="W593" s="697"/>
      <c r="X593" s="697"/>
      <c r="Y593" s="697"/>
      <c r="Z593" s="697"/>
      <c r="AA593" s="697"/>
      <c r="AB593" s="697"/>
      <c r="AC593" s="697"/>
      <c r="AD593" s="697"/>
      <c r="AE593" s="697"/>
      <c r="AF593" s="697"/>
      <c r="AG593" s="697"/>
      <c r="AH593" s="697"/>
      <c r="AI593" s="697"/>
      <c r="AJ593" s="697"/>
      <c r="AK593" s="697"/>
      <c r="AL593" s="697"/>
      <c r="AM593" s="697"/>
      <c r="AN593" s="697"/>
      <c r="AO593" s="697"/>
      <c r="AP593" s="697"/>
      <c r="AQ593" s="697"/>
      <c r="AR593" s="697"/>
      <c r="AS593" s="697"/>
      <c r="AT593" s="697"/>
      <c r="AU593" s="697"/>
      <c r="AV593" s="697"/>
      <c r="AW593" s="697"/>
      <c r="AX593" s="697"/>
      <c r="AY593" s="697"/>
      <c r="AZ593" s="697"/>
      <c r="BA593" s="697"/>
      <c r="BB593" s="697"/>
      <c r="BC593" s="697"/>
      <c r="BD593" s="697"/>
      <c r="BE593" s="697"/>
      <c r="BF593" s="697"/>
      <c r="BG593" s="697"/>
      <c r="BH593" s="697"/>
      <c r="BI593" s="697"/>
      <c r="BJ593" s="697"/>
      <c r="BK593" s="697"/>
      <c r="BL593" s="697"/>
      <c r="BM593" s="697"/>
      <c r="BN593" s="697"/>
      <c r="BO593" s="697"/>
      <c r="BP593" s="697"/>
      <c r="BQ593" s="697"/>
      <c r="BR593" s="697"/>
      <c r="BS593" s="697"/>
      <c r="BT593" s="697"/>
      <c r="BU593" s="697"/>
      <c r="BV593" s="697"/>
      <c r="BW593" s="697"/>
      <c r="BX593" s="697"/>
      <c r="BY593" s="697"/>
      <c r="BZ593" s="697"/>
      <c r="CA593" s="697"/>
      <c r="CB593" s="697"/>
      <c r="CC593" s="697"/>
      <c r="CD593" s="697"/>
      <c r="CE593" s="697"/>
      <c r="CF593" s="697"/>
      <c r="CG593" s="697"/>
      <c r="CH593" s="697"/>
      <c r="CI593" s="697"/>
      <c r="CJ593" s="697"/>
      <c r="CK593" s="697"/>
      <c r="CL593" s="697"/>
      <c r="CM593" s="697"/>
      <c r="CN593" s="697"/>
      <c r="CO593" s="697"/>
      <c r="CP593" s="697"/>
      <c r="CQ593" s="697"/>
      <c r="CR593" s="697"/>
      <c r="CS593" s="697"/>
      <c r="CT593" s="697"/>
      <c r="CU593" s="697"/>
      <c r="CV593" s="697"/>
      <c r="CW593" s="697"/>
      <c r="CX593" s="697"/>
      <c r="CY593" s="697"/>
      <c r="CZ593" s="697"/>
      <c r="DA593" s="697"/>
    </row>
    <row r="594" spans="1:105" hidden="1" outlineLevel="1" x14ac:dyDescent="0.2">
      <c r="A594" s="709">
        <f t="shared" si="107"/>
        <v>40634</v>
      </c>
      <c r="B594" s="709" t="str">
        <f t="shared" si="104"/>
        <v>2Q11</v>
      </c>
      <c r="C594" s="709" t="str">
        <f t="shared" si="108"/>
        <v>2Q11</v>
      </c>
      <c r="D594" s="710">
        <f t="shared" si="109"/>
        <v>40711</v>
      </c>
      <c r="E594" s="710">
        <f t="shared" si="109"/>
        <v>40651</v>
      </c>
      <c r="F594" s="712">
        <v>4.1050000000000004</v>
      </c>
      <c r="G594" s="713">
        <f t="shared" si="105"/>
        <v>0.60000000000000031</v>
      </c>
      <c r="H594" s="713">
        <f t="shared" si="106"/>
        <v>0.5900000000000003</v>
      </c>
      <c r="I594" s="697"/>
      <c r="J594" s="697"/>
      <c r="K594" s="697"/>
      <c r="L594" s="697"/>
      <c r="M594" s="697"/>
      <c r="N594" s="697"/>
      <c r="O594" s="697"/>
      <c r="P594" s="697"/>
      <c r="Q594" s="697"/>
      <c r="R594" s="697"/>
      <c r="S594" s="697"/>
      <c r="T594" s="697"/>
      <c r="U594" s="697"/>
      <c r="V594" s="697"/>
      <c r="W594" s="697"/>
      <c r="X594" s="697"/>
      <c r="Y594" s="697"/>
      <c r="Z594" s="697"/>
      <c r="AA594" s="697"/>
      <c r="AB594" s="697"/>
      <c r="AC594" s="697"/>
      <c r="AD594" s="697"/>
      <c r="AE594" s="697"/>
      <c r="AF594" s="697"/>
      <c r="AG594" s="697"/>
      <c r="AH594" s="697"/>
      <c r="AI594" s="697"/>
      <c r="AJ594" s="697"/>
      <c r="AK594" s="697"/>
      <c r="AL594" s="697"/>
      <c r="AM594" s="697"/>
      <c r="AN594" s="697"/>
      <c r="AO594" s="697"/>
      <c r="AP594" s="697"/>
      <c r="AQ594" s="697"/>
      <c r="AR594" s="697"/>
      <c r="AS594" s="697"/>
      <c r="AT594" s="697"/>
      <c r="AU594" s="697"/>
      <c r="AV594" s="697"/>
      <c r="AW594" s="697"/>
      <c r="AX594" s="697"/>
      <c r="AY594" s="697"/>
      <c r="AZ594" s="697"/>
      <c r="BA594" s="697"/>
      <c r="BB594" s="697"/>
      <c r="BC594" s="697"/>
      <c r="BD594" s="697"/>
      <c r="BE594" s="697"/>
      <c r="BF594" s="697"/>
      <c r="BG594" s="697"/>
      <c r="BH594" s="697"/>
      <c r="BI594" s="697"/>
      <c r="BJ594" s="697"/>
      <c r="BK594" s="697"/>
      <c r="BL594" s="697"/>
      <c r="BM594" s="697"/>
      <c r="BN594" s="697"/>
      <c r="BO594" s="697"/>
      <c r="BP594" s="697"/>
      <c r="BQ594" s="697"/>
      <c r="BR594" s="697"/>
      <c r="BS594" s="697"/>
      <c r="BT594" s="697"/>
      <c r="BU594" s="697"/>
      <c r="BV594" s="697"/>
      <c r="BW594" s="697"/>
      <c r="BX594" s="697"/>
      <c r="BY594" s="697"/>
      <c r="BZ594" s="697"/>
      <c r="CA594" s="697"/>
      <c r="CB594" s="697"/>
      <c r="CC594" s="697"/>
      <c r="CD594" s="697"/>
      <c r="CE594" s="697"/>
      <c r="CF594" s="697"/>
      <c r="CG594" s="697"/>
      <c r="CH594" s="697"/>
      <c r="CI594" s="697"/>
      <c r="CJ594" s="697"/>
      <c r="CK594" s="697"/>
      <c r="CL594" s="697"/>
      <c r="CM594" s="697"/>
      <c r="CN594" s="697"/>
      <c r="CO594" s="697"/>
      <c r="CP594" s="697"/>
      <c r="CQ594" s="697"/>
      <c r="CR594" s="697"/>
      <c r="CS594" s="697"/>
      <c r="CT594" s="697"/>
      <c r="CU594" s="697"/>
      <c r="CV594" s="697"/>
      <c r="CW594" s="697"/>
      <c r="CX594" s="697"/>
      <c r="CY594" s="697"/>
      <c r="CZ594" s="697"/>
      <c r="DA594" s="697"/>
    </row>
    <row r="595" spans="1:105" hidden="1" outlineLevel="1" x14ac:dyDescent="0.2">
      <c r="A595" s="709">
        <f t="shared" si="107"/>
        <v>40634</v>
      </c>
      <c r="B595" s="709" t="str">
        <f t="shared" si="104"/>
        <v>2Q11</v>
      </c>
      <c r="C595" s="709" t="str">
        <f t="shared" si="108"/>
        <v>2Q11</v>
      </c>
      <c r="D595" s="710">
        <f t="shared" si="109"/>
        <v>40718</v>
      </c>
      <c r="E595" s="710">
        <f t="shared" si="109"/>
        <v>40658</v>
      </c>
      <c r="F595" s="712">
        <v>4.0979999999999999</v>
      </c>
      <c r="G595" s="713">
        <f t="shared" si="105"/>
        <v>0.5900000000000003</v>
      </c>
      <c r="H595" s="713">
        <f t="shared" si="106"/>
        <v>0.60000000000000031</v>
      </c>
      <c r="I595" s="697"/>
      <c r="J595" s="697"/>
      <c r="K595" s="697"/>
      <c r="L595" s="697"/>
      <c r="M595" s="697"/>
      <c r="N595" s="697"/>
      <c r="O595" s="697"/>
      <c r="P595" s="697"/>
      <c r="Q595" s="697"/>
      <c r="R595" s="697"/>
      <c r="S595" s="697"/>
      <c r="T595" s="697"/>
      <c r="U595" s="697"/>
      <c r="V595" s="697"/>
      <c r="W595" s="697"/>
      <c r="X595" s="697"/>
      <c r="Y595" s="697"/>
      <c r="Z595" s="697"/>
      <c r="AA595" s="697"/>
      <c r="AB595" s="697"/>
      <c r="AC595" s="697"/>
      <c r="AD595" s="697"/>
      <c r="AE595" s="697"/>
      <c r="AF595" s="697"/>
      <c r="AG595" s="697"/>
      <c r="AH595" s="697"/>
      <c r="AI595" s="697"/>
      <c r="AJ595" s="697"/>
      <c r="AK595" s="697"/>
      <c r="AL595" s="697"/>
      <c r="AM595" s="697"/>
      <c r="AN595" s="697"/>
      <c r="AO595" s="697"/>
      <c r="AP595" s="697"/>
      <c r="AQ595" s="697"/>
      <c r="AR595" s="697"/>
      <c r="AS595" s="697"/>
      <c r="AT595" s="697"/>
      <c r="AU595" s="697"/>
      <c r="AV595" s="697"/>
      <c r="AW595" s="697"/>
      <c r="AX595" s="697"/>
      <c r="AY595" s="697"/>
      <c r="AZ595" s="697"/>
      <c r="BA595" s="697"/>
      <c r="BB595" s="697"/>
      <c r="BC595" s="697"/>
      <c r="BD595" s="697"/>
      <c r="BE595" s="697"/>
      <c r="BF595" s="697"/>
      <c r="BG595" s="697"/>
      <c r="BH595" s="697"/>
      <c r="BI595" s="697"/>
      <c r="BJ595" s="697"/>
      <c r="BK595" s="697"/>
      <c r="BL595" s="697"/>
      <c r="BM595" s="697"/>
      <c r="BN595" s="697"/>
      <c r="BO595" s="697"/>
      <c r="BP595" s="697"/>
      <c r="BQ595" s="697"/>
      <c r="BR595" s="697"/>
      <c r="BS595" s="697"/>
      <c r="BT595" s="697"/>
      <c r="BU595" s="697"/>
      <c r="BV595" s="697"/>
      <c r="BW595" s="697"/>
      <c r="BX595" s="697"/>
      <c r="BY595" s="697"/>
      <c r="BZ595" s="697"/>
      <c r="CA595" s="697"/>
      <c r="CB595" s="697"/>
      <c r="CC595" s="697"/>
      <c r="CD595" s="697"/>
      <c r="CE595" s="697"/>
      <c r="CF595" s="697"/>
      <c r="CG595" s="697"/>
      <c r="CH595" s="697"/>
      <c r="CI595" s="697"/>
      <c r="CJ595" s="697"/>
      <c r="CK595" s="697"/>
      <c r="CL595" s="697"/>
      <c r="CM595" s="697"/>
      <c r="CN595" s="697"/>
      <c r="CO595" s="697"/>
      <c r="CP595" s="697"/>
      <c r="CQ595" s="697"/>
      <c r="CR595" s="697"/>
      <c r="CS595" s="697"/>
      <c r="CT595" s="697"/>
      <c r="CU595" s="697"/>
      <c r="CV595" s="697"/>
      <c r="CW595" s="697"/>
      <c r="CX595" s="697"/>
      <c r="CY595" s="697"/>
      <c r="CZ595" s="697"/>
      <c r="DA595" s="697"/>
    </row>
    <row r="596" spans="1:105" hidden="1" outlineLevel="1" x14ac:dyDescent="0.2">
      <c r="A596" s="709">
        <f t="shared" si="107"/>
        <v>40664</v>
      </c>
      <c r="B596" s="709" t="str">
        <f t="shared" si="104"/>
        <v>2Q11</v>
      </c>
      <c r="C596" s="709" t="str">
        <f t="shared" si="108"/>
        <v>3Q11</v>
      </c>
      <c r="D596" s="710">
        <f t="shared" si="109"/>
        <v>40725</v>
      </c>
      <c r="E596" s="710">
        <f t="shared" si="109"/>
        <v>40665</v>
      </c>
      <c r="F596" s="712">
        <v>4.1239999999999997</v>
      </c>
      <c r="G596" s="713">
        <f t="shared" si="105"/>
        <v>0.60000000000000031</v>
      </c>
      <c r="H596" s="713">
        <f t="shared" si="106"/>
        <v>0.60000000000000031</v>
      </c>
      <c r="I596" s="697"/>
      <c r="J596" s="697"/>
      <c r="K596" s="697"/>
      <c r="L596" s="697"/>
      <c r="M596" s="697"/>
      <c r="N596" s="697"/>
      <c r="O596" s="697"/>
      <c r="P596" s="697"/>
      <c r="Q596" s="697"/>
      <c r="R596" s="697"/>
      <c r="S596" s="697"/>
      <c r="T596" s="697"/>
      <c r="U596" s="697"/>
      <c r="V596" s="697"/>
      <c r="W596" s="697"/>
      <c r="X596" s="697"/>
      <c r="Y596" s="697"/>
      <c r="Z596" s="697"/>
      <c r="AA596" s="697"/>
      <c r="AB596" s="697"/>
      <c r="AC596" s="697"/>
      <c r="AD596" s="697"/>
      <c r="AE596" s="697"/>
      <c r="AF596" s="697"/>
      <c r="AG596" s="697"/>
      <c r="AH596" s="697"/>
      <c r="AI596" s="697"/>
      <c r="AJ596" s="697"/>
      <c r="AK596" s="697"/>
      <c r="AL596" s="697"/>
      <c r="AM596" s="697"/>
      <c r="AN596" s="697"/>
      <c r="AO596" s="697"/>
      <c r="AP596" s="697"/>
      <c r="AQ596" s="697"/>
      <c r="AR596" s="697"/>
      <c r="AS596" s="697"/>
      <c r="AT596" s="697"/>
      <c r="AU596" s="697"/>
      <c r="AV596" s="697"/>
      <c r="AW596" s="697"/>
      <c r="AX596" s="697"/>
      <c r="AY596" s="697"/>
      <c r="AZ596" s="697"/>
      <c r="BA596" s="697"/>
      <c r="BB596" s="697"/>
      <c r="BC596" s="697"/>
      <c r="BD596" s="697"/>
      <c r="BE596" s="697"/>
      <c r="BF596" s="697"/>
      <c r="BG596" s="697"/>
      <c r="BH596" s="697"/>
      <c r="BI596" s="697"/>
      <c r="BJ596" s="697"/>
      <c r="BK596" s="697"/>
      <c r="BL596" s="697"/>
      <c r="BM596" s="697"/>
      <c r="BN596" s="697"/>
      <c r="BO596" s="697"/>
      <c r="BP596" s="697"/>
      <c r="BQ596" s="697"/>
      <c r="BR596" s="697"/>
      <c r="BS596" s="697"/>
      <c r="BT596" s="697"/>
      <c r="BU596" s="697"/>
      <c r="BV596" s="697"/>
      <c r="BW596" s="697"/>
      <c r="BX596" s="697"/>
      <c r="BY596" s="697"/>
      <c r="BZ596" s="697"/>
      <c r="CA596" s="697"/>
      <c r="CB596" s="697"/>
      <c r="CC596" s="697"/>
      <c r="CD596" s="697"/>
      <c r="CE596" s="697"/>
      <c r="CF596" s="697"/>
      <c r="CG596" s="697"/>
      <c r="CH596" s="697"/>
      <c r="CI596" s="697"/>
      <c r="CJ596" s="697"/>
      <c r="CK596" s="697"/>
      <c r="CL596" s="697"/>
      <c r="CM596" s="697"/>
      <c r="CN596" s="697"/>
      <c r="CO596" s="697"/>
      <c r="CP596" s="697"/>
      <c r="CQ596" s="697"/>
      <c r="CR596" s="697"/>
      <c r="CS596" s="697"/>
      <c r="CT596" s="697"/>
      <c r="CU596" s="697"/>
      <c r="CV596" s="697"/>
      <c r="CW596" s="697"/>
      <c r="CX596" s="697"/>
      <c r="CY596" s="697"/>
      <c r="CZ596" s="697"/>
      <c r="DA596" s="697"/>
    </row>
    <row r="597" spans="1:105" hidden="1" outlineLevel="1" x14ac:dyDescent="0.2">
      <c r="A597" s="709">
        <f t="shared" si="107"/>
        <v>40664</v>
      </c>
      <c r="B597" s="709" t="str">
        <f t="shared" si="104"/>
        <v>2Q11</v>
      </c>
      <c r="C597" s="709" t="str">
        <f t="shared" si="108"/>
        <v>3Q11</v>
      </c>
      <c r="D597" s="710">
        <f t="shared" ref="D597:E612" si="110">D596+7</f>
        <v>40732</v>
      </c>
      <c r="E597" s="710">
        <f t="shared" si="110"/>
        <v>40672</v>
      </c>
      <c r="F597" s="712">
        <v>4.1040000000000001</v>
      </c>
      <c r="G597" s="713">
        <f t="shared" si="105"/>
        <v>0.60000000000000031</v>
      </c>
      <c r="H597" s="713">
        <f t="shared" si="106"/>
        <v>0.5900000000000003</v>
      </c>
      <c r="I597" s="697"/>
      <c r="J597" s="697"/>
      <c r="K597" s="697"/>
      <c r="L597" s="697"/>
      <c r="M597" s="697"/>
      <c r="N597" s="697"/>
      <c r="O597" s="697"/>
      <c r="P597" s="697"/>
      <c r="Q597" s="697"/>
      <c r="R597" s="697"/>
      <c r="S597" s="697"/>
      <c r="T597" s="697"/>
      <c r="U597" s="697"/>
      <c r="V597" s="697"/>
      <c r="W597" s="697"/>
      <c r="X597" s="697"/>
      <c r="Y597" s="697"/>
      <c r="Z597" s="697"/>
      <c r="AA597" s="697"/>
      <c r="AB597" s="697"/>
      <c r="AC597" s="697"/>
      <c r="AD597" s="697"/>
      <c r="AE597" s="697"/>
      <c r="AF597" s="697"/>
      <c r="AG597" s="697"/>
      <c r="AH597" s="697"/>
      <c r="AI597" s="697"/>
      <c r="AJ597" s="697"/>
      <c r="AK597" s="697"/>
      <c r="AL597" s="697"/>
      <c r="AM597" s="697"/>
      <c r="AN597" s="697"/>
      <c r="AO597" s="697"/>
      <c r="AP597" s="697"/>
      <c r="AQ597" s="697"/>
      <c r="AR597" s="697"/>
      <c r="AS597" s="697"/>
      <c r="AT597" s="697"/>
      <c r="AU597" s="697"/>
      <c r="AV597" s="697"/>
      <c r="AW597" s="697"/>
      <c r="AX597" s="697"/>
      <c r="AY597" s="697"/>
      <c r="AZ597" s="697"/>
      <c r="BA597" s="697"/>
      <c r="BB597" s="697"/>
      <c r="BC597" s="697"/>
      <c r="BD597" s="697"/>
      <c r="BE597" s="697"/>
      <c r="BF597" s="697"/>
      <c r="BG597" s="697"/>
      <c r="BH597" s="697"/>
      <c r="BI597" s="697"/>
      <c r="BJ597" s="697"/>
      <c r="BK597" s="697"/>
      <c r="BL597" s="697"/>
      <c r="BM597" s="697"/>
      <c r="BN597" s="697"/>
      <c r="BO597" s="697"/>
      <c r="BP597" s="697"/>
      <c r="BQ597" s="697"/>
      <c r="BR597" s="697"/>
      <c r="BS597" s="697"/>
      <c r="BT597" s="697"/>
      <c r="BU597" s="697"/>
      <c r="BV597" s="697"/>
      <c r="BW597" s="697"/>
      <c r="BX597" s="697"/>
      <c r="BY597" s="697"/>
      <c r="BZ597" s="697"/>
      <c r="CA597" s="697"/>
      <c r="CB597" s="697"/>
      <c r="CC597" s="697"/>
      <c r="CD597" s="697"/>
      <c r="CE597" s="697"/>
      <c r="CF597" s="697"/>
      <c r="CG597" s="697"/>
      <c r="CH597" s="697"/>
      <c r="CI597" s="697"/>
      <c r="CJ597" s="697"/>
      <c r="CK597" s="697"/>
      <c r="CL597" s="697"/>
      <c r="CM597" s="697"/>
      <c r="CN597" s="697"/>
      <c r="CO597" s="697"/>
      <c r="CP597" s="697"/>
      <c r="CQ597" s="697"/>
      <c r="CR597" s="697"/>
      <c r="CS597" s="697"/>
      <c r="CT597" s="697"/>
      <c r="CU597" s="697"/>
      <c r="CV597" s="697"/>
      <c r="CW597" s="697"/>
      <c r="CX597" s="697"/>
      <c r="CY597" s="697"/>
      <c r="CZ597" s="697"/>
      <c r="DA597" s="697"/>
    </row>
    <row r="598" spans="1:105" hidden="1" outlineLevel="1" x14ac:dyDescent="0.2">
      <c r="A598" s="709">
        <f t="shared" si="107"/>
        <v>40664</v>
      </c>
      <c r="B598" s="709" t="str">
        <f t="shared" si="104"/>
        <v>2Q11</v>
      </c>
      <c r="C598" s="709" t="str">
        <f t="shared" si="108"/>
        <v>3Q11</v>
      </c>
      <c r="D598" s="710">
        <f t="shared" si="110"/>
        <v>40739</v>
      </c>
      <c r="E598" s="710">
        <f t="shared" si="110"/>
        <v>40679</v>
      </c>
      <c r="F598" s="712">
        <v>4.0609999999999999</v>
      </c>
      <c r="G598" s="713">
        <f t="shared" si="105"/>
        <v>0.5900000000000003</v>
      </c>
      <c r="H598" s="713">
        <f t="shared" si="106"/>
        <v>0.57000000000000028</v>
      </c>
      <c r="I598" s="697"/>
      <c r="J598" s="697"/>
      <c r="K598" s="697"/>
      <c r="L598" s="697"/>
      <c r="M598" s="697"/>
      <c r="N598" s="697"/>
      <c r="O598" s="697"/>
      <c r="P598" s="697"/>
      <c r="Q598" s="697"/>
      <c r="R598" s="697"/>
      <c r="S598" s="697"/>
      <c r="T598" s="697"/>
      <c r="U598" s="697"/>
      <c r="V598" s="697"/>
      <c r="W598" s="697"/>
      <c r="X598" s="697"/>
      <c r="Y598" s="697"/>
      <c r="Z598" s="697"/>
      <c r="AA598" s="697"/>
      <c r="AB598" s="697"/>
      <c r="AC598" s="697"/>
      <c r="AD598" s="697"/>
      <c r="AE598" s="697"/>
      <c r="AF598" s="697"/>
      <c r="AG598" s="697"/>
      <c r="AH598" s="697"/>
      <c r="AI598" s="697"/>
      <c r="AJ598" s="697"/>
      <c r="AK598" s="697"/>
      <c r="AL598" s="697"/>
      <c r="AM598" s="697"/>
      <c r="AN598" s="697"/>
      <c r="AO598" s="697"/>
      <c r="AP598" s="697"/>
      <c r="AQ598" s="697"/>
      <c r="AR598" s="697"/>
      <c r="AS598" s="697"/>
      <c r="AT598" s="697"/>
      <c r="AU598" s="697"/>
      <c r="AV598" s="697"/>
      <c r="AW598" s="697"/>
      <c r="AX598" s="697"/>
      <c r="AY598" s="697"/>
      <c r="AZ598" s="697"/>
      <c r="BA598" s="697"/>
      <c r="BB598" s="697"/>
      <c r="BC598" s="697"/>
      <c r="BD598" s="697"/>
      <c r="BE598" s="697"/>
      <c r="BF598" s="697"/>
      <c r="BG598" s="697"/>
      <c r="BH598" s="697"/>
      <c r="BI598" s="697"/>
      <c r="BJ598" s="697"/>
      <c r="BK598" s="697"/>
      <c r="BL598" s="697"/>
      <c r="BM598" s="697"/>
      <c r="BN598" s="697"/>
      <c r="BO598" s="697"/>
      <c r="BP598" s="697"/>
      <c r="BQ598" s="697"/>
      <c r="BR598" s="697"/>
      <c r="BS598" s="697"/>
      <c r="BT598" s="697"/>
      <c r="BU598" s="697"/>
      <c r="BV598" s="697"/>
      <c r="BW598" s="697"/>
      <c r="BX598" s="697"/>
      <c r="BY598" s="697"/>
      <c r="BZ598" s="697"/>
      <c r="CA598" s="697"/>
      <c r="CB598" s="697"/>
      <c r="CC598" s="697"/>
      <c r="CD598" s="697"/>
      <c r="CE598" s="697"/>
      <c r="CF598" s="697"/>
      <c r="CG598" s="697"/>
      <c r="CH598" s="697"/>
      <c r="CI598" s="697"/>
      <c r="CJ598" s="697"/>
      <c r="CK598" s="697"/>
      <c r="CL598" s="697"/>
      <c r="CM598" s="697"/>
      <c r="CN598" s="697"/>
      <c r="CO598" s="697"/>
      <c r="CP598" s="697"/>
      <c r="CQ598" s="697"/>
      <c r="CR598" s="697"/>
      <c r="CS598" s="697"/>
      <c r="CT598" s="697"/>
      <c r="CU598" s="697"/>
      <c r="CV598" s="697"/>
      <c r="CW598" s="697"/>
      <c r="CX598" s="697"/>
      <c r="CY598" s="697"/>
      <c r="CZ598" s="697"/>
      <c r="DA598" s="697"/>
    </row>
    <row r="599" spans="1:105" hidden="1" outlineLevel="1" x14ac:dyDescent="0.2">
      <c r="A599" s="709">
        <f t="shared" si="107"/>
        <v>40664</v>
      </c>
      <c r="B599" s="709" t="str">
        <f t="shared" si="104"/>
        <v>2Q11</v>
      </c>
      <c r="C599" s="709" t="str">
        <f t="shared" si="108"/>
        <v>3Q11</v>
      </c>
      <c r="D599" s="710">
        <f t="shared" si="110"/>
        <v>40746</v>
      </c>
      <c r="E599" s="710">
        <f t="shared" si="110"/>
        <v>40686</v>
      </c>
      <c r="F599" s="712">
        <v>3.9969999999999999</v>
      </c>
      <c r="G599" s="713">
        <f t="shared" si="105"/>
        <v>0.57000000000000028</v>
      </c>
      <c r="H599" s="713">
        <f t="shared" si="106"/>
        <v>0.56000000000000028</v>
      </c>
      <c r="I599" s="697"/>
      <c r="J599" s="697"/>
      <c r="K599" s="697"/>
      <c r="L599" s="697"/>
      <c r="M599" s="697"/>
      <c r="N599" s="697"/>
      <c r="O599" s="697"/>
      <c r="P599" s="697"/>
      <c r="Q599" s="697"/>
      <c r="R599" s="697"/>
      <c r="S599" s="697"/>
      <c r="T599" s="697"/>
      <c r="U599" s="697"/>
      <c r="V599" s="697"/>
      <c r="W599" s="697"/>
      <c r="X599" s="697"/>
      <c r="Y599" s="697"/>
      <c r="Z599" s="697"/>
      <c r="AA599" s="697"/>
      <c r="AB599" s="697"/>
      <c r="AC599" s="697"/>
      <c r="AD599" s="697"/>
      <c r="AE599" s="697"/>
      <c r="AF599" s="697"/>
      <c r="AG599" s="697"/>
      <c r="AH599" s="697"/>
      <c r="AI599" s="697"/>
      <c r="AJ599" s="697"/>
      <c r="AK599" s="697"/>
      <c r="AL599" s="697"/>
      <c r="AM599" s="697"/>
      <c r="AN599" s="697"/>
      <c r="AO599" s="697"/>
      <c r="AP599" s="697"/>
      <c r="AQ599" s="697"/>
      <c r="AR599" s="697"/>
      <c r="AS599" s="697"/>
      <c r="AT599" s="697"/>
      <c r="AU599" s="697"/>
      <c r="AV599" s="697"/>
      <c r="AW599" s="697"/>
      <c r="AX599" s="697"/>
      <c r="AY599" s="697"/>
      <c r="AZ599" s="697"/>
      <c r="BA599" s="697"/>
      <c r="BB599" s="697"/>
      <c r="BC599" s="697"/>
      <c r="BD599" s="697"/>
      <c r="BE599" s="697"/>
      <c r="BF599" s="697"/>
      <c r="BG599" s="697"/>
      <c r="BH599" s="697"/>
      <c r="BI599" s="697"/>
      <c r="BJ599" s="697"/>
      <c r="BK599" s="697"/>
      <c r="BL599" s="697"/>
      <c r="BM599" s="697"/>
      <c r="BN599" s="697"/>
      <c r="BO599" s="697"/>
      <c r="BP599" s="697"/>
      <c r="BQ599" s="697"/>
      <c r="BR599" s="697"/>
      <c r="BS599" s="697"/>
      <c r="BT599" s="697"/>
      <c r="BU599" s="697"/>
      <c r="BV599" s="697"/>
      <c r="BW599" s="697"/>
      <c r="BX599" s="697"/>
      <c r="BY599" s="697"/>
      <c r="BZ599" s="697"/>
      <c r="CA599" s="697"/>
      <c r="CB599" s="697"/>
      <c r="CC599" s="697"/>
      <c r="CD599" s="697"/>
      <c r="CE599" s="697"/>
      <c r="CF599" s="697"/>
      <c r="CG599" s="697"/>
      <c r="CH599" s="697"/>
      <c r="CI599" s="697"/>
      <c r="CJ599" s="697"/>
      <c r="CK599" s="697"/>
      <c r="CL599" s="697"/>
      <c r="CM599" s="697"/>
      <c r="CN599" s="697"/>
      <c r="CO599" s="697"/>
      <c r="CP599" s="697"/>
      <c r="CQ599" s="697"/>
      <c r="CR599" s="697"/>
      <c r="CS599" s="697"/>
      <c r="CT599" s="697"/>
      <c r="CU599" s="697"/>
      <c r="CV599" s="697"/>
      <c r="CW599" s="697"/>
      <c r="CX599" s="697"/>
      <c r="CY599" s="697"/>
      <c r="CZ599" s="697"/>
      <c r="DA599" s="697"/>
    </row>
    <row r="600" spans="1:105" hidden="1" outlineLevel="1" x14ac:dyDescent="0.2">
      <c r="A600" s="709">
        <f t="shared" si="107"/>
        <v>40664</v>
      </c>
      <c r="B600" s="709" t="str">
        <f t="shared" si="104"/>
        <v>2Q11</v>
      </c>
      <c r="C600" s="709" t="str">
        <f t="shared" si="108"/>
        <v>3Q11</v>
      </c>
      <c r="D600" s="710">
        <f t="shared" si="110"/>
        <v>40753</v>
      </c>
      <c r="E600" s="710">
        <f t="shared" si="110"/>
        <v>40693</v>
      </c>
      <c r="F600" s="712">
        <v>3.948</v>
      </c>
      <c r="G600" s="713">
        <f t="shared" si="105"/>
        <v>0.56000000000000028</v>
      </c>
      <c r="H600" s="713">
        <f t="shared" si="106"/>
        <v>0.56000000000000028</v>
      </c>
      <c r="I600" s="697"/>
      <c r="J600" s="697"/>
      <c r="K600" s="697"/>
      <c r="L600" s="697"/>
      <c r="M600" s="697"/>
      <c r="N600" s="697"/>
      <c r="O600" s="697"/>
      <c r="P600" s="697"/>
      <c r="Q600" s="697"/>
      <c r="R600" s="697"/>
      <c r="S600" s="697"/>
      <c r="T600" s="697"/>
      <c r="U600" s="697"/>
      <c r="V600" s="697"/>
      <c r="W600" s="697"/>
      <c r="X600" s="697"/>
      <c r="Y600" s="697"/>
      <c r="Z600" s="697"/>
      <c r="AA600" s="697"/>
      <c r="AB600" s="697"/>
      <c r="AC600" s="697"/>
      <c r="AD600" s="697"/>
      <c r="AE600" s="697"/>
      <c r="AF600" s="697"/>
      <c r="AG600" s="697"/>
      <c r="AH600" s="697"/>
      <c r="AI600" s="697"/>
      <c r="AJ600" s="697"/>
      <c r="AK600" s="697"/>
      <c r="AL600" s="697"/>
      <c r="AM600" s="697"/>
      <c r="AN600" s="697"/>
      <c r="AO600" s="697"/>
      <c r="AP600" s="697"/>
      <c r="AQ600" s="697"/>
      <c r="AR600" s="697"/>
      <c r="AS600" s="697"/>
      <c r="AT600" s="697"/>
      <c r="AU600" s="697"/>
      <c r="AV600" s="697"/>
      <c r="AW600" s="697"/>
      <c r="AX600" s="697"/>
      <c r="AY600" s="697"/>
      <c r="AZ600" s="697"/>
      <c r="BA600" s="697"/>
      <c r="BB600" s="697"/>
      <c r="BC600" s="697"/>
      <c r="BD600" s="697"/>
      <c r="BE600" s="697"/>
      <c r="BF600" s="697"/>
      <c r="BG600" s="697"/>
      <c r="BH600" s="697"/>
      <c r="BI600" s="697"/>
      <c r="BJ600" s="697"/>
      <c r="BK600" s="697"/>
      <c r="BL600" s="697"/>
      <c r="BM600" s="697"/>
      <c r="BN600" s="697"/>
      <c r="BO600" s="697"/>
      <c r="BP600" s="697"/>
      <c r="BQ600" s="697"/>
      <c r="BR600" s="697"/>
      <c r="BS600" s="697"/>
      <c r="BT600" s="697"/>
      <c r="BU600" s="697"/>
      <c r="BV600" s="697"/>
      <c r="BW600" s="697"/>
      <c r="BX600" s="697"/>
      <c r="BY600" s="697"/>
      <c r="BZ600" s="697"/>
      <c r="CA600" s="697"/>
      <c r="CB600" s="697"/>
      <c r="CC600" s="697"/>
      <c r="CD600" s="697"/>
      <c r="CE600" s="697"/>
      <c r="CF600" s="697"/>
      <c r="CG600" s="697"/>
      <c r="CH600" s="697"/>
      <c r="CI600" s="697"/>
      <c r="CJ600" s="697"/>
      <c r="CK600" s="697"/>
      <c r="CL600" s="697"/>
      <c r="CM600" s="697"/>
      <c r="CN600" s="697"/>
      <c r="CO600" s="697"/>
      <c r="CP600" s="697"/>
      <c r="CQ600" s="697"/>
      <c r="CR600" s="697"/>
      <c r="CS600" s="697"/>
      <c r="CT600" s="697"/>
      <c r="CU600" s="697"/>
      <c r="CV600" s="697"/>
      <c r="CW600" s="697"/>
      <c r="CX600" s="697"/>
      <c r="CY600" s="697"/>
      <c r="CZ600" s="697"/>
      <c r="DA600" s="697"/>
    </row>
    <row r="601" spans="1:105" hidden="1" outlineLevel="1" x14ac:dyDescent="0.2">
      <c r="A601" s="709">
        <f t="shared" si="107"/>
        <v>40695</v>
      </c>
      <c r="B601" s="709" t="str">
        <f t="shared" si="104"/>
        <v>2Q11</v>
      </c>
      <c r="C601" s="709" t="str">
        <f t="shared" si="108"/>
        <v>3Q11</v>
      </c>
      <c r="D601" s="710">
        <f t="shared" si="110"/>
        <v>40760</v>
      </c>
      <c r="E601" s="710">
        <f t="shared" si="110"/>
        <v>40700</v>
      </c>
      <c r="F601" s="712">
        <v>3.94</v>
      </c>
      <c r="G601" s="713">
        <f t="shared" si="105"/>
        <v>0.56000000000000028</v>
      </c>
      <c r="H601" s="713">
        <f t="shared" si="106"/>
        <v>0.57000000000000028</v>
      </c>
      <c r="I601" s="697"/>
      <c r="J601" s="697"/>
      <c r="K601" s="697"/>
      <c r="L601" s="697"/>
      <c r="M601" s="697"/>
      <c r="N601" s="697"/>
      <c r="O601" s="697"/>
      <c r="P601" s="697"/>
      <c r="Q601" s="697"/>
      <c r="R601" s="697"/>
      <c r="S601" s="697"/>
      <c r="T601" s="697"/>
      <c r="U601" s="697"/>
      <c r="V601" s="697"/>
      <c r="W601" s="697"/>
      <c r="X601" s="697"/>
      <c r="Y601" s="697"/>
      <c r="Z601" s="697"/>
      <c r="AA601" s="697"/>
      <c r="AB601" s="697"/>
      <c r="AC601" s="697"/>
      <c r="AD601" s="697"/>
      <c r="AE601" s="697"/>
      <c r="AF601" s="697"/>
      <c r="AG601" s="697"/>
      <c r="AH601" s="697"/>
      <c r="AI601" s="697"/>
      <c r="AJ601" s="697"/>
      <c r="AK601" s="697"/>
      <c r="AL601" s="697"/>
      <c r="AM601" s="697"/>
      <c r="AN601" s="697"/>
      <c r="AO601" s="697"/>
      <c r="AP601" s="697"/>
      <c r="AQ601" s="697"/>
      <c r="AR601" s="697"/>
      <c r="AS601" s="697"/>
      <c r="AT601" s="697"/>
      <c r="AU601" s="697"/>
      <c r="AV601" s="697"/>
      <c r="AW601" s="697"/>
      <c r="AX601" s="697"/>
      <c r="AY601" s="697"/>
      <c r="AZ601" s="697"/>
      <c r="BA601" s="697"/>
      <c r="BB601" s="697"/>
      <c r="BC601" s="697"/>
      <c r="BD601" s="697"/>
      <c r="BE601" s="697"/>
      <c r="BF601" s="697"/>
      <c r="BG601" s="697"/>
      <c r="BH601" s="697"/>
      <c r="BI601" s="697"/>
      <c r="BJ601" s="697"/>
      <c r="BK601" s="697"/>
      <c r="BL601" s="697"/>
      <c r="BM601" s="697"/>
      <c r="BN601" s="697"/>
      <c r="BO601" s="697"/>
      <c r="BP601" s="697"/>
      <c r="BQ601" s="697"/>
      <c r="BR601" s="697"/>
      <c r="BS601" s="697"/>
      <c r="BT601" s="697"/>
      <c r="BU601" s="697"/>
      <c r="BV601" s="697"/>
      <c r="BW601" s="697"/>
      <c r="BX601" s="697"/>
      <c r="BY601" s="697"/>
      <c r="BZ601" s="697"/>
      <c r="CA601" s="697"/>
      <c r="CB601" s="697"/>
      <c r="CC601" s="697"/>
      <c r="CD601" s="697"/>
      <c r="CE601" s="697"/>
      <c r="CF601" s="697"/>
      <c r="CG601" s="697"/>
      <c r="CH601" s="697"/>
      <c r="CI601" s="697"/>
      <c r="CJ601" s="697"/>
      <c r="CK601" s="697"/>
      <c r="CL601" s="697"/>
      <c r="CM601" s="697"/>
      <c r="CN601" s="697"/>
      <c r="CO601" s="697"/>
      <c r="CP601" s="697"/>
      <c r="CQ601" s="697"/>
      <c r="CR601" s="697"/>
      <c r="CS601" s="697"/>
      <c r="CT601" s="697"/>
      <c r="CU601" s="697"/>
      <c r="CV601" s="697"/>
      <c r="CW601" s="697"/>
      <c r="CX601" s="697"/>
      <c r="CY601" s="697"/>
      <c r="CZ601" s="697"/>
      <c r="DA601" s="697"/>
    </row>
    <row r="602" spans="1:105" hidden="1" outlineLevel="1" x14ac:dyDescent="0.2">
      <c r="A602" s="709">
        <f t="shared" si="107"/>
        <v>40695</v>
      </c>
      <c r="B602" s="709" t="str">
        <f t="shared" si="104"/>
        <v>2Q11</v>
      </c>
      <c r="C602" s="709" t="str">
        <f t="shared" si="108"/>
        <v>3Q11</v>
      </c>
      <c r="D602" s="710">
        <f t="shared" si="110"/>
        <v>40767</v>
      </c>
      <c r="E602" s="710">
        <f t="shared" si="110"/>
        <v>40707</v>
      </c>
      <c r="F602" s="712">
        <v>3.9540000000000002</v>
      </c>
      <c r="G602" s="713">
        <f t="shared" si="105"/>
        <v>0.57000000000000028</v>
      </c>
      <c r="H602" s="713">
        <f t="shared" si="106"/>
        <v>0.57000000000000028</v>
      </c>
      <c r="I602" s="697"/>
      <c r="J602" s="697"/>
      <c r="K602" s="697"/>
      <c r="L602" s="697"/>
      <c r="M602" s="697"/>
      <c r="N602" s="697"/>
      <c r="O602" s="697"/>
      <c r="P602" s="697"/>
      <c r="Q602" s="697"/>
      <c r="R602" s="697"/>
      <c r="S602" s="697"/>
      <c r="T602" s="697"/>
      <c r="U602" s="697"/>
      <c r="V602" s="697"/>
      <c r="W602" s="697"/>
      <c r="X602" s="697"/>
      <c r="Y602" s="697"/>
      <c r="Z602" s="697"/>
      <c r="AA602" s="697"/>
      <c r="AB602" s="697"/>
      <c r="AC602" s="697"/>
      <c r="AD602" s="697"/>
      <c r="AE602" s="697"/>
      <c r="AF602" s="697"/>
      <c r="AG602" s="697"/>
      <c r="AH602" s="697"/>
      <c r="AI602" s="697"/>
      <c r="AJ602" s="697"/>
      <c r="AK602" s="697"/>
      <c r="AL602" s="697"/>
      <c r="AM602" s="697"/>
      <c r="AN602" s="697"/>
      <c r="AO602" s="697"/>
      <c r="AP602" s="697"/>
      <c r="AQ602" s="697"/>
      <c r="AR602" s="697"/>
      <c r="AS602" s="697"/>
      <c r="AT602" s="697"/>
      <c r="AU602" s="697"/>
      <c r="AV602" s="697"/>
      <c r="AW602" s="697"/>
      <c r="AX602" s="697"/>
      <c r="AY602" s="697"/>
      <c r="AZ602" s="697"/>
      <c r="BA602" s="697"/>
      <c r="BB602" s="697"/>
      <c r="BC602" s="697"/>
      <c r="BD602" s="697"/>
      <c r="BE602" s="697"/>
      <c r="BF602" s="697"/>
      <c r="BG602" s="697"/>
      <c r="BH602" s="697"/>
      <c r="BI602" s="697"/>
      <c r="BJ602" s="697"/>
      <c r="BK602" s="697"/>
      <c r="BL602" s="697"/>
      <c r="BM602" s="697"/>
      <c r="BN602" s="697"/>
      <c r="BO602" s="697"/>
      <c r="BP602" s="697"/>
      <c r="BQ602" s="697"/>
      <c r="BR602" s="697"/>
      <c r="BS602" s="697"/>
      <c r="BT602" s="697"/>
      <c r="BU602" s="697"/>
      <c r="BV602" s="697"/>
      <c r="BW602" s="697"/>
      <c r="BX602" s="697"/>
      <c r="BY602" s="697"/>
      <c r="BZ602" s="697"/>
      <c r="CA602" s="697"/>
      <c r="CB602" s="697"/>
      <c r="CC602" s="697"/>
      <c r="CD602" s="697"/>
      <c r="CE602" s="697"/>
      <c r="CF602" s="697"/>
      <c r="CG602" s="697"/>
      <c r="CH602" s="697"/>
      <c r="CI602" s="697"/>
      <c r="CJ602" s="697"/>
      <c r="CK602" s="697"/>
      <c r="CL602" s="697"/>
      <c r="CM602" s="697"/>
      <c r="CN602" s="697"/>
      <c r="CO602" s="697"/>
      <c r="CP602" s="697"/>
      <c r="CQ602" s="697"/>
      <c r="CR602" s="697"/>
      <c r="CS602" s="697"/>
      <c r="CT602" s="697"/>
      <c r="CU602" s="697"/>
      <c r="CV602" s="697"/>
      <c r="CW602" s="697"/>
      <c r="CX602" s="697"/>
      <c r="CY602" s="697"/>
      <c r="CZ602" s="697"/>
      <c r="DA602" s="697"/>
    </row>
    <row r="603" spans="1:105" hidden="1" outlineLevel="1" x14ac:dyDescent="0.2">
      <c r="A603" s="709">
        <f t="shared" si="107"/>
        <v>40695</v>
      </c>
      <c r="B603" s="709" t="str">
        <f t="shared" si="104"/>
        <v>2Q11</v>
      </c>
      <c r="C603" s="709" t="str">
        <f t="shared" si="108"/>
        <v>3Q11</v>
      </c>
      <c r="D603" s="710">
        <f t="shared" si="110"/>
        <v>40774</v>
      </c>
      <c r="E603" s="710">
        <f t="shared" si="110"/>
        <v>40714</v>
      </c>
      <c r="F603" s="712">
        <v>3.95</v>
      </c>
      <c r="G603" s="713">
        <f t="shared" si="105"/>
        <v>0.57000000000000028</v>
      </c>
      <c r="H603" s="713">
        <f t="shared" si="106"/>
        <v>0.55000000000000027</v>
      </c>
      <c r="I603" s="697"/>
      <c r="J603" s="697"/>
      <c r="K603" s="697"/>
      <c r="L603" s="697"/>
      <c r="M603" s="697"/>
      <c r="N603" s="697"/>
      <c r="O603" s="697"/>
      <c r="P603" s="697"/>
      <c r="Q603" s="697"/>
      <c r="R603" s="697"/>
      <c r="S603" s="697"/>
      <c r="T603" s="697"/>
      <c r="U603" s="697"/>
      <c r="V603" s="697"/>
      <c r="W603" s="697"/>
      <c r="X603" s="697"/>
      <c r="Y603" s="697"/>
      <c r="Z603" s="697"/>
      <c r="AA603" s="697"/>
      <c r="AB603" s="697"/>
      <c r="AC603" s="697"/>
      <c r="AD603" s="697"/>
      <c r="AE603" s="697"/>
      <c r="AF603" s="697"/>
      <c r="AG603" s="697"/>
      <c r="AH603" s="697"/>
      <c r="AI603" s="697"/>
      <c r="AJ603" s="697"/>
      <c r="AK603" s="697"/>
      <c r="AL603" s="697"/>
      <c r="AM603" s="697"/>
      <c r="AN603" s="697"/>
      <c r="AO603" s="697"/>
      <c r="AP603" s="697"/>
      <c r="AQ603" s="697"/>
      <c r="AR603" s="697"/>
      <c r="AS603" s="697"/>
      <c r="AT603" s="697"/>
      <c r="AU603" s="697"/>
      <c r="AV603" s="697"/>
      <c r="AW603" s="697"/>
      <c r="AX603" s="697"/>
      <c r="AY603" s="697"/>
      <c r="AZ603" s="697"/>
      <c r="BA603" s="697"/>
      <c r="BB603" s="697"/>
      <c r="BC603" s="697"/>
      <c r="BD603" s="697"/>
      <c r="BE603" s="697"/>
      <c r="BF603" s="697"/>
      <c r="BG603" s="697"/>
      <c r="BH603" s="697"/>
      <c r="BI603" s="697"/>
      <c r="BJ603" s="697"/>
      <c r="BK603" s="697"/>
      <c r="BL603" s="697"/>
      <c r="BM603" s="697"/>
      <c r="BN603" s="697"/>
      <c r="BO603" s="697"/>
      <c r="BP603" s="697"/>
      <c r="BQ603" s="697"/>
      <c r="BR603" s="697"/>
      <c r="BS603" s="697"/>
      <c r="BT603" s="697"/>
      <c r="BU603" s="697"/>
      <c r="BV603" s="697"/>
      <c r="BW603" s="697"/>
      <c r="BX603" s="697"/>
      <c r="BY603" s="697"/>
      <c r="BZ603" s="697"/>
      <c r="CA603" s="697"/>
      <c r="CB603" s="697"/>
      <c r="CC603" s="697"/>
      <c r="CD603" s="697"/>
      <c r="CE603" s="697"/>
      <c r="CF603" s="697"/>
      <c r="CG603" s="697"/>
      <c r="CH603" s="697"/>
      <c r="CI603" s="697"/>
      <c r="CJ603" s="697"/>
      <c r="CK603" s="697"/>
      <c r="CL603" s="697"/>
      <c r="CM603" s="697"/>
      <c r="CN603" s="697"/>
      <c r="CO603" s="697"/>
      <c r="CP603" s="697"/>
      <c r="CQ603" s="697"/>
      <c r="CR603" s="697"/>
      <c r="CS603" s="697"/>
      <c r="CT603" s="697"/>
      <c r="CU603" s="697"/>
      <c r="CV603" s="697"/>
      <c r="CW603" s="697"/>
      <c r="CX603" s="697"/>
      <c r="CY603" s="697"/>
      <c r="CZ603" s="697"/>
      <c r="DA603" s="697"/>
    </row>
    <row r="604" spans="1:105" hidden="1" outlineLevel="1" x14ac:dyDescent="0.2">
      <c r="A604" s="709">
        <f t="shared" si="107"/>
        <v>40695</v>
      </c>
      <c r="B604" s="709" t="str">
        <f t="shared" si="104"/>
        <v>2Q11</v>
      </c>
      <c r="C604" s="709" t="str">
        <f t="shared" si="108"/>
        <v>3Q11</v>
      </c>
      <c r="D604" s="710">
        <f t="shared" si="110"/>
        <v>40781</v>
      </c>
      <c r="E604" s="710">
        <f t="shared" si="110"/>
        <v>40721</v>
      </c>
      <c r="F604" s="712">
        <v>3.8879999999999999</v>
      </c>
      <c r="G604" s="713">
        <f t="shared" si="105"/>
        <v>0.55000000000000027</v>
      </c>
      <c r="H604" s="713">
        <f t="shared" si="106"/>
        <v>0.55000000000000027</v>
      </c>
      <c r="I604" s="697"/>
      <c r="J604" s="697"/>
      <c r="K604" s="697"/>
      <c r="L604" s="697"/>
      <c r="M604" s="697"/>
      <c r="N604" s="697"/>
      <c r="O604" s="697"/>
      <c r="P604" s="697"/>
      <c r="Q604" s="697"/>
      <c r="R604" s="697"/>
      <c r="S604" s="697"/>
      <c r="T604" s="697"/>
      <c r="U604" s="697"/>
      <c r="V604" s="697"/>
      <c r="W604" s="697"/>
      <c r="X604" s="697"/>
      <c r="Y604" s="697"/>
      <c r="Z604" s="697"/>
      <c r="AA604" s="697"/>
      <c r="AB604" s="697"/>
      <c r="AC604" s="697"/>
      <c r="AD604" s="697"/>
      <c r="AE604" s="697"/>
      <c r="AF604" s="697"/>
      <c r="AG604" s="697"/>
      <c r="AH604" s="697"/>
      <c r="AI604" s="697"/>
      <c r="AJ604" s="697"/>
      <c r="AK604" s="697"/>
      <c r="AL604" s="697"/>
      <c r="AM604" s="697"/>
      <c r="AN604" s="697"/>
      <c r="AO604" s="697"/>
      <c r="AP604" s="697"/>
      <c r="AQ604" s="697"/>
      <c r="AR604" s="697"/>
      <c r="AS604" s="697"/>
      <c r="AT604" s="697"/>
      <c r="AU604" s="697"/>
      <c r="AV604" s="697"/>
      <c r="AW604" s="697"/>
      <c r="AX604" s="697"/>
      <c r="AY604" s="697"/>
      <c r="AZ604" s="697"/>
      <c r="BA604" s="697"/>
      <c r="BB604" s="697"/>
      <c r="BC604" s="697"/>
      <c r="BD604" s="697"/>
      <c r="BE604" s="697"/>
      <c r="BF604" s="697"/>
      <c r="BG604" s="697"/>
      <c r="BH604" s="697"/>
      <c r="BI604" s="697"/>
      <c r="BJ604" s="697"/>
      <c r="BK604" s="697"/>
      <c r="BL604" s="697"/>
      <c r="BM604" s="697"/>
      <c r="BN604" s="697"/>
      <c r="BO604" s="697"/>
      <c r="BP604" s="697"/>
      <c r="BQ604" s="697"/>
      <c r="BR604" s="697"/>
      <c r="BS604" s="697"/>
      <c r="BT604" s="697"/>
      <c r="BU604" s="697"/>
      <c r="BV604" s="697"/>
      <c r="BW604" s="697"/>
      <c r="BX604" s="697"/>
      <c r="BY604" s="697"/>
      <c r="BZ604" s="697"/>
      <c r="CA604" s="697"/>
      <c r="CB604" s="697"/>
      <c r="CC604" s="697"/>
      <c r="CD604" s="697"/>
      <c r="CE604" s="697"/>
      <c r="CF604" s="697"/>
      <c r="CG604" s="697"/>
      <c r="CH604" s="697"/>
      <c r="CI604" s="697"/>
      <c r="CJ604" s="697"/>
      <c r="CK604" s="697"/>
      <c r="CL604" s="697"/>
      <c r="CM604" s="697"/>
      <c r="CN604" s="697"/>
      <c r="CO604" s="697"/>
      <c r="CP604" s="697"/>
      <c r="CQ604" s="697"/>
      <c r="CR604" s="697"/>
      <c r="CS604" s="697"/>
      <c r="CT604" s="697"/>
      <c r="CU604" s="697"/>
      <c r="CV604" s="697"/>
      <c r="CW604" s="697"/>
      <c r="CX604" s="697"/>
      <c r="CY604" s="697"/>
      <c r="CZ604" s="697"/>
      <c r="DA604" s="697"/>
    </row>
    <row r="605" spans="1:105" hidden="1" outlineLevel="1" x14ac:dyDescent="0.2">
      <c r="A605" s="709">
        <f t="shared" si="107"/>
        <v>40725</v>
      </c>
      <c r="B605" s="709" t="str">
        <f t="shared" si="104"/>
        <v>3Q11</v>
      </c>
      <c r="C605" s="709" t="str">
        <f t="shared" si="108"/>
        <v>3Q11</v>
      </c>
      <c r="D605" s="710">
        <f t="shared" si="110"/>
        <v>40788</v>
      </c>
      <c r="E605" s="710">
        <f t="shared" si="110"/>
        <v>40728</v>
      </c>
      <c r="F605" s="712">
        <v>3.85</v>
      </c>
      <c r="G605" s="713">
        <f t="shared" si="105"/>
        <v>0.55000000000000027</v>
      </c>
      <c r="H605" s="713">
        <f t="shared" si="106"/>
        <v>0.55000000000000027</v>
      </c>
      <c r="I605" s="697"/>
      <c r="J605" s="697"/>
      <c r="K605" s="697"/>
      <c r="L605" s="697"/>
      <c r="M605" s="697"/>
      <c r="N605" s="697"/>
      <c r="O605" s="697"/>
      <c r="P605" s="697"/>
      <c r="Q605" s="697"/>
      <c r="R605" s="697"/>
      <c r="S605" s="697"/>
      <c r="T605" s="697"/>
      <c r="U605" s="697"/>
      <c r="V605" s="697"/>
      <c r="W605" s="697"/>
      <c r="X605" s="697"/>
      <c r="Y605" s="697"/>
      <c r="Z605" s="697"/>
      <c r="AA605" s="697"/>
      <c r="AB605" s="697"/>
      <c r="AC605" s="697"/>
      <c r="AD605" s="697"/>
      <c r="AE605" s="697"/>
      <c r="AF605" s="697"/>
      <c r="AG605" s="697"/>
      <c r="AH605" s="697"/>
      <c r="AI605" s="697"/>
      <c r="AJ605" s="697"/>
      <c r="AK605" s="697"/>
      <c r="AL605" s="697"/>
      <c r="AM605" s="697"/>
      <c r="AN605" s="697"/>
      <c r="AO605" s="697"/>
      <c r="AP605" s="697"/>
      <c r="AQ605" s="697"/>
      <c r="AR605" s="697"/>
      <c r="AS605" s="697"/>
      <c r="AT605" s="697"/>
      <c r="AU605" s="697"/>
      <c r="AV605" s="697"/>
      <c r="AW605" s="697"/>
      <c r="AX605" s="697"/>
      <c r="AY605" s="697"/>
      <c r="AZ605" s="697"/>
      <c r="BA605" s="697"/>
      <c r="BB605" s="697"/>
      <c r="BC605" s="697"/>
      <c r="BD605" s="697"/>
      <c r="BE605" s="697"/>
      <c r="BF605" s="697"/>
      <c r="BG605" s="697"/>
      <c r="BH605" s="697"/>
      <c r="BI605" s="697"/>
      <c r="BJ605" s="697"/>
      <c r="BK605" s="697"/>
      <c r="BL605" s="697"/>
      <c r="BM605" s="697"/>
      <c r="BN605" s="697"/>
      <c r="BO605" s="697"/>
      <c r="BP605" s="697"/>
      <c r="BQ605" s="697"/>
      <c r="BR605" s="697"/>
      <c r="BS605" s="697"/>
      <c r="BT605" s="697"/>
      <c r="BU605" s="697"/>
      <c r="BV605" s="697"/>
      <c r="BW605" s="697"/>
      <c r="BX605" s="697"/>
      <c r="BY605" s="697"/>
      <c r="BZ605" s="697"/>
      <c r="CA605" s="697"/>
      <c r="CB605" s="697"/>
      <c r="CC605" s="697"/>
      <c r="CD605" s="697"/>
      <c r="CE605" s="697"/>
      <c r="CF605" s="697"/>
      <c r="CG605" s="697"/>
      <c r="CH605" s="697"/>
      <c r="CI605" s="697"/>
      <c r="CJ605" s="697"/>
      <c r="CK605" s="697"/>
      <c r="CL605" s="697"/>
      <c r="CM605" s="697"/>
      <c r="CN605" s="697"/>
      <c r="CO605" s="697"/>
      <c r="CP605" s="697"/>
      <c r="CQ605" s="697"/>
      <c r="CR605" s="697"/>
      <c r="CS605" s="697"/>
      <c r="CT605" s="697"/>
      <c r="CU605" s="697"/>
      <c r="CV605" s="697"/>
      <c r="CW605" s="697"/>
      <c r="CX605" s="697"/>
      <c r="CY605" s="697"/>
      <c r="CZ605" s="697"/>
      <c r="DA605" s="697"/>
    </row>
    <row r="606" spans="1:105" hidden="1" outlineLevel="1" x14ac:dyDescent="0.2">
      <c r="A606" s="709">
        <f t="shared" si="107"/>
        <v>40725</v>
      </c>
      <c r="B606" s="709" t="str">
        <f t="shared" si="104"/>
        <v>3Q11</v>
      </c>
      <c r="C606" s="709" t="str">
        <f t="shared" si="108"/>
        <v>3Q11</v>
      </c>
      <c r="D606" s="710">
        <f t="shared" si="110"/>
        <v>40795</v>
      </c>
      <c r="E606" s="710">
        <f t="shared" si="110"/>
        <v>40735</v>
      </c>
      <c r="F606" s="712">
        <v>3.899</v>
      </c>
      <c r="G606" s="713">
        <f t="shared" si="105"/>
        <v>0.55000000000000027</v>
      </c>
      <c r="H606" s="713">
        <f t="shared" si="106"/>
        <v>0.56000000000000028</v>
      </c>
      <c r="I606" s="697"/>
      <c r="J606" s="697"/>
      <c r="K606" s="697"/>
      <c r="L606" s="697"/>
      <c r="M606" s="697"/>
      <c r="N606" s="697"/>
      <c r="O606" s="697"/>
      <c r="P606" s="697"/>
      <c r="Q606" s="697"/>
      <c r="R606" s="697"/>
      <c r="S606" s="697"/>
      <c r="T606" s="697"/>
      <c r="U606" s="697"/>
      <c r="V606" s="697"/>
      <c r="W606" s="697"/>
      <c r="X606" s="697"/>
      <c r="Y606" s="697"/>
      <c r="Z606" s="697"/>
      <c r="AA606" s="697"/>
      <c r="AB606" s="697"/>
      <c r="AC606" s="697"/>
      <c r="AD606" s="697"/>
      <c r="AE606" s="697"/>
      <c r="AF606" s="697"/>
      <c r="AG606" s="697"/>
      <c r="AH606" s="697"/>
      <c r="AI606" s="697"/>
      <c r="AJ606" s="697"/>
      <c r="AK606" s="697"/>
      <c r="AL606" s="697"/>
      <c r="AM606" s="697"/>
      <c r="AN606" s="697"/>
      <c r="AO606" s="697"/>
      <c r="AP606" s="697"/>
      <c r="AQ606" s="697"/>
      <c r="AR606" s="697"/>
      <c r="AS606" s="697"/>
      <c r="AT606" s="697"/>
      <c r="AU606" s="697"/>
      <c r="AV606" s="697"/>
      <c r="AW606" s="697"/>
      <c r="AX606" s="697"/>
      <c r="AY606" s="697"/>
      <c r="AZ606" s="697"/>
      <c r="BA606" s="697"/>
      <c r="BB606" s="697"/>
      <c r="BC606" s="697"/>
      <c r="BD606" s="697"/>
      <c r="BE606" s="697"/>
      <c r="BF606" s="697"/>
      <c r="BG606" s="697"/>
      <c r="BH606" s="697"/>
      <c r="BI606" s="697"/>
      <c r="BJ606" s="697"/>
      <c r="BK606" s="697"/>
      <c r="BL606" s="697"/>
      <c r="BM606" s="697"/>
      <c r="BN606" s="697"/>
      <c r="BO606" s="697"/>
      <c r="BP606" s="697"/>
      <c r="BQ606" s="697"/>
      <c r="BR606" s="697"/>
      <c r="BS606" s="697"/>
      <c r="BT606" s="697"/>
      <c r="BU606" s="697"/>
      <c r="BV606" s="697"/>
      <c r="BW606" s="697"/>
      <c r="BX606" s="697"/>
      <c r="BY606" s="697"/>
      <c r="BZ606" s="697"/>
      <c r="CA606" s="697"/>
      <c r="CB606" s="697"/>
      <c r="CC606" s="697"/>
      <c r="CD606" s="697"/>
      <c r="CE606" s="697"/>
      <c r="CF606" s="697"/>
      <c r="CG606" s="697"/>
      <c r="CH606" s="697"/>
      <c r="CI606" s="697"/>
      <c r="CJ606" s="697"/>
      <c r="CK606" s="697"/>
      <c r="CL606" s="697"/>
      <c r="CM606" s="697"/>
      <c r="CN606" s="697"/>
      <c r="CO606" s="697"/>
      <c r="CP606" s="697"/>
      <c r="CQ606" s="697"/>
      <c r="CR606" s="697"/>
      <c r="CS606" s="697"/>
      <c r="CT606" s="697"/>
      <c r="CU606" s="697"/>
      <c r="CV606" s="697"/>
      <c r="CW606" s="697"/>
      <c r="CX606" s="697"/>
      <c r="CY606" s="697"/>
      <c r="CZ606" s="697"/>
      <c r="DA606" s="697"/>
    </row>
    <row r="607" spans="1:105" hidden="1" outlineLevel="1" x14ac:dyDescent="0.2">
      <c r="A607" s="709">
        <f t="shared" si="107"/>
        <v>40725</v>
      </c>
      <c r="B607" s="709" t="str">
        <f t="shared" si="104"/>
        <v>3Q11</v>
      </c>
      <c r="C607" s="709" t="str">
        <f t="shared" si="108"/>
        <v>3Q11</v>
      </c>
      <c r="D607" s="710">
        <f t="shared" si="110"/>
        <v>40802</v>
      </c>
      <c r="E607" s="710">
        <f t="shared" si="110"/>
        <v>40742</v>
      </c>
      <c r="F607" s="712">
        <v>3.923</v>
      </c>
      <c r="G607" s="713">
        <f t="shared" si="105"/>
        <v>0.56000000000000028</v>
      </c>
      <c r="H607" s="713">
        <f t="shared" si="106"/>
        <v>0.56000000000000028</v>
      </c>
      <c r="I607" s="697"/>
      <c r="J607" s="697"/>
      <c r="K607" s="697"/>
      <c r="L607" s="697"/>
      <c r="M607" s="697"/>
      <c r="N607" s="697"/>
      <c r="O607" s="697"/>
      <c r="P607" s="697"/>
      <c r="Q607" s="697"/>
      <c r="R607" s="697"/>
      <c r="S607" s="697"/>
      <c r="T607" s="697"/>
      <c r="U607" s="697"/>
      <c r="V607" s="697"/>
      <c r="W607" s="697"/>
      <c r="X607" s="697"/>
      <c r="Y607" s="697"/>
      <c r="Z607" s="697"/>
      <c r="AA607" s="697"/>
      <c r="AB607" s="697"/>
      <c r="AC607" s="697"/>
      <c r="AD607" s="697"/>
      <c r="AE607" s="697"/>
      <c r="AF607" s="697"/>
      <c r="AG607" s="697"/>
      <c r="AH607" s="697"/>
      <c r="AI607" s="697"/>
      <c r="AJ607" s="697"/>
      <c r="AK607" s="697"/>
      <c r="AL607" s="697"/>
      <c r="AM607" s="697"/>
      <c r="AN607" s="697"/>
      <c r="AO607" s="697"/>
      <c r="AP607" s="697"/>
      <c r="AQ607" s="697"/>
      <c r="AR607" s="697"/>
      <c r="AS607" s="697"/>
      <c r="AT607" s="697"/>
      <c r="AU607" s="697"/>
      <c r="AV607" s="697"/>
      <c r="AW607" s="697"/>
      <c r="AX607" s="697"/>
      <c r="AY607" s="697"/>
      <c r="AZ607" s="697"/>
      <c r="BA607" s="697"/>
      <c r="BB607" s="697"/>
      <c r="BC607" s="697"/>
      <c r="BD607" s="697"/>
      <c r="BE607" s="697"/>
      <c r="BF607" s="697"/>
      <c r="BG607" s="697"/>
      <c r="BH607" s="697"/>
      <c r="BI607" s="697"/>
      <c r="BJ607" s="697"/>
      <c r="BK607" s="697"/>
      <c r="BL607" s="697"/>
      <c r="BM607" s="697"/>
      <c r="BN607" s="697"/>
      <c r="BO607" s="697"/>
      <c r="BP607" s="697"/>
      <c r="BQ607" s="697"/>
      <c r="BR607" s="697"/>
      <c r="BS607" s="697"/>
      <c r="BT607" s="697"/>
      <c r="BU607" s="697"/>
      <c r="BV607" s="697"/>
      <c r="BW607" s="697"/>
      <c r="BX607" s="697"/>
      <c r="BY607" s="697"/>
      <c r="BZ607" s="697"/>
      <c r="CA607" s="697"/>
      <c r="CB607" s="697"/>
      <c r="CC607" s="697"/>
      <c r="CD607" s="697"/>
      <c r="CE607" s="697"/>
      <c r="CF607" s="697"/>
      <c r="CG607" s="697"/>
      <c r="CH607" s="697"/>
      <c r="CI607" s="697"/>
      <c r="CJ607" s="697"/>
      <c r="CK607" s="697"/>
      <c r="CL607" s="697"/>
      <c r="CM607" s="697"/>
      <c r="CN607" s="697"/>
      <c r="CO607" s="697"/>
      <c r="CP607" s="697"/>
      <c r="CQ607" s="697"/>
      <c r="CR607" s="697"/>
      <c r="CS607" s="697"/>
      <c r="CT607" s="697"/>
      <c r="CU607" s="697"/>
      <c r="CV607" s="697"/>
      <c r="CW607" s="697"/>
      <c r="CX607" s="697"/>
      <c r="CY607" s="697"/>
      <c r="CZ607" s="697"/>
      <c r="DA607" s="697"/>
    </row>
    <row r="608" spans="1:105" hidden="1" outlineLevel="1" x14ac:dyDescent="0.2">
      <c r="A608" s="709">
        <f t="shared" si="107"/>
        <v>40725</v>
      </c>
      <c r="B608" s="709" t="str">
        <f t="shared" si="104"/>
        <v>3Q11</v>
      </c>
      <c r="C608" s="709" t="str">
        <f t="shared" si="108"/>
        <v>3Q11</v>
      </c>
      <c r="D608" s="710">
        <f t="shared" si="110"/>
        <v>40809</v>
      </c>
      <c r="E608" s="710">
        <f t="shared" si="110"/>
        <v>40749</v>
      </c>
      <c r="F608" s="712">
        <v>3.9489999999999998</v>
      </c>
      <c r="G608" s="713">
        <f t="shared" si="105"/>
        <v>0.56000000000000028</v>
      </c>
      <c r="H608" s="713">
        <f t="shared" si="106"/>
        <v>0.56000000000000028</v>
      </c>
      <c r="I608" s="697"/>
      <c r="J608" s="697"/>
      <c r="K608" s="697"/>
      <c r="L608" s="697"/>
      <c r="M608" s="697"/>
      <c r="N608" s="697"/>
      <c r="O608" s="697"/>
      <c r="P608" s="697"/>
      <c r="Q608" s="697"/>
      <c r="R608" s="697"/>
      <c r="S608" s="697"/>
      <c r="T608" s="697"/>
      <c r="U608" s="697"/>
      <c r="V608" s="697"/>
      <c r="W608" s="697"/>
      <c r="X608" s="697"/>
      <c r="Y608" s="697"/>
      <c r="Z608" s="697"/>
      <c r="AA608" s="697"/>
      <c r="AB608" s="697"/>
      <c r="AC608" s="697"/>
      <c r="AD608" s="697"/>
      <c r="AE608" s="697"/>
      <c r="AF608" s="697"/>
      <c r="AG608" s="697"/>
      <c r="AH608" s="697"/>
      <c r="AI608" s="697"/>
      <c r="AJ608" s="697"/>
      <c r="AK608" s="697"/>
      <c r="AL608" s="697"/>
      <c r="AM608" s="697"/>
      <c r="AN608" s="697"/>
      <c r="AO608" s="697"/>
      <c r="AP608" s="697"/>
      <c r="AQ608" s="697"/>
      <c r="AR608" s="697"/>
      <c r="AS608" s="697"/>
      <c r="AT608" s="697"/>
      <c r="AU608" s="697"/>
      <c r="AV608" s="697"/>
      <c r="AW608" s="697"/>
      <c r="AX608" s="697"/>
      <c r="AY608" s="697"/>
      <c r="AZ608" s="697"/>
      <c r="BA608" s="697"/>
      <c r="BB608" s="697"/>
      <c r="BC608" s="697"/>
      <c r="BD608" s="697"/>
      <c r="BE608" s="697"/>
      <c r="BF608" s="697"/>
      <c r="BG608" s="697"/>
      <c r="BH608" s="697"/>
      <c r="BI608" s="697"/>
      <c r="BJ608" s="697"/>
      <c r="BK608" s="697"/>
      <c r="BL608" s="697"/>
      <c r="BM608" s="697"/>
      <c r="BN608" s="697"/>
      <c r="BO608" s="697"/>
      <c r="BP608" s="697"/>
      <c r="BQ608" s="697"/>
      <c r="BR608" s="697"/>
      <c r="BS608" s="697"/>
      <c r="BT608" s="697"/>
      <c r="BU608" s="697"/>
      <c r="BV608" s="697"/>
      <c r="BW608" s="697"/>
      <c r="BX608" s="697"/>
      <c r="BY608" s="697"/>
      <c r="BZ608" s="697"/>
      <c r="CA608" s="697"/>
      <c r="CB608" s="697"/>
      <c r="CC608" s="697"/>
      <c r="CD608" s="697"/>
      <c r="CE608" s="697"/>
      <c r="CF608" s="697"/>
      <c r="CG608" s="697"/>
      <c r="CH608" s="697"/>
      <c r="CI608" s="697"/>
      <c r="CJ608" s="697"/>
      <c r="CK608" s="697"/>
      <c r="CL608" s="697"/>
      <c r="CM608" s="697"/>
      <c r="CN608" s="697"/>
      <c r="CO608" s="697"/>
      <c r="CP608" s="697"/>
      <c r="CQ608" s="697"/>
      <c r="CR608" s="697"/>
      <c r="CS608" s="697"/>
      <c r="CT608" s="697"/>
      <c r="CU608" s="697"/>
      <c r="CV608" s="697"/>
      <c r="CW608" s="697"/>
      <c r="CX608" s="697"/>
      <c r="CY608" s="697"/>
      <c r="CZ608" s="697"/>
      <c r="DA608" s="697"/>
    </row>
    <row r="609" spans="1:105" hidden="1" outlineLevel="1" x14ac:dyDescent="0.2">
      <c r="A609" s="709">
        <f t="shared" si="107"/>
        <v>40756</v>
      </c>
      <c r="B609" s="709" t="str">
        <f t="shared" si="104"/>
        <v>3Q11</v>
      </c>
      <c r="C609" s="709" t="str">
        <f t="shared" si="108"/>
        <v>3Q11</v>
      </c>
      <c r="D609" s="710">
        <f t="shared" si="110"/>
        <v>40816</v>
      </c>
      <c r="E609" s="710">
        <f t="shared" si="110"/>
        <v>40756</v>
      </c>
      <c r="F609" s="712">
        <v>3.9369999999999998</v>
      </c>
      <c r="G609" s="713">
        <f t="shared" si="105"/>
        <v>0.56000000000000028</v>
      </c>
      <c r="H609" s="713">
        <f t="shared" si="106"/>
        <v>0.55000000000000027</v>
      </c>
      <c r="I609" s="697"/>
      <c r="J609" s="697"/>
      <c r="K609" s="697"/>
      <c r="L609" s="697"/>
      <c r="M609" s="697"/>
      <c r="N609" s="697"/>
      <c r="O609" s="697"/>
      <c r="P609" s="697"/>
      <c r="Q609" s="697"/>
      <c r="R609" s="697"/>
      <c r="S609" s="697"/>
      <c r="T609" s="697"/>
      <c r="U609" s="697"/>
      <c r="V609" s="697"/>
      <c r="W609" s="697"/>
      <c r="X609" s="697"/>
      <c r="Y609" s="697"/>
      <c r="Z609" s="697"/>
      <c r="AA609" s="697"/>
      <c r="AB609" s="697"/>
      <c r="AC609" s="697"/>
      <c r="AD609" s="697"/>
      <c r="AE609" s="697"/>
      <c r="AF609" s="697"/>
      <c r="AG609" s="697"/>
      <c r="AH609" s="697"/>
      <c r="AI609" s="697"/>
      <c r="AJ609" s="697"/>
      <c r="AK609" s="697"/>
      <c r="AL609" s="697"/>
      <c r="AM609" s="697"/>
      <c r="AN609" s="697"/>
      <c r="AO609" s="697"/>
      <c r="AP609" s="697"/>
      <c r="AQ609" s="697"/>
      <c r="AR609" s="697"/>
      <c r="AS609" s="697"/>
      <c r="AT609" s="697"/>
      <c r="AU609" s="697"/>
      <c r="AV609" s="697"/>
      <c r="AW609" s="697"/>
      <c r="AX609" s="697"/>
      <c r="AY609" s="697"/>
      <c r="AZ609" s="697"/>
      <c r="BA609" s="697"/>
      <c r="BB609" s="697"/>
      <c r="BC609" s="697"/>
      <c r="BD609" s="697"/>
      <c r="BE609" s="697"/>
      <c r="BF609" s="697"/>
      <c r="BG609" s="697"/>
      <c r="BH609" s="697"/>
      <c r="BI609" s="697"/>
      <c r="BJ609" s="697"/>
      <c r="BK609" s="697"/>
      <c r="BL609" s="697"/>
      <c r="BM609" s="697"/>
      <c r="BN609" s="697"/>
      <c r="BO609" s="697"/>
      <c r="BP609" s="697"/>
      <c r="BQ609" s="697"/>
      <c r="BR609" s="697"/>
      <c r="BS609" s="697"/>
      <c r="BT609" s="697"/>
      <c r="BU609" s="697"/>
      <c r="BV609" s="697"/>
      <c r="BW609" s="697"/>
      <c r="BX609" s="697"/>
      <c r="BY609" s="697"/>
      <c r="BZ609" s="697"/>
      <c r="CA609" s="697"/>
      <c r="CB609" s="697"/>
      <c r="CC609" s="697"/>
      <c r="CD609" s="697"/>
      <c r="CE609" s="697"/>
      <c r="CF609" s="697"/>
      <c r="CG609" s="697"/>
      <c r="CH609" s="697"/>
      <c r="CI609" s="697"/>
      <c r="CJ609" s="697"/>
      <c r="CK609" s="697"/>
      <c r="CL609" s="697"/>
      <c r="CM609" s="697"/>
      <c r="CN609" s="697"/>
      <c r="CO609" s="697"/>
      <c r="CP609" s="697"/>
      <c r="CQ609" s="697"/>
      <c r="CR609" s="697"/>
      <c r="CS609" s="697"/>
      <c r="CT609" s="697"/>
      <c r="CU609" s="697"/>
      <c r="CV609" s="697"/>
      <c r="CW609" s="697"/>
      <c r="CX609" s="697"/>
      <c r="CY609" s="697"/>
      <c r="CZ609" s="697"/>
      <c r="DA609" s="697"/>
    </row>
    <row r="610" spans="1:105" hidden="1" outlineLevel="1" x14ac:dyDescent="0.2">
      <c r="A610" s="709">
        <f t="shared" si="107"/>
        <v>40756</v>
      </c>
      <c r="B610" s="709" t="str">
        <f t="shared" si="104"/>
        <v>3Q11</v>
      </c>
      <c r="C610" s="709" t="str">
        <f t="shared" si="108"/>
        <v>4Q11</v>
      </c>
      <c r="D610" s="710">
        <f t="shared" si="110"/>
        <v>40823</v>
      </c>
      <c r="E610" s="710">
        <f t="shared" si="110"/>
        <v>40763</v>
      </c>
      <c r="F610" s="712">
        <v>3.8969999999999998</v>
      </c>
      <c r="G610" s="713">
        <f t="shared" si="105"/>
        <v>0.55000000000000027</v>
      </c>
      <c r="H610" s="713">
        <f t="shared" si="106"/>
        <v>0.54000000000000026</v>
      </c>
      <c r="I610" s="697"/>
      <c r="J610" s="697"/>
      <c r="K610" s="697"/>
      <c r="L610" s="697"/>
      <c r="M610" s="697"/>
      <c r="N610" s="697"/>
      <c r="O610" s="697"/>
      <c r="P610" s="697"/>
      <c r="Q610" s="697"/>
      <c r="R610" s="697"/>
      <c r="S610" s="697"/>
      <c r="T610" s="697"/>
      <c r="U610" s="697"/>
      <c r="V610" s="697"/>
      <c r="W610" s="697"/>
      <c r="X610" s="697"/>
      <c r="Y610" s="697"/>
      <c r="Z610" s="697"/>
      <c r="AA610" s="697"/>
      <c r="AB610" s="697"/>
      <c r="AC610" s="697"/>
      <c r="AD610" s="697"/>
      <c r="AE610" s="697"/>
      <c r="AF610" s="697"/>
      <c r="AG610" s="697"/>
      <c r="AH610" s="697"/>
      <c r="AI610" s="697"/>
      <c r="AJ610" s="697"/>
      <c r="AK610" s="697"/>
      <c r="AL610" s="697"/>
      <c r="AM610" s="697"/>
      <c r="AN610" s="697"/>
      <c r="AO610" s="697"/>
      <c r="AP610" s="697"/>
      <c r="AQ610" s="697"/>
      <c r="AR610" s="697"/>
      <c r="AS610" s="697"/>
      <c r="AT610" s="697"/>
      <c r="AU610" s="697"/>
      <c r="AV610" s="697"/>
      <c r="AW610" s="697"/>
      <c r="AX610" s="697"/>
      <c r="AY610" s="697"/>
      <c r="AZ610" s="697"/>
      <c r="BA610" s="697"/>
      <c r="BB610" s="697"/>
      <c r="BC610" s="697"/>
      <c r="BD610" s="697"/>
      <c r="BE610" s="697"/>
      <c r="BF610" s="697"/>
      <c r="BG610" s="697"/>
      <c r="BH610" s="697"/>
      <c r="BI610" s="697"/>
      <c r="BJ610" s="697"/>
      <c r="BK610" s="697"/>
      <c r="BL610" s="697"/>
      <c r="BM610" s="697"/>
      <c r="BN610" s="697"/>
      <c r="BO610" s="697"/>
      <c r="BP610" s="697"/>
      <c r="BQ610" s="697"/>
      <c r="BR610" s="697"/>
      <c r="BS610" s="697"/>
      <c r="BT610" s="697"/>
      <c r="BU610" s="697"/>
      <c r="BV610" s="697"/>
      <c r="BW610" s="697"/>
      <c r="BX610" s="697"/>
      <c r="BY610" s="697"/>
      <c r="BZ610" s="697"/>
      <c r="CA610" s="697"/>
      <c r="CB610" s="697"/>
      <c r="CC610" s="697"/>
      <c r="CD610" s="697"/>
      <c r="CE610" s="697"/>
      <c r="CF610" s="697"/>
      <c r="CG610" s="697"/>
      <c r="CH610" s="697"/>
      <c r="CI610" s="697"/>
      <c r="CJ610" s="697"/>
      <c r="CK610" s="697"/>
      <c r="CL610" s="697"/>
      <c r="CM610" s="697"/>
      <c r="CN610" s="697"/>
      <c r="CO610" s="697"/>
      <c r="CP610" s="697"/>
      <c r="CQ610" s="697"/>
      <c r="CR610" s="697"/>
      <c r="CS610" s="697"/>
      <c r="CT610" s="697"/>
      <c r="CU610" s="697"/>
      <c r="CV610" s="697"/>
      <c r="CW610" s="697"/>
      <c r="CX610" s="697"/>
      <c r="CY610" s="697"/>
      <c r="CZ610" s="697"/>
      <c r="DA610" s="697"/>
    </row>
    <row r="611" spans="1:105" hidden="1" outlineLevel="1" x14ac:dyDescent="0.2">
      <c r="A611" s="709">
        <f t="shared" si="107"/>
        <v>40756</v>
      </c>
      <c r="B611" s="709" t="str">
        <f t="shared" si="104"/>
        <v>3Q11</v>
      </c>
      <c r="C611" s="709" t="str">
        <f t="shared" si="108"/>
        <v>4Q11</v>
      </c>
      <c r="D611" s="710">
        <f t="shared" si="110"/>
        <v>40830</v>
      </c>
      <c r="E611" s="710">
        <f t="shared" si="110"/>
        <v>40770</v>
      </c>
      <c r="F611" s="712">
        <v>3.835</v>
      </c>
      <c r="G611" s="713">
        <f t="shared" si="105"/>
        <v>0.54000000000000026</v>
      </c>
      <c r="H611" s="713">
        <f t="shared" si="106"/>
        <v>0.54000000000000026</v>
      </c>
      <c r="I611" s="697"/>
      <c r="J611" s="697"/>
      <c r="K611" s="697"/>
      <c r="L611" s="697"/>
      <c r="M611" s="697"/>
      <c r="N611" s="697"/>
      <c r="O611" s="697"/>
      <c r="P611" s="697"/>
      <c r="Q611" s="697"/>
      <c r="R611" s="697"/>
      <c r="S611" s="697"/>
      <c r="T611" s="697"/>
      <c r="U611" s="697"/>
      <c r="V611" s="697"/>
      <c r="W611" s="697"/>
      <c r="X611" s="697"/>
      <c r="Y611" s="697"/>
      <c r="Z611" s="697"/>
      <c r="AA611" s="697"/>
      <c r="AB611" s="697"/>
      <c r="AC611" s="697"/>
      <c r="AD611" s="697"/>
      <c r="AE611" s="697"/>
      <c r="AF611" s="697"/>
      <c r="AG611" s="697"/>
      <c r="AH611" s="697"/>
      <c r="AI611" s="697"/>
      <c r="AJ611" s="697"/>
      <c r="AK611" s="697"/>
      <c r="AL611" s="697"/>
      <c r="AM611" s="697"/>
      <c r="AN611" s="697"/>
      <c r="AO611" s="697"/>
      <c r="AP611" s="697"/>
      <c r="AQ611" s="697"/>
      <c r="AR611" s="697"/>
      <c r="AS611" s="697"/>
      <c r="AT611" s="697"/>
      <c r="AU611" s="697"/>
      <c r="AV611" s="697"/>
      <c r="AW611" s="697"/>
      <c r="AX611" s="697"/>
      <c r="AY611" s="697"/>
      <c r="AZ611" s="697"/>
      <c r="BA611" s="697"/>
      <c r="BB611" s="697"/>
      <c r="BC611" s="697"/>
      <c r="BD611" s="697"/>
      <c r="BE611" s="697"/>
      <c r="BF611" s="697"/>
      <c r="BG611" s="697"/>
      <c r="BH611" s="697"/>
      <c r="BI611" s="697"/>
      <c r="BJ611" s="697"/>
      <c r="BK611" s="697"/>
      <c r="BL611" s="697"/>
      <c r="BM611" s="697"/>
      <c r="BN611" s="697"/>
      <c r="BO611" s="697"/>
      <c r="BP611" s="697"/>
      <c r="BQ611" s="697"/>
      <c r="BR611" s="697"/>
      <c r="BS611" s="697"/>
      <c r="BT611" s="697"/>
      <c r="BU611" s="697"/>
      <c r="BV611" s="697"/>
      <c r="BW611" s="697"/>
      <c r="BX611" s="697"/>
      <c r="BY611" s="697"/>
      <c r="BZ611" s="697"/>
      <c r="CA611" s="697"/>
      <c r="CB611" s="697"/>
      <c r="CC611" s="697"/>
      <c r="CD611" s="697"/>
      <c r="CE611" s="697"/>
      <c r="CF611" s="697"/>
      <c r="CG611" s="697"/>
      <c r="CH611" s="697"/>
      <c r="CI611" s="697"/>
      <c r="CJ611" s="697"/>
      <c r="CK611" s="697"/>
      <c r="CL611" s="697"/>
      <c r="CM611" s="697"/>
      <c r="CN611" s="697"/>
      <c r="CO611" s="697"/>
      <c r="CP611" s="697"/>
      <c r="CQ611" s="697"/>
      <c r="CR611" s="697"/>
      <c r="CS611" s="697"/>
      <c r="CT611" s="697"/>
      <c r="CU611" s="697"/>
      <c r="CV611" s="697"/>
      <c r="CW611" s="697"/>
      <c r="CX611" s="697"/>
      <c r="CY611" s="697"/>
      <c r="CZ611" s="697"/>
      <c r="DA611" s="697"/>
    </row>
    <row r="612" spans="1:105" hidden="1" outlineLevel="1" x14ac:dyDescent="0.2">
      <c r="A612" s="709">
        <f t="shared" si="107"/>
        <v>40756</v>
      </c>
      <c r="B612" s="709" t="str">
        <f t="shared" si="104"/>
        <v>3Q11</v>
      </c>
      <c r="C612" s="709" t="str">
        <f t="shared" si="108"/>
        <v>4Q11</v>
      </c>
      <c r="D612" s="710">
        <f t="shared" si="110"/>
        <v>40837</v>
      </c>
      <c r="E612" s="710">
        <f t="shared" si="110"/>
        <v>40777</v>
      </c>
      <c r="F612" s="712">
        <v>3.81</v>
      </c>
      <c r="G612" s="713">
        <f t="shared" si="105"/>
        <v>0.54000000000000026</v>
      </c>
      <c r="H612" s="713">
        <f t="shared" si="106"/>
        <v>0.54000000000000026</v>
      </c>
      <c r="I612" s="697"/>
      <c r="J612" s="697"/>
      <c r="K612" s="697"/>
      <c r="L612" s="697"/>
      <c r="M612" s="697"/>
      <c r="N612" s="697"/>
      <c r="O612" s="697"/>
      <c r="P612" s="697"/>
      <c r="Q612" s="697"/>
      <c r="R612" s="697"/>
      <c r="S612" s="697"/>
      <c r="T612" s="697"/>
      <c r="U612" s="697"/>
      <c r="V612" s="697"/>
      <c r="W612" s="697"/>
      <c r="X612" s="697"/>
      <c r="Y612" s="697"/>
      <c r="Z612" s="697"/>
      <c r="AA612" s="697"/>
      <c r="AB612" s="697"/>
      <c r="AC612" s="697"/>
      <c r="AD612" s="697"/>
      <c r="AE612" s="697"/>
      <c r="AF612" s="697"/>
      <c r="AG612" s="697"/>
      <c r="AH612" s="697"/>
      <c r="AI612" s="697"/>
      <c r="AJ612" s="697"/>
      <c r="AK612" s="697"/>
      <c r="AL612" s="697"/>
      <c r="AM612" s="697"/>
      <c r="AN612" s="697"/>
      <c r="AO612" s="697"/>
      <c r="AP612" s="697"/>
      <c r="AQ612" s="697"/>
      <c r="AR612" s="697"/>
      <c r="AS612" s="697"/>
      <c r="AT612" s="697"/>
      <c r="AU612" s="697"/>
      <c r="AV612" s="697"/>
      <c r="AW612" s="697"/>
      <c r="AX612" s="697"/>
      <c r="AY612" s="697"/>
      <c r="AZ612" s="697"/>
      <c r="BA612" s="697"/>
      <c r="BB612" s="697"/>
      <c r="BC612" s="697"/>
      <c r="BD612" s="697"/>
      <c r="BE612" s="697"/>
      <c r="BF612" s="697"/>
      <c r="BG612" s="697"/>
      <c r="BH612" s="697"/>
      <c r="BI612" s="697"/>
      <c r="BJ612" s="697"/>
      <c r="BK612" s="697"/>
      <c r="BL612" s="697"/>
      <c r="BM612" s="697"/>
      <c r="BN612" s="697"/>
      <c r="BO612" s="697"/>
      <c r="BP612" s="697"/>
      <c r="BQ612" s="697"/>
      <c r="BR612" s="697"/>
      <c r="BS612" s="697"/>
      <c r="BT612" s="697"/>
      <c r="BU612" s="697"/>
      <c r="BV612" s="697"/>
      <c r="BW612" s="697"/>
      <c r="BX612" s="697"/>
      <c r="BY612" s="697"/>
      <c r="BZ612" s="697"/>
      <c r="CA612" s="697"/>
      <c r="CB612" s="697"/>
      <c r="CC612" s="697"/>
      <c r="CD612" s="697"/>
      <c r="CE612" s="697"/>
      <c r="CF612" s="697"/>
      <c r="CG612" s="697"/>
      <c r="CH612" s="697"/>
      <c r="CI612" s="697"/>
      <c r="CJ612" s="697"/>
      <c r="CK612" s="697"/>
      <c r="CL612" s="697"/>
      <c r="CM612" s="697"/>
      <c r="CN612" s="697"/>
      <c r="CO612" s="697"/>
      <c r="CP612" s="697"/>
      <c r="CQ612" s="697"/>
      <c r="CR612" s="697"/>
      <c r="CS612" s="697"/>
      <c r="CT612" s="697"/>
      <c r="CU612" s="697"/>
      <c r="CV612" s="697"/>
      <c r="CW612" s="697"/>
      <c r="CX612" s="697"/>
      <c r="CY612" s="697"/>
      <c r="CZ612" s="697"/>
      <c r="DA612" s="697"/>
    </row>
    <row r="613" spans="1:105" hidden="1" outlineLevel="1" x14ac:dyDescent="0.2">
      <c r="A613" s="709">
        <f t="shared" si="107"/>
        <v>40756</v>
      </c>
      <c r="B613" s="709" t="str">
        <f t="shared" si="104"/>
        <v>3Q11</v>
      </c>
      <c r="C613" s="709" t="str">
        <f t="shared" si="108"/>
        <v>4Q11</v>
      </c>
      <c r="D613" s="710">
        <f t="shared" ref="D613:E628" si="111">D612+7</f>
        <v>40844</v>
      </c>
      <c r="E613" s="710">
        <f t="shared" si="111"/>
        <v>40784</v>
      </c>
      <c r="F613" s="712">
        <v>3.82</v>
      </c>
      <c r="G613" s="713">
        <f t="shared" si="105"/>
        <v>0.54000000000000026</v>
      </c>
      <c r="H613" s="713">
        <f t="shared" si="106"/>
        <v>0.55000000000000027</v>
      </c>
      <c r="I613" s="697"/>
      <c r="J613" s="697"/>
      <c r="K613" s="697"/>
      <c r="L613" s="697"/>
      <c r="M613" s="697"/>
      <c r="N613" s="697"/>
      <c r="O613" s="697"/>
      <c r="P613" s="697"/>
      <c r="Q613" s="697"/>
      <c r="R613" s="697"/>
      <c r="S613" s="697"/>
      <c r="T613" s="697"/>
      <c r="U613" s="697"/>
      <c r="V613" s="697"/>
      <c r="W613" s="697"/>
      <c r="X613" s="697"/>
      <c r="Y613" s="697"/>
      <c r="Z613" s="697"/>
      <c r="AA613" s="697"/>
      <c r="AB613" s="697"/>
      <c r="AC613" s="697"/>
      <c r="AD613" s="697"/>
      <c r="AE613" s="697"/>
      <c r="AF613" s="697"/>
      <c r="AG613" s="697"/>
      <c r="AH613" s="697"/>
      <c r="AI613" s="697"/>
      <c r="AJ613" s="697"/>
      <c r="AK613" s="697"/>
      <c r="AL613" s="697"/>
      <c r="AM613" s="697"/>
      <c r="AN613" s="697"/>
      <c r="AO613" s="697"/>
      <c r="AP613" s="697"/>
      <c r="AQ613" s="697"/>
      <c r="AR613" s="697"/>
      <c r="AS613" s="697"/>
      <c r="AT613" s="697"/>
      <c r="AU613" s="697"/>
      <c r="AV613" s="697"/>
      <c r="AW613" s="697"/>
      <c r="AX613" s="697"/>
      <c r="AY613" s="697"/>
      <c r="AZ613" s="697"/>
      <c r="BA613" s="697"/>
      <c r="BB613" s="697"/>
      <c r="BC613" s="697"/>
      <c r="BD613" s="697"/>
      <c r="BE613" s="697"/>
      <c r="BF613" s="697"/>
      <c r="BG613" s="697"/>
      <c r="BH613" s="697"/>
      <c r="BI613" s="697"/>
      <c r="BJ613" s="697"/>
      <c r="BK613" s="697"/>
      <c r="BL613" s="697"/>
      <c r="BM613" s="697"/>
      <c r="BN613" s="697"/>
      <c r="BO613" s="697"/>
      <c r="BP613" s="697"/>
      <c r="BQ613" s="697"/>
      <c r="BR613" s="697"/>
      <c r="BS613" s="697"/>
      <c r="BT613" s="697"/>
      <c r="BU613" s="697"/>
      <c r="BV613" s="697"/>
      <c r="BW613" s="697"/>
      <c r="BX613" s="697"/>
      <c r="BY613" s="697"/>
      <c r="BZ613" s="697"/>
      <c r="CA613" s="697"/>
      <c r="CB613" s="697"/>
      <c r="CC613" s="697"/>
      <c r="CD613" s="697"/>
      <c r="CE613" s="697"/>
      <c r="CF613" s="697"/>
      <c r="CG613" s="697"/>
      <c r="CH613" s="697"/>
      <c r="CI613" s="697"/>
      <c r="CJ613" s="697"/>
      <c r="CK613" s="697"/>
      <c r="CL613" s="697"/>
      <c r="CM613" s="697"/>
      <c r="CN613" s="697"/>
      <c r="CO613" s="697"/>
      <c r="CP613" s="697"/>
      <c r="CQ613" s="697"/>
      <c r="CR613" s="697"/>
      <c r="CS613" s="697"/>
      <c r="CT613" s="697"/>
      <c r="CU613" s="697"/>
      <c r="CV613" s="697"/>
      <c r="CW613" s="697"/>
      <c r="CX613" s="697"/>
      <c r="CY613" s="697"/>
      <c r="CZ613" s="697"/>
      <c r="DA613" s="697"/>
    </row>
    <row r="614" spans="1:105" hidden="1" outlineLevel="1" x14ac:dyDescent="0.2">
      <c r="A614" s="709">
        <f t="shared" si="107"/>
        <v>40787</v>
      </c>
      <c r="B614" s="709" t="str">
        <f t="shared" si="104"/>
        <v>3Q11</v>
      </c>
      <c r="C614" s="709" t="str">
        <f t="shared" si="108"/>
        <v>4Q11</v>
      </c>
      <c r="D614" s="710">
        <f t="shared" si="111"/>
        <v>40851</v>
      </c>
      <c r="E614" s="710">
        <f t="shared" si="111"/>
        <v>40791</v>
      </c>
      <c r="F614" s="712">
        <v>3.8679999999999999</v>
      </c>
      <c r="G614" s="713">
        <f t="shared" si="105"/>
        <v>0.55000000000000027</v>
      </c>
      <c r="H614" s="713">
        <f t="shared" si="106"/>
        <v>0.55000000000000027</v>
      </c>
      <c r="I614" s="697"/>
      <c r="J614" s="697"/>
      <c r="K614" s="697"/>
      <c r="L614" s="697"/>
      <c r="M614" s="697"/>
      <c r="N614" s="697"/>
      <c r="O614" s="697"/>
      <c r="P614" s="697"/>
      <c r="Q614" s="697"/>
      <c r="R614" s="697"/>
      <c r="S614" s="697"/>
      <c r="T614" s="697"/>
      <c r="U614" s="697"/>
      <c r="V614" s="697"/>
      <c r="W614" s="697"/>
      <c r="X614" s="697"/>
      <c r="Y614" s="697"/>
      <c r="Z614" s="697"/>
      <c r="AA614" s="697"/>
      <c r="AB614" s="697"/>
      <c r="AC614" s="697"/>
      <c r="AD614" s="697"/>
      <c r="AE614" s="697"/>
      <c r="AF614" s="697"/>
      <c r="AG614" s="697"/>
      <c r="AH614" s="697"/>
      <c r="AI614" s="697"/>
      <c r="AJ614" s="697"/>
      <c r="AK614" s="697"/>
      <c r="AL614" s="697"/>
      <c r="AM614" s="697"/>
      <c r="AN614" s="697"/>
      <c r="AO614" s="697"/>
      <c r="AP614" s="697"/>
      <c r="AQ614" s="697"/>
      <c r="AR614" s="697"/>
      <c r="AS614" s="697"/>
      <c r="AT614" s="697"/>
      <c r="AU614" s="697"/>
      <c r="AV614" s="697"/>
      <c r="AW614" s="697"/>
      <c r="AX614" s="697"/>
      <c r="AY614" s="697"/>
      <c r="AZ614" s="697"/>
      <c r="BA614" s="697"/>
      <c r="BB614" s="697"/>
      <c r="BC614" s="697"/>
      <c r="BD614" s="697"/>
      <c r="BE614" s="697"/>
      <c r="BF614" s="697"/>
      <c r="BG614" s="697"/>
      <c r="BH614" s="697"/>
      <c r="BI614" s="697"/>
      <c r="BJ614" s="697"/>
      <c r="BK614" s="697"/>
      <c r="BL614" s="697"/>
      <c r="BM614" s="697"/>
      <c r="BN614" s="697"/>
      <c r="BO614" s="697"/>
      <c r="BP614" s="697"/>
      <c r="BQ614" s="697"/>
      <c r="BR614" s="697"/>
      <c r="BS614" s="697"/>
      <c r="BT614" s="697"/>
      <c r="BU614" s="697"/>
      <c r="BV614" s="697"/>
      <c r="BW614" s="697"/>
      <c r="BX614" s="697"/>
      <c r="BY614" s="697"/>
      <c r="BZ614" s="697"/>
      <c r="CA614" s="697"/>
      <c r="CB614" s="697"/>
      <c r="CC614" s="697"/>
      <c r="CD614" s="697"/>
      <c r="CE614" s="697"/>
      <c r="CF614" s="697"/>
      <c r="CG614" s="697"/>
      <c r="CH614" s="697"/>
      <c r="CI614" s="697"/>
      <c r="CJ614" s="697"/>
      <c r="CK614" s="697"/>
      <c r="CL614" s="697"/>
      <c r="CM614" s="697"/>
      <c r="CN614" s="697"/>
      <c r="CO614" s="697"/>
      <c r="CP614" s="697"/>
      <c r="CQ614" s="697"/>
      <c r="CR614" s="697"/>
      <c r="CS614" s="697"/>
      <c r="CT614" s="697"/>
      <c r="CU614" s="697"/>
      <c r="CV614" s="697"/>
      <c r="CW614" s="697"/>
      <c r="CX614" s="697"/>
      <c r="CY614" s="697"/>
      <c r="CZ614" s="697"/>
      <c r="DA614" s="697"/>
    </row>
    <row r="615" spans="1:105" hidden="1" outlineLevel="1" x14ac:dyDescent="0.2">
      <c r="A615" s="709">
        <f t="shared" si="107"/>
        <v>40787</v>
      </c>
      <c r="B615" s="709" t="str">
        <f t="shared" si="104"/>
        <v>3Q11</v>
      </c>
      <c r="C615" s="709" t="str">
        <f t="shared" si="108"/>
        <v>4Q11</v>
      </c>
      <c r="D615" s="710">
        <f t="shared" si="111"/>
        <v>40858</v>
      </c>
      <c r="E615" s="710">
        <f t="shared" si="111"/>
        <v>40798</v>
      </c>
      <c r="F615" s="712">
        <v>3.8620000000000001</v>
      </c>
      <c r="G615" s="713">
        <f t="shared" si="105"/>
        <v>0.55000000000000027</v>
      </c>
      <c r="H615" s="713">
        <f t="shared" si="106"/>
        <v>0.54000000000000026</v>
      </c>
      <c r="I615" s="697"/>
      <c r="J615" s="697"/>
      <c r="K615" s="697"/>
      <c r="L615" s="697"/>
      <c r="M615" s="697"/>
      <c r="N615" s="697"/>
      <c r="O615" s="697"/>
      <c r="P615" s="697"/>
      <c r="Q615" s="697"/>
      <c r="R615" s="697"/>
      <c r="S615" s="697"/>
      <c r="T615" s="697"/>
      <c r="U615" s="697"/>
      <c r="V615" s="697"/>
      <c r="W615" s="697"/>
      <c r="X615" s="697"/>
      <c r="Y615" s="697"/>
      <c r="Z615" s="697"/>
      <c r="AA615" s="697"/>
      <c r="AB615" s="697"/>
      <c r="AC615" s="697"/>
      <c r="AD615" s="697"/>
      <c r="AE615" s="697"/>
      <c r="AF615" s="697"/>
      <c r="AG615" s="697"/>
      <c r="AH615" s="697"/>
      <c r="AI615" s="697"/>
      <c r="AJ615" s="697"/>
      <c r="AK615" s="697"/>
      <c r="AL615" s="697"/>
      <c r="AM615" s="697"/>
      <c r="AN615" s="697"/>
      <c r="AO615" s="697"/>
      <c r="AP615" s="697"/>
      <c r="AQ615" s="697"/>
      <c r="AR615" s="697"/>
      <c r="AS615" s="697"/>
      <c r="AT615" s="697"/>
      <c r="AU615" s="697"/>
      <c r="AV615" s="697"/>
      <c r="AW615" s="697"/>
      <c r="AX615" s="697"/>
      <c r="AY615" s="697"/>
      <c r="AZ615" s="697"/>
      <c r="BA615" s="697"/>
      <c r="BB615" s="697"/>
      <c r="BC615" s="697"/>
      <c r="BD615" s="697"/>
      <c r="BE615" s="697"/>
      <c r="BF615" s="697"/>
      <c r="BG615" s="697"/>
      <c r="BH615" s="697"/>
      <c r="BI615" s="697"/>
      <c r="BJ615" s="697"/>
      <c r="BK615" s="697"/>
      <c r="BL615" s="697"/>
      <c r="BM615" s="697"/>
      <c r="BN615" s="697"/>
      <c r="BO615" s="697"/>
      <c r="BP615" s="697"/>
      <c r="BQ615" s="697"/>
      <c r="BR615" s="697"/>
      <c r="BS615" s="697"/>
      <c r="BT615" s="697"/>
      <c r="BU615" s="697"/>
      <c r="BV615" s="697"/>
      <c r="BW615" s="697"/>
      <c r="BX615" s="697"/>
      <c r="BY615" s="697"/>
      <c r="BZ615" s="697"/>
      <c r="CA615" s="697"/>
      <c r="CB615" s="697"/>
      <c r="CC615" s="697"/>
      <c r="CD615" s="697"/>
      <c r="CE615" s="697"/>
      <c r="CF615" s="697"/>
      <c r="CG615" s="697"/>
      <c r="CH615" s="697"/>
      <c r="CI615" s="697"/>
      <c r="CJ615" s="697"/>
      <c r="CK615" s="697"/>
      <c r="CL615" s="697"/>
      <c r="CM615" s="697"/>
      <c r="CN615" s="697"/>
      <c r="CO615" s="697"/>
      <c r="CP615" s="697"/>
      <c r="CQ615" s="697"/>
      <c r="CR615" s="697"/>
      <c r="CS615" s="697"/>
      <c r="CT615" s="697"/>
      <c r="CU615" s="697"/>
      <c r="CV615" s="697"/>
      <c r="CW615" s="697"/>
      <c r="CX615" s="697"/>
      <c r="CY615" s="697"/>
      <c r="CZ615" s="697"/>
      <c r="DA615" s="697"/>
    </row>
    <row r="616" spans="1:105" hidden="1" outlineLevel="1" x14ac:dyDescent="0.2">
      <c r="A616" s="709">
        <f t="shared" si="107"/>
        <v>40787</v>
      </c>
      <c r="B616" s="709" t="str">
        <f t="shared" si="104"/>
        <v>3Q11</v>
      </c>
      <c r="C616" s="709" t="str">
        <f t="shared" si="108"/>
        <v>4Q11</v>
      </c>
      <c r="D616" s="710">
        <f t="shared" si="111"/>
        <v>40865</v>
      </c>
      <c r="E616" s="710">
        <f t="shared" si="111"/>
        <v>40805</v>
      </c>
      <c r="F616" s="712">
        <v>3.8330000000000002</v>
      </c>
      <c r="G616" s="713">
        <f t="shared" si="105"/>
        <v>0.54000000000000026</v>
      </c>
      <c r="H616" s="713">
        <f t="shared" si="106"/>
        <v>0.53000000000000025</v>
      </c>
      <c r="I616" s="697"/>
      <c r="J616" s="697"/>
      <c r="K616" s="697"/>
      <c r="L616" s="697"/>
      <c r="M616" s="697"/>
      <c r="N616" s="697"/>
      <c r="O616" s="697"/>
      <c r="P616" s="697"/>
      <c r="Q616" s="697"/>
      <c r="R616" s="697"/>
      <c r="S616" s="697"/>
      <c r="T616" s="697"/>
      <c r="U616" s="697"/>
      <c r="V616" s="697"/>
      <c r="W616" s="697"/>
      <c r="X616" s="697"/>
      <c r="Y616" s="697"/>
      <c r="Z616" s="697"/>
      <c r="AA616" s="697"/>
      <c r="AB616" s="697"/>
      <c r="AC616" s="697"/>
      <c r="AD616" s="697"/>
      <c r="AE616" s="697"/>
      <c r="AF616" s="697"/>
      <c r="AG616" s="697"/>
      <c r="AH616" s="697"/>
      <c r="AI616" s="697"/>
      <c r="AJ616" s="697"/>
      <c r="AK616" s="697"/>
      <c r="AL616" s="697"/>
      <c r="AM616" s="697"/>
      <c r="AN616" s="697"/>
      <c r="AO616" s="697"/>
      <c r="AP616" s="697"/>
      <c r="AQ616" s="697"/>
      <c r="AR616" s="697"/>
      <c r="AS616" s="697"/>
      <c r="AT616" s="697"/>
      <c r="AU616" s="697"/>
      <c r="AV616" s="697"/>
      <c r="AW616" s="697"/>
      <c r="AX616" s="697"/>
      <c r="AY616" s="697"/>
      <c r="AZ616" s="697"/>
      <c r="BA616" s="697"/>
      <c r="BB616" s="697"/>
      <c r="BC616" s="697"/>
      <c r="BD616" s="697"/>
      <c r="BE616" s="697"/>
      <c r="BF616" s="697"/>
      <c r="BG616" s="697"/>
      <c r="BH616" s="697"/>
      <c r="BI616" s="697"/>
      <c r="BJ616" s="697"/>
      <c r="BK616" s="697"/>
      <c r="BL616" s="697"/>
      <c r="BM616" s="697"/>
      <c r="BN616" s="697"/>
      <c r="BO616" s="697"/>
      <c r="BP616" s="697"/>
      <c r="BQ616" s="697"/>
      <c r="BR616" s="697"/>
      <c r="BS616" s="697"/>
      <c r="BT616" s="697"/>
      <c r="BU616" s="697"/>
      <c r="BV616" s="697"/>
      <c r="BW616" s="697"/>
      <c r="BX616" s="697"/>
      <c r="BY616" s="697"/>
      <c r="BZ616" s="697"/>
      <c r="CA616" s="697"/>
      <c r="CB616" s="697"/>
      <c r="CC616" s="697"/>
      <c r="CD616" s="697"/>
      <c r="CE616" s="697"/>
      <c r="CF616" s="697"/>
      <c r="CG616" s="697"/>
      <c r="CH616" s="697"/>
      <c r="CI616" s="697"/>
      <c r="CJ616" s="697"/>
      <c r="CK616" s="697"/>
      <c r="CL616" s="697"/>
      <c r="CM616" s="697"/>
      <c r="CN616" s="697"/>
      <c r="CO616" s="697"/>
      <c r="CP616" s="697"/>
      <c r="CQ616" s="697"/>
      <c r="CR616" s="697"/>
      <c r="CS616" s="697"/>
      <c r="CT616" s="697"/>
      <c r="CU616" s="697"/>
      <c r="CV616" s="697"/>
      <c r="CW616" s="697"/>
      <c r="CX616" s="697"/>
      <c r="CY616" s="697"/>
      <c r="CZ616" s="697"/>
      <c r="DA616" s="697"/>
    </row>
    <row r="617" spans="1:105" hidden="1" outlineLevel="1" x14ac:dyDescent="0.2">
      <c r="A617" s="709">
        <f t="shared" si="107"/>
        <v>40787</v>
      </c>
      <c r="B617" s="709" t="str">
        <f t="shared" si="104"/>
        <v>3Q11</v>
      </c>
      <c r="C617" s="709" t="str">
        <f t="shared" si="108"/>
        <v>4Q11</v>
      </c>
      <c r="D617" s="710">
        <f t="shared" si="111"/>
        <v>40872</v>
      </c>
      <c r="E617" s="710">
        <f t="shared" si="111"/>
        <v>40812</v>
      </c>
      <c r="F617" s="712">
        <v>3.786</v>
      </c>
      <c r="G617" s="713">
        <f t="shared" si="105"/>
        <v>0.53000000000000025</v>
      </c>
      <c r="H617" s="713">
        <f t="shared" si="106"/>
        <v>0.52000000000000024</v>
      </c>
      <c r="I617" s="697"/>
      <c r="J617" s="697"/>
      <c r="K617" s="697"/>
      <c r="L617" s="697"/>
      <c r="M617" s="697"/>
      <c r="N617" s="697"/>
      <c r="O617" s="697"/>
      <c r="P617" s="697"/>
      <c r="Q617" s="697"/>
      <c r="R617" s="697"/>
      <c r="S617" s="697"/>
      <c r="T617" s="697"/>
      <c r="U617" s="697"/>
      <c r="V617" s="697"/>
      <c r="W617" s="697"/>
      <c r="X617" s="697"/>
      <c r="Y617" s="697"/>
      <c r="Z617" s="697"/>
      <c r="AA617" s="697"/>
      <c r="AB617" s="697"/>
      <c r="AC617" s="697"/>
      <c r="AD617" s="697"/>
      <c r="AE617" s="697"/>
      <c r="AF617" s="697"/>
      <c r="AG617" s="697"/>
      <c r="AH617" s="697"/>
      <c r="AI617" s="697"/>
      <c r="AJ617" s="697"/>
      <c r="AK617" s="697"/>
      <c r="AL617" s="697"/>
      <c r="AM617" s="697"/>
      <c r="AN617" s="697"/>
      <c r="AO617" s="697"/>
      <c r="AP617" s="697"/>
      <c r="AQ617" s="697"/>
      <c r="AR617" s="697"/>
      <c r="AS617" s="697"/>
      <c r="AT617" s="697"/>
      <c r="AU617" s="697"/>
      <c r="AV617" s="697"/>
      <c r="AW617" s="697"/>
      <c r="AX617" s="697"/>
      <c r="AY617" s="697"/>
      <c r="AZ617" s="697"/>
      <c r="BA617" s="697"/>
      <c r="BB617" s="697"/>
      <c r="BC617" s="697"/>
      <c r="BD617" s="697"/>
      <c r="BE617" s="697"/>
      <c r="BF617" s="697"/>
      <c r="BG617" s="697"/>
      <c r="BH617" s="697"/>
      <c r="BI617" s="697"/>
      <c r="BJ617" s="697"/>
      <c r="BK617" s="697"/>
      <c r="BL617" s="697"/>
      <c r="BM617" s="697"/>
      <c r="BN617" s="697"/>
      <c r="BO617" s="697"/>
      <c r="BP617" s="697"/>
      <c r="BQ617" s="697"/>
      <c r="BR617" s="697"/>
      <c r="BS617" s="697"/>
      <c r="BT617" s="697"/>
      <c r="BU617" s="697"/>
      <c r="BV617" s="697"/>
      <c r="BW617" s="697"/>
      <c r="BX617" s="697"/>
      <c r="BY617" s="697"/>
      <c r="BZ617" s="697"/>
      <c r="CA617" s="697"/>
      <c r="CB617" s="697"/>
      <c r="CC617" s="697"/>
      <c r="CD617" s="697"/>
      <c r="CE617" s="697"/>
      <c r="CF617" s="697"/>
      <c r="CG617" s="697"/>
      <c r="CH617" s="697"/>
      <c r="CI617" s="697"/>
      <c r="CJ617" s="697"/>
      <c r="CK617" s="697"/>
      <c r="CL617" s="697"/>
      <c r="CM617" s="697"/>
      <c r="CN617" s="697"/>
      <c r="CO617" s="697"/>
      <c r="CP617" s="697"/>
      <c r="CQ617" s="697"/>
      <c r="CR617" s="697"/>
      <c r="CS617" s="697"/>
      <c r="CT617" s="697"/>
      <c r="CU617" s="697"/>
      <c r="CV617" s="697"/>
      <c r="CW617" s="697"/>
      <c r="CX617" s="697"/>
      <c r="CY617" s="697"/>
      <c r="CZ617" s="697"/>
      <c r="DA617" s="697"/>
    </row>
    <row r="618" spans="1:105" hidden="1" outlineLevel="1" x14ac:dyDescent="0.2">
      <c r="A618" s="709">
        <f t="shared" si="107"/>
        <v>40817</v>
      </c>
      <c r="B618" s="709" t="str">
        <f t="shared" si="104"/>
        <v>4Q11</v>
      </c>
      <c r="C618" s="709" t="str">
        <f t="shared" si="108"/>
        <v>4Q11</v>
      </c>
      <c r="D618" s="710">
        <f t="shared" si="111"/>
        <v>40879</v>
      </c>
      <c r="E618" s="710">
        <f t="shared" si="111"/>
        <v>40819</v>
      </c>
      <c r="F618" s="712">
        <v>3.7490000000000001</v>
      </c>
      <c r="G618" s="713">
        <f t="shared" si="105"/>
        <v>0.52000000000000024</v>
      </c>
      <c r="H618" s="713">
        <f t="shared" si="106"/>
        <v>0.52000000000000024</v>
      </c>
      <c r="I618" s="697"/>
      <c r="J618" s="697"/>
      <c r="K618" s="697"/>
      <c r="L618" s="697"/>
      <c r="M618" s="697"/>
      <c r="N618" s="697"/>
      <c r="O618" s="697"/>
      <c r="P618" s="697"/>
      <c r="Q618" s="697"/>
      <c r="R618" s="697"/>
      <c r="S618" s="697"/>
      <c r="T618" s="697"/>
      <c r="U618" s="697"/>
      <c r="V618" s="697"/>
      <c r="W618" s="697"/>
      <c r="X618" s="697"/>
      <c r="Y618" s="697"/>
      <c r="Z618" s="697"/>
      <c r="AA618" s="697"/>
      <c r="AB618" s="697"/>
      <c r="AC618" s="697"/>
      <c r="AD618" s="697"/>
      <c r="AE618" s="697"/>
      <c r="AF618" s="697"/>
      <c r="AG618" s="697"/>
      <c r="AH618" s="697"/>
      <c r="AI618" s="697"/>
      <c r="AJ618" s="697"/>
      <c r="AK618" s="697"/>
      <c r="AL618" s="697"/>
      <c r="AM618" s="697"/>
      <c r="AN618" s="697"/>
      <c r="AO618" s="697"/>
      <c r="AP618" s="697"/>
      <c r="AQ618" s="697"/>
      <c r="AR618" s="697"/>
      <c r="AS618" s="697"/>
      <c r="AT618" s="697"/>
      <c r="AU618" s="697"/>
      <c r="AV618" s="697"/>
      <c r="AW618" s="697"/>
      <c r="AX618" s="697"/>
      <c r="AY618" s="697"/>
      <c r="AZ618" s="697"/>
      <c r="BA618" s="697"/>
      <c r="BB618" s="697"/>
      <c r="BC618" s="697"/>
      <c r="BD618" s="697"/>
      <c r="BE618" s="697"/>
      <c r="BF618" s="697"/>
      <c r="BG618" s="697"/>
      <c r="BH618" s="697"/>
      <c r="BI618" s="697"/>
      <c r="BJ618" s="697"/>
      <c r="BK618" s="697"/>
      <c r="BL618" s="697"/>
      <c r="BM618" s="697"/>
      <c r="BN618" s="697"/>
      <c r="BO618" s="697"/>
      <c r="BP618" s="697"/>
      <c r="BQ618" s="697"/>
      <c r="BR618" s="697"/>
      <c r="BS618" s="697"/>
      <c r="BT618" s="697"/>
      <c r="BU618" s="697"/>
      <c r="BV618" s="697"/>
      <c r="BW618" s="697"/>
      <c r="BX618" s="697"/>
      <c r="BY618" s="697"/>
      <c r="BZ618" s="697"/>
      <c r="CA618" s="697"/>
      <c r="CB618" s="697"/>
      <c r="CC618" s="697"/>
      <c r="CD618" s="697"/>
      <c r="CE618" s="697"/>
      <c r="CF618" s="697"/>
      <c r="CG618" s="697"/>
      <c r="CH618" s="697"/>
      <c r="CI618" s="697"/>
      <c r="CJ618" s="697"/>
      <c r="CK618" s="697"/>
      <c r="CL618" s="697"/>
      <c r="CM618" s="697"/>
      <c r="CN618" s="697"/>
      <c r="CO618" s="697"/>
      <c r="CP618" s="697"/>
      <c r="CQ618" s="697"/>
      <c r="CR618" s="697"/>
      <c r="CS618" s="697"/>
      <c r="CT618" s="697"/>
      <c r="CU618" s="697"/>
      <c r="CV618" s="697"/>
      <c r="CW618" s="697"/>
      <c r="CX618" s="697"/>
      <c r="CY618" s="697"/>
      <c r="CZ618" s="697"/>
      <c r="DA618" s="697"/>
    </row>
    <row r="619" spans="1:105" hidden="1" outlineLevel="1" x14ac:dyDescent="0.2">
      <c r="A619" s="709">
        <f t="shared" si="107"/>
        <v>40817</v>
      </c>
      <c r="B619" s="709" t="str">
        <f t="shared" si="104"/>
        <v>4Q11</v>
      </c>
      <c r="C619" s="709" t="str">
        <f t="shared" si="108"/>
        <v>4Q11</v>
      </c>
      <c r="D619" s="710">
        <f t="shared" si="111"/>
        <v>40886</v>
      </c>
      <c r="E619" s="710">
        <f t="shared" si="111"/>
        <v>40826</v>
      </c>
      <c r="F619" s="712">
        <v>3.7210000000000001</v>
      </c>
      <c r="G619" s="713">
        <f t="shared" si="105"/>
        <v>0.52000000000000024</v>
      </c>
      <c r="H619" s="713">
        <f t="shared" si="106"/>
        <v>0.54000000000000026</v>
      </c>
      <c r="I619" s="697"/>
      <c r="J619" s="697"/>
      <c r="K619" s="697"/>
      <c r="L619" s="697"/>
      <c r="M619" s="697"/>
      <c r="N619" s="697"/>
      <c r="O619" s="697"/>
      <c r="P619" s="697"/>
      <c r="Q619" s="697"/>
      <c r="R619" s="697"/>
      <c r="S619" s="697"/>
      <c r="T619" s="697"/>
      <c r="U619" s="697"/>
      <c r="V619" s="697"/>
      <c r="W619" s="697"/>
      <c r="X619" s="697"/>
      <c r="Y619" s="697"/>
      <c r="Z619" s="697"/>
      <c r="AA619" s="697"/>
      <c r="AB619" s="697"/>
      <c r="AC619" s="697"/>
      <c r="AD619" s="697"/>
      <c r="AE619" s="697"/>
      <c r="AF619" s="697"/>
      <c r="AG619" s="697"/>
      <c r="AH619" s="697"/>
      <c r="AI619" s="697"/>
      <c r="AJ619" s="697"/>
      <c r="AK619" s="697"/>
      <c r="AL619" s="697"/>
      <c r="AM619" s="697"/>
      <c r="AN619" s="697"/>
      <c r="AO619" s="697"/>
      <c r="AP619" s="697"/>
      <c r="AQ619" s="697"/>
      <c r="AR619" s="697"/>
      <c r="AS619" s="697"/>
      <c r="AT619" s="697"/>
      <c r="AU619" s="697"/>
      <c r="AV619" s="697"/>
      <c r="AW619" s="697"/>
      <c r="AX619" s="697"/>
      <c r="AY619" s="697"/>
      <c r="AZ619" s="697"/>
      <c r="BA619" s="697"/>
      <c r="BB619" s="697"/>
      <c r="BC619" s="697"/>
      <c r="BD619" s="697"/>
      <c r="BE619" s="697"/>
      <c r="BF619" s="697"/>
      <c r="BG619" s="697"/>
      <c r="BH619" s="697"/>
      <c r="BI619" s="697"/>
      <c r="BJ619" s="697"/>
      <c r="BK619" s="697"/>
      <c r="BL619" s="697"/>
      <c r="BM619" s="697"/>
      <c r="BN619" s="697"/>
      <c r="BO619" s="697"/>
      <c r="BP619" s="697"/>
      <c r="BQ619" s="697"/>
      <c r="BR619" s="697"/>
      <c r="BS619" s="697"/>
      <c r="BT619" s="697"/>
      <c r="BU619" s="697"/>
      <c r="BV619" s="697"/>
      <c r="BW619" s="697"/>
      <c r="BX619" s="697"/>
      <c r="BY619" s="697"/>
      <c r="BZ619" s="697"/>
      <c r="CA619" s="697"/>
      <c r="CB619" s="697"/>
      <c r="CC619" s="697"/>
      <c r="CD619" s="697"/>
      <c r="CE619" s="697"/>
      <c r="CF619" s="697"/>
      <c r="CG619" s="697"/>
      <c r="CH619" s="697"/>
      <c r="CI619" s="697"/>
      <c r="CJ619" s="697"/>
      <c r="CK619" s="697"/>
      <c r="CL619" s="697"/>
      <c r="CM619" s="697"/>
      <c r="CN619" s="697"/>
      <c r="CO619" s="697"/>
      <c r="CP619" s="697"/>
      <c r="CQ619" s="697"/>
      <c r="CR619" s="697"/>
      <c r="CS619" s="697"/>
      <c r="CT619" s="697"/>
      <c r="CU619" s="697"/>
      <c r="CV619" s="697"/>
      <c r="CW619" s="697"/>
      <c r="CX619" s="697"/>
      <c r="CY619" s="697"/>
      <c r="CZ619" s="697"/>
      <c r="DA619" s="697"/>
    </row>
    <row r="620" spans="1:105" hidden="1" outlineLevel="1" x14ac:dyDescent="0.2">
      <c r="A620" s="709">
        <f t="shared" si="107"/>
        <v>40817</v>
      </c>
      <c r="B620" s="709" t="str">
        <f t="shared" si="104"/>
        <v>4Q11</v>
      </c>
      <c r="C620" s="709" t="str">
        <f t="shared" si="108"/>
        <v>4Q11</v>
      </c>
      <c r="D620" s="710">
        <f t="shared" si="111"/>
        <v>40893</v>
      </c>
      <c r="E620" s="710">
        <f t="shared" si="111"/>
        <v>40833</v>
      </c>
      <c r="F620" s="712">
        <v>3.8010000000000002</v>
      </c>
      <c r="G620" s="713">
        <f t="shared" si="105"/>
        <v>0.54000000000000026</v>
      </c>
      <c r="H620" s="713">
        <f t="shared" si="106"/>
        <v>0.54000000000000026</v>
      </c>
      <c r="I620" s="697"/>
      <c r="J620" s="697"/>
      <c r="K620" s="697"/>
      <c r="L620" s="697"/>
      <c r="M620" s="697"/>
      <c r="N620" s="697"/>
      <c r="O620" s="697"/>
      <c r="P620" s="697"/>
      <c r="Q620" s="697"/>
      <c r="R620" s="697"/>
      <c r="S620" s="697"/>
      <c r="T620" s="697"/>
      <c r="U620" s="697"/>
      <c r="V620" s="697"/>
      <c r="W620" s="697"/>
      <c r="X620" s="697"/>
      <c r="Y620" s="697"/>
      <c r="Z620" s="697"/>
      <c r="AA620" s="697"/>
      <c r="AB620" s="697"/>
      <c r="AC620" s="697"/>
      <c r="AD620" s="697"/>
      <c r="AE620" s="697"/>
      <c r="AF620" s="697"/>
      <c r="AG620" s="697"/>
      <c r="AH620" s="697"/>
      <c r="AI620" s="697"/>
      <c r="AJ620" s="697"/>
      <c r="AK620" s="697"/>
      <c r="AL620" s="697"/>
      <c r="AM620" s="697"/>
      <c r="AN620" s="697"/>
      <c r="AO620" s="697"/>
      <c r="AP620" s="697"/>
      <c r="AQ620" s="697"/>
      <c r="AR620" s="697"/>
      <c r="AS620" s="697"/>
      <c r="AT620" s="697"/>
      <c r="AU620" s="697"/>
      <c r="AV620" s="697"/>
      <c r="AW620" s="697"/>
      <c r="AX620" s="697"/>
      <c r="AY620" s="697"/>
      <c r="AZ620" s="697"/>
      <c r="BA620" s="697"/>
      <c r="BB620" s="697"/>
      <c r="BC620" s="697"/>
      <c r="BD620" s="697"/>
      <c r="BE620" s="697"/>
      <c r="BF620" s="697"/>
      <c r="BG620" s="697"/>
      <c r="BH620" s="697"/>
      <c r="BI620" s="697"/>
      <c r="BJ620" s="697"/>
      <c r="BK620" s="697"/>
      <c r="BL620" s="697"/>
      <c r="BM620" s="697"/>
      <c r="BN620" s="697"/>
      <c r="BO620" s="697"/>
      <c r="BP620" s="697"/>
      <c r="BQ620" s="697"/>
      <c r="BR620" s="697"/>
      <c r="BS620" s="697"/>
      <c r="BT620" s="697"/>
      <c r="BU620" s="697"/>
      <c r="BV620" s="697"/>
      <c r="BW620" s="697"/>
      <c r="BX620" s="697"/>
      <c r="BY620" s="697"/>
      <c r="BZ620" s="697"/>
      <c r="CA620" s="697"/>
      <c r="CB620" s="697"/>
      <c r="CC620" s="697"/>
      <c r="CD620" s="697"/>
      <c r="CE620" s="697"/>
      <c r="CF620" s="697"/>
      <c r="CG620" s="697"/>
      <c r="CH620" s="697"/>
      <c r="CI620" s="697"/>
      <c r="CJ620" s="697"/>
      <c r="CK620" s="697"/>
      <c r="CL620" s="697"/>
      <c r="CM620" s="697"/>
      <c r="CN620" s="697"/>
      <c r="CO620" s="697"/>
      <c r="CP620" s="697"/>
      <c r="CQ620" s="697"/>
      <c r="CR620" s="697"/>
      <c r="CS620" s="697"/>
      <c r="CT620" s="697"/>
      <c r="CU620" s="697"/>
      <c r="CV620" s="697"/>
      <c r="CW620" s="697"/>
      <c r="CX620" s="697"/>
      <c r="CY620" s="697"/>
      <c r="CZ620" s="697"/>
      <c r="DA620" s="697"/>
    </row>
    <row r="621" spans="1:105" hidden="1" outlineLevel="1" x14ac:dyDescent="0.2">
      <c r="A621" s="709">
        <f t="shared" si="107"/>
        <v>40817</v>
      </c>
      <c r="B621" s="709" t="str">
        <f t="shared" si="104"/>
        <v>4Q11</v>
      </c>
      <c r="C621" s="709" t="str">
        <f t="shared" si="108"/>
        <v>4Q11</v>
      </c>
      <c r="D621" s="710">
        <f t="shared" si="111"/>
        <v>40900</v>
      </c>
      <c r="E621" s="710">
        <f t="shared" si="111"/>
        <v>40840</v>
      </c>
      <c r="F621" s="712">
        <v>3.8250000000000002</v>
      </c>
      <c r="G621" s="713">
        <f t="shared" si="105"/>
        <v>0.54000000000000026</v>
      </c>
      <c r="H621" s="713">
        <f t="shared" si="106"/>
        <v>0.55000000000000027</v>
      </c>
      <c r="I621" s="697"/>
      <c r="J621" s="697"/>
      <c r="K621" s="697"/>
      <c r="L621" s="697"/>
      <c r="M621" s="697"/>
      <c r="N621" s="697"/>
      <c r="O621" s="697"/>
      <c r="P621" s="697"/>
      <c r="Q621" s="697"/>
      <c r="R621" s="697"/>
      <c r="S621" s="697"/>
      <c r="T621" s="697"/>
      <c r="U621" s="697"/>
      <c r="V621" s="697"/>
      <c r="W621" s="697"/>
      <c r="X621" s="697"/>
      <c r="Y621" s="697"/>
      <c r="Z621" s="697"/>
      <c r="AA621" s="697"/>
      <c r="AB621" s="697"/>
      <c r="AC621" s="697"/>
      <c r="AD621" s="697"/>
      <c r="AE621" s="697"/>
      <c r="AF621" s="697"/>
      <c r="AG621" s="697"/>
      <c r="AH621" s="697"/>
      <c r="AI621" s="697"/>
      <c r="AJ621" s="697"/>
      <c r="AK621" s="697"/>
      <c r="AL621" s="697"/>
      <c r="AM621" s="697"/>
      <c r="AN621" s="697"/>
      <c r="AO621" s="697"/>
      <c r="AP621" s="697"/>
      <c r="AQ621" s="697"/>
      <c r="AR621" s="697"/>
      <c r="AS621" s="697"/>
      <c r="AT621" s="697"/>
      <c r="AU621" s="697"/>
      <c r="AV621" s="697"/>
      <c r="AW621" s="697"/>
      <c r="AX621" s="697"/>
      <c r="AY621" s="697"/>
      <c r="AZ621" s="697"/>
      <c r="BA621" s="697"/>
      <c r="BB621" s="697"/>
      <c r="BC621" s="697"/>
      <c r="BD621" s="697"/>
      <c r="BE621" s="697"/>
      <c r="BF621" s="697"/>
      <c r="BG621" s="697"/>
      <c r="BH621" s="697"/>
      <c r="BI621" s="697"/>
      <c r="BJ621" s="697"/>
      <c r="BK621" s="697"/>
      <c r="BL621" s="697"/>
      <c r="BM621" s="697"/>
      <c r="BN621" s="697"/>
      <c r="BO621" s="697"/>
      <c r="BP621" s="697"/>
      <c r="BQ621" s="697"/>
      <c r="BR621" s="697"/>
      <c r="BS621" s="697"/>
      <c r="BT621" s="697"/>
      <c r="BU621" s="697"/>
      <c r="BV621" s="697"/>
      <c r="BW621" s="697"/>
      <c r="BX621" s="697"/>
      <c r="BY621" s="697"/>
      <c r="BZ621" s="697"/>
      <c r="CA621" s="697"/>
      <c r="CB621" s="697"/>
      <c r="CC621" s="697"/>
      <c r="CD621" s="697"/>
      <c r="CE621" s="697"/>
      <c r="CF621" s="697"/>
      <c r="CG621" s="697"/>
      <c r="CH621" s="697"/>
      <c r="CI621" s="697"/>
      <c r="CJ621" s="697"/>
      <c r="CK621" s="697"/>
      <c r="CL621" s="697"/>
      <c r="CM621" s="697"/>
      <c r="CN621" s="697"/>
      <c r="CO621" s="697"/>
      <c r="CP621" s="697"/>
      <c r="CQ621" s="697"/>
      <c r="CR621" s="697"/>
      <c r="CS621" s="697"/>
      <c r="CT621" s="697"/>
      <c r="CU621" s="697"/>
      <c r="CV621" s="697"/>
      <c r="CW621" s="697"/>
      <c r="CX621" s="697"/>
      <c r="CY621" s="697"/>
      <c r="CZ621" s="697"/>
      <c r="DA621" s="697"/>
    </row>
    <row r="622" spans="1:105" hidden="1" outlineLevel="1" x14ac:dyDescent="0.2">
      <c r="A622" s="709">
        <f t="shared" si="107"/>
        <v>40817</v>
      </c>
      <c r="B622" s="709" t="str">
        <f t="shared" si="104"/>
        <v>4Q11</v>
      </c>
      <c r="C622" s="709" t="str">
        <f t="shared" si="108"/>
        <v>4Q11</v>
      </c>
      <c r="D622" s="710">
        <f t="shared" si="111"/>
        <v>40907</v>
      </c>
      <c r="E622" s="710">
        <f t="shared" si="111"/>
        <v>40847</v>
      </c>
      <c r="F622" s="712">
        <v>3.8919999999999999</v>
      </c>
      <c r="G622" s="713">
        <f t="shared" si="105"/>
        <v>0.55000000000000027</v>
      </c>
      <c r="H622" s="713">
        <f t="shared" si="106"/>
        <v>0.55000000000000027</v>
      </c>
      <c r="I622" s="697"/>
      <c r="J622" s="697"/>
      <c r="K622" s="697"/>
      <c r="L622" s="697"/>
      <c r="M622" s="697"/>
      <c r="N622" s="697"/>
      <c r="O622" s="697"/>
      <c r="P622" s="697"/>
      <c r="Q622" s="697"/>
      <c r="R622" s="697"/>
      <c r="S622" s="697"/>
      <c r="T622" s="697"/>
      <c r="U622" s="697"/>
      <c r="V622" s="697"/>
      <c r="W622" s="697"/>
      <c r="X622" s="697"/>
      <c r="Y622" s="697"/>
      <c r="Z622" s="697"/>
      <c r="AA622" s="697"/>
      <c r="AB622" s="697"/>
      <c r="AC622" s="697"/>
      <c r="AD622" s="697"/>
      <c r="AE622" s="697"/>
      <c r="AF622" s="697"/>
      <c r="AG622" s="697"/>
      <c r="AH622" s="697"/>
      <c r="AI622" s="697"/>
      <c r="AJ622" s="697"/>
      <c r="AK622" s="697"/>
      <c r="AL622" s="697"/>
      <c r="AM622" s="697"/>
      <c r="AN622" s="697"/>
      <c r="AO622" s="697"/>
      <c r="AP622" s="697"/>
      <c r="AQ622" s="697"/>
      <c r="AR622" s="697"/>
      <c r="AS622" s="697"/>
      <c r="AT622" s="697"/>
      <c r="AU622" s="697"/>
      <c r="AV622" s="697"/>
      <c r="AW622" s="697"/>
      <c r="AX622" s="697"/>
      <c r="AY622" s="697"/>
      <c r="AZ622" s="697"/>
      <c r="BA622" s="697"/>
      <c r="BB622" s="697"/>
      <c r="BC622" s="697"/>
      <c r="BD622" s="697"/>
      <c r="BE622" s="697"/>
      <c r="BF622" s="697"/>
      <c r="BG622" s="697"/>
      <c r="BH622" s="697"/>
      <c r="BI622" s="697"/>
      <c r="BJ622" s="697"/>
      <c r="BK622" s="697"/>
      <c r="BL622" s="697"/>
      <c r="BM622" s="697"/>
      <c r="BN622" s="697"/>
      <c r="BO622" s="697"/>
      <c r="BP622" s="697"/>
      <c r="BQ622" s="697"/>
      <c r="BR622" s="697"/>
      <c r="BS622" s="697"/>
      <c r="BT622" s="697"/>
      <c r="BU622" s="697"/>
      <c r="BV622" s="697"/>
      <c r="BW622" s="697"/>
      <c r="BX622" s="697"/>
      <c r="BY622" s="697"/>
      <c r="BZ622" s="697"/>
      <c r="CA622" s="697"/>
      <c r="CB622" s="697"/>
      <c r="CC622" s="697"/>
      <c r="CD622" s="697"/>
      <c r="CE622" s="697"/>
      <c r="CF622" s="697"/>
      <c r="CG622" s="697"/>
      <c r="CH622" s="697"/>
      <c r="CI622" s="697"/>
      <c r="CJ622" s="697"/>
      <c r="CK622" s="697"/>
      <c r="CL622" s="697"/>
      <c r="CM622" s="697"/>
      <c r="CN622" s="697"/>
      <c r="CO622" s="697"/>
      <c r="CP622" s="697"/>
      <c r="CQ622" s="697"/>
      <c r="CR622" s="697"/>
      <c r="CS622" s="697"/>
      <c r="CT622" s="697"/>
      <c r="CU622" s="697"/>
      <c r="CV622" s="697"/>
      <c r="CW622" s="697"/>
      <c r="CX622" s="697"/>
      <c r="CY622" s="697"/>
      <c r="CZ622" s="697"/>
      <c r="DA622" s="697"/>
    </row>
    <row r="623" spans="1:105" hidden="1" outlineLevel="1" x14ac:dyDescent="0.2">
      <c r="A623" s="709">
        <f t="shared" si="107"/>
        <v>40848</v>
      </c>
      <c r="B623" s="709" t="str">
        <f t="shared" si="104"/>
        <v>4Q11</v>
      </c>
      <c r="C623" s="709" t="str">
        <f t="shared" si="108"/>
        <v>1Q12</v>
      </c>
      <c r="D623" s="710">
        <f t="shared" si="111"/>
        <v>40914</v>
      </c>
      <c r="E623" s="710">
        <f t="shared" si="111"/>
        <v>40854</v>
      </c>
      <c r="F623" s="712">
        <v>3.887</v>
      </c>
      <c r="G623" s="713">
        <f t="shared" si="105"/>
        <v>0.55000000000000027</v>
      </c>
      <c r="H623" s="713">
        <f t="shared" si="106"/>
        <v>0.57000000000000028</v>
      </c>
      <c r="I623" s="697"/>
      <c r="J623" s="697"/>
      <c r="K623" s="697"/>
      <c r="L623" s="697"/>
      <c r="M623" s="697"/>
      <c r="N623" s="697"/>
      <c r="O623" s="697"/>
      <c r="P623" s="697"/>
      <c r="Q623" s="697"/>
      <c r="R623" s="697"/>
      <c r="S623" s="697"/>
      <c r="T623" s="697"/>
      <c r="U623" s="697"/>
      <c r="V623" s="697"/>
      <c r="W623" s="697"/>
      <c r="X623" s="697"/>
      <c r="Y623" s="697"/>
      <c r="Z623" s="697"/>
      <c r="AA623" s="697"/>
      <c r="AB623" s="697"/>
      <c r="AC623" s="697"/>
      <c r="AD623" s="697"/>
      <c r="AE623" s="697"/>
      <c r="AF623" s="697"/>
      <c r="AG623" s="697"/>
      <c r="AH623" s="697"/>
      <c r="AI623" s="697"/>
      <c r="AJ623" s="697"/>
      <c r="AK623" s="697"/>
      <c r="AL623" s="697"/>
      <c r="AM623" s="697"/>
      <c r="AN623" s="697"/>
      <c r="AO623" s="697"/>
      <c r="AP623" s="697"/>
      <c r="AQ623" s="697"/>
      <c r="AR623" s="697"/>
      <c r="AS623" s="697"/>
      <c r="AT623" s="697"/>
      <c r="AU623" s="697"/>
      <c r="AV623" s="697"/>
      <c r="AW623" s="697"/>
      <c r="AX623" s="697"/>
      <c r="AY623" s="697"/>
      <c r="AZ623" s="697"/>
      <c r="BA623" s="697"/>
      <c r="BB623" s="697"/>
      <c r="BC623" s="697"/>
      <c r="BD623" s="697"/>
      <c r="BE623" s="697"/>
      <c r="BF623" s="697"/>
      <c r="BG623" s="697"/>
      <c r="BH623" s="697"/>
      <c r="BI623" s="697"/>
      <c r="BJ623" s="697"/>
      <c r="BK623" s="697"/>
      <c r="BL623" s="697"/>
      <c r="BM623" s="697"/>
      <c r="BN623" s="697"/>
      <c r="BO623" s="697"/>
      <c r="BP623" s="697"/>
      <c r="BQ623" s="697"/>
      <c r="BR623" s="697"/>
      <c r="BS623" s="697"/>
      <c r="BT623" s="697"/>
      <c r="BU623" s="697"/>
      <c r="BV623" s="697"/>
      <c r="BW623" s="697"/>
      <c r="BX623" s="697"/>
      <c r="BY623" s="697"/>
      <c r="BZ623" s="697"/>
      <c r="CA623" s="697"/>
      <c r="CB623" s="697"/>
      <c r="CC623" s="697"/>
      <c r="CD623" s="697"/>
      <c r="CE623" s="697"/>
      <c r="CF623" s="697"/>
      <c r="CG623" s="697"/>
      <c r="CH623" s="697"/>
      <c r="CI623" s="697"/>
      <c r="CJ623" s="697"/>
      <c r="CK623" s="697"/>
      <c r="CL623" s="697"/>
      <c r="CM623" s="697"/>
      <c r="CN623" s="697"/>
      <c r="CO623" s="697"/>
      <c r="CP623" s="697"/>
      <c r="CQ623" s="697"/>
      <c r="CR623" s="697"/>
      <c r="CS623" s="697"/>
      <c r="CT623" s="697"/>
      <c r="CU623" s="697"/>
      <c r="CV623" s="697"/>
      <c r="CW623" s="697"/>
      <c r="CX623" s="697"/>
      <c r="CY623" s="697"/>
      <c r="CZ623" s="697"/>
      <c r="DA623" s="697"/>
    </row>
    <row r="624" spans="1:105" hidden="1" outlineLevel="1" x14ac:dyDescent="0.2">
      <c r="A624" s="709">
        <f t="shared" si="107"/>
        <v>40848</v>
      </c>
      <c r="B624" s="709" t="str">
        <f t="shared" si="104"/>
        <v>4Q11</v>
      </c>
      <c r="C624" s="709" t="str">
        <f t="shared" si="108"/>
        <v>1Q12</v>
      </c>
      <c r="D624" s="710">
        <f t="shared" si="111"/>
        <v>40921</v>
      </c>
      <c r="E624" s="710">
        <f t="shared" si="111"/>
        <v>40861</v>
      </c>
      <c r="F624" s="712">
        <v>3.9870000000000001</v>
      </c>
      <c r="G624" s="713">
        <f t="shared" si="105"/>
        <v>0.57000000000000028</v>
      </c>
      <c r="H624" s="713">
        <f t="shared" si="106"/>
        <v>0.58000000000000029</v>
      </c>
      <c r="I624" s="697"/>
      <c r="J624" s="697"/>
      <c r="K624" s="697"/>
      <c r="L624" s="697"/>
      <c r="M624" s="697"/>
      <c r="N624" s="697"/>
      <c r="O624" s="697"/>
      <c r="P624" s="697"/>
      <c r="Q624" s="697"/>
      <c r="R624" s="697"/>
      <c r="S624" s="697"/>
      <c r="T624" s="697"/>
      <c r="U624" s="697"/>
      <c r="V624" s="697"/>
      <c r="W624" s="697"/>
      <c r="X624" s="697"/>
      <c r="Y624" s="697"/>
      <c r="Z624" s="697"/>
      <c r="AA624" s="697"/>
      <c r="AB624" s="697"/>
      <c r="AC624" s="697"/>
      <c r="AD624" s="697"/>
      <c r="AE624" s="697"/>
      <c r="AF624" s="697"/>
      <c r="AG624" s="697"/>
      <c r="AH624" s="697"/>
      <c r="AI624" s="697"/>
      <c r="AJ624" s="697"/>
      <c r="AK624" s="697"/>
      <c r="AL624" s="697"/>
      <c r="AM624" s="697"/>
      <c r="AN624" s="697"/>
      <c r="AO624" s="697"/>
      <c r="AP624" s="697"/>
      <c r="AQ624" s="697"/>
      <c r="AR624" s="697"/>
      <c r="AS624" s="697"/>
      <c r="AT624" s="697"/>
      <c r="AU624" s="697"/>
      <c r="AV624" s="697"/>
      <c r="AW624" s="697"/>
      <c r="AX624" s="697"/>
      <c r="AY624" s="697"/>
      <c r="AZ624" s="697"/>
      <c r="BA624" s="697"/>
      <c r="BB624" s="697"/>
      <c r="BC624" s="697"/>
      <c r="BD624" s="697"/>
      <c r="BE624" s="697"/>
      <c r="BF624" s="697"/>
      <c r="BG624" s="697"/>
      <c r="BH624" s="697"/>
      <c r="BI624" s="697"/>
      <c r="BJ624" s="697"/>
      <c r="BK624" s="697"/>
      <c r="BL624" s="697"/>
      <c r="BM624" s="697"/>
      <c r="BN624" s="697"/>
      <c r="BO624" s="697"/>
      <c r="BP624" s="697"/>
      <c r="BQ624" s="697"/>
      <c r="BR624" s="697"/>
      <c r="BS624" s="697"/>
      <c r="BT624" s="697"/>
      <c r="BU624" s="697"/>
      <c r="BV624" s="697"/>
      <c r="BW624" s="697"/>
      <c r="BX624" s="697"/>
      <c r="BY624" s="697"/>
      <c r="BZ624" s="697"/>
      <c r="CA624" s="697"/>
      <c r="CB624" s="697"/>
      <c r="CC624" s="697"/>
      <c r="CD624" s="697"/>
      <c r="CE624" s="697"/>
      <c r="CF624" s="697"/>
      <c r="CG624" s="697"/>
      <c r="CH624" s="697"/>
      <c r="CI624" s="697"/>
      <c r="CJ624" s="697"/>
      <c r="CK624" s="697"/>
      <c r="CL624" s="697"/>
      <c r="CM624" s="697"/>
      <c r="CN624" s="697"/>
      <c r="CO624" s="697"/>
      <c r="CP624" s="697"/>
      <c r="CQ624" s="697"/>
      <c r="CR624" s="697"/>
      <c r="CS624" s="697"/>
      <c r="CT624" s="697"/>
      <c r="CU624" s="697"/>
      <c r="CV624" s="697"/>
      <c r="CW624" s="697"/>
      <c r="CX624" s="697"/>
      <c r="CY624" s="697"/>
      <c r="CZ624" s="697"/>
      <c r="DA624" s="697"/>
    </row>
    <row r="625" spans="1:105" hidden="1" outlineLevel="1" x14ac:dyDescent="0.2">
      <c r="A625" s="709">
        <f t="shared" si="107"/>
        <v>40848</v>
      </c>
      <c r="B625" s="709" t="str">
        <f t="shared" si="104"/>
        <v>4Q11</v>
      </c>
      <c r="C625" s="709" t="str">
        <f t="shared" si="108"/>
        <v>1Q12</v>
      </c>
      <c r="D625" s="710">
        <f t="shared" si="111"/>
        <v>40928</v>
      </c>
      <c r="E625" s="710">
        <f t="shared" si="111"/>
        <v>40868</v>
      </c>
      <c r="F625" s="712">
        <v>4.01</v>
      </c>
      <c r="G625" s="713">
        <f t="shared" si="105"/>
        <v>0.58000000000000029</v>
      </c>
      <c r="H625" s="713">
        <f t="shared" si="106"/>
        <v>0.57000000000000028</v>
      </c>
      <c r="I625" s="697"/>
      <c r="J625" s="697"/>
      <c r="K625" s="697"/>
      <c r="L625" s="697"/>
      <c r="M625" s="697"/>
      <c r="N625" s="697"/>
      <c r="O625" s="697"/>
      <c r="P625" s="697"/>
      <c r="Q625" s="697"/>
      <c r="R625" s="697"/>
      <c r="S625" s="697"/>
      <c r="T625" s="697"/>
      <c r="U625" s="697"/>
      <c r="V625" s="697"/>
      <c r="W625" s="697"/>
      <c r="X625" s="697"/>
      <c r="Y625" s="697"/>
      <c r="Z625" s="697"/>
      <c r="AA625" s="697"/>
      <c r="AB625" s="697"/>
      <c r="AC625" s="697"/>
      <c r="AD625" s="697"/>
      <c r="AE625" s="697"/>
      <c r="AF625" s="697"/>
      <c r="AG625" s="697"/>
      <c r="AH625" s="697"/>
      <c r="AI625" s="697"/>
      <c r="AJ625" s="697"/>
      <c r="AK625" s="697"/>
      <c r="AL625" s="697"/>
      <c r="AM625" s="697"/>
      <c r="AN625" s="697"/>
      <c r="AO625" s="697"/>
      <c r="AP625" s="697"/>
      <c r="AQ625" s="697"/>
      <c r="AR625" s="697"/>
      <c r="AS625" s="697"/>
      <c r="AT625" s="697"/>
      <c r="AU625" s="697"/>
      <c r="AV625" s="697"/>
      <c r="AW625" s="697"/>
      <c r="AX625" s="697"/>
      <c r="AY625" s="697"/>
      <c r="AZ625" s="697"/>
      <c r="BA625" s="697"/>
      <c r="BB625" s="697"/>
      <c r="BC625" s="697"/>
      <c r="BD625" s="697"/>
      <c r="BE625" s="697"/>
      <c r="BF625" s="697"/>
      <c r="BG625" s="697"/>
      <c r="BH625" s="697"/>
      <c r="BI625" s="697"/>
      <c r="BJ625" s="697"/>
      <c r="BK625" s="697"/>
      <c r="BL625" s="697"/>
      <c r="BM625" s="697"/>
      <c r="BN625" s="697"/>
      <c r="BO625" s="697"/>
      <c r="BP625" s="697"/>
      <c r="BQ625" s="697"/>
      <c r="BR625" s="697"/>
      <c r="BS625" s="697"/>
      <c r="BT625" s="697"/>
      <c r="BU625" s="697"/>
      <c r="BV625" s="697"/>
      <c r="BW625" s="697"/>
      <c r="BX625" s="697"/>
      <c r="BY625" s="697"/>
      <c r="BZ625" s="697"/>
      <c r="CA625" s="697"/>
      <c r="CB625" s="697"/>
      <c r="CC625" s="697"/>
      <c r="CD625" s="697"/>
      <c r="CE625" s="697"/>
      <c r="CF625" s="697"/>
      <c r="CG625" s="697"/>
      <c r="CH625" s="697"/>
      <c r="CI625" s="697"/>
      <c r="CJ625" s="697"/>
      <c r="CK625" s="697"/>
      <c r="CL625" s="697"/>
      <c r="CM625" s="697"/>
      <c r="CN625" s="697"/>
      <c r="CO625" s="697"/>
      <c r="CP625" s="697"/>
      <c r="CQ625" s="697"/>
      <c r="CR625" s="697"/>
      <c r="CS625" s="697"/>
      <c r="CT625" s="697"/>
      <c r="CU625" s="697"/>
      <c r="CV625" s="697"/>
      <c r="CW625" s="697"/>
      <c r="CX625" s="697"/>
      <c r="CY625" s="697"/>
      <c r="CZ625" s="697"/>
      <c r="DA625" s="697"/>
    </row>
    <row r="626" spans="1:105" hidden="1" outlineLevel="1" x14ac:dyDescent="0.2">
      <c r="A626" s="709">
        <f t="shared" si="107"/>
        <v>40848</v>
      </c>
      <c r="B626" s="709" t="str">
        <f t="shared" si="104"/>
        <v>4Q11</v>
      </c>
      <c r="C626" s="709" t="str">
        <f t="shared" si="108"/>
        <v>1Q12</v>
      </c>
      <c r="D626" s="710">
        <f t="shared" si="111"/>
        <v>40935</v>
      </c>
      <c r="E626" s="710">
        <f t="shared" si="111"/>
        <v>40875</v>
      </c>
      <c r="F626" s="712">
        <v>3.964</v>
      </c>
      <c r="G626" s="713">
        <f t="shared" si="105"/>
        <v>0.57000000000000028</v>
      </c>
      <c r="H626" s="713">
        <f t="shared" si="106"/>
        <v>0.56000000000000028</v>
      </c>
      <c r="I626" s="697"/>
      <c r="J626" s="697"/>
      <c r="K626" s="697"/>
      <c r="L626" s="697"/>
      <c r="M626" s="697"/>
      <c r="N626" s="697"/>
      <c r="O626" s="697"/>
      <c r="P626" s="697"/>
      <c r="Q626" s="697"/>
      <c r="R626" s="697"/>
      <c r="S626" s="697"/>
      <c r="T626" s="697"/>
      <c r="U626" s="697"/>
      <c r="V626" s="697"/>
      <c r="W626" s="697"/>
      <c r="X626" s="697"/>
      <c r="Y626" s="697"/>
      <c r="Z626" s="697"/>
      <c r="AA626" s="697"/>
      <c r="AB626" s="697"/>
      <c r="AC626" s="697"/>
      <c r="AD626" s="697"/>
      <c r="AE626" s="697"/>
      <c r="AF626" s="697"/>
      <c r="AG626" s="697"/>
      <c r="AH626" s="697"/>
      <c r="AI626" s="697"/>
      <c r="AJ626" s="697"/>
      <c r="AK626" s="697"/>
      <c r="AL626" s="697"/>
      <c r="AM626" s="697"/>
      <c r="AN626" s="697"/>
      <c r="AO626" s="697"/>
      <c r="AP626" s="697"/>
      <c r="AQ626" s="697"/>
      <c r="AR626" s="697"/>
      <c r="AS626" s="697"/>
      <c r="AT626" s="697"/>
      <c r="AU626" s="697"/>
      <c r="AV626" s="697"/>
      <c r="AW626" s="697"/>
      <c r="AX626" s="697"/>
      <c r="AY626" s="697"/>
      <c r="AZ626" s="697"/>
      <c r="BA626" s="697"/>
      <c r="BB626" s="697"/>
      <c r="BC626" s="697"/>
      <c r="BD626" s="697"/>
      <c r="BE626" s="697"/>
      <c r="BF626" s="697"/>
      <c r="BG626" s="697"/>
      <c r="BH626" s="697"/>
      <c r="BI626" s="697"/>
      <c r="BJ626" s="697"/>
      <c r="BK626" s="697"/>
      <c r="BL626" s="697"/>
      <c r="BM626" s="697"/>
      <c r="BN626" s="697"/>
      <c r="BO626" s="697"/>
      <c r="BP626" s="697"/>
      <c r="BQ626" s="697"/>
      <c r="BR626" s="697"/>
      <c r="BS626" s="697"/>
      <c r="BT626" s="697"/>
      <c r="BU626" s="697"/>
      <c r="BV626" s="697"/>
      <c r="BW626" s="697"/>
      <c r="BX626" s="697"/>
      <c r="BY626" s="697"/>
      <c r="BZ626" s="697"/>
      <c r="CA626" s="697"/>
      <c r="CB626" s="697"/>
      <c r="CC626" s="697"/>
      <c r="CD626" s="697"/>
      <c r="CE626" s="697"/>
      <c r="CF626" s="697"/>
      <c r="CG626" s="697"/>
      <c r="CH626" s="697"/>
      <c r="CI626" s="697"/>
      <c r="CJ626" s="697"/>
      <c r="CK626" s="697"/>
      <c r="CL626" s="697"/>
      <c r="CM626" s="697"/>
      <c r="CN626" s="697"/>
      <c r="CO626" s="697"/>
      <c r="CP626" s="697"/>
      <c r="CQ626" s="697"/>
      <c r="CR626" s="697"/>
      <c r="CS626" s="697"/>
      <c r="CT626" s="697"/>
      <c r="CU626" s="697"/>
      <c r="CV626" s="697"/>
      <c r="CW626" s="697"/>
      <c r="CX626" s="697"/>
      <c r="CY626" s="697"/>
      <c r="CZ626" s="697"/>
      <c r="DA626" s="697"/>
    </row>
    <row r="627" spans="1:105" hidden="1" outlineLevel="1" x14ac:dyDescent="0.2">
      <c r="A627" s="709">
        <f t="shared" si="107"/>
        <v>40878</v>
      </c>
      <c r="B627" s="709" t="str">
        <f t="shared" si="104"/>
        <v>4Q11</v>
      </c>
      <c r="C627" s="709" t="str">
        <f t="shared" si="108"/>
        <v>1Q12</v>
      </c>
      <c r="D627" s="710">
        <f t="shared" si="111"/>
        <v>40942</v>
      </c>
      <c r="E627" s="710">
        <f t="shared" si="111"/>
        <v>40882</v>
      </c>
      <c r="F627" s="712">
        <v>3.931</v>
      </c>
      <c r="G627" s="713">
        <f t="shared" si="105"/>
        <v>0.56000000000000028</v>
      </c>
      <c r="H627" s="713">
        <f t="shared" si="106"/>
        <v>0.55000000000000027</v>
      </c>
      <c r="I627" s="697"/>
      <c r="J627" s="697"/>
      <c r="K627" s="697"/>
      <c r="L627" s="697"/>
      <c r="M627" s="697"/>
      <c r="N627" s="697"/>
      <c r="O627" s="697"/>
      <c r="P627" s="697"/>
      <c r="Q627" s="697"/>
      <c r="R627" s="697"/>
      <c r="S627" s="697"/>
      <c r="T627" s="697"/>
      <c r="U627" s="697"/>
      <c r="V627" s="697"/>
      <c r="W627" s="697"/>
      <c r="X627" s="697"/>
      <c r="Y627" s="697"/>
      <c r="Z627" s="697"/>
      <c r="AA627" s="697"/>
      <c r="AB627" s="697"/>
      <c r="AC627" s="697"/>
      <c r="AD627" s="697"/>
      <c r="AE627" s="697"/>
      <c r="AF627" s="697"/>
      <c r="AG627" s="697"/>
      <c r="AH627" s="697"/>
      <c r="AI627" s="697"/>
      <c r="AJ627" s="697"/>
      <c r="AK627" s="697"/>
      <c r="AL627" s="697"/>
      <c r="AM627" s="697"/>
      <c r="AN627" s="697"/>
      <c r="AO627" s="697"/>
      <c r="AP627" s="697"/>
      <c r="AQ627" s="697"/>
      <c r="AR627" s="697"/>
      <c r="AS627" s="697"/>
      <c r="AT627" s="697"/>
      <c r="AU627" s="697"/>
      <c r="AV627" s="697"/>
      <c r="AW627" s="697"/>
      <c r="AX627" s="697"/>
      <c r="AY627" s="697"/>
      <c r="AZ627" s="697"/>
      <c r="BA627" s="697"/>
      <c r="BB627" s="697"/>
      <c r="BC627" s="697"/>
      <c r="BD627" s="697"/>
      <c r="BE627" s="697"/>
      <c r="BF627" s="697"/>
      <c r="BG627" s="697"/>
      <c r="BH627" s="697"/>
      <c r="BI627" s="697"/>
      <c r="BJ627" s="697"/>
      <c r="BK627" s="697"/>
      <c r="BL627" s="697"/>
      <c r="BM627" s="697"/>
      <c r="BN627" s="697"/>
      <c r="BO627" s="697"/>
      <c r="BP627" s="697"/>
      <c r="BQ627" s="697"/>
      <c r="BR627" s="697"/>
      <c r="BS627" s="697"/>
      <c r="BT627" s="697"/>
      <c r="BU627" s="697"/>
      <c r="BV627" s="697"/>
      <c r="BW627" s="697"/>
      <c r="BX627" s="697"/>
      <c r="BY627" s="697"/>
      <c r="BZ627" s="697"/>
      <c r="CA627" s="697"/>
      <c r="CB627" s="697"/>
      <c r="CC627" s="697"/>
      <c r="CD627" s="697"/>
      <c r="CE627" s="697"/>
      <c r="CF627" s="697"/>
      <c r="CG627" s="697"/>
      <c r="CH627" s="697"/>
      <c r="CI627" s="697"/>
      <c r="CJ627" s="697"/>
      <c r="CK627" s="697"/>
      <c r="CL627" s="697"/>
      <c r="CM627" s="697"/>
      <c r="CN627" s="697"/>
      <c r="CO627" s="697"/>
      <c r="CP627" s="697"/>
      <c r="CQ627" s="697"/>
      <c r="CR627" s="697"/>
      <c r="CS627" s="697"/>
      <c r="CT627" s="697"/>
      <c r="CU627" s="697"/>
      <c r="CV627" s="697"/>
      <c r="CW627" s="697"/>
      <c r="CX627" s="697"/>
      <c r="CY627" s="697"/>
      <c r="CZ627" s="697"/>
      <c r="DA627" s="697"/>
    </row>
    <row r="628" spans="1:105" hidden="1" outlineLevel="1" x14ac:dyDescent="0.2">
      <c r="A628" s="709">
        <f t="shared" si="107"/>
        <v>40878</v>
      </c>
      <c r="B628" s="709" t="str">
        <f t="shared" si="104"/>
        <v>4Q11</v>
      </c>
      <c r="C628" s="709" t="str">
        <f t="shared" si="108"/>
        <v>1Q12</v>
      </c>
      <c r="D628" s="710">
        <f t="shared" si="111"/>
        <v>40949</v>
      </c>
      <c r="E628" s="710">
        <f t="shared" si="111"/>
        <v>40889</v>
      </c>
      <c r="F628" s="712">
        <v>3.8940000000000001</v>
      </c>
      <c r="G628" s="713">
        <f t="shared" si="105"/>
        <v>0.55000000000000027</v>
      </c>
      <c r="H628" s="713">
        <f t="shared" si="106"/>
        <v>0.54000000000000026</v>
      </c>
      <c r="I628" s="697"/>
      <c r="J628" s="697"/>
      <c r="K628" s="697"/>
      <c r="L628" s="697"/>
      <c r="M628" s="697"/>
      <c r="N628" s="697"/>
      <c r="O628" s="697"/>
      <c r="P628" s="697"/>
      <c r="Q628" s="697"/>
      <c r="R628" s="697"/>
      <c r="S628" s="697"/>
      <c r="T628" s="697"/>
      <c r="U628" s="697"/>
      <c r="V628" s="697"/>
      <c r="W628" s="697"/>
      <c r="X628" s="697"/>
      <c r="Y628" s="697"/>
      <c r="Z628" s="697"/>
      <c r="AA628" s="697"/>
      <c r="AB628" s="697"/>
      <c r="AC628" s="697"/>
      <c r="AD628" s="697"/>
      <c r="AE628" s="697"/>
      <c r="AF628" s="697"/>
      <c r="AG628" s="697"/>
      <c r="AH628" s="697"/>
      <c r="AI628" s="697"/>
      <c r="AJ628" s="697"/>
      <c r="AK628" s="697"/>
      <c r="AL628" s="697"/>
      <c r="AM628" s="697"/>
      <c r="AN628" s="697"/>
      <c r="AO628" s="697"/>
      <c r="AP628" s="697"/>
      <c r="AQ628" s="697"/>
      <c r="AR628" s="697"/>
      <c r="AS628" s="697"/>
      <c r="AT628" s="697"/>
      <c r="AU628" s="697"/>
      <c r="AV628" s="697"/>
      <c r="AW628" s="697"/>
      <c r="AX628" s="697"/>
      <c r="AY628" s="697"/>
      <c r="AZ628" s="697"/>
      <c r="BA628" s="697"/>
      <c r="BB628" s="697"/>
      <c r="BC628" s="697"/>
      <c r="BD628" s="697"/>
      <c r="BE628" s="697"/>
      <c r="BF628" s="697"/>
      <c r="BG628" s="697"/>
      <c r="BH628" s="697"/>
      <c r="BI628" s="697"/>
      <c r="BJ628" s="697"/>
      <c r="BK628" s="697"/>
      <c r="BL628" s="697"/>
      <c r="BM628" s="697"/>
      <c r="BN628" s="697"/>
      <c r="BO628" s="697"/>
      <c r="BP628" s="697"/>
      <c r="BQ628" s="697"/>
      <c r="BR628" s="697"/>
      <c r="BS628" s="697"/>
      <c r="BT628" s="697"/>
      <c r="BU628" s="697"/>
      <c r="BV628" s="697"/>
      <c r="BW628" s="697"/>
      <c r="BX628" s="697"/>
      <c r="BY628" s="697"/>
      <c r="BZ628" s="697"/>
      <c r="CA628" s="697"/>
      <c r="CB628" s="697"/>
      <c r="CC628" s="697"/>
      <c r="CD628" s="697"/>
      <c r="CE628" s="697"/>
      <c r="CF628" s="697"/>
      <c r="CG628" s="697"/>
      <c r="CH628" s="697"/>
      <c r="CI628" s="697"/>
      <c r="CJ628" s="697"/>
      <c r="CK628" s="697"/>
      <c r="CL628" s="697"/>
      <c r="CM628" s="697"/>
      <c r="CN628" s="697"/>
      <c r="CO628" s="697"/>
      <c r="CP628" s="697"/>
      <c r="CQ628" s="697"/>
      <c r="CR628" s="697"/>
      <c r="CS628" s="697"/>
      <c r="CT628" s="697"/>
      <c r="CU628" s="697"/>
      <c r="CV628" s="697"/>
      <c r="CW628" s="697"/>
      <c r="CX628" s="697"/>
      <c r="CY628" s="697"/>
      <c r="CZ628" s="697"/>
      <c r="DA628" s="697"/>
    </row>
    <row r="629" spans="1:105" hidden="1" outlineLevel="1" x14ac:dyDescent="0.2">
      <c r="A629" s="709">
        <f t="shared" si="107"/>
        <v>40878</v>
      </c>
      <c r="B629" s="709" t="str">
        <f t="shared" si="104"/>
        <v>4Q11</v>
      </c>
      <c r="C629" s="709" t="str">
        <f t="shared" si="108"/>
        <v>1Q12</v>
      </c>
      <c r="D629" s="710">
        <f t="shared" ref="D629:E644" si="112">D628+7</f>
        <v>40956</v>
      </c>
      <c r="E629" s="710">
        <f t="shared" si="112"/>
        <v>40896</v>
      </c>
      <c r="F629" s="712">
        <v>3.8279999999999998</v>
      </c>
      <c r="G629" s="713">
        <f t="shared" si="105"/>
        <v>0.54000000000000026</v>
      </c>
      <c r="H629" s="713">
        <f t="shared" si="106"/>
        <v>0.53000000000000025</v>
      </c>
      <c r="I629" s="697"/>
      <c r="J629" s="697"/>
      <c r="K629" s="697"/>
      <c r="L629" s="697"/>
      <c r="M629" s="697"/>
      <c r="N629" s="697"/>
      <c r="O629" s="697"/>
      <c r="P629" s="697"/>
      <c r="Q629" s="697"/>
      <c r="R629" s="697"/>
      <c r="S629" s="697"/>
      <c r="T629" s="697"/>
      <c r="U629" s="697"/>
      <c r="V629" s="697"/>
      <c r="W629" s="697"/>
      <c r="X629" s="697"/>
      <c r="Y629" s="697"/>
      <c r="Z629" s="697"/>
      <c r="AA629" s="697"/>
      <c r="AB629" s="697"/>
      <c r="AC629" s="697"/>
      <c r="AD629" s="697"/>
      <c r="AE629" s="697"/>
      <c r="AF629" s="697"/>
      <c r="AG629" s="697"/>
      <c r="AH629" s="697"/>
      <c r="AI629" s="697"/>
      <c r="AJ629" s="697"/>
      <c r="AK629" s="697"/>
      <c r="AL629" s="697"/>
      <c r="AM629" s="697"/>
      <c r="AN629" s="697"/>
      <c r="AO629" s="697"/>
      <c r="AP629" s="697"/>
      <c r="AQ629" s="697"/>
      <c r="AR629" s="697"/>
      <c r="AS629" s="697"/>
      <c r="AT629" s="697"/>
      <c r="AU629" s="697"/>
      <c r="AV629" s="697"/>
      <c r="AW629" s="697"/>
      <c r="AX629" s="697"/>
      <c r="AY629" s="697"/>
      <c r="AZ629" s="697"/>
      <c r="BA629" s="697"/>
      <c r="BB629" s="697"/>
      <c r="BC629" s="697"/>
      <c r="BD629" s="697"/>
      <c r="BE629" s="697"/>
      <c r="BF629" s="697"/>
      <c r="BG629" s="697"/>
      <c r="BH629" s="697"/>
      <c r="BI629" s="697"/>
      <c r="BJ629" s="697"/>
      <c r="BK629" s="697"/>
      <c r="BL629" s="697"/>
      <c r="BM629" s="697"/>
      <c r="BN629" s="697"/>
      <c r="BO629" s="697"/>
      <c r="BP629" s="697"/>
      <c r="BQ629" s="697"/>
      <c r="BR629" s="697"/>
      <c r="BS629" s="697"/>
      <c r="BT629" s="697"/>
      <c r="BU629" s="697"/>
      <c r="BV629" s="697"/>
      <c r="BW629" s="697"/>
      <c r="BX629" s="697"/>
      <c r="BY629" s="697"/>
      <c r="BZ629" s="697"/>
      <c r="CA629" s="697"/>
      <c r="CB629" s="697"/>
      <c r="CC629" s="697"/>
      <c r="CD629" s="697"/>
      <c r="CE629" s="697"/>
      <c r="CF629" s="697"/>
      <c r="CG629" s="697"/>
      <c r="CH629" s="697"/>
      <c r="CI629" s="697"/>
      <c r="CJ629" s="697"/>
      <c r="CK629" s="697"/>
      <c r="CL629" s="697"/>
      <c r="CM629" s="697"/>
      <c r="CN629" s="697"/>
      <c r="CO629" s="697"/>
      <c r="CP629" s="697"/>
      <c r="CQ629" s="697"/>
      <c r="CR629" s="697"/>
      <c r="CS629" s="697"/>
      <c r="CT629" s="697"/>
      <c r="CU629" s="697"/>
      <c r="CV629" s="697"/>
      <c r="CW629" s="697"/>
      <c r="CX629" s="697"/>
      <c r="CY629" s="697"/>
      <c r="CZ629" s="697"/>
      <c r="DA629" s="697"/>
    </row>
    <row r="630" spans="1:105" hidden="1" outlineLevel="1" x14ac:dyDescent="0.2">
      <c r="A630" s="709">
        <f t="shared" si="107"/>
        <v>40878</v>
      </c>
      <c r="B630" s="709" t="str">
        <f t="shared" si="104"/>
        <v>4Q11</v>
      </c>
      <c r="C630" s="709" t="str">
        <f t="shared" si="108"/>
        <v>1Q12</v>
      </c>
      <c r="D630" s="710">
        <f t="shared" si="112"/>
        <v>40963</v>
      </c>
      <c r="E630" s="710">
        <f t="shared" si="112"/>
        <v>40903</v>
      </c>
      <c r="F630" s="712">
        <v>3.7909999999999999</v>
      </c>
      <c r="G630" s="713">
        <f t="shared" si="105"/>
        <v>0.53000000000000025</v>
      </c>
      <c r="H630" s="713">
        <f t="shared" si="106"/>
        <v>0.53000000000000025</v>
      </c>
      <c r="I630" s="697"/>
      <c r="J630" s="697"/>
      <c r="K630" s="697"/>
      <c r="L630" s="697"/>
      <c r="M630" s="697"/>
      <c r="N630" s="697"/>
      <c r="O630" s="697"/>
      <c r="P630" s="697"/>
      <c r="Q630" s="697"/>
      <c r="R630" s="697"/>
      <c r="S630" s="697"/>
      <c r="T630" s="697"/>
      <c r="U630" s="697"/>
      <c r="V630" s="697"/>
      <c r="W630" s="697"/>
      <c r="X630" s="697"/>
      <c r="Y630" s="697"/>
      <c r="Z630" s="697"/>
      <c r="AA630" s="697"/>
      <c r="AB630" s="697"/>
      <c r="AC630" s="697"/>
      <c r="AD630" s="697"/>
      <c r="AE630" s="697"/>
      <c r="AF630" s="697"/>
      <c r="AG630" s="697"/>
      <c r="AH630" s="697"/>
      <c r="AI630" s="697"/>
      <c r="AJ630" s="697"/>
      <c r="AK630" s="697"/>
      <c r="AL630" s="697"/>
      <c r="AM630" s="697"/>
      <c r="AN630" s="697"/>
      <c r="AO630" s="697"/>
      <c r="AP630" s="697"/>
      <c r="AQ630" s="697"/>
      <c r="AR630" s="697"/>
      <c r="AS630" s="697"/>
      <c r="AT630" s="697"/>
      <c r="AU630" s="697"/>
      <c r="AV630" s="697"/>
      <c r="AW630" s="697"/>
      <c r="AX630" s="697"/>
      <c r="AY630" s="697"/>
      <c r="AZ630" s="697"/>
      <c r="BA630" s="697"/>
      <c r="BB630" s="697"/>
      <c r="BC630" s="697"/>
      <c r="BD630" s="697"/>
      <c r="BE630" s="697"/>
      <c r="BF630" s="697"/>
      <c r="BG630" s="697"/>
      <c r="BH630" s="697"/>
      <c r="BI630" s="697"/>
      <c r="BJ630" s="697"/>
      <c r="BK630" s="697"/>
      <c r="BL630" s="697"/>
      <c r="BM630" s="697"/>
      <c r="BN630" s="697"/>
      <c r="BO630" s="697"/>
      <c r="BP630" s="697"/>
      <c r="BQ630" s="697"/>
      <c r="BR630" s="697"/>
      <c r="BS630" s="697"/>
      <c r="BT630" s="697"/>
      <c r="BU630" s="697"/>
      <c r="BV630" s="697"/>
      <c r="BW630" s="697"/>
      <c r="BX630" s="697"/>
      <c r="BY630" s="697"/>
      <c r="BZ630" s="697"/>
      <c r="CA630" s="697"/>
      <c r="CB630" s="697"/>
      <c r="CC630" s="697"/>
      <c r="CD630" s="697"/>
      <c r="CE630" s="697"/>
      <c r="CF630" s="697"/>
      <c r="CG630" s="697"/>
      <c r="CH630" s="697"/>
      <c r="CI630" s="697"/>
      <c r="CJ630" s="697"/>
      <c r="CK630" s="697"/>
      <c r="CL630" s="697"/>
      <c r="CM630" s="697"/>
      <c r="CN630" s="697"/>
      <c r="CO630" s="697"/>
      <c r="CP630" s="697"/>
      <c r="CQ630" s="697"/>
      <c r="CR630" s="697"/>
      <c r="CS630" s="697"/>
      <c r="CT630" s="697"/>
      <c r="CU630" s="697"/>
      <c r="CV630" s="697"/>
      <c r="CW630" s="697"/>
      <c r="CX630" s="697"/>
      <c r="CY630" s="697"/>
      <c r="CZ630" s="697"/>
      <c r="DA630" s="697"/>
    </row>
    <row r="631" spans="1:105" hidden="1" outlineLevel="1" x14ac:dyDescent="0.2">
      <c r="A631" s="709">
        <f t="shared" si="107"/>
        <v>40909</v>
      </c>
      <c r="B631" s="709" t="str">
        <f t="shared" si="104"/>
        <v>1Q12</v>
      </c>
      <c r="C631" s="709" t="str">
        <f t="shared" si="108"/>
        <v>1Q12</v>
      </c>
      <c r="D631" s="710">
        <f t="shared" si="112"/>
        <v>40970</v>
      </c>
      <c r="E631" s="710">
        <f t="shared" si="112"/>
        <v>40910</v>
      </c>
      <c r="F631" s="712">
        <v>3.7829999999999999</v>
      </c>
      <c r="G631" s="713">
        <f t="shared" si="105"/>
        <v>0.53000000000000025</v>
      </c>
      <c r="H631" s="713">
        <f t="shared" si="106"/>
        <v>0.54000000000000026</v>
      </c>
      <c r="I631" s="697"/>
      <c r="J631" s="697"/>
      <c r="K631" s="697"/>
      <c r="L631" s="697"/>
      <c r="M631" s="697"/>
      <c r="N631" s="697"/>
      <c r="O631" s="697"/>
      <c r="P631" s="697"/>
      <c r="Q631" s="697"/>
      <c r="R631" s="697"/>
      <c r="S631" s="697"/>
      <c r="T631" s="697"/>
      <c r="U631" s="697"/>
      <c r="V631" s="697"/>
      <c r="W631" s="697"/>
      <c r="X631" s="697"/>
      <c r="Y631" s="697"/>
      <c r="Z631" s="697"/>
      <c r="AA631" s="697"/>
      <c r="AB631" s="697"/>
      <c r="AC631" s="697"/>
      <c r="AD631" s="697"/>
      <c r="AE631" s="697"/>
      <c r="AF631" s="697"/>
      <c r="AG631" s="697"/>
      <c r="AH631" s="697"/>
      <c r="AI631" s="697"/>
      <c r="AJ631" s="697"/>
      <c r="AK631" s="697"/>
      <c r="AL631" s="697"/>
      <c r="AM631" s="697"/>
      <c r="AN631" s="697"/>
      <c r="AO631" s="697"/>
      <c r="AP631" s="697"/>
      <c r="AQ631" s="697"/>
      <c r="AR631" s="697"/>
      <c r="AS631" s="697"/>
      <c r="AT631" s="697"/>
      <c r="AU631" s="697"/>
      <c r="AV631" s="697"/>
      <c r="AW631" s="697"/>
      <c r="AX631" s="697"/>
      <c r="AY631" s="697"/>
      <c r="AZ631" s="697"/>
      <c r="BA631" s="697"/>
      <c r="BB631" s="697"/>
      <c r="BC631" s="697"/>
      <c r="BD631" s="697"/>
      <c r="BE631" s="697"/>
      <c r="BF631" s="697"/>
      <c r="BG631" s="697"/>
      <c r="BH631" s="697"/>
      <c r="BI631" s="697"/>
      <c r="BJ631" s="697"/>
      <c r="BK631" s="697"/>
      <c r="BL631" s="697"/>
      <c r="BM631" s="697"/>
      <c r="BN631" s="697"/>
      <c r="BO631" s="697"/>
      <c r="BP631" s="697"/>
      <c r="BQ631" s="697"/>
      <c r="BR631" s="697"/>
      <c r="BS631" s="697"/>
      <c r="BT631" s="697"/>
      <c r="BU631" s="697"/>
      <c r="BV631" s="697"/>
      <c r="BW631" s="697"/>
      <c r="BX631" s="697"/>
      <c r="BY631" s="697"/>
      <c r="BZ631" s="697"/>
      <c r="CA631" s="697"/>
      <c r="CB631" s="697"/>
      <c r="CC631" s="697"/>
      <c r="CD631" s="697"/>
      <c r="CE631" s="697"/>
      <c r="CF631" s="697"/>
      <c r="CG631" s="697"/>
      <c r="CH631" s="697"/>
      <c r="CI631" s="697"/>
      <c r="CJ631" s="697"/>
      <c r="CK631" s="697"/>
      <c r="CL631" s="697"/>
      <c r="CM631" s="697"/>
      <c r="CN631" s="697"/>
      <c r="CO631" s="697"/>
      <c r="CP631" s="697"/>
      <c r="CQ631" s="697"/>
      <c r="CR631" s="697"/>
      <c r="CS631" s="697"/>
      <c r="CT631" s="697"/>
      <c r="CU631" s="697"/>
      <c r="CV631" s="697"/>
      <c r="CW631" s="697"/>
      <c r="CX631" s="697"/>
      <c r="CY631" s="697"/>
      <c r="CZ631" s="697"/>
      <c r="DA631" s="697"/>
    </row>
    <row r="632" spans="1:105" hidden="1" outlineLevel="1" x14ac:dyDescent="0.2">
      <c r="A632" s="709">
        <f t="shared" si="107"/>
        <v>40909</v>
      </c>
      <c r="B632" s="709" t="str">
        <f t="shared" si="104"/>
        <v>1Q12</v>
      </c>
      <c r="C632" s="709" t="str">
        <f t="shared" si="108"/>
        <v>1Q12</v>
      </c>
      <c r="D632" s="710">
        <f t="shared" si="112"/>
        <v>40977</v>
      </c>
      <c r="E632" s="710">
        <f t="shared" si="112"/>
        <v>40917</v>
      </c>
      <c r="F632" s="712">
        <v>3.8279999999999998</v>
      </c>
      <c r="G632" s="713">
        <f t="shared" si="105"/>
        <v>0.54000000000000026</v>
      </c>
      <c r="H632" s="713">
        <f t="shared" si="106"/>
        <v>0.55000000000000027</v>
      </c>
      <c r="I632" s="697"/>
      <c r="J632" s="697"/>
      <c r="K632" s="697"/>
      <c r="L632" s="697"/>
      <c r="M632" s="697"/>
      <c r="N632" s="697"/>
      <c r="O632" s="697"/>
      <c r="P632" s="697"/>
      <c r="Q632" s="697"/>
      <c r="R632" s="697"/>
      <c r="S632" s="697"/>
      <c r="T632" s="697"/>
      <c r="U632" s="697"/>
      <c r="V632" s="697"/>
      <c r="W632" s="697"/>
      <c r="X632" s="697"/>
      <c r="Y632" s="697"/>
      <c r="Z632" s="697"/>
      <c r="AA632" s="697"/>
      <c r="AB632" s="697"/>
      <c r="AC632" s="697"/>
      <c r="AD632" s="697"/>
      <c r="AE632" s="697"/>
      <c r="AF632" s="697"/>
      <c r="AG632" s="697"/>
      <c r="AH632" s="697"/>
      <c r="AI632" s="697"/>
      <c r="AJ632" s="697"/>
      <c r="AK632" s="697"/>
      <c r="AL632" s="697"/>
      <c r="AM632" s="697"/>
      <c r="AN632" s="697"/>
      <c r="AO632" s="697"/>
      <c r="AP632" s="697"/>
      <c r="AQ632" s="697"/>
      <c r="AR632" s="697"/>
      <c r="AS632" s="697"/>
      <c r="AT632" s="697"/>
      <c r="AU632" s="697"/>
      <c r="AV632" s="697"/>
      <c r="AW632" s="697"/>
      <c r="AX632" s="697"/>
      <c r="AY632" s="697"/>
      <c r="AZ632" s="697"/>
      <c r="BA632" s="697"/>
      <c r="BB632" s="697"/>
      <c r="BC632" s="697"/>
      <c r="BD632" s="697"/>
      <c r="BE632" s="697"/>
      <c r="BF632" s="697"/>
      <c r="BG632" s="697"/>
      <c r="BH632" s="697"/>
      <c r="BI632" s="697"/>
      <c r="BJ632" s="697"/>
      <c r="BK632" s="697"/>
      <c r="BL632" s="697"/>
      <c r="BM632" s="697"/>
      <c r="BN632" s="697"/>
      <c r="BO632" s="697"/>
      <c r="BP632" s="697"/>
      <c r="BQ632" s="697"/>
      <c r="BR632" s="697"/>
      <c r="BS632" s="697"/>
      <c r="BT632" s="697"/>
      <c r="BU632" s="697"/>
      <c r="BV632" s="697"/>
      <c r="BW632" s="697"/>
      <c r="BX632" s="697"/>
      <c r="BY632" s="697"/>
      <c r="BZ632" s="697"/>
      <c r="CA632" s="697"/>
      <c r="CB632" s="697"/>
      <c r="CC632" s="697"/>
      <c r="CD632" s="697"/>
      <c r="CE632" s="697"/>
      <c r="CF632" s="697"/>
      <c r="CG632" s="697"/>
      <c r="CH632" s="697"/>
      <c r="CI632" s="697"/>
      <c r="CJ632" s="697"/>
      <c r="CK632" s="697"/>
      <c r="CL632" s="697"/>
      <c r="CM632" s="697"/>
      <c r="CN632" s="697"/>
      <c r="CO632" s="697"/>
      <c r="CP632" s="697"/>
      <c r="CQ632" s="697"/>
      <c r="CR632" s="697"/>
      <c r="CS632" s="697"/>
      <c r="CT632" s="697"/>
      <c r="CU632" s="697"/>
      <c r="CV632" s="697"/>
      <c r="CW632" s="697"/>
      <c r="CX632" s="697"/>
      <c r="CY632" s="697"/>
      <c r="CZ632" s="697"/>
      <c r="DA632" s="697"/>
    </row>
    <row r="633" spans="1:105" hidden="1" outlineLevel="1" x14ac:dyDescent="0.2">
      <c r="A633" s="709">
        <f t="shared" si="107"/>
        <v>40909</v>
      </c>
      <c r="B633" s="709" t="str">
        <f t="shared" si="104"/>
        <v>1Q12</v>
      </c>
      <c r="C633" s="709" t="str">
        <f t="shared" si="108"/>
        <v>1Q12</v>
      </c>
      <c r="D633" s="710">
        <f t="shared" si="112"/>
        <v>40984</v>
      </c>
      <c r="E633" s="710">
        <f t="shared" si="112"/>
        <v>40924</v>
      </c>
      <c r="F633" s="712">
        <v>3.8540000000000001</v>
      </c>
      <c r="G633" s="713">
        <f t="shared" si="105"/>
        <v>0.55000000000000027</v>
      </c>
      <c r="H633" s="713">
        <f t="shared" si="106"/>
        <v>0.54000000000000026</v>
      </c>
      <c r="I633" s="697"/>
      <c r="J633" s="697"/>
      <c r="K633" s="697"/>
      <c r="L633" s="697"/>
      <c r="M633" s="697"/>
      <c r="N633" s="697"/>
      <c r="O633" s="697"/>
      <c r="P633" s="697"/>
      <c r="Q633" s="697"/>
      <c r="R633" s="697"/>
      <c r="S633" s="697"/>
      <c r="T633" s="697"/>
      <c r="U633" s="697"/>
      <c r="V633" s="697"/>
      <c r="W633" s="697"/>
      <c r="X633" s="697"/>
      <c r="Y633" s="697"/>
      <c r="Z633" s="697"/>
      <c r="AA633" s="697"/>
      <c r="AB633" s="697"/>
      <c r="AC633" s="697"/>
      <c r="AD633" s="697"/>
      <c r="AE633" s="697"/>
      <c r="AF633" s="697"/>
      <c r="AG633" s="697"/>
      <c r="AH633" s="697"/>
      <c r="AI633" s="697"/>
      <c r="AJ633" s="697"/>
      <c r="AK633" s="697"/>
      <c r="AL633" s="697"/>
      <c r="AM633" s="697"/>
      <c r="AN633" s="697"/>
      <c r="AO633" s="697"/>
      <c r="AP633" s="697"/>
      <c r="AQ633" s="697"/>
      <c r="AR633" s="697"/>
      <c r="AS633" s="697"/>
      <c r="AT633" s="697"/>
      <c r="AU633" s="697"/>
      <c r="AV633" s="697"/>
      <c r="AW633" s="697"/>
      <c r="AX633" s="697"/>
      <c r="AY633" s="697"/>
      <c r="AZ633" s="697"/>
      <c r="BA633" s="697"/>
      <c r="BB633" s="697"/>
      <c r="BC633" s="697"/>
      <c r="BD633" s="697"/>
      <c r="BE633" s="697"/>
      <c r="BF633" s="697"/>
      <c r="BG633" s="697"/>
      <c r="BH633" s="697"/>
      <c r="BI633" s="697"/>
      <c r="BJ633" s="697"/>
      <c r="BK633" s="697"/>
      <c r="BL633" s="697"/>
      <c r="BM633" s="697"/>
      <c r="BN633" s="697"/>
      <c r="BO633" s="697"/>
      <c r="BP633" s="697"/>
      <c r="BQ633" s="697"/>
      <c r="BR633" s="697"/>
      <c r="BS633" s="697"/>
      <c r="BT633" s="697"/>
      <c r="BU633" s="697"/>
      <c r="BV633" s="697"/>
      <c r="BW633" s="697"/>
      <c r="BX633" s="697"/>
      <c r="BY633" s="697"/>
      <c r="BZ633" s="697"/>
      <c r="CA633" s="697"/>
      <c r="CB633" s="697"/>
      <c r="CC633" s="697"/>
      <c r="CD633" s="697"/>
      <c r="CE633" s="697"/>
      <c r="CF633" s="697"/>
      <c r="CG633" s="697"/>
      <c r="CH633" s="697"/>
      <c r="CI633" s="697"/>
      <c r="CJ633" s="697"/>
      <c r="CK633" s="697"/>
      <c r="CL633" s="697"/>
      <c r="CM633" s="697"/>
      <c r="CN633" s="697"/>
      <c r="CO633" s="697"/>
      <c r="CP633" s="697"/>
      <c r="CQ633" s="697"/>
      <c r="CR633" s="697"/>
      <c r="CS633" s="697"/>
      <c r="CT633" s="697"/>
      <c r="CU633" s="697"/>
      <c r="CV633" s="697"/>
      <c r="CW633" s="697"/>
      <c r="CX633" s="697"/>
      <c r="CY633" s="697"/>
      <c r="CZ633" s="697"/>
      <c r="DA633" s="697"/>
    </row>
    <row r="634" spans="1:105" hidden="1" outlineLevel="1" x14ac:dyDescent="0.2">
      <c r="A634" s="709">
        <f t="shared" si="107"/>
        <v>40909</v>
      </c>
      <c r="B634" s="709" t="str">
        <f t="shared" si="104"/>
        <v>1Q12</v>
      </c>
      <c r="C634" s="709" t="str">
        <f t="shared" si="108"/>
        <v>1Q12</v>
      </c>
      <c r="D634" s="710">
        <f t="shared" si="112"/>
        <v>40991</v>
      </c>
      <c r="E634" s="710">
        <f t="shared" si="112"/>
        <v>40931</v>
      </c>
      <c r="F634" s="712">
        <v>3.8479999999999999</v>
      </c>
      <c r="G634" s="713">
        <f t="shared" si="105"/>
        <v>0.54000000000000026</v>
      </c>
      <c r="H634" s="713">
        <f t="shared" si="106"/>
        <v>0.55000000000000027</v>
      </c>
      <c r="I634" s="697"/>
      <c r="J634" s="697"/>
      <c r="K634" s="697"/>
      <c r="L634" s="697"/>
      <c r="M634" s="697"/>
      <c r="N634" s="697"/>
      <c r="O634" s="697"/>
      <c r="P634" s="697"/>
      <c r="Q634" s="697"/>
      <c r="R634" s="697"/>
      <c r="S634" s="697"/>
      <c r="T634" s="697"/>
      <c r="U634" s="697"/>
      <c r="V634" s="697"/>
      <c r="W634" s="697"/>
      <c r="X634" s="697"/>
      <c r="Y634" s="697"/>
      <c r="Z634" s="697"/>
      <c r="AA634" s="697"/>
      <c r="AB634" s="697"/>
      <c r="AC634" s="697"/>
      <c r="AD634" s="697"/>
      <c r="AE634" s="697"/>
      <c r="AF634" s="697"/>
      <c r="AG634" s="697"/>
      <c r="AH634" s="697"/>
      <c r="AI634" s="697"/>
      <c r="AJ634" s="697"/>
      <c r="AK634" s="697"/>
      <c r="AL634" s="697"/>
      <c r="AM634" s="697"/>
      <c r="AN634" s="697"/>
      <c r="AO634" s="697"/>
      <c r="AP634" s="697"/>
      <c r="AQ634" s="697"/>
      <c r="AR634" s="697"/>
      <c r="AS634" s="697"/>
      <c r="AT634" s="697"/>
      <c r="AU634" s="697"/>
      <c r="AV634" s="697"/>
      <c r="AW634" s="697"/>
      <c r="AX634" s="697"/>
      <c r="AY634" s="697"/>
      <c r="AZ634" s="697"/>
      <c r="BA634" s="697"/>
      <c r="BB634" s="697"/>
      <c r="BC634" s="697"/>
      <c r="BD634" s="697"/>
      <c r="BE634" s="697"/>
      <c r="BF634" s="697"/>
      <c r="BG634" s="697"/>
      <c r="BH634" s="697"/>
      <c r="BI634" s="697"/>
      <c r="BJ634" s="697"/>
      <c r="BK634" s="697"/>
      <c r="BL634" s="697"/>
      <c r="BM634" s="697"/>
      <c r="BN634" s="697"/>
      <c r="BO634" s="697"/>
      <c r="BP634" s="697"/>
      <c r="BQ634" s="697"/>
      <c r="BR634" s="697"/>
      <c r="BS634" s="697"/>
      <c r="BT634" s="697"/>
      <c r="BU634" s="697"/>
      <c r="BV634" s="697"/>
      <c r="BW634" s="697"/>
      <c r="BX634" s="697"/>
      <c r="BY634" s="697"/>
      <c r="BZ634" s="697"/>
      <c r="CA634" s="697"/>
      <c r="CB634" s="697"/>
      <c r="CC634" s="697"/>
      <c r="CD634" s="697"/>
      <c r="CE634" s="697"/>
      <c r="CF634" s="697"/>
      <c r="CG634" s="697"/>
      <c r="CH634" s="697"/>
      <c r="CI634" s="697"/>
      <c r="CJ634" s="697"/>
      <c r="CK634" s="697"/>
      <c r="CL634" s="697"/>
      <c r="CM634" s="697"/>
      <c r="CN634" s="697"/>
      <c r="CO634" s="697"/>
      <c r="CP634" s="697"/>
      <c r="CQ634" s="697"/>
      <c r="CR634" s="697"/>
      <c r="CS634" s="697"/>
      <c r="CT634" s="697"/>
      <c r="CU634" s="697"/>
      <c r="CV634" s="697"/>
      <c r="CW634" s="697"/>
      <c r="CX634" s="697"/>
      <c r="CY634" s="697"/>
      <c r="CZ634" s="697"/>
      <c r="DA634" s="697"/>
    </row>
    <row r="635" spans="1:105" hidden="1" outlineLevel="1" x14ac:dyDescent="0.2">
      <c r="A635" s="709">
        <f t="shared" si="107"/>
        <v>40909</v>
      </c>
      <c r="B635" s="709" t="str">
        <f t="shared" si="104"/>
        <v>1Q12</v>
      </c>
      <c r="C635" s="709" t="str">
        <f t="shared" si="108"/>
        <v>1Q12</v>
      </c>
      <c r="D635" s="710">
        <f t="shared" si="112"/>
        <v>40998</v>
      </c>
      <c r="E635" s="710">
        <f t="shared" si="112"/>
        <v>40938</v>
      </c>
      <c r="F635" s="712">
        <v>3.85</v>
      </c>
      <c r="G635" s="713">
        <f t="shared" si="105"/>
        <v>0.55000000000000027</v>
      </c>
      <c r="H635" s="713">
        <f t="shared" si="106"/>
        <v>0.55000000000000027</v>
      </c>
      <c r="I635" s="697"/>
      <c r="J635" s="697"/>
      <c r="K635" s="697"/>
      <c r="L635" s="697"/>
      <c r="M635" s="697"/>
      <c r="N635" s="697"/>
      <c r="O635" s="697"/>
      <c r="P635" s="697"/>
      <c r="Q635" s="697"/>
      <c r="R635" s="697"/>
      <c r="S635" s="697"/>
      <c r="T635" s="697"/>
      <c r="U635" s="697"/>
      <c r="V635" s="697"/>
      <c r="W635" s="697"/>
      <c r="X635" s="697"/>
      <c r="Y635" s="697"/>
      <c r="Z635" s="697"/>
      <c r="AA635" s="697"/>
      <c r="AB635" s="697"/>
      <c r="AC635" s="697"/>
      <c r="AD635" s="697"/>
      <c r="AE635" s="697"/>
      <c r="AF635" s="697"/>
      <c r="AG635" s="697"/>
      <c r="AH635" s="697"/>
      <c r="AI635" s="697"/>
      <c r="AJ635" s="697"/>
      <c r="AK635" s="697"/>
      <c r="AL635" s="697"/>
      <c r="AM635" s="697"/>
      <c r="AN635" s="697"/>
      <c r="AO635" s="697"/>
      <c r="AP635" s="697"/>
      <c r="AQ635" s="697"/>
      <c r="AR635" s="697"/>
      <c r="AS635" s="697"/>
      <c r="AT635" s="697"/>
      <c r="AU635" s="697"/>
      <c r="AV635" s="697"/>
      <c r="AW635" s="697"/>
      <c r="AX635" s="697"/>
      <c r="AY635" s="697"/>
      <c r="AZ635" s="697"/>
      <c r="BA635" s="697"/>
      <c r="BB635" s="697"/>
      <c r="BC635" s="697"/>
      <c r="BD635" s="697"/>
      <c r="BE635" s="697"/>
      <c r="BF635" s="697"/>
      <c r="BG635" s="697"/>
      <c r="BH635" s="697"/>
      <c r="BI635" s="697"/>
      <c r="BJ635" s="697"/>
      <c r="BK635" s="697"/>
      <c r="BL635" s="697"/>
      <c r="BM635" s="697"/>
      <c r="BN635" s="697"/>
      <c r="BO635" s="697"/>
      <c r="BP635" s="697"/>
      <c r="BQ635" s="697"/>
      <c r="BR635" s="697"/>
      <c r="BS635" s="697"/>
      <c r="BT635" s="697"/>
      <c r="BU635" s="697"/>
      <c r="BV635" s="697"/>
      <c r="BW635" s="697"/>
      <c r="BX635" s="697"/>
      <c r="BY635" s="697"/>
      <c r="BZ635" s="697"/>
      <c r="CA635" s="697"/>
      <c r="CB635" s="697"/>
      <c r="CC635" s="697"/>
      <c r="CD635" s="697"/>
      <c r="CE635" s="697"/>
      <c r="CF635" s="697"/>
      <c r="CG635" s="697"/>
      <c r="CH635" s="697"/>
      <c r="CI635" s="697"/>
      <c r="CJ635" s="697"/>
      <c r="CK635" s="697"/>
      <c r="CL635" s="697"/>
      <c r="CM635" s="697"/>
      <c r="CN635" s="697"/>
      <c r="CO635" s="697"/>
      <c r="CP635" s="697"/>
      <c r="CQ635" s="697"/>
      <c r="CR635" s="697"/>
      <c r="CS635" s="697"/>
      <c r="CT635" s="697"/>
      <c r="CU635" s="697"/>
      <c r="CV635" s="697"/>
      <c r="CW635" s="697"/>
      <c r="CX635" s="697"/>
      <c r="CY635" s="697"/>
      <c r="CZ635" s="697"/>
      <c r="DA635" s="697"/>
    </row>
    <row r="636" spans="1:105" hidden="1" outlineLevel="1" x14ac:dyDescent="0.2">
      <c r="A636" s="709">
        <f t="shared" si="107"/>
        <v>40940</v>
      </c>
      <c r="B636" s="709" t="str">
        <f t="shared" si="104"/>
        <v>1Q12</v>
      </c>
      <c r="C636" s="709" t="str">
        <f t="shared" si="108"/>
        <v>2Q12</v>
      </c>
      <c r="D636" s="710">
        <f t="shared" si="112"/>
        <v>41005</v>
      </c>
      <c r="E636" s="710">
        <f t="shared" si="112"/>
        <v>40945</v>
      </c>
      <c r="F636" s="712">
        <v>3.8559999999999999</v>
      </c>
      <c r="G636" s="713">
        <f t="shared" si="105"/>
        <v>0.55000000000000027</v>
      </c>
      <c r="H636" s="713">
        <f t="shared" si="106"/>
        <v>0.56000000000000028</v>
      </c>
      <c r="I636" s="697"/>
      <c r="J636" s="697"/>
      <c r="K636" s="697"/>
      <c r="L636" s="697"/>
      <c r="M636" s="697"/>
      <c r="N636" s="697"/>
      <c r="O636" s="697"/>
      <c r="P636" s="697"/>
      <c r="Q636" s="697"/>
      <c r="R636" s="697"/>
      <c r="S636" s="697"/>
      <c r="T636" s="697"/>
      <c r="U636" s="697"/>
      <c r="V636" s="697"/>
      <c r="W636" s="697"/>
      <c r="X636" s="697"/>
      <c r="Y636" s="697"/>
      <c r="Z636" s="697"/>
      <c r="AA636" s="697"/>
      <c r="AB636" s="697"/>
      <c r="AC636" s="697"/>
      <c r="AD636" s="697"/>
      <c r="AE636" s="697"/>
      <c r="AF636" s="697"/>
      <c r="AG636" s="697"/>
      <c r="AH636" s="697"/>
      <c r="AI636" s="697"/>
      <c r="AJ636" s="697"/>
      <c r="AK636" s="697"/>
      <c r="AL636" s="697"/>
      <c r="AM636" s="697"/>
      <c r="AN636" s="697"/>
      <c r="AO636" s="697"/>
      <c r="AP636" s="697"/>
      <c r="AQ636" s="697"/>
      <c r="AR636" s="697"/>
      <c r="AS636" s="697"/>
      <c r="AT636" s="697"/>
      <c r="AU636" s="697"/>
      <c r="AV636" s="697"/>
      <c r="AW636" s="697"/>
      <c r="AX636" s="697"/>
      <c r="AY636" s="697"/>
      <c r="AZ636" s="697"/>
      <c r="BA636" s="697"/>
      <c r="BB636" s="697"/>
      <c r="BC636" s="697"/>
      <c r="BD636" s="697"/>
      <c r="BE636" s="697"/>
      <c r="BF636" s="697"/>
      <c r="BG636" s="697"/>
      <c r="BH636" s="697"/>
      <c r="BI636" s="697"/>
      <c r="BJ636" s="697"/>
      <c r="BK636" s="697"/>
      <c r="BL636" s="697"/>
      <c r="BM636" s="697"/>
      <c r="BN636" s="697"/>
      <c r="BO636" s="697"/>
      <c r="BP636" s="697"/>
      <c r="BQ636" s="697"/>
      <c r="BR636" s="697"/>
      <c r="BS636" s="697"/>
      <c r="BT636" s="697"/>
      <c r="BU636" s="697"/>
      <c r="BV636" s="697"/>
      <c r="BW636" s="697"/>
      <c r="BX636" s="697"/>
      <c r="BY636" s="697"/>
      <c r="BZ636" s="697"/>
      <c r="CA636" s="697"/>
      <c r="CB636" s="697"/>
      <c r="CC636" s="697"/>
      <c r="CD636" s="697"/>
      <c r="CE636" s="697"/>
      <c r="CF636" s="697"/>
      <c r="CG636" s="697"/>
      <c r="CH636" s="697"/>
      <c r="CI636" s="697"/>
      <c r="CJ636" s="697"/>
      <c r="CK636" s="697"/>
      <c r="CL636" s="697"/>
      <c r="CM636" s="697"/>
      <c r="CN636" s="697"/>
      <c r="CO636" s="697"/>
      <c r="CP636" s="697"/>
      <c r="CQ636" s="697"/>
      <c r="CR636" s="697"/>
      <c r="CS636" s="697"/>
      <c r="CT636" s="697"/>
      <c r="CU636" s="697"/>
      <c r="CV636" s="697"/>
      <c r="CW636" s="697"/>
      <c r="CX636" s="697"/>
      <c r="CY636" s="697"/>
      <c r="CZ636" s="697"/>
      <c r="DA636" s="697"/>
    </row>
    <row r="637" spans="1:105" hidden="1" outlineLevel="1" x14ac:dyDescent="0.2">
      <c r="A637" s="709">
        <f t="shared" si="107"/>
        <v>40940</v>
      </c>
      <c r="B637" s="709" t="str">
        <f t="shared" si="104"/>
        <v>1Q12</v>
      </c>
      <c r="C637" s="709" t="str">
        <f t="shared" si="108"/>
        <v>2Q12</v>
      </c>
      <c r="D637" s="710">
        <f t="shared" si="112"/>
        <v>41012</v>
      </c>
      <c r="E637" s="710">
        <f t="shared" si="112"/>
        <v>40952</v>
      </c>
      <c r="F637" s="712">
        <v>3.9430000000000001</v>
      </c>
      <c r="G637" s="713">
        <f t="shared" si="105"/>
        <v>0.56000000000000028</v>
      </c>
      <c r="H637" s="713">
        <f t="shared" si="106"/>
        <v>0.57000000000000028</v>
      </c>
      <c r="I637" s="697"/>
      <c r="J637" s="697"/>
      <c r="K637" s="697"/>
      <c r="L637" s="697"/>
      <c r="M637" s="697"/>
      <c r="N637" s="697"/>
      <c r="O637" s="697"/>
      <c r="P637" s="697"/>
      <c r="Q637" s="697"/>
      <c r="R637" s="697"/>
      <c r="S637" s="697"/>
      <c r="T637" s="697"/>
      <c r="U637" s="697"/>
      <c r="V637" s="697"/>
      <c r="W637" s="697"/>
      <c r="X637" s="697"/>
      <c r="Y637" s="697"/>
      <c r="Z637" s="697"/>
      <c r="AA637" s="697"/>
      <c r="AB637" s="697"/>
      <c r="AC637" s="697"/>
      <c r="AD637" s="697"/>
      <c r="AE637" s="697"/>
      <c r="AF637" s="697"/>
      <c r="AG637" s="697"/>
      <c r="AH637" s="697"/>
      <c r="AI637" s="697"/>
      <c r="AJ637" s="697"/>
      <c r="AK637" s="697"/>
      <c r="AL637" s="697"/>
      <c r="AM637" s="697"/>
      <c r="AN637" s="697"/>
      <c r="AO637" s="697"/>
      <c r="AP637" s="697"/>
      <c r="AQ637" s="697"/>
      <c r="AR637" s="697"/>
      <c r="AS637" s="697"/>
      <c r="AT637" s="697"/>
      <c r="AU637" s="697"/>
      <c r="AV637" s="697"/>
      <c r="AW637" s="697"/>
      <c r="AX637" s="697"/>
      <c r="AY637" s="697"/>
      <c r="AZ637" s="697"/>
      <c r="BA637" s="697"/>
      <c r="BB637" s="697"/>
      <c r="BC637" s="697"/>
      <c r="BD637" s="697"/>
      <c r="BE637" s="697"/>
      <c r="BF637" s="697"/>
      <c r="BG637" s="697"/>
      <c r="BH637" s="697"/>
      <c r="BI637" s="697"/>
      <c r="BJ637" s="697"/>
      <c r="BK637" s="697"/>
      <c r="BL637" s="697"/>
      <c r="BM637" s="697"/>
      <c r="BN637" s="697"/>
      <c r="BO637" s="697"/>
      <c r="BP637" s="697"/>
      <c r="BQ637" s="697"/>
      <c r="BR637" s="697"/>
      <c r="BS637" s="697"/>
      <c r="BT637" s="697"/>
      <c r="BU637" s="697"/>
      <c r="BV637" s="697"/>
      <c r="BW637" s="697"/>
      <c r="BX637" s="697"/>
      <c r="BY637" s="697"/>
      <c r="BZ637" s="697"/>
      <c r="CA637" s="697"/>
      <c r="CB637" s="697"/>
      <c r="CC637" s="697"/>
      <c r="CD637" s="697"/>
      <c r="CE637" s="697"/>
      <c r="CF637" s="697"/>
      <c r="CG637" s="697"/>
      <c r="CH637" s="697"/>
      <c r="CI637" s="697"/>
      <c r="CJ637" s="697"/>
      <c r="CK637" s="697"/>
      <c r="CL637" s="697"/>
      <c r="CM637" s="697"/>
      <c r="CN637" s="697"/>
      <c r="CO637" s="697"/>
      <c r="CP637" s="697"/>
      <c r="CQ637" s="697"/>
      <c r="CR637" s="697"/>
      <c r="CS637" s="697"/>
      <c r="CT637" s="697"/>
      <c r="CU637" s="697"/>
      <c r="CV637" s="697"/>
      <c r="CW637" s="697"/>
      <c r="CX637" s="697"/>
      <c r="CY637" s="697"/>
      <c r="CZ637" s="697"/>
      <c r="DA637" s="697"/>
    </row>
    <row r="638" spans="1:105" hidden="1" outlineLevel="1" x14ac:dyDescent="0.2">
      <c r="A638" s="709">
        <f t="shared" si="107"/>
        <v>40940</v>
      </c>
      <c r="B638" s="709" t="str">
        <f t="shared" si="104"/>
        <v>1Q12</v>
      </c>
      <c r="C638" s="709" t="str">
        <f t="shared" si="108"/>
        <v>2Q12</v>
      </c>
      <c r="D638" s="710">
        <f t="shared" si="112"/>
        <v>41019</v>
      </c>
      <c r="E638" s="710">
        <f t="shared" si="112"/>
        <v>40959</v>
      </c>
      <c r="F638" s="712">
        <v>3.96</v>
      </c>
      <c r="G638" s="713">
        <f t="shared" si="105"/>
        <v>0.57000000000000028</v>
      </c>
      <c r="H638" s="713">
        <f t="shared" si="106"/>
        <v>0.5900000000000003</v>
      </c>
      <c r="I638" s="697"/>
      <c r="J638" s="697"/>
      <c r="K638" s="697"/>
      <c r="L638" s="697"/>
      <c r="M638" s="697"/>
      <c r="N638" s="697"/>
      <c r="O638" s="697"/>
      <c r="P638" s="697"/>
      <c r="Q638" s="697"/>
      <c r="R638" s="697"/>
      <c r="S638" s="697"/>
      <c r="T638" s="697"/>
      <c r="U638" s="697"/>
      <c r="V638" s="697"/>
      <c r="W638" s="697"/>
      <c r="X638" s="697"/>
      <c r="Y638" s="697"/>
      <c r="Z638" s="697"/>
      <c r="AA638" s="697"/>
      <c r="AB638" s="697"/>
      <c r="AC638" s="697"/>
      <c r="AD638" s="697"/>
      <c r="AE638" s="697"/>
      <c r="AF638" s="697"/>
      <c r="AG638" s="697"/>
      <c r="AH638" s="697"/>
      <c r="AI638" s="697"/>
      <c r="AJ638" s="697"/>
      <c r="AK638" s="697"/>
      <c r="AL638" s="697"/>
      <c r="AM638" s="697"/>
      <c r="AN638" s="697"/>
      <c r="AO638" s="697"/>
      <c r="AP638" s="697"/>
      <c r="AQ638" s="697"/>
      <c r="AR638" s="697"/>
      <c r="AS638" s="697"/>
      <c r="AT638" s="697"/>
      <c r="AU638" s="697"/>
      <c r="AV638" s="697"/>
      <c r="AW638" s="697"/>
      <c r="AX638" s="697"/>
      <c r="AY638" s="697"/>
      <c r="AZ638" s="697"/>
      <c r="BA638" s="697"/>
      <c r="BB638" s="697"/>
      <c r="BC638" s="697"/>
      <c r="BD638" s="697"/>
      <c r="BE638" s="697"/>
      <c r="BF638" s="697"/>
      <c r="BG638" s="697"/>
      <c r="BH638" s="697"/>
      <c r="BI638" s="697"/>
      <c r="BJ638" s="697"/>
      <c r="BK638" s="697"/>
      <c r="BL638" s="697"/>
      <c r="BM638" s="697"/>
      <c r="BN638" s="697"/>
      <c r="BO638" s="697"/>
      <c r="BP638" s="697"/>
      <c r="BQ638" s="697"/>
      <c r="BR638" s="697"/>
      <c r="BS638" s="697"/>
      <c r="BT638" s="697"/>
      <c r="BU638" s="697"/>
      <c r="BV638" s="697"/>
      <c r="BW638" s="697"/>
      <c r="BX638" s="697"/>
      <c r="BY638" s="697"/>
      <c r="BZ638" s="697"/>
      <c r="CA638" s="697"/>
      <c r="CB638" s="697"/>
      <c r="CC638" s="697"/>
      <c r="CD638" s="697"/>
      <c r="CE638" s="697"/>
      <c r="CF638" s="697"/>
      <c r="CG638" s="697"/>
      <c r="CH638" s="697"/>
      <c r="CI638" s="697"/>
      <c r="CJ638" s="697"/>
      <c r="CK638" s="697"/>
      <c r="CL638" s="697"/>
      <c r="CM638" s="697"/>
      <c r="CN638" s="697"/>
      <c r="CO638" s="697"/>
      <c r="CP638" s="697"/>
      <c r="CQ638" s="697"/>
      <c r="CR638" s="697"/>
      <c r="CS638" s="697"/>
      <c r="CT638" s="697"/>
      <c r="CU638" s="697"/>
      <c r="CV638" s="697"/>
      <c r="CW638" s="697"/>
      <c r="CX638" s="697"/>
      <c r="CY638" s="697"/>
      <c r="CZ638" s="697"/>
      <c r="DA638" s="697"/>
    </row>
    <row r="639" spans="1:105" hidden="1" outlineLevel="1" x14ac:dyDescent="0.2">
      <c r="A639" s="709">
        <f t="shared" si="107"/>
        <v>40940</v>
      </c>
      <c r="B639" s="709" t="str">
        <f t="shared" si="104"/>
        <v>1Q12</v>
      </c>
      <c r="C639" s="709" t="str">
        <f t="shared" si="108"/>
        <v>2Q12</v>
      </c>
      <c r="D639" s="710">
        <f t="shared" si="112"/>
        <v>41026</v>
      </c>
      <c r="E639" s="710">
        <f t="shared" si="112"/>
        <v>40966</v>
      </c>
      <c r="F639" s="712">
        <v>4.0510000000000002</v>
      </c>
      <c r="G639" s="713">
        <f t="shared" si="105"/>
        <v>0.5900000000000003</v>
      </c>
      <c r="H639" s="713">
        <f t="shared" si="106"/>
        <v>0.5900000000000003</v>
      </c>
      <c r="I639" s="697"/>
      <c r="J639" s="697"/>
      <c r="K639" s="697"/>
      <c r="L639" s="697"/>
      <c r="M639" s="697"/>
      <c r="N639" s="697"/>
      <c r="O639" s="697"/>
      <c r="P639" s="697"/>
      <c r="Q639" s="697"/>
      <c r="R639" s="697"/>
      <c r="S639" s="697"/>
      <c r="T639" s="697"/>
      <c r="U639" s="697"/>
      <c r="V639" s="697"/>
      <c r="W639" s="697"/>
      <c r="X639" s="697"/>
      <c r="Y639" s="697"/>
      <c r="Z639" s="697"/>
      <c r="AA639" s="697"/>
      <c r="AB639" s="697"/>
      <c r="AC639" s="697"/>
      <c r="AD639" s="697"/>
      <c r="AE639" s="697"/>
      <c r="AF639" s="697"/>
      <c r="AG639" s="697"/>
      <c r="AH639" s="697"/>
      <c r="AI639" s="697"/>
      <c r="AJ639" s="697"/>
      <c r="AK639" s="697"/>
      <c r="AL639" s="697"/>
      <c r="AM639" s="697"/>
      <c r="AN639" s="697"/>
      <c r="AO639" s="697"/>
      <c r="AP639" s="697"/>
      <c r="AQ639" s="697"/>
      <c r="AR639" s="697"/>
      <c r="AS639" s="697"/>
      <c r="AT639" s="697"/>
      <c r="AU639" s="697"/>
      <c r="AV639" s="697"/>
      <c r="AW639" s="697"/>
      <c r="AX639" s="697"/>
      <c r="AY639" s="697"/>
      <c r="AZ639" s="697"/>
      <c r="BA639" s="697"/>
      <c r="BB639" s="697"/>
      <c r="BC639" s="697"/>
      <c r="BD639" s="697"/>
      <c r="BE639" s="697"/>
      <c r="BF639" s="697"/>
      <c r="BG639" s="697"/>
      <c r="BH639" s="697"/>
      <c r="BI639" s="697"/>
      <c r="BJ639" s="697"/>
      <c r="BK639" s="697"/>
      <c r="BL639" s="697"/>
      <c r="BM639" s="697"/>
      <c r="BN639" s="697"/>
      <c r="BO639" s="697"/>
      <c r="BP639" s="697"/>
      <c r="BQ639" s="697"/>
      <c r="BR639" s="697"/>
      <c r="BS639" s="697"/>
      <c r="BT639" s="697"/>
      <c r="BU639" s="697"/>
      <c r="BV639" s="697"/>
      <c r="BW639" s="697"/>
      <c r="BX639" s="697"/>
      <c r="BY639" s="697"/>
      <c r="BZ639" s="697"/>
      <c r="CA639" s="697"/>
      <c r="CB639" s="697"/>
      <c r="CC639" s="697"/>
      <c r="CD639" s="697"/>
      <c r="CE639" s="697"/>
      <c r="CF639" s="697"/>
      <c r="CG639" s="697"/>
      <c r="CH639" s="697"/>
      <c r="CI639" s="697"/>
      <c r="CJ639" s="697"/>
      <c r="CK639" s="697"/>
      <c r="CL639" s="697"/>
      <c r="CM639" s="697"/>
      <c r="CN639" s="697"/>
      <c r="CO639" s="697"/>
      <c r="CP639" s="697"/>
      <c r="CQ639" s="697"/>
      <c r="CR639" s="697"/>
      <c r="CS639" s="697"/>
      <c r="CT639" s="697"/>
      <c r="CU639" s="697"/>
      <c r="CV639" s="697"/>
      <c r="CW639" s="697"/>
      <c r="CX639" s="697"/>
      <c r="CY639" s="697"/>
      <c r="CZ639" s="697"/>
      <c r="DA639" s="697"/>
    </row>
    <row r="640" spans="1:105" hidden="1" outlineLevel="1" x14ac:dyDescent="0.2">
      <c r="A640" s="709">
        <f t="shared" si="107"/>
        <v>40969</v>
      </c>
      <c r="B640" s="709" t="str">
        <f t="shared" si="104"/>
        <v>1Q12</v>
      </c>
      <c r="C640" s="709" t="str">
        <f t="shared" si="108"/>
        <v>2Q12</v>
      </c>
      <c r="D640" s="710">
        <f t="shared" si="112"/>
        <v>41033</v>
      </c>
      <c r="E640" s="710">
        <f t="shared" si="112"/>
        <v>40973</v>
      </c>
      <c r="F640" s="712">
        <v>4.0940000000000003</v>
      </c>
      <c r="G640" s="713">
        <f t="shared" si="105"/>
        <v>0.5900000000000003</v>
      </c>
      <c r="H640" s="713">
        <f t="shared" si="106"/>
        <v>0.60000000000000031</v>
      </c>
      <c r="I640" s="697"/>
      <c r="J640" s="697"/>
      <c r="K640" s="697"/>
      <c r="L640" s="697"/>
      <c r="M640" s="697"/>
      <c r="N640" s="697"/>
      <c r="O640" s="697"/>
      <c r="P640" s="697"/>
      <c r="Q640" s="697"/>
      <c r="R640" s="697"/>
      <c r="S640" s="697"/>
      <c r="T640" s="697"/>
      <c r="U640" s="697"/>
      <c r="V640" s="697"/>
      <c r="W640" s="697"/>
      <c r="X640" s="697"/>
      <c r="Y640" s="697"/>
      <c r="Z640" s="697"/>
      <c r="AA640" s="697"/>
      <c r="AB640" s="697"/>
      <c r="AC640" s="697"/>
      <c r="AD640" s="697"/>
      <c r="AE640" s="697"/>
      <c r="AF640" s="697"/>
      <c r="AG640" s="697"/>
      <c r="AH640" s="697"/>
      <c r="AI640" s="697"/>
      <c r="AJ640" s="697"/>
      <c r="AK640" s="697"/>
      <c r="AL640" s="697"/>
      <c r="AM640" s="697"/>
      <c r="AN640" s="697"/>
      <c r="AO640" s="697"/>
      <c r="AP640" s="697"/>
      <c r="AQ640" s="697"/>
      <c r="AR640" s="697"/>
      <c r="AS640" s="697"/>
      <c r="AT640" s="697"/>
      <c r="AU640" s="697"/>
      <c r="AV640" s="697"/>
      <c r="AW640" s="697"/>
      <c r="AX640" s="697"/>
      <c r="AY640" s="697"/>
      <c r="AZ640" s="697"/>
      <c r="BA640" s="697"/>
      <c r="BB640" s="697"/>
      <c r="BC640" s="697"/>
      <c r="BD640" s="697"/>
      <c r="BE640" s="697"/>
      <c r="BF640" s="697"/>
      <c r="BG640" s="697"/>
      <c r="BH640" s="697"/>
      <c r="BI640" s="697"/>
      <c r="BJ640" s="697"/>
      <c r="BK640" s="697"/>
      <c r="BL640" s="697"/>
      <c r="BM640" s="697"/>
      <c r="BN640" s="697"/>
      <c r="BO640" s="697"/>
      <c r="BP640" s="697"/>
      <c r="BQ640" s="697"/>
      <c r="BR640" s="697"/>
      <c r="BS640" s="697"/>
      <c r="BT640" s="697"/>
      <c r="BU640" s="697"/>
      <c r="BV640" s="697"/>
      <c r="BW640" s="697"/>
      <c r="BX640" s="697"/>
      <c r="BY640" s="697"/>
      <c r="BZ640" s="697"/>
      <c r="CA640" s="697"/>
      <c r="CB640" s="697"/>
      <c r="CC640" s="697"/>
      <c r="CD640" s="697"/>
      <c r="CE640" s="697"/>
      <c r="CF640" s="697"/>
      <c r="CG640" s="697"/>
      <c r="CH640" s="697"/>
      <c r="CI640" s="697"/>
      <c r="CJ640" s="697"/>
      <c r="CK640" s="697"/>
      <c r="CL640" s="697"/>
      <c r="CM640" s="697"/>
      <c r="CN640" s="697"/>
      <c r="CO640" s="697"/>
      <c r="CP640" s="697"/>
      <c r="CQ640" s="697"/>
      <c r="CR640" s="697"/>
      <c r="CS640" s="697"/>
      <c r="CT640" s="697"/>
      <c r="CU640" s="697"/>
      <c r="CV640" s="697"/>
      <c r="CW640" s="697"/>
      <c r="CX640" s="697"/>
      <c r="CY640" s="697"/>
      <c r="CZ640" s="697"/>
      <c r="DA640" s="697"/>
    </row>
    <row r="641" spans="1:105" hidden="1" outlineLevel="1" x14ac:dyDescent="0.2">
      <c r="A641" s="709">
        <f t="shared" si="107"/>
        <v>40969</v>
      </c>
      <c r="B641" s="709" t="str">
        <f t="shared" si="104"/>
        <v>1Q12</v>
      </c>
      <c r="C641" s="709" t="str">
        <f t="shared" si="108"/>
        <v>2Q12</v>
      </c>
      <c r="D641" s="710">
        <f t="shared" si="112"/>
        <v>41040</v>
      </c>
      <c r="E641" s="710">
        <f t="shared" si="112"/>
        <v>40980</v>
      </c>
      <c r="F641" s="712">
        <v>4.1230000000000002</v>
      </c>
      <c r="G641" s="713">
        <f t="shared" si="105"/>
        <v>0.60000000000000031</v>
      </c>
      <c r="H641" s="713">
        <f t="shared" si="106"/>
        <v>0.60000000000000031</v>
      </c>
      <c r="I641" s="697"/>
      <c r="J641" s="697"/>
      <c r="K641" s="697"/>
      <c r="L641" s="697"/>
      <c r="M641" s="697"/>
      <c r="N641" s="697"/>
      <c r="O641" s="697"/>
      <c r="P641" s="697"/>
      <c r="Q641" s="697"/>
      <c r="R641" s="697"/>
      <c r="S641" s="697"/>
      <c r="T641" s="697"/>
      <c r="U641" s="697"/>
      <c r="V641" s="697"/>
      <c r="W641" s="697"/>
      <c r="X641" s="697"/>
      <c r="Y641" s="697"/>
      <c r="Z641" s="697"/>
      <c r="AA641" s="697"/>
      <c r="AB641" s="697"/>
      <c r="AC641" s="697"/>
      <c r="AD641" s="697"/>
      <c r="AE641" s="697"/>
      <c r="AF641" s="697"/>
      <c r="AG641" s="697"/>
      <c r="AH641" s="697"/>
      <c r="AI641" s="697"/>
      <c r="AJ641" s="697"/>
      <c r="AK641" s="697"/>
      <c r="AL641" s="697"/>
      <c r="AM641" s="697"/>
      <c r="AN641" s="697"/>
      <c r="AO641" s="697"/>
      <c r="AP641" s="697"/>
      <c r="AQ641" s="697"/>
      <c r="AR641" s="697"/>
      <c r="AS641" s="697"/>
      <c r="AT641" s="697"/>
      <c r="AU641" s="697"/>
      <c r="AV641" s="697"/>
      <c r="AW641" s="697"/>
      <c r="AX641" s="697"/>
      <c r="AY641" s="697"/>
      <c r="AZ641" s="697"/>
      <c r="BA641" s="697"/>
      <c r="BB641" s="697"/>
      <c r="BC641" s="697"/>
      <c r="BD641" s="697"/>
      <c r="BE641" s="697"/>
      <c r="BF641" s="697"/>
      <c r="BG641" s="697"/>
      <c r="BH641" s="697"/>
      <c r="BI641" s="697"/>
      <c r="BJ641" s="697"/>
      <c r="BK641" s="697"/>
      <c r="BL641" s="697"/>
      <c r="BM641" s="697"/>
      <c r="BN641" s="697"/>
      <c r="BO641" s="697"/>
      <c r="BP641" s="697"/>
      <c r="BQ641" s="697"/>
      <c r="BR641" s="697"/>
      <c r="BS641" s="697"/>
      <c r="BT641" s="697"/>
      <c r="BU641" s="697"/>
      <c r="BV641" s="697"/>
      <c r="BW641" s="697"/>
      <c r="BX641" s="697"/>
      <c r="BY641" s="697"/>
      <c r="BZ641" s="697"/>
      <c r="CA641" s="697"/>
      <c r="CB641" s="697"/>
      <c r="CC641" s="697"/>
      <c r="CD641" s="697"/>
      <c r="CE641" s="697"/>
      <c r="CF641" s="697"/>
      <c r="CG641" s="697"/>
      <c r="CH641" s="697"/>
      <c r="CI641" s="697"/>
      <c r="CJ641" s="697"/>
      <c r="CK641" s="697"/>
      <c r="CL641" s="697"/>
      <c r="CM641" s="697"/>
      <c r="CN641" s="697"/>
      <c r="CO641" s="697"/>
      <c r="CP641" s="697"/>
      <c r="CQ641" s="697"/>
      <c r="CR641" s="697"/>
      <c r="CS641" s="697"/>
      <c r="CT641" s="697"/>
      <c r="CU641" s="697"/>
      <c r="CV641" s="697"/>
      <c r="CW641" s="697"/>
      <c r="CX641" s="697"/>
      <c r="CY641" s="697"/>
      <c r="CZ641" s="697"/>
      <c r="DA641" s="697"/>
    </row>
    <row r="642" spans="1:105" hidden="1" outlineLevel="1" x14ac:dyDescent="0.2">
      <c r="A642" s="709">
        <f t="shared" si="107"/>
        <v>40969</v>
      </c>
      <c r="B642" s="709" t="str">
        <f t="shared" si="104"/>
        <v>1Q12</v>
      </c>
      <c r="C642" s="709" t="str">
        <f t="shared" si="108"/>
        <v>2Q12</v>
      </c>
      <c r="D642" s="710">
        <f t="shared" si="112"/>
        <v>41047</v>
      </c>
      <c r="E642" s="710">
        <f t="shared" si="112"/>
        <v>40987</v>
      </c>
      <c r="F642" s="712">
        <v>4.1420000000000003</v>
      </c>
      <c r="G642" s="713">
        <f t="shared" si="105"/>
        <v>0.60000000000000031</v>
      </c>
      <c r="H642" s="713">
        <f t="shared" si="106"/>
        <v>0.60000000000000031</v>
      </c>
      <c r="I642" s="697"/>
      <c r="J642" s="697"/>
      <c r="K642" s="697"/>
      <c r="L642" s="697"/>
      <c r="M642" s="697"/>
      <c r="N642" s="697"/>
      <c r="O642" s="697"/>
      <c r="P642" s="697"/>
      <c r="Q642" s="697"/>
      <c r="R642" s="697"/>
      <c r="S642" s="697"/>
      <c r="T642" s="697"/>
      <c r="U642" s="697"/>
      <c r="V642" s="697"/>
      <c r="W642" s="697"/>
      <c r="X642" s="697"/>
      <c r="Y642" s="697"/>
      <c r="Z642" s="697"/>
      <c r="AA642" s="697"/>
      <c r="AB642" s="697"/>
      <c r="AC642" s="697"/>
      <c r="AD642" s="697"/>
      <c r="AE642" s="697"/>
      <c r="AF642" s="697"/>
      <c r="AG642" s="697"/>
      <c r="AH642" s="697"/>
      <c r="AI642" s="697"/>
      <c r="AJ642" s="697"/>
      <c r="AK642" s="697"/>
      <c r="AL642" s="697"/>
      <c r="AM642" s="697"/>
      <c r="AN642" s="697"/>
      <c r="AO642" s="697"/>
      <c r="AP642" s="697"/>
      <c r="AQ642" s="697"/>
      <c r="AR642" s="697"/>
      <c r="AS642" s="697"/>
      <c r="AT642" s="697"/>
      <c r="AU642" s="697"/>
      <c r="AV642" s="697"/>
      <c r="AW642" s="697"/>
      <c r="AX642" s="697"/>
      <c r="AY642" s="697"/>
      <c r="AZ642" s="697"/>
      <c r="BA642" s="697"/>
      <c r="BB642" s="697"/>
      <c r="BC642" s="697"/>
      <c r="BD642" s="697"/>
      <c r="BE642" s="697"/>
      <c r="BF642" s="697"/>
      <c r="BG642" s="697"/>
      <c r="BH642" s="697"/>
      <c r="BI642" s="697"/>
      <c r="BJ642" s="697"/>
      <c r="BK642" s="697"/>
      <c r="BL642" s="697"/>
      <c r="BM642" s="697"/>
      <c r="BN642" s="697"/>
      <c r="BO642" s="697"/>
      <c r="BP642" s="697"/>
      <c r="BQ642" s="697"/>
      <c r="BR642" s="697"/>
      <c r="BS642" s="697"/>
      <c r="BT642" s="697"/>
      <c r="BU642" s="697"/>
      <c r="BV642" s="697"/>
      <c r="BW642" s="697"/>
      <c r="BX642" s="697"/>
      <c r="BY642" s="697"/>
      <c r="BZ642" s="697"/>
      <c r="CA642" s="697"/>
      <c r="CB642" s="697"/>
      <c r="CC642" s="697"/>
      <c r="CD642" s="697"/>
      <c r="CE642" s="697"/>
      <c r="CF642" s="697"/>
      <c r="CG642" s="697"/>
      <c r="CH642" s="697"/>
      <c r="CI642" s="697"/>
      <c r="CJ642" s="697"/>
      <c r="CK642" s="697"/>
      <c r="CL642" s="697"/>
      <c r="CM642" s="697"/>
      <c r="CN642" s="697"/>
      <c r="CO642" s="697"/>
      <c r="CP642" s="697"/>
      <c r="CQ642" s="697"/>
      <c r="CR642" s="697"/>
      <c r="CS642" s="697"/>
      <c r="CT642" s="697"/>
      <c r="CU642" s="697"/>
      <c r="CV642" s="697"/>
      <c r="CW642" s="697"/>
      <c r="CX642" s="697"/>
      <c r="CY642" s="697"/>
      <c r="CZ642" s="697"/>
      <c r="DA642" s="697"/>
    </row>
    <row r="643" spans="1:105" hidden="1" outlineLevel="1" x14ac:dyDescent="0.2">
      <c r="A643" s="709">
        <f t="shared" si="107"/>
        <v>40969</v>
      </c>
      <c r="B643" s="709" t="str">
        <f t="shared" si="104"/>
        <v>1Q12</v>
      </c>
      <c r="C643" s="709" t="str">
        <f t="shared" si="108"/>
        <v>2Q12</v>
      </c>
      <c r="D643" s="710">
        <f t="shared" si="112"/>
        <v>41054</v>
      </c>
      <c r="E643" s="710">
        <f t="shared" si="112"/>
        <v>40994</v>
      </c>
      <c r="F643" s="712">
        <v>4.1470000000000002</v>
      </c>
      <c r="G643" s="713">
        <f t="shared" si="105"/>
        <v>0.60000000000000031</v>
      </c>
      <c r="H643" s="713">
        <f t="shared" si="106"/>
        <v>0.60000000000000031</v>
      </c>
      <c r="I643" s="697"/>
      <c r="J643" s="697"/>
      <c r="K643" s="697"/>
      <c r="L643" s="697"/>
      <c r="M643" s="697"/>
      <c r="N643" s="697"/>
      <c r="O643" s="697"/>
      <c r="P643" s="697"/>
      <c r="Q643" s="697"/>
      <c r="R643" s="697"/>
      <c r="S643" s="697"/>
      <c r="T643" s="697"/>
      <c r="U643" s="697"/>
      <c r="V643" s="697"/>
      <c r="W643" s="697"/>
      <c r="X643" s="697"/>
      <c r="Y643" s="697"/>
      <c r="Z643" s="697"/>
      <c r="AA643" s="697"/>
      <c r="AB643" s="697"/>
      <c r="AC643" s="697"/>
      <c r="AD643" s="697"/>
      <c r="AE643" s="697"/>
      <c r="AF643" s="697"/>
      <c r="AG643" s="697"/>
      <c r="AH643" s="697"/>
      <c r="AI643" s="697"/>
      <c r="AJ643" s="697"/>
      <c r="AK643" s="697"/>
      <c r="AL643" s="697"/>
      <c r="AM643" s="697"/>
      <c r="AN643" s="697"/>
      <c r="AO643" s="697"/>
      <c r="AP643" s="697"/>
      <c r="AQ643" s="697"/>
      <c r="AR643" s="697"/>
      <c r="AS643" s="697"/>
      <c r="AT643" s="697"/>
      <c r="AU643" s="697"/>
      <c r="AV643" s="697"/>
      <c r="AW643" s="697"/>
      <c r="AX643" s="697"/>
      <c r="AY643" s="697"/>
      <c r="AZ643" s="697"/>
      <c r="BA643" s="697"/>
      <c r="BB643" s="697"/>
      <c r="BC643" s="697"/>
      <c r="BD643" s="697"/>
      <c r="BE643" s="697"/>
      <c r="BF643" s="697"/>
      <c r="BG643" s="697"/>
      <c r="BH643" s="697"/>
      <c r="BI643" s="697"/>
      <c r="BJ643" s="697"/>
      <c r="BK643" s="697"/>
      <c r="BL643" s="697"/>
      <c r="BM643" s="697"/>
      <c r="BN643" s="697"/>
      <c r="BO643" s="697"/>
      <c r="BP643" s="697"/>
      <c r="BQ643" s="697"/>
      <c r="BR643" s="697"/>
      <c r="BS643" s="697"/>
      <c r="BT643" s="697"/>
      <c r="BU643" s="697"/>
      <c r="BV643" s="697"/>
      <c r="BW643" s="697"/>
      <c r="BX643" s="697"/>
      <c r="BY643" s="697"/>
      <c r="BZ643" s="697"/>
      <c r="CA643" s="697"/>
      <c r="CB643" s="697"/>
      <c r="CC643" s="697"/>
      <c r="CD643" s="697"/>
      <c r="CE643" s="697"/>
      <c r="CF643" s="697"/>
      <c r="CG643" s="697"/>
      <c r="CH643" s="697"/>
      <c r="CI643" s="697"/>
      <c r="CJ643" s="697"/>
      <c r="CK643" s="697"/>
      <c r="CL643" s="697"/>
      <c r="CM643" s="697"/>
      <c r="CN643" s="697"/>
      <c r="CO643" s="697"/>
      <c r="CP643" s="697"/>
      <c r="CQ643" s="697"/>
      <c r="CR643" s="697"/>
      <c r="CS643" s="697"/>
      <c r="CT643" s="697"/>
      <c r="CU643" s="697"/>
      <c r="CV643" s="697"/>
      <c r="CW643" s="697"/>
      <c r="CX643" s="697"/>
      <c r="CY643" s="697"/>
      <c r="CZ643" s="697"/>
      <c r="DA643" s="697"/>
    </row>
    <row r="644" spans="1:105" hidden="1" outlineLevel="1" x14ac:dyDescent="0.2">
      <c r="A644" s="709">
        <f t="shared" si="107"/>
        <v>41000</v>
      </c>
      <c r="B644" s="709" t="str">
        <f t="shared" ref="B644:B707" si="113">VLOOKUP(MONTH(A644),$N$4:$O$16,2,FALSE) &amp; "Q" &amp; RIGHT(YEAR(A644),2)</f>
        <v>2Q12</v>
      </c>
      <c r="C644" s="709" t="str">
        <f t="shared" si="108"/>
        <v>2Q12</v>
      </c>
      <c r="D644" s="710">
        <f t="shared" si="112"/>
        <v>41061</v>
      </c>
      <c r="E644" s="710">
        <f t="shared" si="112"/>
        <v>41001</v>
      </c>
      <c r="F644" s="712">
        <v>4.1420000000000003</v>
      </c>
      <c r="G644" s="713">
        <f t="shared" ref="G644:G707" si="114">INDEX($I$4:$K$153,MATCH(F644,$I$4:$I$153,1),3)</f>
        <v>0.60000000000000031</v>
      </c>
      <c r="H644" s="713">
        <f t="shared" ref="H644:H707" si="115">G645</f>
        <v>0.60000000000000031</v>
      </c>
      <c r="I644" s="697"/>
      <c r="J644" s="697"/>
      <c r="K644" s="697"/>
      <c r="L644" s="697"/>
      <c r="M644" s="697"/>
      <c r="N644" s="697"/>
      <c r="O644" s="697"/>
      <c r="P644" s="697"/>
      <c r="Q644" s="697"/>
      <c r="R644" s="697"/>
      <c r="S644" s="697"/>
      <c r="T644" s="697"/>
      <c r="U644" s="697"/>
      <c r="V644" s="697"/>
      <c r="W644" s="697"/>
      <c r="X644" s="697"/>
      <c r="Y644" s="697"/>
      <c r="Z644" s="697"/>
      <c r="AA644" s="697"/>
      <c r="AB644" s="697"/>
      <c r="AC644" s="697"/>
      <c r="AD644" s="697"/>
      <c r="AE644" s="697"/>
      <c r="AF644" s="697"/>
      <c r="AG644" s="697"/>
      <c r="AH644" s="697"/>
      <c r="AI644" s="697"/>
      <c r="AJ644" s="697"/>
      <c r="AK644" s="697"/>
      <c r="AL644" s="697"/>
      <c r="AM644" s="697"/>
      <c r="AN644" s="697"/>
      <c r="AO644" s="697"/>
      <c r="AP644" s="697"/>
      <c r="AQ644" s="697"/>
      <c r="AR644" s="697"/>
      <c r="AS644" s="697"/>
      <c r="AT644" s="697"/>
      <c r="AU644" s="697"/>
      <c r="AV644" s="697"/>
      <c r="AW644" s="697"/>
      <c r="AX644" s="697"/>
      <c r="AY644" s="697"/>
      <c r="AZ644" s="697"/>
      <c r="BA644" s="697"/>
      <c r="BB644" s="697"/>
      <c r="BC644" s="697"/>
      <c r="BD644" s="697"/>
      <c r="BE644" s="697"/>
      <c r="BF644" s="697"/>
      <c r="BG644" s="697"/>
      <c r="BH644" s="697"/>
      <c r="BI644" s="697"/>
      <c r="BJ644" s="697"/>
      <c r="BK644" s="697"/>
      <c r="BL644" s="697"/>
      <c r="BM644" s="697"/>
      <c r="BN644" s="697"/>
      <c r="BO644" s="697"/>
      <c r="BP644" s="697"/>
      <c r="BQ644" s="697"/>
      <c r="BR644" s="697"/>
      <c r="BS644" s="697"/>
      <c r="BT644" s="697"/>
      <c r="BU644" s="697"/>
      <c r="BV644" s="697"/>
      <c r="BW644" s="697"/>
      <c r="BX644" s="697"/>
      <c r="BY644" s="697"/>
      <c r="BZ644" s="697"/>
      <c r="CA644" s="697"/>
      <c r="CB644" s="697"/>
      <c r="CC644" s="697"/>
      <c r="CD644" s="697"/>
      <c r="CE644" s="697"/>
      <c r="CF644" s="697"/>
      <c r="CG644" s="697"/>
      <c r="CH644" s="697"/>
      <c r="CI644" s="697"/>
      <c r="CJ644" s="697"/>
      <c r="CK644" s="697"/>
      <c r="CL644" s="697"/>
      <c r="CM644" s="697"/>
      <c r="CN644" s="697"/>
      <c r="CO644" s="697"/>
      <c r="CP644" s="697"/>
      <c r="CQ644" s="697"/>
      <c r="CR644" s="697"/>
      <c r="CS644" s="697"/>
      <c r="CT644" s="697"/>
      <c r="CU644" s="697"/>
      <c r="CV644" s="697"/>
      <c r="CW644" s="697"/>
      <c r="CX644" s="697"/>
      <c r="CY644" s="697"/>
      <c r="CZ644" s="697"/>
      <c r="DA644" s="697"/>
    </row>
    <row r="645" spans="1:105" hidden="1" outlineLevel="1" x14ac:dyDescent="0.2">
      <c r="A645" s="709">
        <f t="shared" ref="A645:A708" si="116">DATE(YEAR(E645),MONTH(E645),1)</f>
        <v>41000</v>
      </c>
      <c r="B645" s="709" t="str">
        <f t="shared" si="113"/>
        <v>2Q12</v>
      </c>
      <c r="C645" s="709" t="str">
        <f t="shared" ref="C645:C708" si="117">VLOOKUP(MONTH(D645),$N$4:$O$16,2,FALSE) &amp; "Q" &amp; RIGHT(YEAR(D645),2)</f>
        <v>2Q12</v>
      </c>
      <c r="D645" s="710">
        <f t="shared" ref="D645:E660" si="118">D644+7</f>
        <v>41068</v>
      </c>
      <c r="E645" s="710">
        <f t="shared" si="118"/>
        <v>41008</v>
      </c>
      <c r="F645" s="712">
        <v>4.1479999999999997</v>
      </c>
      <c r="G645" s="713">
        <f t="shared" si="114"/>
        <v>0.60000000000000031</v>
      </c>
      <c r="H645" s="713">
        <f t="shared" si="115"/>
        <v>0.60000000000000031</v>
      </c>
      <c r="I645" s="697"/>
      <c r="J645" s="697"/>
      <c r="K645" s="697"/>
      <c r="L645" s="697"/>
      <c r="M645" s="697"/>
      <c r="N645" s="697"/>
      <c r="O645" s="697"/>
      <c r="P645" s="697"/>
      <c r="Q645" s="697"/>
      <c r="R645" s="697"/>
      <c r="S645" s="697"/>
      <c r="T645" s="697"/>
      <c r="U645" s="697"/>
      <c r="V645" s="697"/>
      <c r="W645" s="697"/>
      <c r="X645" s="697"/>
      <c r="Y645" s="697"/>
      <c r="Z645" s="697"/>
      <c r="AA645" s="697"/>
      <c r="AB645" s="697"/>
      <c r="AC645" s="697"/>
      <c r="AD645" s="697"/>
      <c r="AE645" s="697"/>
      <c r="AF645" s="697"/>
      <c r="AG645" s="697"/>
      <c r="AH645" s="697"/>
      <c r="AI645" s="697"/>
      <c r="AJ645" s="697"/>
      <c r="AK645" s="697"/>
      <c r="AL645" s="697"/>
      <c r="AM645" s="697"/>
      <c r="AN645" s="697"/>
      <c r="AO645" s="697"/>
      <c r="AP645" s="697"/>
      <c r="AQ645" s="697"/>
      <c r="AR645" s="697"/>
      <c r="AS645" s="697"/>
      <c r="AT645" s="697"/>
      <c r="AU645" s="697"/>
      <c r="AV645" s="697"/>
      <c r="AW645" s="697"/>
      <c r="AX645" s="697"/>
      <c r="AY645" s="697"/>
      <c r="AZ645" s="697"/>
      <c r="BA645" s="697"/>
      <c r="BB645" s="697"/>
      <c r="BC645" s="697"/>
      <c r="BD645" s="697"/>
      <c r="BE645" s="697"/>
      <c r="BF645" s="697"/>
      <c r="BG645" s="697"/>
      <c r="BH645" s="697"/>
      <c r="BI645" s="697"/>
      <c r="BJ645" s="697"/>
      <c r="BK645" s="697"/>
      <c r="BL645" s="697"/>
      <c r="BM645" s="697"/>
      <c r="BN645" s="697"/>
      <c r="BO645" s="697"/>
      <c r="BP645" s="697"/>
      <c r="BQ645" s="697"/>
      <c r="BR645" s="697"/>
      <c r="BS645" s="697"/>
      <c r="BT645" s="697"/>
      <c r="BU645" s="697"/>
      <c r="BV645" s="697"/>
      <c r="BW645" s="697"/>
      <c r="BX645" s="697"/>
      <c r="BY645" s="697"/>
      <c r="BZ645" s="697"/>
      <c r="CA645" s="697"/>
      <c r="CB645" s="697"/>
      <c r="CC645" s="697"/>
      <c r="CD645" s="697"/>
      <c r="CE645" s="697"/>
      <c r="CF645" s="697"/>
      <c r="CG645" s="697"/>
      <c r="CH645" s="697"/>
      <c r="CI645" s="697"/>
      <c r="CJ645" s="697"/>
      <c r="CK645" s="697"/>
      <c r="CL645" s="697"/>
      <c r="CM645" s="697"/>
      <c r="CN645" s="697"/>
      <c r="CO645" s="697"/>
      <c r="CP645" s="697"/>
      <c r="CQ645" s="697"/>
      <c r="CR645" s="697"/>
      <c r="CS645" s="697"/>
      <c r="CT645" s="697"/>
      <c r="CU645" s="697"/>
      <c r="CV645" s="697"/>
      <c r="CW645" s="697"/>
      <c r="CX645" s="697"/>
      <c r="CY645" s="697"/>
      <c r="CZ645" s="697"/>
      <c r="DA645" s="697"/>
    </row>
    <row r="646" spans="1:105" hidden="1" outlineLevel="1" x14ac:dyDescent="0.2">
      <c r="A646" s="709">
        <f t="shared" si="116"/>
        <v>41000</v>
      </c>
      <c r="B646" s="709" t="str">
        <f t="shared" si="113"/>
        <v>2Q12</v>
      </c>
      <c r="C646" s="709" t="str">
        <f t="shared" si="117"/>
        <v>2Q12</v>
      </c>
      <c r="D646" s="710">
        <f t="shared" si="118"/>
        <v>41075</v>
      </c>
      <c r="E646" s="710">
        <f t="shared" si="118"/>
        <v>41015</v>
      </c>
      <c r="F646" s="712">
        <v>4.1269999999999998</v>
      </c>
      <c r="G646" s="713">
        <f t="shared" si="114"/>
        <v>0.60000000000000031</v>
      </c>
      <c r="H646" s="713">
        <f t="shared" si="115"/>
        <v>0.5900000000000003</v>
      </c>
      <c r="I646" s="697"/>
      <c r="J646" s="697"/>
      <c r="K646" s="697"/>
      <c r="L646" s="697"/>
      <c r="M646" s="697"/>
      <c r="N646" s="697"/>
      <c r="O646" s="697"/>
      <c r="P646" s="697"/>
      <c r="Q646" s="697"/>
      <c r="R646" s="697"/>
      <c r="S646" s="697"/>
      <c r="T646" s="697"/>
      <c r="U646" s="697"/>
      <c r="V646" s="697"/>
      <c r="W646" s="697"/>
      <c r="X646" s="697"/>
      <c r="Y646" s="697"/>
      <c r="Z646" s="697"/>
      <c r="AA646" s="697"/>
      <c r="AB646" s="697"/>
      <c r="AC646" s="697"/>
      <c r="AD646" s="697"/>
      <c r="AE646" s="697"/>
      <c r="AF646" s="697"/>
      <c r="AG646" s="697"/>
      <c r="AH646" s="697"/>
      <c r="AI646" s="697"/>
      <c r="AJ646" s="697"/>
      <c r="AK646" s="697"/>
      <c r="AL646" s="697"/>
      <c r="AM646" s="697"/>
      <c r="AN646" s="697"/>
      <c r="AO646" s="697"/>
      <c r="AP646" s="697"/>
      <c r="AQ646" s="697"/>
      <c r="AR646" s="697"/>
      <c r="AS646" s="697"/>
      <c r="AT646" s="697"/>
      <c r="AU646" s="697"/>
      <c r="AV646" s="697"/>
      <c r="AW646" s="697"/>
      <c r="AX646" s="697"/>
      <c r="AY646" s="697"/>
      <c r="AZ646" s="697"/>
      <c r="BA646" s="697"/>
      <c r="BB646" s="697"/>
      <c r="BC646" s="697"/>
      <c r="BD646" s="697"/>
      <c r="BE646" s="697"/>
      <c r="BF646" s="697"/>
      <c r="BG646" s="697"/>
      <c r="BH646" s="697"/>
      <c r="BI646" s="697"/>
      <c r="BJ646" s="697"/>
      <c r="BK646" s="697"/>
      <c r="BL646" s="697"/>
      <c r="BM646" s="697"/>
      <c r="BN646" s="697"/>
      <c r="BO646" s="697"/>
      <c r="BP646" s="697"/>
      <c r="BQ646" s="697"/>
      <c r="BR646" s="697"/>
      <c r="BS646" s="697"/>
      <c r="BT646" s="697"/>
      <c r="BU646" s="697"/>
      <c r="BV646" s="697"/>
      <c r="BW646" s="697"/>
      <c r="BX646" s="697"/>
      <c r="BY646" s="697"/>
      <c r="BZ646" s="697"/>
      <c r="CA646" s="697"/>
      <c r="CB646" s="697"/>
      <c r="CC646" s="697"/>
      <c r="CD646" s="697"/>
      <c r="CE646" s="697"/>
      <c r="CF646" s="697"/>
      <c r="CG646" s="697"/>
      <c r="CH646" s="697"/>
      <c r="CI646" s="697"/>
      <c r="CJ646" s="697"/>
      <c r="CK646" s="697"/>
      <c r="CL646" s="697"/>
      <c r="CM646" s="697"/>
      <c r="CN646" s="697"/>
      <c r="CO646" s="697"/>
      <c r="CP646" s="697"/>
      <c r="CQ646" s="697"/>
      <c r="CR646" s="697"/>
      <c r="CS646" s="697"/>
      <c r="CT646" s="697"/>
      <c r="CU646" s="697"/>
      <c r="CV646" s="697"/>
      <c r="CW646" s="697"/>
      <c r="CX646" s="697"/>
      <c r="CY646" s="697"/>
      <c r="CZ646" s="697"/>
      <c r="DA646" s="697"/>
    </row>
    <row r="647" spans="1:105" hidden="1" outlineLevel="1" x14ac:dyDescent="0.2">
      <c r="A647" s="709">
        <f t="shared" si="116"/>
        <v>41000</v>
      </c>
      <c r="B647" s="709" t="str">
        <f t="shared" si="113"/>
        <v>2Q12</v>
      </c>
      <c r="C647" s="709" t="str">
        <f t="shared" si="117"/>
        <v>2Q12</v>
      </c>
      <c r="D647" s="710">
        <f t="shared" si="118"/>
        <v>41082</v>
      </c>
      <c r="E647" s="710">
        <f t="shared" si="118"/>
        <v>41022</v>
      </c>
      <c r="F647" s="712">
        <v>4.085</v>
      </c>
      <c r="G647" s="713">
        <f t="shared" si="114"/>
        <v>0.5900000000000003</v>
      </c>
      <c r="H647" s="713">
        <f t="shared" si="115"/>
        <v>0.5900000000000003</v>
      </c>
      <c r="I647" s="697"/>
      <c r="J647" s="697"/>
      <c r="K647" s="697"/>
      <c r="L647" s="697"/>
      <c r="M647" s="697"/>
      <c r="N647" s="697"/>
      <c r="O647" s="697"/>
      <c r="P647" s="697"/>
      <c r="Q647" s="697"/>
      <c r="R647" s="697"/>
      <c r="S647" s="697"/>
      <c r="T647" s="697"/>
      <c r="U647" s="697"/>
      <c r="V647" s="697"/>
      <c r="W647" s="697"/>
      <c r="X647" s="697"/>
      <c r="Y647" s="697"/>
      <c r="Z647" s="697"/>
      <c r="AA647" s="697"/>
      <c r="AB647" s="697"/>
      <c r="AC647" s="697"/>
      <c r="AD647" s="697"/>
      <c r="AE647" s="697"/>
      <c r="AF647" s="697"/>
      <c r="AG647" s="697"/>
      <c r="AH647" s="697"/>
      <c r="AI647" s="697"/>
      <c r="AJ647" s="697"/>
      <c r="AK647" s="697"/>
      <c r="AL647" s="697"/>
      <c r="AM647" s="697"/>
      <c r="AN647" s="697"/>
      <c r="AO647" s="697"/>
      <c r="AP647" s="697"/>
      <c r="AQ647" s="697"/>
      <c r="AR647" s="697"/>
      <c r="AS647" s="697"/>
      <c r="AT647" s="697"/>
      <c r="AU647" s="697"/>
      <c r="AV647" s="697"/>
      <c r="AW647" s="697"/>
      <c r="AX647" s="697"/>
      <c r="AY647" s="697"/>
      <c r="AZ647" s="697"/>
      <c r="BA647" s="697"/>
      <c r="BB647" s="697"/>
      <c r="BC647" s="697"/>
      <c r="BD647" s="697"/>
      <c r="BE647" s="697"/>
      <c r="BF647" s="697"/>
      <c r="BG647" s="697"/>
      <c r="BH647" s="697"/>
      <c r="BI647" s="697"/>
      <c r="BJ647" s="697"/>
      <c r="BK647" s="697"/>
      <c r="BL647" s="697"/>
      <c r="BM647" s="697"/>
      <c r="BN647" s="697"/>
      <c r="BO647" s="697"/>
      <c r="BP647" s="697"/>
      <c r="BQ647" s="697"/>
      <c r="BR647" s="697"/>
      <c r="BS647" s="697"/>
      <c r="BT647" s="697"/>
      <c r="BU647" s="697"/>
      <c r="BV647" s="697"/>
      <c r="BW647" s="697"/>
      <c r="BX647" s="697"/>
      <c r="BY647" s="697"/>
      <c r="BZ647" s="697"/>
      <c r="CA647" s="697"/>
      <c r="CB647" s="697"/>
      <c r="CC647" s="697"/>
      <c r="CD647" s="697"/>
      <c r="CE647" s="697"/>
      <c r="CF647" s="697"/>
      <c r="CG647" s="697"/>
      <c r="CH647" s="697"/>
      <c r="CI647" s="697"/>
      <c r="CJ647" s="697"/>
      <c r="CK647" s="697"/>
      <c r="CL647" s="697"/>
      <c r="CM647" s="697"/>
      <c r="CN647" s="697"/>
      <c r="CO647" s="697"/>
      <c r="CP647" s="697"/>
      <c r="CQ647" s="697"/>
      <c r="CR647" s="697"/>
      <c r="CS647" s="697"/>
      <c r="CT647" s="697"/>
      <c r="CU647" s="697"/>
      <c r="CV647" s="697"/>
      <c r="CW647" s="697"/>
      <c r="CX647" s="697"/>
      <c r="CY647" s="697"/>
      <c r="CZ647" s="697"/>
      <c r="DA647" s="697"/>
    </row>
    <row r="648" spans="1:105" hidden="1" outlineLevel="1" x14ac:dyDescent="0.2">
      <c r="A648" s="709">
        <f t="shared" si="116"/>
        <v>41000</v>
      </c>
      <c r="B648" s="709" t="str">
        <f t="shared" si="113"/>
        <v>2Q12</v>
      </c>
      <c r="C648" s="709" t="str">
        <f t="shared" si="117"/>
        <v>2Q12</v>
      </c>
      <c r="D648" s="710">
        <f t="shared" si="118"/>
        <v>41089</v>
      </c>
      <c r="E648" s="710">
        <f t="shared" si="118"/>
        <v>41029</v>
      </c>
      <c r="F648" s="712">
        <v>4.0730000000000004</v>
      </c>
      <c r="G648" s="713">
        <f t="shared" si="114"/>
        <v>0.5900000000000003</v>
      </c>
      <c r="H648" s="713">
        <f t="shared" si="115"/>
        <v>0.5900000000000003</v>
      </c>
      <c r="I648" s="697"/>
      <c r="J648" s="697"/>
      <c r="K648" s="697"/>
      <c r="L648" s="697"/>
      <c r="M648" s="697"/>
      <c r="N648" s="697"/>
      <c r="O648" s="697"/>
      <c r="P648" s="697"/>
      <c r="Q648" s="697"/>
      <c r="R648" s="697"/>
      <c r="S648" s="697"/>
      <c r="T648" s="697"/>
      <c r="U648" s="697"/>
      <c r="V648" s="697"/>
      <c r="W648" s="697"/>
      <c r="X648" s="697"/>
      <c r="Y648" s="697"/>
      <c r="Z648" s="697"/>
      <c r="AA648" s="697"/>
      <c r="AB648" s="697"/>
      <c r="AC648" s="697"/>
      <c r="AD648" s="697"/>
      <c r="AE648" s="697"/>
      <c r="AF648" s="697"/>
      <c r="AG648" s="697"/>
      <c r="AH648" s="697"/>
      <c r="AI648" s="697"/>
      <c r="AJ648" s="697"/>
      <c r="AK648" s="697"/>
      <c r="AL648" s="697"/>
      <c r="AM648" s="697"/>
      <c r="AN648" s="697"/>
      <c r="AO648" s="697"/>
      <c r="AP648" s="697"/>
      <c r="AQ648" s="697"/>
      <c r="AR648" s="697"/>
      <c r="AS648" s="697"/>
      <c r="AT648" s="697"/>
      <c r="AU648" s="697"/>
      <c r="AV648" s="697"/>
      <c r="AW648" s="697"/>
      <c r="AX648" s="697"/>
      <c r="AY648" s="697"/>
      <c r="AZ648" s="697"/>
      <c r="BA648" s="697"/>
      <c r="BB648" s="697"/>
      <c r="BC648" s="697"/>
      <c r="BD648" s="697"/>
      <c r="BE648" s="697"/>
      <c r="BF648" s="697"/>
      <c r="BG648" s="697"/>
      <c r="BH648" s="697"/>
      <c r="BI648" s="697"/>
      <c r="BJ648" s="697"/>
      <c r="BK648" s="697"/>
      <c r="BL648" s="697"/>
      <c r="BM648" s="697"/>
      <c r="BN648" s="697"/>
      <c r="BO648" s="697"/>
      <c r="BP648" s="697"/>
      <c r="BQ648" s="697"/>
      <c r="BR648" s="697"/>
      <c r="BS648" s="697"/>
      <c r="BT648" s="697"/>
      <c r="BU648" s="697"/>
      <c r="BV648" s="697"/>
      <c r="BW648" s="697"/>
      <c r="BX648" s="697"/>
      <c r="BY648" s="697"/>
      <c r="BZ648" s="697"/>
      <c r="CA648" s="697"/>
      <c r="CB648" s="697"/>
      <c r="CC648" s="697"/>
      <c r="CD648" s="697"/>
      <c r="CE648" s="697"/>
      <c r="CF648" s="697"/>
      <c r="CG648" s="697"/>
      <c r="CH648" s="697"/>
      <c r="CI648" s="697"/>
      <c r="CJ648" s="697"/>
      <c r="CK648" s="697"/>
      <c r="CL648" s="697"/>
      <c r="CM648" s="697"/>
      <c r="CN648" s="697"/>
      <c r="CO648" s="697"/>
      <c r="CP648" s="697"/>
      <c r="CQ648" s="697"/>
      <c r="CR648" s="697"/>
      <c r="CS648" s="697"/>
      <c r="CT648" s="697"/>
      <c r="CU648" s="697"/>
      <c r="CV648" s="697"/>
      <c r="CW648" s="697"/>
      <c r="CX648" s="697"/>
      <c r="CY648" s="697"/>
      <c r="CZ648" s="697"/>
      <c r="DA648" s="697"/>
    </row>
    <row r="649" spans="1:105" hidden="1" outlineLevel="1" x14ac:dyDescent="0.2">
      <c r="A649" s="709">
        <f t="shared" si="116"/>
        <v>41030</v>
      </c>
      <c r="B649" s="709" t="str">
        <f t="shared" si="113"/>
        <v>2Q12</v>
      </c>
      <c r="C649" s="709" t="str">
        <f t="shared" si="117"/>
        <v>3Q12</v>
      </c>
      <c r="D649" s="710">
        <f t="shared" si="118"/>
        <v>41096</v>
      </c>
      <c r="E649" s="710">
        <f t="shared" si="118"/>
        <v>41036</v>
      </c>
      <c r="F649" s="712">
        <v>4.0570000000000004</v>
      </c>
      <c r="G649" s="713">
        <f t="shared" si="114"/>
        <v>0.5900000000000003</v>
      </c>
      <c r="H649" s="713">
        <f t="shared" si="115"/>
        <v>0.58000000000000029</v>
      </c>
      <c r="I649" s="697"/>
      <c r="J649" s="697"/>
      <c r="K649" s="697"/>
      <c r="L649" s="697"/>
      <c r="M649" s="697"/>
      <c r="N649" s="697"/>
      <c r="O649" s="697"/>
      <c r="P649" s="697"/>
      <c r="Q649" s="697"/>
      <c r="R649" s="697"/>
      <c r="S649" s="697"/>
      <c r="T649" s="697"/>
      <c r="U649" s="697"/>
      <c r="V649" s="697"/>
      <c r="W649" s="697"/>
      <c r="X649" s="697"/>
      <c r="Y649" s="697"/>
      <c r="Z649" s="697"/>
      <c r="AA649" s="697"/>
      <c r="AB649" s="697"/>
      <c r="AC649" s="697"/>
      <c r="AD649" s="697"/>
      <c r="AE649" s="697"/>
      <c r="AF649" s="697"/>
      <c r="AG649" s="697"/>
      <c r="AH649" s="697"/>
      <c r="AI649" s="697"/>
      <c r="AJ649" s="697"/>
      <c r="AK649" s="697"/>
      <c r="AL649" s="697"/>
      <c r="AM649" s="697"/>
      <c r="AN649" s="697"/>
      <c r="AO649" s="697"/>
      <c r="AP649" s="697"/>
      <c r="AQ649" s="697"/>
      <c r="AR649" s="697"/>
      <c r="AS649" s="697"/>
      <c r="AT649" s="697"/>
      <c r="AU649" s="697"/>
      <c r="AV649" s="697"/>
      <c r="AW649" s="697"/>
      <c r="AX649" s="697"/>
      <c r="AY649" s="697"/>
      <c r="AZ649" s="697"/>
      <c r="BA649" s="697"/>
      <c r="BB649" s="697"/>
      <c r="BC649" s="697"/>
      <c r="BD649" s="697"/>
      <c r="BE649" s="697"/>
      <c r="BF649" s="697"/>
      <c r="BG649" s="697"/>
      <c r="BH649" s="697"/>
      <c r="BI649" s="697"/>
      <c r="BJ649" s="697"/>
      <c r="BK649" s="697"/>
      <c r="BL649" s="697"/>
      <c r="BM649" s="697"/>
      <c r="BN649" s="697"/>
      <c r="BO649" s="697"/>
      <c r="BP649" s="697"/>
      <c r="BQ649" s="697"/>
      <c r="BR649" s="697"/>
      <c r="BS649" s="697"/>
      <c r="BT649" s="697"/>
      <c r="BU649" s="697"/>
      <c r="BV649" s="697"/>
      <c r="BW649" s="697"/>
      <c r="BX649" s="697"/>
      <c r="BY649" s="697"/>
      <c r="BZ649" s="697"/>
      <c r="CA649" s="697"/>
      <c r="CB649" s="697"/>
      <c r="CC649" s="697"/>
      <c r="CD649" s="697"/>
      <c r="CE649" s="697"/>
      <c r="CF649" s="697"/>
      <c r="CG649" s="697"/>
      <c r="CH649" s="697"/>
      <c r="CI649" s="697"/>
      <c r="CJ649" s="697"/>
      <c r="CK649" s="697"/>
      <c r="CL649" s="697"/>
      <c r="CM649" s="697"/>
      <c r="CN649" s="697"/>
      <c r="CO649" s="697"/>
      <c r="CP649" s="697"/>
      <c r="CQ649" s="697"/>
      <c r="CR649" s="697"/>
      <c r="CS649" s="697"/>
      <c r="CT649" s="697"/>
      <c r="CU649" s="697"/>
      <c r="CV649" s="697"/>
      <c r="CW649" s="697"/>
      <c r="CX649" s="697"/>
      <c r="CY649" s="697"/>
      <c r="CZ649" s="697"/>
      <c r="DA649" s="697"/>
    </row>
    <row r="650" spans="1:105" hidden="1" outlineLevel="1" x14ac:dyDescent="0.2">
      <c r="A650" s="709">
        <f t="shared" si="116"/>
        <v>41030</v>
      </c>
      <c r="B650" s="709" t="str">
        <f t="shared" si="113"/>
        <v>2Q12</v>
      </c>
      <c r="C650" s="709" t="str">
        <f t="shared" si="117"/>
        <v>3Q12</v>
      </c>
      <c r="D650" s="710">
        <f t="shared" si="118"/>
        <v>41103</v>
      </c>
      <c r="E650" s="710">
        <f t="shared" si="118"/>
        <v>41043</v>
      </c>
      <c r="F650" s="712">
        <v>4.0039999999999996</v>
      </c>
      <c r="G650" s="713">
        <f t="shared" si="114"/>
        <v>0.58000000000000029</v>
      </c>
      <c r="H650" s="713">
        <f t="shared" si="115"/>
        <v>0.57000000000000028</v>
      </c>
      <c r="I650" s="697"/>
      <c r="J650" s="697"/>
      <c r="K650" s="697"/>
      <c r="L650" s="697"/>
      <c r="M650" s="697"/>
      <c r="N650" s="697"/>
      <c r="O650" s="697"/>
      <c r="P650" s="697"/>
      <c r="Q650" s="697"/>
      <c r="R650" s="697"/>
      <c r="S650" s="697"/>
      <c r="T650" s="697"/>
      <c r="U650" s="697"/>
      <c r="V650" s="697"/>
      <c r="W650" s="697"/>
      <c r="X650" s="697"/>
      <c r="Y650" s="697"/>
      <c r="Z650" s="697"/>
      <c r="AA650" s="697"/>
      <c r="AB650" s="697"/>
      <c r="AC650" s="697"/>
      <c r="AD650" s="697"/>
      <c r="AE650" s="697"/>
      <c r="AF650" s="697"/>
      <c r="AG650" s="697"/>
      <c r="AH650" s="697"/>
      <c r="AI650" s="697"/>
      <c r="AJ650" s="697"/>
      <c r="AK650" s="697"/>
      <c r="AL650" s="697"/>
      <c r="AM650" s="697"/>
      <c r="AN650" s="697"/>
      <c r="AO650" s="697"/>
      <c r="AP650" s="697"/>
      <c r="AQ650" s="697"/>
      <c r="AR650" s="697"/>
      <c r="AS650" s="697"/>
      <c r="AT650" s="697"/>
      <c r="AU650" s="697"/>
      <c r="AV650" s="697"/>
      <c r="AW650" s="697"/>
      <c r="AX650" s="697"/>
      <c r="AY650" s="697"/>
      <c r="AZ650" s="697"/>
      <c r="BA650" s="697"/>
      <c r="BB650" s="697"/>
      <c r="BC650" s="697"/>
      <c r="BD650" s="697"/>
      <c r="BE650" s="697"/>
      <c r="BF650" s="697"/>
      <c r="BG650" s="697"/>
      <c r="BH650" s="697"/>
      <c r="BI650" s="697"/>
      <c r="BJ650" s="697"/>
      <c r="BK650" s="697"/>
      <c r="BL650" s="697"/>
      <c r="BM650" s="697"/>
      <c r="BN650" s="697"/>
      <c r="BO650" s="697"/>
      <c r="BP650" s="697"/>
      <c r="BQ650" s="697"/>
      <c r="BR650" s="697"/>
      <c r="BS650" s="697"/>
      <c r="BT650" s="697"/>
      <c r="BU650" s="697"/>
      <c r="BV650" s="697"/>
      <c r="BW650" s="697"/>
      <c r="BX650" s="697"/>
      <c r="BY650" s="697"/>
      <c r="BZ650" s="697"/>
      <c r="CA650" s="697"/>
      <c r="CB650" s="697"/>
      <c r="CC650" s="697"/>
      <c r="CD650" s="697"/>
      <c r="CE650" s="697"/>
      <c r="CF650" s="697"/>
      <c r="CG650" s="697"/>
      <c r="CH650" s="697"/>
      <c r="CI650" s="697"/>
      <c r="CJ650" s="697"/>
      <c r="CK650" s="697"/>
      <c r="CL650" s="697"/>
      <c r="CM650" s="697"/>
      <c r="CN650" s="697"/>
      <c r="CO650" s="697"/>
      <c r="CP650" s="697"/>
      <c r="CQ650" s="697"/>
      <c r="CR650" s="697"/>
      <c r="CS650" s="697"/>
      <c r="CT650" s="697"/>
      <c r="CU650" s="697"/>
      <c r="CV650" s="697"/>
      <c r="CW650" s="697"/>
      <c r="CX650" s="697"/>
      <c r="CY650" s="697"/>
      <c r="CZ650" s="697"/>
      <c r="DA650" s="697"/>
    </row>
    <row r="651" spans="1:105" hidden="1" outlineLevel="1" x14ac:dyDescent="0.2">
      <c r="A651" s="709">
        <f t="shared" si="116"/>
        <v>41030</v>
      </c>
      <c r="B651" s="709" t="str">
        <f t="shared" si="113"/>
        <v>2Q12</v>
      </c>
      <c r="C651" s="709" t="str">
        <f t="shared" si="117"/>
        <v>3Q12</v>
      </c>
      <c r="D651" s="710">
        <f t="shared" si="118"/>
        <v>41110</v>
      </c>
      <c r="E651" s="710">
        <f t="shared" si="118"/>
        <v>41050</v>
      </c>
      <c r="F651" s="712">
        <v>3.956</v>
      </c>
      <c r="G651" s="713">
        <f t="shared" si="114"/>
        <v>0.57000000000000028</v>
      </c>
      <c r="H651" s="713">
        <f t="shared" si="115"/>
        <v>0.55000000000000027</v>
      </c>
      <c r="I651" s="697"/>
      <c r="J651" s="697"/>
      <c r="K651" s="697"/>
      <c r="L651" s="697"/>
      <c r="M651" s="697"/>
      <c r="N651" s="697"/>
      <c r="O651" s="697"/>
      <c r="P651" s="697"/>
      <c r="Q651" s="697"/>
      <c r="R651" s="697"/>
      <c r="S651" s="697"/>
      <c r="T651" s="697"/>
      <c r="U651" s="697"/>
      <c r="V651" s="697"/>
      <c r="W651" s="697"/>
      <c r="X651" s="697"/>
      <c r="Y651" s="697"/>
      <c r="Z651" s="697"/>
      <c r="AA651" s="697"/>
      <c r="AB651" s="697"/>
      <c r="AC651" s="697"/>
      <c r="AD651" s="697"/>
      <c r="AE651" s="697"/>
      <c r="AF651" s="697"/>
      <c r="AG651" s="697"/>
      <c r="AH651" s="697"/>
      <c r="AI651" s="697"/>
      <c r="AJ651" s="697"/>
      <c r="AK651" s="697"/>
      <c r="AL651" s="697"/>
      <c r="AM651" s="697"/>
      <c r="AN651" s="697"/>
      <c r="AO651" s="697"/>
      <c r="AP651" s="697"/>
      <c r="AQ651" s="697"/>
      <c r="AR651" s="697"/>
      <c r="AS651" s="697"/>
      <c r="AT651" s="697"/>
      <c r="AU651" s="697"/>
      <c r="AV651" s="697"/>
      <c r="AW651" s="697"/>
      <c r="AX651" s="697"/>
      <c r="AY651" s="697"/>
      <c r="AZ651" s="697"/>
      <c r="BA651" s="697"/>
      <c r="BB651" s="697"/>
      <c r="BC651" s="697"/>
      <c r="BD651" s="697"/>
      <c r="BE651" s="697"/>
      <c r="BF651" s="697"/>
      <c r="BG651" s="697"/>
      <c r="BH651" s="697"/>
      <c r="BI651" s="697"/>
      <c r="BJ651" s="697"/>
      <c r="BK651" s="697"/>
      <c r="BL651" s="697"/>
      <c r="BM651" s="697"/>
      <c r="BN651" s="697"/>
      <c r="BO651" s="697"/>
      <c r="BP651" s="697"/>
      <c r="BQ651" s="697"/>
      <c r="BR651" s="697"/>
      <c r="BS651" s="697"/>
      <c r="BT651" s="697"/>
      <c r="BU651" s="697"/>
      <c r="BV651" s="697"/>
      <c r="BW651" s="697"/>
      <c r="BX651" s="697"/>
      <c r="BY651" s="697"/>
      <c r="BZ651" s="697"/>
      <c r="CA651" s="697"/>
      <c r="CB651" s="697"/>
      <c r="CC651" s="697"/>
      <c r="CD651" s="697"/>
      <c r="CE651" s="697"/>
      <c r="CF651" s="697"/>
      <c r="CG651" s="697"/>
      <c r="CH651" s="697"/>
      <c r="CI651" s="697"/>
      <c r="CJ651" s="697"/>
      <c r="CK651" s="697"/>
      <c r="CL651" s="697"/>
      <c r="CM651" s="697"/>
      <c r="CN651" s="697"/>
      <c r="CO651" s="697"/>
      <c r="CP651" s="697"/>
      <c r="CQ651" s="697"/>
      <c r="CR651" s="697"/>
      <c r="CS651" s="697"/>
      <c r="CT651" s="697"/>
      <c r="CU651" s="697"/>
      <c r="CV651" s="697"/>
      <c r="CW651" s="697"/>
      <c r="CX651" s="697"/>
      <c r="CY651" s="697"/>
      <c r="CZ651" s="697"/>
      <c r="DA651" s="697"/>
    </row>
    <row r="652" spans="1:105" hidden="1" outlineLevel="1" x14ac:dyDescent="0.2">
      <c r="A652" s="709">
        <f t="shared" si="116"/>
        <v>41030</v>
      </c>
      <c r="B652" s="709" t="str">
        <f t="shared" si="113"/>
        <v>2Q12</v>
      </c>
      <c r="C652" s="709" t="str">
        <f t="shared" si="117"/>
        <v>3Q12</v>
      </c>
      <c r="D652" s="710">
        <f t="shared" si="118"/>
        <v>41117</v>
      </c>
      <c r="E652" s="710">
        <f t="shared" si="118"/>
        <v>41057</v>
      </c>
      <c r="F652" s="712">
        <v>3.8969999999999998</v>
      </c>
      <c r="G652" s="713">
        <f t="shared" si="114"/>
        <v>0.55000000000000027</v>
      </c>
      <c r="H652" s="713">
        <f t="shared" si="115"/>
        <v>0.54000000000000026</v>
      </c>
      <c r="I652" s="697"/>
      <c r="J652" s="697"/>
      <c r="K652" s="697"/>
      <c r="L652" s="697"/>
      <c r="M652" s="697"/>
      <c r="N652" s="697"/>
      <c r="O652" s="697"/>
      <c r="P652" s="697"/>
      <c r="Q652" s="697"/>
      <c r="R652" s="697"/>
      <c r="S652" s="697"/>
      <c r="T652" s="697"/>
      <c r="U652" s="697"/>
      <c r="V652" s="697"/>
      <c r="W652" s="697"/>
      <c r="X652" s="697"/>
      <c r="Y652" s="697"/>
      <c r="Z652" s="697"/>
      <c r="AA652" s="697"/>
      <c r="AB652" s="697"/>
      <c r="AC652" s="697"/>
      <c r="AD652" s="697"/>
      <c r="AE652" s="697"/>
      <c r="AF652" s="697"/>
      <c r="AG652" s="697"/>
      <c r="AH652" s="697"/>
      <c r="AI652" s="697"/>
      <c r="AJ652" s="697"/>
      <c r="AK652" s="697"/>
      <c r="AL652" s="697"/>
      <c r="AM652" s="697"/>
      <c r="AN652" s="697"/>
      <c r="AO652" s="697"/>
      <c r="AP652" s="697"/>
      <c r="AQ652" s="697"/>
      <c r="AR652" s="697"/>
      <c r="AS652" s="697"/>
      <c r="AT652" s="697"/>
      <c r="AU652" s="697"/>
      <c r="AV652" s="697"/>
      <c r="AW652" s="697"/>
      <c r="AX652" s="697"/>
      <c r="AY652" s="697"/>
      <c r="AZ652" s="697"/>
      <c r="BA652" s="697"/>
      <c r="BB652" s="697"/>
      <c r="BC652" s="697"/>
      <c r="BD652" s="697"/>
      <c r="BE652" s="697"/>
      <c r="BF652" s="697"/>
      <c r="BG652" s="697"/>
      <c r="BH652" s="697"/>
      <c r="BI652" s="697"/>
      <c r="BJ652" s="697"/>
      <c r="BK652" s="697"/>
      <c r="BL652" s="697"/>
      <c r="BM652" s="697"/>
      <c r="BN652" s="697"/>
      <c r="BO652" s="697"/>
      <c r="BP652" s="697"/>
      <c r="BQ652" s="697"/>
      <c r="BR652" s="697"/>
      <c r="BS652" s="697"/>
      <c r="BT652" s="697"/>
      <c r="BU652" s="697"/>
      <c r="BV652" s="697"/>
      <c r="BW652" s="697"/>
      <c r="BX652" s="697"/>
      <c r="BY652" s="697"/>
      <c r="BZ652" s="697"/>
      <c r="CA652" s="697"/>
      <c r="CB652" s="697"/>
      <c r="CC652" s="697"/>
      <c r="CD652" s="697"/>
      <c r="CE652" s="697"/>
      <c r="CF652" s="697"/>
      <c r="CG652" s="697"/>
      <c r="CH652" s="697"/>
      <c r="CI652" s="697"/>
      <c r="CJ652" s="697"/>
      <c r="CK652" s="697"/>
      <c r="CL652" s="697"/>
      <c r="CM652" s="697"/>
      <c r="CN652" s="697"/>
      <c r="CO652" s="697"/>
      <c r="CP652" s="697"/>
      <c r="CQ652" s="697"/>
      <c r="CR652" s="697"/>
      <c r="CS652" s="697"/>
      <c r="CT652" s="697"/>
      <c r="CU652" s="697"/>
      <c r="CV652" s="697"/>
      <c r="CW652" s="697"/>
      <c r="CX652" s="697"/>
      <c r="CY652" s="697"/>
      <c r="CZ652" s="697"/>
      <c r="DA652" s="697"/>
    </row>
    <row r="653" spans="1:105" hidden="1" outlineLevel="1" x14ac:dyDescent="0.2">
      <c r="A653" s="709">
        <f t="shared" si="116"/>
        <v>41061</v>
      </c>
      <c r="B653" s="709" t="str">
        <f t="shared" si="113"/>
        <v>2Q12</v>
      </c>
      <c r="C653" s="709" t="str">
        <f t="shared" si="117"/>
        <v>3Q12</v>
      </c>
      <c r="D653" s="710">
        <f t="shared" si="118"/>
        <v>41124</v>
      </c>
      <c r="E653" s="710">
        <f t="shared" si="118"/>
        <v>41064</v>
      </c>
      <c r="F653" s="712">
        <v>3.8460000000000001</v>
      </c>
      <c r="G653" s="713">
        <f t="shared" si="114"/>
        <v>0.54000000000000026</v>
      </c>
      <c r="H653" s="713">
        <f t="shared" si="115"/>
        <v>0.53000000000000025</v>
      </c>
      <c r="I653" s="697"/>
      <c r="J653" s="697"/>
      <c r="K653" s="697"/>
      <c r="L653" s="697"/>
      <c r="M653" s="697"/>
      <c r="N653" s="697"/>
      <c r="O653" s="697"/>
      <c r="P653" s="697"/>
      <c r="Q653" s="697"/>
      <c r="R653" s="697"/>
      <c r="S653" s="697"/>
      <c r="T653" s="697"/>
      <c r="U653" s="697"/>
      <c r="V653" s="697"/>
      <c r="W653" s="697"/>
      <c r="X653" s="697"/>
      <c r="Y653" s="697"/>
      <c r="Z653" s="697"/>
      <c r="AA653" s="697"/>
      <c r="AB653" s="697"/>
      <c r="AC653" s="697"/>
      <c r="AD653" s="697"/>
      <c r="AE653" s="697"/>
      <c r="AF653" s="697"/>
      <c r="AG653" s="697"/>
      <c r="AH653" s="697"/>
      <c r="AI653" s="697"/>
      <c r="AJ653" s="697"/>
      <c r="AK653" s="697"/>
      <c r="AL653" s="697"/>
      <c r="AM653" s="697"/>
      <c r="AN653" s="697"/>
      <c r="AO653" s="697"/>
      <c r="AP653" s="697"/>
      <c r="AQ653" s="697"/>
      <c r="AR653" s="697"/>
      <c r="AS653" s="697"/>
      <c r="AT653" s="697"/>
      <c r="AU653" s="697"/>
      <c r="AV653" s="697"/>
      <c r="AW653" s="697"/>
      <c r="AX653" s="697"/>
      <c r="AY653" s="697"/>
      <c r="AZ653" s="697"/>
      <c r="BA653" s="697"/>
      <c r="BB653" s="697"/>
      <c r="BC653" s="697"/>
      <c r="BD653" s="697"/>
      <c r="BE653" s="697"/>
      <c r="BF653" s="697"/>
      <c r="BG653" s="697"/>
      <c r="BH653" s="697"/>
      <c r="BI653" s="697"/>
      <c r="BJ653" s="697"/>
      <c r="BK653" s="697"/>
      <c r="BL653" s="697"/>
      <c r="BM653" s="697"/>
      <c r="BN653" s="697"/>
      <c r="BO653" s="697"/>
      <c r="BP653" s="697"/>
      <c r="BQ653" s="697"/>
      <c r="BR653" s="697"/>
      <c r="BS653" s="697"/>
      <c r="BT653" s="697"/>
      <c r="BU653" s="697"/>
      <c r="BV653" s="697"/>
      <c r="BW653" s="697"/>
      <c r="BX653" s="697"/>
      <c r="BY653" s="697"/>
      <c r="BZ653" s="697"/>
      <c r="CA653" s="697"/>
      <c r="CB653" s="697"/>
      <c r="CC653" s="697"/>
      <c r="CD653" s="697"/>
      <c r="CE653" s="697"/>
      <c r="CF653" s="697"/>
      <c r="CG653" s="697"/>
      <c r="CH653" s="697"/>
      <c r="CI653" s="697"/>
      <c r="CJ653" s="697"/>
      <c r="CK653" s="697"/>
      <c r="CL653" s="697"/>
      <c r="CM653" s="697"/>
      <c r="CN653" s="697"/>
      <c r="CO653" s="697"/>
      <c r="CP653" s="697"/>
      <c r="CQ653" s="697"/>
      <c r="CR653" s="697"/>
      <c r="CS653" s="697"/>
      <c r="CT653" s="697"/>
      <c r="CU653" s="697"/>
      <c r="CV653" s="697"/>
      <c r="CW653" s="697"/>
      <c r="CX653" s="697"/>
      <c r="CY653" s="697"/>
      <c r="CZ653" s="697"/>
      <c r="DA653" s="697"/>
    </row>
    <row r="654" spans="1:105" hidden="1" outlineLevel="1" x14ac:dyDescent="0.2">
      <c r="A654" s="709">
        <f t="shared" si="116"/>
        <v>41061</v>
      </c>
      <c r="B654" s="709" t="str">
        <f t="shared" si="113"/>
        <v>2Q12</v>
      </c>
      <c r="C654" s="709" t="str">
        <f t="shared" si="117"/>
        <v>3Q12</v>
      </c>
      <c r="D654" s="710">
        <f t="shared" si="118"/>
        <v>41131</v>
      </c>
      <c r="E654" s="710">
        <f t="shared" si="118"/>
        <v>41071</v>
      </c>
      <c r="F654" s="712">
        <v>3.7810000000000001</v>
      </c>
      <c r="G654" s="713">
        <f t="shared" si="114"/>
        <v>0.53000000000000025</v>
      </c>
      <c r="H654" s="713">
        <f t="shared" si="115"/>
        <v>0.52000000000000024</v>
      </c>
      <c r="I654" s="697"/>
      <c r="J654" s="697"/>
      <c r="K654" s="697"/>
      <c r="L654" s="697"/>
      <c r="M654" s="697"/>
      <c r="N654" s="697"/>
      <c r="O654" s="697"/>
      <c r="P654" s="697"/>
      <c r="Q654" s="697"/>
      <c r="R654" s="697"/>
      <c r="S654" s="697"/>
      <c r="T654" s="697"/>
      <c r="U654" s="697"/>
      <c r="V654" s="697"/>
      <c r="W654" s="697"/>
      <c r="X654" s="697"/>
      <c r="Y654" s="697"/>
      <c r="Z654" s="697"/>
      <c r="AA654" s="697"/>
      <c r="AB654" s="697"/>
      <c r="AC654" s="697"/>
      <c r="AD654" s="697"/>
      <c r="AE654" s="697"/>
      <c r="AF654" s="697"/>
      <c r="AG654" s="697"/>
      <c r="AH654" s="697"/>
      <c r="AI654" s="697"/>
      <c r="AJ654" s="697"/>
      <c r="AK654" s="697"/>
      <c r="AL654" s="697"/>
      <c r="AM654" s="697"/>
      <c r="AN654" s="697"/>
      <c r="AO654" s="697"/>
      <c r="AP654" s="697"/>
      <c r="AQ654" s="697"/>
      <c r="AR654" s="697"/>
      <c r="AS654" s="697"/>
      <c r="AT654" s="697"/>
      <c r="AU654" s="697"/>
      <c r="AV654" s="697"/>
      <c r="AW654" s="697"/>
      <c r="AX654" s="697"/>
      <c r="AY654" s="697"/>
      <c r="AZ654" s="697"/>
      <c r="BA654" s="697"/>
      <c r="BB654" s="697"/>
      <c r="BC654" s="697"/>
      <c r="BD654" s="697"/>
      <c r="BE654" s="697"/>
      <c r="BF654" s="697"/>
      <c r="BG654" s="697"/>
      <c r="BH654" s="697"/>
      <c r="BI654" s="697"/>
      <c r="BJ654" s="697"/>
      <c r="BK654" s="697"/>
      <c r="BL654" s="697"/>
      <c r="BM654" s="697"/>
      <c r="BN654" s="697"/>
      <c r="BO654" s="697"/>
      <c r="BP654" s="697"/>
      <c r="BQ654" s="697"/>
      <c r="BR654" s="697"/>
      <c r="BS654" s="697"/>
      <c r="BT654" s="697"/>
      <c r="BU654" s="697"/>
      <c r="BV654" s="697"/>
      <c r="BW654" s="697"/>
      <c r="BX654" s="697"/>
      <c r="BY654" s="697"/>
      <c r="BZ654" s="697"/>
      <c r="CA654" s="697"/>
      <c r="CB654" s="697"/>
      <c r="CC654" s="697"/>
      <c r="CD654" s="697"/>
      <c r="CE654" s="697"/>
      <c r="CF654" s="697"/>
      <c r="CG654" s="697"/>
      <c r="CH654" s="697"/>
      <c r="CI654" s="697"/>
      <c r="CJ654" s="697"/>
      <c r="CK654" s="697"/>
      <c r="CL654" s="697"/>
      <c r="CM654" s="697"/>
      <c r="CN654" s="697"/>
      <c r="CO654" s="697"/>
      <c r="CP654" s="697"/>
      <c r="CQ654" s="697"/>
      <c r="CR654" s="697"/>
      <c r="CS654" s="697"/>
      <c r="CT654" s="697"/>
      <c r="CU654" s="697"/>
      <c r="CV654" s="697"/>
      <c r="CW654" s="697"/>
      <c r="CX654" s="697"/>
      <c r="CY654" s="697"/>
      <c r="CZ654" s="697"/>
      <c r="DA654" s="697"/>
    </row>
    <row r="655" spans="1:105" hidden="1" outlineLevel="1" x14ac:dyDescent="0.2">
      <c r="A655" s="709">
        <f t="shared" si="116"/>
        <v>41061</v>
      </c>
      <c r="B655" s="709" t="str">
        <f t="shared" si="113"/>
        <v>2Q12</v>
      </c>
      <c r="C655" s="709" t="str">
        <f t="shared" si="117"/>
        <v>3Q12</v>
      </c>
      <c r="D655" s="710">
        <f t="shared" si="118"/>
        <v>41138</v>
      </c>
      <c r="E655" s="710">
        <f t="shared" si="118"/>
        <v>41078</v>
      </c>
      <c r="F655" s="712">
        <v>3.7290000000000001</v>
      </c>
      <c r="G655" s="713">
        <f t="shared" si="114"/>
        <v>0.52000000000000024</v>
      </c>
      <c r="H655" s="713">
        <f t="shared" si="115"/>
        <v>0.51000000000000023</v>
      </c>
      <c r="I655" s="697"/>
      <c r="J655" s="697"/>
      <c r="K655" s="697"/>
      <c r="L655" s="697"/>
      <c r="M655" s="697"/>
      <c r="N655" s="697"/>
      <c r="O655" s="697"/>
      <c r="P655" s="697"/>
      <c r="Q655" s="697"/>
      <c r="R655" s="697"/>
      <c r="S655" s="697"/>
      <c r="T655" s="697"/>
      <c r="U655" s="697"/>
      <c r="V655" s="697"/>
      <c r="W655" s="697"/>
      <c r="X655" s="697"/>
      <c r="Y655" s="697"/>
      <c r="Z655" s="697"/>
      <c r="AA655" s="697"/>
      <c r="AB655" s="697"/>
      <c r="AC655" s="697"/>
      <c r="AD655" s="697"/>
      <c r="AE655" s="697"/>
      <c r="AF655" s="697"/>
      <c r="AG655" s="697"/>
      <c r="AH655" s="697"/>
      <c r="AI655" s="697"/>
      <c r="AJ655" s="697"/>
      <c r="AK655" s="697"/>
      <c r="AL655" s="697"/>
      <c r="AM655" s="697"/>
      <c r="AN655" s="697"/>
      <c r="AO655" s="697"/>
      <c r="AP655" s="697"/>
      <c r="AQ655" s="697"/>
      <c r="AR655" s="697"/>
      <c r="AS655" s="697"/>
      <c r="AT655" s="697"/>
      <c r="AU655" s="697"/>
      <c r="AV655" s="697"/>
      <c r="AW655" s="697"/>
      <c r="AX655" s="697"/>
      <c r="AY655" s="697"/>
      <c r="AZ655" s="697"/>
      <c r="BA655" s="697"/>
      <c r="BB655" s="697"/>
      <c r="BC655" s="697"/>
      <c r="BD655" s="697"/>
      <c r="BE655" s="697"/>
      <c r="BF655" s="697"/>
      <c r="BG655" s="697"/>
      <c r="BH655" s="697"/>
      <c r="BI655" s="697"/>
      <c r="BJ655" s="697"/>
      <c r="BK655" s="697"/>
      <c r="BL655" s="697"/>
      <c r="BM655" s="697"/>
      <c r="BN655" s="697"/>
      <c r="BO655" s="697"/>
      <c r="BP655" s="697"/>
      <c r="BQ655" s="697"/>
      <c r="BR655" s="697"/>
      <c r="BS655" s="697"/>
      <c r="BT655" s="697"/>
      <c r="BU655" s="697"/>
      <c r="BV655" s="697"/>
      <c r="BW655" s="697"/>
      <c r="BX655" s="697"/>
      <c r="BY655" s="697"/>
      <c r="BZ655" s="697"/>
      <c r="CA655" s="697"/>
      <c r="CB655" s="697"/>
      <c r="CC655" s="697"/>
      <c r="CD655" s="697"/>
      <c r="CE655" s="697"/>
      <c r="CF655" s="697"/>
      <c r="CG655" s="697"/>
      <c r="CH655" s="697"/>
      <c r="CI655" s="697"/>
      <c r="CJ655" s="697"/>
      <c r="CK655" s="697"/>
      <c r="CL655" s="697"/>
      <c r="CM655" s="697"/>
      <c r="CN655" s="697"/>
      <c r="CO655" s="697"/>
      <c r="CP655" s="697"/>
      <c r="CQ655" s="697"/>
      <c r="CR655" s="697"/>
      <c r="CS655" s="697"/>
      <c r="CT655" s="697"/>
      <c r="CU655" s="697"/>
      <c r="CV655" s="697"/>
      <c r="CW655" s="697"/>
      <c r="CX655" s="697"/>
      <c r="CY655" s="697"/>
      <c r="CZ655" s="697"/>
      <c r="DA655" s="697"/>
    </row>
    <row r="656" spans="1:105" hidden="1" outlineLevel="1" x14ac:dyDescent="0.2">
      <c r="A656" s="709">
        <f t="shared" si="116"/>
        <v>41061</v>
      </c>
      <c r="B656" s="709" t="str">
        <f t="shared" si="113"/>
        <v>2Q12</v>
      </c>
      <c r="C656" s="709" t="str">
        <f t="shared" si="117"/>
        <v>3Q12</v>
      </c>
      <c r="D656" s="710">
        <f t="shared" si="118"/>
        <v>41145</v>
      </c>
      <c r="E656" s="710">
        <f t="shared" si="118"/>
        <v>41085</v>
      </c>
      <c r="F656" s="712">
        <v>3.6779999999999999</v>
      </c>
      <c r="G656" s="713">
        <f t="shared" si="114"/>
        <v>0.51000000000000023</v>
      </c>
      <c r="H656" s="713">
        <f t="shared" si="115"/>
        <v>0.50000000000000022</v>
      </c>
      <c r="I656" s="697"/>
      <c r="J656" s="697"/>
      <c r="K656" s="697"/>
      <c r="L656" s="697"/>
      <c r="M656" s="697"/>
      <c r="N656" s="697"/>
      <c r="O656" s="697"/>
      <c r="P656" s="697"/>
      <c r="Q656" s="697"/>
      <c r="R656" s="697"/>
      <c r="S656" s="697"/>
      <c r="T656" s="697"/>
      <c r="U656" s="697"/>
      <c r="V656" s="697"/>
      <c r="W656" s="697"/>
      <c r="X656" s="697"/>
      <c r="Y656" s="697"/>
      <c r="Z656" s="697"/>
      <c r="AA656" s="697"/>
      <c r="AB656" s="697"/>
      <c r="AC656" s="697"/>
      <c r="AD656" s="697"/>
      <c r="AE656" s="697"/>
      <c r="AF656" s="697"/>
      <c r="AG656" s="697"/>
      <c r="AH656" s="697"/>
      <c r="AI656" s="697"/>
      <c r="AJ656" s="697"/>
      <c r="AK656" s="697"/>
      <c r="AL656" s="697"/>
      <c r="AM656" s="697"/>
      <c r="AN656" s="697"/>
      <c r="AO656" s="697"/>
      <c r="AP656" s="697"/>
      <c r="AQ656" s="697"/>
      <c r="AR656" s="697"/>
      <c r="AS656" s="697"/>
      <c r="AT656" s="697"/>
      <c r="AU656" s="697"/>
      <c r="AV656" s="697"/>
      <c r="AW656" s="697"/>
      <c r="AX656" s="697"/>
      <c r="AY656" s="697"/>
      <c r="AZ656" s="697"/>
      <c r="BA656" s="697"/>
      <c r="BB656" s="697"/>
      <c r="BC656" s="697"/>
      <c r="BD656" s="697"/>
      <c r="BE656" s="697"/>
      <c r="BF656" s="697"/>
      <c r="BG656" s="697"/>
      <c r="BH656" s="697"/>
      <c r="BI656" s="697"/>
      <c r="BJ656" s="697"/>
      <c r="BK656" s="697"/>
      <c r="BL656" s="697"/>
      <c r="BM656" s="697"/>
      <c r="BN656" s="697"/>
      <c r="BO656" s="697"/>
      <c r="BP656" s="697"/>
      <c r="BQ656" s="697"/>
      <c r="BR656" s="697"/>
      <c r="BS656" s="697"/>
      <c r="BT656" s="697"/>
      <c r="BU656" s="697"/>
      <c r="BV656" s="697"/>
      <c r="BW656" s="697"/>
      <c r="BX656" s="697"/>
      <c r="BY656" s="697"/>
      <c r="BZ656" s="697"/>
      <c r="CA656" s="697"/>
      <c r="CB656" s="697"/>
      <c r="CC656" s="697"/>
      <c r="CD656" s="697"/>
      <c r="CE656" s="697"/>
      <c r="CF656" s="697"/>
      <c r="CG656" s="697"/>
      <c r="CH656" s="697"/>
      <c r="CI656" s="697"/>
      <c r="CJ656" s="697"/>
      <c r="CK656" s="697"/>
      <c r="CL656" s="697"/>
      <c r="CM656" s="697"/>
      <c r="CN656" s="697"/>
      <c r="CO656" s="697"/>
      <c r="CP656" s="697"/>
      <c r="CQ656" s="697"/>
      <c r="CR656" s="697"/>
      <c r="CS656" s="697"/>
      <c r="CT656" s="697"/>
      <c r="CU656" s="697"/>
      <c r="CV656" s="697"/>
      <c r="CW656" s="697"/>
      <c r="CX656" s="697"/>
      <c r="CY656" s="697"/>
      <c r="CZ656" s="697"/>
      <c r="DA656" s="697"/>
    </row>
    <row r="657" spans="1:105" hidden="1" outlineLevel="1" x14ac:dyDescent="0.2">
      <c r="A657" s="709">
        <f t="shared" si="116"/>
        <v>41091</v>
      </c>
      <c r="B657" s="709" t="str">
        <f t="shared" si="113"/>
        <v>3Q12</v>
      </c>
      <c r="C657" s="709" t="str">
        <f t="shared" si="117"/>
        <v>3Q12</v>
      </c>
      <c r="D657" s="710">
        <f t="shared" si="118"/>
        <v>41152</v>
      </c>
      <c r="E657" s="710">
        <f t="shared" si="118"/>
        <v>41092</v>
      </c>
      <c r="F657" s="712">
        <v>3.6480000000000001</v>
      </c>
      <c r="G657" s="713">
        <f t="shared" si="114"/>
        <v>0.50000000000000022</v>
      </c>
      <c r="H657" s="713">
        <f t="shared" si="115"/>
        <v>0.51000000000000023</v>
      </c>
      <c r="I657" s="697"/>
      <c r="J657" s="697"/>
      <c r="K657" s="697"/>
      <c r="L657" s="697"/>
      <c r="M657" s="697"/>
      <c r="N657" s="697"/>
      <c r="O657" s="697"/>
      <c r="P657" s="697"/>
      <c r="Q657" s="697"/>
      <c r="R657" s="697"/>
      <c r="S657" s="697"/>
      <c r="T657" s="697"/>
      <c r="U657" s="697"/>
      <c r="V657" s="697"/>
      <c r="W657" s="697"/>
      <c r="X657" s="697"/>
      <c r="Y657" s="697"/>
      <c r="Z657" s="697"/>
      <c r="AA657" s="697"/>
      <c r="AB657" s="697"/>
      <c r="AC657" s="697"/>
      <c r="AD657" s="697"/>
      <c r="AE657" s="697"/>
      <c r="AF657" s="697"/>
      <c r="AG657" s="697"/>
      <c r="AH657" s="697"/>
      <c r="AI657" s="697"/>
      <c r="AJ657" s="697"/>
      <c r="AK657" s="697"/>
      <c r="AL657" s="697"/>
      <c r="AM657" s="697"/>
      <c r="AN657" s="697"/>
      <c r="AO657" s="697"/>
      <c r="AP657" s="697"/>
      <c r="AQ657" s="697"/>
      <c r="AR657" s="697"/>
      <c r="AS657" s="697"/>
      <c r="AT657" s="697"/>
      <c r="AU657" s="697"/>
      <c r="AV657" s="697"/>
      <c r="AW657" s="697"/>
      <c r="AX657" s="697"/>
      <c r="AY657" s="697"/>
      <c r="AZ657" s="697"/>
      <c r="BA657" s="697"/>
      <c r="BB657" s="697"/>
      <c r="BC657" s="697"/>
      <c r="BD657" s="697"/>
      <c r="BE657" s="697"/>
      <c r="BF657" s="697"/>
      <c r="BG657" s="697"/>
      <c r="BH657" s="697"/>
      <c r="BI657" s="697"/>
      <c r="BJ657" s="697"/>
      <c r="BK657" s="697"/>
      <c r="BL657" s="697"/>
      <c r="BM657" s="697"/>
      <c r="BN657" s="697"/>
      <c r="BO657" s="697"/>
      <c r="BP657" s="697"/>
      <c r="BQ657" s="697"/>
      <c r="BR657" s="697"/>
      <c r="BS657" s="697"/>
      <c r="BT657" s="697"/>
      <c r="BU657" s="697"/>
      <c r="BV657" s="697"/>
      <c r="BW657" s="697"/>
      <c r="BX657" s="697"/>
      <c r="BY657" s="697"/>
      <c r="BZ657" s="697"/>
      <c r="CA657" s="697"/>
      <c r="CB657" s="697"/>
      <c r="CC657" s="697"/>
      <c r="CD657" s="697"/>
      <c r="CE657" s="697"/>
      <c r="CF657" s="697"/>
      <c r="CG657" s="697"/>
      <c r="CH657" s="697"/>
      <c r="CI657" s="697"/>
      <c r="CJ657" s="697"/>
      <c r="CK657" s="697"/>
      <c r="CL657" s="697"/>
      <c r="CM657" s="697"/>
      <c r="CN657" s="697"/>
      <c r="CO657" s="697"/>
      <c r="CP657" s="697"/>
      <c r="CQ657" s="697"/>
      <c r="CR657" s="697"/>
      <c r="CS657" s="697"/>
      <c r="CT657" s="697"/>
      <c r="CU657" s="697"/>
      <c r="CV657" s="697"/>
      <c r="CW657" s="697"/>
      <c r="CX657" s="697"/>
      <c r="CY657" s="697"/>
      <c r="CZ657" s="697"/>
      <c r="DA657" s="697"/>
    </row>
    <row r="658" spans="1:105" collapsed="1" x14ac:dyDescent="0.2">
      <c r="A658" s="709">
        <f t="shared" si="116"/>
        <v>41091</v>
      </c>
      <c r="B658" s="709" t="str">
        <f t="shared" si="113"/>
        <v>3Q12</v>
      </c>
      <c r="C658" s="709" t="str">
        <f t="shared" si="117"/>
        <v>3Q12</v>
      </c>
      <c r="D658" s="710">
        <f t="shared" si="118"/>
        <v>41159</v>
      </c>
      <c r="E658" s="710">
        <f t="shared" si="118"/>
        <v>41099</v>
      </c>
      <c r="F658" s="712">
        <v>3.6829999999999998</v>
      </c>
      <c r="G658" s="713">
        <f t="shared" si="114"/>
        <v>0.51000000000000023</v>
      </c>
      <c r="H658" s="713">
        <f t="shared" si="115"/>
        <v>0.51000000000000023</v>
      </c>
      <c r="I658" s="697"/>
      <c r="J658" s="697"/>
      <c r="K658" s="697"/>
      <c r="L658" s="697"/>
      <c r="M658" s="697"/>
      <c r="N658" s="697"/>
      <c r="O658" s="697"/>
      <c r="P658" s="697"/>
      <c r="Q658" s="697"/>
      <c r="R658" s="697"/>
      <c r="S658" s="697"/>
      <c r="T658" s="697"/>
      <c r="U658" s="697"/>
      <c r="V658" s="697"/>
      <c r="W658" s="697"/>
      <c r="X658" s="697"/>
      <c r="Y658" s="697"/>
      <c r="Z658" s="697"/>
      <c r="AA658" s="697"/>
      <c r="AB658" s="697"/>
      <c r="AC658" s="697"/>
      <c r="AD658" s="697"/>
      <c r="AE658" s="697"/>
      <c r="AF658" s="697"/>
      <c r="AG658" s="697"/>
      <c r="AH658" s="697"/>
      <c r="AI658" s="697"/>
      <c r="AJ658" s="697"/>
      <c r="AK658" s="697"/>
      <c r="AL658" s="697"/>
      <c r="AM658" s="697"/>
      <c r="AN658" s="697"/>
      <c r="AO658" s="697"/>
      <c r="AP658" s="697"/>
      <c r="AQ658" s="697"/>
      <c r="AR658" s="697"/>
      <c r="AS658" s="697"/>
      <c r="AT658" s="697"/>
      <c r="AU658" s="697"/>
      <c r="AV658" s="697"/>
      <c r="AW658" s="697"/>
      <c r="AX658" s="697"/>
      <c r="AY658" s="697"/>
      <c r="AZ658" s="697"/>
      <c r="BA658" s="697"/>
      <c r="BB658" s="697"/>
      <c r="BC658" s="697"/>
      <c r="BD658" s="697"/>
      <c r="BE658" s="697"/>
      <c r="BF658" s="697"/>
      <c r="BG658" s="697"/>
      <c r="BH658" s="697"/>
      <c r="BI658" s="697"/>
      <c r="BJ658" s="697"/>
      <c r="BK658" s="697"/>
      <c r="BL658" s="697"/>
      <c r="BM658" s="697"/>
      <c r="BN658" s="697"/>
      <c r="BO658" s="697"/>
      <c r="BP658" s="697"/>
      <c r="BQ658" s="697"/>
      <c r="BR658" s="697"/>
      <c r="BS658" s="697"/>
      <c r="BT658" s="697"/>
      <c r="BU658" s="697"/>
      <c r="BV658" s="697"/>
      <c r="BW658" s="697"/>
      <c r="BX658" s="697"/>
      <c r="BY658" s="697"/>
      <c r="BZ658" s="697"/>
      <c r="CA658" s="697"/>
      <c r="CB658" s="697"/>
      <c r="CC658" s="697"/>
      <c r="CD658" s="697"/>
      <c r="CE658" s="697"/>
      <c r="CF658" s="697"/>
      <c r="CG658" s="697"/>
      <c r="CH658" s="697"/>
      <c r="CI658" s="697"/>
      <c r="CJ658" s="697"/>
      <c r="CK658" s="697"/>
      <c r="CL658" s="697"/>
      <c r="CM658" s="697"/>
      <c r="CN658" s="697"/>
      <c r="CO658" s="697"/>
      <c r="CP658" s="697"/>
      <c r="CQ658" s="697"/>
      <c r="CR658" s="697"/>
      <c r="CS658" s="697"/>
      <c r="CT658" s="697"/>
      <c r="CU658" s="697"/>
      <c r="CV658" s="697"/>
      <c r="CW658" s="697"/>
      <c r="CX658" s="697"/>
      <c r="CY658" s="697"/>
      <c r="CZ658" s="697"/>
      <c r="DA658" s="697"/>
    </row>
    <row r="659" spans="1:105" x14ac:dyDescent="0.2">
      <c r="A659" s="709">
        <f t="shared" si="116"/>
        <v>41091</v>
      </c>
      <c r="B659" s="709" t="str">
        <f t="shared" si="113"/>
        <v>3Q12</v>
      </c>
      <c r="C659" s="709" t="str">
        <f t="shared" si="117"/>
        <v>3Q12</v>
      </c>
      <c r="D659" s="710">
        <f t="shared" si="118"/>
        <v>41166</v>
      </c>
      <c r="E659" s="710">
        <f t="shared" si="118"/>
        <v>41106</v>
      </c>
      <c r="F659" s="712">
        <v>3.6949999999999998</v>
      </c>
      <c r="G659" s="713">
        <f t="shared" si="114"/>
        <v>0.51000000000000023</v>
      </c>
      <c r="H659" s="713">
        <f t="shared" si="115"/>
        <v>0.53000000000000025</v>
      </c>
      <c r="I659" s="697"/>
      <c r="J659" s="697"/>
      <c r="K659" s="697"/>
      <c r="L659" s="697"/>
      <c r="M659" s="697"/>
      <c r="N659" s="697"/>
      <c r="O659" s="697"/>
      <c r="P659" s="697"/>
      <c r="Q659" s="697"/>
      <c r="R659" s="697"/>
      <c r="S659" s="697"/>
      <c r="T659" s="697"/>
      <c r="U659" s="697"/>
      <c r="V659" s="697"/>
      <c r="W659" s="697"/>
      <c r="X659" s="697"/>
      <c r="Y659" s="697"/>
      <c r="Z659" s="697"/>
      <c r="AA659" s="697"/>
      <c r="AB659" s="697"/>
      <c r="AC659" s="697"/>
      <c r="AD659" s="697"/>
      <c r="AE659" s="697"/>
      <c r="AF659" s="697"/>
      <c r="AG659" s="697"/>
      <c r="AH659" s="697"/>
      <c r="AI659" s="697"/>
      <c r="AJ659" s="697"/>
      <c r="AK659" s="697"/>
      <c r="AL659" s="697"/>
      <c r="AM659" s="697"/>
      <c r="AN659" s="697"/>
      <c r="AO659" s="697"/>
      <c r="AP659" s="697"/>
      <c r="AQ659" s="697"/>
      <c r="AR659" s="697"/>
      <c r="AS659" s="697"/>
      <c r="AT659" s="697"/>
      <c r="AU659" s="697"/>
      <c r="AV659" s="697"/>
      <c r="AW659" s="697"/>
      <c r="AX659" s="697"/>
      <c r="AY659" s="697"/>
      <c r="AZ659" s="697"/>
      <c r="BA659" s="697"/>
      <c r="BB659" s="697"/>
      <c r="BC659" s="697"/>
      <c r="BD659" s="697"/>
      <c r="BE659" s="697"/>
      <c r="BF659" s="697"/>
      <c r="BG659" s="697"/>
      <c r="BH659" s="697"/>
      <c r="BI659" s="697"/>
      <c r="BJ659" s="697"/>
      <c r="BK659" s="697"/>
      <c r="BL659" s="697"/>
      <c r="BM659" s="697"/>
      <c r="BN659" s="697"/>
      <c r="BO659" s="697"/>
      <c r="BP659" s="697"/>
      <c r="BQ659" s="697"/>
      <c r="BR659" s="697"/>
      <c r="BS659" s="697"/>
      <c r="BT659" s="697"/>
      <c r="BU659" s="697"/>
      <c r="BV659" s="697"/>
      <c r="BW659" s="697"/>
      <c r="BX659" s="697"/>
      <c r="BY659" s="697"/>
      <c r="BZ659" s="697"/>
      <c r="CA659" s="697"/>
      <c r="CB659" s="697"/>
      <c r="CC659" s="697"/>
      <c r="CD659" s="697"/>
      <c r="CE659" s="697"/>
      <c r="CF659" s="697"/>
      <c r="CG659" s="697"/>
      <c r="CH659" s="697"/>
      <c r="CI659" s="697"/>
      <c r="CJ659" s="697"/>
      <c r="CK659" s="697"/>
      <c r="CL659" s="697"/>
      <c r="CM659" s="697"/>
      <c r="CN659" s="697"/>
      <c r="CO659" s="697"/>
      <c r="CP659" s="697"/>
      <c r="CQ659" s="697"/>
      <c r="CR659" s="697"/>
      <c r="CS659" s="697"/>
      <c r="CT659" s="697"/>
      <c r="CU659" s="697"/>
      <c r="CV659" s="697"/>
      <c r="CW659" s="697"/>
      <c r="CX659" s="697"/>
      <c r="CY659" s="697"/>
      <c r="CZ659" s="697"/>
      <c r="DA659" s="697"/>
    </row>
    <row r="660" spans="1:105" x14ac:dyDescent="0.2">
      <c r="A660" s="709">
        <f t="shared" si="116"/>
        <v>41091</v>
      </c>
      <c r="B660" s="709" t="str">
        <f t="shared" si="113"/>
        <v>3Q12</v>
      </c>
      <c r="C660" s="709" t="str">
        <f t="shared" si="117"/>
        <v>3Q12</v>
      </c>
      <c r="D660" s="710">
        <f t="shared" si="118"/>
        <v>41173</v>
      </c>
      <c r="E660" s="710">
        <f t="shared" si="118"/>
        <v>41113</v>
      </c>
      <c r="F660" s="712">
        <v>3.7829999999999999</v>
      </c>
      <c r="G660" s="713">
        <f t="shared" si="114"/>
        <v>0.53000000000000025</v>
      </c>
      <c r="H660" s="713">
        <f t="shared" si="115"/>
        <v>0.53000000000000025</v>
      </c>
      <c r="I660" s="697"/>
      <c r="J660" s="697"/>
      <c r="K660" s="697"/>
      <c r="L660" s="697"/>
      <c r="M660" s="697"/>
      <c r="N660" s="697"/>
      <c r="O660" s="697"/>
      <c r="P660" s="697"/>
      <c r="Q660" s="697"/>
      <c r="R660" s="697"/>
      <c r="S660" s="697"/>
      <c r="T660" s="697"/>
      <c r="U660" s="697"/>
      <c r="V660" s="697"/>
      <c r="W660" s="697"/>
      <c r="X660" s="697"/>
      <c r="Y660" s="697"/>
      <c r="Z660" s="697"/>
      <c r="AA660" s="697"/>
      <c r="AB660" s="697"/>
      <c r="AC660" s="697"/>
      <c r="AD660" s="697"/>
      <c r="AE660" s="697"/>
      <c r="AF660" s="697"/>
      <c r="AG660" s="697"/>
      <c r="AH660" s="697"/>
      <c r="AI660" s="697"/>
      <c r="AJ660" s="697"/>
      <c r="AK660" s="697"/>
      <c r="AL660" s="697"/>
      <c r="AM660" s="697"/>
      <c r="AN660" s="697"/>
      <c r="AO660" s="697"/>
      <c r="AP660" s="697"/>
      <c r="AQ660" s="697"/>
      <c r="AR660" s="697"/>
      <c r="AS660" s="697"/>
      <c r="AT660" s="697"/>
      <c r="AU660" s="697"/>
      <c r="AV660" s="697"/>
      <c r="AW660" s="697"/>
      <c r="AX660" s="697"/>
      <c r="AY660" s="697"/>
      <c r="AZ660" s="697"/>
      <c r="BA660" s="697"/>
      <c r="BB660" s="697"/>
      <c r="BC660" s="697"/>
      <c r="BD660" s="697"/>
      <c r="BE660" s="697"/>
      <c r="BF660" s="697"/>
      <c r="BG660" s="697"/>
      <c r="BH660" s="697"/>
      <c r="BI660" s="697"/>
      <c r="BJ660" s="697"/>
      <c r="BK660" s="697"/>
      <c r="BL660" s="697"/>
      <c r="BM660" s="697"/>
      <c r="BN660" s="697"/>
      <c r="BO660" s="697"/>
      <c r="BP660" s="697"/>
      <c r="BQ660" s="697"/>
      <c r="BR660" s="697"/>
      <c r="BS660" s="697"/>
      <c r="BT660" s="697"/>
      <c r="BU660" s="697"/>
      <c r="BV660" s="697"/>
      <c r="BW660" s="697"/>
      <c r="BX660" s="697"/>
      <c r="BY660" s="697"/>
      <c r="BZ660" s="697"/>
      <c r="CA660" s="697"/>
      <c r="CB660" s="697"/>
      <c r="CC660" s="697"/>
      <c r="CD660" s="697"/>
      <c r="CE660" s="697"/>
      <c r="CF660" s="697"/>
      <c r="CG660" s="697"/>
      <c r="CH660" s="697"/>
      <c r="CI660" s="697"/>
      <c r="CJ660" s="697"/>
      <c r="CK660" s="697"/>
      <c r="CL660" s="697"/>
      <c r="CM660" s="697"/>
      <c r="CN660" s="697"/>
      <c r="CO660" s="697"/>
      <c r="CP660" s="697"/>
      <c r="CQ660" s="697"/>
      <c r="CR660" s="697"/>
      <c r="CS660" s="697"/>
      <c r="CT660" s="697"/>
      <c r="CU660" s="697"/>
      <c r="CV660" s="697"/>
      <c r="CW660" s="697"/>
      <c r="CX660" s="697"/>
      <c r="CY660" s="697"/>
      <c r="CZ660" s="697"/>
      <c r="DA660" s="697"/>
    </row>
    <row r="661" spans="1:105" x14ac:dyDescent="0.2">
      <c r="A661" s="709">
        <f t="shared" si="116"/>
        <v>41091</v>
      </c>
      <c r="B661" s="709" t="str">
        <f t="shared" si="113"/>
        <v>3Q12</v>
      </c>
      <c r="C661" s="709" t="str">
        <f t="shared" si="117"/>
        <v>3Q12</v>
      </c>
      <c r="D661" s="710">
        <f t="shared" ref="D661:E676" si="119">D660+7</f>
        <v>41180</v>
      </c>
      <c r="E661" s="710">
        <f t="shared" si="119"/>
        <v>41120</v>
      </c>
      <c r="F661" s="712">
        <v>3.7959999999999998</v>
      </c>
      <c r="G661" s="713">
        <f t="shared" si="114"/>
        <v>0.53000000000000025</v>
      </c>
      <c r="H661" s="713">
        <f t="shared" si="115"/>
        <v>0.55000000000000027</v>
      </c>
      <c r="I661" s="697"/>
      <c r="J661" s="697"/>
      <c r="K661" s="697"/>
      <c r="L661" s="697"/>
      <c r="M661" s="697"/>
      <c r="N661" s="697"/>
      <c r="O661" s="697"/>
      <c r="P661" s="697"/>
      <c r="Q661" s="697"/>
      <c r="R661" s="697"/>
      <c r="S661" s="697"/>
      <c r="T661" s="697"/>
      <c r="U661" s="697"/>
      <c r="V661" s="697"/>
      <c r="W661" s="697"/>
      <c r="X661" s="697"/>
      <c r="Y661" s="697"/>
      <c r="Z661" s="697"/>
      <c r="AA661" s="697"/>
      <c r="AB661" s="697"/>
      <c r="AC661" s="697"/>
      <c r="AD661" s="697"/>
      <c r="AE661" s="697"/>
      <c r="AF661" s="697"/>
      <c r="AG661" s="697"/>
      <c r="AH661" s="697"/>
      <c r="AI661" s="697"/>
      <c r="AJ661" s="697"/>
      <c r="AK661" s="697"/>
      <c r="AL661" s="697"/>
      <c r="AM661" s="697"/>
      <c r="AN661" s="697"/>
      <c r="AO661" s="697"/>
      <c r="AP661" s="697"/>
      <c r="AQ661" s="697"/>
      <c r="AR661" s="697"/>
      <c r="AS661" s="697"/>
      <c r="AT661" s="697"/>
      <c r="AU661" s="697"/>
      <c r="AV661" s="697"/>
      <c r="AW661" s="697"/>
      <c r="AX661" s="697"/>
      <c r="AY661" s="697"/>
      <c r="AZ661" s="697"/>
      <c r="BA661" s="697"/>
      <c r="BB661" s="697"/>
      <c r="BC661" s="697"/>
      <c r="BD661" s="697"/>
      <c r="BE661" s="697"/>
      <c r="BF661" s="697"/>
      <c r="BG661" s="697"/>
      <c r="BH661" s="697"/>
      <c r="BI661" s="697"/>
      <c r="BJ661" s="697"/>
      <c r="BK661" s="697"/>
      <c r="BL661" s="697"/>
      <c r="BM661" s="697"/>
      <c r="BN661" s="697"/>
      <c r="BO661" s="697"/>
      <c r="BP661" s="697"/>
      <c r="BQ661" s="697"/>
      <c r="BR661" s="697"/>
      <c r="BS661" s="697"/>
      <c r="BT661" s="697"/>
      <c r="BU661" s="697"/>
      <c r="BV661" s="697"/>
      <c r="BW661" s="697"/>
      <c r="BX661" s="697"/>
      <c r="BY661" s="697"/>
      <c r="BZ661" s="697"/>
      <c r="CA661" s="697"/>
      <c r="CB661" s="697"/>
      <c r="CC661" s="697"/>
      <c r="CD661" s="697"/>
      <c r="CE661" s="697"/>
      <c r="CF661" s="697"/>
      <c r="CG661" s="697"/>
      <c r="CH661" s="697"/>
      <c r="CI661" s="697"/>
      <c r="CJ661" s="697"/>
      <c r="CK661" s="697"/>
      <c r="CL661" s="697"/>
      <c r="CM661" s="697"/>
      <c r="CN661" s="697"/>
      <c r="CO661" s="697"/>
      <c r="CP661" s="697"/>
      <c r="CQ661" s="697"/>
      <c r="CR661" s="697"/>
      <c r="CS661" s="697"/>
      <c r="CT661" s="697"/>
      <c r="CU661" s="697"/>
      <c r="CV661" s="697"/>
      <c r="CW661" s="697"/>
      <c r="CX661" s="697"/>
      <c r="CY661" s="697"/>
      <c r="CZ661" s="697"/>
      <c r="DA661" s="697"/>
    </row>
    <row r="662" spans="1:105" x14ac:dyDescent="0.2">
      <c r="A662" s="709">
        <f t="shared" si="116"/>
        <v>41122</v>
      </c>
      <c r="B662" s="709" t="str">
        <f t="shared" si="113"/>
        <v>3Q12</v>
      </c>
      <c r="C662" s="709" t="str">
        <f t="shared" si="117"/>
        <v>4Q12</v>
      </c>
      <c r="D662" s="710">
        <f t="shared" si="119"/>
        <v>41187</v>
      </c>
      <c r="E662" s="710">
        <f t="shared" si="119"/>
        <v>41127</v>
      </c>
      <c r="F662" s="712">
        <v>3.85</v>
      </c>
      <c r="G662" s="713">
        <f t="shared" si="114"/>
        <v>0.55000000000000027</v>
      </c>
      <c r="H662" s="713">
        <f t="shared" si="115"/>
        <v>0.57000000000000028</v>
      </c>
      <c r="I662" s="697"/>
      <c r="J662" s="697"/>
      <c r="K662" s="697"/>
      <c r="L662" s="697"/>
      <c r="M662" s="697"/>
      <c r="N662" s="697"/>
      <c r="O662" s="697"/>
      <c r="P662" s="697"/>
      <c r="Q662" s="697"/>
      <c r="R662" s="697"/>
      <c r="S662" s="697"/>
      <c r="T662" s="697"/>
      <c r="U662" s="697"/>
      <c r="V662" s="697"/>
      <c r="W662" s="697"/>
      <c r="X662" s="697"/>
      <c r="Y662" s="697"/>
      <c r="Z662" s="697"/>
      <c r="AA662" s="697"/>
      <c r="AB662" s="697"/>
      <c r="AC662" s="697"/>
      <c r="AD662" s="697"/>
      <c r="AE662" s="697"/>
      <c r="AF662" s="697"/>
      <c r="AG662" s="697"/>
      <c r="AH662" s="697"/>
      <c r="AI662" s="697"/>
      <c r="AJ662" s="697"/>
      <c r="AK662" s="697"/>
      <c r="AL662" s="697"/>
      <c r="AM662" s="697"/>
      <c r="AN662" s="697"/>
      <c r="AO662" s="697"/>
      <c r="AP662" s="697"/>
      <c r="AQ662" s="697"/>
      <c r="AR662" s="697"/>
      <c r="AS662" s="697"/>
      <c r="AT662" s="697"/>
      <c r="AU662" s="697"/>
      <c r="AV662" s="697"/>
      <c r="AW662" s="697"/>
      <c r="AX662" s="697"/>
      <c r="AY662" s="697"/>
      <c r="AZ662" s="697"/>
      <c r="BA662" s="697"/>
      <c r="BB662" s="697"/>
      <c r="BC662" s="697"/>
      <c r="BD662" s="697"/>
      <c r="BE662" s="697"/>
      <c r="BF662" s="697"/>
      <c r="BG662" s="697"/>
      <c r="BH662" s="697"/>
      <c r="BI662" s="697"/>
      <c r="BJ662" s="697"/>
      <c r="BK662" s="697"/>
      <c r="BL662" s="697"/>
      <c r="BM662" s="697"/>
      <c r="BN662" s="697"/>
      <c r="BO662" s="697"/>
      <c r="BP662" s="697"/>
      <c r="BQ662" s="697"/>
      <c r="BR662" s="697"/>
      <c r="BS662" s="697"/>
      <c r="BT662" s="697"/>
      <c r="BU662" s="697"/>
      <c r="BV662" s="697"/>
      <c r="BW662" s="697"/>
      <c r="BX662" s="697"/>
      <c r="BY662" s="697"/>
      <c r="BZ662" s="697"/>
      <c r="CA662" s="697"/>
      <c r="CB662" s="697"/>
      <c r="CC662" s="697"/>
      <c r="CD662" s="697"/>
      <c r="CE662" s="697"/>
      <c r="CF662" s="697"/>
      <c r="CG662" s="697"/>
      <c r="CH662" s="697"/>
      <c r="CI662" s="697"/>
      <c r="CJ662" s="697"/>
      <c r="CK662" s="697"/>
      <c r="CL662" s="697"/>
      <c r="CM662" s="697"/>
      <c r="CN662" s="697"/>
      <c r="CO662" s="697"/>
      <c r="CP662" s="697"/>
      <c r="CQ662" s="697"/>
      <c r="CR662" s="697"/>
      <c r="CS662" s="697"/>
      <c r="CT662" s="697"/>
      <c r="CU662" s="697"/>
      <c r="CV662" s="697"/>
      <c r="CW662" s="697"/>
      <c r="CX662" s="697"/>
      <c r="CY662" s="697"/>
      <c r="CZ662" s="697"/>
      <c r="DA662" s="697"/>
    </row>
    <row r="663" spans="1:105" x14ac:dyDescent="0.2">
      <c r="A663" s="709">
        <f t="shared" si="116"/>
        <v>41122</v>
      </c>
      <c r="B663" s="709" t="str">
        <f t="shared" si="113"/>
        <v>3Q12</v>
      </c>
      <c r="C663" s="709" t="str">
        <f t="shared" si="117"/>
        <v>4Q12</v>
      </c>
      <c r="D663" s="710">
        <f t="shared" si="119"/>
        <v>41194</v>
      </c>
      <c r="E663" s="710">
        <f t="shared" si="119"/>
        <v>41134</v>
      </c>
      <c r="F663" s="712">
        <v>3.9649999999999999</v>
      </c>
      <c r="G663" s="713">
        <f t="shared" si="114"/>
        <v>0.57000000000000028</v>
      </c>
      <c r="H663" s="713">
        <f t="shared" si="115"/>
        <v>0.58000000000000029</v>
      </c>
      <c r="I663" s="697"/>
      <c r="J663" s="697"/>
      <c r="K663" s="697"/>
      <c r="L663" s="697"/>
      <c r="M663" s="697"/>
      <c r="N663" s="697"/>
      <c r="O663" s="697"/>
      <c r="P663" s="697"/>
      <c r="Q663" s="697"/>
      <c r="R663" s="697"/>
      <c r="S663" s="697"/>
      <c r="T663" s="697"/>
      <c r="U663" s="697"/>
      <c r="V663" s="697"/>
      <c r="W663" s="697"/>
      <c r="X663" s="697"/>
      <c r="Y663" s="697"/>
      <c r="Z663" s="697"/>
      <c r="AA663" s="697"/>
      <c r="AB663" s="697"/>
      <c r="AC663" s="697"/>
      <c r="AD663" s="697"/>
      <c r="AE663" s="697"/>
      <c r="AF663" s="697"/>
      <c r="AG663" s="697"/>
      <c r="AH663" s="697"/>
      <c r="AI663" s="697"/>
      <c r="AJ663" s="697"/>
      <c r="AK663" s="697"/>
      <c r="AL663" s="697"/>
      <c r="AM663" s="697"/>
      <c r="AN663" s="697"/>
      <c r="AO663" s="697"/>
      <c r="AP663" s="697"/>
      <c r="AQ663" s="697"/>
      <c r="AR663" s="697"/>
      <c r="AS663" s="697"/>
      <c r="AT663" s="697"/>
      <c r="AU663" s="697"/>
      <c r="AV663" s="697"/>
      <c r="AW663" s="697"/>
      <c r="AX663" s="697"/>
      <c r="AY663" s="697"/>
      <c r="AZ663" s="697"/>
      <c r="BA663" s="697"/>
      <c r="BB663" s="697"/>
      <c r="BC663" s="697"/>
      <c r="BD663" s="697"/>
      <c r="BE663" s="697"/>
      <c r="BF663" s="697"/>
      <c r="BG663" s="697"/>
      <c r="BH663" s="697"/>
      <c r="BI663" s="697"/>
      <c r="BJ663" s="697"/>
      <c r="BK663" s="697"/>
      <c r="BL663" s="697"/>
      <c r="BM663" s="697"/>
      <c r="BN663" s="697"/>
      <c r="BO663" s="697"/>
      <c r="BP663" s="697"/>
      <c r="BQ663" s="697"/>
      <c r="BR663" s="697"/>
      <c r="BS663" s="697"/>
      <c r="BT663" s="697"/>
      <c r="BU663" s="697"/>
      <c r="BV663" s="697"/>
      <c r="BW663" s="697"/>
      <c r="BX663" s="697"/>
      <c r="BY663" s="697"/>
      <c r="BZ663" s="697"/>
      <c r="CA663" s="697"/>
      <c r="CB663" s="697"/>
      <c r="CC663" s="697"/>
      <c r="CD663" s="697"/>
      <c r="CE663" s="697"/>
      <c r="CF663" s="697"/>
      <c r="CG663" s="697"/>
      <c r="CH663" s="697"/>
      <c r="CI663" s="697"/>
      <c r="CJ663" s="697"/>
      <c r="CK663" s="697"/>
      <c r="CL663" s="697"/>
      <c r="CM663" s="697"/>
      <c r="CN663" s="697"/>
      <c r="CO663" s="697"/>
      <c r="CP663" s="697"/>
      <c r="CQ663" s="697"/>
      <c r="CR663" s="697"/>
      <c r="CS663" s="697"/>
      <c r="CT663" s="697"/>
      <c r="CU663" s="697"/>
      <c r="CV663" s="697"/>
      <c r="CW663" s="697"/>
      <c r="CX663" s="697"/>
      <c r="CY663" s="697"/>
      <c r="CZ663" s="697"/>
      <c r="DA663" s="697"/>
    </row>
    <row r="664" spans="1:105" x14ac:dyDescent="0.2">
      <c r="A664" s="709">
        <f t="shared" si="116"/>
        <v>41122</v>
      </c>
      <c r="B664" s="709" t="str">
        <f t="shared" si="113"/>
        <v>3Q12</v>
      </c>
      <c r="C664" s="709" t="str">
        <f t="shared" si="117"/>
        <v>4Q12</v>
      </c>
      <c r="D664" s="710">
        <f t="shared" si="119"/>
        <v>41201</v>
      </c>
      <c r="E664" s="710">
        <f t="shared" si="119"/>
        <v>41141</v>
      </c>
      <c r="F664" s="712">
        <v>4.0259999999999998</v>
      </c>
      <c r="G664" s="713">
        <f t="shared" si="114"/>
        <v>0.58000000000000029</v>
      </c>
      <c r="H664" s="713">
        <f t="shared" si="115"/>
        <v>0.5900000000000003</v>
      </c>
      <c r="I664" s="697"/>
      <c r="J664" s="697"/>
      <c r="K664" s="697"/>
      <c r="L664" s="697"/>
      <c r="M664" s="697"/>
      <c r="N664" s="697"/>
      <c r="O664" s="697"/>
      <c r="P664" s="697"/>
      <c r="Q664" s="697"/>
      <c r="R664" s="697"/>
      <c r="S664" s="697"/>
      <c r="T664" s="697"/>
      <c r="U664" s="697"/>
      <c r="V664" s="697"/>
      <c r="W664" s="697"/>
      <c r="X664" s="697"/>
      <c r="Y664" s="697"/>
      <c r="Z664" s="697"/>
      <c r="AA664" s="697"/>
      <c r="AB664" s="697"/>
      <c r="AC664" s="697"/>
      <c r="AD664" s="697"/>
      <c r="AE664" s="697"/>
      <c r="AF664" s="697"/>
      <c r="AG664" s="697"/>
      <c r="AH664" s="697"/>
      <c r="AI664" s="697"/>
      <c r="AJ664" s="697"/>
      <c r="AK664" s="697"/>
      <c r="AL664" s="697"/>
      <c r="AM664" s="697"/>
      <c r="AN664" s="697"/>
      <c r="AO664" s="697"/>
      <c r="AP664" s="697"/>
      <c r="AQ664" s="697"/>
      <c r="AR664" s="697"/>
      <c r="AS664" s="697"/>
      <c r="AT664" s="697"/>
      <c r="AU664" s="697"/>
      <c r="AV664" s="697"/>
      <c r="AW664" s="697"/>
      <c r="AX664" s="697"/>
      <c r="AY664" s="697"/>
      <c r="AZ664" s="697"/>
      <c r="BA664" s="697"/>
      <c r="BB664" s="697"/>
      <c r="BC664" s="697"/>
      <c r="BD664" s="697"/>
      <c r="BE664" s="697"/>
      <c r="BF664" s="697"/>
      <c r="BG664" s="697"/>
      <c r="BH664" s="697"/>
      <c r="BI664" s="697"/>
      <c r="BJ664" s="697"/>
      <c r="BK664" s="697"/>
      <c r="BL664" s="697"/>
      <c r="BM664" s="697"/>
      <c r="BN664" s="697"/>
      <c r="BO664" s="697"/>
      <c r="BP664" s="697"/>
      <c r="BQ664" s="697"/>
      <c r="BR664" s="697"/>
      <c r="BS664" s="697"/>
      <c r="BT664" s="697"/>
      <c r="BU664" s="697"/>
      <c r="BV664" s="697"/>
      <c r="BW664" s="697"/>
      <c r="BX664" s="697"/>
      <c r="BY664" s="697"/>
      <c r="BZ664" s="697"/>
      <c r="CA664" s="697"/>
      <c r="CB664" s="697"/>
      <c r="CC664" s="697"/>
      <c r="CD664" s="697"/>
      <c r="CE664" s="697"/>
      <c r="CF664" s="697"/>
      <c r="CG664" s="697"/>
      <c r="CH664" s="697"/>
      <c r="CI664" s="697"/>
      <c r="CJ664" s="697"/>
      <c r="CK664" s="697"/>
      <c r="CL664" s="697"/>
      <c r="CM664" s="697"/>
      <c r="CN664" s="697"/>
      <c r="CO664" s="697"/>
      <c r="CP664" s="697"/>
      <c r="CQ664" s="697"/>
      <c r="CR664" s="697"/>
      <c r="CS664" s="697"/>
      <c r="CT664" s="697"/>
      <c r="CU664" s="697"/>
      <c r="CV664" s="697"/>
      <c r="CW664" s="697"/>
      <c r="CX664" s="697"/>
      <c r="CY664" s="697"/>
      <c r="CZ664" s="697"/>
      <c r="DA664" s="697"/>
    </row>
    <row r="665" spans="1:105" x14ac:dyDescent="0.2">
      <c r="A665" s="709">
        <f t="shared" si="116"/>
        <v>41122</v>
      </c>
      <c r="B665" s="709" t="str">
        <f t="shared" si="113"/>
        <v>3Q12</v>
      </c>
      <c r="C665" s="709" t="str">
        <f t="shared" si="117"/>
        <v>4Q12</v>
      </c>
      <c r="D665" s="710">
        <f t="shared" si="119"/>
        <v>41208</v>
      </c>
      <c r="E665" s="710">
        <f t="shared" si="119"/>
        <v>41148</v>
      </c>
      <c r="F665" s="712">
        <v>4.0890000000000004</v>
      </c>
      <c r="G665" s="713">
        <f t="shared" si="114"/>
        <v>0.5900000000000003</v>
      </c>
      <c r="H665" s="713">
        <f t="shared" si="115"/>
        <v>0.60000000000000031</v>
      </c>
      <c r="I665" s="697"/>
      <c r="J665" s="697"/>
      <c r="K665" s="697"/>
      <c r="L665" s="697"/>
      <c r="M665" s="697"/>
      <c r="N665" s="697"/>
      <c r="O665" s="697"/>
      <c r="P665" s="697"/>
      <c r="Q665" s="697"/>
      <c r="R665" s="697"/>
      <c r="S665" s="697"/>
      <c r="T665" s="697"/>
      <c r="U665" s="697"/>
      <c r="V665" s="697"/>
      <c r="W665" s="697"/>
      <c r="X665" s="697"/>
      <c r="Y665" s="697"/>
      <c r="Z665" s="697"/>
      <c r="AA665" s="697"/>
      <c r="AB665" s="697"/>
      <c r="AC665" s="697"/>
      <c r="AD665" s="697"/>
      <c r="AE665" s="697"/>
      <c r="AF665" s="697"/>
      <c r="AG665" s="697"/>
      <c r="AH665" s="697"/>
      <c r="AI665" s="697"/>
      <c r="AJ665" s="697"/>
      <c r="AK665" s="697"/>
      <c r="AL665" s="697"/>
      <c r="AM665" s="697"/>
      <c r="AN665" s="697"/>
      <c r="AO665" s="697"/>
      <c r="AP665" s="697"/>
      <c r="AQ665" s="697"/>
      <c r="AR665" s="697"/>
      <c r="AS665" s="697"/>
      <c r="AT665" s="697"/>
      <c r="AU665" s="697"/>
      <c r="AV665" s="697"/>
      <c r="AW665" s="697"/>
      <c r="AX665" s="697"/>
      <c r="AY665" s="697"/>
      <c r="AZ665" s="697"/>
      <c r="BA665" s="697"/>
      <c r="BB665" s="697"/>
      <c r="BC665" s="697"/>
      <c r="BD665" s="697"/>
      <c r="BE665" s="697"/>
      <c r="BF665" s="697"/>
      <c r="BG665" s="697"/>
      <c r="BH665" s="697"/>
      <c r="BI665" s="697"/>
      <c r="BJ665" s="697"/>
      <c r="BK665" s="697"/>
      <c r="BL665" s="697"/>
      <c r="BM665" s="697"/>
      <c r="BN665" s="697"/>
      <c r="BO665" s="697"/>
      <c r="BP665" s="697"/>
      <c r="BQ665" s="697"/>
      <c r="BR665" s="697"/>
      <c r="BS665" s="697"/>
      <c r="BT665" s="697"/>
      <c r="BU665" s="697"/>
      <c r="BV665" s="697"/>
      <c r="BW665" s="697"/>
      <c r="BX665" s="697"/>
      <c r="BY665" s="697"/>
      <c r="BZ665" s="697"/>
      <c r="CA665" s="697"/>
      <c r="CB665" s="697"/>
      <c r="CC665" s="697"/>
      <c r="CD665" s="697"/>
      <c r="CE665" s="697"/>
      <c r="CF665" s="697"/>
      <c r="CG665" s="697"/>
      <c r="CH665" s="697"/>
      <c r="CI665" s="697"/>
      <c r="CJ665" s="697"/>
      <c r="CK665" s="697"/>
      <c r="CL665" s="697"/>
      <c r="CM665" s="697"/>
      <c r="CN665" s="697"/>
      <c r="CO665" s="697"/>
      <c r="CP665" s="697"/>
      <c r="CQ665" s="697"/>
      <c r="CR665" s="697"/>
      <c r="CS665" s="697"/>
      <c r="CT665" s="697"/>
      <c r="CU665" s="697"/>
      <c r="CV665" s="697"/>
      <c r="CW665" s="697"/>
      <c r="CX665" s="697"/>
      <c r="CY665" s="697"/>
      <c r="CZ665" s="697"/>
      <c r="DA665" s="697"/>
    </row>
    <row r="666" spans="1:105" x14ac:dyDescent="0.2">
      <c r="A666" s="709">
        <f t="shared" si="116"/>
        <v>41153</v>
      </c>
      <c r="B666" s="709" t="str">
        <f t="shared" si="113"/>
        <v>3Q12</v>
      </c>
      <c r="C666" s="709" t="str">
        <f t="shared" si="117"/>
        <v>4Q12</v>
      </c>
      <c r="D666" s="710">
        <f t="shared" si="119"/>
        <v>41215</v>
      </c>
      <c r="E666" s="710">
        <f t="shared" si="119"/>
        <v>41155</v>
      </c>
      <c r="F666" s="712">
        <v>4.1269999999999998</v>
      </c>
      <c r="G666" s="713">
        <f t="shared" si="114"/>
        <v>0.60000000000000031</v>
      </c>
      <c r="H666" s="713">
        <f t="shared" si="115"/>
        <v>0.60000000000000031</v>
      </c>
      <c r="I666" s="697"/>
      <c r="J666" s="697"/>
      <c r="K666" s="697"/>
      <c r="L666" s="697"/>
      <c r="M666" s="697"/>
      <c r="N666" s="697"/>
      <c r="O666" s="697"/>
      <c r="P666" s="697"/>
      <c r="Q666" s="697"/>
      <c r="R666" s="697"/>
      <c r="S666" s="697"/>
      <c r="T666" s="697"/>
      <c r="U666" s="697"/>
      <c r="V666" s="697"/>
      <c r="W666" s="697"/>
      <c r="X666" s="697"/>
      <c r="Y666" s="697"/>
      <c r="Z666" s="697"/>
      <c r="AA666" s="697"/>
      <c r="AB666" s="697"/>
      <c r="AC666" s="697"/>
      <c r="AD666" s="697"/>
      <c r="AE666" s="697"/>
      <c r="AF666" s="697"/>
      <c r="AG666" s="697"/>
      <c r="AH666" s="697"/>
      <c r="AI666" s="697"/>
      <c r="AJ666" s="697"/>
      <c r="AK666" s="697"/>
      <c r="AL666" s="697"/>
      <c r="AM666" s="697"/>
      <c r="AN666" s="697"/>
      <c r="AO666" s="697"/>
      <c r="AP666" s="697"/>
      <c r="AQ666" s="697"/>
      <c r="AR666" s="697"/>
      <c r="AS666" s="697"/>
      <c r="AT666" s="697"/>
      <c r="AU666" s="697"/>
      <c r="AV666" s="697"/>
      <c r="AW666" s="697"/>
      <c r="AX666" s="697"/>
      <c r="AY666" s="697"/>
      <c r="AZ666" s="697"/>
      <c r="BA666" s="697"/>
      <c r="BB666" s="697"/>
      <c r="BC666" s="697"/>
      <c r="BD666" s="697"/>
      <c r="BE666" s="697"/>
      <c r="BF666" s="697"/>
      <c r="BG666" s="697"/>
      <c r="BH666" s="697"/>
      <c r="BI666" s="697"/>
      <c r="BJ666" s="697"/>
      <c r="BK666" s="697"/>
      <c r="BL666" s="697"/>
      <c r="BM666" s="697"/>
      <c r="BN666" s="697"/>
      <c r="BO666" s="697"/>
      <c r="BP666" s="697"/>
      <c r="BQ666" s="697"/>
      <c r="BR666" s="697"/>
      <c r="BS666" s="697"/>
      <c r="BT666" s="697"/>
      <c r="BU666" s="697"/>
      <c r="BV666" s="697"/>
      <c r="BW666" s="697"/>
      <c r="BX666" s="697"/>
      <c r="BY666" s="697"/>
      <c r="BZ666" s="697"/>
      <c r="CA666" s="697"/>
      <c r="CB666" s="697"/>
      <c r="CC666" s="697"/>
      <c r="CD666" s="697"/>
      <c r="CE666" s="697"/>
      <c r="CF666" s="697"/>
      <c r="CG666" s="697"/>
      <c r="CH666" s="697"/>
      <c r="CI666" s="697"/>
      <c r="CJ666" s="697"/>
      <c r="CK666" s="697"/>
      <c r="CL666" s="697"/>
      <c r="CM666" s="697"/>
      <c r="CN666" s="697"/>
      <c r="CO666" s="697"/>
      <c r="CP666" s="697"/>
      <c r="CQ666" s="697"/>
      <c r="CR666" s="697"/>
      <c r="CS666" s="697"/>
      <c r="CT666" s="697"/>
      <c r="CU666" s="697"/>
      <c r="CV666" s="697"/>
      <c r="CW666" s="697"/>
      <c r="CX666" s="697"/>
      <c r="CY666" s="697"/>
      <c r="CZ666" s="697"/>
      <c r="DA666" s="697"/>
    </row>
    <row r="667" spans="1:105" x14ac:dyDescent="0.2">
      <c r="A667" s="709">
        <f t="shared" si="116"/>
        <v>41153</v>
      </c>
      <c r="B667" s="709" t="str">
        <f t="shared" si="113"/>
        <v>3Q12</v>
      </c>
      <c r="C667" s="709" t="str">
        <f t="shared" si="117"/>
        <v>4Q12</v>
      </c>
      <c r="D667" s="710">
        <f t="shared" si="119"/>
        <v>41222</v>
      </c>
      <c r="E667" s="710">
        <f t="shared" si="119"/>
        <v>41162</v>
      </c>
      <c r="F667" s="712">
        <v>4.1319999999999997</v>
      </c>
      <c r="G667" s="713">
        <f t="shared" si="114"/>
        <v>0.60000000000000031</v>
      </c>
      <c r="H667" s="713">
        <f t="shared" si="115"/>
        <v>0.60000000000000031</v>
      </c>
      <c r="I667" s="697"/>
      <c r="J667" s="697"/>
      <c r="K667" s="697"/>
      <c r="L667" s="697"/>
      <c r="M667" s="697"/>
      <c r="N667" s="697"/>
      <c r="O667" s="697"/>
      <c r="P667" s="697"/>
      <c r="Q667" s="697"/>
      <c r="R667" s="697"/>
      <c r="S667" s="697"/>
      <c r="T667" s="697"/>
      <c r="U667" s="697"/>
      <c r="V667" s="697"/>
      <c r="W667" s="697"/>
      <c r="X667" s="697"/>
      <c r="Y667" s="697"/>
      <c r="Z667" s="697"/>
      <c r="AA667" s="697"/>
      <c r="AB667" s="697"/>
      <c r="AC667" s="697"/>
      <c r="AD667" s="697"/>
      <c r="AE667" s="697"/>
      <c r="AF667" s="697"/>
      <c r="AG667" s="697"/>
      <c r="AH667" s="697"/>
      <c r="AI667" s="697"/>
      <c r="AJ667" s="697"/>
      <c r="AK667" s="697"/>
      <c r="AL667" s="697"/>
      <c r="AM667" s="697"/>
      <c r="AN667" s="697"/>
      <c r="AO667" s="697"/>
      <c r="AP667" s="697"/>
      <c r="AQ667" s="697"/>
      <c r="AR667" s="697"/>
      <c r="AS667" s="697"/>
      <c r="AT667" s="697"/>
      <c r="AU667" s="697"/>
      <c r="AV667" s="697"/>
      <c r="AW667" s="697"/>
      <c r="AX667" s="697"/>
      <c r="AY667" s="697"/>
      <c r="AZ667" s="697"/>
      <c r="BA667" s="697"/>
      <c r="BB667" s="697"/>
      <c r="BC667" s="697"/>
      <c r="BD667" s="697"/>
      <c r="BE667" s="697"/>
      <c r="BF667" s="697"/>
      <c r="BG667" s="697"/>
      <c r="BH667" s="697"/>
      <c r="BI667" s="697"/>
      <c r="BJ667" s="697"/>
      <c r="BK667" s="697"/>
      <c r="BL667" s="697"/>
      <c r="BM667" s="697"/>
      <c r="BN667" s="697"/>
      <c r="BO667" s="697"/>
      <c r="BP667" s="697"/>
      <c r="BQ667" s="697"/>
      <c r="BR667" s="697"/>
      <c r="BS667" s="697"/>
      <c r="BT667" s="697"/>
      <c r="BU667" s="697"/>
      <c r="BV667" s="697"/>
      <c r="BW667" s="697"/>
      <c r="BX667" s="697"/>
      <c r="BY667" s="697"/>
      <c r="BZ667" s="697"/>
      <c r="CA667" s="697"/>
      <c r="CB667" s="697"/>
      <c r="CC667" s="697"/>
      <c r="CD667" s="697"/>
      <c r="CE667" s="697"/>
      <c r="CF667" s="697"/>
      <c r="CG667" s="697"/>
      <c r="CH667" s="697"/>
      <c r="CI667" s="697"/>
      <c r="CJ667" s="697"/>
      <c r="CK667" s="697"/>
      <c r="CL667" s="697"/>
      <c r="CM667" s="697"/>
      <c r="CN667" s="697"/>
      <c r="CO667" s="697"/>
      <c r="CP667" s="697"/>
      <c r="CQ667" s="697"/>
      <c r="CR667" s="697"/>
      <c r="CS667" s="697"/>
      <c r="CT667" s="697"/>
      <c r="CU667" s="697"/>
      <c r="CV667" s="697"/>
      <c r="CW667" s="697"/>
      <c r="CX667" s="697"/>
      <c r="CY667" s="697"/>
      <c r="CZ667" s="697"/>
      <c r="DA667" s="697"/>
    </row>
    <row r="668" spans="1:105" x14ac:dyDescent="0.2">
      <c r="A668" s="709">
        <f t="shared" si="116"/>
        <v>41153</v>
      </c>
      <c r="B668" s="709" t="str">
        <f t="shared" si="113"/>
        <v>3Q12</v>
      </c>
      <c r="C668" s="709" t="str">
        <f t="shared" si="117"/>
        <v>4Q12</v>
      </c>
      <c r="D668" s="710">
        <f t="shared" si="119"/>
        <v>41229</v>
      </c>
      <c r="E668" s="710">
        <f t="shared" si="119"/>
        <v>41169</v>
      </c>
      <c r="F668" s="712">
        <v>4.1349999999999998</v>
      </c>
      <c r="G668" s="713">
        <f t="shared" si="114"/>
        <v>0.60000000000000031</v>
      </c>
      <c r="H668" s="713">
        <f t="shared" si="115"/>
        <v>0.5900000000000003</v>
      </c>
      <c r="I668" s="697"/>
      <c r="J668" s="697"/>
      <c r="K668" s="697"/>
      <c r="L668" s="697"/>
      <c r="M668" s="697"/>
      <c r="N668" s="697"/>
      <c r="O668" s="697"/>
      <c r="P668" s="697"/>
      <c r="Q668" s="697"/>
      <c r="R668" s="697"/>
      <c r="S668" s="697"/>
      <c r="T668" s="697"/>
      <c r="U668" s="697"/>
      <c r="V668" s="697"/>
      <c r="W668" s="697"/>
      <c r="X668" s="697"/>
      <c r="Y668" s="697"/>
      <c r="Z668" s="697"/>
      <c r="AA668" s="697"/>
      <c r="AB668" s="697"/>
      <c r="AC668" s="697"/>
      <c r="AD668" s="697"/>
      <c r="AE668" s="697"/>
      <c r="AF668" s="697"/>
      <c r="AG668" s="697"/>
      <c r="AH668" s="697"/>
      <c r="AI668" s="697"/>
      <c r="AJ668" s="697"/>
      <c r="AK668" s="697"/>
      <c r="AL668" s="697"/>
      <c r="AM668" s="697"/>
      <c r="AN668" s="697"/>
      <c r="AO668" s="697"/>
      <c r="AP668" s="697"/>
      <c r="AQ668" s="697"/>
      <c r="AR668" s="697"/>
      <c r="AS668" s="697"/>
      <c r="AT668" s="697"/>
      <c r="AU668" s="697"/>
      <c r="AV668" s="697"/>
      <c r="AW668" s="697"/>
      <c r="AX668" s="697"/>
      <c r="AY668" s="697"/>
      <c r="AZ668" s="697"/>
      <c r="BA668" s="697"/>
      <c r="BB668" s="697"/>
      <c r="BC668" s="697"/>
      <c r="BD668" s="697"/>
      <c r="BE668" s="697"/>
      <c r="BF668" s="697"/>
      <c r="BG668" s="697"/>
      <c r="BH668" s="697"/>
      <c r="BI668" s="697"/>
      <c r="BJ668" s="697"/>
      <c r="BK668" s="697"/>
      <c r="BL668" s="697"/>
      <c r="BM668" s="697"/>
      <c r="BN668" s="697"/>
      <c r="BO668" s="697"/>
      <c r="BP668" s="697"/>
      <c r="BQ668" s="697"/>
      <c r="BR668" s="697"/>
      <c r="BS668" s="697"/>
      <c r="BT668" s="697"/>
      <c r="BU668" s="697"/>
      <c r="BV668" s="697"/>
      <c r="BW668" s="697"/>
      <c r="BX668" s="697"/>
      <c r="BY668" s="697"/>
      <c r="BZ668" s="697"/>
      <c r="CA668" s="697"/>
      <c r="CB668" s="697"/>
      <c r="CC668" s="697"/>
      <c r="CD668" s="697"/>
      <c r="CE668" s="697"/>
      <c r="CF668" s="697"/>
      <c r="CG668" s="697"/>
      <c r="CH668" s="697"/>
      <c r="CI668" s="697"/>
      <c r="CJ668" s="697"/>
      <c r="CK668" s="697"/>
      <c r="CL668" s="697"/>
      <c r="CM668" s="697"/>
      <c r="CN668" s="697"/>
      <c r="CO668" s="697"/>
      <c r="CP668" s="697"/>
      <c r="CQ668" s="697"/>
      <c r="CR668" s="697"/>
      <c r="CS668" s="697"/>
      <c r="CT668" s="697"/>
      <c r="CU668" s="697"/>
      <c r="CV668" s="697"/>
      <c r="CW668" s="697"/>
      <c r="CX668" s="697"/>
      <c r="CY668" s="697"/>
      <c r="CZ668" s="697"/>
      <c r="DA668" s="697"/>
    </row>
    <row r="669" spans="1:105" x14ac:dyDescent="0.2">
      <c r="A669" s="709">
        <f t="shared" si="116"/>
        <v>41153</v>
      </c>
      <c r="B669" s="709" t="str">
        <f t="shared" si="113"/>
        <v>3Q12</v>
      </c>
      <c r="C669" s="709" t="str">
        <f t="shared" si="117"/>
        <v>4Q12</v>
      </c>
      <c r="D669" s="710">
        <f t="shared" si="119"/>
        <v>41236</v>
      </c>
      <c r="E669" s="710">
        <f t="shared" si="119"/>
        <v>41176</v>
      </c>
      <c r="F669" s="712">
        <v>4.0860000000000003</v>
      </c>
      <c r="G669" s="713">
        <f t="shared" si="114"/>
        <v>0.5900000000000003</v>
      </c>
      <c r="H669" s="713">
        <f t="shared" si="115"/>
        <v>0.5900000000000003</v>
      </c>
      <c r="I669" s="697"/>
      <c r="J669" s="697"/>
      <c r="K669" s="697"/>
      <c r="L669" s="697"/>
      <c r="M669" s="697"/>
      <c r="N669" s="697"/>
      <c r="O669" s="697"/>
      <c r="P669" s="697"/>
      <c r="Q669" s="697"/>
      <c r="R669" s="697"/>
      <c r="S669" s="697"/>
      <c r="T669" s="697"/>
      <c r="U669" s="697"/>
      <c r="V669" s="697"/>
      <c r="W669" s="697"/>
      <c r="X669" s="697"/>
      <c r="Y669" s="697"/>
      <c r="Z669" s="697"/>
      <c r="AA669" s="697"/>
      <c r="AB669" s="697"/>
      <c r="AC669" s="697"/>
      <c r="AD669" s="697"/>
      <c r="AE669" s="697"/>
      <c r="AF669" s="697"/>
      <c r="AG669" s="697"/>
      <c r="AH669" s="697"/>
      <c r="AI669" s="697"/>
      <c r="AJ669" s="697"/>
      <c r="AK669" s="697"/>
      <c r="AL669" s="697"/>
      <c r="AM669" s="697"/>
      <c r="AN669" s="697"/>
      <c r="AO669" s="697"/>
      <c r="AP669" s="697"/>
      <c r="AQ669" s="697"/>
      <c r="AR669" s="697"/>
      <c r="AS669" s="697"/>
      <c r="AT669" s="697"/>
      <c r="AU669" s="697"/>
      <c r="AV669" s="697"/>
      <c r="AW669" s="697"/>
      <c r="AX669" s="697"/>
      <c r="AY669" s="697"/>
      <c r="AZ669" s="697"/>
      <c r="BA669" s="697"/>
      <c r="BB669" s="697"/>
      <c r="BC669" s="697"/>
      <c r="BD669" s="697"/>
      <c r="BE669" s="697"/>
      <c r="BF669" s="697"/>
      <c r="BG669" s="697"/>
      <c r="BH669" s="697"/>
      <c r="BI669" s="697"/>
      <c r="BJ669" s="697"/>
      <c r="BK669" s="697"/>
      <c r="BL669" s="697"/>
      <c r="BM669" s="697"/>
      <c r="BN669" s="697"/>
      <c r="BO669" s="697"/>
      <c r="BP669" s="697"/>
      <c r="BQ669" s="697"/>
      <c r="BR669" s="697"/>
      <c r="BS669" s="697"/>
      <c r="BT669" s="697"/>
      <c r="BU669" s="697"/>
      <c r="BV669" s="697"/>
      <c r="BW669" s="697"/>
      <c r="BX669" s="697"/>
      <c r="BY669" s="697"/>
      <c r="BZ669" s="697"/>
      <c r="CA669" s="697"/>
      <c r="CB669" s="697"/>
      <c r="CC669" s="697"/>
      <c r="CD669" s="697"/>
      <c r="CE669" s="697"/>
      <c r="CF669" s="697"/>
      <c r="CG669" s="697"/>
      <c r="CH669" s="697"/>
      <c r="CI669" s="697"/>
      <c r="CJ669" s="697"/>
      <c r="CK669" s="697"/>
      <c r="CL669" s="697"/>
      <c r="CM669" s="697"/>
      <c r="CN669" s="697"/>
      <c r="CO669" s="697"/>
      <c r="CP669" s="697"/>
      <c r="CQ669" s="697"/>
      <c r="CR669" s="697"/>
      <c r="CS669" s="697"/>
      <c r="CT669" s="697"/>
      <c r="CU669" s="697"/>
      <c r="CV669" s="697"/>
      <c r="CW669" s="697"/>
      <c r="CX669" s="697"/>
      <c r="CY669" s="697"/>
      <c r="CZ669" s="697"/>
      <c r="DA669" s="697"/>
    </row>
    <row r="670" spans="1:105" x14ac:dyDescent="0.2">
      <c r="A670" s="709">
        <f t="shared" si="116"/>
        <v>41183</v>
      </c>
      <c r="B670" s="709" t="str">
        <f t="shared" si="113"/>
        <v>4Q12</v>
      </c>
      <c r="C670" s="709" t="str">
        <f t="shared" si="117"/>
        <v>4Q12</v>
      </c>
      <c r="D670" s="710">
        <f t="shared" si="119"/>
        <v>41243</v>
      </c>
      <c r="E670" s="710">
        <f t="shared" si="119"/>
        <v>41183</v>
      </c>
      <c r="F670" s="712">
        <v>4.0789999999999997</v>
      </c>
      <c r="G670" s="713">
        <f t="shared" si="114"/>
        <v>0.5900000000000003</v>
      </c>
      <c r="H670" s="713">
        <f t="shared" si="115"/>
        <v>0.5900000000000003</v>
      </c>
      <c r="I670" s="697"/>
      <c r="J670" s="697"/>
      <c r="K670" s="697"/>
      <c r="L670" s="697"/>
      <c r="M670" s="697"/>
      <c r="N670" s="697"/>
      <c r="O670" s="697"/>
      <c r="P670" s="697"/>
      <c r="Q670" s="697"/>
      <c r="R670" s="697"/>
      <c r="S670" s="697"/>
      <c r="T670" s="697"/>
      <c r="U670" s="697"/>
      <c r="V670" s="697"/>
      <c r="W670" s="697"/>
      <c r="X670" s="697"/>
      <c r="Y670" s="697"/>
      <c r="Z670" s="697"/>
      <c r="AA670" s="697"/>
      <c r="AB670" s="697"/>
      <c r="AC670" s="697"/>
      <c r="AD670" s="697"/>
      <c r="AE670" s="697"/>
      <c r="AF670" s="697"/>
      <c r="AG670" s="697"/>
      <c r="AH670" s="697"/>
      <c r="AI670" s="697"/>
      <c r="AJ670" s="697"/>
      <c r="AK670" s="697"/>
      <c r="AL670" s="697"/>
      <c r="AM670" s="697"/>
      <c r="AN670" s="697"/>
      <c r="AO670" s="697"/>
      <c r="AP670" s="697"/>
      <c r="AQ670" s="697"/>
      <c r="AR670" s="697"/>
      <c r="AS670" s="697"/>
      <c r="AT670" s="697"/>
      <c r="AU670" s="697"/>
      <c r="AV670" s="697"/>
      <c r="AW670" s="697"/>
      <c r="AX670" s="697"/>
      <c r="AY670" s="697"/>
      <c r="AZ670" s="697"/>
      <c r="BA670" s="697"/>
      <c r="BB670" s="697"/>
      <c r="BC670" s="697"/>
      <c r="BD670" s="697"/>
      <c r="BE670" s="697"/>
      <c r="BF670" s="697"/>
      <c r="BG670" s="697"/>
      <c r="BH670" s="697"/>
      <c r="BI670" s="697"/>
      <c r="BJ670" s="697"/>
      <c r="BK670" s="697"/>
      <c r="BL670" s="697"/>
      <c r="BM670" s="697"/>
      <c r="BN670" s="697"/>
      <c r="BO670" s="697"/>
      <c r="BP670" s="697"/>
      <c r="BQ670" s="697"/>
      <c r="BR670" s="697"/>
      <c r="BS670" s="697"/>
      <c r="BT670" s="697"/>
      <c r="BU670" s="697"/>
      <c r="BV670" s="697"/>
      <c r="BW670" s="697"/>
      <c r="BX670" s="697"/>
      <c r="BY670" s="697"/>
      <c r="BZ670" s="697"/>
      <c r="CA670" s="697"/>
      <c r="CB670" s="697"/>
      <c r="CC670" s="697"/>
      <c r="CD670" s="697"/>
      <c r="CE670" s="697"/>
      <c r="CF670" s="697"/>
      <c r="CG670" s="697"/>
      <c r="CH670" s="697"/>
      <c r="CI670" s="697"/>
      <c r="CJ670" s="697"/>
      <c r="CK670" s="697"/>
      <c r="CL670" s="697"/>
      <c r="CM670" s="697"/>
      <c r="CN670" s="697"/>
      <c r="CO670" s="697"/>
      <c r="CP670" s="697"/>
      <c r="CQ670" s="697"/>
      <c r="CR670" s="697"/>
      <c r="CS670" s="697"/>
      <c r="CT670" s="697"/>
      <c r="CU670" s="697"/>
      <c r="CV670" s="697"/>
      <c r="CW670" s="697"/>
      <c r="CX670" s="697"/>
      <c r="CY670" s="697"/>
      <c r="CZ670" s="697"/>
      <c r="DA670" s="697"/>
    </row>
    <row r="671" spans="1:105" x14ac:dyDescent="0.2">
      <c r="A671" s="709">
        <f t="shared" si="116"/>
        <v>41183</v>
      </c>
      <c r="B671" s="709" t="str">
        <f t="shared" si="113"/>
        <v>4Q12</v>
      </c>
      <c r="C671" s="709" t="str">
        <f t="shared" si="117"/>
        <v>4Q12</v>
      </c>
      <c r="D671" s="710">
        <f t="shared" si="119"/>
        <v>41250</v>
      </c>
      <c r="E671" s="710">
        <f t="shared" si="119"/>
        <v>41190</v>
      </c>
      <c r="F671" s="712">
        <v>4.0940000000000003</v>
      </c>
      <c r="G671" s="713">
        <f t="shared" si="114"/>
        <v>0.5900000000000003</v>
      </c>
      <c r="H671" s="713">
        <f t="shared" si="115"/>
        <v>0.61000000000000032</v>
      </c>
      <c r="I671" s="697"/>
      <c r="J671" s="697"/>
      <c r="K671" s="697"/>
      <c r="L671" s="697"/>
      <c r="M671" s="697"/>
      <c r="N671" s="697"/>
      <c r="O671" s="697"/>
      <c r="P671" s="697"/>
      <c r="Q671" s="697"/>
      <c r="R671" s="697"/>
      <c r="S671" s="697"/>
      <c r="T671" s="697"/>
      <c r="U671" s="697"/>
      <c r="V671" s="697"/>
      <c r="W671" s="697"/>
      <c r="X671" s="697"/>
      <c r="Y671" s="697"/>
      <c r="Z671" s="697"/>
      <c r="AA671" s="697"/>
      <c r="AB671" s="697"/>
      <c r="AC671" s="697"/>
      <c r="AD671" s="697"/>
      <c r="AE671" s="697"/>
      <c r="AF671" s="697"/>
      <c r="AG671" s="697"/>
      <c r="AH671" s="697"/>
      <c r="AI671" s="697"/>
      <c r="AJ671" s="697"/>
      <c r="AK671" s="697"/>
      <c r="AL671" s="697"/>
      <c r="AM671" s="697"/>
      <c r="AN671" s="697"/>
      <c r="AO671" s="697"/>
      <c r="AP671" s="697"/>
      <c r="AQ671" s="697"/>
      <c r="AR671" s="697"/>
      <c r="AS671" s="697"/>
      <c r="AT671" s="697"/>
      <c r="AU671" s="697"/>
      <c r="AV671" s="697"/>
      <c r="AW671" s="697"/>
      <c r="AX671" s="697"/>
      <c r="AY671" s="697"/>
      <c r="AZ671" s="697"/>
      <c r="BA671" s="697"/>
      <c r="BB671" s="697"/>
      <c r="BC671" s="697"/>
      <c r="BD671" s="697"/>
      <c r="BE671" s="697"/>
      <c r="BF671" s="697"/>
      <c r="BG671" s="697"/>
      <c r="BH671" s="697"/>
      <c r="BI671" s="697"/>
      <c r="BJ671" s="697"/>
      <c r="BK671" s="697"/>
      <c r="BL671" s="697"/>
      <c r="BM671" s="697"/>
      <c r="BN671" s="697"/>
      <c r="BO671" s="697"/>
      <c r="BP671" s="697"/>
      <c r="BQ671" s="697"/>
      <c r="BR671" s="697"/>
      <c r="BS671" s="697"/>
      <c r="BT671" s="697"/>
      <c r="BU671" s="697"/>
      <c r="BV671" s="697"/>
      <c r="BW671" s="697"/>
      <c r="BX671" s="697"/>
      <c r="BY671" s="697"/>
      <c r="BZ671" s="697"/>
      <c r="CA671" s="697"/>
      <c r="CB671" s="697"/>
      <c r="CC671" s="697"/>
      <c r="CD671" s="697"/>
      <c r="CE671" s="697"/>
      <c r="CF671" s="697"/>
      <c r="CG671" s="697"/>
      <c r="CH671" s="697"/>
      <c r="CI671" s="697"/>
      <c r="CJ671" s="697"/>
      <c r="CK671" s="697"/>
      <c r="CL671" s="697"/>
      <c r="CM671" s="697"/>
      <c r="CN671" s="697"/>
      <c r="CO671" s="697"/>
      <c r="CP671" s="697"/>
      <c r="CQ671" s="697"/>
      <c r="CR671" s="697"/>
      <c r="CS671" s="697"/>
      <c r="CT671" s="697"/>
      <c r="CU671" s="697"/>
      <c r="CV671" s="697"/>
      <c r="CW671" s="697"/>
      <c r="CX671" s="697"/>
      <c r="CY671" s="697"/>
      <c r="CZ671" s="697"/>
      <c r="DA671" s="697"/>
    </row>
    <row r="672" spans="1:105" x14ac:dyDescent="0.2">
      <c r="A672" s="709">
        <f t="shared" si="116"/>
        <v>41183</v>
      </c>
      <c r="B672" s="709" t="str">
        <f t="shared" si="113"/>
        <v>4Q12</v>
      </c>
      <c r="C672" s="709" t="str">
        <f t="shared" si="117"/>
        <v>4Q12</v>
      </c>
      <c r="D672" s="710">
        <f t="shared" si="119"/>
        <v>41257</v>
      </c>
      <c r="E672" s="710">
        <f t="shared" si="119"/>
        <v>41197</v>
      </c>
      <c r="F672" s="712">
        <v>4.1500000000000004</v>
      </c>
      <c r="G672" s="713">
        <f t="shared" si="114"/>
        <v>0.61000000000000032</v>
      </c>
      <c r="H672" s="713">
        <f t="shared" si="115"/>
        <v>0.60000000000000031</v>
      </c>
      <c r="I672" s="697"/>
      <c r="J672" s="697"/>
      <c r="K672" s="697"/>
      <c r="L672" s="697"/>
      <c r="M672" s="697"/>
      <c r="N672" s="697"/>
      <c r="O672" s="697"/>
      <c r="P672" s="697"/>
      <c r="Q672" s="697"/>
      <c r="R672" s="697"/>
      <c r="S672" s="697"/>
      <c r="T672" s="697"/>
      <c r="U672" s="697"/>
      <c r="V672" s="697"/>
      <c r="W672" s="697"/>
      <c r="X672" s="697"/>
      <c r="Y672" s="697"/>
      <c r="Z672" s="697"/>
      <c r="AA672" s="697"/>
      <c r="AB672" s="697"/>
      <c r="AC672" s="697"/>
      <c r="AD672" s="697"/>
      <c r="AE672" s="697"/>
      <c r="AF672" s="697"/>
      <c r="AG672" s="697"/>
      <c r="AH672" s="697"/>
      <c r="AI672" s="697"/>
      <c r="AJ672" s="697"/>
      <c r="AK672" s="697"/>
      <c r="AL672" s="697"/>
      <c r="AM672" s="697"/>
      <c r="AN672" s="697"/>
      <c r="AO672" s="697"/>
      <c r="AP672" s="697"/>
      <c r="AQ672" s="697"/>
      <c r="AR672" s="697"/>
      <c r="AS672" s="697"/>
      <c r="AT672" s="697"/>
      <c r="AU672" s="697"/>
      <c r="AV672" s="697"/>
      <c r="AW672" s="697"/>
      <c r="AX672" s="697"/>
      <c r="AY672" s="697"/>
      <c r="AZ672" s="697"/>
      <c r="BA672" s="697"/>
      <c r="BB672" s="697"/>
      <c r="BC672" s="697"/>
      <c r="BD672" s="697"/>
      <c r="BE672" s="697"/>
      <c r="BF672" s="697"/>
      <c r="BG672" s="697"/>
      <c r="BH672" s="697"/>
      <c r="BI672" s="697"/>
      <c r="BJ672" s="697"/>
      <c r="BK672" s="697"/>
      <c r="BL672" s="697"/>
      <c r="BM672" s="697"/>
      <c r="BN672" s="697"/>
      <c r="BO672" s="697"/>
      <c r="BP672" s="697"/>
      <c r="BQ672" s="697"/>
      <c r="BR672" s="697"/>
      <c r="BS672" s="697"/>
      <c r="BT672" s="697"/>
      <c r="BU672" s="697"/>
      <c r="BV672" s="697"/>
      <c r="BW672" s="697"/>
      <c r="BX672" s="697"/>
      <c r="BY672" s="697"/>
      <c r="BZ672" s="697"/>
      <c r="CA672" s="697"/>
      <c r="CB672" s="697"/>
      <c r="CC672" s="697"/>
      <c r="CD672" s="697"/>
      <c r="CE672" s="697"/>
      <c r="CF672" s="697"/>
      <c r="CG672" s="697"/>
      <c r="CH672" s="697"/>
      <c r="CI672" s="697"/>
      <c r="CJ672" s="697"/>
      <c r="CK672" s="697"/>
      <c r="CL672" s="697"/>
      <c r="CM672" s="697"/>
      <c r="CN672" s="697"/>
      <c r="CO672" s="697"/>
      <c r="CP672" s="697"/>
      <c r="CQ672" s="697"/>
      <c r="CR672" s="697"/>
      <c r="CS672" s="697"/>
      <c r="CT672" s="697"/>
      <c r="CU672" s="697"/>
      <c r="CV672" s="697"/>
      <c r="CW672" s="697"/>
      <c r="CX672" s="697"/>
      <c r="CY672" s="697"/>
      <c r="CZ672" s="697"/>
      <c r="DA672" s="697"/>
    </row>
    <row r="673" spans="1:105" x14ac:dyDescent="0.2">
      <c r="A673" s="709">
        <f t="shared" si="116"/>
        <v>41183</v>
      </c>
      <c r="B673" s="709" t="str">
        <f t="shared" si="113"/>
        <v>4Q12</v>
      </c>
      <c r="C673" s="709" t="str">
        <f t="shared" si="117"/>
        <v>4Q12</v>
      </c>
      <c r="D673" s="710">
        <f t="shared" si="119"/>
        <v>41264</v>
      </c>
      <c r="E673" s="710">
        <f t="shared" si="119"/>
        <v>41204</v>
      </c>
      <c r="F673" s="712">
        <v>4.1159999999999997</v>
      </c>
      <c r="G673" s="713">
        <f t="shared" si="114"/>
        <v>0.60000000000000031</v>
      </c>
      <c r="H673" s="713">
        <f t="shared" si="115"/>
        <v>0.58000000000000029</v>
      </c>
      <c r="I673" s="697"/>
      <c r="J673" s="697"/>
      <c r="K673" s="697"/>
      <c r="L673" s="697"/>
      <c r="M673" s="697"/>
      <c r="N673" s="697"/>
      <c r="O673" s="697"/>
      <c r="P673" s="697"/>
      <c r="Q673" s="697"/>
      <c r="R673" s="697"/>
      <c r="S673" s="697"/>
      <c r="T673" s="697"/>
      <c r="U673" s="697"/>
      <c r="V673" s="697"/>
      <c r="W673" s="697"/>
      <c r="X673" s="697"/>
      <c r="Y673" s="697"/>
      <c r="Z673" s="697"/>
      <c r="AA673" s="697"/>
      <c r="AB673" s="697"/>
      <c r="AC673" s="697"/>
      <c r="AD673" s="697"/>
      <c r="AE673" s="697"/>
      <c r="AF673" s="697"/>
      <c r="AG673" s="697"/>
      <c r="AH673" s="697"/>
      <c r="AI673" s="697"/>
      <c r="AJ673" s="697"/>
      <c r="AK673" s="697"/>
      <c r="AL673" s="697"/>
      <c r="AM673" s="697"/>
      <c r="AN673" s="697"/>
      <c r="AO673" s="697"/>
      <c r="AP673" s="697"/>
      <c r="AQ673" s="697"/>
      <c r="AR673" s="697"/>
      <c r="AS673" s="697"/>
      <c r="AT673" s="697"/>
      <c r="AU673" s="697"/>
      <c r="AV673" s="697"/>
      <c r="AW673" s="697"/>
      <c r="AX673" s="697"/>
      <c r="AY673" s="697"/>
      <c r="AZ673" s="697"/>
      <c r="BA673" s="697"/>
      <c r="BB673" s="697"/>
      <c r="BC673" s="697"/>
      <c r="BD673" s="697"/>
      <c r="BE673" s="697"/>
      <c r="BF673" s="697"/>
      <c r="BG673" s="697"/>
      <c r="BH673" s="697"/>
      <c r="BI673" s="697"/>
      <c r="BJ673" s="697"/>
      <c r="BK673" s="697"/>
      <c r="BL673" s="697"/>
      <c r="BM673" s="697"/>
      <c r="BN673" s="697"/>
      <c r="BO673" s="697"/>
      <c r="BP673" s="697"/>
      <c r="BQ673" s="697"/>
      <c r="BR673" s="697"/>
      <c r="BS673" s="697"/>
      <c r="BT673" s="697"/>
      <c r="BU673" s="697"/>
      <c r="BV673" s="697"/>
      <c r="BW673" s="697"/>
      <c r="BX673" s="697"/>
      <c r="BY673" s="697"/>
      <c r="BZ673" s="697"/>
      <c r="CA673" s="697"/>
      <c r="CB673" s="697"/>
      <c r="CC673" s="697"/>
      <c r="CD673" s="697"/>
      <c r="CE673" s="697"/>
      <c r="CF673" s="697"/>
      <c r="CG673" s="697"/>
      <c r="CH673" s="697"/>
      <c r="CI673" s="697"/>
      <c r="CJ673" s="697"/>
      <c r="CK673" s="697"/>
      <c r="CL673" s="697"/>
      <c r="CM673" s="697"/>
      <c r="CN673" s="697"/>
      <c r="CO673" s="697"/>
      <c r="CP673" s="697"/>
      <c r="CQ673" s="697"/>
      <c r="CR673" s="697"/>
      <c r="CS673" s="697"/>
      <c r="CT673" s="697"/>
      <c r="CU673" s="697"/>
      <c r="CV673" s="697"/>
      <c r="CW673" s="697"/>
      <c r="CX673" s="697"/>
      <c r="CY673" s="697"/>
      <c r="CZ673" s="697"/>
      <c r="DA673" s="697"/>
    </row>
    <row r="674" spans="1:105" x14ac:dyDescent="0.2">
      <c r="A674" s="709">
        <f t="shared" si="116"/>
        <v>41183</v>
      </c>
      <c r="B674" s="709" t="str">
        <f t="shared" si="113"/>
        <v>4Q12</v>
      </c>
      <c r="C674" s="709" t="str">
        <f t="shared" si="117"/>
        <v>4Q12</v>
      </c>
      <c r="D674" s="710">
        <f t="shared" si="119"/>
        <v>41271</v>
      </c>
      <c r="E674" s="710">
        <f t="shared" si="119"/>
        <v>41211</v>
      </c>
      <c r="F674" s="712">
        <v>4.03</v>
      </c>
      <c r="G674" s="713">
        <f t="shared" si="114"/>
        <v>0.58000000000000029</v>
      </c>
      <c r="H674" s="713">
        <f t="shared" si="115"/>
        <v>0.58000000000000029</v>
      </c>
      <c r="I674" s="697"/>
      <c r="J674" s="697"/>
      <c r="K674" s="697"/>
      <c r="L674" s="697"/>
      <c r="M674" s="697"/>
      <c r="N674" s="697"/>
      <c r="O674" s="697"/>
      <c r="P674" s="697"/>
      <c r="Q674" s="697"/>
      <c r="R674" s="697"/>
      <c r="S674" s="697"/>
      <c r="T674" s="697"/>
      <c r="U674" s="697"/>
      <c r="V674" s="697"/>
      <c r="W674" s="697"/>
      <c r="X674" s="697"/>
      <c r="Y674" s="697"/>
      <c r="Z674" s="697"/>
      <c r="AA674" s="697"/>
      <c r="AB674" s="697"/>
      <c r="AC674" s="697"/>
      <c r="AD674" s="697"/>
      <c r="AE674" s="697"/>
      <c r="AF674" s="697"/>
      <c r="AG674" s="697"/>
      <c r="AH674" s="697"/>
      <c r="AI674" s="697"/>
      <c r="AJ674" s="697"/>
      <c r="AK674" s="697"/>
      <c r="AL674" s="697"/>
      <c r="AM674" s="697"/>
      <c r="AN674" s="697"/>
      <c r="AO674" s="697"/>
      <c r="AP674" s="697"/>
      <c r="AQ674" s="697"/>
      <c r="AR674" s="697"/>
      <c r="AS674" s="697"/>
      <c r="AT674" s="697"/>
      <c r="AU674" s="697"/>
      <c r="AV674" s="697"/>
      <c r="AW674" s="697"/>
      <c r="AX674" s="697"/>
      <c r="AY674" s="697"/>
      <c r="AZ674" s="697"/>
      <c r="BA674" s="697"/>
      <c r="BB674" s="697"/>
      <c r="BC674" s="697"/>
      <c r="BD674" s="697"/>
      <c r="BE674" s="697"/>
      <c r="BF674" s="697"/>
      <c r="BG674" s="697"/>
      <c r="BH674" s="697"/>
      <c r="BI674" s="697"/>
      <c r="BJ674" s="697"/>
      <c r="BK674" s="697"/>
      <c r="BL674" s="697"/>
      <c r="BM674" s="697"/>
      <c r="BN674" s="697"/>
      <c r="BO674" s="697"/>
      <c r="BP674" s="697"/>
      <c r="BQ674" s="697"/>
      <c r="BR674" s="697"/>
      <c r="BS674" s="697"/>
      <c r="BT674" s="697"/>
      <c r="BU674" s="697"/>
      <c r="BV674" s="697"/>
      <c r="BW674" s="697"/>
      <c r="BX674" s="697"/>
      <c r="BY674" s="697"/>
      <c r="BZ674" s="697"/>
      <c r="CA674" s="697"/>
      <c r="CB674" s="697"/>
      <c r="CC674" s="697"/>
      <c r="CD674" s="697"/>
      <c r="CE674" s="697"/>
      <c r="CF674" s="697"/>
      <c r="CG674" s="697"/>
      <c r="CH674" s="697"/>
      <c r="CI674" s="697"/>
      <c r="CJ674" s="697"/>
      <c r="CK674" s="697"/>
      <c r="CL674" s="697"/>
      <c r="CM674" s="697"/>
      <c r="CN674" s="697"/>
      <c r="CO674" s="697"/>
      <c r="CP674" s="697"/>
      <c r="CQ674" s="697"/>
      <c r="CR674" s="697"/>
      <c r="CS674" s="697"/>
      <c r="CT674" s="697"/>
      <c r="CU674" s="697"/>
      <c r="CV674" s="697"/>
      <c r="CW674" s="697"/>
      <c r="CX674" s="697"/>
      <c r="CY674" s="697"/>
      <c r="CZ674" s="697"/>
      <c r="DA674" s="697"/>
    </row>
    <row r="675" spans="1:105" x14ac:dyDescent="0.2">
      <c r="A675" s="709">
        <f t="shared" si="116"/>
        <v>41214</v>
      </c>
      <c r="B675" s="709" t="str">
        <f t="shared" si="113"/>
        <v>4Q12</v>
      </c>
      <c r="C675" s="709" t="str">
        <f t="shared" si="117"/>
        <v>1Q13</v>
      </c>
      <c r="D675" s="710">
        <f t="shared" si="119"/>
        <v>41278</v>
      </c>
      <c r="E675" s="710">
        <f t="shared" si="119"/>
        <v>41218</v>
      </c>
      <c r="F675" s="712">
        <v>4.01</v>
      </c>
      <c r="G675" s="713">
        <f t="shared" si="114"/>
        <v>0.58000000000000029</v>
      </c>
      <c r="H675" s="713">
        <f t="shared" si="115"/>
        <v>0.57000000000000028</v>
      </c>
      <c r="I675" s="697"/>
      <c r="J675" s="697"/>
      <c r="K675" s="697"/>
      <c r="L675" s="697"/>
      <c r="M675" s="697"/>
      <c r="N675" s="697"/>
      <c r="O675" s="697"/>
      <c r="P675" s="697"/>
      <c r="Q675" s="697"/>
      <c r="R675" s="697"/>
      <c r="S675" s="697"/>
      <c r="T675" s="697"/>
      <c r="U675" s="697"/>
      <c r="V675" s="697"/>
      <c r="W675" s="697"/>
      <c r="X675" s="697"/>
      <c r="Y675" s="697"/>
      <c r="Z675" s="697"/>
      <c r="AA675" s="697"/>
      <c r="AB675" s="697"/>
      <c r="AC675" s="697"/>
      <c r="AD675" s="697"/>
      <c r="AE675" s="697"/>
      <c r="AF675" s="697"/>
      <c r="AG675" s="697"/>
      <c r="AH675" s="697"/>
      <c r="AI675" s="697"/>
      <c r="AJ675" s="697"/>
      <c r="AK675" s="697"/>
      <c r="AL675" s="697"/>
      <c r="AM675" s="697"/>
      <c r="AN675" s="697"/>
      <c r="AO675" s="697"/>
      <c r="AP675" s="697"/>
      <c r="AQ675" s="697"/>
      <c r="AR675" s="697"/>
      <c r="AS675" s="697"/>
      <c r="AT675" s="697"/>
      <c r="AU675" s="697"/>
      <c r="AV675" s="697"/>
      <c r="AW675" s="697"/>
      <c r="AX675" s="697"/>
      <c r="AY675" s="697"/>
      <c r="AZ675" s="697"/>
      <c r="BA675" s="697"/>
      <c r="BB675" s="697"/>
      <c r="BC675" s="697"/>
      <c r="BD675" s="697"/>
      <c r="BE675" s="697"/>
      <c r="BF675" s="697"/>
      <c r="BG675" s="697"/>
      <c r="BH675" s="697"/>
      <c r="BI675" s="697"/>
      <c r="BJ675" s="697"/>
      <c r="BK675" s="697"/>
      <c r="BL675" s="697"/>
      <c r="BM675" s="697"/>
      <c r="BN675" s="697"/>
      <c r="BO675" s="697"/>
      <c r="BP675" s="697"/>
      <c r="BQ675" s="697"/>
      <c r="BR675" s="697"/>
      <c r="BS675" s="697"/>
      <c r="BT675" s="697"/>
      <c r="BU675" s="697"/>
      <c r="BV675" s="697"/>
      <c r="BW675" s="697"/>
      <c r="BX675" s="697"/>
      <c r="BY675" s="697"/>
      <c r="BZ675" s="697"/>
      <c r="CA675" s="697"/>
      <c r="CB675" s="697"/>
      <c r="CC675" s="697"/>
      <c r="CD675" s="697"/>
      <c r="CE675" s="697"/>
      <c r="CF675" s="697"/>
      <c r="CG675" s="697"/>
      <c r="CH675" s="697"/>
      <c r="CI675" s="697"/>
      <c r="CJ675" s="697"/>
      <c r="CK675" s="697"/>
      <c r="CL675" s="697"/>
      <c r="CM675" s="697"/>
      <c r="CN675" s="697"/>
      <c r="CO675" s="697"/>
      <c r="CP675" s="697"/>
      <c r="CQ675" s="697"/>
      <c r="CR675" s="697"/>
      <c r="CS675" s="697"/>
      <c r="CT675" s="697"/>
      <c r="CU675" s="697"/>
      <c r="CV675" s="697"/>
      <c r="CW675" s="697"/>
      <c r="CX675" s="697"/>
      <c r="CY675" s="697"/>
      <c r="CZ675" s="697"/>
      <c r="DA675" s="697"/>
    </row>
    <row r="676" spans="1:105" x14ac:dyDescent="0.2">
      <c r="A676" s="709">
        <f t="shared" si="116"/>
        <v>41214</v>
      </c>
      <c r="B676" s="709" t="str">
        <f t="shared" si="113"/>
        <v>4Q12</v>
      </c>
      <c r="C676" s="709" t="str">
        <f t="shared" si="117"/>
        <v>1Q13</v>
      </c>
      <c r="D676" s="710">
        <f t="shared" si="119"/>
        <v>41285</v>
      </c>
      <c r="E676" s="710">
        <f t="shared" si="119"/>
        <v>41225</v>
      </c>
      <c r="F676" s="712">
        <v>3.98</v>
      </c>
      <c r="G676" s="713">
        <f t="shared" si="114"/>
        <v>0.57000000000000028</v>
      </c>
      <c r="H676" s="713">
        <f t="shared" si="115"/>
        <v>0.57000000000000028</v>
      </c>
      <c r="I676" s="697"/>
      <c r="J676" s="697"/>
      <c r="K676" s="697"/>
      <c r="L676" s="697"/>
      <c r="M676" s="697"/>
      <c r="N676" s="697"/>
      <c r="O676" s="697"/>
      <c r="P676" s="697"/>
      <c r="Q676" s="697"/>
      <c r="R676" s="697"/>
      <c r="S676" s="697"/>
      <c r="T676" s="697"/>
      <c r="U676" s="697"/>
      <c r="V676" s="697"/>
      <c r="W676" s="697"/>
      <c r="X676" s="697"/>
      <c r="Y676" s="697"/>
      <c r="Z676" s="697"/>
      <c r="AA676" s="697"/>
      <c r="AB676" s="697"/>
      <c r="AC676" s="697"/>
      <c r="AD676" s="697"/>
      <c r="AE676" s="697"/>
      <c r="AF676" s="697"/>
      <c r="AG676" s="697"/>
      <c r="AH676" s="697"/>
      <c r="AI676" s="697"/>
      <c r="AJ676" s="697"/>
      <c r="AK676" s="697"/>
      <c r="AL676" s="697"/>
      <c r="AM676" s="697"/>
      <c r="AN676" s="697"/>
      <c r="AO676" s="697"/>
      <c r="AP676" s="697"/>
      <c r="AQ676" s="697"/>
      <c r="AR676" s="697"/>
      <c r="AS676" s="697"/>
      <c r="AT676" s="697"/>
      <c r="AU676" s="697"/>
      <c r="AV676" s="697"/>
      <c r="AW676" s="697"/>
      <c r="AX676" s="697"/>
      <c r="AY676" s="697"/>
      <c r="AZ676" s="697"/>
      <c r="BA676" s="697"/>
      <c r="BB676" s="697"/>
      <c r="BC676" s="697"/>
      <c r="BD676" s="697"/>
      <c r="BE676" s="697"/>
      <c r="BF676" s="697"/>
      <c r="BG676" s="697"/>
      <c r="BH676" s="697"/>
      <c r="BI676" s="697"/>
      <c r="BJ676" s="697"/>
      <c r="BK676" s="697"/>
      <c r="BL676" s="697"/>
      <c r="BM676" s="697"/>
      <c r="BN676" s="697"/>
      <c r="BO676" s="697"/>
      <c r="BP676" s="697"/>
      <c r="BQ676" s="697"/>
      <c r="BR676" s="697"/>
      <c r="BS676" s="697"/>
      <c r="BT676" s="697"/>
      <c r="BU676" s="697"/>
      <c r="BV676" s="697"/>
      <c r="BW676" s="697"/>
      <c r="BX676" s="697"/>
      <c r="BY676" s="697"/>
      <c r="BZ676" s="697"/>
      <c r="CA676" s="697"/>
      <c r="CB676" s="697"/>
      <c r="CC676" s="697"/>
      <c r="CD676" s="697"/>
      <c r="CE676" s="697"/>
      <c r="CF676" s="697"/>
      <c r="CG676" s="697"/>
      <c r="CH676" s="697"/>
      <c r="CI676" s="697"/>
      <c r="CJ676" s="697"/>
      <c r="CK676" s="697"/>
      <c r="CL676" s="697"/>
      <c r="CM676" s="697"/>
      <c r="CN676" s="697"/>
      <c r="CO676" s="697"/>
      <c r="CP676" s="697"/>
      <c r="CQ676" s="697"/>
      <c r="CR676" s="697"/>
      <c r="CS676" s="697"/>
      <c r="CT676" s="697"/>
      <c r="CU676" s="697"/>
      <c r="CV676" s="697"/>
      <c r="CW676" s="697"/>
      <c r="CX676" s="697"/>
      <c r="CY676" s="697"/>
      <c r="CZ676" s="697"/>
      <c r="DA676" s="697"/>
    </row>
    <row r="677" spans="1:105" x14ac:dyDescent="0.2">
      <c r="A677" s="709">
        <f t="shared" si="116"/>
        <v>41214</v>
      </c>
      <c r="B677" s="709" t="str">
        <f t="shared" si="113"/>
        <v>4Q12</v>
      </c>
      <c r="C677" s="709" t="str">
        <f t="shared" si="117"/>
        <v>1Q13</v>
      </c>
      <c r="D677" s="710">
        <f t="shared" ref="D677:E692" si="120">D676+7</f>
        <v>41292</v>
      </c>
      <c r="E677" s="710">
        <f t="shared" si="120"/>
        <v>41232</v>
      </c>
      <c r="F677" s="712">
        <v>3.976</v>
      </c>
      <c r="G677" s="713">
        <f t="shared" si="114"/>
        <v>0.57000000000000028</v>
      </c>
      <c r="H677" s="713">
        <f t="shared" si="115"/>
        <v>0.58000000000000029</v>
      </c>
      <c r="I677" s="697"/>
      <c r="J677" s="697"/>
      <c r="K677" s="697"/>
      <c r="L677" s="697"/>
      <c r="M677" s="697"/>
      <c r="N677" s="697"/>
      <c r="O677" s="697"/>
      <c r="P677" s="697"/>
      <c r="Q677" s="697"/>
      <c r="R677" s="697"/>
      <c r="S677" s="697"/>
      <c r="T677" s="697"/>
      <c r="U677" s="697"/>
      <c r="V677" s="697"/>
      <c r="W677" s="697"/>
      <c r="X677" s="697"/>
      <c r="Y677" s="697"/>
      <c r="Z677" s="697"/>
      <c r="AA677" s="697"/>
      <c r="AB677" s="697"/>
      <c r="AC677" s="697"/>
      <c r="AD677" s="697"/>
      <c r="AE677" s="697"/>
      <c r="AF677" s="697"/>
      <c r="AG677" s="697"/>
      <c r="AH677" s="697"/>
      <c r="AI677" s="697"/>
      <c r="AJ677" s="697"/>
      <c r="AK677" s="697"/>
      <c r="AL677" s="697"/>
      <c r="AM677" s="697"/>
      <c r="AN677" s="697"/>
      <c r="AO677" s="697"/>
      <c r="AP677" s="697"/>
      <c r="AQ677" s="697"/>
      <c r="AR677" s="697"/>
      <c r="AS677" s="697"/>
      <c r="AT677" s="697"/>
      <c r="AU677" s="697"/>
      <c r="AV677" s="697"/>
      <c r="AW677" s="697"/>
      <c r="AX677" s="697"/>
      <c r="AY677" s="697"/>
      <c r="AZ677" s="697"/>
      <c r="BA677" s="697"/>
      <c r="BB677" s="697"/>
      <c r="BC677" s="697"/>
      <c r="BD677" s="697"/>
      <c r="BE677" s="697"/>
      <c r="BF677" s="697"/>
      <c r="BG677" s="697"/>
      <c r="BH677" s="697"/>
      <c r="BI677" s="697"/>
      <c r="BJ677" s="697"/>
      <c r="BK677" s="697"/>
      <c r="BL677" s="697"/>
      <c r="BM677" s="697"/>
      <c r="BN677" s="697"/>
      <c r="BO677" s="697"/>
      <c r="BP677" s="697"/>
      <c r="BQ677" s="697"/>
      <c r="BR677" s="697"/>
      <c r="BS677" s="697"/>
      <c r="BT677" s="697"/>
      <c r="BU677" s="697"/>
      <c r="BV677" s="697"/>
      <c r="BW677" s="697"/>
      <c r="BX677" s="697"/>
      <c r="BY677" s="697"/>
      <c r="BZ677" s="697"/>
      <c r="CA677" s="697"/>
      <c r="CB677" s="697"/>
      <c r="CC677" s="697"/>
      <c r="CD677" s="697"/>
      <c r="CE677" s="697"/>
      <c r="CF677" s="697"/>
      <c r="CG677" s="697"/>
      <c r="CH677" s="697"/>
      <c r="CI677" s="697"/>
      <c r="CJ677" s="697"/>
      <c r="CK677" s="697"/>
      <c r="CL677" s="697"/>
      <c r="CM677" s="697"/>
      <c r="CN677" s="697"/>
      <c r="CO677" s="697"/>
      <c r="CP677" s="697"/>
      <c r="CQ677" s="697"/>
      <c r="CR677" s="697"/>
      <c r="CS677" s="697"/>
      <c r="CT677" s="697"/>
      <c r="CU677" s="697"/>
      <c r="CV677" s="697"/>
      <c r="CW677" s="697"/>
      <c r="CX677" s="697"/>
      <c r="CY677" s="697"/>
      <c r="CZ677" s="697"/>
      <c r="DA677" s="697"/>
    </row>
    <row r="678" spans="1:105" x14ac:dyDescent="0.2">
      <c r="A678" s="709">
        <f t="shared" si="116"/>
        <v>41214</v>
      </c>
      <c r="B678" s="709" t="str">
        <f t="shared" si="113"/>
        <v>4Q12</v>
      </c>
      <c r="C678" s="709" t="str">
        <f t="shared" si="117"/>
        <v>1Q13</v>
      </c>
      <c r="D678" s="710">
        <f t="shared" si="120"/>
        <v>41299</v>
      </c>
      <c r="E678" s="710">
        <f t="shared" si="120"/>
        <v>41239</v>
      </c>
      <c r="F678" s="712">
        <v>4.0339999999999998</v>
      </c>
      <c r="G678" s="713">
        <f t="shared" si="114"/>
        <v>0.58000000000000029</v>
      </c>
      <c r="H678" s="713">
        <f t="shared" si="115"/>
        <v>0.58000000000000029</v>
      </c>
      <c r="I678" s="697"/>
      <c r="J678" s="697"/>
      <c r="K678" s="697"/>
      <c r="L678" s="697"/>
      <c r="M678" s="697"/>
      <c r="N678" s="697"/>
      <c r="O678" s="697"/>
      <c r="P678" s="697"/>
      <c r="Q678" s="697"/>
      <c r="R678" s="697"/>
      <c r="S678" s="697"/>
      <c r="T678" s="697"/>
      <c r="U678" s="697"/>
      <c r="V678" s="697"/>
      <c r="W678" s="697"/>
      <c r="X678" s="697"/>
      <c r="Y678" s="697"/>
      <c r="Z678" s="697"/>
      <c r="AA678" s="697"/>
      <c r="AB678" s="697"/>
      <c r="AC678" s="697"/>
      <c r="AD678" s="697"/>
      <c r="AE678" s="697"/>
      <c r="AF678" s="697"/>
      <c r="AG678" s="697"/>
      <c r="AH678" s="697"/>
      <c r="AI678" s="697"/>
      <c r="AJ678" s="697"/>
      <c r="AK678" s="697"/>
      <c r="AL678" s="697"/>
      <c r="AM678" s="697"/>
      <c r="AN678" s="697"/>
      <c r="AO678" s="697"/>
      <c r="AP678" s="697"/>
      <c r="AQ678" s="697"/>
      <c r="AR678" s="697"/>
      <c r="AS678" s="697"/>
      <c r="AT678" s="697"/>
      <c r="AU678" s="697"/>
      <c r="AV678" s="697"/>
      <c r="AW678" s="697"/>
      <c r="AX678" s="697"/>
      <c r="AY678" s="697"/>
      <c r="AZ678" s="697"/>
      <c r="BA678" s="697"/>
      <c r="BB678" s="697"/>
      <c r="BC678" s="697"/>
      <c r="BD678" s="697"/>
      <c r="BE678" s="697"/>
      <c r="BF678" s="697"/>
      <c r="BG678" s="697"/>
      <c r="BH678" s="697"/>
      <c r="BI678" s="697"/>
      <c r="BJ678" s="697"/>
      <c r="BK678" s="697"/>
      <c r="BL678" s="697"/>
      <c r="BM678" s="697"/>
      <c r="BN678" s="697"/>
      <c r="BO678" s="697"/>
      <c r="BP678" s="697"/>
      <c r="BQ678" s="697"/>
      <c r="BR678" s="697"/>
      <c r="BS678" s="697"/>
      <c r="BT678" s="697"/>
      <c r="BU678" s="697"/>
      <c r="BV678" s="697"/>
      <c r="BW678" s="697"/>
      <c r="BX678" s="697"/>
      <c r="BY678" s="697"/>
      <c r="BZ678" s="697"/>
      <c r="CA678" s="697"/>
      <c r="CB678" s="697"/>
      <c r="CC678" s="697"/>
      <c r="CD678" s="697"/>
      <c r="CE678" s="697"/>
      <c r="CF678" s="697"/>
      <c r="CG678" s="697"/>
      <c r="CH678" s="697"/>
      <c r="CI678" s="697"/>
      <c r="CJ678" s="697"/>
      <c r="CK678" s="697"/>
      <c r="CL678" s="697"/>
      <c r="CM678" s="697"/>
      <c r="CN678" s="697"/>
      <c r="CO678" s="697"/>
      <c r="CP678" s="697"/>
      <c r="CQ678" s="697"/>
      <c r="CR678" s="697"/>
      <c r="CS678" s="697"/>
      <c r="CT678" s="697"/>
      <c r="CU678" s="697"/>
      <c r="CV678" s="697"/>
      <c r="CW678" s="697"/>
      <c r="CX678" s="697"/>
      <c r="CY678" s="697"/>
      <c r="CZ678" s="697"/>
      <c r="DA678" s="697"/>
    </row>
    <row r="679" spans="1:105" x14ac:dyDescent="0.2">
      <c r="A679" s="709">
        <f t="shared" si="116"/>
        <v>41244</v>
      </c>
      <c r="B679" s="709" t="str">
        <f t="shared" si="113"/>
        <v>4Q12</v>
      </c>
      <c r="C679" s="709" t="str">
        <f t="shared" si="117"/>
        <v>1Q13</v>
      </c>
      <c r="D679" s="710">
        <f t="shared" si="120"/>
        <v>41306</v>
      </c>
      <c r="E679" s="710">
        <f t="shared" si="120"/>
        <v>41246</v>
      </c>
      <c r="F679" s="712">
        <v>4.0270000000000001</v>
      </c>
      <c r="G679" s="713">
        <f t="shared" si="114"/>
        <v>0.58000000000000029</v>
      </c>
      <c r="H679" s="713">
        <f t="shared" si="115"/>
        <v>0.57000000000000028</v>
      </c>
      <c r="I679" s="697"/>
      <c r="J679" s="697"/>
      <c r="K679" s="697"/>
      <c r="L679" s="697"/>
      <c r="M679" s="697"/>
      <c r="N679" s="697"/>
      <c r="O679" s="697"/>
      <c r="P679" s="697"/>
      <c r="Q679" s="697"/>
      <c r="R679" s="697"/>
      <c r="S679" s="697"/>
      <c r="T679" s="697"/>
      <c r="U679" s="697"/>
      <c r="V679" s="697"/>
      <c r="W679" s="697"/>
      <c r="X679" s="697"/>
      <c r="Y679" s="697"/>
      <c r="Z679" s="697"/>
      <c r="AA679" s="697"/>
      <c r="AB679" s="697"/>
      <c r="AC679" s="697"/>
      <c r="AD679" s="697"/>
      <c r="AE679" s="697"/>
      <c r="AF679" s="697"/>
      <c r="AG679" s="697"/>
      <c r="AH679" s="697"/>
      <c r="AI679" s="697"/>
      <c r="AJ679" s="697"/>
      <c r="AK679" s="697"/>
      <c r="AL679" s="697"/>
      <c r="AM679" s="697"/>
      <c r="AN679" s="697"/>
      <c r="AO679" s="697"/>
      <c r="AP679" s="697"/>
      <c r="AQ679" s="697"/>
      <c r="AR679" s="697"/>
      <c r="AS679" s="697"/>
      <c r="AT679" s="697"/>
      <c r="AU679" s="697"/>
      <c r="AV679" s="697"/>
      <c r="AW679" s="697"/>
      <c r="AX679" s="697"/>
      <c r="AY679" s="697"/>
      <c r="AZ679" s="697"/>
      <c r="BA679" s="697"/>
      <c r="BB679" s="697"/>
      <c r="BC679" s="697"/>
      <c r="BD679" s="697"/>
      <c r="BE679" s="697"/>
      <c r="BF679" s="697"/>
      <c r="BG679" s="697"/>
      <c r="BH679" s="697"/>
      <c r="BI679" s="697"/>
      <c r="BJ679" s="697"/>
      <c r="BK679" s="697"/>
      <c r="BL679" s="697"/>
      <c r="BM679" s="697"/>
      <c r="BN679" s="697"/>
      <c r="BO679" s="697"/>
      <c r="BP679" s="697"/>
      <c r="BQ679" s="697"/>
      <c r="BR679" s="697"/>
      <c r="BS679" s="697"/>
      <c r="BT679" s="697"/>
      <c r="BU679" s="697"/>
      <c r="BV679" s="697"/>
      <c r="BW679" s="697"/>
      <c r="BX679" s="697"/>
      <c r="BY679" s="697"/>
      <c r="BZ679" s="697"/>
      <c r="CA679" s="697"/>
      <c r="CB679" s="697"/>
      <c r="CC679" s="697"/>
      <c r="CD679" s="697"/>
      <c r="CE679" s="697"/>
      <c r="CF679" s="697"/>
      <c r="CG679" s="697"/>
      <c r="CH679" s="697"/>
      <c r="CI679" s="697"/>
      <c r="CJ679" s="697"/>
      <c r="CK679" s="697"/>
      <c r="CL679" s="697"/>
      <c r="CM679" s="697"/>
      <c r="CN679" s="697"/>
      <c r="CO679" s="697"/>
      <c r="CP679" s="697"/>
      <c r="CQ679" s="697"/>
      <c r="CR679" s="697"/>
      <c r="CS679" s="697"/>
      <c r="CT679" s="697"/>
      <c r="CU679" s="697"/>
      <c r="CV679" s="697"/>
      <c r="CW679" s="697"/>
      <c r="CX679" s="697"/>
      <c r="CY679" s="697"/>
      <c r="CZ679" s="697"/>
      <c r="DA679" s="697"/>
    </row>
    <row r="680" spans="1:105" x14ac:dyDescent="0.2">
      <c r="A680" s="709">
        <f t="shared" si="116"/>
        <v>41244</v>
      </c>
      <c r="B680" s="709" t="str">
        <f t="shared" si="113"/>
        <v>4Q12</v>
      </c>
      <c r="C680" s="709" t="str">
        <f t="shared" si="117"/>
        <v>1Q13</v>
      </c>
      <c r="D680" s="710">
        <f t="shared" si="120"/>
        <v>41313</v>
      </c>
      <c r="E680" s="710">
        <f t="shared" si="120"/>
        <v>41253</v>
      </c>
      <c r="F680" s="712">
        <v>3.9910000000000001</v>
      </c>
      <c r="G680" s="713">
        <f t="shared" si="114"/>
        <v>0.57000000000000028</v>
      </c>
      <c r="H680" s="713">
        <f t="shared" si="115"/>
        <v>0.56000000000000028</v>
      </c>
      <c r="I680" s="697"/>
      <c r="J680" s="697"/>
      <c r="K680" s="697"/>
      <c r="L680" s="697"/>
      <c r="M680" s="697"/>
      <c r="N680" s="697"/>
      <c r="O680" s="697"/>
      <c r="P680" s="697"/>
      <c r="Q680" s="697"/>
      <c r="R680" s="697"/>
      <c r="S680" s="697"/>
      <c r="T680" s="697"/>
      <c r="U680" s="697"/>
      <c r="V680" s="697"/>
      <c r="W680" s="697"/>
      <c r="X680" s="697"/>
      <c r="Y680" s="697"/>
      <c r="Z680" s="697"/>
      <c r="AA680" s="697"/>
      <c r="AB680" s="697"/>
      <c r="AC680" s="697"/>
      <c r="AD680" s="697"/>
      <c r="AE680" s="697"/>
      <c r="AF680" s="697"/>
      <c r="AG680" s="697"/>
      <c r="AH680" s="697"/>
      <c r="AI680" s="697"/>
      <c r="AJ680" s="697"/>
      <c r="AK680" s="697"/>
      <c r="AL680" s="697"/>
      <c r="AM680" s="697"/>
      <c r="AN680" s="697"/>
      <c r="AO680" s="697"/>
      <c r="AP680" s="697"/>
      <c r="AQ680" s="697"/>
      <c r="AR680" s="697"/>
      <c r="AS680" s="697"/>
      <c r="AT680" s="697"/>
      <c r="AU680" s="697"/>
      <c r="AV680" s="697"/>
      <c r="AW680" s="697"/>
      <c r="AX680" s="697"/>
      <c r="AY680" s="697"/>
      <c r="AZ680" s="697"/>
      <c r="BA680" s="697"/>
      <c r="BB680" s="697"/>
      <c r="BC680" s="697"/>
      <c r="BD680" s="697"/>
      <c r="BE680" s="697"/>
      <c r="BF680" s="697"/>
      <c r="BG680" s="697"/>
      <c r="BH680" s="697"/>
      <c r="BI680" s="697"/>
      <c r="BJ680" s="697"/>
      <c r="BK680" s="697"/>
      <c r="BL680" s="697"/>
      <c r="BM680" s="697"/>
      <c r="BN680" s="697"/>
      <c r="BO680" s="697"/>
      <c r="BP680" s="697"/>
      <c r="BQ680" s="697"/>
      <c r="BR680" s="697"/>
      <c r="BS680" s="697"/>
      <c r="BT680" s="697"/>
      <c r="BU680" s="697"/>
      <c r="BV680" s="697"/>
      <c r="BW680" s="697"/>
      <c r="BX680" s="697"/>
      <c r="BY680" s="697"/>
      <c r="BZ680" s="697"/>
      <c r="CA680" s="697"/>
      <c r="CB680" s="697"/>
      <c r="CC680" s="697"/>
      <c r="CD680" s="697"/>
      <c r="CE680" s="697"/>
      <c r="CF680" s="697"/>
      <c r="CG680" s="697"/>
      <c r="CH680" s="697"/>
      <c r="CI680" s="697"/>
      <c r="CJ680" s="697"/>
      <c r="CK680" s="697"/>
      <c r="CL680" s="697"/>
      <c r="CM680" s="697"/>
      <c r="CN680" s="697"/>
      <c r="CO680" s="697"/>
      <c r="CP680" s="697"/>
      <c r="CQ680" s="697"/>
      <c r="CR680" s="697"/>
      <c r="CS680" s="697"/>
      <c r="CT680" s="697"/>
      <c r="CU680" s="697"/>
      <c r="CV680" s="697"/>
      <c r="CW680" s="697"/>
      <c r="CX680" s="697"/>
      <c r="CY680" s="697"/>
      <c r="CZ680" s="697"/>
      <c r="DA680" s="697"/>
    </row>
    <row r="681" spans="1:105" x14ac:dyDescent="0.2">
      <c r="A681" s="709">
        <f t="shared" si="116"/>
        <v>41244</v>
      </c>
      <c r="B681" s="709" t="str">
        <f t="shared" si="113"/>
        <v>4Q12</v>
      </c>
      <c r="C681" s="709" t="str">
        <f t="shared" si="117"/>
        <v>1Q13</v>
      </c>
      <c r="D681" s="710">
        <f t="shared" si="120"/>
        <v>41320</v>
      </c>
      <c r="E681" s="710">
        <f t="shared" si="120"/>
        <v>41260</v>
      </c>
      <c r="F681" s="712">
        <v>3.9449999999999998</v>
      </c>
      <c r="G681" s="713">
        <f t="shared" si="114"/>
        <v>0.56000000000000028</v>
      </c>
      <c r="H681" s="713">
        <f t="shared" si="115"/>
        <v>0.56000000000000028</v>
      </c>
      <c r="I681" s="697"/>
      <c r="J681" s="697"/>
      <c r="K681" s="697"/>
      <c r="L681" s="697"/>
      <c r="M681" s="697"/>
      <c r="N681" s="697"/>
      <c r="O681" s="697"/>
      <c r="P681" s="697"/>
      <c r="Q681" s="697"/>
      <c r="R681" s="697"/>
      <c r="S681" s="697"/>
      <c r="T681" s="697"/>
      <c r="U681" s="697"/>
      <c r="V681" s="697"/>
      <c r="W681" s="697"/>
      <c r="X681" s="697"/>
      <c r="Y681" s="697"/>
      <c r="Z681" s="697"/>
      <c r="AA681" s="697"/>
      <c r="AB681" s="697"/>
      <c r="AC681" s="697"/>
      <c r="AD681" s="697"/>
      <c r="AE681" s="697"/>
      <c r="AF681" s="697"/>
      <c r="AG681" s="697"/>
      <c r="AH681" s="697"/>
      <c r="AI681" s="697"/>
      <c r="AJ681" s="697"/>
      <c r="AK681" s="697"/>
      <c r="AL681" s="697"/>
      <c r="AM681" s="697"/>
      <c r="AN681" s="697"/>
      <c r="AO681" s="697"/>
      <c r="AP681" s="697"/>
      <c r="AQ681" s="697"/>
      <c r="AR681" s="697"/>
      <c r="AS681" s="697"/>
      <c r="AT681" s="697"/>
      <c r="AU681" s="697"/>
      <c r="AV681" s="697"/>
      <c r="AW681" s="697"/>
      <c r="AX681" s="697"/>
      <c r="AY681" s="697"/>
      <c r="AZ681" s="697"/>
      <c r="BA681" s="697"/>
      <c r="BB681" s="697"/>
      <c r="BC681" s="697"/>
      <c r="BD681" s="697"/>
      <c r="BE681" s="697"/>
      <c r="BF681" s="697"/>
      <c r="BG681" s="697"/>
      <c r="BH681" s="697"/>
      <c r="BI681" s="697"/>
      <c r="BJ681" s="697"/>
      <c r="BK681" s="697"/>
      <c r="BL681" s="697"/>
      <c r="BM681" s="697"/>
      <c r="BN681" s="697"/>
      <c r="BO681" s="697"/>
      <c r="BP681" s="697"/>
      <c r="BQ681" s="697"/>
      <c r="BR681" s="697"/>
      <c r="BS681" s="697"/>
      <c r="BT681" s="697"/>
      <c r="BU681" s="697"/>
      <c r="BV681" s="697"/>
      <c r="BW681" s="697"/>
      <c r="BX681" s="697"/>
      <c r="BY681" s="697"/>
      <c r="BZ681" s="697"/>
      <c r="CA681" s="697"/>
      <c r="CB681" s="697"/>
      <c r="CC681" s="697"/>
      <c r="CD681" s="697"/>
      <c r="CE681" s="697"/>
      <c r="CF681" s="697"/>
      <c r="CG681" s="697"/>
      <c r="CH681" s="697"/>
      <c r="CI681" s="697"/>
      <c r="CJ681" s="697"/>
      <c r="CK681" s="697"/>
      <c r="CL681" s="697"/>
      <c r="CM681" s="697"/>
      <c r="CN681" s="697"/>
      <c r="CO681" s="697"/>
      <c r="CP681" s="697"/>
      <c r="CQ681" s="697"/>
      <c r="CR681" s="697"/>
      <c r="CS681" s="697"/>
      <c r="CT681" s="697"/>
      <c r="CU681" s="697"/>
      <c r="CV681" s="697"/>
      <c r="CW681" s="697"/>
      <c r="CX681" s="697"/>
      <c r="CY681" s="697"/>
      <c r="CZ681" s="697"/>
      <c r="DA681" s="697"/>
    </row>
    <row r="682" spans="1:105" x14ac:dyDescent="0.2">
      <c r="A682" s="709">
        <f t="shared" si="116"/>
        <v>41244</v>
      </c>
      <c r="B682" s="709" t="str">
        <f t="shared" si="113"/>
        <v>4Q12</v>
      </c>
      <c r="C682" s="709" t="str">
        <f t="shared" si="117"/>
        <v>1Q13</v>
      </c>
      <c r="D682" s="710">
        <f t="shared" si="120"/>
        <v>41327</v>
      </c>
      <c r="E682" s="710">
        <f t="shared" si="120"/>
        <v>41267</v>
      </c>
      <c r="F682" s="712">
        <v>3.923</v>
      </c>
      <c r="G682" s="713">
        <f t="shared" si="114"/>
        <v>0.56000000000000028</v>
      </c>
      <c r="H682" s="713">
        <f t="shared" si="115"/>
        <v>0.56000000000000028</v>
      </c>
      <c r="I682" s="697"/>
      <c r="J682" s="697"/>
      <c r="K682" s="697"/>
      <c r="L682" s="697"/>
      <c r="M682" s="697"/>
      <c r="N682" s="697"/>
      <c r="O682" s="697"/>
      <c r="P682" s="697"/>
      <c r="Q682" s="697"/>
      <c r="R682" s="697"/>
      <c r="S682" s="697"/>
      <c r="T682" s="697"/>
      <c r="U682" s="697"/>
      <c r="V682" s="697"/>
      <c r="W682" s="697"/>
      <c r="X682" s="697"/>
      <c r="Y682" s="697"/>
      <c r="Z682" s="697"/>
      <c r="AA682" s="697"/>
      <c r="AB682" s="697"/>
      <c r="AC682" s="697"/>
      <c r="AD682" s="697"/>
      <c r="AE682" s="697"/>
      <c r="AF682" s="697"/>
      <c r="AG682" s="697"/>
      <c r="AH682" s="697"/>
      <c r="AI682" s="697"/>
      <c r="AJ682" s="697"/>
      <c r="AK682" s="697"/>
      <c r="AL682" s="697"/>
      <c r="AM682" s="697"/>
      <c r="AN682" s="697"/>
      <c r="AO682" s="697"/>
      <c r="AP682" s="697"/>
      <c r="AQ682" s="697"/>
      <c r="AR682" s="697"/>
      <c r="AS682" s="697"/>
      <c r="AT682" s="697"/>
      <c r="AU682" s="697"/>
      <c r="AV682" s="697"/>
      <c r="AW682" s="697"/>
      <c r="AX682" s="697"/>
      <c r="AY682" s="697"/>
      <c r="AZ682" s="697"/>
      <c r="BA682" s="697"/>
      <c r="BB682" s="697"/>
      <c r="BC682" s="697"/>
      <c r="BD682" s="697"/>
      <c r="BE682" s="697"/>
      <c r="BF682" s="697"/>
      <c r="BG682" s="697"/>
      <c r="BH682" s="697"/>
      <c r="BI682" s="697"/>
      <c r="BJ682" s="697"/>
      <c r="BK682" s="697"/>
      <c r="BL682" s="697"/>
      <c r="BM682" s="697"/>
      <c r="BN682" s="697"/>
      <c r="BO682" s="697"/>
      <c r="BP682" s="697"/>
      <c r="BQ682" s="697"/>
      <c r="BR682" s="697"/>
      <c r="BS682" s="697"/>
      <c r="BT682" s="697"/>
      <c r="BU682" s="697"/>
      <c r="BV682" s="697"/>
      <c r="BW682" s="697"/>
      <c r="BX682" s="697"/>
      <c r="BY682" s="697"/>
      <c r="BZ682" s="697"/>
      <c r="CA682" s="697"/>
      <c r="CB682" s="697"/>
      <c r="CC682" s="697"/>
      <c r="CD682" s="697"/>
      <c r="CE682" s="697"/>
      <c r="CF682" s="697"/>
      <c r="CG682" s="697"/>
      <c r="CH682" s="697"/>
      <c r="CI682" s="697"/>
      <c r="CJ682" s="697"/>
      <c r="CK682" s="697"/>
      <c r="CL682" s="697"/>
      <c r="CM682" s="697"/>
      <c r="CN682" s="697"/>
      <c r="CO682" s="697"/>
      <c r="CP682" s="697"/>
      <c r="CQ682" s="697"/>
      <c r="CR682" s="697"/>
      <c r="CS682" s="697"/>
      <c r="CT682" s="697"/>
      <c r="CU682" s="697"/>
      <c r="CV682" s="697"/>
      <c r="CW682" s="697"/>
      <c r="CX682" s="697"/>
      <c r="CY682" s="697"/>
      <c r="CZ682" s="697"/>
      <c r="DA682" s="697"/>
    </row>
    <row r="683" spans="1:105" x14ac:dyDescent="0.2">
      <c r="A683" s="709">
        <f t="shared" si="116"/>
        <v>41244</v>
      </c>
      <c r="B683" s="709" t="str">
        <f t="shared" si="113"/>
        <v>4Q12</v>
      </c>
      <c r="C683" s="709" t="str">
        <f t="shared" si="117"/>
        <v>1Q13</v>
      </c>
      <c r="D683" s="710">
        <f t="shared" si="120"/>
        <v>41334</v>
      </c>
      <c r="E683" s="710">
        <f t="shared" si="120"/>
        <v>41274</v>
      </c>
      <c r="F683" s="712">
        <v>3.9180000000000001</v>
      </c>
      <c r="G683" s="713">
        <f t="shared" si="114"/>
        <v>0.56000000000000028</v>
      </c>
      <c r="H683" s="713">
        <f t="shared" si="115"/>
        <v>0.56000000000000028</v>
      </c>
      <c r="I683" s="697"/>
      <c r="J683" s="697"/>
      <c r="K683" s="697"/>
      <c r="L683" s="697"/>
      <c r="M683" s="697"/>
      <c r="N683" s="697"/>
      <c r="O683" s="697"/>
      <c r="P683" s="697"/>
      <c r="Q683" s="697"/>
      <c r="R683" s="697"/>
      <c r="S683" s="697"/>
      <c r="T683" s="697"/>
      <c r="U683" s="697"/>
      <c r="V683" s="697"/>
      <c r="W683" s="697"/>
      <c r="X683" s="697"/>
      <c r="Y683" s="697"/>
      <c r="Z683" s="697"/>
      <c r="AA683" s="697"/>
      <c r="AB683" s="697"/>
      <c r="AC683" s="697"/>
      <c r="AD683" s="697"/>
      <c r="AE683" s="697"/>
      <c r="AF683" s="697"/>
      <c r="AG683" s="697"/>
      <c r="AH683" s="697"/>
      <c r="AI683" s="697"/>
      <c r="AJ683" s="697"/>
      <c r="AK683" s="697"/>
      <c r="AL683" s="697"/>
      <c r="AM683" s="697"/>
      <c r="AN683" s="697"/>
      <c r="AO683" s="697"/>
      <c r="AP683" s="697"/>
      <c r="AQ683" s="697"/>
      <c r="AR683" s="697"/>
      <c r="AS683" s="697"/>
      <c r="AT683" s="697"/>
      <c r="AU683" s="697"/>
      <c r="AV683" s="697"/>
      <c r="AW683" s="697"/>
      <c r="AX683" s="697"/>
      <c r="AY683" s="697"/>
      <c r="AZ683" s="697"/>
      <c r="BA683" s="697"/>
      <c r="BB683" s="697"/>
      <c r="BC683" s="697"/>
      <c r="BD683" s="697"/>
      <c r="BE683" s="697"/>
      <c r="BF683" s="697"/>
      <c r="BG683" s="697"/>
      <c r="BH683" s="697"/>
      <c r="BI683" s="697"/>
      <c r="BJ683" s="697"/>
      <c r="BK683" s="697"/>
      <c r="BL683" s="697"/>
      <c r="BM683" s="697"/>
      <c r="BN683" s="697"/>
      <c r="BO683" s="697"/>
      <c r="BP683" s="697"/>
      <c r="BQ683" s="697"/>
      <c r="BR683" s="697"/>
      <c r="BS683" s="697"/>
      <c r="BT683" s="697"/>
      <c r="BU683" s="697"/>
      <c r="BV683" s="697"/>
      <c r="BW683" s="697"/>
      <c r="BX683" s="697"/>
      <c r="BY683" s="697"/>
      <c r="BZ683" s="697"/>
      <c r="CA683" s="697"/>
      <c r="CB683" s="697"/>
      <c r="CC683" s="697"/>
      <c r="CD683" s="697"/>
      <c r="CE683" s="697"/>
      <c r="CF683" s="697"/>
      <c r="CG683" s="697"/>
      <c r="CH683" s="697"/>
      <c r="CI683" s="697"/>
      <c r="CJ683" s="697"/>
      <c r="CK683" s="697"/>
      <c r="CL683" s="697"/>
      <c r="CM683" s="697"/>
      <c r="CN683" s="697"/>
      <c r="CO683" s="697"/>
      <c r="CP683" s="697"/>
      <c r="CQ683" s="697"/>
      <c r="CR683" s="697"/>
      <c r="CS683" s="697"/>
      <c r="CT683" s="697"/>
      <c r="CU683" s="697"/>
      <c r="CV683" s="697"/>
      <c r="CW683" s="697"/>
      <c r="CX683" s="697"/>
      <c r="CY683" s="697"/>
      <c r="CZ683" s="697"/>
      <c r="DA683" s="697"/>
    </row>
    <row r="684" spans="1:105" x14ac:dyDescent="0.2">
      <c r="A684" s="709">
        <f t="shared" si="116"/>
        <v>41275</v>
      </c>
      <c r="B684" s="709" t="str">
        <f t="shared" si="113"/>
        <v>1Q13</v>
      </c>
      <c r="C684" s="709" t="str">
        <f t="shared" si="117"/>
        <v>1Q13</v>
      </c>
      <c r="D684" s="710">
        <f t="shared" si="120"/>
        <v>41341</v>
      </c>
      <c r="E684" s="710">
        <f t="shared" si="120"/>
        <v>41281</v>
      </c>
      <c r="F684" s="712">
        <v>3.911</v>
      </c>
      <c r="G684" s="713">
        <f t="shared" si="114"/>
        <v>0.56000000000000028</v>
      </c>
      <c r="H684" s="713">
        <f t="shared" si="115"/>
        <v>0.55000000000000027</v>
      </c>
      <c r="I684" s="697"/>
      <c r="J684" s="697"/>
      <c r="K684" s="697"/>
      <c r="L684" s="697"/>
      <c r="M684" s="697"/>
      <c r="N684" s="697"/>
      <c r="O684" s="697"/>
      <c r="P684" s="697"/>
      <c r="Q684" s="697"/>
      <c r="R684" s="697"/>
      <c r="S684" s="697"/>
      <c r="T684" s="697"/>
      <c r="U684" s="697"/>
      <c r="V684" s="697"/>
      <c r="W684" s="697"/>
      <c r="X684" s="697"/>
      <c r="Y684" s="697"/>
      <c r="Z684" s="697"/>
      <c r="AA684" s="697"/>
      <c r="AB684" s="697"/>
      <c r="AC684" s="697"/>
      <c r="AD684" s="697"/>
      <c r="AE684" s="697"/>
      <c r="AF684" s="697"/>
      <c r="AG684" s="697"/>
      <c r="AH684" s="697"/>
      <c r="AI684" s="697"/>
      <c r="AJ684" s="697"/>
      <c r="AK684" s="697"/>
      <c r="AL684" s="697"/>
      <c r="AM684" s="697"/>
      <c r="AN684" s="697"/>
      <c r="AO684" s="697"/>
      <c r="AP684" s="697"/>
      <c r="AQ684" s="697"/>
      <c r="AR684" s="697"/>
      <c r="AS684" s="697"/>
      <c r="AT684" s="697"/>
      <c r="AU684" s="697"/>
      <c r="AV684" s="697"/>
      <c r="AW684" s="697"/>
      <c r="AX684" s="697"/>
      <c r="AY684" s="697"/>
      <c r="AZ684" s="697"/>
      <c r="BA684" s="697"/>
      <c r="BB684" s="697"/>
      <c r="BC684" s="697"/>
      <c r="BD684" s="697"/>
      <c r="BE684" s="697"/>
      <c r="BF684" s="697"/>
      <c r="BG684" s="697"/>
      <c r="BH684" s="697"/>
      <c r="BI684" s="697"/>
      <c r="BJ684" s="697"/>
      <c r="BK684" s="697"/>
      <c r="BL684" s="697"/>
      <c r="BM684" s="697"/>
      <c r="BN684" s="697"/>
      <c r="BO684" s="697"/>
      <c r="BP684" s="697"/>
      <c r="BQ684" s="697"/>
      <c r="BR684" s="697"/>
      <c r="BS684" s="697"/>
      <c r="BT684" s="697"/>
      <c r="BU684" s="697"/>
      <c r="BV684" s="697"/>
      <c r="BW684" s="697"/>
      <c r="BX684" s="697"/>
      <c r="BY684" s="697"/>
      <c r="BZ684" s="697"/>
      <c r="CA684" s="697"/>
      <c r="CB684" s="697"/>
      <c r="CC684" s="697"/>
      <c r="CD684" s="697"/>
      <c r="CE684" s="697"/>
      <c r="CF684" s="697"/>
      <c r="CG684" s="697"/>
      <c r="CH684" s="697"/>
      <c r="CI684" s="697"/>
      <c r="CJ684" s="697"/>
      <c r="CK684" s="697"/>
      <c r="CL684" s="697"/>
      <c r="CM684" s="697"/>
      <c r="CN684" s="697"/>
      <c r="CO684" s="697"/>
      <c r="CP684" s="697"/>
      <c r="CQ684" s="697"/>
      <c r="CR684" s="697"/>
      <c r="CS684" s="697"/>
      <c r="CT684" s="697"/>
      <c r="CU684" s="697"/>
      <c r="CV684" s="697"/>
      <c r="CW684" s="697"/>
      <c r="CX684" s="697"/>
      <c r="CY684" s="697"/>
      <c r="CZ684" s="697"/>
      <c r="DA684" s="697"/>
    </row>
    <row r="685" spans="1:105" x14ac:dyDescent="0.2">
      <c r="A685" s="709">
        <f t="shared" si="116"/>
        <v>41275</v>
      </c>
      <c r="B685" s="709" t="str">
        <f t="shared" si="113"/>
        <v>1Q13</v>
      </c>
      <c r="C685" s="709" t="str">
        <f t="shared" si="117"/>
        <v>1Q13</v>
      </c>
      <c r="D685" s="710">
        <f t="shared" si="120"/>
        <v>41348</v>
      </c>
      <c r="E685" s="710">
        <f t="shared" si="120"/>
        <v>41288</v>
      </c>
      <c r="F685" s="712">
        <v>3.8940000000000001</v>
      </c>
      <c r="G685" s="713">
        <f t="shared" si="114"/>
        <v>0.55000000000000027</v>
      </c>
      <c r="H685" s="713">
        <f t="shared" si="115"/>
        <v>0.56000000000000028</v>
      </c>
      <c r="I685" s="697"/>
      <c r="J685" s="697"/>
      <c r="K685" s="697"/>
      <c r="L685" s="697"/>
      <c r="M685" s="697"/>
      <c r="N685" s="697"/>
      <c r="O685" s="697"/>
      <c r="P685" s="697"/>
      <c r="Q685" s="697"/>
      <c r="R685" s="697"/>
      <c r="S685" s="697"/>
      <c r="T685" s="697"/>
      <c r="U685" s="697"/>
      <c r="V685" s="697"/>
      <c r="W685" s="697"/>
      <c r="X685" s="697"/>
      <c r="Y685" s="697"/>
      <c r="Z685" s="697"/>
      <c r="AA685" s="697"/>
      <c r="AB685" s="697"/>
      <c r="AC685" s="697"/>
      <c r="AD685" s="697"/>
      <c r="AE685" s="697"/>
      <c r="AF685" s="697"/>
      <c r="AG685" s="697"/>
      <c r="AH685" s="697"/>
      <c r="AI685" s="697"/>
      <c r="AJ685" s="697"/>
      <c r="AK685" s="697"/>
      <c r="AL685" s="697"/>
      <c r="AM685" s="697"/>
      <c r="AN685" s="697"/>
      <c r="AO685" s="697"/>
      <c r="AP685" s="697"/>
      <c r="AQ685" s="697"/>
      <c r="AR685" s="697"/>
      <c r="AS685" s="697"/>
      <c r="AT685" s="697"/>
      <c r="AU685" s="697"/>
      <c r="AV685" s="697"/>
      <c r="AW685" s="697"/>
      <c r="AX685" s="697"/>
      <c r="AY685" s="697"/>
      <c r="AZ685" s="697"/>
      <c r="BA685" s="697"/>
      <c r="BB685" s="697"/>
      <c r="BC685" s="697"/>
      <c r="BD685" s="697"/>
      <c r="BE685" s="697"/>
      <c r="BF685" s="697"/>
      <c r="BG685" s="697"/>
      <c r="BH685" s="697"/>
      <c r="BI685" s="697"/>
      <c r="BJ685" s="697"/>
      <c r="BK685" s="697"/>
      <c r="BL685" s="697"/>
      <c r="BM685" s="697"/>
      <c r="BN685" s="697"/>
      <c r="BO685" s="697"/>
      <c r="BP685" s="697"/>
      <c r="BQ685" s="697"/>
      <c r="BR685" s="697"/>
      <c r="BS685" s="697"/>
      <c r="BT685" s="697"/>
      <c r="BU685" s="697"/>
      <c r="BV685" s="697"/>
      <c r="BW685" s="697"/>
      <c r="BX685" s="697"/>
      <c r="BY685" s="697"/>
      <c r="BZ685" s="697"/>
      <c r="CA685" s="697"/>
      <c r="CB685" s="697"/>
      <c r="CC685" s="697"/>
      <c r="CD685" s="697"/>
      <c r="CE685" s="697"/>
      <c r="CF685" s="697"/>
      <c r="CG685" s="697"/>
      <c r="CH685" s="697"/>
      <c r="CI685" s="697"/>
      <c r="CJ685" s="697"/>
      <c r="CK685" s="697"/>
      <c r="CL685" s="697"/>
      <c r="CM685" s="697"/>
      <c r="CN685" s="697"/>
      <c r="CO685" s="697"/>
      <c r="CP685" s="697"/>
      <c r="CQ685" s="697"/>
      <c r="CR685" s="697"/>
      <c r="CS685" s="697"/>
      <c r="CT685" s="697"/>
      <c r="CU685" s="697"/>
      <c r="CV685" s="697"/>
      <c r="CW685" s="697"/>
      <c r="CX685" s="697"/>
      <c r="CY685" s="697"/>
      <c r="CZ685" s="697"/>
      <c r="DA685" s="697"/>
    </row>
    <row r="686" spans="1:105" x14ac:dyDescent="0.2">
      <c r="A686" s="709">
        <f t="shared" si="116"/>
        <v>41275</v>
      </c>
      <c r="B686" s="709" t="str">
        <f t="shared" si="113"/>
        <v>1Q13</v>
      </c>
      <c r="C686" s="709" t="str">
        <f t="shared" si="117"/>
        <v>1Q13</v>
      </c>
      <c r="D686" s="710">
        <f t="shared" si="120"/>
        <v>41355</v>
      </c>
      <c r="E686" s="710">
        <f t="shared" si="120"/>
        <v>41295</v>
      </c>
      <c r="F686" s="712">
        <v>3.9020000000000001</v>
      </c>
      <c r="G686" s="713">
        <f t="shared" si="114"/>
        <v>0.56000000000000028</v>
      </c>
      <c r="H686" s="713">
        <f t="shared" si="115"/>
        <v>0.56000000000000028</v>
      </c>
      <c r="I686" s="697"/>
      <c r="J686" s="697"/>
      <c r="K686" s="697"/>
      <c r="L686" s="697"/>
      <c r="M686" s="697"/>
      <c r="N686" s="697"/>
      <c r="O686" s="697"/>
      <c r="P686" s="697"/>
      <c r="Q686" s="697"/>
      <c r="R686" s="697"/>
      <c r="S686" s="697"/>
      <c r="T686" s="697"/>
      <c r="U686" s="697"/>
      <c r="V686" s="697"/>
      <c r="W686" s="697"/>
      <c r="X686" s="697"/>
      <c r="Y686" s="697"/>
      <c r="Z686" s="697"/>
      <c r="AA686" s="697"/>
      <c r="AB686" s="697"/>
      <c r="AC686" s="697"/>
      <c r="AD686" s="697"/>
      <c r="AE686" s="697"/>
      <c r="AF686" s="697"/>
      <c r="AG686" s="697"/>
      <c r="AH686" s="697"/>
      <c r="AI686" s="697"/>
      <c r="AJ686" s="697"/>
      <c r="AK686" s="697"/>
      <c r="AL686" s="697"/>
      <c r="AM686" s="697"/>
      <c r="AN686" s="697"/>
      <c r="AO686" s="697"/>
      <c r="AP686" s="697"/>
      <c r="AQ686" s="697"/>
      <c r="AR686" s="697"/>
      <c r="AS686" s="697"/>
      <c r="AT686" s="697"/>
      <c r="AU686" s="697"/>
      <c r="AV686" s="697"/>
      <c r="AW686" s="697"/>
      <c r="AX686" s="697"/>
      <c r="AY686" s="697"/>
      <c r="AZ686" s="697"/>
      <c r="BA686" s="697"/>
      <c r="BB686" s="697"/>
      <c r="BC686" s="697"/>
      <c r="BD686" s="697"/>
      <c r="BE686" s="697"/>
      <c r="BF686" s="697"/>
      <c r="BG686" s="697"/>
      <c r="BH686" s="697"/>
      <c r="BI686" s="697"/>
      <c r="BJ686" s="697"/>
      <c r="BK686" s="697"/>
      <c r="BL686" s="697"/>
      <c r="BM686" s="697"/>
      <c r="BN686" s="697"/>
      <c r="BO686" s="697"/>
      <c r="BP686" s="697"/>
      <c r="BQ686" s="697"/>
      <c r="BR686" s="697"/>
      <c r="BS686" s="697"/>
      <c r="BT686" s="697"/>
      <c r="BU686" s="697"/>
      <c r="BV686" s="697"/>
      <c r="BW686" s="697"/>
      <c r="BX686" s="697"/>
      <c r="BY686" s="697"/>
      <c r="BZ686" s="697"/>
      <c r="CA686" s="697"/>
      <c r="CB686" s="697"/>
      <c r="CC686" s="697"/>
      <c r="CD686" s="697"/>
      <c r="CE686" s="697"/>
      <c r="CF686" s="697"/>
      <c r="CG686" s="697"/>
      <c r="CH686" s="697"/>
      <c r="CI686" s="697"/>
      <c r="CJ686" s="697"/>
      <c r="CK686" s="697"/>
      <c r="CL686" s="697"/>
      <c r="CM686" s="697"/>
      <c r="CN686" s="697"/>
      <c r="CO686" s="697"/>
      <c r="CP686" s="697"/>
      <c r="CQ686" s="697"/>
      <c r="CR686" s="697"/>
      <c r="CS686" s="697"/>
      <c r="CT686" s="697"/>
      <c r="CU686" s="697"/>
      <c r="CV686" s="697"/>
      <c r="CW686" s="697"/>
      <c r="CX686" s="697"/>
      <c r="CY686" s="697"/>
      <c r="CZ686" s="697"/>
      <c r="DA686" s="697"/>
    </row>
    <row r="687" spans="1:105" x14ac:dyDescent="0.2">
      <c r="A687" s="709">
        <f t="shared" si="116"/>
        <v>41275</v>
      </c>
      <c r="B687" s="709" t="str">
        <f t="shared" si="113"/>
        <v>1Q13</v>
      </c>
      <c r="C687" s="709" t="str">
        <f t="shared" si="117"/>
        <v>1Q13</v>
      </c>
      <c r="D687" s="710">
        <f t="shared" si="120"/>
        <v>41362</v>
      </c>
      <c r="E687" s="710">
        <f t="shared" si="120"/>
        <v>41302</v>
      </c>
      <c r="F687" s="712">
        <v>3.927</v>
      </c>
      <c r="G687" s="713">
        <f t="shared" si="114"/>
        <v>0.56000000000000028</v>
      </c>
      <c r="H687" s="713">
        <f t="shared" si="115"/>
        <v>0.58000000000000029</v>
      </c>
      <c r="I687" s="697"/>
      <c r="J687" s="697"/>
      <c r="K687" s="697"/>
      <c r="L687" s="697"/>
      <c r="M687" s="697"/>
      <c r="N687" s="697"/>
      <c r="O687" s="697"/>
      <c r="P687" s="697"/>
      <c r="Q687" s="697"/>
      <c r="R687" s="697"/>
      <c r="S687" s="697"/>
      <c r="T687" s="697"/>
      <c r="U687" s="697"/>
      <c r="V687" s="697"/>
      <c r="W687" s="697"/>
      <c r="X687" s="697"/>
      <c r="Y687" s="697"/>
      <c r="Z687" s="697"/>
      <c r="AA687" s="697"/>
      <c r="AB687" s="697"/>
      <c r="AC687" s="697"/>
      <c r="AD687" s="697"/>
      <c r="AE687" s="697"/>
      <c r="AF687" s="697"/>
      <c r="AG687" s="697"/>
      <c r="AH687" s="697"/>
      <c r="AI687" s="697"/>
      <c r="AJ687" s="697"/>
      <c r="AK687" s="697"/>
      <c r="AL687" s="697"/>
      <c r="AM687" s="697"/>
      <c r="AN687" s="697"/>
      <c r="AO687" s="697"/>
      <c r="AP687" s="697"/>
      <c r="AQ687" s="697"/>
      <c r="AR687" s="697"/>
      <c r="AS687" s="697"/>
      <c r="AT687" s="697"/>
      <c r="AU687" s="697"/>
      <c r="AV687" s="697"/>
      <c r="AW687" s="697"/>
      <c r="AX687" s="697"/>
      <c r="AY687" s="697"/>
      <c r="AZ687" s="697"/>
      <c r="BA687" s="697"/>
      <c r="BB687" s="697"/>
      <c r="BC687" s="697"/>
      <c r="BD687" s="697"/>
      <c r="BE687" s="697"/>
      <c r="BF687" s="697"/>
      <c r="BG687" s="697"/>
      <c r="BH687" s="697"/>
      <c r="BI687" s="697"/>
      <c r="BJ687" s="697"/>
      <c r="BK687" s="697"/>
      <c r="BL687" s="697"/>
      <c r="BM687" s="697"/>
      <c r="BN687" s="697"/>
      <c r="BO687" s="697"/>
      <c r="BP687" s="697"/>
      <c r="BQ687" s="697"/>
      <c r="BR687" s="697"/>
      <c r="BS687" s="697"/>
      <c r="BT687" s="697"/>
      <c r="BU687" s="697"/>
      <c r="BV687" s="697"/>
      <c r="BW687" s="697"/>
      <c r="BX687" s="697"/>
      <c r="BY687" s="697"/>
      <c r="BZ687" s="697"/>
      <c r="CA687" s="697"/>
      <c r="CB687" s="697"/>
      <c r="CC687" s="697"/>
      <c r="CD687" s="697"/>
      <c r="CE687" s="697"/>
      <c r="CF687" s="697"/>
      <c r="CG687" s="697"/>
      <c r="CH687" s="697"/>
      <c r="CI687" s="697"/>
      <c r="CJ687" s="697"/>
      <c r="CK687" s="697"/>
      <c r="CL687" s="697"/>
      <c r="CM687" s="697"/>
      <c r="CN687" s="697"/>
      <c r="CO687" s="697"/>
      <c r="CP687" s="697"/>
      <c r="CQ687" s="697"/>
      <c r="CR687" s="697"/>
      <c r="CS687" s="697"/>
      <c r="CT687" s="697"/>
      <c r="CU687" s="697"/>
      <c r="CV687" s="697"/>
      <c r="CW687" s="697"/>
      <c r="CX687" s="697"/>
      <c r="CY687" s="697"/>
      <c r="CZ687" s="697"/>
      <c r="DA687" s="697"/>
    </row>
    <row r="688" spans="1:105" x14ac:dyDescent="0.2">
      <c r="A688" s="709">
        <f t="shared" si="116"/>
        <v>41306</v>
      </c>
      <c r="B688" s="709" t="str">
        <f t="shared" si="113"/>
        <v>1Q13</v>
      </c>
      <c r="C688" s="709" t="str">
        <f t="shared" si="117"/>
        <v>2Q13</v>
      </c>
      <c r="D688" s="710">
        <f t="shared" si="120"/>
        <v>41369</v>
      </c>
      <c r="E688" s="710">
        <f t="shared" si="120"/>
        <v>41309</v>
      </c>
      <c r="F688" s="712">
        <v>4.0220000000000002</v>
      </c>
      <c r="G688" s="713">
        <f t="shared" si="114"/>
        <v>0.58000000000000029</v>
      </c>
      <c r="H688" s="713">
        <f t="shared" si="115"/>
        <v>0.60000000000000031</v>
      </c>
      <c r="I688" s="697"/>
      <c r="J688" s="697"/>
      <c r="K688" s="697"/>
      <c r="L688" s="697"/>
      <c r="M688" s="697"/>
      <c r="N688" s="697"/>
      <c r="O688" s="697"/>
      <c r="P688" s="697"/>
      <c r="Q688" s="697"/>
      <c r="R688" s="697"/>
      <c r="S688" s="697"/>
      <c r="T688" s="697"/>
      <c r="U688" s="697"/>
      <c r="V688" s="697"/>
      <c r="W688" s="697"/>
      <c r="X688" s="697"/>
      <c r="Y688" s="697"/>
      <c r="Z688" s="697"/>
      <c r="AA688" s="697"/>
      <c r="AB688" s="697"/>
      <c r="AC688" s="697"/>
      <c r="AD688" s="697"/>
      <c r="AE688" s="697"/>
      <c r="AF688" s="697"/>
      <c r="AG688" s="697"/>
      <c r="AH688" s="697"/>
      <c r="AI688" s="697"/>
      <c r="AJ688" s="697"/>
      <c r="AK688" s="697"/>
      <c r="AL688" s="697"/>
      <c r="AM688" s="697"/>
      <c r="AN688" s="697"/>
      <c r="AO688" s="697"/>
      <c r="AP688" s="697"/>
      <c r="AQ688" s="697"/>
      <c r="AR688" s="697"/>
      <c r="AS688" s="697"/>
      <c r="AT688" s="697"/>
      <c r="AU688" s="697"/>
      <c r="AV688" s="697"/>
      <c r="AW688" s="697"/>
      <c r="AX688" s="697"/>
      <c r="AY688" s="697"/>
      <c r="AZ688" s="697"/>
      <c r="BA688" s="697"/>
      <c r="BB688" s="697"/>
      <c r="BC688" s="697"/>
      <c r="BD688" s="697"/>
      <c r="BE688" s="697"/>
      <c r="BF688" s="697"/>
      <c r="BG688" s="697"/>
      <c r="BH688" s="697"/>
      <c r="BI688" s="697"/>
      <c r="BJ688" s="697"/>
      <c r="BK688" s="697"/>
      <c r="BL688" s="697"/>
      <c r="BM688" s="697"/>
      <c r="BN688" s="697"/>
      <c r="BO688" s="697"/>
      <c r="BP688" s="697"/>
      <c r="BQ688" s="697"/>
      <c r="BR688" s="697"/>
      <c r="BS688" s="697"/>
      <c r="BT688" s="697"/>
      <c r="BU688" s="697"/>
      <c r="BV688" s="697"/>
      <c r="BW688" s="697"/>
      <c r="BX688" s="697"/>
      <c r="BY688" s="697"/>
      <c r="BZ688" s="697"/>
      <c r="CA688" s="697"/>
      <c r="CB688" s="697"/>
      <c r="CC688" s="697"/>
      <c r="CD688" s="697"/>
      <c r="CE688" s="697"/>
      <c r="CF688" s="697"/>
      <c r="CG688" s="697"/>
      <c r="CH688" s="697"/>
      <c r="CI688" s="697"/>
      <c r="CJ688" s="697"/>
      <c r="CK688" s="697"/>
      <c r="CL688" s="697"/>
      <c r="CM688" s="697"/>
      <c r="CN688" s="697"/>
      <c r="CO688" s="697"/>
      <c r="CP688" s="697"/>
      <c r="CQ688" s="697"/>
      <c r="CR688" s="697"/>
      <c r="CS688" s="697"/>
      <c r="CT688" s="697"/>
      <c r="CU688" s="697"/>
      <c r="CV688" s="697"/>
      <c r="CW688" s="697"/>
      <c r="CX688" s="697"/>
      <c r="CY688" s="697"/>
      <c r="CZ688" s="697"/>
      <c r="DA688" s="697"/>
    </row>
    <row r="689" spans="1:105" x14ac:dyDescent="0.2">
      <c r="A689" s="709">
        <f t="shared" si="116"/>
        <v>41306</v>
      </c>
      <c r="B689" s="709" t="str">
        <f t="shared" si="113"/>
        <v>1Q13</v>
      </c>
      <c r="C689" s="709" t="str">
        <f t="shared" si="117"/>
        <v>2Q13</v>
      </c>
      <c r="D689" s="710">
        <f t="shared" si="120"/>
        <v>41376</v>
      </c>
      <c r="E689" s="710">
        <f t="shared" si="120"/>
        <v>41316</v>
      </c>
      <c r="F689" s="712">
        <v>4.1040000000000001</v>
      </c>
      <c r="G689" s="713">
        <f t="shared" si="114"/>
        <v>0.60000000000000031</v>
      </c>
      <c r="H689" s="713">
        <f t="shared" si="115"/>
        <v>0.61000000000000032</v>
      </c>
      <c r="I689" s="697"/>
      <c r="J689" s="697"/>
      <c r="K689" s="697"/>
      <c r="L689" s="697"/>
      <c r="M689" s="697"/>
      <c r="N689" s="697"/>
      <c r="O689" s="697"/>
      <c r="P689" s="697"/>
      <c r="Q689" s="697"/>
      <c r="R689" s="697"/>
      <c r="S689" s="697"/>
      <c r="T689" s="697"/>
      <c r="U689" s="697"/>
      <c r="V689" s="697"/>
      <c r="W689" s="697"/>
      <c r="X689" s="697"/>
      <c r="Y689" s="697"/>
      <c r="Z689" s="697"/>
      <c r="AA689" s="697"/>
      <c r="AB689" s="697"/>
      <c r="AC689" s="697"/>
      <c r="AD689" s="697"/>
      <c r="AE689" s="697"/>
      <c r="AF689" s="697"/>
      <c r="AG689" s="697"/>
      <c r="AH689" s="697"/>
      <c r="AI689" s="697"/>
      <c r="AJ689" s="697"/>
      <c r="AK689" s="697"/>
      <c r="AL689" s="697"/>
      <c r="AM689" s="697"/>
      <c r="AN689" s="697"/>
      <c r="AO689" s="697"/>
      <c r="AP689" s="697"/>
      <c r="AQ689" s="697"/>
      <c r="AR689" s="697"/>
      <c r="AS689" s="697"/>
      <c r="AT689" s="697"/>
      <c r="AU689" s="697"/>
      <c r="AV689" s="697"/>
      <c r="AW689" s="697"/>
      <c r="AX689" s="697"/>
      <c r="AY689" s="697"/>
      <c r="AZ689" s="697"/>
      <c r="BA689" s="697"/>
      <c r="BB689" s="697"/>
      <c r="BC689" s="697"/>
      <c r="BD689" s="697"/>
      <c r="BE689" s="697"/>
      <c r="BF689" s="697"/>
      <c r="BG689" s="697"/>
      <c r="BH689" s="697"/>
      <c r="BI689" s="697"/>
      <c r="BJ689" s="697"/>
      <c r="BK689" s="697"/>
      <c r="BL689" s="697"/>
      <c r="BM689" s="697"/>
      <c r="BN689" s="697"/>
      <c r="BO689" s="697"/>
      <c r="BP689" s="697"/>
      <c r="BQ689" s="697"/>
      <c r="BR689" s="697"/>
      <c r="BS689" s="697"/>
      <c r="BT689" s="697"/>
      <c r="BU689" s="697"/>
      <c r="BV689" s="697"/>
      <c r="BW689" s="697"/>
      <c r="BX689" s="697"/>
      <c r="BY689" s="697"/>
      <c r="BZ689" s="697"/>
      <c r="CA689" s="697"/>
      <c r="CB689" s="697"/>
      <c r="CC689" s="697"/>
      <c r="CD689" s="697"/>
      <c r="CE689" s="697"/>
      <c r="CF689" s="697"/>
      <c r="CG689" s="697"/>
      <c r="CH689" s="697"/>
      <c r="CI689" s="697"/>
      <c r="CJ689" s="697"/>
      <c r="CK689" s="697"/>
      <c r="CL689" s="697"/>
      <c r="CM689" s="697"/>
      <c r="CN689" s="697"/>
      <c r="CO689" s="697"/>
      <c r="CP689" s="697"/>
      <c r="CQ689" s="697"/>
      <c r="CR689" s="697"/>
      <c r="CS689" s="697"/>
      <c r="CT689" s="697"/>
      <c r="CU689" s="697"/>
      <c r="CV689" s="697"/>
      <c r="CW689" s="697"/>
      <c r="CX689" s="697"/>
      <c r="CY689" s="697"/>
      <c r="CZ689" s="697"/>
      <c r="DA689" s="697"/>
    </row>
    <row r="690" spans="1:105" x14ac:dyDescent="0.2">
      <c r="A690" s="709">
        <f t="shared" si="116"/>
        <v>41306</v>
      </c>
      <c r="B690" s="709" t="str">
        <f t="shared" si="113"/>
        <v>1Q13</v>
      </c>
      <c r="C690" s="709" t="str">
        <f t="shared" si="117"/>
        <v>2Q13</v>
      </c>
      <c r="D690" s="710">
        <f t="shared" si="120"/>
        <v>41383</v>
      </c>
      <c r="E690" s="710">
        <f t="shared" si="120"/>
        <v>41323</v>
      </c>
      <c r="F690" s="712">
        <v>4.157</v>
      </c>
      <c r="G690" s="713">
        <f t="shared" si="114"/>
        <v>0.61000000000000032</v>
      </c>
      <c r="H690" s="713">
        <f t="shared" si="115"/>
        <v>0.61000000000000032</v>
      </c>
      <c r="I690" s="697"/>
      <c r="J690" s="697"/>
      <c r="K690" s="697"/>
      <c r="L690" s="697"/>
      <c r="M690" s="697"/>
      <c r="N690" s="697"/>
      <c r="O690" s="697"/>
      <c r="P690" s="697"/>
      <c r="Q690" s="697"/>
      <c r="R690" s="697"/>
      <c r="S690" s="697"/>
      <c r="T690" s="697"/>
      <c r="U690" s="697"/>
      <c r="V690" s="697"/>
      <c r="W690" s="697"/>
      <c r="X690" s="697"/>
      <c r="Y690" s="697"/>
      <c r="Z690" s="697"/>
      <c r="AA690" s="697"/>
      <c r="AB690" s="697"/>
      <c r="AC690" s="697"/>
      <c r="AD690" s="697"/>
      <c r="AE690" s="697"/>
      <c r="AF690" s="697"/>
      <c r="AG690" s="697"/>
      <c r="AH690" s="697"/>
      <c r="AI690" s="697"/>
      <c r="AJ690" s="697"/>
      <c r="AK690" s="697"/>
      <c r="AL690" s="697"/>
      <c r="AM690" s="697"/>
      <c r="AN690" s="697"/>
      <c r="AO690" s="697"/>
      <c r="AP690" s="697"/>
      <c r="AQ690" s="697"/>
      <c r="AR690" s="697"/>
      <c r="AS690" s="697"/>
      <c r="AT690" s="697"/>
      <c r="AU690" s="697"/>
      <c r="AV690" s="697"/>
      <c r="AW690" s="697"/>
      <c r="AX690" s="697"/>
      <c r="AY690" s="697"/>
      <c r="AZ690" s="697"/>
      <c r="BA690" s="697"/>
      <c r="BB690" s="697"/>
      <c r="BC690" s="697"/>
      <c r="BD690" s="697"/>
      <c r="BE690" s="697"/>
      <c r="BF690" s="697"/>
      <c r="BG690" s="697"/>
      <c r="BH690" s="697"/>
      <c r="BI690" s="697"/>
      <c r="BJ690" s="697"/>
      <c r="BK690" s="697"/>
      <c r="BL690" s="697"/>
      <c r="BM690" s="697"/>
      <c r="BN690" s="697"/>
      <c r="BO690" s="697"/>
      <c r="BP690" s="697"/>
      <c r="BQ690" s="697"/>
      <c r="BR690" s="697"/>
      <c r="BS690" s="697"/>
      <c r="BT690" s="697"/>
      <c r="BU690" s="697"/>
      <c r="BV690" s="697"/>
      <c r="BW690" s="697"/>
      <c r="BX690" s="697"/>
      <c r="BY690" s="697"/>
      <c r="BZ690" s="697"/>
      <c r="CA690" s="697"/>
      <c r="CB690" s="697"/>
      <c r="CC690" s="697"/>
      <c r="CD690" s="697"/>
      <c r="CE690" s="697"/>
      <c r="CF690" s="697"/>
      <c r="CG690" s="697"/>
      <c r="CH690" s="697"/>
      <c r="CI690" s="697"/>
      <c r="CJ690" s="697"/>
      <c r="CK690" s="697"/>
      <c r="CL690" s="697"/>
      <c r="CM690" s="697"/>
      <c r="CN690" s="697"/>
      <c r="CO690" s="697"/>
      <c r="CP690" s="697"/>
      <c r="CQ690" s="697"/>
      <c r="CR690" s="697"/>
      <c r="CS690" s="697"/>
      <c r="CT690" s="697"/>
      <c r="CU690" s="697"/>
      <c r="CV690" s="697"/>
      <c r="CW690" s="697"/>
      <c r="CX690" s="697"/>
      <c r="CY690" s="697"/>
      <c r="CZ690" s="697"/>
      <c r="DA690" s="697"/>
    </row>
    <row r="691" spans="1:105" x14ac:dyDescent="0.2">
      <c r="A691" s="709">
        <f t="shared" si="116"/>
        <v>41306</v>
      </c>
      <c r="B691" s="709" t="str">
        <f t="shared" si="113"/>
        <v>1Q13</v>
      </c>
      <c r="C691" s="709" t="str">
        <f t="shared" si="117"/>
        <v>2Q13</v>
      </c>
      <c r="D691" s="710">
        <f t="shared" si="120"/>
        <v>41390</v>
      </c>
      <c r="E691" s="710">
        <f t="shared" si="120"/>
        <v>41330</v>
      </c>
      <c r="F691" s="712">
        <v>4.1589999999999998</v>
      </c>
      <c r="G691" s="713">
        <f t="shared" si="114"/>
        <v>0.61000000000000032</v>
      </c>
      <c r="H691" s="713">
        <f t="shared" si="115"/>
        <v>0.60000000000000031</v>
      </c>
      <c r="I691" s="697"/>
      <c r="J691" s="697"/>
      <c r="K691" s="697"/>
      <c r="L691" s="697"/>
      <c r="M691" s="697"/>
      <c r="N691" s="697"/>
      <c r="O691" s="697"/>
      <c r="P691" s="697"/>
      <c r="Q691" s="697"/>
      <c r="R691" s="697"/>
      <c r="S691" s="697"/>
      <c r="T691" s="697"/>
      <c r="U691" s="697"/>
      <c r="V691" s="697"/>
      <c r="W691" s="697"/>
      <c r="X691" s="697"/>
      <c r="Y691" s="697"/>
      <c r="Z691" s="697"/>
      <c r="AA691" s="697"/>
      <c r="AB691" s="697"/>
      <c r="AC691" s="697"/>
      <c r="AD691" s="697"/>
      <c r="AE691" s="697"/>
      <c r="AF691" s="697"/>
      <c r="AG691" s="697"/>
      <c r="AH691" s="697"/>
      <c r="AI691" s="697"/>
      <c r="AJ691" s="697"/>
      <c r="AK691" s="697"/>
      <c r="AL691" s="697"/>
      <c r="AM691" s="697"/>
      <c r="AN691" s="697"/>
      <c r="AO691" s="697"/>
      <c r="AP691" s="697"/>
      <c r="AQ691" s="697"/>
      <c r="AR691" s="697"/>
      <c r="AS691" s="697"/>
      <c r="AT691" s="697"/>
      <c r="AU691" s="697"/>
      <c r="AV691" s="697"/>
      <c r="AW691" s="697"/>
      <c r="AX691" s="697"/>
      <c r="AY691" s="697"/>
      <c r="AZ691" s="697"/>
      <c r="BA691" s="697"/>
      <c r="BB691" s="697"/>
      <c r="BC691" s="697"/>
      <c r="BD691" s="697"/>
      <c r="BE691" s="697"/>
      <c r="BF691" s="697"/>
      <c r="BG691" s="697"/>
      <c r="BH691" s="697"/>
      <c r="BI691" s="697"/>
      <c r="BJ691" s="697"/>
      <c r="BK691" s="697"/>
      <c r="BL691" s="697"/>
      <c r="BM691" s="697"/>
      <c r="BN691" s="697"/>
      <c r="BO691" s="697"/>
      <c r="BP691" s="697"/>
      <c r="BQ691" s="697"/>
      <c r="BR691" s="697"/>
      <c r="BS691" s="697"/>
      <c r="BT691" s="697"/>
      <c r="BU691" s="697"/>
      <c r="BV691" s="697"/>
      <c r="BW691" s="697"/>
      <c r="BX691" s="697"/>
      <c r="BY691" s="697"/>
      <c r="BZ691" s="697"/>
      <c r="CA691" s="697"/>
      <c r="CB691" s="697"/>
      <c r="CC691" s="697"/>
      <c r="CD691" s="697"/>
      <c r="CE691" s="697"/>
      <c r="CF691" s="697"/>
      <c r="CG691" s="697"/>
      <c r="CH691" s="697"/>
      <c r="CI691" s="697"/>
      <c r="CJ691" s="697"/>
      <c r="CK691" s="697"/>
      <c r="CL691" s="697"/>
      <c r="CM691" s="697"/>
      <c r="CN691" s="697"/>
      <c r="CO691" s="697"/>
      <c r="CP691" s="697"/>
      <c r="CQ691" s="697"/>
      <c r="CR691" s="697"/>
      <c r="CS691" s="697"/>
      <c r="CT691" s="697"/>
      <c r="CU691" s="697"/>
      <c r="CV691" s="697"/>
      <c r="CW691" s="697"/>
      <c r="CX691" s="697"/>
      <c r="CY691" s="697"/>
      <c r="CZ691" s="697"/>
      <c r="DA691" s="697"/>
    </row>
    <row r="692" spans="1:105" x14ac:dyDescent="0.2">
      <c r="A692" s="709">
        <f t="shared" si="116"/>
        <v>41334</v>
      </c>
      <c r="B692" s="709" t="str">
        <f t="shared" si="113"/>
        <v>1Q13</v>
      </c>
      <c r="C692" s="709" t="str">
        <f t="shared" si="117"/>
        <v>2Q13</v>
      </c>
      <c r="D692" s="710">
        <f t="shared" si="120"/>
        <v>41397</v>
      </c>
      <c r="E692" s="710">
        <f t="shared" si="120"/>
        <v>41337</v>
      </c>
      <c r="F692" s="712">
        <v>4.13</v>
      </c>
      <c r="G692" s="713">
        <f t="shared" si="114"/>
        <v>0.60000000000000031</v>
      </c>
      <c r="H692" s="713">
        <f t="shared" si="115"/>
        <v>0.5900000000000003</v>
      </c>
      <c r="I692" s="697"/>
      <c r="J692" s="697"/>
      <c r="K692" s="697"/>
      <c r="L692" s="697"/>
      <c r="M692" s="697"/>
      <c r="N692" s="697"/>
      <c r="O692" s="697"/>
      <c r="P692" s="697"/>
      <c r="Q692" s="697"/>
      <c r="R692" s="697"/>
      <c r="S692" s="697"/>
      <c r="T692" s="697"/>
      <c r="U692" s="697"/>
      <c r="V692" s="697"/>
      <c r="W692" s="697"/>
      <c r="X692" s="697"/>
      <c r="Y692" s="697"/>
      <c r="Z692" s="697"/>
      <c r="AA692" s="697"/>
      <c r="AB692" s="697"/>
      <c r="AC692" s="697"/>
      <c r="AD692" s="697"/>
      <c r="AE692" s="697"/>
      <c r="AF692" s="697"/>
      <c r="AG692" s="697"/>
      <c r="AH692" s="697"/>
      <c r="AI692" s="697"/>
      <c r="AJ692" s="697"/>
      <c r="AK692" s="697"/>
      <c r="AL692" s="697"/>
      <c r="AM692" s="697"/>
      <c r="AN692" s="697"/>
      <c r="AO692" s="697"/>
      <c r="AP692" s="697"/>
      <c r="AQ692" s="697"/>
      <c r="AR692" s="697"/>
      <c r="AS692" s="697"/>
      <c r="AT692" s="697"/>
      <c r="AU692" s="697"/>
      <c r="AV692" s="697"/>
      <c r="AW692" s="697"/>
      <c r="AX692" s="697"/>
      <c r="AY692" s="697"/>
      <c r="AZ692" s="697"/>
      <c r="BA692" s="697"/>
      <c r="BB692" s="697"/>
      <c r="BC692" s="697"/>
      <c r="BD692" s="697"/>
      <c r="BE692" s="697"/>
      <c r="BF692" s="697"/>
      <c r="BG692" s="697"/>
      <c r="BH692" s="697"/>
      <c r="BI692" s="697"/>
      <c r="BJ692" s="697"/>
      <c r="BK692" s="697"/>
      <c r="BL692" s="697"/>
      <c r="BM692" s="697"/>
      <c r="BN692" s="697"/>
      <c r="BO692" s="697"/>
      <c r="BP692" s="697"/>
      <c r="BQ692" s="697"/>
      <c r="BR692" s="697"/>
      <c r="BS692" s="697"/>
      <c r="BT692" s="697"/>
      <c r="BU692" s="697"/>
      <c r="BV692" s="697"/>
      <c r="BW692" s="697"/>
      <c r="BX692" s="697"/>
      <c r="BY692" s="697"/>
      <c r="BZ692" s="697"/>
      <c r="CA692" s="697"/>
      <c r="CB692" s="697"/>
      <c r="CC692" s="697"/>
      <c r="CD692" s="697"/>
      <c r="CE692" s="697"/>
      <c r="CF692" s="697"/>
      <c r="CG692" s="697"/>
      <c r="CH692" s="697"/>
      <c r="CI692" s="697"/>
      <c r="CJ692" s="697"/>
      <c r="CK692" s="697"/>
      <c r="CL692" s="697"/>
      <c r="CM692" s="697"/>
      <c r="CN692" s="697"/>
      <c r="CO692" s="697"/>
      <c r="CP692" s="697"/>
      <c r="CQ692" s="697"/>
      <c r="CR692" s="697"/>
      <c r="CS692" s="697"/>
      <c r="CT692" s="697"/>
      <c r="CU692" s="697"/>
      <c r="CV692" s="697"/>
      <c r="CW692" s="697"/>
      <c r="CX692" s="697"/>
      <c r="CY692" s="697"/>
      <c r="CZ692" s="697"/>
      <c r="DA692" s="697"/>
    </row>
    <row r="693" spans="1:105" x14ac:dyDescent="0.2">
      <c r="A693" s="709">
        <f t="shared" si="116"/>
        <v>41334</v>
      </c>
      <c r="B693" s="709" t="str">
        <f t="shared" si="113"/>
        <v>1Q13</v>
      </c>
      <c r="C693" s="709" t="str">
        <f t="shared" si="117"/>
        <v>2Q13</v>
      </c>
      <c r="D693" s="710">
        <f t="shared" ref="D693:E708" si="121">D692+7</f>
        <v>41404</v>
      </c>
      <c r="E693" s="710">
        <f t="shared" si="121"/>
        <v>41344</v>
      </c>
      <c r="F693" s="712">
        <v>4.0880000000000001</v>
      </c>
      <c r="G693" s="713">
        <f t="shared" si="114"/>
        <v>0.5900000000000003</v>
      </c>
      <c r="H693" s="713">
        <f t="shared" si="115"/>
        <v>0.58000000000000029</v>
      </c>
      <c r="I693" s="697"/>
      <c r="J693" s="697"/>
      <c r="K693" s="697"/>
      <c r="L693" s="697"/>
      <c r="M693" s="697"/>
      <c r="N693" s="697"/>
      <c r="O693" s="697"/>
      <c r="P693" s="697"/>
      <c r="Q693" s="697"/>
      <c r="R693" s="697"/>
      <c r="S693" s="697"/>
      <c r="T693" s="697"/>
      <c r="U693" s="697"/>
      <c r="V693" s="697"/>
      <c r="W693" s="697"/>
      <c r="X693" s="697"/>
      <c r="Y693" s="697"/>
      <c r="Z693" s="697"/>
      <c r="AA693" s="697"/>
      <c r="AB693" s="697"/>
      <c r="AC693" s="697"/>
      <c r="AD693" s="697"/>
      <c r="AE693" s="697"/>
      <c r="AF693" s="697"/>
      <c r="AG693" s="697"/>
      <c r="AH693" s="697"/>
      <c r="AI693" s="697"/>
      <c r="AJ693" s="697"/>
      <c r="AK693" s="697"/>
      <c r="AL693" s="697"/>
      <c r="AM693" s="697"/>
      <c r="AN693" s="697"/>
      <c r="AO693" s="697"/>
      <c r="AP693" s="697"/>
      <c r="AQ693" s="697"/>
      <c r="AR693" s="697"/>
      <c r="AS693" s="697"/>
      <c r="AT693" s="697"/>
      <c r="AU693" s="697"/>
      <c r="AV693" s="697"/>
      <c r="AW693" s="697"/>
      <c r="AX693" s="697"/>
      <c r="AY693" s="697"/>
      <c r="AZ693" s="697"/>
      <c r="BA693" s="697"/>
      <c r="BB693" s="697"/>
      <c r="BC693" s="697"/>
      <c r="BD693" s="697"/>
      <c r="BE693" s="697"/>
      <c r="BF693" s="697"/>
      <c r="BG693" s="697"/>
      <c r="BH693" s="697"/>
      <c r="BI693" s="697"/>
      <c r="BJ693" s="697"/>
      <c r="BK693" s="697"/>
      <c r="BL693" s="697"/>
      <c r="BM693" s="697"/>
      <c r="BN693" s="697"/>
      <c r="BO693" s="697"/>
      <c r="BP693" s="697"/>
      <c r="BQ693" s="697"/>
      <c r="BR693" s="697"/>
      <c r="BS693" s="697"/>
      <c r="BT693" s="697"/>
      <c r="BU693" s="697"/>
      <c r="BV693" s="697"/>
      <c r="BW693" s="697"/>
      <c r="BX693" s="697"/>
      <c r="BY693" s="697"/>
      <c r="BZ693" s="697"/>
      <c r="CA693" s="697"/>
      <c r="CB693" s="697"/>
      <c r="CC693" s="697"/>
      <c r="CD693" s="697"/>
      <c r="CE693" s="697"/>
      <c r="CF693" s="697"/>
      <c r="CG693" s="697"/>
      <c r="CH693" s="697"/>
      <c r="CI693" s="697"/>
      <c r="CJ693" s="697"/>
      <c r="CK693" s="697"/>
      <c r="CL693" s="697"/>
      <c r="CM693" s="697"/>
      <c r="CN693" s="697"/>
      <c r="CO693" s="697"/>
      <c r="CP693" s="697"/>
      <c r="CQ693" s="697"/>
      <c r="CR693" s="697"/>
      <c r="CS693" s="697"/>
      <c r="CT693" s="697"/>
      <c r="CU693" s="697"/>
      <c r="CV693" s="697"/>
      <c r="CW693" s="697"/>
      <c r="CX693" s="697"/>
      <c r="CY693" s="697"/>
      <c r="CZ693" s="697"/>
      <c r="DA693" s="697"/>
    </row>
    <row r="694" spans="1:105" x14ac:dyDescent="0.2">
      <c r="A694" s="709">
        <f t="shared" si="116"/>
        <v>41334</v>
      </c>
      <c r="B694" s="709" t="str">
        <f t="shared" si="113"/>
        <v>1Q13</v>
      </c>
      <c r="C694" s="709" t="str">
        <f t="shared" si="117"/>
        <v>2Q13</v>
      </c>
      <c r="D694" s="710">
        <f t="shared" si="121"/>
        <v>41411</v>
      </c>
      <c r="E694" s="710">
        <f t="shared" si="121"/>
        <v>41351</v>
      </c>
      <c r="F694" s="712">
        <v>4.0469999999999997</v>
      </c>
      <c r="G694" s="713">
        <f t="shared" si="114"/>
        <v>0.58000000000000029</v>
      </c>
      <c r="H694" s="713">
        <f t="shared" si="115"/>
        <v>0.58000000000000029</v>
      </c>
      <c r="I694" s="697"/>
      <c r="J694" s="697"/>
      <c r="K694" s="697"/>
      <c r="L694" s="697"/>
      <c r="M694" s="697"/>
      <c r="N694" s="697"/>
      <c r="O694" s="697"/>
      <c r="P694" s="697"/>
      <c r="Q694" s="697"/>
      <c r="R694" s="697"/>
      <c r="S694" s="697"/>
      <c r="T694" s="697"/>
      <c r="U694" s="697"/>
      <c r="V694" s="697"/>
      <c r="W694" s="697"/>
      <c r="X694" s="697"/>
      <c r="Y694" s="697"/>
      <c r="Z694" s="697"/>
      <c r="AA694" s="697"/>
      <c r="AB694" s="697"/>
      <c r="AC694" s="697"/>
      <c r="AD694" s="697"/>
      <c r="AE694" s="697"/>
      <c r="AF694" s="697"/>
      <c r="AG694" s="697"/>
      <c r="AH694" s="697"/>
      <c r="AI694" s="697"/>
      <c r="AJ694" s="697"/>
      <c r="AK694" s="697"/>
      <c r="AL694" s="697"/>
      <c r="AM694" s="697"/>
      <c r="AN694" s="697"/>
      <c r="AO694" s="697"/>
      <c r="AP694" s="697"/>
      <c r="AQ694" s="697"/>
      <c r="AR694" s="697"/>
      <c r="AS694" s="697"/>
      <c r="AT694" s="697"/>
      <c r="AU694" s="697"/>
      <c r="AV694" s="697"/>
      <c r="AW694" s="697"/>
      <c r="AX694" s="697"/>
      <c r="AY694" s="697"/>
      <c r="AZ694" s="697"/>
      <c r="BA694" s="697"/>
      <c r="BB694" s="697"/>
      <c r="BC694" s="697"/>
      <c r="BD694" s="697"/>
      <c r="BE694" s="697"/>
      <c r="BF694" s="697"/>
      <c r="BG694" s="697"/>
      <c r="BH694" s="697"/>
      <c r="BI694" s="697"/>
      <c r="BJ694" s="697"/>
      <c r="BK694" s="697"/>
      <c r="BL694" s="697"/>
      <c r="BM694" s="697"/>
      <c r="BN694" s="697"/>
      <c r="BO694" s="697"/>
      <c r="BP694" s="697"/>
      <c r="BQ694" s="697"/>
      <c r="BR694" s="697"/>
      <c r="BS694" s="697"/>
      <c r="BT694" s="697"/>
      <c r="BU694" s="697"/>
      <c r="BV694" s="697"/>
      <c r="BW694" s="697"/>
      <c r="BX694" s="697"/>
      <c r="BY694" s="697"/>
      <c r="BZ694" s="697"/>
      <c r="CA694" s="697"/>
      <c r="CB694" s="697"/>
      <c r="CC694" s="697"/>
      <c r="CD694" s="697"/>
      <c r="CE694" s="697"/>
      <c r="CF694" s="697"/>
      <c r="CG694" s="697"/>
      <c r="CH694" s="697"/>
      <c r="CI694" s="697"/>
      <c r="CJ694" s="697"/>
      <c r="CK694" s="697"/>
      <c r="CL694" s="697"/>
      <c r="CM694" s="697"/>
      <c r="CN694" s="697"/>
      <c r="CO694" s="697"/>
      <c r="CP694" s="697"/>
      <c r="CQ694" s="697"/>
      <c r="CR694" s="697"/>
      <c r="CS694" s="697"/>
      <c r="CT694" s="697"/>
      <c r="CU694" s="697"/>
      <c r="CV694" s="697"/>
      <c r="CW694" s="697"/>
      <c r="CX694" s="697"/>
      <c r="CY694" s="697"/>
      <c r="CZ694" s="697"/>
      <c r="DA694" s="697"/>
    </row>
    <row r="695" spans="1:105" x14ac:dyDescent="0.2">
      <c r="A695" s="709">
        <f t="shared" si="116"/>
        <v>41334</v>
      </c>
      <c r="B695" s="709" t="str">
        <f t="shared" si="113"/>
        <v>1Q13</v>
      </c>
      <c r="C695" s="709" t="str">
        <f t="shared" si="117"/>
        <v>2Q13</v>
      </c>
      <c r="D695" s="710">
        <f t="shared" si="121"/>
        <v>41418</v>
      </c>
      <c r="E695" s="710">
        <f t="shared" si="121"/>
        <v>41358</v>
      </c>
      <c r="F695" s="712">
        <v>4.0060000000000002</v>
      </c>
      <c r="G695" s="713">
        <f t="shared" si="114"/>
        <v>0.58000000000000029</v>
      </c>
      <c r="H695" s="713">
        <f t="shared" si="115"/>
        <v>0.57000000000000028</v>
      </c>
      <c r="I695" s="697"/>
      <c r="J695" s="697"/>
      <c r="K695" s="697"/>
      <c r="L695" s="697"/>
      <c r="M695" s="697"/>
      <c r="N695" s="697"/>
      <c r="O695" s="697"/>
      <c r="P695" s="697"/>
      <c r="Q695" s="697"/>
      <c r="R695" s="697"/>
      <c r="S695" s="697"/>
      <c r="T695" s="697"/>
      <c r="U695" s="697"/>
      <c r="V695" s="697"/>
      <c r="W695" s="697"/>
      <c r="X695" s="697"/>
      <c r="Y695" s="697"/>
      <c r="Z695" s="697"/>
      <c r="AA695" s="697"/>
      <c r="AB695" s="697"/>
      <c r="AC695" s="697"/>
      <c r="AD695" s="697"/>
      <c r="AE695" s="697"/>
      <c r="AF695" s="697"/>
      <c r="AG695" s="697"/>
      <c r="AH695" s="697"/>
      <c r="AI695" s="697"/>
      <c r="AJ695" s="697"/>
      <c r="AK695" s="697"/>
      <c r="AL695" s="697"/>
      <c r="AM695" s="697"/>
      <c r="AN695" s="697"/>
      <c r="AO695" s="697"/>
      <c r="AP695" s="697"/>
      <c r="AQ695" s="697"/>
      <c r="AR695" s="697"/>
      <c r="AS695" s="697"/>
      <c r="AT695" s="697"/>
      <c r="AU695" s="697"/>
      <c r="AV695" s="697"/>
      <c r="AW695" s="697"/>
      <c r="AX695" s="697"/>
      <c r="AY695" s="697"/>
      <c r="AZ695" s="697"/>
      <c r="BA695" s="697"/>
      <c r="BB695" s="697"/>
      <c r="BC695" s="697"/>
      <c r="BD695" s="697"/>
      <c r="BE695" s="697"/>
      <c r="BF695" s="697"/>
      <c r="BG695" s="697"/>
      <c r="BH695" s="697"/>
      <c r="BI695" s="697"/>
      <c r="BJ695" s="697"/>
      <c r="BK695" s="697"/>
      <c r="BL695" s="697"/>
      <c r="BM695" s="697"/>
      <c r="BN695" s="697"/>
      <c r="BO695" s="697"/>
      <c r="BP695" s="697"/>
      <c r="BQ695" s="697"/>
      <c r="BR695" s="697"/>
      <c r="BS695" s="697"/>
      <c r="BT695" s="697"/>
      <c r="BU695" s="697"/>
      <c r="BV695" s="697"/>
      <c r="BW695" s="697"/>
      <c r="BX695" s="697"/>
      <c r="BY695" s="697"/>
      <c r="BZ695" s="697"/>
      <c r="CA695" s="697"/>
      <c r="CB695" s="697"/>
      <c r="CC695" s="697"/>
      <c r="CD695" s="697"/>
      <c r="CE695" s="697"/>
      <c r="CF695" s="697"/>
      <c r="CG695" s="697"/>
      <c r="CH695" s="697"/>
      <c r="CI695" s="697"/>
      <c r="CJ695" s="697"/>
      <c r="CK695" s="697"/>
      <c r="CL695" s="697"/>
      <c r="CM695" s="697"/>
      <c r="CN695" s="697"/>
      <c r="CO695" s="697"/>
      <c r="CP695" s="697"/>
      <c r="CQ695" s="697"/>
      <c r="CR695" s="697"/>
      <c r="CS695" s="697"/>
      <c r="CT695" s="697"/>
      <c r="CU695" s="697"/>
      <c r="CV695" s="697"/>
      <c r="CW695" s="697"/>
      <c r="CX695" s="697"/>
      <c r="CY695" s="697"/>
      <c r="CZ695" s="697"/>
      <c r="DA695" s="697"/>
    </row>
    <row r="696" spans="1:105" x14ac:dyDescent="0.2">
      <c r="A696" s="709">
        <f t="shared" si="116"/>
        <v>41365</v>
      </c>
      <c r="B696" s="709" t="str">
        <f t="shared" si="113"/>
        <v>2Q13</v>
      </c>
      <c r="C696" s="709" t="str">
        <f t="shared" si="117"/>
        <v>2Q13</v>
      </c>
      <c r="D696" s="710">
        <f t="shared" si="121"/>
        <v>41425</v>
      </c>
      <c r="E696" s="710">
        <f t="shared" si="121"/>
        <v>41365</v>
      </c>
      <c r="F696" s="712">
        <v>3.9929999999999999</v>
      </c>
      <c r="G696" s="713">
        <f t="shared" si="114"/>
        <v>0.57000000000000028</v>
      </c>
      <c r="H696" s="713">
        <f t="shared" si="115"/>
        <v>0.57000000000000028</v>
      </c>
      <c r="I696" s="697"/>
      <c r="J696" s="697"/>
      <c r="K696" s="697"/>
      <c r="L696" s="697"/>
      <c r="M696" s="697"/>
      <c r="N696" s="697"/>
      <c r="O696" s="697"/>
      <c r="P696" s="697"/>
      <c r="Q696" s="697"/>
      <c r="R696" s="697"/>
      <c r="S696" s="697"/>
      <c r="T696" s="697"/>
      <c r="U696" s="697"/>
      <c r="V696" s="697"/>
      <c r="W696" s="697"/>
      <c r="X696" s="697"/>
      <c r="Y696" s="697"/>
      <c r="Z696" s="697"/>
      <c r="AA696" s="697"/>
      <c r="AB696" s="697"/>
      <c r="AC696" s="697"/>
      <c r="AD696" s="697"/>
      <c r="AE696" s="697"/>
      <c r="AF696" s="697"/>
      <c r="AG696" s="697"/>
      <c r="AH696" s="697"/>
      <c r="AI696" s="697"/>
      <c r="AJ696" s="697"/>
      <c r="AK696" s="697"/>
      <c r="AL696" s="697"/>
      <c r="AM696" s="697"/>
      <c r="AN696" s="697"/>
      <c r="AO696" s="697"/>
      <c r="AP696" s="697"/>
      <c r="AQ696" s="697"/>
      <c r="AR696" s="697"/>
      <c r="AS696" s="697"/>
      <c r="AT696" s="697"/>
      <c r="AU696" s="697"/>
      <c r="AV696" s="697"/>
      <c r="AW696" s="697"/>
      <c r="AX696" s="697"/>
      <c r="AY696" s="697"/>
      <c r="AZ696" s="697"/>
      <c r="BA696" s="697"/>
      <c r="BB696" s="697"/>
      <c r="BC696" s="697"/>
      <c r="BD696" s="697"/>
      <c r="BE696" s="697"/>
      <c r="BF696" s="697"/>
      <c r="BG696" s="697"/>
      <c r="BH696" s="697"/>
      <c r="BI696" s="697"/>
      <c r="BJ696" s="697"/>
      <c r="BK696" s="697"/>
      <c r="BL696" s="697"/>
      <c r="BM696" s="697"/>
      <c r="BN696" s="697"/>
      <c r="BO696" s="697"/>
      <c r="BP696" s="697"/>
      <c r="BQ696" s="697"/>
      <c r="BR696" s="697"/>
      <c r="BS696" s="697"/>
      <c r="BT696" s="697"/>
      <c r="BU696" s="697"/>
      <c r="BV696" s="697"/>
      <c r="BW696" s="697"/>
      <c r="BX696" s="697"/>
      <c r="BY696" s="697"/>
      <c r="BZ696" s="697"/>
      <c r="CA696" s="697"/>
      <c r="CB696" s="697"/>
      <c r="CC696" s="697"/>
      <c r="CD696" s="697"/>
      <c r="CE696" s="697"/>
      <c r="CF696" s="697"/>
      <c r="CG696" s="697"/>
      <c r="CH696" s="697"/>
      <c r="CI696" s="697"/>
      <c r="CJ696" s="697"/>
      <c r="CK696" s="697"/>
      <c r="CL696" s="697"/>
      <c r="CM696" s="697"/>
      <c r="CN696" s="697"/>
      <c r="CO696" s="697"/>
      <c r="CP696" s="697"/>
      <c r="CQ696" s="697"/>
      <c r="CR696" s="697"/>
      <c r="CS696" s="697"/>
      <c r="CT696" s="697"/>
      <c r="CU696" s="697"/>
      <c r="CV696" s="697"/>
      <c r="CW696" s="697"/>
      <c r="CX696" s="697"/>
      <c r="CY696" s="697"/>
      <c r="CZ696" s="697"/>
      <c r="DA696" s="697"/>
    </row>
    <row r="697" spans="1:105" x14ac:dyDescent="0.2">
      <c r="A697" s="709">
        <f t="shared" si="116"/>
        <v>41365</v>
      </c>
      <c r="B697" s="709" t="str">
        <f t="shared" si="113"/>
        <v>2Q13</v>
      </c>
      <c r="C697" s="709" t="str">
        <f t="shared" si="117"/>
        <v>2Q13</v>
      </c>
      <c r="D697" s="710">
        <f t="shared" si="121"/>
        <v>41432</v>
      </c>
      <c r="E697" s="710">
        <f t="shared" si="121"/>
        <v>41372</v>
      </c>
      <c r="F697" s="712">
        <v>3.9769999999999999</v>
      </c>
      <c r="G697" s="713">
        <f t="shared" si="114"/>
        <v>0.57000000000000028</v>
      </c>
      <c r="H697" s="713">
        <f t="shared" si="115"/>
        <v>0.56000000000000028</v>
      </c>
      <c r="I697" s="697"/>
      <c r="J697" s="697"/>
      <c r="K697" s="697"/>
      <c r="L697" s="697"/>
      <c r="M697" s="697"/>
      <c r="N697" s="697"/>
      <c r="O697" s="697"/>
      <c r="P697" s="697"/>
      <c r="Q697" s="697"/>
      <c r="R697" s="697"/>
      <c r="S697" s="697"/>
      <c r="T697" s="697"/>
      <c r="U697" s="697"/>
      <c r="V697" s="697"/>
      <c r="W697" s="697"/>
      <c r="X697" s="697"/>
      <c r="Y697" s="697"/>
      <c r="Z697" s="697"/>
      <c r="AA697" s="697"/>
      <c r="AB697" s="697"/>
      <c r="AC697" s="697"/>
      <c r="AD697" s="697"/>
      <c r="AE697" s="697"/>
      <c r="AF697" s="697"/>
      <c r="AG697" s="697"/>
      <c r="AH697" s="697"/>
      <c r="AI697" s="697"/>
      <c r="AJ697" s="697"/>
      <c r="AK697" s="697"/>
      <c r="AL697" s="697"/>
      <c r="AM697" s="697"/>
      <c r="AN697" s="697"/>
      <c r="AO697" s="697"/>
      <c r="AP697" s="697"/>
      <c r="AQ697" s="697"/>
      <c r="AR697" s="697"/>
      <c r="AS697" s="697"/>
      <c r="AT697" s="697"/>
      <c r="AU697" s="697"/>
      <c r="AV697" s="697"/>
      <c r="AW697" s="697"/>
      <c r="AX697" s="697"/>
      <c r="AY697" s="697"/>
      <c r="AZ697" s="697"/>
      <c r="BA697" s="697"/>
      <c r="BB697" s="697"/>
      <c r="BC697" s="697"/>
      <c r="BD697" s="697"/>
      <c r="BE697" s="697"/>
      <c r="BF697" s="697"/>
      <c r="BG697" s="697"/>
      <c r="BH697" s="697"/>
      <c r="BI697" s="697"/>
      <c r="BJ697" s="697"/>
      <c r="BK697" s="697"/>
      <c r="BL697" s="697"/>
      <c r="BM697" s="697"/>
      <c r="BN697" s="697"/>
      <c r="BO697" s="697"/>
      <c r="BP697" s="697"/>
      <c r="BQ697" s="697"/>
      <c r="BR697" s="697"/>
      <c r="BS697" s="697"/>
      <c r="BT697" s="697"/>
      <c r="BU697" s="697"/>
      <c r="BV697" s="697"/>
      <c r="BW697" s="697"/>
      <c r="BX697" s="697"/>
      <c r="BY697" s="697"/>
      <c r="BZ697" s="697"/>
      <c r="CA697" s="697"/>
      <c r="CB697" s="697"/>
      <c r="CC697" s="697"/>
      <c r="CD697" s="697"/>
      <c r="CE697" s="697"/>
      <c r="CF697" s="697"/>
      <c r="CG697" s="697"/>
      <c r="CH697" s="697"/>
      <c r="CI697" s="697"/>
      <c r="CJ697" s="697"/>
      <c r="CK697" s="697"/>
      <c r="CL697" s="697"/>
      <c r="CM697" s="697"/>
      <c r="CN697" s="697"/>
      <c r="CO697" s="697"/>
      <c r="CP697" s="697"/>
      <c r="CQ697" s="697"/>
      <c r="CR697" s="697"/>
      <c r="CS697" s="697"/>
      <c r="CT697" s="697"/>
      <c r="CU697" s="697"/>
      <c r="CV697" s="697"/>
      <c r="CW697" s="697"/>
      <c r="CX697" s="697"/>
      <c r="CY697" s="697"/>
      <c r="CZ697" s="697"/>
      <c r="DA697" s="697"/>
    </row>
    <row r="698" spans="1:105" x14ac:dyDescent="0.2">
      <c r="A698" s="709">
        <f t="shared" si="116"/>
        <v>41365</v>
      </c>
      <c r="B698" s="709" t="str">
        <f t="shared" si="113"/>
        <v>2Q13</v>
      </c>
      <c r="C698" s="709" t="str">
        <f t="shared" si="117"/>
        <v>2Q13</v>
      </c>
      <c r="D698" s="710">
        <f t="shared" si="121"/>
        <v>41439</v>
      </c>
      <c r="E698" s="710">
        <f t="shared" si="121"/>
        <v>41379</v>
      </c>
      <c r="F698" s="712">
        <v>3.9420000000000002</v>
      </c>
      <c r="G698" s="713">
        <f t="shared" si="114"/>
        <v>0.56000000000000028</v>
      </c>
      <c r="H698" s="713">
        <f t="shared" si="115"/>
        <v>0.55000000000000027</v>
      </c>
      <c r="I698" s="697"/>
      <c r="J698" s="697"/>
      <c r="K698" s="697"/>
      <c r="L698" s="697"/>
      <c r="M698" s="697"/>
      <c r="N698" s="697"/>
      <c r="O698" s="697"/>
      <c r="P698" s="697"/>
      <c r="Q698" s="697"/>
      <c r="R698" s="697"/>
      <c r="S698" s="697"/>
      <c r="T698" s="697"/>
      <c r="U698" s="697"/>
      <c r="V698" s="697"/>
      <c r="W698" s="697"/>
      <c r="X698" s="697"/>
      <c r="Y698" s="697"/>
      <c r="Z698" s="697"/>
      <c r="AA698" s="697"/>
      <c r="AB698" s="697"/>
      <c r="AC698" s="697"/>
      <c r="AD698" s="697"/>
      <c r="AE698" s="697"/>
      <c r="AF698" s="697"/>
      <c r="AG698" s="697"/>
      <c r="AH698" s="697"/>
      <c r="AI698" s="697"/>
      <c r="AJ698" s="697"/>
      <c r="AK698" s="697"/>
      <c r="AL698" s="697"/>
      <c r="AM698" s="697"/>
      <c r="AN698" s="697"/>
      <c r="AO698" s="697"/>
      <c r="AP698" s="697"/>
      <c r="AQ698" s="697"/>
      <c r="AR698" s="697"/>
      <c r="AS698" s="697"/>
      <c r="AT698" s="697"/>
      <c r="AU698" s="697"/>
      <c r="AV698" s="697"/>
      <c r="AW698" s="697"/>
      <c r="AX698" s="697"/>
      <c r="AY698" s="697"/>
      <c r="AZ698" s="697"/>
      <c r="BA698" s="697"/>
      <c r="BB698" s="697"/>
      <c r="BC698" s="697"/>
      <c r="BD698" s="697"/>
      <c r="BE698" s="697"/>
      <c r="BF698" s="697"/>
      <c r="BG698" s="697"/>
      <c r="BH698" s="697"/>
      <c r="BI698" s="697"/>
      <c r="BJ698" s="697"/>
      <c r="BK698" s="697"/>
      <c r="BL698" s="697"/>
      <c r="BM698" s="697"/>
      <c r="BN698" s="697"/>
      <c r="BO698" s="697"/>
      <c r="BP698" s="697"/>
      <c r="BQ698" s="697"/>
      <c r="BR698" s="697"/>
      <c r="BS698" s="697"/>
      <c r="BT698" s="697"/>
      <c r="BU698" s="697"/>
      <c r="BV698" s="697"/>
      <c r="BW698" s="697"/>
      <c r="BX698" s="697"/>
      <c r="BY698" s="697"/>
      <c r="BZ698" s="697"/>
      <c r="CA698" s="697"/>
      <c r="CB698" s="697"/>
      <c r="CC698" s="697"/>
      <c r="CD698" s="697"/>
      <c r="CE698" s="697"/>
      <c r="CF698" s="697"/>
      <c r="CG698" s="697"/>
      <c r="CH698" s="697"/>
      <c r="CI698" s="697"/>
      <c r="CJ698" s="697"/>
      <c r="CK698" s="697"/>
      <c r="CL698" s="697"/>
      <c r="CM698" s="697"/>
      <c r="CN698" s="697"/>
      <c r="CO698" s="697"/>
      <c r="CP698" s="697"/>
      <c r="CQ698" s="697"/>
      <c r="CR698" s="697"/>
      <c r="CS698" s="697"/>
      <c r="CT698" s="697"/>
      <c r="CU698" s="697"/>
      <c r="CV698" s="697"/>
      <c r="CW698" s="697"/>
      <c r="CX698" s="697"/>
      <c r="CY698" s="697"/>
      <c r="CZ698" s="697"/>
      <c r="DA698" s="697"/>
    </row>
    <row r="699" spans="1:105" x14ac:dyDescent="0.2">
      <c r="A699" s="709">
        <f t="shared" si="116"/>
        <v>41365</v>
      </c>
      <c r="B699" s="709" t="str">
        <f t="shared" si="113"/>
        <v>2Q13</v>
      </c>
      <c r="C699" s="709" t="str">
        <f t="shared" si="117"/>
        <v>2Q13</v>
      </c>
      <c r="D699" s="710">
        <f t="shared" si="121"/>
        <v>41446</v>
      </c>
      <c r="E699" s="710">
        <f t="shared" si="121"/>
        <v>41386</v>
      </c>
      <c r="F699" s="712">
        <v>3.887</v>
      </c>
      <c r="G699" s="713">
        <f t="shared" si="114"/>
        <v>0.55000000000000027</v>
      </c>
      <c r="H699" s="713">
        <f t="shared" si="115"/>
        <v>0.55000000000000027</v>
      </c>
      <c r="I699" s="697"/>
      <c r="J699" s="697"/>
      <c r="K699" s="697"/>
      <c r="L699" s="697"/>
      <c r="M699" s="697"/>
      <c r="N699" s="697"/>
      <c r="O699" s="697"/>
      <c r="P699" s="697"/>
      <c r="Q699" s="697"/>
      <c r="R699" s="697"/>
      <c r="S699" s="697"/>
      <c r="T699" s="697"/>
      <c r="U699" s="697"/>
      <c r="V699" s="697"/>
      <c r="W699" s="697"/>
      <c r="X699" s="697"/>
      <c r="Y699" s="697"/>
      <c r="Z699" s="697"/>
      <c r="AA699" s="697"/>
      <c r="AB699" s="697"/>
      <c r="AC699" s="697"/>
      <c r="AD699" s="697"/>
      <c r="AE699" s="697"/>
      <c r="AF699" s="697"/>
      <c r="AG699" s="697"/>
      <c r="AH699" s="697"/>
      <c r="AI699" s="697"/>
      <c r="AJ699" s="697"/>
      <c r="AK699" s="697"/>
      <c r="AL699" s="697"/>
      <c r="AM699" s="697"/>
      <c r="AN699" s="697"/>
      <c r="AO699" s="697"/>
      <c r="AP699" s="697"/>
      <c r="AQ699" s="697"/>
      <c r="AR699" s="697"/>
      <c r="AS699" s="697"/>
      <c r="AT699" s="697"/>
      <c r="AU699" s="697"/>
      <c r="AV699" s="697"/>
      <c r="AW699" s="697"/>
      <c r="AX699" s="697"/>
      <c r="AY699" s="697"/>
      <c r="AZ699" s="697"/>
      <c r="BA699" s="697"/>
      <c r="BB699" s="697"/>
      <c r="BC699" s="697"/>
      <c r="BD699" s="697"/>
      <c r="BE699" s="697"/>
      <c r="BF699" s="697"/>
      <c r="BG699" s="697"/>
      <c r="BH699" s="697"/>
      <c r="BI699" s="697"/>
      <c r="BJ699" s="697"/>
      <c r="BK699" s="697"/>
      <c r="BL699" s="697"/>
      <c r="BM699" s="697"/>
      <c r="BN699" s="697"/>
      <c r="BO699" s="697"/>
      <c r="BP699" s="697"/>
      <c r="BQ699" s="697"/>
      <c r="BR699" s="697"/>
      <c r="BS699" s="697"/>
      <c r="BT699" s="697"/>
      <c r="BU699" s="697"/>
      <c r="BV699" s="697"/>
      <c r="BW699" s="697"/>
      <c r="BX699" s="697"/>
      <c r="BY699" s="697"/>
      <c r="BZ699" s="697"/>
      <c r="CA699" s="697"/>
      <c r="CB699" s="697"/>
      <c r="CC699" s="697"/>
      <c r="CD699" s="697"/>
      <c r="CE699" s="697"/>
      <c r="CF699" s="697"/>
      <c r="CG699" s="697"/>
      <c r="CH699" s="697"/>
      <c r="CI699" s="697"/>
      <c r="CJ699" s="697"/>
      <c r="CK699" s="697"/>
      <c r="CL699" s="697"/>
      <c r="CM699" s="697"/>
      <c r="CN699" s="697"/>
      <c r="CO699" s="697"/>
      <c r="CP699" s="697"/>
      <c r="CQ699" s="697"/>
      <c r="CR699" s="697"/>
      <c r="CS699" s="697"/>
      <c r="CT699" s="697"/>
      <c r="CU699" s="697"/>
      <c r="CV699" s="697"/>
      <c r="CW699" s="697"/>
      <c r="CX699" s="697"/>
      <c r="CY699" s="697"/>
      <c r="CZ699" s="697"/>
      <c r="DA699" s="697"/>
    </row>
    <row r="700" spans="1:105" x14ac:dyDescent="0.2">
      <c r="A700" s="709">
        <f t="shared" si="116"/>
        <v>41365</v>
      </c>
      <c r="B700" s="709" t="str">
        <f t="shared" si="113"/>
        <v>2Q13</v>
      </c>
      <c r="C700" s="709" t="str">
        <f t="shared" si="117"/>
        <v>2Q13</v>
      </c>
      <c r="D700" s="710">
        <f t="shared" si="121"/>
        <v>41453</v>
      </c>
      <c r="E700" s="710">
        <f t="shared" si="121"/>
        <v>41393</v>
      </c>
      <c r="F700" s="712">
        <v>3.851</v>
      </c>
      <c r="G700" s="713">
        <f t="shared" si="114"/>
        <v>0.55000000000000027</v>
      </c>
      <c r="H700" s="713">
        <f t="shared" si="115"/>
        <v>0.54000000000000026</v>
      </c>
      <c r="I700" s="697"/>
      <c r="J700" s="697"/>
      <c r="K700" s="697"/>
      <c r="L700" s="697"/>
      <c r="M700" s="697"/>
      <c r="N700" s="697"/>
      <c r="O700" s="697"/>
      <c r="P700" s="697"/>
      <c r="Q700" s="697"/>
      <c r="R700" s="697"/>
      <c r="S700" s="697"/>
      <c r="T700" s="697"/>
      <c r="U700" s="697"/>
      <c r="V700" s="697"/>
      <c r="W700" s="697"/>
      <c r="X700" s="697"/>
      <c r="Y700" s="697"/>
      <c r="Z700" s="697"/>
      <c r="AA700" s="697"/>
      <c r="AB700" s="697"/>
      <c r="AC700" s="697"/>
      <c r="AD700" s="697"/>
      <c r="AE700" s="697"/>
      <c r="AF700" s="697"/>
      <c r="AG700" s="697"/>
      <c r="AH700" s="697"/>
      <c r="AI700" s="697"/>
      <c r="AJ700" s="697"/>
      <c r="AK700" s="697"/>
      <c r="AL700" s="697"/>
      <c r="AM700" s="697"/>
      <c r="AN700" s="697"/>
      <c r="AO700" s="697"/>
      <c r="AP700" s="697"/>
      <c r="AQ700" s="697"/>
      <c r="AR700" s="697"/>
      <c r="AS700" s="697"/>
      <c r="AT700" s="697"/>
      <c r="AU700" s="697"/>
      <c r="AV700" s="697"/>
      <c r="AW700" s="697"/>
      <c r="AX700" s="697"/>
      <c r="AY700" s="697"/>
      <c r="AZ700" s="697"/>
      <c r="BA700" s="697"/>
      <c r="BB700" s="697"/>
      <c r="BC700" s="697"/>
      <c r="BD700" s="697"/>
      <c r="BE700" s="697"/>
      <c r="BF700" s="697"/>
      <c r="BG700" s="697"/>
      <c r="BH700" s="697"/>
      <c r="BI700" s="697"/>
      <c r="BJ700" s="697"/>
      <c r="BK700" s="697"/>
      <c r="BL700" s="697"/>
      <c r="BM700" s="697"/>
      <c r="BN700" s="697"/>
      <c r="BO700" s="697"/>
      <c r="BP700" s="697"/>
      <c r="BQ700" s="697"/>
      <c r="BR700" s="697"/>
      <c r="BS700" s="697"/>
      <c r="BT700" s="697"/>
      <c r="BU700" s="697"/>
      <c r="BV700" s="697"/>
      <c r="BW700" s="697"/>
      <c r="BX700" s="697"/>
      <c r="BY700" s="697"/>
      <c r="BZ700" s="697"/>
      <c r="CA700" s="697"/>
      <c r="CB700" s="697"/>
      <c r="CC700" s="697"/>
      <c r="CD700" s="697"/>
      <c r="CE700" s="697"/>
      <c r="CF700" s="697"/>
      <c r="CG700" s="697"/>
      <c r="CH700" s="697"/>
      <c r="CI700" s="697"/>
      <c r="CJ700" s="697"/>
      <c r="CK700" s="697"/>
      <c r="CL700" s="697"/>
      <c r="CM700" s="697"/>
      <c r="CN700" s="697"/>
      <c r="CO700" s="697"/>
      <c r="CP700" s="697"/>
      <c r="CQ700" s="697"/>
      <c r="CR700" s="697"/>
      <c r="CS700" s="697"/>
      <c r="CT700" s="697"/>
      <c r="CU700" s="697"/>
      <c r="CV700" s="697"/>
      <c r="CW700" s="697"/>
      <c r="CX700" s="697"/>
      <c r="CY700" s="697"/>
      <c r="CZ700" s="697"/>
      <c r="DA700" s="697"/>
    </row>
    <row r="701" spans="1:105" x14ac:dyDescent="0.2">
      <c r="A701" s="709">
        <f t="shared" si="116"/>
        <v>41395</v>
      </c>
      <c r="B701" s="709" t="str">
        <f t="shared" si="113"/>
        <v>2Q13</v>
      </c>
      <c r="C701" s="709" t="str">
        <f t="shared" si="117"/>
        <v>3Q13</v>
      </c>
      <c r="D701" s="710">
        <f t="shared" si="121"/>
        <v>41460</v>
      </c>
      <c r="E701" s="710">
        <f t="shared" si="121"/>
        <v>41400</v>
      </c>
      <c r="F701" s="712">
        <v>3.8450000000000002</v>
      </c>
      <c r="G701" s="713">
        <f t="shared" si="114"/>
        <v>0.54000000000000026</v>
      </c>
      <c r="H701" s="713">
        <f t="shared" si="115"/>
        <v>0.55000000000000027</v>
      </c>
      <c r="I701" s="697"/>
      <c r="J701" s="697"/>
      <c r="K701" s="697"/>
      <c r="L701" s="697"/>
      <c r="M701" s="697"/>
      <c r="N701" s="697"/>
      <c r="O701" s="697"/>
      <c r="P701" s="697"/>
      <c r="Q701" s="697"/>
      <c r="R701" s="697"/>
      <c r="S701" s="697"/>
      <c r="T701" s="697"/>
      <c r="U701" s="697"/>
      <c r="V701" s="697"/>
      <c r="W701" s="697"/>
      <c r="X701" s="697"/>
      <c r="Y701" s="697"/>
      <c r="Z701" s="697"/>
      <c r="AA701" s="697"/>
      <c r="AB701" s="697"/>
      <c r="AC701" s="697"/>
      <c r="AD701" s="697"/>
      <c r="AE701" s="697"/>
      <c r="AF701" s="697"/>
      <c r="AG701" s="697"/>
      <c r="AH701" s="697"/>
      <c r="AI701" s="697"/>
      <c r="AJ701" s="697"/>
      <c r="AK701" s="697"/>
      <c r="AL701" s="697"/>
      <c r="AM701" s="697"/>
      <c r="AN701" s="697"/>
      <c r="AO701" s="697"/>
      <c r="AP701" s="697"/>
      <c r="AQ701" s="697"/>
      <c r="AR701" s="697"/>
      <c r="AS701" s="697"/>
      <c r="AT701" s="697"/>
      <c r="AU701" s="697"/>
      <c r="AV701" s="697"/>
      <c r="AW701" s="697"/>
      <c r="AX701" s="697"/>
      <c r="AY701" s="697"/>
      <c r="AZ701" s="697"/>
      <c r="BA701" s="697"/>
      <c r="BB701" s="697"/>
      <c r="BC701" s="697"/>
      <c r="BD701" s="697"/>
      <c r="BE701" s="697"/>
      <c r="BF701" s="697"/>
      <c r="BG701" s="697"/>
      <c r="BH701" s="697"/>
      <c r="BI701" s="697"/>
      <c r="BJ701" s="697"/>
      <c r="BK701" s="697"/>
      <c r="BL701" s="697"/>
      <c r="BM701" s="697"/>
      <c r="BN701" s="697"/>
      <c r="BO701" s="697"/>
      <c r="BP701" s="697"/>
      <c r="BQ701" s="697"/>
      <c r="BR701" s="697"/>
      <c r="BS701" s="697"/>
      <c r="BT701" s="697"/>
      <c r="BU701" s="697"/>
      <c r="BV701" s="697"/>
      <c r="BW701" s="697"/>
      <c r="BX701" s="697"/>
      <c r="BY701" s="697"/>
      <c r="BZ701" s="697"/>
      <c r="CA701" s="697"/>
      <c r="CB701" s="697"/>
      <c r="CC701" s="697"/>
      <c r="CD701" s="697"/>
      <c r="CE701" s="697"/>
      <c r="CF701" s="697"/>
      <c r="CG701" s="697"/>
      <c r="CH701" s="697"/>
      <c r="CI701" s="697"/>
      <c r="CJ701" s="697"/>
      <c r="CK701" s="697"/>
      <c r="CL701" s="697"/>
      <c r="CM701" s="697"/>
      <c r="CN701" s="697"/>
      <c r="CO701" s="697"/>
      <c r="CP701" s="697"/>
      <c r="CQ701" s="697"/>
      <c r="CR701" s="697"/>
      <c r="CS701" s="697"/>
      <c r="CT701" s="697"/>
      <c r="CU701" s="697"/>
      <c r="CV701" s="697"/>
      <c r="CW701" s="697"/>
      <c r="CX701" s="697"/>
      <c r="CY701" s="697"/>
      <c r="CZ701" s="697"/>
      <c r="DA701" s="697"/>
    </row>
    <row r="702" spans="1:105" x14ac:dyDescent="0.2">
      <c r="A702" s="709">
        <f t="shared" si="116"/>
        <v>41395</v>
      </c>
      <c r="B702" s="709" t="str">
        <f t="shared" si="113"/>
        <v>2Q13</v>
      </c>
      <c r="C702" s="709" t="str">
        <f t="shared" si="117"/>
        <v>3Q13</v>
      </c>
      <c r="D702" s="710">
        <f t="shared" si="121"/>
        <v>41467</v>
      </c>
      <c r="E702" s="710">
        <f t="shared" si="121"/>
        <v>41407</v>
      </c>
      <c r="F702" s="712">
        <v>3.8660000000000001</v>
      </c>
      <c r="G702" s="713">
        <f t="shared" si="114"/>
        <v>0.55000000000000027</v>
      </c>
      <c r="H702" s="713">
        <f t="shared" si="115"/>
        <v>0.55000000000000027</v>
      </c>
      <c r="I702" s="697"/>
      <c r="J702" s="697"/>
      <c r="K702" s="697"/>
      <c r="L702" s="697"/>
      <c r="M702" s="697"/>
      <c r="N702" s="697"/>
      <c r="O702" s="697"/>
      <c r="P702" s="697"/>
      <c r="Q702" s="697"/>
      <c r="R702" s="697"/>
      <c r="S702" s="697"/>
      <c r="T702" s="697"/>
      <c r="U702" s="697"/>
      <c r="V702" s="697"/>
      <c r="W702" s="697"/>
      <c r="X702" s="697"/>
      <c r="Y702" s="697"/>
      <c r="Z702" s="697"/>
      <c r="AA702" s="697"/>
      <c r="AB702" s="697"/>
      <c r="AC702" s="697"/>
      <c r="AD702" s="697"/>
      <c r="AE702" s="697"/>
      <c r="AF702" s="697"/>
      <c r="AG702" s="697"/>
      <c r="AH702" s="697"/>
      <c r="AI702" s="697"/>
      <c r="AJ702" s="697"/>
      <c r="AK702" s="697"/>
      <c r="AL702" s="697"/>
      <c r="AM702" s="697"/>
      <c r="AN702" s="697"/>
      <c r="AO702" s="697"/>
      <c r="AP702" s="697"/>
      <c r="AQ702" s="697"/>
      <c r="AR702" s="697"/>
      <c r="AS702" s="697"/>
      <c r="AT702" s="697"/>
      <c r="AU702" s="697"/>
      <c r="AV702" s="697"/>
      <c r="AW702" s="697"/>
      <c r="AX702" s="697"/>
      <c r="AY702" s="697"/>
      <c r="AZ702" s="697"/>
      <c r="BA702" s="697"/>
      <c r="BB702" s="697"/>
      <c r="BC702" s="697"/>
      <c r="BD702" s="697"/>
      <c r="BE702" s="697"/>
      <c r="BF702" s="697"/>
      <c r="BG702" s="697"/>
      <c r="BH702" s="697"/>
      <c r="BI702" s="697"/>
      <c r="BJ702" s="697"/>
      <c r="BK702" s="697"/>
      <c r="BL702" s="697"/>
      <c r="BM702" s="697"/>
      <c r="BN702" s="697"/>
      <c r="BO702" s="697"/>
      <c r="BP702" s="697"/>
      <c r="BQ702" s="697"/>
      <c r="BR702" s="697"/>
      <c r="BS702" s="697"/>
      <c r="BT702" s="697"/>
      <c r="BU702" s="697"/>
      <c r="BV702" s="697"/>
      <c r="BW702" s="697"/>
      <c r="BX702" s="697"/>
      <c r="BY702" s="697"/>
      <c r="BZ702" s="697"/>
      <c r="CA702" s="697"/>
      <c r="CB702" s="697"/>
      <c r="CC702" s="697"/>
      <c r="CD702" s="697"/>
      <c r="CE702" s="697"/>
      <c r="CF702" s="697"/>
      <c r="CG702" s="697"/>
      <c r="CH702" s="697"/>
      <c r="CI702" s="697"/>
      <c r="CJ702" s="697"/>
      <c r="CK702" s="697"/>
      <c r="CL702" s="697"/>
      <c r="CM702" s="697"/>
      <c r="CN702" s="697"/>
      <c r="CO702" s="697"/>
      <c r="CP702" s="697"/>
      <c r="CQ702" s="697"/>
      <c r="CR702" s="697"/>
      <c r="CS702" s="697"/>
      <c r="CT702" s="697"/>
      <c r="CU702" s="697"/>
      <c r="CV702" s="697"/>
      <c r="CW702" s="697"/>
      <c r="CX702" s="697"/>
      <c r="CY702" s="697"/>
      <c r="CZ702" s="697"/>
      <c r="DA702" s="697"/>
    </row>
    <row r="703" spans="1:105" x14ac:dyDescent="0.2">
      <c r="A703" s="709">
        <f t="shared" si="116"/>
        <v>41395</v>
      </c>
      <c r="B703" s="709" t="str">
        <f t="shared" si="113"/>
        <v>2Q13</v>
      </c>
      <c r="C703" s="709" t="str">
        <f t="shared" si="117"/>
        <v>3Q13</v>
      </c>
      <c r="D703" s="710">
        <f t="shared" si="121"/>
        <v>41474</v>
      </c>
      <c r="E703" s="710">
        <f t="shared" si="121"/>
        <v>41414</v>
      </c>
      <c r="F703" s="712">
        <v>3.89</v>
      </c>
      <c r="G703" s="713">
        <f t="shared" si="114"/>
        <v>0.55000000000000027</v>
      </c>
      <c r="H703" s="713">
        <f t="shared" si="115"/>
        <v>0.55000000000000027</v>
      </c>
      <c r="I703" s="697"/>
      <c r="J703" s="697"/>
      <c r="K703" s="697"/>
      <c r="L703" s="697"/>
      <c r="M703" s="697"/>
      <c r="N703" s="697"/>
      <c r="O703" s="697"/>
      <c r="P703" s="697"/>
      <c r="Q703" s="697"/>
      <c r="R703" s="697"/>
      <c r="S703" s="697"/>
      <c r="T703" s="697"/>
      <c r="U703" s="697"/>
      <c r="V703" s="697"/>
      <c r="W703" s="697"/>
      <c r="X703" s="697"/>
      <c r="Y703" s="697"/>
      <c r="Z703" s="697"/>
      <c r="AA703" s="697"/>
      <c r="AB703" s="697"/>
      <c r="AC703" s="697"/>
      <c r="AD703" s="697"/>
      <c r="AE703" s="697"/>
      <c r="AF703" s="697"/>
      <c r="AG703" s="697"/>
      <c r="AH703" s="697"/>
      <c r="AI703" s="697"/>
      <c r="AJ703" s="697"/>
      <c r="AK703" s="697"/>
      <c r="AL703" s="697"/>
      <c r="AM703" s="697"/>
      <c r="AN703" s="697"/>
      <c r="AO703" s="697"/>
      <c r="AP703" s="697"/>
      <c r="AQ703" s="697"/>
      <c r="AR703" s="697"/>
      <c r="AS703" s="697"/>
      <c r="AT703" s="697"/>
      <c r="AU703" s="697"/>
      <c r="AV703" s="697"/>
      <c r="AW703" s="697"/>
      <c r="AX703" s="697"/>
      <c r="AY703" s="697"/>
      <c r="AZ703" s="697"/>
      <c r="BA703" s="697"/>
      <c r="BB703" s="697"/>
      <c r="BC703" s="697"/>
      <c r="BD703" s="697"/>
      <c r="BE703" s="697"/>
      <c r="BF703" s="697"/>
      <c r="BG703" s="697"/>
      <c r="BH703" s="697"/>
      <c r="BI703" s="697"/>
      <c r="BJ703" s="697"/>
      <c r="BK703" s="697"/>
      <c r="BL703" s="697"/>
      <c r="BM703" s="697"/>
      <c r="BN703" s="697"/>
      <c r="BO703" s="697"/>
      <c r="BP703" s="697"/>
      <c r="BQ703" s="697"/>
      <c r="BR703" s="697"/>
      <c r="BS703" s="697"/>
      <c r="BT703" s="697"/>
      <c r="BU703" s="697"/>
      <c r="BV703" s="697"/>
      <c r="BW703" s="697"/>
      <c r="BX703" s="697"/>
      <c r="BY703" s="697"/>
      <c r="BZ703" s="697"/>
      <c r="CA703" s="697"/>
      <c r="CB703" s="697"/>
      <c r="CC703" s="697"/>
      <c r="CD703" s="697"/>
      <c r="CE703" s="697"/>
      <c r="CF703" s="697"/>
      <c r="CG703" s="697"/>
      <c r="CH703" s="697"/>
      <c r="CI703" s="697"/>
      <c r="CJ703" s="697"/>
      <c r="CK703" s="697"/>
      <c r="CL703" s="697"/>
      <c r="CM703" s="697"/>
      <c r="CN703" s="697"/>
      <c r="CO703" s="697"/>
      <c r="CP703" s="697"/>
      <c r="CQ703" s="697"/>
      <c r="CR703" s="697"/>
      <c r="CS703" s="697"/>
      <c r="CT703" s="697"/>
      <c r="CU703" s="697"/>
      <c r="CV703" s="697"/>
      <c r="CW703" s="697"/>
      <c r="CX703" s="697"/>
      <c r="CY703" s="697"/>
      <c r="CZ703" s="697"/>
      <c r="DA703" s="697"/>
    </row>
    <row r="704" spans="1:105" x14ac:dyDescent="0.2">
      <c r="A704" s="709">
        <f t="shared" si="116"/>
        <v>41395</v>
      </c>
      <c r="B704" s="709" t="str">
        <f t="shared" si="113"/>
        <v>2Q13</v>
      </c>
      <c r="C704" s="709" t="str">
        <f t="shared" si="117"/>
        <v>3Q13</v>
      </c>
      <c r="D704" s="710">
        <f t="shared" si="121"/>
        <v>41481</v>
      </c>
      <c r="E704" s="710">
        <f t="shared" si="121"/>
        <v>41421</v>
      </c>
      <c r="F704" s="712">
        <v>3.88</v>
      </c>
      <c r="G704" s="713">
        <f t="shared" si="114"/>
        <v>0.55000000000000027</v>
      </c>
      <c r="H704" s="713">
        <f t="shared" si="115"/>
        <v>0.55000000000000027</v>
      </c>
      <c r="I704" s="697"/>
      <c r="J704" s="697"/>
      <c r="K704" s="697"/>
      <c r="L704" s="697"/>
      <c r="M704" s="697"/>
      <c r="N704" s="697"/>
      <c r="O704" s="697"/>
      <c r="P704" s="697"/>
      <c r="Q704" s="697"/>
      <c r="R704" s="697"/>
      <c r="S704" s="697"/>
      <c r="T704" s="697"/>
      <c r="U704" s="697"/>
      <c r="V704" s="697"/>
      <c r="W704" s="697"/>
      <c r="X704" s="697"/>
      <c r="Y704" s="697"/>
      <c r="Z704" s="697"/>
      <c r="AA704" s="697"/>
      <c r="AB704" s="697"/>
      <c r="AC704" s="697"/>
      <c r="AD704" s="697"/>
      <c r="AE704" s="697"/>
      <c r="AF704" s="697"/>
      <c r="AG704" s="697"/>
      <c r="AH704" s="697"/>
      <c r="AI704" s="697"/>
      <c r="AJ704" s="697"/>
      <c r="AK704" s="697"/>
      <c r="AL704" s="697"/>
      <c r="AM704" s="697"/>
      <c r="AN704" s="697"/>
      <c r="AO704" s="697"/>
      <c r="AP704" s="697"/>
      <c r="AQ704" s="697"/>
      <c r="AR704" s="697"/>
      <c r="AS704" s="697"/>
      <c r="AT704" s="697"/>
      <c r="AU704" s="697"/>
      <c r="AV704" s="697"/>
      <c r="AW704" s="697"/>
      <c r="AX704" s="697"/>
      <c r="AY704" s="697"/>
      <c r="AZ704" s="697"/>
      <c r="BA704" s="697"/>
      <c r="BB704" s="697"/>
      <c r="BC704" s="697"/>
      <c r="BD704" s="697"/>
      <c r="BE704" s="697"/>
      <c r="BF704" s="697"/>
      <c r="BG704" s="697"/>
      <c r="BH704" s="697"/>
      <c r="BI704" s="697"/>
      <c r="BJ704" s="697"/>
      <c r="BK704" s="697"/>
      <c r="BL704" s="697"/>
      <c r="BM704" s="697"/>
      <c r="BN704" s="697"/>
      <c r="BO704" s="697"/>
      <c r="BP704" s="697"/>
      <c r="BQ704" s="697"/>
      <c r="BR704" s="697"/>
      <c r="BS704" s="697"/>
      <c r="BT704" s="697"/>
      <c r="BU704" s="697"/>
      <c r="BV704" s="697"/>
      <c r="BW704" s="697"/>
      <c r="BX704" s="697"/>
      <c r="BY704" s="697"/>
      <c r="BZ704" s="697"/>
      <c r="CA704" s="697"/>
      <c r="CB704" s="697"/>
      <c r="CC704" s="697"/>
      <c r="CD704" s="697"/>
      <c r="CE704" s="697"/>
      <c r="CF704" s="697"/>
      <c r="CG704" s="697"/>
      <c r="CH704" s="697"/>
      <c r="CI704" s="697"/>
      <c r="CJ704" s="697"/>
      <c r="CK704" s="697"/>
      <c r="CL704" s="697"/>
      <c r="CM704" s="697"/>
      <c r="CN704" s="697"/>
      <c r="CO704" s="697"/>
      <c r="CP704" s="697"/>
      <c r="CQ704" s="697"/>
      <c r="CR704" s="697"/>
      <c r="CS704" s="697"/>
      <c r="CT704" s="697"/>
      <c r="CU704" s="697"/>
      <c r="CV704" s="697"/>
      <c r="CW704" s="697"/>
      <c r="CX704" s="697"/>
      <c r="CY704" s="697"/>
      <c r="CZ704" s="697"/>
      <c r="DA704" s="697"/>
    </row>
    <row r="705" spans="1:105" x14ac:dyDescent="0.2">
      <c r="A705" s="709">
        <f t="shared" si="116"/>
        <v>41426</v>
      </c>
      <c r="B705" s="709" t="str">
        <f t="shared" si="113"/>
        <v>2Q13</v>
      </c>
      <c r="C705" s="709" t="str">
        <f t="shared" si="117"/>
        <v>3Q13</v>
      </c>
      <c r="D705" s="710">
        <f t="shared" si="121"/>
        <v>41488</v>
      </c>
      <c r="E705" s="710">
        <f t="shared" si="121"/>
        <v>41428</v>
      </c>
      <c r="F705" s="712">
        <v>3.8690000000000002</v>
      </c>
      <c r="G705" s="713">
        <f t="shared" si="114"/>
        <v>0.55000000000000027</v>
      </c>
      <c r="H705" s="713">
        <f t="shared" si="115"/>
        <v>0.54000000000000026</v>
      </c>
      <c r="I705" s="697"/>
      <c r="J705" s="697"/>
      <c r="K705" s="697"/>
      <c r="L705" s="697"/>
      <c r="M705" s="697"/>
      <c r="N705" s="697"/>
      <c r="O705" s="697"/>
      <c r="P705" s="697"/>
      <c r="Q705" s="697"/>
      <c r="R705" s="697"/>
      <c r="S705" s="697"/>
      <c r="T705" s="697"/>
      <c r="U705" s="697"/>
      <c r="V705" s="697"/>
      <c r="W705" s="697"/>
      <c r="X705" s="697"/>
      <c r="Y705" s="697"/>
      <c r="Z705" s="697"/>
      <c r="AA705" s="697"/>
      <c r="AB705" s="697"/>
      <c r="AC705" s="697"/>
      <c r="AD705" s="697"/>
      <c r="AE705" s="697"/>
      <c r="AF705" s="697"/>
      <c r="AG705" s="697"/>
      <c r="AH705" s="697"/>
      <c r="AI705" s="697"/>
      <c r="AJ705" s="697"/>
      <c r="AK705" s="697"/>
      <c r="AL705" s="697"/>
      <c r="AM705" s="697"/>
      <c r="AN705" s="697"/>
      <c r="AO705" s="697"/>
      <c r="AP705" s="697"/>
      <c r="AQ705" s="697"/>
      <c r="AR705" s="697"/>
      <c r="AS705" s="697"/>
      <c r="AT705" s="697"/>
      <c r="AU705" s="697"/>
      <c r="AV705" s="697"/>
      <c r="AW705" s="697"/>
      <c r="AX705" s="697"/>
      <c r="AY705" s="697"/>
      <c r="AZ705" s="697"/>
      <c r="BA705" s="697"/>
      <c r="BB705" s="697"/>
      <c r="BC705" s="697"/>
      <c r="BD705" s="697"/>
      <c r="BE705" s="697"/>
      <c r="BF705" s="697"/>
      <c r="BG705" s="697"/>
      <c r="BH705" s="697"/>
      <c r="BI705" s="697"/>
      <c r="BJ705" s="697"/>
      <c r="BK705" s="697"/>
      <c r="BL705" s="697"/>
      <c r="BM705" s="697"/>
      <c r="BN705" s="697"/>
      <c r="BO705" s="697"/>
      <c r="BP705" s="697"/>
      <c r="BQ705" s="697"/>
      <c r="BR705" s="697"/>
      <c r="BS705" s="697"/>
      <c r="BT705" s="697"/>
      <c r="BU705" s="697"/>
      <c r="BV705" s="697"/>
      <c r="BW705" s="697"/>
      <c r="BX705" s="697"/>
      <c r="BY705" s="697"/>
      <c r="BZ705" s="697"/>
      <c r="CA705" s="697"/>
      <c r="CB705" s="697"/>
      <c r="CC705" s="697"/>
      <c r="CD705" s="697"/>
      <c r="CE705" s="697"/>
      <c r="CF705" s="697"/>
      <c r="CG705" s="697"/>
      <c r="CH705" s="697"/>
      <c r="CI705" s="697"/>
      <c r="CJ705" s="697"/>
      <c r="CK705" s="697"/>
      <c r="CL705" s="697"/>
      <c r="CM705" s="697"/>
      <c r="CN705" s="697"/>
      <c r="CO705" s="697"/>
      <c r="CP705" s="697"/>
      <c r="CQ705" s="697"/>
      <c r="CR705" s="697"/>
      <c r="CS705" s="697"/>
      <c r="CT705" s="697"/>
      <c r="CU705" s="697"/>
      <c r="CV705" s="697"/>
      <c r="CW705" s="697"/>
      <c r="CX705" s="697"/>
      <c r="CY705" s="697"/>
      <c r="CZ705" s="697"/>
      <c r="DA705" s="697"/>
    </row>
    <row r="706" spans="1:105" x14ac:dyDescent="0.2">
      <c r="A706" s="709">
        <f t="shared" si="116"/>
        <v>41426</v>
      </c>
      <c r="B706" s="709" t="str">
        <f t="shared" si="113"/>
        <v>2Q13</v>
      </c>
      <c r="C706" s="709" t="str">
        <f t="shared" si="117"/>
        <v>3Q13</v>
      </c>
      <c r="D706" s="710">
        <f t="shared" si="121"/>
        <v>41495</v>
      </c>
      <c r="E706" s="710">
        <f t="shared" si="121"/>
        <v>41435</v>
      </c>
      <c r="F706" s="712">
        <v>3.8490000000000002</v>
      </c>
      <c r="G706" s="713">
        <f t="shared" si="114"/>
        <v>0.54000000000000026</v>
      </c>
      <c r="H706" s="713">
        <f t="shared" si="115"/>
        <v>0.54000000000000026</v>
      </c>
      <c r="I706" s="697"/>
      <c r="J706" s="697"/>
      <c r="K706" s="697"/>
      <c r="L706" s="697"/>
      <c r="M706" s="697"/>
      <c r="N706" s="697"/>
      <c r="O706" s="697"/>
      <c r="P706" s="697"/>
      <c r="Q706" s="697"/>
      <c r="R706" s="697"/>
      <c r="S706" s="697"/>
      <c r="T706" s="697"/>
      <c r="U706" s="697"/>
      <c r="V706" s="697"/>
      <c r="W706" s="697"/>
      <c r="X706" s="697"/>
      <c r="Y706" s="697"/>
      <c r="Z706" s="697"/>
      <c r="AA706" s="697"/>
      <c r="AB706" s="697"/>
      <c r="AC706" s="697"/>
      <c r="AD706" s="697"/>
      <c r="AE706" s="697"/>
      <c r="AF706" s="697"/>
      <c r="AG706" s="697"/>
      <c r="AH706" s="697"/>
      <c r="AI706" s="697"/>
      <c r="AJ706" s="697"/>
      <c r="AK706" s="697"/>
      <c r="AL706" s="697"/>
      <c r="AM706" s="697"/>
      <c r="AN706" s="697"/>
      <c r="AO706" s="697"/>
      <c r="AP706" s="697"/>
      <c r="AQ706" s="697"/>
      <c r="AR706" s="697"/>
      <c r="AS706" s="697"/>
      <c r="AT706" s="697"/>
      <c r="AU706" s="697"/>
      <c r="AV706" s="697"/>
      <c r="AW706" s="697"/>
      <c r="AX706" s="697"/>
      <c r="AY706" s="697"/>
      <c r="AZ706" s="697"/>
      <c r="BA706" s="697"/>
      <c r="BB706" s="697"/>
      <c r="BC706" s="697"/>
      <c r="BD706" s="697"/>
      <c r="BE706" s="697"/>
      <c r="BF706" s="697"/>
      <c r="BG706" s="697"/>
      <c r="BH706" s="697"/>
      <c r="BI706" s="697"/>
      <c r="BJ706" s="697"/>
      <c r="BK706" s="697"/>
      <c r="BL706" s="697"/>
      <c r="BM706" s="697"/>
      <c r="BN706" s="697"/>
      <c r="BO706" s="697"/>
      <c r="BP706" s="697"/>
      <c r="BQ706" s="697"/>
      <c r="BR706" s="697"/>
      <c r="BS706" s="697"/>
      <c r="BT706" s="697"/>
      <c r="BU706" s="697"/>
      <c r="BV706" s="697"/>
      <c r="BW706" s="697"/>
      <c r="BX706" s="697"/>
      <c r="BY706" s="697"/>
      <c r="BZ706" s="697"/>
      <c r="CA706" s="697"/>
      <c r="CB706" s="697"/>
      <c r="CC706" s="697"/>
      <c r="CD706" s="697"/>
      <c r="CE706" s="697"/>
      <c r="CF706" s="697"/>
      <c r="CG706" s="697"/>
      <c r="CH706" s="697"/>
      <c r="CI706" s="697"/>
      <c r="CJ706" s="697"/>
      <c r="CK706" s="697"/>
      <c r="CL706" s="697"/>
      <c r="CM706" s="697"/>
      <c r="CN706" s="697"/>
      <c r="CO706" s="697"/>
      <c r="CP706" s="697"/>
      <c r="CQ706" s="697"/>
      <c r="CR706" s="697"/>
      <c r="CS706" s="697"/>
      <c r="CT706" s="697"/>
      <c r="CU706" s="697"/>
      <c r="CV706" s="697"/>
      <c r="CW706" s="697"/>
      <c r="CX706" s="697"/>
      <c r="CY706" s="697"/>
      <c r="CZ706" s="697"/>
      <c r="DA706" s="697"/>
    </row>
    <row r="707" spans="1:105" x14ac:dyDescent="0.2">
      <c r="A707" s="709">
        <f t="shared" si="116"/>
        <v>41426</v>
      </c>
      <c r="B707" s="709" t="str">
        <f t="shared" si="113"/>
        <v>2Q13</v>
      </c>
      <c r="C707" s="709" t="str">
        <f t="shared" si="117"/>
        <v>3Q13</v>
      </c>
      <c r="D707" s="710">
        <f t="shared" si="121"/>
        <v>41502</v>
      </c>
      <c r="E707" s="710">
        <f t="shared" si="121"/>
        <v>41442</v>
      </c>
      <c r="F707" s="712">
        <v>3.8410000000000002</v>
      </c>
      <c r="G707" s="713">
        <f t="shared" si="114"/>
        <v>0.54000000000000026</v>
      </c>
      <c r="H707" s="713">
        <f t="shared" si="115"/>
        <v>0.54000000000000026</v>
      </c>
      <c r="I707" s="697"/>
      <c r="J707" s="697"/>
      <c r="K707" s="697"/>
      <c r="L707" s="697"/>
      <c r="M707" s="697"/>
      <c r="N707" s="697"/>
      <c r="O707" s="697"/>
      <c r="P707" s="697"/>
      <c r="Q707" s="697"/>
      <c r="R707" s="697"/>
      <c r="S707" s="697"/>
      <c r="T707" s="697"/>
      <c r="U707" s="697"/>
      <c r="V707" s="697"/>
      <c r="W707" s="697"/>
      <c r="X707" s="697"/>
      <c r="Y707" s="697"/>
      <c r="Z707" s="697"/>
      <c r="AA707" s="697"/>
      <c r="AB707" s="697"/>
      <c r="AC707" s="697"/>
      <c r="AD707" s="697"/>
      <c r="AE707" s="697"/>
      <c r="AF707" s="697"/>
      <c r="AG707" s="697"/>
      <c r="AH707" s="697"/>
      <c r="AI707" s="697"/>
      <c r="AJ707" s="697"/>
      <c r="AK707" s="697"/>
      <c r="AL707" s="697"/>
      <c r="AM707" s="697"/>
      <c r="AN707" s="697"/>
      <c r="AO707" s="697"/>
      <c r="AP707" s="697"/>
      <c r="AQ707" s="697"/>
      <c r="AR707" s="697"/>
      <c r="AS707" s="697"/>
      <c r="AT707" s="697"/>
      <c r="AU707" s="697"/>
      <c r="AV707" s="697"/>
      <c r="AW707" s="697"/>
      <c r="AX707" s="697"/>
      <c r="AY707" s="697"/>
      <c r="AZ707" s="697"/>
      <c r="BA707" s="697"/>
      <c r="BB707" s="697"/>
      <c r="BC707" s="697"/>
      <c r="BD707" s="697"/>
      <c r="BE707" s="697"/>
      <c r="BF707" s="697"/>
      <c r="BG707" s="697"/>
      <c r="BH707" s="697"/>
      <c r="BI707" s="697"/>
      <c r="BJ707" s="697"/>
      <c r="BK707" s="697"/>
      <c r="BL707" s="697"/>
      <c r="BM707" s="697"/>
      <c r="BN707" s="697"/>
      <c r="BO707" s="697"/>
      <c r="BP707" s="697"/>
      <c r="BQ707" s="697"/>
      <c r="BR707" s="697"/>
      <c r="BS707" s="697"/>
      <c r="BT707" s="697"/>
      <c r="BU707" s="697"/>
      <c r="BV707" s="697"/>
      <c r="BW707" s="697"/>
      <c r="BX707" s="697"/>
      <c r="BY707" s="697"/>
      <c r="BZ707" s="697"/>
      <c r="CA707" s="697"/>
      <c r="CB707" s="697"/>
      <c r="CC707" s="697"/>
      <c r="CD707" s="697"/>
      <c r="CE707" s="697"/>
      <c r="CF707" s="697"/>
      <c r="CG707" s="697"/>
      <c r="CH707" s="697"/>
      <c r="CI707" s="697"/>
      <c r="CJ707" s="697"/>
      <c r="CK707" s="697"/>
      <c r="CL707" s="697"/>
      <c r="CM707" s="697"/>
      <c r="CN707" s="697"/>
      <c r="CO707" s="697"/>
      <c r="CP707" s="697"/>
      <c r="CQ707" s="697"/>
      <c r="CR707" s="697"/>
      <c r="CS707" s="697"/>
      <c r="CT707" s="697"/>
      <c r="CU707" s="697"/>
      <c r="CV707" s="697"/>
      <c r="CW707" s="697"/>
      <c r="CX707" s="697"/>
      <c r="CY707" s="697"/>
      <c r="CZ707" s="697"/>
      <c r="DA707" s="697"/>
    </row>
    <row r="708" spans="1:105" x14ac:dyDescent="0.2">
      <c r="A708" s="709">
        <f t="shared" si="116"/>
        <v>41426</v>
      </c>
      <c r="B708" s="709" t="str">
        <f t="shared" ref="B708:B771" si="122">VLOOKUP(MONTH(A708),$N$4:$O$16,2,FALSE) &amp; "Q" &amp; RIGHT(YEAR(A708),2)</f>
        <v>2Q13</v>
      </c>
      <c r="C708" s="709" t="str">
        <f t="shared" si="117"/>
        <v>3Q13</v>
      </c>
      <c r="D708" s="710">
        <f t="shared" si="121"/>
        <v>41509</v>
      </c>
      <c r="E708" s="710">
        <f t="shared" si="121"/>
        <v>41449</v>
      </c>
      <c r="F708" s="712">
        <v>3.8380000000000001</v>
      </c>
      <c r="G708" s="713">
        <f t="shared" ref="G708:G771" si="123">INDEX($I$4:$K$153,MATCH(F708,$I$4:$I$153,1),3)</f>
        <v>0.54000000000000026</v>
      </c>
      <c r="H708" s="713">
        <f t="shared" ref="H708:H771" si="124">G709</f>
        <v>0.54000000000000026</v>
      </c>
      <c r="I708" s="697"/>
      <c r="J708" s="697"/>
      <c r="K708" s="697"/>
      <c r="L708" s="697"/>
      <c r="M708" s="697"/>
      <c r="N708" s="697"/>
      <c r="O708" s="697"/>
      <c r="P708" s="697"/>
      <c r="Q708" s="697"/>
      <c r="R708" s="697"/>
      <c r="S708" s="697"/>
      <c r="T708" s="697"/>
      <c r="U708" s="697"/>
      <c r="V708" s="697"/>
      <c r="W708" s="697"/>
      <c r="X708" s="697"/>
      <c r="Y708" s="697"/>
      <c r="Z708" s="697"/>
      <c r="AA708" s="697"/>
      <c r="AB708" s="697"/>
      <c r="AC708" s="697"/>
      <c r="AD708" s="697"/>
      <c r="AE708" s="697"/>
      <c r="AF708" s="697"/>
      <c r="AG708" s="697"/>
      <c r="AH708" s="697"/>
      <c r="AI708" s="697"/>
      <c r="AJ708" s="697"/>
      <c r="AK708" s="697"/>
      <c r="AL708" s="697"/>
      <c r="AM708" s="697"/>
      <c r="AN708" s="697"/>
      <c r="AO708" s="697"/>
      <c r="AP708" s="697"/>
      <c r="AQ708" s="697"/>
      <c r="AR708" s="697"/>
      <c r="AS708" s="697"/>
      <c r="AT708" s="697"/>
      <c r="AU708" s="697"/>
      <c r="AV708" s="697"/>
      <c r="AW708" s="697"/>
      <c r="AX708" s="697"/>
      <c r="AY708" s="697"/>
      <c r="AZ708" s="697"/>
      <c r="BA708" s="697"/>
      <c r="BB708" s="697"/>
      <c r="BC708" s="697"/>
      <c r="BD708" s="697"/>
      <c r="BE708" s="697"/>
      <c r="BF708" s="697"/>
      <c r="BG708" s="697"/>
      <c r="BH708" s="697"/>
      <c r="BI708" s="697"/>
      <c r="BJ708" s="697"/>
      <c r="BK708" s="697"/>
      <c r="BL708" s="697"/>
      <c r="BM708" s="697"/>
      <c r="BN708" s="697"/>
      <c r="BO708" s="697"/>
      <c r="BP708" s="697"/>
      <c r="BQ708" s="697"/>
      <c r="BR708" s="697"/>
      <c r="BS708" s="697"/>
      <c r="BT708" s="697"/>
      <c r="BU708" s="697"/>
      <c r="BV708" s="697"/>
      <c r="BW708" s="697"/>
      <c r="BX708" s="697"/>
      <c r="BY708" s="697"/>
      <c r="BZ708" s="697"/>
      <c r="CA708" s="697"/>
      <c r="CB708" s="697"/>
      <c r="CC708" s="697"/>
      <c r="CD708" s="697"/>
      <c r="CE708" s="697"/>
      <c r="CF708" s="697"/>
      <c r="CG708" s="697"/>
      <c r="CH708" s="697"/>
      <c r="CI708" s="697"/>
      <c r="CJ708" s="697"/>
      <c r="CK708" s="697"/>
      <c r="CL708" s="697"/>
      <c r="CM708" s="697"/>
      <c r="CN708" s="697"/>
      <c r="CO708" s="697"/>
      <c r="CP708" s="697"/>
      <c r="CQ708" s="697"/>
      <c r="CR708" s="697"/>
      <c r="CS708" s="697"/>
      <c r="CT708" s="697"/>
      <c r="CU708" s="697"/>
      <c r="CV708" s="697"/>
      <c r="CW708" s="697"/>
      <c r="CX708" s="697"/>
      <c r="CY708" s="697"/>
      <c r="CZ708" s="697"/>
      <c r="DA708" s="697"/>
    </row>
    <row r="709" spans="1:105" x14ac:dyDescent="0.2">
      <c r="A709" s="709">
        <f t="shared" ref="A709:A772" si="125">DATE(YEAR(E709),MONTH(E709),1)</f>
        <v>41456</v>
      </c>
      <c r="B709" s="709" t="str">
        <f t="shared" si="122"/>
        <v>3Q13</v>
      </c>
      <c r="C709" s="709" t="str">
        <f t="shared" ref="C709:C772" si="126">VLOOKUP(MONTH(D709),$N$4:$O$16,2,FALSE) &amp; "Q" &amp; RIGHT(YEAR(D709),2)</f>
        <v>3Q13</v>
      </c>
      <c r="D709" s="710">
        <f t="shared" ref="D709:E724" si="127">D708+7</f>
        <v>41516</v>
      </c>
      <c r="E709" s="710">
        <f t="shared" si="127"/>
        <v>41456</v>
      </c>
      <c r="F709" s="712">
        <v>3.8170000000000002</v>
      </c>
      <c r="G709" s="713">
        <f t="shared" si="123"/>
        <v>0.54000000000000026</v>
      </c>
      <c r="H709" s="713">
        <f t="shared" si="124"/>
        <v>0.54000000000000026</v>
      </c>
      <c r="I709" s="697"/>
      <c r="J709" s="697"/>
      <c r="K709" s="697"/>
      <c r="L709" s="697"/>
      <c r="M709" s="697"/>
      <c r="N709" s="697"/>
      <c r="O709" s="697"/>
      <c r="P709" s="697"/>
      <c r="Q709" s="697"/>
      <c r="R709" s="697"/>
      <c r="S709" s="697"/>
      <c r="T709" s="697"/>
      <c r="U709" s="697"/>
      <c r="V709" s="697"/>
      <c r="W709" s="697"/>
      <c r="X709" s="697"/>
      <c r="Y709" s="697"/>
      <c r="Z709" s="697"/>
      <c r="AA709" s="697"/>
      <c r="AB709" s="697"/>
      <c r="AC709" s="697"/>
      <c r="AD709" s="697"/>
      <c r="AE709" s="697"/>
      <c r="AF709" s="697"/>
      <c r="AG709" s="697"/>
      <c r="AH709" s="697"/>
      <c r="AI709" s="697"/>
      <c r="AJ709" s="697"/>
      <c r="AK709" s="697"/>
      <c r="AL709" s="697"/>
      <c r="AM709" s="697"/>
      <c r="AN709" s="697"/>
      <c r="AO709" s="697"/>
      <c r="AP709" s="697"/>
      <c r="AQ709" s="697"/>
      <c r="AR709" s="697"/>
      <c r="AS709" s="697"/>
      <c r="AT709" s="697"/>
      <c r="AU709" s="697"/>
      <c r="AV709" s="697"/>
      <c r="AW709" s="697"/>
      <c r="AX709" s="697"/>
      <c r="AY709" s="697"/>
      <c r="AZ709" s="697"/>
      <c r="BA709" s="697"/>
      <c r="BB709" s="697"/>
      <c r="BC709" s="697"/>
      <c r="BD709" s="697"/>
      <c r="BE709" s="697"/>
      <c r="BF709" s="697"/>
      <c r="BG709" s="697"/>
      <c r="BH709" s="697"/>
      <c r="BI709" s="697"/>
      <c r="BJ709" s="697"/>
      <c r="BK709" s="697"/>
      <c r="BL709" s="697"/>
      <c r="BM709" s="697"/>
      <c r="BN709" s="697"/>
      <c r="BO709" s="697"/>
      <c r="BP709" s="697"/>
      <c r="BQ709" s="697"/>
      <c r="BR709" s="697"/>
      <c r="BS709" s="697"/>
      <c r="BT709" s="697"/>
      <c r="BU709" s="697"/>
      <c r="BV709" s="697"/>
      <c r="BW709" s="697"/>
      <c r="BX709" s="697"/>
      <c r="BY709" s="697"/>
      <c r="BZ709" s="697"/>
      <c r="CA709" s="697"/>
      <c r="CB709" s="697"/>
      <c r="CC709" s="697"/>
      <c r="CD709" s="697"/>
      <c r="CE709" s="697"/>
      <c r="CF709" s="697"/>
      <c r="CG709" s="697"/>
      <c r="CH709" s="697"/>
      <c r="CI709" s="697"/>
      <c r="CJ709" s="697"/>
      <c r="CK709" s="697"/>
      <c r="CL709" s="697"/>
      <c r="CM709" s="697"/>
      <c r="CN709" s="697"/>
      <c r="CO709" s="697"/>
      <c r="CP709" s="697"/>
      <c r="CQ709" s="697"/>
      <c r="CR709" s="697"/>
      <c r="CS709" s="697"/>
      <c r="CT709" s="697"/>
      <c r="CU709" s="697"/>
      <c r="CV709" s="697"/>
      <c r="CW709" s="697"/>
      <c r="CX709" s="697"/>
      <c r="CY709" s="697"/>
      <c r="CZ709" s="697"/>
      <c r="DA709" s="697"/>
    </row>
    <row r="710" spans="1:105" x14ac:dyDescent="0.2">
      <c r="A710" s="709">
        <f t="shared" si="125"/>
        <v>41456</v>
      </c>
      <c r="B710" s="709" t="str">
        <f t="shared" si="122"/>
        <v>3Q13</v>
      </c>
      <c r="C710" s="709" t="str">
        <f t="shared" si="126"/>
        <v>3Q13</v>
      </c>
      <c r="D710" s="710">
        <f t="shared" si="127"/>
        <v>41523</v>
      </c>
      <c r="E710" s="710">
        <f t="shared" si="127"/>
        <v>41463</v>
      </c>
      <c r="F710" s="712">
        <v>3.8279999999999998</v>
      </c>
      <c r="G710" s="713">
        <f t="shared" si="123"/>
        <v>0.54000000000000026</v>
      </c>
      <c r="H710" s="713">
        <f t="shared" si="124"/>
        <v>0.55000000000000027</v>
      </c>
      <c r="I710" s="697"/>
      <c r="J710" s="697"/>
      <c r="K710" s="697"/>
      <c r="L710" s="697"/>
      <c r="M710" s="697"/>
      <c r="N710" s="697"/>
      <c r="O710" s="697"/>
      <c r="P710" s="697"/>
      <c r="Q710" s="697"/>
      <c r="R710" s="697"/>
      <c r="S710" s="697"/>
      <c r="T710" s="697"/>
      <c r="U710" s="697"/>
      <c r="V710" s="697"/>
      <c r="W710" s="697"/>
      <c r="X710" s="697"/>
      <c r="Y710" s="697"/>
      <c r="Z710" s="697"/>
      <c r="AA710" s="697"/>
      <c r="AB710" s="697"/>
      <c r="AC710" s="697"/>
      <c r="AD710" s="697"/>
      <c r="AE710" s="697"/>
      <c r="AF710" s="697"/>
      <c r="AG710" s="697"/>
      <c r="AH710" s="697"/>
      <c r="AI710" s="697"/>
      <c r="AJ710" s="697"/>
      <c r="AK710" s="697"/>
      <c r="AL710" s="697"/>
      <c r="AM710" s="697"/>
      <c r="AN710" s="697"/>
      <c r="AO710" s="697"/>
      <c r="AP710" s="697"/>
      <c r="AQ710" s="697"/>
      <c r="AR710" s="697"/>
      <c r="AS710" s="697"/>
      <c r="AT710" s="697"/>
      <c r="AU710" s="697"/>
      <c r="AV710" s="697"/>
      <c r="AW710" s="697"/>
      <c r="AX710" s="697"/>
      <c r="AY710" s="697"/>
      <c r="AZ710" s="697"/>
      <c r="BA710" s="697"/>
      <c r="BB710" s="697"/>
      <c r="BC710" s="697"/>
      <c r="BD710" s="697"/>
      <c r="BE710" s="697"/>
      <c r="BF710" s="697"/>
      <c r="BG710" s="697"/>
      <c r="BH710" s="697"/>
      <c r="BI710" s="697"/>
      <c r="BJ710" s="697"/>
      <c r="BK710" s="697"/>
      <c r="BL710" s="697"/>
      <c r="BM710" s="697"/>
      <c r="BN710" s="697"/>
      <c r="BO710" s="697"/>
      <c r="BP710" s="697"/>
      <c r="BQ710" s="697"/>
      <c r="BR710" s="697"/>
      <c r="BS710" s="697"/>
      <c r="BT710" s="697"/>
      <c r="BU710" s="697"/>
      <c r="BV710" s="697"/>
      <c r="BW710" s="697"/>
      <c r="BX710" s="697"/>
      <c r="BY710" s="697"/>
      <c r="BZ710" s="697"/>
      <c r="CA710" s="697"/>
      <c r="CB710" s="697"/>
      <c r="CC710" s="697"/>
      <c r="CD710" s="697"/>
      <c r="CE710" s="697"/>
      <c r="CF710" s="697"/>
      <c r="CG710" s="697"/>
      <c r="CH710" s="697"/>
      <c r="CI710" s="697"/>
      <c r="CJ710" s="697"/>
      <c r="CK710" s="697"/>
      <c r="CL710" s="697"/>
      <c r="CM710" s="697"/>
      <c r="CN710" s="697"/>
      <c r="CO710" s="697"/>
      <c r="CP710" s="697"/>
      <c r="CQ710" s="697"/>
      <c r="CR710" s="697"/>
      <c r="CS710" s="697"/>
      <c r="CT710" s="697"/>
      <c r="CU710" s="697"/>
      <c r="CV710" s="697"/>
      <c r="CW710" s="697"/>
      <c r="CX710" s="697"/>
      <c r="CY710" s="697"/>
      <c r="CZ710" s="697"/>
      <c r="DA710" s="697"/>
    </row>
    <row r="711" spans="1:105" x14ac:dyDescent="0.2">
      <c r="A711" s="709">
        <f t="shared" si="125"/>
        <v>41456</v>
      </c>
      <c r="B711" s="709" t="str">
        <f t="shared" si="122"/>
        <v>3Q13</v>
      </c>
      <c r="C711" s="709" t="str">
        <f t="shared" si="126"/>
        <v>3Q13</v>
      </c>
      <c r="D711" s="710">
        <f t="shared" si="127"/>
        <v>41530</v>
      </c>
      <c r="E711" s="710">
        <f t="shared" si="127"/>
        <v>41470</v>
      </c>
      <c r="F711" s="712">
        <v>3.867</v>
      </c>
      <c r="G711" s="713">
        <f t="shared" si="123"/>
        <v>0.55000000000000027</v>
      </c>
      <c r="H711" s="713">
        <f t="shared" si="124"/>
        <v>0.56000000000000028</v>
      </c>
      <c r="I711" s="697"/>
      <c r="J711" s="697"/>
      <c r="K711" s="697"/>
      <c r="L711" s="697"/>
      <c r="M711" s="697"/>
      <c r="N711" s="697"/>
      <c r="O711" s="697"/>
      <c r="P711" s="697"/>
      <c r="Q711" s="697"/>
      <c r="R711" s="697"/>
      <c r="S711" s="697"/>
      <c r="T711" s="697"/>
      <c r="U711" s="697"/>
      <c r="V711" s="697"/>
      <c r="W711" s="697"/>
      <c r="X711" s="697"/>
      <c r="Y711" s="697"/>
      <c r="Z711" s="697"/>
      <c r="AA711" s="697"/>
      <c r="AB711" s="697"/>
      <c r="AC711" s="697"/>
      <c r="AD711" s="697"/>
      <c r="AE711" s="697"/>
      <c r="AF711" s="697"/>
      <c r="AG711" s="697"/>
      <c r="AH711" s="697"/>
      <c r="AI711" s="697"/>
      <c r="AJ711" s="697"/>
      <c r="AK711" s="697"/>
      <c r="AL711" s="697"/>
      <c r="AM711" s="697"/>
      <c r="AN711" s="697"/>
      <c r="AO711" s="697"/>
      <c r="AP711" s="697"/>
      <c r="AQ711" s="697"/>
      <c r="AR711" s="697"/>
      <c r="AS711" s="697"/>
      <c r="AT711" s="697"/>
      <c r="AU711" s="697"/>
      <c r="AV711" s="697"/>
      <c r="AW711" s="697"/>
      <c r="AX711" s="697"/>
      <c r="AY711" s="697"/>
      <c r="AZ711" s="697"/>
      <c r="BA711" s="697"/>
      <c r="BB711" s="697"/>
      <c r="BC711" s="697"/>
      <c r="BD711" s="697"/>
      <c r="BE711" s="697"/>
      <c r="BF711" s="697"/>
      <c r="BG711" s="697"/>
      <c r="BH711" s="697"/>
      <c r="BI711" s="697"/>
      <c r="BJ711" s="697"/>
      <c r="BK711" s="697"/>
      <c r="BL711" s="697"/>
      <c r="BM711" s="697"/>
      <c r="BN711" s="697"/>
      <c r="BO711" s="697"/>
      <c r="BP711" s="697"/>
      <c r="BQ711" s="697"/>
      <c r="BR711" s="697"/>
      <c r="BS711" s="697"/>
      <c r="BT711" s="697"/>
      <c r="BU711" s="697"/>
      <c r="BV711" s="697"/>
      <c r="BW711" s="697"/>
      <c r="BX711" s="697"/>
      <c r="BY711" s="697"/>
      <c r="BZ711" s="697"/>
      <c r="CA711" s="697"/>
      <c r="CB711" s="697"/>
      <c r="CC711" s="697"/>
      <c r="CD711" s="697"/>
      <c r="CE711" s="697"/>
      <c r="CF711" s="697"/>
      <c r="CG711" s="697"/>
      <c r="CH711" s="697"/>
      <c r="CI711" s="697"/>
      <c r="CJ711" s="697"/>
      <c r="CK711" s="697"/>
      <c r="CL711" s="697"/>
      <c r="CM711" s="697"/>
      <c r="CN711" s="697"/>
      <c r="CO711" s="697"/>
      <c r="CP711" s="697"/>
      <c r="CQ711" s="697"/>
      <c r="CR711" s="697"/>
      <c r="CS711" s="697"/>
      <c r="CT711" s="697"/>
      <c r="CU711" s="697"/>
      <c r="CV711" s="697"/>
      <c r="CW711" s="697"/>
      <c r="CX711" s="697"/>
      <c r="CY711" s="697"/>
      <c r="CZ711" s="697"/>
      <c r="DA711" s="697"/>
    </row>
    <row r="712" spans="1:105" x14ac:dyDescent="0.2">
      <c r="A712" s="709">
        <f t="shared" si="125"/>
        <v>41456</v>
      </c>
      <c r="B712" s="709" t="str">
        <f t="shared" si="122"/>
        <v>3Q13</v>
      </c>
      <c r="C712" s="709" t="str">
        <f t="shared" si="126"/>
        <v>3Q13</v>
      </c>
      <c r="D712" s="710">
        <f t="shared" si="127"/>
        <v>41537</v>
      </c>
      <c r="E712" s="710">
        <f t="shared" si="127"/>
        <v>41477</v>
      </c>
      <c r="F712" s="712">
        <v>3.903</v>
      </c>
      <c r="G712" s="713">
        <f t="shared" si="123"/>
        <v>0.56000000000000028</v>
      </c>
      <c r="H712" s="713">
        <f t="shared" si="124"/>
        <v>0.56000000000000028</v>
      </c>
      <c r="I712" s="697"/>
      <c r="J712" s="697"/>
      <c r="K712" s="697"/>
      <c r="L712" s="697"/>
      <c r="M712" s="697"/>
      <c r="N712" s="697"/>
      <c r="O712" s="697"/>
      <c r="P712" s="697"/>
      <c r="Q712" s="697"/>
      <c r="R712" s="697"/>
      <c r="S712" s="697"/>
      <c r="T712" s="697"/>
      <c r="U712" s="697"/>
      <c r="V712" s="697"/>
      <c r="W712" s="697"/>
      <c r="X712" s="697"/>
      <c r="Y712" s="697"/>
      <c r="Z712" s="697"/>
      <c r="AA712" s="697"/>
      <c r="AB712" s="697"/>
      <c r="AC712" s="697"/>
      <c r="AD712" s="697"/>
      <c r="AE712" s="697"/>
      <c r="AF712" s="697"/>
      <c r="AG712" s="697"/>
      <c r="AH712" s="697"/>
      <c r="AI712" s="697"/>
      <c r="AJ712" s="697"/>
      <c r="AK712" s="697"/>
      <c r="AL712" s="697"/>
      <c r="AM712" s="697"/>
      <c r="AN712" s="697"/>
      <c r="AO712" s="697"/>
      <c r="AP712" s="697"/>
      <c r="AQ712" s="697"/>
      <c r="AR712" s="697"/>
      <c r="AS712" s="697"/>
      <c r="AT712" s="697"/>
      <c r="AU712" s="697"/>
      <c r="AV712" s="697"/>
      <c r="AW712" s="697"/>
      <c r="AX712" s="697"/>
      <c r="AY712" s="697"/>
      <c r="AZ712" s="697"/>
      <c r="BA712" s="697"/>
      <c r="BB712" s="697"/>
      <c r="BC712" s="697"/>
      <c r="BD712" s="697"/>
      <c r="BE712" s="697"/>
      <c r="BF712" s="697"/>
      <c r="BG712" s="697"/>
      <c r="BH712" s="697"/>
      <c r="BI712" s="697"/>
      <c r="BJ712" s="697"/>
      <c r="BK712" s="697"/>
      <c r="BL712" s="697"/>
      <c r="BM712" s="697"/>
      <c r="BN712" s="697"/>
      <c r="BO712" s="697"/>
      <c r="BP712" s="697"/>
      <c r="BQ712" s="697"/>
      <c r="BR712" s="697"/>
      <c r="BS712" s="697"/>
      <c r="BT712" s="697"/>
      <c r="BU712" s="697"/>
      <c r="BV712" s="697"/>
      <c r="BW712" s="697"/>
      <c r="BX712" s="697"/>
      <c r="BY712" s="697"/>
      <c r="BZ712" s="697"/>
      <c r="CA712" s="697"/>
      <c r="CB712" s="697"/>
      <c r="CC712" s="697"/>
      <c r="CD712" s="697"/>
      <c r="CE712" s="697"/>
      <c r="CF712" s="697"/>
      <c r="CG712" s="697"/>
      <c r="CH712" s="697"/>
      <c r="CI712" s="697"/>
      <c r="CJ712" s="697"/>
      <c r="CK712" s="697"/>
      <c r="CL712" s="697"/>
      <c r="CM712" s="697"/>
      <c r="CN712" s="697"/>
      <c r="CO712" s="697"/>
      <c r="CP712" s="697"/>
      <c r="CQ712" s="697"/>
      <c r="CR712" s="697"/>
      <c r="CS712" s="697"/>
      <c r="CT712" s="697"/>
      <c r="CU712" s="697"/>
      <c r="CV712" s="697"/>
      <c r="CW712" s="697"/>
      <c r="CX712" s="697"/>
      <c r="CY712" s="697"/>
      <c r="CZ712" s="697"/>
      <c r="DA712" s="697"/>
    </row>
    <row r="713" spans="1:105" x14ac:dyDescent="0.2">
      <c r="A713" s="709">
        <f t="shared" si="125"/>
        <v>41456</v>
      </c>
      <c r="B713" s="709" t="str">
        <f t="shared" si="122"/>
        <v>3Q13</v>
      </c>
      <c r="C713" s="709" t="str">
        <f t="shared" si="126"/>
        <v>3Q13</v>
      </c>
      <c r="D713" s="710">
        <f t="shared" si="127"/>
        <v>41544</v>
      </c>
      <c r="E713" s="710">
        <f t="shared" si="127"/>
        <v>41484</v>
      </c>
      <c r="F713" s="712">
        <v>3.915</v>
      </c>
      <c r="G713" s="713">
        <f t="shared" si="123"/>
        <v>0.56000000000000028</v>
      </c>
      <c r="H713" s="713">
        <f t="shared" si="124"/>
        <v>0.56000000000000028</v>
      </c>
      <c r="I713" s="697"/>
      <c r="J713" s="697"/>
      <c r="K713" s="697"/>
      <c r="L713" s="697"/>
      <c r="M713" s="697"/>
      <c r="N713" s="697"/>
      <c r="O713" s="697"/>
      <c r="P713" s="697"/>
      <c r="Q713" s="697"/>
      <c r="R713" s="697"/>
      <c r="S713" s="697"/>
      <c r="T713" s="697"/>
      <c r="U713" s="697"/>
      <c r="V713" s="697"/>
      <c r="W713" s="697"/>
      <c r="X713" s="697"/>
      <c r="Y713" s="697"/>
      <c r="Z713" s="697"/>
      <c r="AA713" s="697"/>
      <c r="AB713" s="697"/>
      <c r="AC713" s="697"/>
      <c r="AD713" s="697"/>
      <c r="AE713" s="697"/>
      <c r="AF713" s="697"/>
      <c r="AG713" s="697"/>
      <c r="AH713" s="697"/>
      <c r="AI713" s="697"/>
      <c r="AJ713" s="697"/>
      <c r="AK713" s="697"/>
      <c r="AL713" s="697"/>
      <c r="AM713" s="697"/>
      <c r="AN713" s="697"/>
      <c r="AO713" s="697"/>
      <c r="AP713" s="697"/>
      <c r="AQ713" s="697"/>
      <c r="AR713" s="697"/>
      <c r="AS713" s="697"/>
      <c r="AT713" s="697"/>
      <c r="AU713" s="697"/>
      <c r="AV713" s="697"/>
      <c r="AW713" s="697"/>
      <c r="AX713" s="697"/>
      <c r="AY713" s="697"/>
      <c r="AZ713" s="697"/>
      <c r="BA713" s="697"/>
      <c r="BB713" s="697"/>
      <c r="BC713" s="697"/>
      <c r="BD713" s="697"/>
      <c r="BE713" s="697"/>
      <c r="BF713" s="697"/>
      <c r="BG713" s="697"/>
      <c r="BH713" s="697"/>
      <c r="BI713" s="697"/>
      <c r="BJ713" s="697"/>
      <c r="BK713" s="697"/>
      <c r="BL713" s="697"/>
      <c r="BM713" s="697"/>
      <c r="BN713" s="697"/>
      <c r="BO713" s="697"/>
      <c r="BP713" s="697"/>
      <c r="BQ713" s="697"/>
      <c r="BR713" s="697"/>
      <c r="BS713" s="697"/>
      <c r="BT713" s="697"/>
      <c r="BU713" s="697"/>
      <c r="BV713" s="697"/>
      <c r="BW713" s="697"/>
      <c r="BX713" s="697"/>
      <c r="BY713" s="697"/>
      <c r="BZ713" s="697"/>
      <c r="CA713" s="697"/>
      <c r="CB713" s="697"/>
      <c r="CC713" s="697"/>
      <c r="CD713" s="697"/>
      <c r="CE713" s="697"/>
      <c r="CF713" s="697"/>
      <c r="CG713" s="697"/>
      <c r="CH713" s="697"/>
      <c r="CI713" s="697"/>
      <c r="CJ713" s="697"/>
      <c r="CK713" s="697"/>
      <c r="CL713" s="697"/>
      <c r="CM713" s="697"/>
      <c r="CN713" s="697"/>
      <c r="CO713" s="697"/>
      <c r="CP713" s="697"/>
      <c r="CQ713" s="697"/>
      <c r="CR713" s="697"/>
      <c r="CS713" s="697"/>
      <c r="CT713" s="697"/>
      <c r="CU713" s="697"/>
      <c r="CV713" s="697"/>
      <c r="CW713" s="697"/>
      <c r="CX713" s="697"/>
      <c r="CY713" s="697"/>
      <c r="CZ713" s="697"/>
      <c r="DA713" s="697"/>
    </row>
    <row r="714" spans="1:105" x14ac:dyDescent="0.2">
      <c r="A714" s="709">
        <f t="shared" si="125"/>
        <v>41487</v>
      </c>
      <c r="B714" s="709" t="str">
        <f t="shared" si="122"/>
        <v>3Q13</v>
      </c>
      <c r="C714" s="709" t="str">
        <f t="shared" si="126"/>
        <v>4Q13</v>
      </c>
      <c r="D714" s="710">
        <f t="shared" si="127"/>
        <v>41551</v>
      </c>
      <c r="E714" s="710">
        <f t="shared" si="127"/>
        <v>41491</v>
      </c>
      <c r="F714" s="712">
        <v>3.9089999999999998</v>
      </c>
      <c r="G714" s="713">
        <f t="shared" si="123"/>
        <v>0.56000000000000028</v>
      </c>
      <c r="H714" s="713">
        <f t="shared" si="124"/>
        <v>0.55000000000000027</v>
      </c>
      <c r="I714" s="697"/>
      <c r="J714" s="697"/>
      <c r="K714" s="697"/>
      <c r="L714" s="697"/>
      <c r="M714" s="697"/>
      <c r="N714" s="697"/>
      <c r="O714" s="697"/>
      <c r="P714" s="697"/>
      <c r="Q714" s="697"/>
      <c r="R714" s="697"/>
      <c r="S714" s="697"/>
      <c r="T714" s="697"/>
      <c r="U714" s="697"/>
      <c r="V714" s="697"/>
      <c r="W714" s="697"/>
      <c r="X714" s="697"/>
      <c r="Y714" s="697"/>
      <c r="Z714" s="697"/>
      <c r="AA714" s="697"/>
      <c r="AB714" s="697"/>
      <c r="AC714" s="697"/>
      <c r="AD714" s="697"/>
      <c r="AE714" s="697"/>
      <c r="AF714" s="697"/>
      <c r="AG714" s="697"/>
      <c r="AH714" s="697"/>
      <c r="AI714" s="697"/>
      <c r="AJ714" s="697"/>
      <c r="AK714" s="697"/>
      <c r="AL714" s="697"/>
      <c r="AM714" s="697"/>
      <c r="AN714" s="697"/>
      <c r="AO714" s="697"/>
      <c r="AP714" s="697"/>
      <c r="AQ714" s="697"/>
      <c r="AR714" s="697"/>
      <c r="AS714" s="697"/>
      <c r="AT714" s="697"/>
      <c r="AU714" s="697"/>
      <c r="AV714" s="697"/>
      <c r="AW714" s="697"/>
      <c r="AX714" s="697"/>
      <c r="AY714" s="697"/>
      <c r="AZ714" s="697"/>
      <c r="BA714" s="697"/>
      <c r="BB714" s="697"/>
      <c r="BC714" s="697"/>
      <c r="BD714" s="697"/>
      <c r="BE714" s="697"/>
      <c r="BF714" s="697"/>
      <c r="BG714" s="697"/>
      <c r="BH714" s="697"/>
      <c r="BI714" s="697"/>
      <c r="BJ714" s="697"/>
      <c r="BK714" s="697"/>
      <c r="BL714" s="697"/>
      <c r="BM714" s="697"/>
      <c r="BN714" s="697"/>
      <c r="BO714" s="697"/>
      <c r="BP714" s="697"/>
      <c r="BQ714" s="697"/>
      <c r="BR714" s="697"/>
      <c r="BS714" s="697"/>
      <c r="BT714" s="697"/>
      <c r="BU714" s="697"/>
      <c r="BV714" s="697"/>
      <c r="BW714" s="697"/>
      <c r="BX714" s="697"/>
      <c r="BY714" s="697"/>
      <c r="BZ714" s="697"/>
      <c r="CA714" s="697"/>
      <c r="CB714" s="697"/>
      <c r="CC714" s="697"/>
      <c r="CD714" s="697"/>
      <c r="CE714" s="697"/>
      <c r="CF714" s="697"/>
      <c r="CG714" s="697"/>
      <c r="CH714" s="697"/>
      <c r="CI714" s="697"/>
      <c r="CJ714" s="697"/>
      <c r="CK714" s="697"/>
      <c r="CL714" s="697"/>
      <c r="CM714" s="697"/>
      <c r="CN714" s="697"/>
      <c r="CO714" s="697"/>
      <c r="CP714" s="697"/>
      <c r="CQ714" s="697"/>
      <c r="CR714" s="697"/>
      <c r="CS714" s="697"/>
      <c r="CT714" s="697"/>
      <c r="CU714" s="697"/>
      <c r="CV714" s="697"/>
      <c r="CW714" s="697"/>
      <c r="CX714" s="697"/>
      <c r="CY714" s="697"/>
      <c r="CZ714" s="697"/>
      <c r="DA714" s="697"/>
    </row>
    <row r="715" spans="1:105" x14ac:dyDescent="0.2">
      <c r="A715" s="709">
        <f t="shared" si="125"/>
        <v>41487</v>
      </c>
      <c r="B715" s="709" t="str">
        <f t="shared" si="122"/>
        <v>3Q13</v>
      </c>
      <c r="C715" s="709" t="str">
        <f t="shared" si="126"/>
        <v>4Q13</v>
      </c>
      <c r="D715" s="710">
        <f t="shared" si="127"/>
        <v>41558</v>
      </c>
      <c r="E715" s="710">
        <f t="shared" si="127"/>
        <v>41498</v>
      </c>
      <c r="F715" s="712">
        <v>3.8959999999999999</v>
      </c>
      <c r="G715" s="713">
        <f t="shared" si="123"/>
        <v>0.55000000000000027</v>
      </c>
      <c r="H715" s="713">
        <f t="shared" si="124"/>
        <v>0.56000000000000028</v>
      </c>
      <c r="I715" s="697"/>
      <c r="J715" s="697"/>
      <c r="K715" s="697"/>
      <c r="L715" s="697"/>
      <c r="M715" s="697"/>
      <c r="N715" s="697"/>
      <c r="O715" s="697"/>
      <c r="P715" s="697"/>
      <c r="Q715" s="697"/>
      <c r="R715" s="697"/>
      <c r="S715" s="697"/>
      <c r="T715" s="697"/>
      <c r="U715" s="697"/>
      <c r="V715" s="697"/>
      <c r="W715" s="697"/>
      <c r="X715" s="697"/>
      <c r="Y715" s="697"/>
      <c r="Z715" s="697"/>
      <c r="AA715" s="697"/>
      <c r="AB715" s="697"/>
      <c r="AC715" s="697"/>
      <c r="AD715" s="697"/>
      <c r="AE715" s="697"/>
      <c r="AF715" s="697"/>
      <c r="AG715" s="697"/>
      <c r="AH715" s="697"/>
      <c r="AI715" s="697"/>
      <c r="AJ715" s="697"/>
      <c r="AK715" s="697"/>
      <c r="AL715" s="697"/>
      <c r="AM715" s="697"/>
      <c r="AN715" s="697"/>
      <c r="AO715" s="697"/>
      <c r="AP715" s="697"/>
      <c r="AQ715" s="697"/>
      <c r="AR715" s="697"/>
      <c r="AS715" s="697"/>
      <c r="AT715" s="697"/>
      <c r="AU715" s="697"/>
      <c r="AV715" s="697"/>
      <c r="AW715" s="697"/>
      <c r="AX715" s="697"/>
      <c r="AY715" s="697"/>
      <c r="AZ715" s="697"/>
      <c r="BA715" s="697"/>
      <c r="BB715" s="697"/>
      <c r="BC715" s="697"/>
      <c r="BD715" s="697"/>
      <c r="BE715" s="697"/>
      <c r="BF715" s="697"/>
      <c r="BG715" s="697"/>
      <c r="BH715" s="697"/>
      <c r="BI715" s="697"/>
      <c r="BJ715" s="697"/>
      <c r="BK715" s="697"/>
      <c r="BL715" s="697"/>
      <c r="BM715" s="697"/>
      <c r="BN715" s="697"/>
      <c r="BO715" s="697"/>
      <c r="BP715" s="697"/>
      <c r="BQ715" s="697"/>
      <c r="BR715" s="697"/>
      <c r="BS715" s="697"/>
      <c r="BT715" s="697"/>
      <c r="BU715" s="697"/>
      <c r="BV715" s="697"/>
      <c r="BW715" s="697"/>
      <c r="BX715" s="697"/>
      <c r="BY715" s="697"/>
      <c r="BZ715" s="697"/>
      <c r="CA715" s="697"/>
      <c r="CB715" s="697"/>
      <c r="CC715" s="697"/>
      <c r="CD715" s="697"/>
      <c r="CE715" s="697"/>
      <c r="CF715" s="697"/>
      <c r="CG715" s="697"/>
      <c r="CH715" s="697"/>
      <c r="CI715" s="697"/>
      <c r="CJ715" s="697"/>
      <c r="CK715" s="697"/>
      <c r="CL715" s="697"/>
      <c r="CM715" s="697"/>
      <c r="CN715" s="697"/>
      <c r="CO715" s="697"/>
      <c r="CP715" s="697"/>
      <c r="CQ715" s="697"/>
      <c r="CR715" s="697"/>
      <c r="CS715" s="697"/>
      <c r="CT715" s="697"/>
      <c r="CU715" s="697"/>
      <c r="CV715" s="697"/>
      <c r="CW715" s="697"/>
      <c r="CX715" s="697"/>
      <c r="CY715" s="697"/>
      <c r="CZ715" s="697"/>
      <c r="DA715" s="697"/>
    </row>
    <row r="716" spans="1:105" x14ac:dyDescent="0.2">
      <c r="A716" s="709">
        <f t="shared" si="125"/>
        <v>41487</v>
      </c>
      <c r="B716" s="709" t="str">
        <f t="shared" si="122"/>
        <v>3Q13</v>
      </c>
      <c r="C716" s="709" t="str">
        <f t="shared" si="126"/>
        <v>4Q13</v>
      </c>
      <c r="D716" s="710">
        <f t="shared" si="127"/>
        <v>41565</v>
      </c>
      <c r="E716" s="710">
        <f t="shared" si="127"/>
        <v>41505</v>
      </c>
      <c r="F716" s="712">
        <v>3.9</v>
      </c>
      <c r="G716" s="713">
        <f t="shared" si="123"/>
        <v>0.56000000000000028</v>
      </c>
      <c r="H716" s="713">
        <f t="shared" si="124"/>
        <v>0.56000000000000028</v>
      </c>
      <c r="I716" s="697"/>
      <c r="J716" s="697"/>
      <c r="K716" s="697"/>
      <c r="L716" s="697"/>
      <c r="M716" s="697"/>
      <c r="N716" s="697"/>
      <c r="O716" s="697"/>
      <c r="P716" s="697"/>
      <c r="Q716" s="697"/>
      <c r="R716" s="697"/>
      <c r="S716" s="697"/>
      <c r="T716" s="697"/>
      <c r="U716" s="697"/>
      <c r="V716" s="697"/>
      <c r="W716" s="697"/>
      <c r="X716" s="697"/>
      <c r="Y716" s="697"/>
      <c r="Z716" s="697"/>
      <c r="AA716" s="697"/>
      <c r="AB716" s="697"/>
      <c r="AC716" s="697"/>
      <c r="AD716" s="697"/>
      <c r="AE716" s="697"/>
      <c r="AF716" s="697"/>
      <c r="AG716" s="697"/>
      <c r="AH716" s="697"/>
      <c r="AI716" s="697"/>
      <c r="AJ716" s="697"/>
      <c r="AK716" s="697"/>
      <c r="AL716" s="697"/>
      <c r="AM716" s="697"/>
      <c r="AN716" s="697"/>
      <c r="AO716" s="697"/>
      <c r="AP716" s="697"/>
      <c r="AQ716" s="697"/>
      <c r="AR716" s="697"/>
      <c r="AS716" s="697"/>
      <c r="AT716" s="697"/>
      <c r="AU716" s="697"/>
      <c r="AV716" s="697"/>
      <c r="AW716" s="697"/>
      <c r="AX716" s="697"/>
      <c r="AY716" s="697"/>
      <c r="AZ716" s="697"/>
      <c r="BA716" s="697"/>
      <c r="BB716" s="697"/>
      <c r="BC716" s="697"/>
      <c r="BD716" s="697"/>
      <c r="BE716" s="697"/>
      <c r="BF716" s="697"/>
      <c r="BG716" s="697"/>
      <c r="BH716" s="697"/>
      <c r="BI716" s="697"/>
      <c r="BJ716" s="697"/>
      <c r="BK716" s="697"/>
      <c r="BL716" s="697"/>
      <c r="BM716" s="697"/>
      <c r="BN716" s="697"/>
      <c r="BO716" s="697"/>
      <c r="BP716" s="697"/>
      <c r="BQ716" s="697"/>
      <c r="BR716" s="697"/>
      <c r="BS716" s="697"/>
      <c r="BT716" s="697"/>
      <c r="BU716" s="697"/>
      <c r="BV716" s="697"/>
      <c r="BW716" s="697"/>
      <c r="BX716" s="697"/>
      <c r="BY716" s="697"/>
      <c r="BZ716" s="697"/>
      <c r="CA716" s="697"/>
      <c r="CB716" s="697"/>
      <c r="CC716" s="697"/>
      <c r="CD716" s="697"/>
      <c r="CE716" s="697"/>
      <c r="CF716" s="697"/>
      <c r="CG716" s="697"/>
      <c r="CH716" s="697"/>
      <c r="CI716" s="697"/>
      <c r="CJ716" s="697"/>
      <c r="CK716" s="697"/>
      <c r="CL716" s="697"/>
      <c r="CM716" s="697"/>
      <c r="CN716" s="697"/>
      <c r="CO716" s="697"/>
      <c r="CP716" s="697"/>
      <c r="CQ716" s="697"/>
      <c r="CR716" s="697"/>
      <c r="CS716" s="697"/>
      <c r="CT716" s="697"/>
      <c r="CU716" s="697"/>
      <c r="CV716" s="697"/>
      <c r="CW716" s="697"/>
      <c r="CX716" s="697"/>
      <c r="CY716" s="697"/>
      <c r="CZ716" s="697"/>
      <c r="DA716" s="697"/>
    </row>
    <row r="717" spans="1:105" x14ac:dyDescent="0.2">
      <c r="A717" s="709">
        <f t="shared" si="125"/>
        <v>41487</v>
      </c>
      <c r="B717" s="709" t="str">
        <f t="shared" si="122"/>
        <v>3Q13</v>
      </c>
      <c r="C717" s="709" t="str">
        <f t="shared" si="126"/>
        <v>4Q13</v>
      </c>
      <c r="D717" s="710">
        <f t="shared" si="127"/>
        <v>41572</v>
      </c>
      <c r="E717" s="710">
        <f t="shared" si="127"/>
        <v>41512</v>
      </c>
      <c r="F717" s="712">
        <v>3.9129999999999998</v>
      </c>
      <c r="G717" s="713">
        <f t="shared" si="123"/>
        <v>0.56000000000000028</v>
      </c>
      <c r="H717" s="713">
        <f t="shared" si="124"/>
        <v>0.57000000000000028</v>
      </c>
      <c r="I717" s="697"/>
      <c r="J717" s="697"/>
      <c r="K717" s="697"/>
      <c r="L717" s="697"/>
      <c r="M717" s="697"/>
      <c r="N717" s="697"/>
      <c r="O717" s="697"/>
      <c r="P717" s="697"/>
      <c r="Q717" s="697"/>
      <c r="R717" s="697"/>
      <c r="S717" s="697"/>
      <c r="T717" s="697"/>
      <c r="U717" s="697"/>
      <c r="V717" s="697"/>
      <c r="W717" s="697"/>
      <c r="X717" s="697"/>
      <c r="Y717" s="697"/>
      <c r="Z717" s="697"/>
      <c r="AA717" s="697"/>
      <c r="AB717" s="697"/>
      <c r="AC717" s="697"/>
      <c r="AD717" s="697"/>
      <c r="AE717" s="697"/>
      <c r="AF717" s="697"/>
      <c r="AG717" s="697"/>
      <c r="AH717" s="697"/>
      <c r="AI717" s="697"/>
      <c r="AJ717" s="697"/>
      <c r="AK717" s="697"/>
      <c r="AL717" s="697"/>
      <c r="AM717" s="697"/>
      <c r="AN717" s="697"/>
      <c r="AO717" s="697"/>
      <c r="AP717" s="697"/>
      <c r="AQ717" s="697"/>
      <c r="AR717" s="697"/>
      <c r="AS717" s="697"/>
      <c r="AT717" s="697"/>
      <c r="AU717" s="697"/>
      <c r="AV717" s="697"/>
      <c r="AW717" s="697"/>
      <c r="AX717" s="697"/>
      <c r="AY717" s="697"/>
      <c r="AZ717" s="697"/>
      <c r="BA717" s="697"/>
      <c r="BB717" s="697"/>
      <c r="BC717" s="697"/>
      <c r="BD717" s="697"/>
      <c r="BE717" s="697"/>
      <c r="BF717" s="697"/>
      <c r="BG717" s="697"/>
      <c r="BH717" s="697"/>
      <c r="BI717" s="697"/>
      <c r="BJ717" s="697"/>
      <c r="BK717" s="697"/>
      <c r="BL717" s="697"/>
      <c r="BM717" s="697"/>
      <c r="BN717" s="697"/>
      <c r="BO717" s="697"/>
      <c r="BP717" s="697"/>
      <c r="BQ717" s="697"/>
      <c r="BR717" s="697"/>
      <c r="BS717" s="697"/>
      <c r="BT717" s="697"/>
      <c r="BU717" s="697"/>
      <c r="BV717" s="697"/>
      <c r="BW717" s="697"/>
      <c r="BX717" s="697"/>
      <c r="BY717" s="697"/>
      <c r="BZ717" s="697"/>
      <c r="CA717" s="697"/>
      <c r="CB717" s="697"/>
      <c r="CC717" s="697"/>
      <c r="CD717" s="697"/>
      <c r="CE717" s="697"/>
      <c r="CF717" s="697"/>
      <c r="CG717" s="697"/>
      <c r="CH717" s="697"/>
      <c r="CI717" s="697"/>
      <c r="CJ717" s="697"/>
      <c r="CK717" s="697"/>
      <c r="CL717" s="697"/>
      <c r="CM717" s="697"/>
      <c r="CN717" s="697"/>
      <c r="CO717" s="697"/>
      <c r="CP717" s="697"/>
      <c r="CQ717" s="697"/>
      <c r="CR717" s="697"/>
      <c r="CS717" s="697"/>
      <c r="CT717" s="697"/>
      <c r="CU717" s="697"/>
      <c r="CV717" s="697"/>
      <c r="CW717" s="697"/>
      <c r="CX717" s="697"/>
      <c r="CY717" s="697"/>
      <c r="CZ717" s="697"/>
      <c r="DA717" s="697"/>
    </row>
    <row r="718" spans="1:105" x14ac:dyDescent="0.2">
      <c r="A718" s="709">
        <f t="shared" si="125"/>
        <v>41518</v>
      </c>
      <c r="B718" s="709" t="str">
        <f t="shared" si="122"/>
        <v>3Q13</v>
      </c>
      <c r="C718" s="709" t="str">
        <f t="shared" si="126"/>
        <v>4Q13</v>
      </c>
      <c r="D718" s="710">
        <f t="shared" si="127"/>
        <v>41579</v>
      </c>
      <c r="E718" s="710">
        <f t="shared" si="127"/>
        <v>41519</v>
      </c>
      <c r="F718" s="712">
        <v>3.9809999999999999</v>
      </c>
      <c r="G718" s="713">
        <f t="shared" si="123"/>
        <v>0.57000000000000028</v>
      </c>
      <c r="H718" s="713">
        <f t="shared" si="124"/>
        <v>0.57000000000000028</v>
      </c>
      <c r="I718" s="697"/>
      <c r="J718" s="697"/>
      <c r="K718" s="697"/>
      <c r="L718" s="697"/>
      <c r="M718" s="697"/>
      <c r="N718" s="697"/>
      <c r="O718" s="697"/>
      <c r="P718" s="697"/>
      <c r="Q718" s="697"/>
      <c r="R718" s="697"/>
      <c r="S718" s="697"/>
      <c r="T718" s="697"/>
      <c r="U718" s="697"/>
      <c r="V718" s="697"/>
      <c r="W718" s="697"/>
      <c r="X718" s="697"/>
      <c r="Y718" s="697"/>
      <c r="Z718" s="697"/>
      <c r="AA718" s="697"/>
      <c r="AB718" s="697"/>
      <c r="AC718" s="697"/>
      <c r="AD718" s="697"/>
      <c r="AE718" s="697"/>
      <c r="AF718" s="697"/>
      <c r="AG718" s="697"/>
      <c r="AH718" s="697"/>
      <c r="AI718" s="697"/>
      <c r="AJ718" s="697"/>
      <c r="AK718" s="697"/>
      <c r="AL718" s="697"/>
      <c r="AM718" s="697"/>
      <c r="AN718" s="697"/>
      <c r="AO718" s="697"/>
      <c r="AP718" s="697"/>
      <c r="AQ718" s="697"/>
      <c r="AR718" s="697"/>
      <c r="AS718" s="697"/>
      <c r="AT718" s="697"/>
      <c r="AU718" s="697"/>
      <c r="AV718" s="697"/>
      <c r="AW718" s="697"/>
      <c r="AX718" s="697"/>
      <c r="AY718" s="697"/>
      <c r="AZ718" s="697"/>
      <c r="BA718" s="697"/>
      <c r="BB718" s="697"/>
      <c r="BC718" s="697"/>
      <c r="BD718" s="697"/>
      <c r="BE718" s="697"/>
      <c r="BF718" s="697"/>
      <c r="BG718" s="697"/>
      <c r="BH718" s="697"/>
      <c r="BI718" s="697"/>
      <c r="BJ718" s="697"/>
      <c r="BK718" s="697"/>
      <c r="BL718" s="697"/>
      <c r="BM718" s="697"/>
      <c r="BN718" s="697"/>
      <c r="BO718" s="697"/>
      <c r="BP718" s="697"/>
      <c r="BQ718" s="697"/>
      <c r="BR718" s="697"/>
      <c r="BS718" s="697"/>
      <c r="BT718" s="697"/>
      <c r="BU718" s="697"/>
      <c r="BV718" s="697"/>
      <c r="BW718" s="697"/>
      <c r="BX718" s="697"/>
      <c r="BY718" s="697"/>
      <c r="BZ718" s="697"/>
      <c r="CA718" s="697"/>
      <c r="CB718" s="697"/>
      <c r="CC718" s="697"/>
      <c r="CD718" s="697"/>
      <c r="CE718" s="697"/>
      <c r="CF718" s="697"/>
      <c r="CG718" s="697"/>
      <c r="CH718" s="697"/>
      <c r="CI718" s="697"/>
      <c r="CJ718" s="697"/>
      <c r="CK718" s="697"/>
      <c r="CL718" s="697"/>
      <c r="CM718" s="697"/>
      <c r="CN718" s="697"/>
      <c r="CO718" s="697"/>
      <c r="CP718" s="697"/>
      <c r="CQ718" s="697"/>
      <c r="CR718" s="697"/>
      <c r="CS718" s="697"/>
      <c r="CT718" s="697"/>
      <c r="CU718" s="697"/>
      <c r="CV718" s="697"/>
      <c r="CW718" s="697"/>
      <c r="CX718" s="697"/>
      <c r="CY718" s="697"/>
      <c r="CZ718" s="697"/>
      <c r="DA718" s="697"/>
    </row>
    <row r="719" spans="1:105" x14ac:dyDescent="0.2">
      <c r="A719" s="709">
        <f t="shared" si="125"/>
        <v>41518</v>
      </c>
      <c r="B719" s="709" t="str">
        <f t="shared" si="122"/>
        <v>3Q13</v>
      </c>
      <c r="C719" s="709" t="str">
        <f t="shared" si="126"/>
        <v>4Q13</v>
      </c>
      <c r="D719" s="710">
        <f t="shared" si="127"/>
        <v>41586</v>
      </c>
      <c r="E719" s="710">
        <f t="shared" si="127"/>
        <v>41526</v>
      </c>
      <c r="F719" s="712">
        <v>3.9809999999999999</v>
      </c>
      <c r="G719" s="713">
        <f t="shared" si="123"/>
        <v>0.57000000000000028</v>
      </c>
      <c r="H719" s="713">
        <f t="shared" si="124"/>
        <v>0.57000000000000028</v>
      </c>
      <c r="I719" s="697"/>
      <c r="J719" s="697"/>
      <c r="K719" s="697"/>
      <c r="L719" s="697"/>
      <c r="M719" s="697"/>
      <c r="N719" s="697"/>
      <c r="O719" s="697"/>
      <c r="P719" s="697"/>
      <c r="Q719" s="697"/>
      <c r="R719" s="697"/>
      <c r="S719" s="697"/>
      <c r="T719" s="697"/>
      <c r="U719" s="697"/>
      <c r="V719" s="697"/>
      <c r="W719" s="697"/>
      <c r="X719" s="697"/>
      <c r="Y719" s="697"/>
      <c r="Z719" s="697"/>
      <c r="AA719" s="697"/>
      <c r="AB719" s="697"/>
      <c r="AC719" s="697"/>
      <c r="AD719" s="697"/>
      <c r="AE719" s="697"/>
      <c r="AF719" s="697"/>
      <c r="AG719" s="697"/>
      <c r="AH719" s="697"/>
      <c r="AI719" s="697"/>
      <c r="AJ719" s="697"/>
      <c r="AK719" s="697"/>
      <c r="AL719" s="697"/>
      <c r="AM719" s="697"/>
      <c r="AN719" s="697"/>
      <c r="AO719" s="697"/>
      <c r="AP719" s="697"/>
      <c r="AQ719" s="697"/>
      <c r="AR719" s="697"/>
      <c r="AS719" s="697"/>
      <c r="AT719" s="697"/>
      <c r="AU719" s="697"/>
      <c r="AV719" s="697"/>
      <c r="AW719" s="697"/>
      <c r="AX719" s="697"/>
      <c r="AY719" s="697"/>
      <c r="AZ719" s="697"/>
      <c r="BA719" s="697"/>
      <c r="BB719" s="697"/>
      <c r="BC719" s="697"/>
      <c r="BD719" s="697"/>
      <c r="BE719" s="697"/>
      <c r="BF719" s="697"/>
      <c r="BG719" s="697"/>
      <c r="BH719" s="697"/>
      <c r="BI719" s="697"/>
      <c r="BJ719" s="697"/>
      <c r="BK719" s="697"/>
      <c r="BL719" s="697"/>
      <c r="BM719" s="697"/>
      <c r="BN719" s="697"/>
      <c r="BO719" s="697"/>
      <c r="BP719" s="697"/>
      <c r="BQ719" s="697"/>
      <c r="BR719" s="697"/>
      <c r="BS719" s="697"/>
      <c r="BT719" s="697"/>
      <c r="BU719" s="697"/>
      <c r="BV719" s="697"/>
      <c r="BW719" s="697"/>
      <c r="BX719" s="697"/>
      <c r="BY719" s="697"/>
      <c r="BZ719" s="697"/>
      <c r="CA719" s="697"/>
      <c r="CB719" s="697"/>
      <c r="CC719" s="697"/>
      <c r="CD719" s="697"/>
      <c r="CE719" s="697"/>
      <c r="CF719" s="697"/>
      <c r="CG719" s="697"/>
      <c r="CH719" s="697"/>
      <c r="CI719" s="697"/>
      <c r="CJ719" s="697"/>
      <c r="CK719" s="697"/>
      <c r="CL719" s="697"/>
      <c r="CM719" s="697"/>
      <c r="CN719" s="697"/>
      <c r="CO719" s="697"/>
      <c r="CP719" s="697"/>
      <c r="CQ719" s="697"/>
      <c r="CR719" s="697"/>
      <c r="CS719" s="697"/>
      <c r="CT719" s="697"/>
      <c r="CU719" s="697"/>
      <c r="CV719" s="697"/>
      <c r="CW719" s="697"/>
      <c r="CX719" s="697"/>
      <c r="CY719" s="697"/>
      <c r="CZ719" s="697"/>
      <c r="DA719" s="697"/>
    </row>
    <row r="720" spans="1:105" x14ac:dyDescent="0.2">
      <c r="A720" s="709">
        <f t="shared" si="125"/>
        <v>41518</v>
      </c>
      <c r="B720" s="709" t="str">
        <f t="shared" si="122"/>
        <v>3Q13</v>
      </c>
      <c r="C720" s="709" t="str">
        <f t="shared" si="126"/>
        <v>4Q13</v>
      </c>
      <c r="D720" s="710">
        <f t="shared" si="127"/>
        <v>41593</v>
      </c>
      <c r="E720" s="710">
        <f t="shared" si="127"/>
        <v>41533</v>
      </c>
      <c r="F720" s="712">
        <v>3.9740000000000002</v>
      </c>
      <c r="G720" s="713">
        <f t="shared" si="123"/>
        <v>0.57000000000000028</v>
      </c>
      <c r="H720" s="713">
        <f t="shared" si="124"/>
        <v>0.56000000000000028</v>
      </c>
      <c r="I720" s="697"/>
      <c r="J720" s="697"/>
      <c r="K720" s="697"/>
      <c r="L720" s="697"/>
      <c r="M720" s="697"/>
      <c r="N720" s="697"/>
      <c r="O720" s="697"/>
      <c r="P720" s="697"/>
      <c r="Q720" s="697"/>
      <c r="R720" s="697"/>
      <c r="S720" s="697"/>
      <c r="T720" s="697"/>
      <c r="U720" s="697"/>
      <c r="V720" s="697"/>
      <c r="W720" s="697"/>
      <c r="X720" s="697"/>
      <c r="Y720" s="697"/>
      <c r="Z720" s="697"/>
      <c r="AA720" s="697"/>
      <c r="AB720" s="697"/>
      <c r="AC720" s="697"/>
      <c r="AD720" s="697"/>
      <c r="AE720" s="697"/>
      <c r="AF720" s="697"/>
      <c r="AG720" s="697"/>
      <c r="AH720" s="697"/>
      <c r="AI720" s="697"/>
      <c r="AJ720" s="697"/>
      <c r="AK720" s="697"/>
      <c r="AL720" s="697"/>
      <c r="AM720" s="697"/>
      <c r="AN720" s="697"/>
      <c r="AO720" s="697"/>
      <c r="AP720" s="697"/>
      <c r="AQ720" s="697"/>
      <c r="AR720" s="697"/>
      <c r="AS720" s="697"/>
      <c r="AT720" s="697"/>
      <c r="AU720" s="697"/>
      <c r="AV720" s="697"/>
      <c r="AW720" s="697"/>
      <c r="AX720" s="697"/>
      <c r="AY720" s="697"/>
      <c r="AZ720" s="697"/>
      <c r="BA720" s="697"/>
      <c r="BB720" s="697"/>
      <c r="BC720" s="697"/>
      <c r="BD720" s="697"/>
      <c r="BE720" s="697"/>
      <c r="BF720" s="697"/>
      <c r="BG720" s="697"/>
      <c r="BH720" s="697"/>
      <c r="BI720" s="697"/>
      <c r="BJ720" s="697"/>
      <c r="BK720" s="697"/>
      <c r="BL720" s="697"/>
      <c r="BM720" s="697"/>
      <c r="BN720" s="697"/>
      <c r="BO720" s="697"/>
      <c r="BP720" s="697"/>
      <c r="BQ720" s="697"/>
      <c r="BR720" s="697"/>
      <c r="BS720" s="697"/>
      <c r="BT720" s="697"/>
      <c r="BU720" s="697"/>
      <c r="BV720" s="697"/>
      <c r="BW720" s="697"/>
      <c r="BX720" s="697"/>
      <c r="BY720" s="697"/>
      <c r="BZ720" s="697"/>
      <c r="CA720" s="697"/>
      <c r="CB720" s="697"/>
      <c r="CC720" s="697"/>
      <c r="CD720" s="697"/>
      <c r="CE720" s="697"/>
      <c r="CF720" s="697"/>
      <c r="CG720" s="697"/>
      <c r="CH720" s="697"/>
      <c r="CI720" s="697"/>
      <c r="CJ720" s="697"/>
      <c r="CK720" s="697"/>
      <c r="CL720" s="697"/>
      <c r="CM720" s="697"/>
      <c r="CN720" s="697"/>
      <c r="CO720" s="697"/>
      <c r="CP720" s="697"/>
      <c r="CQ720" s="697"/>
      <c r="CR720" s="697"/>
      <c r="CS720" s="697"/>
      <c r="CT720" s="697"/>
      <c r="CU720" s="697"/>
      <c r="CV720" s="697"/>
      <c r="CW720" s="697"/>
      <c r="CX720" s="697"/>
      <c r="CY720" s="697"/>
      <c r="CZ720" s="697"/>
      <c r="DA720" s="697"/>
    </row>
    <row r="721" spans="1:105" x14ac:dyDescent="0.2">
      <c r="A721" s="709">
        <f t="shared" si="125"/>
        <v>41518</v>
      </c>
      <c r="B721" s="709" t="str">
        <f t="shared" si="122"/>
        <v>3Q13</v>
      </c>
      <c r="C721" s="709" t="str">
        <f t="shared" si="126"/>
        <v>4Q13</v>
      </c>
      <c r="D721" s="710">
        <f t="shared" si="127"/>
        <v>41600</v>
      </c>
      <c r="E721" s="710">
        <f t="shared" si="127"/>
        <v>41540</v>
      </c>
      <c r="F721" s="712">
        <v>3.9489999999999998</v>
      </c>
      <c r="G721" s="713">
        <f t="shared" si="123"/>
        <v>0.56000000000000028</v>
      </c>
      <c r="H721" s="713">
        <f t="shared" si="124"/>
        <v>0.56000000000000028</v>
      </c>
      <c r="I721" s="697"/>
      <c r="J721" s="697"/>
      <c r="K721" s="697"/>
      <c r="L721" s="697"/>
      <c r="M721" s="697"/>
      <c r="N721" s="697"/>
      <c r="O721" s="697"/>
      <c r="P721" s="697"/>
      <c r="Q721" s="697"/>
      <c r="R721" s="697"/>
      <c r="S721" s="697"/>
      <c r="T721" s="697"/>
      <c r="U721" s="697"/>
      <c r="V721" s="697"/>
      <c r="W721" s="697"/>
      <c r="X721" s="697"/>
      <c r="Y721" s="697"/>
      <c r="Z721" s="697"/>
      <c r="AA721" s="697"/>
      <c r="AB721" s="697"/>
      <c r="AC721" s="697"/>
      <c r="AD721" s="697"/>
      <c r="AE721" s="697"/>
      <c r="AF721" s="697"/>
      <c r="AG721" s="697"/>
      <c r="AH721" s="697"/>
      <c r="AI721" s="697"/>
      <c r="AJ721" s="697"/>
      <c r="AK721" s="697"/>
      <c r="AL721" s="697"/>
      <c r="AM721" s="697"/>
      <c r="AN721" s="697"/>
      <c r="AO721" s="697"/>
      <c r="AP721" s="697"/>
      <c r="AQ721" s="697"/>
      <c r="AR721" s="697"/>
      <c r="AS721" s="697"/>
      <c r="AT721" s="697"/>
      <c r="AU721" s="697"/>
      <c r="AV721" s="697"/>
      <c r="AW721" s="697"/>
      <c r="AX721" s="697"/>
      <c r="AY721" s="697"/>
      <c r="AZ721" s="697"/>
      <c r="BA721" s="697"/>
      <c r="BB721" s="697"/>
      <c r="BC721" s="697"/>
      <c r="BD721" s="697"/>
      <c r="BE721" s="697"/>
      <c r="BF721" s="697"/>
      <c r="BG721" s="697"/>
      <c r="BH721" s="697"/>
      <c r="BI721" s="697"/>
      <c r="BJ721" s="697"/>
      <c r="BK721" s="697"/>
      <c r="BL721" s="697"/>
      <c r="BM721" s="697"/>
      <c r="BN721" s="697"/>
      <c r="BO721" s="697"/>
      <c r="BP721" s="697"/>
      <c r="BQ721" s="697"/>
      <c r="BR721" s="697"/>
      <c r="BS721" s="697"/>
      <c r="BT721" s="697"/>
      <c r="BU721" s="697"/>
      <c r="BV721" s="697"/>
      <c r="BW721" s="697"/>
      <c r="BX721" s="697"/>
      <c r="BY721" s="697"/>
      <c r="BZ721" s="697"/>
      <c r="CA721" s="697"/>
      <c r="CB721" s="697"/>
      <c r="CC721" s="697"/>
      <c r="CD721" s="697"/>
      <c r="CE721" s="697"/>
      <c r="CF721" s="697"/>
      <c r="CG721" s="697"/>
      <c r="CH721" s="697"/>
      <c r="CI721" s="697"/>
      <c r="CJ721" s="697"/>
      <c r="CK721" s="697"/>
      <c r="CL721" s="697"/>
      <c r="CM721" s="697"/>
      <c r="CN721" s="697"/>
      <c r="CO721" s="697"/>
      <c r="CP721" s="697"/>
      <c r="CQ721" s="697"/>
      <c r="CR721" s="697"/>
      <c r="CS721" s="697"/>
      <c r="CT721" s="697"/>
      <c r="CU721" s="697"/>
      <c r="CV721" s="697"/>
      <c r="CW721" s="697"/>
      <c r="CX721" s="697"/>
      <c r="CY721" s="697"/>
      <c r="CZ721" s="697"/>
      <c r="DA721" s="697"/>
    </row>
    <row r="722" spans="1:105" x14ac:dyDescent="0.2">
      <c r="A722" s="709">
        <f t="shared" si="125"/>
        <v>41518</v>
      </c>
      <c r="B722" s="709" t="str">
        <f t="shared" si="122"/>
        <v>3Q13</v>
      </c>
      <c r="C722" s="709" t="str">
        <f t="shared" si="126"/>
        <v>4Q13</v>
      </c>
      <c r="D722" s="710">
        <f t="shared" si="127"/>
        <v>41607</v>
      </c>
      <c r="E722" s="710">
        <f t="shared" si="127"/>
        <v>41547</v>
      </c>
      <c r="F722" s="712">
        <v>3.919</v>
      </c>
      <c r="G722" s="713">
        <f t="shared" si="123"/>
        <v>0.56000000000000028</v>
      </c>
      <c r="H722" s="713">
        <f t="shared" si="124"/>
        <v>0.55000000000000027</v>
      </c>
      <c r="I722" s="697"/>
      <c r="J722" s="697"/>
      <c r="K722" s="697"/>
      <c r="L722" s="697"/>
      <c r="M722" s="697"/>
      <c r="N722" s="697"/>
      <c r="O722" s="697"/>
      <c r="P722" s="697"/>
      <c r="Q722" s="697"/>
      <c r="R722" s="697"/>
      <c r="S722" s="697"/>
      <c r="T722" s="697"/>
      <c r="U722" s="697"/>
      <c r="V722" s="697"/>
      <c r="W722" s="697"/>
      <c r="X722" s="697"/>
      <c r="Y722" s="697"/>
      <c r="Z722" s="697"/>
      <c r="AA722" s="697"/>
      <c r="AB722" s="697"/>
      <c r="AC722" s="697"/>
      <c r="AD722" s="697"/>
      <c r="AE722" s="697"/>
      <c r="AF722" s="697"/>
      <c r="AG722" s="697"/>
      <c r="AH722" s="697"/>
      <c r="AI722" s="697"/>
      <c r="AJ722" s="697"/>
      <c r="AK722" s="697"/>
      <c r="AL722" s="697"/>
      <c r="AM722" s="697"/>
      <c r="AN722" s="697"/>
      <c r="AO722" s="697"/>
      <c r="AP722" s="697"/>
      <c r="AQ722" s="697"/>
      <c r="AR722" s="697"/>
      <c r="AS722" s="697"/>
      <c r="AT722" s="697"/>
      <c r="AU722" s="697"/>
      <c r="AV722" s="697"/>
      <c r="AW722" s="697"/>
      <c r="AX722" s="697"/>
      <c r="AY722" s="697"/>
      <c r="AZ722" s="697"/>
      <c r="BA722" s="697"/>
      <c r="BB722" s="697"/>
      <c r="BC722" s="697"/>
      <c r="BD722" s="697"/>
      <c r="BE722" s="697"/>
      <c r="BF722" s="697"/>
      <c r="BG722" s="697"/>
      <c r="BH722" s="697"/>
      <c r="BI722" s="697"/>
      <c r="BJ722" s="697"/>
      <c r="BK722" s="697"/>
      <c r="BL722" s="697"/>
      <c r="BM722" s="697"/>
      <c r="BN722" s="697"/>
      <c r="BO722" s="697"/>
      <c r="BP722" s="697"/>
      <c r="BQ722" s="697"/>
      <c r="BR722" s="697"/>
      <c r="BS722" s="697"/>
      <c r="BT722" s="697"/>
      <c r="BU722" s="697"/>
      <c r="BV722" s="697"/>
      <c r="BW722" s="697"/>
      <c r="BX722" s="697"/>
      <c r="BY722" s="697"/>
      <c r="BZ722" s="697"/>
      <c r="CA722" s="697"/>
      <c r="CB722" s="697"/>
      <c r="CC722" s="697"/>
      <c r="CD722" s="697"/>
      <c r="CE722" s="697"/>
      <c r="CF722" s="697"/>
      <c r="CG722" s="697"/>
      <c r="CH722" s="697"/>
      <c r="CI722" s="697"/>
      <c r="CJ722" s="697"/>
      <c r="CK722" s="697"/>
      <c r="CL722" s="697"/>
      <c r="CM722" s="697"/>
      <c r="CN722" s="697"/>
      <c r="CO722" s="697"/>
      <c r="CP722" s="697"/>
      <c r="CQ722" s="697"/>
      <c r="CR722" s="697"/>
      <c r="CS722" s="697"/>
      <c r="CT722" s="697"/>
      <c r="CU722" s="697"/>
      <c r="CV722" s="697"/>
      <c r="CW722" s="697"/>
      <c r="CX722" s="697"/>
      <c r="CY722" s="697"/>
      <c r="CZ722" s="697"/>
      <c r="DA722" s="697"/>
    </row>
    <row r="723" spans="1:105" x14ac:dyDescent="0.2">
      <c r="A723" s="709">
        <f t="shared" si="125"/>
        <v>41548</v>
      </c>
      <c r="B723" s="709" t="str">
        <f t="shared" si="122"/>
        <v>4Q13</v>
      </c>
      <c r="C723" s="709" t="str">
        <f t="shared" si="126"/>
        <v>4Q13</v>
      </c>
      <c r="D723" s="710">
        <f t="shared" si="127"/>
        <v>41614</v>
      </c>
      <c r="E723" s="710">
        <f t="shared" si="127"/>
        <v>41554</v>
      </c>
      <c r="F723" s="712">
        <v>3.8969999999999998</v>
      </c>
      <c r="G723" s="713">
        <f t="shared" si="123"/>
        <v>0.55000000000000027</v>
      </c>
      <c r="H723" s="713">
        <f t="shared" si="124"/>
        <v>0.55000000000000027</v>
      </c>
      <c r="I723" s="697"/>
      <c r="J723" s="697"/>
      <c r="K723" s="697"/>
      <c r="L723" s="697"/>
      <c r="M723" s="697"/>
      <c r="N723" s="697"/>
      <c r="O723" s="697"/>
      <c r="P723" s="697"/>
      <c r="Q723" s="697"/>
      <c r="R723" s="697"/>
      <c r="S723" s="697"/>
      <c r="T723" s="697"/>
      <c r="U723" s="697"/>
      <c r="V723" s="697"/>
      <c r="W723" s="697"/>
      <c r="X723" s="697"/>
      <c r="Y723" s="697"/>
      <c r="Z723" s="697"/>
      <c r="AA723" s="697"/>
      <c r="AB723" s="697"/>
      <c r="AC723" s="697"/>
      <c r="AD723" s="697"/>
      <c r="AE723" s="697"/>
      <c r="AF723" s="697"/>
      <c r="AG723" s="697"/>
      <c r="AH723" s="697"/>
      <c r="AI723" s="697"/>
      <c r="AJ723" s="697"/>
      <c r="AK723" s="697"/>
      <c r="AL723" s="697"/>
      <c r="AM723" s="697"/>
      <c r="AN723" s="697"/>
      <c r="AO723" s="697"/>
      <c r="AP723" s="697"/>
      <c r="AQ723" s="697"/>
      <c r="AR723" s="697"/>
      <c r="AS723" s="697"/>
      <c r="AT723" s="697"/>
      <c r="AU723" s="697"/>
      <c r="AV723" s="697"/>
      <c r="AW723" s="697"/>
      <c r="AX723" s="697"/>
      <c r="AY723" s="697"/>
      <c r="AZ723" s="697"/>
      <c r="BA723" s="697"/>
      <c r="BB723" s="697"/>
      <c r="BC723" s="697"/>
      <c r="BD723" s="697"/>
      <c r="BE723" s="697"/>
      <c r="BF723" s="697"/>
      <c r="BG723" s="697"/>
      <c r="BH723" s="697"/>
      <c r="BI723" s="697"/>
      <c r="BJ723" s="697"/>
      <c r="BK723" s="697"/>
      <c r="BL723" s="697"/>
      <c r="BM723" s="697"/>
      <c r="BN723" s="697"/>
      <c r="BO723" s="697"/>
      <c r="BP723" s="697"/>
      <c r="BQ723" s="697"/>
      <c r="BR723" s="697"/>
      <c r="BS723" s="697"/>
      <c r="BT723" s="697"/>
      <c r="BU723" s="697"/>
      <c r="BV723" s="697"/>
      <c r="BW723" s="697"/>
      <c r="BX723" s="697"/>
      <c r="BY723" s="697"/>
      <c r="BZ723" s="697"/>
      <c r="CA723" s="697"/>
      <c r="CB723" s="697"/>
      <c r="CC723" s="697"/>
      <c r="CD723" s="697"/>
      <c r="CE723" s="697"/>
      <c r="CF723" s="697"/>
      <c r="CG723" s="697"/>
      <c r="CH723" s="697"/>
      <c r="CI723" s="697"/>
      <c r="CJ723" s="697"/>
      <c r="CK723" s="697"/>
      <c r="CL723" s="697"/>
      <c r="CM723" s="697"/>
      <c r="CN723" s="697"/>
      <c r="CO723" s="697"/>
      <c r="CP723" s="697"/>
      <c r="CQ723" s="697"/>
      <c r="CR723" s="697"/>
      <c r="CS723" s="697"/>
      <c r="CT723" s="697"/>
      <c r="CU723" s="697"/>
      <c r="CV723" s="697"/>
      <c r="CW723" s="697"/>
      <c r="CX723" s="697"/>
      <c r="CY723" s="697"/>
      <c r="CZ723" s="697"/>
      <c r="DA723" s="697"/>
    </row>
    <row r="724" spans="1:105" x14ac:dyDescent="0.2">
      <c r="A724" s="709">
        <f t="shared" si="125"/>
        <v>41548</v>
      </c>
      <c r="B724" s="709" t="str">
        <f t="shared" si="122"/>
        <v>4Q13</v>
      </c>
      <c r="C724" s="709" t="str">
        <f t="shared" si="126"/>
        <v>4Q13</v>
      </c>
      <c r="D724" s="710">
        <f t="shared" si="127"/>
        <v>41621</v>
      </c>
      <c r="E724" s="710">
        <f t="shared" si="127"/>
        <v>41561</v>
      </c>
      <c r="F724" s="712">
        <v>3.8860000000000001</v>
      </c>
      <c r="G724" s="713">
        <f t="shared" si="123"/>
        <v>0.55000000000000027</v>
      </c>
      <c r="H724" s="713">
        <f t="shared" si="124"/>
        <v>0.55000000000000027</v>
      </c>
      <c r="I724" s="697"/>
      <c r="J724" s="697"/>
      <c r="K724" s="697"/>
      <c r="L724" s="697"/>
      <c r="M724" s="697"/>
      <c r="N724" s="697"/>
      <c r="O724" s="697"/>
      <c r="P724" s="697"/>
      <c r="Q724" s="697"/>
      <c r="R724" s="697"/>
      <c r="S724" s="697"/>
      <c r="T724" s="697"/>
      <c r="U724" s="697"/>
      <c r="V724" s="697"/>
      <c r="W724" s="697"/>
      <c r="X724" s="697"/>
      <c r="Y724" s="697"/>
      <c r="Z724" s="697"/>
      <c r="AA724" s="697"/>
      <c r="AB724" s="697"/>
      <c r="AC724" s="697"/>
      <c r="AD724" s="697"/>
      <c r="AE724" s="697"/>
      <c r="AF724" s="697"/>
      <c r="AG724" s="697"/>
      <c r="AH724" s="697"/>
      <c r="AI724" s="697"/>
      <c r="AJ724" s="697"/>
      <c r="AK724" s="697"/>
      <c r="AL724" s="697"/>
      <c r="AM724" s="697"/>
      <c r="AN724" s="697"/>
      <c r="AO724" s="697"/>
      <c r="AP724" s="697"/>
      <c r="AQ724" s="697"/>
      <c r="AR724" s="697"/>
      <c r="AS724" s="697"/>
      <c r="AT724" s="697"/>
      <c r="AU724" s="697"/>
      <c r="AV724" s="697"/>
      <c r="AW724" s="697"/>
      <c r="AX724" s="697"/>
      <c r="AY724" s="697"/>
      <c r="AZ724" s="697"/>
      <c r="BA724" s="697"/>
      <c r="BB724" s="697"/>
      <c r="BC724" s="697"/>
      <c r="BD724" s="697"/>
      <c r="BE724" s="697"/>
      <c r="BF724" s="697"/>
      <c r="BG724" s="697"/>
      <c r="BH724" s="697"/>
      <c r="BI724" s="697"/>
      <c r="BJ724" s="697"/>
      <c r="BK724" s="697"/>
      <c r="BL724" s="697"/>
      <c r="BM724" s="697"/>
      <c r="BN724" s="697"/>
      <c r="BO724" s="697"/>
      <c r="BP724" s="697"/>
      <c r="BQ724" s="697"/>
      <c r="BR724" s="697"/>
      <c r="BS724" s="697"/>
      <c r="BT724" s="697"/>
      <c r="BU724" s="697"/>
      <c r="BV724" s="697"/>
      <c r="BW724" s="697"/>
      <c r="BX724" s="697"/>
      <c r="BY724" s="697"/>
      <c r="BZ724" s="697"/>
      <c r="CA724" s="697"/>
      <c r="CB724" s="697"/>
      <c r="CC724" s="697"/>
      <c r="CD724" s="697"/>
      <c r="CE724" s="697"/>
      <c r="CF724" s="697"/>
      <c r="CG724" s="697"/>
      <c r="CH724" s="697"/>
      <c r="CI724" s="697"/>
      <c r="CJ724" s="697"/>
      <c r="CK724" s="697"/>
      <c r="CL724" s="697"/>
      <c r="CM724" s="697"/>
      <c r="CN724" s="697"/>
      <c r="CO724" s="697"/>
      <c r="CP724" s="697"/>
      <c r="CQ724" s="697"/>
      <c r="CR724" s="697"/>
      <c r="CS724" s="697"/>
      <c r="CT724" s="697"/>
      <c r="CU724" s="697"/>
      <c r="CV724" s="697"/>
      <c r="CW724" s="697"/>
      <c r="CX724" s="697"/>
      <c r="CY724" s="697"/>
      <c r="CZ724" s="697"/>
      <c r="DA724" s="697"/>
    </row>
    <row r="725" spans="1:105" x14ac:dyDescent="0.2">
      <c r="A725" s="709">
        <f t="shared" si="125"/>
        <v>41548</v>
      </c>
      <c r="B725" s="709" t="str">
        <f t="shared" si="122"/>
        <v>4Q13</v>
      </c>
      <c r="C725" s="709" t="str">
        <f t="shared" si="126"/>
        <v>4Q13</v>
      </c>
      <c r="D725" s="710">
        <f t="shared" ref="D725:E740" si="128">D724+7</f>
        <v>41628</v>
      </c>
      <c r="E725" s="710">
        <f t="shared" si="128"/>
        <v>41568</v>
      </c>
      <c r="F725" s="712">
        <v>3.8860000000000001</v>
      </c>
      <c r="G725" s="713">
        <f t="shared" si="123"/>
        <v>0.55000000000000027</v>
      </c>
      <c r="H725" s="713">
        <f t="shared" si="124"/>
        <v>0.55000000000000027</v>
      </c>
      <c r="I725" s="697"/>
      <c r="J725" s="697"/>
      <c r="K725" s="697"/>
      <c r="L725" s="697"/>
      <c r="M725" s="697"/>
      <c r="N725" s="697"/>
      <c r="O725" s="697"/>
      <c r="P725" s="697"/>
      <c r="Q725" s="697"/>
      <c r="R725" s="697"/>
      <c r="S725" s="697"/>
      <c r="T725" s="697"/>
      <c r="U725" s="697"/>
      <c r="V725" s="697"/>
      <c r="W725" s="697"/>
      <c r="X725" s="697"/>
      <c r="Y725" s="697"/>
      <c r="Z725" s="697"/>
      <c r="AA725" s="697"/>
      <c r="AB725" s="697"/>
      <c r="AC725" s="697"/>
      <c r="AD725" s="697"/>
      <c r="AE725" s="697"/>
      <c r="AF725" s="697"/>
      <c r="AG725" s="697"/>
      <c r="AH725" s="697"/>
      <c r="AI725" s="697"/>
      <c r="AJ725" s="697"/>
      <c r="AK725" s="697"/>
      <c r="AL725" s="697"/>
      <c r="AM725" s="697"/>
      <c r="AN725" s="697"/>
      <c r="AO725" s="697"/>
      <c r="AP725" s="697"/>
      <c r="AQ725" s="697"/>
      <c r="AR725" s="697"/>
      <c r="AS725" s="697"/>
      <c r="AT725" s="697"/>
      <c r="AU725" s="697"/>
      <c r="AV725" s="697"/>
      <c r="AW725" s="697"/>
      <c r="AX725" s="697"/>
      <c r="AY725" s="697"/>
      <c r="AZ725" s="697"/>
      <c r="BA725" s="697"/>
      <c r="BB725" s="697"/>
      <c r="BC725" s="697"/>
      <c r="BD725" s="697"/>
      <c r="BE725" s="697"/>
      <c r="BF725" s="697"/>
      <c r="BG725" s="697"/>
      <c r="BH725" s="697"/>
      <c r="BI725" s="697"/>
      <c r="BJ725" s="697"/>
      <c r="BK725" s="697"/>
      <c r="BL725" s="697"/>
      <c r="BM725" s="697"/>
      <c r="BN725" s="697"/>
      <c r="BO725" s="697"/>
      <c r="BP725" s="697"/>
      <c r="BQ725" s="697"/>
      <c r="BR725" s="697"/>
      <c r="BS725" s="697"/>
      <c r="BT725" s="697"/>
      <c r="BU725" s="697"/>
      <c r="BV725" s="697"/>
      <c r="BW725" s="697"/>
      <c r="BX725" s="697"/>
      <c r="BY725" s="697"/>
      <c r="BZ725" s="697"/>
      <c r="CA725" s="697"/>
      <c r="CB725" s="697"/>
      <c r="CC725" s="697"/>
      <c r="CD725" s="697"/>
      <c r="CE725" s="697"/>
      <c r="CF725" s="697"/>
      <c r="CG725" s="697"/>
      <c r="CH725" s="697"/>
      <c r="CI725" s="697"/>
      <c r="CJ725" s="697"/>
      <c r="CK725" s="697"/>
      <c r="CL725" s="697"/>
      <c r="CM725" s="697"/>
      <c r="CN725" s="697"/>
      <c r="CO725" s="697"/>
      <c r="CP725" s="697"/>
      <c r="CQ725" s="697"/>
      <c r="CR725" s="697"/>
      <c r="CS725" s="697"/>
      <c r="CT725" s="697"/>
      <c r="CU725" s="697"/>
      <c r="CV725" s="697"/>
      <c r="CW725" s="697"/>
      <c r="CX725" s="697"/>
      <c r="CY725" s="697"/>
      <c r="CZ725" s="697"/>
      <c r="DA725" s="697"/>
    </row>
    <row r="726" spans="1:105" x14ac:dyDescent="0.2">
      <c r="A726" s="709">
        <f t="shared" si="125"/>
        <v>41548</v>
      </c>
      <c r="B726" s="709" t="str">
        <f t="shared" si="122"/>
        <v>4Q13</v>
      </c>
      <c r="C726" s="709" t="str">
        <f t="shared" si="126"/>
        <v>4Q13</v>
      </c>
      <c r="D726" s="710">
        <f t="shared" si="128"/>
        <v>41635</v>
      </c>
      <c r="E726" s="710">
        <f t="shared" si="128"/>
        <v>41575</v>
      </c>
      <c r="F726" s="712">
        <v>3.87</v>
      </c>
      <c r="G726" s="713">
        <f t="shared" si="123"/>
        <v>0.55000000000000027</v>
      </c>
      <c r="H726" s="713">
        <f t="shared" si="124"/>
        <v>0.55000000000000027</v>
      </c>
      <c r="I726" s="697"/>
      <c r="J726" s="697"/>
      <c r="K726" s="697"/>
      <c r="L726" s="697"/>
      <c r="M726" s="697"/>
      <c r="N726" s="697"/>
      <c r="O726" s="697"/>
      <c r="P726" s="697"/>
      <c r="Q726" s="697"/>
      <c r="R726" s="697"/>
      <c r="S726" s="697"/>
      <c r="T726" s="697"/>
      <c r="U726" s="697"/>
      <c r="V726" s="697"/>
      <c r="W726" s="697"/>
      <c r="X726" s="697"/>
      <c r="Y726" s="697"/>
      <c r="Z726" s="697"/>
      <c r="AA726" s="697"/>
      <c r="AB726" s="697"/>
      <c r="AC726" s="697"/>
      <c r="AD726" s="697"/>
      <c r="AE726" s="697"/>
      <c r="AF726" s="697"/>
      <c r="AG726" s="697"/>
      <c r="AH726" s="697"/>
      <c r="AI726" s="697"/>
      <c r="AJ726" s="697"/>
      <c r="AK726" s="697"/>
      <c r="AL726" s="697"/>
      <c r="AM726" s="697"/>
      <c r="AN726" s="697"/>
      <c r="AO726" s="697"/>
      <c r="AP726" s="697"/>
      <c r="AQ726" s="697"/>
      <c r="AR726" s="697"/>
      <c r="AS726" s="697"/>
      <c r="AT726" s="697"/>
      <c r="AU726" s="697"/>
      <c r="AV726" s="697"/>
      <c r="AW726" s="697"/>
      <c r="AX726" s="697"/>
      <c r="AY726" s="697"/>
      <c r="AZ726" s="697"/>
      <c r="BA726" s="697"/>
      <c r="BB726" s="697"/>
      <c r="BC726" s="697"/>
      <c r="BD726" s="697"/>
      <c r="BE726" s="697"/>
      <c r="BF726" s="697"/>
      <c r="BG726" s="697"/>
      <c r="BH726" s="697"/>
      <c r="BI726" s="697"/>
      <c r="BJ726" s="697"/>
      <c r="BK726" s="697"/>
      <c r="BL726" s="697"/>
      <c r="BM726" s="697"/>
      <c r="BN726" s="697"/>
      <c r="BO726" s="697"/>
      <c r="BP726" s="697"/>
      <c r="BQ726" s="697"/>
      <c r="BR726" s="697"/>
      <c r="BS726" s="697"/>
      <c r="BT726" s="697"/>
      <c r="BU726" s="697"/>
      <c r="BV726" s="697"/>
      <c r="BW726" s="697"/>
      <c r="BX726" s="697"/>
      <c r="BY726" s="697"/>
      <c r="BZ726" s="697"/>
      <c r="CA726" s="697"/>
      <c r="CB726" s="697"/>
      <c r="CC726" s="697"/>
      <c r="CD726" s="697"/>
      <c r="CE726" s="697"/>
      <c r="CF726" s="697"/>
      <c r="CG726" s="697"/>
      <c r="CH726" s="697"/>
      <c r="CI726" s="697"/>
      <c r="CJ726" s="697"/>
      <c r="CK726" s="697"/>
      <c r="CL726" s="697"/>
      <c r="CM726" s="697"/>
      <c r="CN726" s="697"/>
      <c r="CO726" s="697"/>
      <c r="CP726" s="697"/>
      <c r="CQ726" s="697"/>
      <c r="CR726" s="697"/>
      <c r="CS726" s="697"/>
      <c r="CT726" s="697"/>
      <c r="CU726" s="697"/>
      <c r="CV726" s="697"/>
      <c r="CW726" s="697"/>
      <c r="CX726" s="697"/>
      <c r="CY726" s="697"/>
      <c r="CZ726" s="697"/>
      <c r="DA726" s="697"/>
    </row>
    <row r="727" spans="1:105" x14ac:dyDescent="0.2">
      <c r="A727" s="709">
        <f t="shared" si="125"/>
        <v>41579</v>
      </c>
      <c r="B727" s="709" t="str">
        <f t="shared" si="122"/>
        <v>4Q13</v>
      </c>
      <c r="C727" s="709" t="str">
        <f t="shared" si="126"/>
        <v>1Q14</v>
      </c>
      <c r="D727" s="710">
        <f t="shared" si="128"/>
        <v>41642</v>
      </c>
      <c r="E727" s="710">
        <f t="shared" si="128"/>
        <v>41582</v>
      </c>
      <c r="F727" s="712">
        <v>3.8570000000000002</v>
      </c>
      <c r="G727" s="713">
        <f t="shared" si="123"/>
        <v>0.55000000000000027</v>
      </c>
      <c r="H727" s="713">
        <f t="shared" si="124"/>
        <v>0.54000000000000026</v>
      </c>
      <c r="I727" s="697"/>
      <c r="J727" s="697"/>
      <c r="K727" s="697"/>
      <c r="L727" s="697"/>
      <c r="M727" s="697"/>
      <c r="N727" s="697"/>
      <c r="O727" s="697"/>
      <c r="P727" s="697"/>
      <c r="Q727" s="697"/>
      <c r="R727" s="697"/>
      <c r="S727" s="697"/>
      <c r="T727" s="697"/>
      <c r="U727" s="697"/>
      <c r="V727" s="697"/>
      <c r="W727" s="697"/>
      <c r="X727" s="697"/>
      <c r="Y727" s="697"/>
      <c r="Z727" s="697"/>
      <c r="AA727" s="697"/>
      <c r="AB727" s="697"/>
      <c r="AC727" s="697"/>
      <c r="AD727" s="697"/>
      <c r="AE727" s="697"/>
      <c r="AF727" s="697"/>
      <c r="AG727" s="697"/>
      <c r="AH727" s="697"/>
      <c r="AI727" s="697"/>
      <c r="AJ727" s="697"/>
      <c r="AK727" s="697"/>
      <c r="AL727" s="697"/>
      <c r="AM727" s="697"/>
      <c r="AN727" s="697"/>
      <c r="AO727" s="697"/>
      <c r="AP727" s="697"/>
      <c r="AQ727" s="697"/>
      <c r="AR727" s="697"/>
      <c r="AS727" s="697"/>
      <c r="AT727" s="697"/>
      <c r="AU727" s="697"/>
      <c r="AV727" s="697"/>
      <c r="AW727" s="697"/>
      <c r="AX727" s="697"/>
      <c r="AY727" s="697"/>
      <c r="AZ727" s="697"/>
      <c r="BA727" s="697"/>
      <c r="BB727" s="697"/>
      <c r="BC727" s="697"/>
      <c r="BD727" s="697"/>
      <c r="BE727" s="697"/>
      <c r="BF727" s="697"/>
      <c r="BG727" s="697"/>
      <c r="BH727" s="697"/>
      <c r="BI727" s="697"/>
      <c r="BJ727" s="697"/>
      <c r="BK727" s="697"/>
      <c r="BL727" s="697"/>
      <c r="BM727" s="697"/>
      <c r="BN727" s="697"/>
      <c r="BO727" s="697"/>
      <c r="BP727" s="697"/>
      <c r="BQ727" s="697"/>
      <c r="BR727" s="697"/>
      <c r="BS727" s="697"/>
      <c r="BT727" s="697"/>
      <c r="BU727" s="697"/>
      <c r="BV727" s="697"/>
      <c r="BW727" s="697"/>
      <c r="BX727" s="697"/>
      <c r="BY727" s="697"/>
      <c r="BZ727" s="697"/>
      <c r="CA727" s="697"/>
      <c r="CB727" s="697"/>
      <c r="CC727" s="697"/>
      <c r="CD727" s="697"/>
      <c r="CE727" s="697"/>
      <c r="CF727" s="697"/>
      <c r="CG727" s="697"/>
      <c r="CH727" s="697"/>
      <c r="CI727" s="697"/>
      <c r="CJ727" s="697"/>
      <c r="CK727" s="697"/>
      <c r="CL727" s="697"/>
      <c r="CM727" s="697"/>
      <c r="CN727" s="697"/>
      <c r="CO727" s="697"/>
      <c r="CP727" s="697"/>
      <c r="CQ727" s="697"/>
      <c r="CR727" s="697"/>
      <c r="CS727" s="697"/>
      <c r="CT727" s="697"/>
      <c r="CU727" s="697"/>
      <c r="CV727" s="697"/>
      <c r="CW727" s="697"/>
      <c r="CX727" s="697"/>
      <c r="CY727" s="697"/>
      <c r="CZ727" s="697"/>
      <c r="DA727" s="697"/>
    </row>
    <row r="728" spans="1:105" x14ac:dyDescent="0.2">
      <c r="A728" s="709">
        <f t="shared" si="125"/>
        <v>41579</v>
      </c>
      <c r="B728" s="709" t="str">
        <f t="shared" si="122"/>
        <v>4Q13</v>
      </c>
      <c r="C728" s="709" t="str">
        <f t="shared" si="126"/>
        <v>1Q14</v>
      </c>
      <c r="D728" s="710">
        <f t="shared" si="128"/>
        <v>41649</v>
      </c>
      <c r="E728" s="710">
        <f t="shared" si="128"/>
        <v>41589</v>
      </c>
      <c r="F728" s="712">
        <v>3.8319999999999999</v>
      </c>
      <c r="G728" s="713">
        <f t="shared" si="123"/>
        <v>0.54000000000000026</v>
      </c>
      <c r="H728" s="713">
        <f t="shared" si="124"/>
        <v>0.54000000000000026</v>
      </c>
      <c r="I728" s="697"/>
      <c r="J728" s="697"/>
      <c r="K728" s="697"/>
      <c r="L728" s="697"/>
      <c r="M728" s="697"/>
      <c r="N728" s="697"/>
      <c r="O728" s="697"/>
      <c r="P728" s="697"/>
      <c r="Q728" s="697"/>
      <c r="R728" s="697"/>
      <c r="S728" s="697"/>
      <c r="T728" s="697"/>
      <c r="U728" s="697"/>
      <c r="V728" s="697"/>
      <c r="W728" s="697"/>
      <c r="X728" s="697"/>
      <c r="Y728" s="697"/>
      <c r="Z728" s="697"/>
      <c r="AA728" s="697"/>
      <c r="AB728" s="697"/>
      <c r="AC728" s="697"/>
      <c r="AD728" s="697"/>
      <c r="AE728" s="697"/>
      <c r="AF728" s="697"/>
      <c r="AG728" s="697"/>
      <c r="AH728" s="697"/>
      <c r="AI728" s="697"/>
      <c r="AJ728" s="697"/>
      <c r="AK728" s="697"/>
      <c r="AL728" s="697"/>
      <c r="AM728" s="697"/>
      <c r="AN728" s="697"/>
      <c r="AO728" s="697"/>
      <c r="AP728" s="697"/>
      <c r="AQ728" s="697"/>
      <c r="AR728" s="697"/>
      <c r="AS728" s="697"/>
      <c r="AT728" s="697"/>
      <c r="AU728" s="697"/>
      <c r="AV728" s="697"/>
      <c r="AW728" s="697"/>
      <c r="AX728" s="697"/>
      <c r="AY728" s="697"/>
      <c r="AZ728" s="697"/>
      <c r="BA728" s="697"/>
      <c r="BB728" s="697"/>
      <c r="BC728" s="697"/>
      <c r="BD728" s="697"/>
      <c r="BE728" s="697"/>
      <c r="BF728" s="697"/>
      <c r="BG728" s="697"/>
      <c r="BH728" s="697"/>
      <c r="BI728" s="697"/>
      <c r="BJ728" s="697"/>
      <c r="BK728" s="697"/>
      <c r="BL728" s="697"/>
      <c r="BM728" s="697"/>
      <c r="BN728" s="697"/>
      <c r="BO728" s="697"/>
      <c r="BP728" s="697"/>
      <c r="BQ728" s="697"/>
      <c r="BR728" s="697"/>
      <c r="BS728" s="697"/>
      <c r="BT728" s="697"/>
      <c r="BU728" s="697"/>
      <c r="BV728" s="697"/>
      <c r="BW728" s="697"/>
      <c r="BX728" s="697"/>
      <c r="BY728" s="697"/>
      <c r="BZ728" s="697"/>
      <c r="CA728" s="697"/>
      <c r="CB728" s="697"/>
      <c r="CC728" s="697"/>
      <c r="CD728" s="697"/>
      <c r="CE728" s="697"/>
      <c r="CF728" s="697"/>
      <c r="CG728" s="697"/>
      <c r="CH728" s="697"/>
      <c r="CI728" s="697"/>
      <c r="CJ728" s="697"/>
      <c r="CK728" s="697"/>
      <c r="CL728" s="697"/>
      <c r="CM728" s="697"/>
      <c r="CN728" s="697"/>
      <c r="CO728" s="697"/>
      <c r="CP728" s="697"/>
      <c r="CQ728" s="697"/>
      <c r="CR728" s="697"/>
      <c r="CS728" s="697"/>
      <c r="CT728" s="697"/>
      <c r="CU728" s="697"/>
      <c r="CV728" s="697"/>
      <c r="CW728" s="697"/>
      <c r="CX728" s="697"/>
      <c r="CY728" s="697"/>
      <c r="CZ728" s="697"/>
      <c r="DA728" s="697"/>
    </row>
    <row r="729" spans="1:105" x14ac:dyDescent="0.2">
      <c r="A729" s="709">
        <f t="shared" si="125"/>
        <v>41579</v>
      </c>
      <c r="B729" s="709" t="str">
        <f t="shared" si="122"/>
        <v>4Q13</v>
      </c>
      <c r="C729" s="709" t="str">
        <f t="shared" si="126"/>
        <v>1Q14</v>
      </c>
      <c r="D729" s="710">
        <f t="shared" si="128"/>
        <v>41656</v>
      </c>
      <c r="E729" s="710">
        <f t="shared" si="128"/>
        <v>41596</v>
      </c>
      <c r="F729" s="712">
        <v>3.8220000000000001</v>
      </c>
      <c r="G729" s="713">
        <f t="shared" si="123"/>
        <v>0.54000000000000026</v>
      </c>
      <c r="H729" s="713">
        <f t="shared" si="124"/>
        <v>0.54000000000000026</v>
      </c>
      <c r="I729" s="697"/>
      <c r="J729" s="697"/>
      <c r="K729" s="697"/>
      <c r="L729" s="697"/>
      <c r="M729" s="697"/>
      <c r="N729" s="697"/>
      <c r="O729" s="697"/>
      <c r="P729" s="697"/>
      <c r="Q729" s="697"/>
      <c r="R729" s="697"/>
      <c r="S729" s="697"/>
      <c r="T729" s="697"/>
      <c r="U729" s="697"/>
      <c r="V729" s="697"/>
      <c r="W729" s="697"/>
      <c r="X729" s="697"/>
      <c r="Y729" s="697"/>
      <c r="Z729" s="697"/>
      <c r="AA729" s="697"/>
      <c r="AB729" s="697"/>
      <c r="AC729" s="697"/>
      <c r="AD729" s="697"/>
      <c r="AE729" s="697"/>
      <c r="AF729" s="697"/>
      <c r="AG729" s="697"/>
      <c r="AH729" s="697"/>
      <c r="AI729" s="697"/>
      <c r="AJ729" s="697"/>
      <c r="AK729" s="697"/>
      <c r="AL729" s="697"/>
      <c r="AM729" s="697"/>
      <c r="AN729" s="697"/>
      <c r="AO729" s="697"/>
      <c r="AP729" s="697"/>
      <c r="AQ729" s="697"/>
      <c r="AR729" s="697"/>
      <c r="AS729" s="697"/>
      <c r="AT729" s="697"/>
      <c r="AU729" s="697"/>
      <c r="AV729" s="697"/>
      <c r="AW729" s="697"/>
      <c r="AX729" s="697"/>
      <c r="AY729" s="697"/>
      <c r="AZ729" s="697"/>
      <c r="BA729" s="697"/>
      <c r="BB729" s="697"/>
      <c r="BC729" s="697"/>
      <c r="BD729" s="697"/>
      <c r="BE729" s="697"/>
      <c r="BF729" s="697"/>
      <c r="BG729" s="697"/>
      <c r="BH729" s="697"/>
      <c r="BI729" s="697"/>
      <c r="BJ729" s="697"/>
      <c r="BK729" s="697"/>
      <c r="BL729" s="697"/>
      <c r="BM729" s="697"/>
      <c r="BN729" s="697"/>
      <c r="BO729" s="697"/>
      <c r="BP729" s="697"/>
      <c r="BQ729" s="697"/>
      <c r="BR729" s="697"/>
      <c r="BS729" s="697"/>
      <c r="BT729" s="697"/>
      <c r="BU729" s="697"/>
      <c r="BV729" s="697"/>
      <c r="BW729" s="697"/>
      <c r="BX729" s="697"/>
      <c r="BY729" s="697"/>
      <c r="BZ729" s="697"/>
      <c r="CA729" s="697"/>
      <c r="CB729" s="697"/>
      <c r="CC729" s="697"/>
      <c r="CD729" s="697"/>
      <c r="CE729" s="697"/>
      <c r="CF729" s="697"/>
      <c r="CG729" s="697"/>
      <c r="CH729" s="697"/>
      <c r="CI729" s="697"/>
      <c r="CJ729" s="697"/>
      <c r="CK729" s="697"/>
      <c r="CL729" s="697"/>
      <c r="CM729" s="697"/>
      <c r="CN729" s="697"/>
      <c r="CO729" s="697"/>
      <c r="CP729" s="697"/>
      <c r="CQ729" s="697"/>
      <c r="CR729" s="697"/>
      <c r="CS729" s="697"/>
      <c r="CT729" s="697"/>
      <c r="CU729" s="697"/>
      <c r="CV729" s="697"/>
      <c r="CW729" s="697"/>
      <c r="CX729" s="697"/>
      <c r="CY729" s="697"/>
      <c r="CZ729" s="697"/>
      <c r="DA729" s="697"/>
    </row>
    <row r="730" spans="1:105" x14ac:dyDescent="0.2">
      <c r="A730" s="709">
        <f t="shared" si="125"/>
        <v>41579</v>
      </c>
      <c r="B730" s="709" t="str">
        <f t="shared" si="122"/>
        <v>4Q13</v>
      </c>
      <c r="C730" s="709" t="str">
        <f t="shared" si="126"/>
        <v>1Q14</v>
      </c>
      <c r="D730" s="710">
        <f t="shared" si="128"/>
        <v>41663</v>
      </c>
      <c r="E730" s="710">
        <f t="shared" si="128"/>
        <v>41603</v>
      </c>
      <c r="F730" s="712">
        <v>3.8439999999999999</v>
      </c>
      <c r="G730" s="713">
        <f t="shared" si="123"/>
        <v>0.54000000000000026</v>
      </c>
      <c r="H730" s="713">
        <f t="shared" si="124"/>
        <v>0.55000000000000027</v>
      </c>
      <c r="I730" s="697"/>
      <c r="J730" s="697"/>
      <c r="K730" s="697"/>
      <c r="L730" s="697"/>
      <c r="M730" s="697"/>
      <c r="N730" s="697"/>
      <c r="O730" s="697"/>
      <c r="P730" s="697"/>
      <c r="Q730" s="697"/>
      <c r="R730" s="697"/>
      <c r="S730" s="697"/>
      <c r="T730" s="697"/>
      <c r="U730" s="697"/>
      <c r="V730" s="697"/>
      <c r="W730" s="697"/>
      <c r="X730" s="697"/>
      <c r="Y730" s="697"/>
      <c r="Z730" s="697"/>
      <c r="AA730" s="697"/>
      <c r="AB730" s="697"/>
      <c r="AC730" s="697"/>
      <c r="AD730" s="697"/>
      <c r="AE730" s="697"/>
      <c r="AF730" s="697"/>
      <c r="AG730" s="697"/>
      <c r="AH730" s="697"/>
      <c r="AI730" s="697"/>
      <c r="AJ730" s="697"/>
      <c r="AK730" s="697"/>
      <c r="AL730" s="697"/>
      <c r="AM730" s="697"/>
      <c r="AN730" s="697"/>
      <c r="AO730" s="697"/>
      <c r="AP730" s="697"/>
      <c r="AQ730" s="697"/>
      <c r="AR730" s="697"/>
      <c r="AS730" s="697"/>
      <c r="AT730" s="697"/>
      <c r="AU730" s="697"/>
      <c r="AV730" s="697"/>
      <c r="AW730" s="697"/>
      <c r="AX730" s="697"/>
      <c r="AY730" s="697"/>
      <c r="AZ730" s="697"/>
      <c r="BA730" s="697"/>
      <c r="BB730" s="697"/>
      <c r="BC730" s="697"/>
      <c r="BD730" s="697"/>
      <c r="BE730" s="697"/>
      <c r="BF730" s="697"/>
      <c r="BG730" s="697"/>
      <c r="BH730" s="697"/>
      <c r="BI730" s="697"/>
      <c r="BJ730" s="697"/>
      <c r="BK730" s="697"/>
      <c r="BL730" s="697"/>
      <c r="BM730" s="697"/>
      <c r="BN730" s="697"/>
      <c r="BO730" s="697"/>
      <c r="BP730" s="697"/>
      <c r="BQ730" s="697"/>
      <c r="BR730" s="697"/>
      <c r="BS730" s="697"/>
      <c r="BT730" s="697"/>
      <c r="BU730" s="697"/>
      <c r="BV730" s="697"/>
      <c r="BW730" s="697"/>
      <c r="BX730" s="697"/>
      <c r="BY730" s="697"/>
      <c r="BZ730" s="697"/>
      <c r="CA730" s="697"/>
      <c r="CB730" s="697"/>
      <c r="CC730" s="697"/>
      <c r="CD730" s="697"/>
      <c r="CE730" s="697"/>
      <c r="CF730" s="697"/>
      <c r="CG730" s="697"/>
      <c r="CH730" s="697"/>
      <c r="CI730" s="697"/>
      <c r="CJ730" s="697"/>
      <c r="CK730" s="697"/>
      <c r="CL730" s="697"/>
      <c r="CM730" s="697"/>
      <c r="CN730" s="697"/>
      <c r="CO730" s="697"/>
      <c r="CP730" s="697"/>
      <c r="CQ730" s="697"/>
      <c r="CR730" s="697"/>
      <c r="CS730" s="697"/>
      <c r="CT730" s="697"/>
      <c r="CU730" s="697"/>
      <c r="CV730" s="697"/>
      <c r="CW730" s="697"/>
      <c r="CX730" s="697"/>
      <c r="CY730" s="697"/>
      <c r="CZ730" s="697"/>
      <c r="DA730" s="697"/>
    </row>
    <row r="731" spans="1:105" x14ac:dyDescent="0.2">
      <c r="A731" s="709">
        <f t="shared" si="125"/>
        <v>41609</v>
      </c>
      <c r="B731" s="709" t="str">
        <f t="shared" si="122"/>
        <v>4Q13</v>
      </c>
      <c r="C731" s="709" t="str">
        <f t="shared" si="126"/>
        <v>1Q14</v>
      </c>
      <c r="D731" s="710">
        <f t="shared" si="128"/>
        <v>41670</v>
      </c>
      <c r="E731" s="710">
        <f t="shared" si="128"/>
        <v>41610</v>
      </c>
      <c r="F731" s="712">
        <v>3.883</v>
      </c>
      <c r="G731" s="713">
        <f t="shared" si="123"/>
        <v>0.55000000000000027</v>
      </c>
      <c r="H731" s="713">
        <f t="shared" si="124"/>
        <v>0.55000000000000027</v>
      </c>
      <c r="I731" s="697"/>
      <c r="J731" s="697"/>
      <c r="K731" s="697"/>
      <c r="L731" s="697"/>
      <c r="M731" s="697"/>
      <c r="N731" s="697"/>
      <c r="O731" s="697"/>
      <c r="P731" s="697"/>
      <c r="Q731" s="697"/>
      <c r="R731" s="697"/>
      <c r="S731" s="697"/>
      <c r="T731" s="697"/>
      <c r="U731" s="697"/>
      <c r="V731" s="697"/>
      <c r="W731" s="697"/>
      <c r="X731" s="697"/>
      <c r="Y731" s="697"/>
      <c r="Z731" s="697"/>
      <c r="AA731" s="697"/>
      <c r="AB731" s="697"/>
      <c r="AC731" s="697"/>
      <c r="AD731" s="697"/>
      <c r="AE731" s="697"/>
      <c r="AF731" s="697"/>
      <c r="AG731" s="697"/>
      <c r="AH731" s="697"/>
      <c r="AI731" s="697"/>
      <c r="AJ731" s="697"/>
      <c r="AK731" s="697"/>
      <c r="AL731" s="697"/>
      <c r="AM731" s="697"/>
      <c r="AN731" s="697"/>
      <c r="AO731" s="697"/>
      <c r="AP731" s="697"/>
      <c r="AQ731" s="697"/>
      <c r="AR731" s="697"/>
      <c r="AS731" s="697"/>
      <c r="AT731" s="697"/>
      <c r="AU731" s="697"/>
      <c r="AV731" s="697"/>
      <c r="AW731" s="697"/>
      <c r="AX731" s="697"/>
      <c r="AY731" s="697"/>
      <c r="AZ731" s="697"/>
      <c r="BA731" s="697"/>
      <c r="BB731" s="697"/>
      <c r="BC731" s="697"/>
      <c r="BD731" s="697"/>
      <c r="BE731" s="697"/>
      <c r="BF731" s="697"/>
      <c r="BG731" s="697"/>
      <c r="BH731" s="697"/>
      <c r="BI731" s="697"/>
      <c r="BJ731" s="697"/>
      <c r="BK731" s="697"/>
      <c r="BL731" s="697"/>
      <c r="BM731" s="697"/>
      <c r="BN731" s="697"/>
      <c r="BO731" s="697"/>
      <c r="BP731" s="697"/>
      <c r="BQ731" s="697"/>
      <c r="BR731" s="697"/>
      <c r="BS731" s="697"/>
      <c r="BT731" s="697"/>
      <c r="BU731" s="697"/>
      <c r="BV731" s="697"/>
      <c r="BW731" s="697"/>
      <c r="BX731" s="697"/>
      <c r="BY731" s="697"/>
      <c r="BZ731" s="697"/>
      <c r="CA731" s="697"/>
      <c r="CB731" s="697"/>
      <c r="CC731" s="697"/>
      <c r="CD731" s="697"/>
      <c r="CE731" s="697"/>
      <c r="CF731" s="697"/>
      <c r="CG731" s="697"/>
      <c r="CH731" s="697"/>
      <c r="CI731" s="697"/>
      <c r="CJ731" s="697"/>
      <c r="CK731" s="697"/>
      <c r="CL731" s="697"/>
      <c r="CM731" s="697"/>
      <c r="CN731" s="697"/>
      <c r="CO731" s="697"/>
      <c r="CP731" s="697"/>
      <c r="CQ731" s="697"/>
      <c r="CR731" s="697"/>
      <c r="CS731" s="697"/>
      <c r="CT731" s="697"/>
      <c r="CU731" s="697"/>
      <c r="CV731" s="697"/>
      <c r="CW731" s="697"/>
      <c r="CX731" s="697"/>
      <c r="CY731" s="697"/>
      <c r="CZ731" s="697"/>
      <c r="DA731" s="697"/>
    </row>
    <row r="732" spans="1:105" x14ac:dyDescent="0.2">
      <c r="A732" s="709">
        <f t="shared" si="125"/>
        <v>41609</v>
      </c>
      <c r="B732" s="709" t="str">
        <f t="shared" si="122"/>
        <v>4Q13</v>
      </c>
      <c r="C732" s="709" t="str">
        <f t="shared" si="126"/>
        <v>1Q14</v>
      </c>
      <c r="D732" s="710">
        <f t="shared" si="128"/>
        <v>41677</v>
      </c>
      <c r="E732" s="710">
        <f t="shared" si="128"/>
        <v>41617</v>
      </c>
      <c r="F732" s="712">
        <v>3.879</v>
      </c>
      <c r="G732" s="713">
        <f t="shared" si="123"/>
        <v>0.55000000000000027</v>
      </c>
      <c r="H732" s="713">
        <f t="shared" si="124"/>
        <v>0.55000000000000027</v>
      </c>
      <c r="I732" s="697"/>
      <c r="J732" s="697"/>
      <c r="K732" s="697"/>
      <c r="L732" s="697"/>
      <c r="M732" s="697"/>
      <c r="N732" s="697"/>
      <c r="O732" s="697"/>
      <c r="P732" s="697"/>
      <c r="Q732" s="697"/>
      <c r="R732" s="697"/>
      <c r="S732" s="697"/>
      <c r="T732" s="697"/>
      <c r="U732" s="697"/>
      <c r="V732" s="697"/>
      <c r="W732" s="697"/>
      <c r="X732" s="697"/>
      <c r="Y732" s="697"/>
      <c r="Z732" s="697"/>
      <c r="AA732" s="697"/>
      <c r="AB732" s="697"/>
      <c r="AC732" s="697"/>
      <c r="AD732" s="697"/>
      <c r="AE732" s="697"/>
      <c r="AF732" s="697"/>
      <c r="AG732" s="697"/>
      <c r="AH732" s="697"/>
      <c r="AI732" s="697"/>
      <c r="AJ732" s="697"/>
      <c r="AK732" s="697"/>
      <c r="AL732" s="697"/>
      <c r="AM732" s="697"/>
      <c r="AN732" s="697"/>
      <c r="AO732" s="697"/>
      <c r="AP732" s="697"/>
      <c r="AQ732" s="697"/>
      <c r="AR732" s="697"/>
      <c r="AS732" s="697"/>
      <c r="AT732" s="697"/>
      <c r="AU732" s="697"/>
      <c r="AV732" s="697"/>
      <c r="AW732" s="697"/>
      <c r="AX732" s="697"/>
      <c r="AY732" s="697"/>
      <c r="AZ732" s="697"/>
      <c r="BA732" s="697"/>
      <c r="BB732" s="697"/>
      <c r="BC732" s="697"/>
      <c r="BD732" s="697"/>
      <c r="BE732" s="697"/>
      <c r="BF732" s="697"/>
      <c r="BG732" s="697"/>
      <c r="BH732" s="697"/>
      <c r="BI732" s="697"/>
      <c r="BJ732" s="697"/>
      <c r="BK732" s="697"/>
      <c r="BL732" s="697"/>
      <c r="BM732" s="697"/>
      <c r="BN732" s="697"/>
      <c r="BO732" s="697"/>
      <c r="BP732" s="697"/>
      <c r="BQ732" s="697"/>
      <c r="BR732" s="697"/>
      <c r="BS732" s="697"/>
      <c r="BT732" s="697"/>
      <c r="BU732" s="697"/>
      <c r="BV732" s="697"/>
      <c r="BW732" s="697"/>
      <c r="BX732" s="697"/>
      <c r="BY732" s="697"/>
      <c r="BZ732" s="697"/>
      <c r="CA732" s="697"/>
      <c r="CB732" s="697"/>
      <c r="CC732" s="697"/>
      <c r="CD732" s="697"/>
      <c r="CE732" s="697"/>
      <c r="CF732" s="697"/>
      <c r="CG732" s="697"/>
      <c r="CH732" s="697"/>
      <c r="CI732" s="697"/>
      <c r="CJ732" s="697"/>
      <c r="CK732" s="697"/>
      <c r="CL732" s="697"/>
      <c r="CM732" s="697"/>
      <c r="CN732" s="697"/>
      <c r="CO732" s="697"/>
      <c r="CP732" s="697"/>
      <c r="CQ732" s="697"/>
      <c r="CR732" s="697"/>
      <c r="CS732" s="697"/>
      <c r="CT732" s="697"/>
      <c r="CU732" s="697"/>
      <c r="CV732" s="697"/>
      <c r="CW732" s="697"/>
      <c r="CX732" s="697"/>
      <c r="CY732" s="697"/>
      <c r="CZ732" s="697"/>
      <c r="DA732" s="697"/>
    </row>
    <row r="733" spans="1:105" x14ac:dyDescent="0.2">
      <c r="A733" s="709">
        <f t="shared" si="125"/>
        <v>41609</v>
      </c>
      <c r="B733" s="709" t="str">
        <f t="shared" si="122"/>
        <v>4Q13</v>
      </c>
      <c r="C733" s="709" t="str">
        <f t="shared" si="126"/>
        <v>1Q14</v>
      </c>
      <c r="D733" s="710">
        <f t="shared" si="128"/>
        <v>41684</v>
      </c>
      <c r="E733" s="710">
        <f t="shared" si="128"/>
        <v>41624</v>
      </c>
      <c r="F733" s="712">
        <v>3.871</v>
      </c>
      <c r="G733" s="713">
        <f t="shared" si="123"/>
        <v>0.55000000000000027</v>
      </c>
      <c r="H733" s="713">
        <f t="shared" si="124"/>
        <v>0.55000000000000027</v>
      </c>
      <c r="I733" s="697"/>
      <c r="J733" s="697"/>
      <c r="K733" s="697"/>
      <c r="L733" s="697"/>
      <c r="M733" s="697"/>
      <c r="N733" s="697"/>
      <c r="O733" s="697"/>
      <c r="P733" s="697"/>
      <c r="Q733" s="697"/>
      <c r="R733" s="697"/>
      <c r="S733" s="697"/>
      <c r="T733" s="697"/>
      <c r="U733" s="697"/>
      <c r="V733" s="697"/>
      <c r="W733" s="697"/>
      <c r="X733" s="697"/>
      <c r="Y733" s="697"/>
      <c r="Z733" s="697"/>
      <c r="AA733" s="697"/>
      <c r="AB733" s="697"/>
      <c r="AC733" s="697"/>
      <c r="AD733" s="697"/>
      <c r="AE733" s="697"/>
      <c r="AF733" s="697"/>
      <c r="AG733" s="697"/>
      <c r="AH733" s="697"/>
      <c r="AI733" s="697"/>
      <c r="AJ733" s="697"/>
      <c r="AK733" s="697"/>
      <c r="AL733" s="697"/>
      <c r="AM733" s="697"/>
      <c r="AN733" s="697"/>
      <c r="AO733" s="697"/>
      <c r="AP733" s="697"/>
      <c r="AQ733" s="697"/>
      <c r="AR733" s="697"/>
      <c r="AS733" s="697"/>
      <c r="AT733" s="697"/>
      <c r="AU733" s="697"/>
      <c r="AV733" s="697"/>
      <c r="AW733" s="697"/>
      <c r="AX733" s="697"/>
      <c r="AY733" s="697"/>
      <c r="AZ733" s="697"/>
      <c r="BA733" s="697"/>
      <c r="BB733" s="697"/>
      <c r="BC733" s="697"/>
      <c r="BD733" s="697"/>
      <c r="BE733" s="697"/>
      <c r="BF733" s="697"/>
      <c r="BG733" s="697"/>
      <c r="BH733" s="697"/>
      <c r="BI733" s="697"/>
      <c r="BJ733" s="697"/>
      <c r="BK733" s="697"/>
      <c r="BL733" s="697"/>
      <c r="BM733" s="697"/>
      <c r="BN733" s="697"/>
      <c r="BO733" s="697"/>
      <c r="BP733" s="697"/>
      <c r="BQ733" s="697"/>
      <c r="BR733" s="697"/>
      <c r="BS733" s="697"/>
      <c r="BT733" s="697"/>
      <c r="BU733" s="697"/>
      <c r="BV733" s="697"/>
      <c r="BW733" s="697"/>
      <c r="BX733" s="697"/>
      <c r="BY733" s="697"/>
      <c r="BZ733" s="697"/>
      <c r="CA733" s="697"/>
      <c r="CB733" s="697"/>
      <c r="CC733" s="697"/>
      <c r="CD733" s="697"/>
      <c r="CE733" s="697"/>
      <c r="CF733" s="697"/>
      <c r="CG733" s="697"/>
      <c r="CH733" s="697"/>
      <c r="CI733" s="697"/>
      <c r="CJ733" s="697"/>
      <c r="CK733" s="697"/>
      <c r="CL733" s="697"/>
      <c r="CM733" s="697"/>
      <c r="CN733" s="697"/>
      <c r="CO733" s="697"/>
      <c r="CP733" s="697"/>
      <c r="CQ733" s="697"/>
      <c r="CR733" s="697"/>
      <c r="CS733" s="697"/>
      <c r="CT733" s="697"/>
      <c r="CU733" s="697"/>
      <c r="CV733" s="697"/>
      <c r="CW733" s="697"/>
      <c r="CX733" s="697"/>
      <c r="CY733" s="697"/>
      <c r="CZ733" s="697"/>
      <c r="DA733" s="697"/>
    </row>
    <row r="734" spans="1:105" x14ac:dyDescent="0.2">
      <c r="A734" s="709">
        <f t="shared" si="125"/>
        <v>41609</v>
      </c>
      <c r="B734" s="709" t="str">
        <f t="shared" si="122"/>
        <v>4Q13</v>
      </c>
      <c r="C734" s="709" t="str">
        <f t="shared" si="126"/>
        <v>1Q14</v>
      </c>
      <c r="D734" s="710">
        <f t="shared" si="128"/>
        <v>41691</v>
      </c>
      <c r="E734" s="710">
        <f t="shared" si="128"/>
        <v>41631</v>
      </c>
      <c r="F734" s="712">
        <v>3.8730000000000002</v>
      </c>
      <c r="G734" s="713">
        <f t="shared" si="123"/>
        <v>0.55000000000000027</v>
      </c>
      <c r="H734" s="713">
        <f t="shared" si="124"/>
        <v>0.56000000000000028</v>
      </c>
      <c r="I734" s="697"/>
      <c r="J734" s="697"/>
      <c r="K734" s="697"/>
      <c r="L734" s="697"/>
      <c r="M734" s="697"/>
      <c r="N734" s="697"/>
      <c r="O734" s="697"/>
      <c r="P734" s="697"/>
      <c r="Q734" s="697"/>
      <c r="R734" s="697"/>
      <c r="S734" s="697"/>
      <c r="T734" s="697"/>
      <c r="U734" s="697"/>
      <c r="V734" s="697"/>
      <c r="W734" s="697"/>
      <c r="X734" s="697"/>
      <c r="Y734" s="697"/>
      <c r="Z734" s="697"/>
      <c r="AA734" s="697"/>
      <c r="AB734" s="697"/>
      <c r="AC734" s="697"/>
      <c r="AD734" s="697"/>
      <c r="AE734" s="697"/>
      <c r="AF734" s="697"/>
      <c r="AG734" s="697"/>
      <c r="AH734" s="697"/>
      <c r="AI734" s="697"/>
      <c r="AJ734" s="697"/>
      <c r="AK734" s="697"/>
      <c r="AL734" s="697"/>
      <c r="AM734" s="697"/>
      <c r="AN734" s="697"/>
      <c r="AO734" s="697"/>
      <c r="AP734" s="697"/>
      <c r="AQ734" s="697"/>
      <c r="AR734" s="697"/>
      <c r="AS734" s="697"/>
      <c r="AT734" s="697"/>
      <c r="AU734" s="697"/>
      <c r="AV734" s="697"/>
      <c r="AW734" s="697"/>
      <c r="AX734" s="697"/>
      <c r="AY734" s="697"/>
      <c r="AZ734" s="697"/>
      <c r="BA734" s="697"/>
      <c r="BB734" s="697"/>
      <c r="BC734" s="697"/>
      <c r="BD734" s="697"/>
      <c r="BE734" s="697"/>
      <c r="BF734" s="697"/>
      <c r="BG734" s="697"/>
      <c r="BH734" s="697"/>
      <c r="BI734" s="697"/>
      <c r="BJ734" s="697"/>
      <c r="BK734" s="697"/>
      <c r="BL734" s="697"/>
      <c r="BM734" s="697"/>
      <c r="BN734" s="697"/>
      <c r="BO734" s="697"/>
      <c r="BP734" s="697"/>
      <c r="BQ734" s="697"/>
      <c r="BR734" s="697"/>
      <c r="BS734" s="697"/>
      <c r="BT734" s="697"/>
      <c r="BU734" s="697"/>
      <c r="BV734" s="697"/>
      <c r="BW734" s="697"/>
      <c r="BX734" s="697"/>
      <c r="BY734" s="697"/>
      <c r="BZ734" s="697"/>
      <c r="CA734" s="697"/>
      <c r="CB734" s="697"/>
      <c r="CC734" s="697"/>
      <c r="CD734" s="697"/>
      <c r="CE734" s="697"/>
      <c r="CF734" s="697"/>
      <c r="CG734" s="697"/>
      <c r="CH734" s="697"/>
      <c r="CI734" s="697"/>
      <c r="CJ734" s="697"/>
      <c r="CK734" s="697"/>
      <c r="CL734" s="697"/>
      <c r="CM734" s="697"/>
      <c r="CN734" s="697"/>
      <c r="CO734" s="697"/>
      <c r="CP734" s="697"/>
      <c r="CQ734" s="697"/>
      <c r="CR734" s="697"/>
      <c r="CS734" s="697"/>
      <c r="CT734" s="697"/>
      <c r="CU734" s="697"/>
      <c r="CV734" s="697"/>
      <c r="CW734" s="697"/>
      <c r="CX734" s="697"/>
      <c r="CY734" s="697"/>
      <c r="CZ734" s="697"/>
      <c r="DA734" s="697"/>
    </row>
    <row r="735" spans="1:105" x14ac:dyDescent="0.2">
      <c r="A735" s="709">
        <f t="shared" si="125"/>
        <v>41609</v>
      </c>
      <c r="B735" s="709" t="str">
        <f t="shared" si="122"/>
        <v>4Q13</v>
      </c>
      <c r="C735" s="709" t="str">
        <f t="shared" si="126"/>
        <v>1Q14</v>
      </c>
      <c r="D735" s="710">
        <f t="shared" si="128"/>
        <v>41698</v>
      </c>
      <c r="E735" s="710">
        <f t="shared" si="128"/>
        <v>41638</v>
      </c>
      <c r="F735" s="712">
        <v>3.903</v>
      </c>
      <c r="G735" s="713">
        <f t="shared" si="123"/>
        <v>0.56000000000000028</v>
      </c>
      <c r="H735" s="713">
        <f t="shared" si="124"/>
        <v>0.56000000000000028</v>
      </c>
    </row>
    <row r="736" spans="1:105" x14ac:dyDescent="0.2">
      <c r="A736" s="709">
        <f t="shared" si="125"/>
        <v>41640</v>
      </c>
      <c r="B736" s="709" t="str">
        <f t="shared" si="122"/>
        <v>1Q14</v>
      </c>
      <c r="C736" s="709" t="str">
        <f t="shared" si="126"/>
        <v>1Q14</v>
      </c>
      <c r="D736" s="710">
        <f t="shared" si="128"/>
        <v>41705</v>
      </c>
      <c r="E736" s="710">
        <f t="shared" si="128"/>
        <v>41645</v>
      </c>
      <c r="F736" s="712">
        <v>3.91</v>
      </c>
      <c r="G736" s="713">
        <f t="shared" si="123"/>
        <v>0.56000000000000028</v>
      </c>
      <c r="H736" s="713">
        <f t="shared" si="124"/>
        <v>0.55000000000000027</v>
      </c>
    </row>
    <row r="737" spans="1:8" x14ac:dyDescent="0.2">
      <c r="A737" s="709">
        <f t="shared" si="125"/>
        <v>41640</v>
      </c>
      <c r="B737" s="709" t="str">
        <f t="shared" si="122"/>
        <v>1Q14</v>
      </c>
      <c r="C737" s="709" t="str">
        <f t="shared" si="126"/>
        <v>1Q14</v>
      </c>
      <c r="D737" s="710">
        <f t="shared" si="128"/>
        <v>41712</v>
      </c>
      <c r="E737" s="710">
        <f t="shared" si="128"/>
        <v>41652</v>
      </c>
      <c r="F737" s="712">
        <v>3.8860000000000001</v>
      </c>
      <c r="G737" s="713">
        <f t="shared" si="123"/>
        <v>0.55000000000000027</v>
      </c>
      <c r="H737" s="713">
        <f t="shared" si="124"/>
        <v>0.55000000000000027</v>
      </c>
    </row>
    <row r="738" spans="1:8" x14ac:dyDescent="0.2">
      <c r="A738" s="709">
        <f t="shared" si="125"/>
        <v>41640</v>
      </c>
      <c r="B738" s="709" t="str">
        <f t="shared" si="122"/>
        <v>1Q14</v>
      </c>
      <c r="C738" s="709" t="str">
        <f t="shared" si="126"/>
        <v>1Q14</v>
      </c>
      <c r="D738" s="710">
        <f t="shared" si="128"/>
        <v>41719</v>
      </c>
      <c r="E738" s="710">
        <f t="shared" si="128"/>
        <v>41659</v>
      </c>
      <c r="F738" s="712">
        <v>3.8730000000000002</v>
      </c>
      <c r="G738" s="713">
        <f t="shared" si="123"/>
        <v>0.55000000000000027</v>
      </c>
      <c r="H738" s="713">
        <f t="shared" si="124"/>
        <v>0.56000000000000028</v>
      </c>
    </row>
    <row r="739" spans="1:8" x14ac:dyDescent="0.2">
      <c r="A739" s="709">
        <f t="shared" si="125"/>
        <v>41640</v>
      </c>
      <c r="B739" s="709" t="str">
        <f t="shared" si="122"/>
        <v>1Q14</v>
      </c>
      <c r="C739" s="709" t="str">
        <f t="shared" si="126"/>
        <v>1Q14</v>
      </c>
      <c r="D739" s="710">
        <f t="shared" si="128"/>
        <v>41726</v>
      </c>
      <c r="E739" s="710">
        <f t="shared" si="128"/>
        <v>41666</v>
      </c>
      <c r="F739" s="712">
        <v>3.9039999999999999</v>
      </c>
      <c r="G739" s="713">
        <f t="shared" si="123"/>
        <v>0.56000000000000028</v>
      </c>
      <c r="H739" s="713">
        <f t="shared" si="124"/>
        <v>0.57000000000000028</v>
      </c>
    </row>
    <row r="740" spans="1:8" x14ac:dyDescent="0.2">
      <c r="A740" s="709">
        <f t="shared" si="125"/>
        <v>41671</v>
      </c>
      <c r="B740" s="709" t="str">
        <f t="shared" si="122"/>
        <v>1Q14</v>
      </c>
      <c r="C740" s="709" t="str">
        <f t="shared" si="126"/>
        <v>2Q14</v>
      </c>
      <c r="D740" s="710">
        <f t="shared" si="128"/>
        <v>41733</v>
      </c>
      <c r="E740" s="710">
        <f t="shared" si="128"/>
        <v>41673</v>
      </c>
      <c r="F740" s="712">
        <v>3.9510000000000001</v>
      </c>
      <c r="G740" s="713">
        <f t="shared" si="123"/>
        <v>0.57000000000000028</v>
      </c>
      <c r="H740" s="713">
        <f t="shared" si="124"/>
        <v>0.57000000000000028</v>
      </c>
    </row>
    <row r="741" spans="1:8" x14ac:dyDescent="0.2">
      <c r="A741" s="709">
        <f t="shared" si="125"/>
        <v>41671</v>
      </c>
      <c r="B741" s="709" t="str">
        <f t="shared" si="122"/>
        <v>1Q14</v>
      </c>
      <c r="C741" s="709" t="str">
        <f t="shared" si="126"/>
        <v>2Q14</v>
      </c>
      <c r="D741" s="710">
        <f t="shared" ref="D741:E756" si="129">D740+7</f>
        <v>41740</v>
      </c>
      <c r="E741" s="710">
        <f t="shared" si="129"/>
        <v>41680</v>
      </c>
      <c r="F741" s="712">
        <v>3.9769999999999999</v>
      </c>
      <c r="G741" s="713">
        <f t="shared" si="123"/>
        <v>0.57000000000000028</v>
      </c>
      <c r="H741" s="713">
        <f t="shared" si="124"/>
        <v>0.57000000000000028</v>
      </c>
    </row>
    <row r="742" spans="1:8" x14ac:dyDescent="0.2">
      <c r="A742" s="709">
        <f t="shared" si="125"/>
        <v>41671</v>
      </c>
      <c r="B742" s="709" t="str">
        <f t="shared" si="122"/>
        <v>1Q14</v>
      </c>
      <c r="C742" s="709" t="str">
        <f t="shared" si="126"/>
        <v>2Q14</v>
      </c>
      <c r="D742" s="710">
        <f t="shared" si="129"/>
        <v>41747</v>
      </c>
      <c r="E742" s="710">
        <f t="shared" si="129"/>
        <v>41687</v>
      </c>
      <c r="F742" s="712">
        <v>3.9889999999999999</v>
      </c>
      <c r="G742" s="713">
        <f t="shared" si="123"/>
        <v>0.57000000000000028</v>
      </c>
      <c r="H742" s="713">
        <f t="shared" si="124"/>
        <v>0.58000000000000029</v>
      </c>
    </row>
    <row r="743" spans="1:8" x14ac:dyDescent="0.2">
      <c r="A743" s="709">
        <f t="shared" si="125"/>
        <v>41671</v>
      </c>
      <c r="B743" s="709" t="str">
        <f t="shared" si="122"/>
        <v>1Q14</v>
      </c>
      <c r="C743" s="709" t="str">
        <f t="shared" si="126"/>
        <v>2Q14</v>
      </c>
      <c r="D743" s="710">
        <f t="shared" si="129"/>
        <v>41754</v>
      </c>
      <c r="E743" s="710">
        <f t="shared" si="129"/>
        <v>41694</v>
      </c>
      <c r="F743" s="712">
        <v>4.0170000000000003</v>
      </c>
      <c r="G743" s="713">
        <f t="shared" si="123"/>
        <v>0.58000000000000029</v>
      </c>
      <c r="H743" s="713">
        <f t="shared" si="124"/>
        <v>0.58000000000000029</v>
      </c>
    </row>
    <row r="744" spans="1:8" x14ac:dyDescent="0.2">
      <c r="A744" s="709">
        <f t="shared" si="125"/>
        <v>41699</v>
      </c>
      <c r="B744" s="709" t="str">
        <f t="shared" si="122"/>
        <v>1Q14</v>
      </c>
      <c r="C744" s="709" t="str">
        <f t="shared" si="126"/>
        <v>2Q14</v>
      </c>
      <c r="D744" s="710">
        <f t="shared" si="129"/>
        <v>41761</v>
      </c>
      <c r="E744" s="710">
        <f t="shared" si="129"/>
        <v>41701</v>
      </c>
      <c r="F744" s="712">
        <v>4.016</v>
      </c>
      <c r="G744" s="713">
        <f t="shared" si="123"/>
        <v>0.58000000000000029</v>
      </c>
      <c r="H744" s="713">
        <f t="shared" si="124"/>
        <v>0.58000000000000029</v>
      </c>
    </row>
    <row r="745" spans="1:8" x14ac:dyDescent="0.2">
      <c r="A745" s="709">
        <f t="shared" si="125"/>
        <v>41699</v>
      </c>
      <c r="B745" s="709" t="str">
        <f t="shared" si="122"/>
        <v>1Q14</v>
      </c>
      <c r="C745" s="709" t="str">
        <f t="shared" si="126"/>
        <v>2Q14</v>
      </c>
      <c r="D745" s="710">
        <f t="shared" si="129"/>
        <v>41768</v>
      </c>
      <c r="E745" s="710">
        <f t="shared" si="129"/>
        <v>41708</v>
      </c>
      <c r="F745" s="712">
        <v>4.0209999999999999</v>
      </c>
      <c r="G745" s="713">
        <f t="shared" si="123"/>
        <v>0.58000000000000029</v>
      </c>
      <c r="H745" s="713">
        <f t="shared" si="124"/>
        <v>0.58000000000000029</v>
      </c>
    </row>
    <row r="746" spans="1:8" x14ac:dyDescent="0.2">
      <c r="A746" s="709">
        <f t="shared" si="125"/>
        <v>41699</v>
      </c>
      <c r="B746" s="709" t="str">
        <f t="shared" si="122"/>
        <v>1Q14</v>
      </c>
      <c r="C746" s="709" t="str">
        <f t="shared" si="126"/>
        <v>2Q14</v>
      </c>
      <c r="D746" s="710">
        <f t="shared" si="129"/>
        <v>41775</v>
      </c>
      <c r="E746" s="710">
        <f t="shared" si="129"/>
        <v>41715</v>
      </c>
      <c r="F746" s="712">
        <v>4.0030000000000001</v>
      </c>
      <c r="G746" s="713">
        <f t="shared" si="123"/>
        <v>0.58000000000000029</v>
      </c>
      <c r="H746" s="713">
        <f t="shared" si="124"/>
        <v>0.57000000000000028</v>
      </c>
    </row>
    <row r="747" spans="1:8" x14ac:dyDescent="0.2">
      <c r="A747" s="709">
        <f t="shared" si="125"/>
        <v>41699</v>
      </c>
      <c r="B747" s="709" t="str">
        <f t="shared" si="122"/>
        <v>1Q14</v>
      </c>
      <c r="C747" s="709" t="str">
        <f t="shared" si="126"/>
        <v>2Q14</v>
      </c>
      <c r="D747" s="710">
        <f t="shared" si="129"/>
        <v>41782</v>
      </c>
      <c r="E747" s="710">
        <f t="shared" si="129"/>
        <v>41722</v>
      </c>
      <c r="F747" s="712">
        <v>3.988</v>
      </c>
      <c r="G747" s="713">
        <f t="shared" si="123"/>
        <v>0.57000000000000028</v>
      </c>
      <c r="H747" s="713">
        <f t="shared" si="124"/>
        <v>0.57000000000000028</v>
      </c>
    </row>
    <row r="748" spans="1:8" x14ac:dyDescent="0.2">
      <c r="A748" s="709">
        <f t="shared" si="125"/>
        <v>41699</v>
      </c>
      <c r="B748" s="709" t="str">
        <f t="shared" si="122"/>
        <v>1Q14</v>
      </c>
      <c r="C748" s="709" t="str">
        <f t="shared" si="126"/>
        <v>2Q14</v>
      </c>
      <c r="D748" s="710">
        <f t="shared" si="129"/>
        <v>41789</v>
      </c>
      <c r="E748" s="710">
        <f t="shared" si="129"/>
        <v>41729</v>
      </c>
      <c r="F748" s="712">
        <v>3.9750000000000001</v>
      </c>
      <c r="G748" s="713">
        <f t="shared" si="123"/>
        <v>0.57000000000000028</v>
      </c>
      <c r="H748" s="713">
        <f t="shared" si="124"/>
        <v>0.57000000000000028</v>
      </c>
    </row>
    <row r="749" spans="1:8" x14ac:dyDescent="0.2">
      <c r="A749" s="709">
        <f t="shared" si="125"/>
        <v>41730</v>
      </c>
      <c r="B749" s="709" t="str">
        <f t="shared" si="122"/>
        <v>2Q14</v>
      </c>
      <c r="C749" s="709" t="str">
        <f t="shared" si="126"/>
        <v>2Q14</v>
      </c>
      <c r="D749" s="710">
        <f t="shared" si="129"/>
        <v>41796</v>
      </c>
      <c r="E749" s="710">
        <f t="shared" si="129"/>
        <v>41736</v>
      </c>
      <c r="F749" s="712">
        <v>3.9590000000000001</v>
      </c>
      <c r="G749" s="713">
        <f t="shared" si="123"/>
        <v>0.57000000000000028</v>
      </c>
      <c r="H749" s="713">
        <f t="shared" si="124"/>
        <v>0.57000000000000028</v>
      </c>
    </row>
    <row r="750" spans="1:8" x14ac:dyDescent="0.2">
      <c r="A750" s="709">
        <f t="shared" si="125"/>
        <v>41730</v>
      </c>
      <c r="B750" s="709" t="str">
        <f t="shared" si="122"/>
        <v>2Q14</v>
      </c>
      <c r="C750" s="709" t="str">
        <f t="shared" si="126"/>
        <v>2Q14</v>
      </c>
      <c r="D750" s="710">
        <f t="shared" si="129"/>
        <v>41803</v>
      </c>
      <c r="E750" s="710">
        <f t="shared" si="129"/>
        <v>41743</v>
      </c>
      <c r="F750" s="712">
        <v>3.952</v>
      </c>
      <c r="G750" s="713">
        <f t="shared" si="123"/>
        <v>0.57000000000000028</v>
      </c>
      <c r="H750" s="713">
        <f t="shared" si="124"/>
        <v>0.57000000000000028</v>
      </c>
    </row>
    <row r="751" spans="1:8" x14ac:dyDescent="0.2">
      <c r="A751" s="709">
        <f t="shared" si="125"/>
        <v>41730</v>
      </c>
      <c r="B751" s="709" t="str">
        <f t="shared" si="122"/>
        <v>2Q14</v>
      </c>
      <c r="C751" s="709" t="str">
        <f t="shared" si="126"/>
        <v>2Q14</v>
      </c>
      <c r="D751" s="710">
        <f t="shared" si="129"/>
        <v>41810</v>
      </c>
      <c r="E751" s="710">
        <f t="shared" si="129"/>
        <v>41750</v>
      </c>
      <c r="F751" s="712">
        <v>3.9710000000000001</v>
      </c>
      <c r="G751" s="713">
        <f t="shared" si="123"/>
        <v>0.57000000000000028</v>
      </c>
      <c r="H751" s="713">
        <f t="shared" si="124"/>
        <v>0.57000000000000028</v>
      </c>
    </row>
    <row r="752" spans="1:8" x14ac:dyDescent="0.2">
      <c r="A752" s="709">
        <f t="shared" si="125"/>
        <v>41730</v>
      </c>
      <c r="B752" s="709" t="str">
        <f t="shared" si="122"/>
        <v>2Q14</v>
      </c>
      <c r="C752" s="709" t="str">
        <f t="shared" si="126"/>
        <v>2Q14</v>
      </c>
      <c r="D752" s="710">
        <f t="shared" si="129"/>
        <v>41817</v>
      </c>
      <c r="E752" s="710">
        <f t="shared" si="129"/>
        <v>41757</v>
      </c>
      <c r="F752" s="712">
        <v>3.9750000000000001</v>
      </c>
      <c r="G752" s="713">
        <f t="shared" si="123"/>
        <v>0.57000000000000028</v>
      </c>
      <c r="H752" s="713">
        <f t="shared" si="124"/>
        <v>0.57000000000000028</v>
      </c>
    </row>
    <row r="753" spans="1:8" x14ac:dyDescent="0.2">
      <c r="A753" s="709">
        <f t="shared" si="125"/>
        <v>41760</v>
      </c>
      <c r="B753" s="709" t="str">
        <f t="shared" si="122"/>
        <v>2Q14</v>
      </c>
      <c r="C753" s="709" t="str">
        <f t="shared" si="126"/>
        <v>3Q14</v>
      </c>
      <c r="D753" s="710">
        <f t="shared" si="129"/>
        <v>41824</v>
      </c>
      <c r="E753" s="710">
        <f t="shared" si="129"/>
        <v>41764</v>
      </c>
      <c r="F753" s="712">
        <v>3.964</v>
      </c>
      <c r="G753" s="713">
        <f t="shared" si="123"/>
        <v>0.57000000000000028</v>
      </c>
      <c r="H753" s="713">
        <f t="shared" si="124"/>
        <v>0.56000000000000028</v>
      </c>
    </row>
    <row r="754" spans="1:8" x14ac:dyDescent="0.2">
      <c r="A754" s="709">
        <f t="shared" si="125"/>
        <v>41760</v>
      </c>
      <c r="B754" s="709" t="str">
        <f t="shared" si="122"/>
        <v>2Q14</v>
      </c>
      <c r="C754" s="709" t="str">
        <f t="shared" si="126"/>
        <v>3Q14</v>
      </c>
      <c r="D754" s="710">
        <f t="shared" si="129"/>
        <v>41831</v>
      </c>
      <c r="E754" s="710">
        <f t="shared" si="129"/>
        <v>41771</v>
      </c>
      <c r="F754" s="712">
        <v>3.948</v>
      </c>
      <c r="G754" s="713">
        <f t="shared" si="123"/>
        <v>0.56000000000000028</v>
      </c>
      <c r="H754" s="713">
        <f t="shared" si="124"/>
        <v>0.56000000000000028</v>
      </c>
    </row>
    <row r="755" spans="1:8" x14ac:dyDescent="0.2">
      <c r="A755" s="709">
        <f t="shared" si="125"/>
        <v>41760</v>
      </c>
      <c r="B755" s="709" t="str">
        <f t="shared" si="122"/>
        <v>2Q14</v>
      </c>
      <c r="C755" s="709" t="str">
        <f t="shared" si="126"/>
        <v>3Q14</v>
      </c>
      <c r="D755" s="710">
        <f t="shared" si="129"/>
        <v>41838</v>
      </c>
      <c r="E755" s="710">
        <f t="shared" si="129"/>
        <v>41778</v>
      </c>
      <c r="F755" s="712">
        <v>3.9340000000000002</v>
      </c>
      <c r="G755" s="713">
        <f t="shared" si="123"/>
        <v>0.56000000000000028</v>
      </c>
      <c r="H755" s="713">
        <f t="shared" si="124"/>
        <v>0.56000000000000028</v>
      </c>
    </row>
    <row r="756" spans="1:8" x14ac:dyDescent="0.2">
      <c r="A756" s="709">
        <f t="shared" si="125"/>
        <v>41760</v>
      </c>
      <c r="B756" s="709" t="str">
        <f t="shared" si="122"/>
        <v>2Q14</v>
      </c>
      <c r="C756" s="709" t="str">
        <f t="shared" si="126"/>
        <v>3Q14</v>
      </c>
      <c r="D756" s="710">
        <f t="shared" si="129"/>
        <v>41845</v>
      </c>
      <c r="E756" s="710">
        <f t="shared" si="129"/>
        <v>41785</v>
      </c>
      <c r="F756" s="712">
        <v>3.9249999999999998</v>
      </c>
      <c r="G756" s="713">
        <f t="shared" si="123"/>
        <v>0.56000000000000028</v>
      </c>
      <c r="H756" s="713">
        <f t="shared" si="124"/>
        <v>0.56000000000000028</v>
      </c>
    </row>
    <row r="757" spans="1:8" x14ac:dyDescent="0.2">
      <c r="A757" s="709">
        <f t="shared" si="125"/>
        <v>41791</v>
      </c>
      <c r="B757" s="709" t="str">
        <f t="shared" si="122"/>
        <v>2Q14</v>
      </c>
      <c r="C757" s="709" t="str">
        <f t="shared" si="126"/>
        <v>3Q14</v>
      </c>
      <c r="D757" s="710">
        <f t="shared" ref="D757:E772" si="130">D756+7</f>
        <v>41852</v>
      </c>
      <c r="E757" s="710">
        <f t="shared" si="130"/>
        <v>41792</v>
      </c>
      <c r="F757" s="712">
        <v>3.9180000000000001</v>
      </c>
      <c r="G757" s="713">
        <f t="shared" si="123"/>
        <v>0.56000000000000028</v>
      </c>
      <c r="H757" s="713">
        <f t="shared" si="124"/>
        <v>0.55000000000000027</v>
      </c>
    </row>
    <row r="758" spans="1:8" x14ac:dyDescent="0.2">
      <c r="A758" s="709">
        <f t="shared" si="125"/>
        <v>41791</v>
      </c>
      <c r="B758" s="709" t="str">
        <f t="shared" si="122"/>
        <v>2Q14</v>
      </c>
      <c r="C758" s="709" t="str">
        <f t="shared" si="126"/>
        <v>3Q14</v>
      </c>
      <c r="D758" s="710">
        <f t="shared" si="130"/>
        <v>41859</v>
      </c>
      <c r="E758" s="710">
        <f t="shared" si="130"/>
        <v>41799</v>
      </c>
      <c r="F758" s="712">
        <v>3.8919999999999999</v>
      </c>
      <c r="G758" s="713">
        <f t="shared" si="123"/>
        <v>0.55000000000000027</v>
      </c>
      <c r="H758" s="713">
        <f t="shared" si="124"/>
        <v>0.55000000000000027</v>
      </c>
    </row>
    <row r="759" spans="1:8" x14ac:dyDescent="0.2">
      <c r="A759" s="709">
        <f t="shared" si="125"/>
        <v>41791</v>
      </c>
      <c r="B759" s="709" t="str">
        <f t="shared" si="122"/>
        <v>2Q14</v>
      </c>
      <c r="C759" s="709" t="str">
        <f t="shared" si="126"/>
        <v>3Q14</v>
      </c>
      <c r="D759" s="710">
        <f t="shared" si="130"/>
        <v>41866</v>
      </c>
      <c r="E759" s="710">
        <f t="shared" si="130"/>
        <v>41806</v>
      </c>
      <c r="F759" s="712">
        <v>3.8820000000000001</v>
      </c>
      <c r="G759" s="713">
        <f t="shared" si="123"/>
        <v>0.55000000000000027</v>
      </c>
      <c r="H759" s="713">
        <f t="shared" si="124"/>
        <v>0.56000000000000028</v>
      </c>
    </row>
    <row r="760" spans="1:8" x14ac:dyDescent="0.2">
      <c r="A760" s="709">
        <f t="shared" si="125"/>
        <v>41791</v>
      </c>
      <c r="B760" s="709" t="str">
        <f t="shared" si="122"/>
        <v>2Q14</v>
      </c>
      <c r="C760" s="709" t="str">
        <f t="shared" si="126"/>
        <v>3Q14</v>
      </c>
      <c r="D760" s="710">
        <f t="shared" si="130"/>
        <v>41873</v>
      </c>
      <c r="E760" s="710">
        <f t="shared" si="130"/>
        <v>41813</v>
      </c>
      <c r="F760" s="712">
        <v>3.919</v>
      </c>
      <c r="G760" s="713">
        <f t="shared" si="123"/>
        <v>0.56000000000000028</v>
      </c>
      <c r="H760" s="713">
        <f t="shared" si="124"/>
        <v>0.56000000000000028</v>
      </c>
    </row>
    <row r="761" spans="1:8" x14ac:dyDescent="0.2">
      <c r="A761" s="709">
        <f t="shared" si="125"/>
        <v>41791</v>
      </c>
      <c r="B761" s="709" t="str">
        <f t="shared" si="122"/>
        <v>2Q14</v>
      </c>
      <c r="C761" s="709" t="str">
        <f t="shared" si="126"/>
        <v>3Q14</v>
      </c>
      <c r="D761" s="710">
        <f t="shared" si="130"/>
        <v>41880</v>
      </c>
      <c r="E761" s="710">
        <f t="shared" si="130"/>
        <v>41820</v>
      </c>
      <c r="F761" s="712">
        <v>3.92</v>
      </c>
      <c r="G761" s="713">
        <f t="shared" si="123"/>
        <v>0.56000000000000028</v>
      </c>
      <c r="H761" s="713">
        <f t="shared" si="124"/>
        <v>0.56000000000000028</v>
      </c>
    </row>
    <row r="762" spans="1:8" x14ac:dyDescent="0.2">
      <c r="A762" s="709">
        <f t="shared" si="125"/>
        <v>41821</v>
      </c>
      <c r="B762" s="709" t="str">
        <f t="shared" si="122"/>
        <v>3Q14</v>
      </c>
      <c r="C762" s="709" t="str">
        <f t="shared" si="126"/>
        <v>3Q14</v>
      </c>
      <c r="D762" s="710">
        <f t="shared" si="130"/>
        <v>41887</v>
      </c>
      <c r="E762" s="710">
        <f t="shared" si="130"/>
        <v>41827</v>
      </c>
      <c r="F762" s="712">
        <v>3.9129999999999998</v>
      </c>
      <c r="G762" s="713">
        <f t="shared" si="123"/>
        <v>0.56000000000000028</v>
      </c>
      <c r="H762" s="713">
        <f t="shared" si="124"/>
        <v>0.55000000000000027</v>
      </c>
    </row>
    <row r="763" spans="1:8" x14ac:dyDescent="0.2">
      <c r="A763" s="709">
        <f t="shared" si="125"/>
        <v>41821</v>
      </c>
      <c r="B763" s="709" t="str">
        <f t="shared" si="122"/>
        <v>3Q14</v>
      </c>
      <c r="C763" s="709" t="str">
        <f t="shared" si="126"/>
        <v>3Q14</v>
      </c>
      <c r="D763" s="710">
        <f t="shared" si="130"/>
        <v>41894</v>
      </c>
      <c r="E763" s="710">
        <f t="shared" si="130"/>
        <v>41834</v>
      </c>
      <c r="F763" s="712">
        <v>3.8940000000000001</v>
      </c>
      <c r="G763" s="713">
        <f t="shared" si="123"/>
        <v>0.55000000000000027</v>
      </c>
      <c r="H763" s="713">
        <f t="shared" si="124"/>
        <v>0.55000000000000027</v>
      </c>
    </row>
    <row r="764" spans="1:8" x14ac:dyDescent="0.2">
      <c r="A764" s="709">
        <f t="shared" si="125"/>
        <v>41821</v>
      </c>
      <c r="B764" s="709" t="str">
        <f t="shared" si="122"/>
        <v>3Q14</v>
      </c>
      <c r="C764" s="709" t="str">
        <f t="shared" si="126"/>
        <v>3Q14</v>
      </c>
      <c r="D764" s="710">
        <f t="shared" si="130"/>
        <v>41901</v>
      </c>
      <c r="E764" s="710">
        <f t="shared" si="130"/>
        <v>41841</v>
      </c>
      <c r="F764" s="712">
        <v>3.8690000000000002</v>
      </c>
      <c r="G764" s="713">
        <f t="shared" si="123"/>
        <v>0.55000000000000027</v>
      </c>
      <c r="H764" s="713">
        <f t="shared" si="124"/>
        <v>0.55000000000000027</v>
      </c>
    </row>
    <row r="765" spans="1:8" x14ac:dyDescent="0.2">
      <c r="A765" s="709">
        <f t="shared" si="125"/>
        <v>41821</v>
      </c>
      <c r="B765" s="709" t="str">
        <f t="shared" si="122"/>
        <v>3Q14</v>
      </c>
      <c r="C765" s="709" t="str">
        <f t="shared" si="126"/>
        <v>3Q14</v>
      </c>
      <c r="D765" s="710">
        <f t="shared" si="130"/>
        <v>41908</v>
      </c>
      <c r="E765" s="710">
        <f t="shared" si="130"/>
        <v>41848</v>
      </c>
      <c r="F765" s="712">
        <v>3.8580000000000001</v>
      </c>
      <c r="G765" s="713">
        <f t="shared" si="123"/>
        <v>0.55000000000000027</v>
      </c>
      <c r="H765" s="713">
        <f t="shared" si="124"/>
        <v>0.55000000000000027</v>
      </c>
    </row>
    <row r="766" spans="1:8" x14ac:dyDescent="0.2">
      <c r="A766" s="709">
        <f t="shared" si="125"/>
        <v>41852</v>
      </c>
      <c r="B766" s="709" t="str">
        <f t="shared" si="122"/>
        <v>3Q14</v>
      </c>
      <c r="C766" s="709" t="str">
        <f t="shared" si="126"/>
        <v>4Q14</v>
      </c>
      <c r="D766" s="710">
        <f t="shared" si="130"/>
        <v>41915</v>
      </c>
      <c r="E766" s="710">
        <f t="shared" si="130"/>
        <v>41855</v>
      </c>
      <c r="F766" s="712">
        <v>3.8530000000000002</v>
      </c>
      <c r="G766" s="713">
        <f t="shared" si="123"/>
        <v>0.55000000000000027</v>
      </c>
      <c r="H766" s="713">
        <f t="shared" si="124"/>
        <v>0.54000000000000026</v>
      </c>
    </row>
    <row r="767" spans="1:8" x14ac:dyDescent="0.2">
      <c r="A767" s="709">
        <f t="shared" si="125"/>
        <v>41852</v>
      </c>
      <c r="B767" s="709" t="str">
        <f t="shared" si="122"/>
        <v>3Q14</v>
      </c>
      <c r="C767" s="709" t="str">
        <f t="shared" si="126"/>
        <v>4Q14</v>
      </c>
      <c r="D767" s="710">
        <f t="shared" si="130"/>
        <v>41922</v>
      </c>
      <c r="E767" s="710">
        <f t="shared" si="130"/>
        <v>41862</v>
      </c>
      <c r="F767" s="712">
        <v>3.843</v>
      </c>
      <c r="G767" s="713">
        <f t="shared" si="123"/>
        <v>0.54000000000000026</v>
      </c>
      <c r="H767" s="713">
        <f t="shared" si="124"/>
        <v>0.54000000000000026</v>
      </c>
    </row>
    <row r="768" spans="1:8" x14ac:dyDescent="0.2">
      <c r="A768" s="709">
        <f t="shared" si="125"/>
        <v>41852</v>
      </c>
      <c r="B768" s="709" t="str">
        <f t="shared" si="122"/>
        <v>3Q14</v>
      </c>
      <c r="C768" s="709" t="str">
        <f t="shared" si="126"/>
        <v>4Q14</v>
      </c>
      <c r="D768" s="710">
        <f t="shared" si="130"/>
        <v>41929</v>
      </c>
      <c r="E768" s="710">
        <f t="shared" si="130"/>
        <v>41869</v>
      </c>
      <c r="F768" s="712">
        <v>3.835</v>
      </c>
      <c r="G768" s="713">
        <f t="shared" si="123"/>
        <v>0.54000000000000026</v>
      </c>
      <c r="H768" s="713">
        <f t="shared" si="124"/>
        <v>0.54000000000000026</v>
      </c>
    </row>
    <row r="769" spans="1:8" x14ac:dyDescent="0.2">
      <c r="A769" s="709">
        <f t="shared" si="125"/>
        <v>41852</v>
      </c>
      <c r="B769" s="709" t="str">
        <f t="shared" si="122"/>
        <v>3Q14</v>
      </c>
      <c r="C769" s="709" t="str">
        <f t="shared" si="126"/>
        <v>4Q14</v>
      </c>
      <c r="D769" s="710">
        <f t="shared" si="130"/>
        <v>41936</v>
      </c>
      <c r="E769" s="710">
        <f t="shared" si="130"/>
        <v>41876</v>
      </c>
      <c r="F769" s="712">
        <v>3.8210000000000002</v>
      </c>
      <c r="G769" s="713">
        <f t="shared" si="123"/>
        <v>0.54000000000000026</v>
      </c>
      <c r="H769" s="713">
        <f t="shared" si="124"/>
        <v>0.54000000000000026</v>
      </c>
    </row>
    <row r="770" spans="1:8" x14ac:dyDescent="0.2">
      <c r="A770" s="709">
        <f t="shared" si="125"/>
        <v>41883</v>
      </c>
      <c r="B770" s="709" t="str">
        <f t="shared" si="122"/>
        <v>3Q14</v>
      </c>
      <c r="C770" s="709" t="str">
        <f t="shared" si="126"/>
        <v>4Q14</v>
      </c>
      <c r="D770" s="710">
        <f t="shared" si="130"/>
        <v>41943</v>
      </c>
      <c r="E770" s="710">
        <f t="shared" si="130"/>
        <v>41883</v>
      </c>
      <c r="F770" s="712">
        <v>3.8140000000000001</v>
      </c>
      <c r="G770" s="713">
        <f t="shared" si="123"/>
        <v>0.54000000000000026</v>
      </c>
      <c r="H770" s="713">
        <f t="shared" si="124"/>
        <v>0.54000000000000026</v>
      </c>
    </row>
    <row r="771" spans="1:8" x14ac:dyDescent="0.2">
      <c r="A771" s="709">
        <f t="shared" si="125"/>
        <v>41883</v>
      </c>
      <c r="B771" s="709" t="str">
        <f t="shared" si="122"/>
        <v>3Q14</v>
      </c>
      <c r="C771" s="709" t="str">
        <f t="shared" si="126"/>
        <v>4Q14</v>
      </c>
      <c r="D771" s="710">
        <f t="shared" si="130"/>
        <v>41950</v>
      </c>
      <c r="E771" s="710">
        <f t="shared" si="130"/>
        <v>41890</v>
      </c>
      <c r="F771" s="712">
        <v>3.8140000000000001</v>
      </c>
      <c r="G771" s="713">
        <f t="shared" si="123"/>
        <v>0.54000000000000026</v>
      </c>
      <c r="H771" s="713">
        <f t="shared" si="124"/>
        <v>0.54000000000000026</v>
      </c>
    </row>
    <row r="772" spans="1:8" x14ac:dyDescent="0.2">
      <c r="A772" s="709">
        <f t="shared" si="125"/>
        <v>41883</v>
      </c>
      <c r="B772" s="709" t="str">
        <f t="shared" ref="B772:B835" si="131">VLOOKUP(MONTH(A772),$N$4:$O$16,2,FALSE) &amp; "Q" &amp; RIGHT(YEAR(A772),2)</f>
        <v>3Q14</v>
      </c>
      <c r="C772" s="709" t="str">
        <f t="shared" si="126"/>
        <v>4Q14</v>
      </c>
      <c r="D772" s="710">
        <f t="shared" si="130"/>
        <v>41957</v>
      </c>
      <c r="E772" s="710">
        <f t="shared" si="130"/>
        <v>41897</v>
      </c>
      <c r="F772" s="712">
        <v>3.8010000000000002</v>
      </c>
      <c r="G772" s="713">
        <f t="shared" ref="G772:G835" si="132">INDEX($I$4:$K$153,MATCH(F772,$I$4:$I$153,1),3)</f>
        <v>0.54000000000000026</v>
      </c>
      <c r="H772" s="713">
        <f t="shared" ref="H772:H835" si="133">G773</f>
        <v>0.53000000000000025</v>
      </c>
    </row>
    <row r="773" spans="1:8" x14ac:dyDescent="0.2">
      <c r="A773" s="709">
        <f t="shared" ref="A773:A836" si="134">DATE(YEAR(E773),MONTH(E773),1)</f>
        <v>41883</v>
      </c>
      <c r="B773" s="709" t="str">
        <f t="shared" si="131"/>
        <v>3Q14</v>
      </c>
      <c r="C773" s="709" t="str">
        <f t="shared" ref="C773:C836" si="135">VLOOKUP(MONTH(D773),$N$4:$O$16,2,FALSE) &amp; "Q" &amp; RIGHT(YEAR(D773),2)</f>
        <v>4Q14</v>
      </c>
      <c r="D773" s="710">
        <f t="shared" ref="D773:E788" si="136">D772+7</f>
        <v>41964</v>
      </c>
      <c r="E773" s="710">
        <f t="shared" si="136"/>
        <v>41904</v>
      </c>
      <c r="F773" s="712">
        <v>3.778</v>
      </c>
      <c r="G773" s="713">
        <f t="shared" si="132"/>
        <v>0.53000000000000025</v>
      </c>
      <c r="H773" s="713">
        <f t="shared" si="133"/>
        <v>0.53000000000000025</v>
      </c>
    </row>
    <row r="774" spans="1:8" x14ac:dyDescent="0.2">
      <c r="A774" s="709">
        <f t="shared" si="134"/>
        <v>41883</v>
      </c>
      <c r="B774" s="709" t="str">
        <f t="shared" si="131"/>
        <v>3Q14</v>
      </c>
      <c r="C774" s="709" t="str">
        <f t="shared" si="135"/>
        <v>4Q14</v>
      </c>
      <c r="D774" s="710">
        <f t="shared" si="136"/>
        <v>41971</v>
      </c>
      <c r="E774" s="710">
        <f t="shared" si="136"/>
        <v>41911</v>
      </c>
      <c r="F774" s="712">
        <v>3.7549999999999999</v>
      </c>
      <c r="G774" s="713">
        <f t="shared" si="132"/>
        <v>0.53000000000000025</v>
      </c>
      <c r="H774" s="713">
        <f t="shared" si="133"/>
        <v>0.52000000000000024</v>
      </c>
    </row>
    <row r="775" spans="1:8" x14ac:dyDescent="0.2">
      <c r="A775" s="709">
        <f t="shared" si="134"/>
        <v>41913</v>
      </c>
      <c r="B775" s="709" t="str">
        <f t="shared" si="131"/>
        <v>4Q14</v>
      </c>
      <c r="C775" s="709" t="str">
        <f t="shared" si="135"/>
        <v>4Q14</v>
      </c>
      <c r="D775" s="710">
        <f t="shared" si="136"/>
        <v>41978</v>
      </c>
      <c r="E775" s="710">
        <f t="shared" si="136"/>
        <v>41918</v>
      </c>
      <c r="F775" s="712">
        <v>3.7330000000000001</v>
      </c>
      <c r="G775" s="713">
        <f t="shared" si="132"/>
        <v>0.52000000000000024</v>
      </c>
      <c r="H775" s="713">
        <f t="shared" si="133"/>
        <v>0.51000000000000023</v>
      </c>
    </row>
    <row r="776" spans="1:8" x14ac:dyDescent="0.2">
      <c r="A776" s="709">
        <f t="shared" si="134"/>
        <v>41913</v>
      </c>
      <c r="B776" s="709" t="str">
        <f t="shared" si="131"/>
        <v>4Q14</v>
      </c>
      <c r="C776" s="709" t="str">
        <f t="shared" si="135"/>
        <v>4Q14</v>
      </c>
      <c r="D776" s="710">
        <f t="shared" si="136"/>
        <v>41985</v>
      </c>
      <c r="E776" s="710">
        <f t="shared" si="136"/>
        <v>41925</v>
      </c>
      <c r="F776" s="712">
        <v>3.698</v>
      </c>
      <c r="G776" s="713">
        <f t="shared" si="132"/>
        <v>0.51000000000000023</v>
      </c>
      <c r="H776" s="713">
        <f t="shared" si="133"/>
        <v>0.51000000000000023</v>
      </c>
    </row>
    <row r="777" spans="1:8" x14ac:dyDescent="0.2">
      <c r="A777" s="709">
        <f t="shared" si="134"/>
        <v>41913</v>
      </c>
      <c r="B777" s="709" t="str">
        <f t="shared" si="131"/>
        <v>4Q14</v>
      </c>
      <c r="C777" s="709" t="str">
        <f t="shared" si="135"/>
        <v>4Q14</v>
      </c>
      <c r="D777" s="710">
        <f t="shared" si="136"/>
        <v>41992</v>
      </c>
      <c r="E777" s="710">
        <f t="shared" si="136"/>
        <v>41932</v>
      </c>
      <c r="F777" s="712">
        <v>3.6560000000000001</v>
      </c>
      <c r="G777" s="713">
        <f t="shared" si="132"/>
        <v>0.51000000000000023</v>
      </c>
      <c r="H777" s="713">
        <f t="shared" si="133"/>
        <v>0.50000000000000022</v>
      </c>
    </row>
    <row r="778" spans="1:8" x14ac:dyDescent="0.2">
      <c r="A778" s="709">
        <f t="shared" si="134"/>
        <v>41913</v>
      </c>
      <c r="B778" s="709" t="str">
        <f t="shared" si="131"/>
        <v>4Q14</v>
      </c>
      <c r="C778" s="709" t="str">
        <f t="shared" si="135"/>
        <v>4Q14</v>
      </c>
      <c r="D778" s="710">
        <f t="shared" si="136"/>
        <v>41999</v>
      </c>
      <c r="E778" s="710">
        <f t="shared" si="136"/>
        <v>41939</v>
      </c>
      <c r="F778" s="712">
        <v>3.6349999999999998</v>
      </c>
      <c r="G778" s="713">
        <f t="shared" si="132"/>
        <v>0.50000000000000022</v>
      </c>
      <c r="H778" s="713">
        <f t="shared" si="133"/>
        <v>0.50000000000000022</v>
      </c>
    </row>
    <row r="779" spans="1:8" x14ac:dyDescent="0.2">
      <c r="A779" s="709">
        <f t="shared" si="134"/>
        <v>41944</v>
      </c>
      <c r="B779" s="709" t="str">
        <f t="shared" si="131"/>
        <v>4Q14</v>
      </c>
      <c r="C779" s="709" t="str">
        <f t="shared" si="135"/>
        <v>1Q15</v>
      </c>
      <c r="D779" s="710">
        <f t="shared" si="136"/>
        <v>42006</v>
      </c>
      <c r="E779" s="710">
        <f t="shared" si="136"/>
        <v>41946</v>
      </c>
      <c r="F779" s="712">
        <v>3.6230000000000002</v>
      </c>
      <c r="G779" s="713">
        <f t="shared" si="132"/>
        <v>0.50000000000000022</v>
      </c>
      <c r="H779" s="713">
        <f t="shared" si="133"/>
        <v>0.51000000000000023</v>
      </c>
    </row>
    <row r="780" spans="1:8" x14ac:dyDescent="0.2">
      <c r="A780" s="709">
        <f t="shared" si="134"/>
        <v>41944</v>
      </c>
      <c r="B780" s="709" t="str">
        <f t="shared" si="131"/>
        <v>4Q14</v>
      </c>
      <c r="C780" s="709" t="str">
        <f t="shared" si="135"/>
        <v>1Q15</v>
      </c>
      <c r="D780" s="710">
        <f t="shared" si="136"/>
        <v>42013</v>
      </c>
      <c r="E780" s="710">
        <f t="shared" si="136"/>
        <v>41953</v>
      </c>
      <c r="F780" s="712">
        <v>3.677</v>
      </c>
      <c r="G780" s="713">
        <f t="shared" si="132"/>
        <v>0.51000000000000023</v>
      </c>
      <c r="H780" s="713">
        <f t="shared" si="133"/>
        <v>0.51000000000000023</v>
      </c>
    </row>
    <row r="781" spans="1:8" x14ac:dyDescent="0.2">
      <c r="A781" s="709">
        <f t="shared" si="134"/>
        <v>41944</v>
      </c>
      <c r="B781" s="709" t="str">
        <f t="shared" si="131"/>
        <v>4Q14</v>
      </c>
      <c r="C781" s="709" t="str">
        <f t="shared" si="135"/>
        <v>1Q15</v>
      </c>
      <c r="D781" s="710">
        <f t="shared" si="136"/>
        <v>42020</v>
      </c>
      <c r="E781" s="710">
        <f t="shared" si="136"/>
        <v>41960</v>
      </c>
      <c r="F781" s="712">
        <v>3.661</v>
      </c>
      <c r="G781" s="713">
        <f t="shared" si="132"/>
        <v>0.51000000000000023</v>
      </c>
      <c r="H781" s="713">
        <f t="shared" si="133"/>
        <v>0.50000000000000022</v>
      </c>
    </row>
    <row r="782" spans="1:8" x14ac:dyDescent="0.2">
      <c r="A782" s="709">
        <f t="shared" si="134"/>
        <v>41944</v>
      </c>
      <c r="B782" s="709" t="str">
        <f t="shared" si="131"/>
        <v>4Q14</v>
      </c>
      <c r="C782" s="709" t="str">
        <f t="shared" si="135"/>
        <v>1Q15</v>
      </c>
      <c r="D782" s="710">
        <f t="shared" si="136"/>
        <v>42027</v>
      </c>
      <c r="E782" s="710">
        <f t="shared" si="136"/>
        <v>41967</v>
      </c>
      <c r="F782" s="712">
        <v>3.6280000000000001</v>
      </c>
      <c r="G782" s="713">
        <f t="shared" si="132"/>
        <v>0.50000000000000022</v>
      </c>
      <c r="H782" s="713">
        <f t="shared" si="133"/>
        <v>0.50000000000000022</v>
      </c>
    </row>
    <row r="783" spans="1:8" x14ac:dyDescent="0.2">
      <c r="A783" s="709">
        <f t="shared" si="134"/>
        <v>41974</v>
      </c>
      <c r="B783" s="709" t="str">
        <f t="shared" si="131"/>
        <v>4Q14</v>
      </c>
      <c r="C783" s="709" t="str">
        <f t="shared" si="135"/>
        <v>1Q15</v>
      </c>
      <c r="D783" s="710">
        <f t="shared" si="136"/>
        <v>42034</v>
      </c>
      <c r="E783" s="710">
        <f t="shared" si="136"/>
        <v>41974</v>
      </c>
      <c r="F783" s="712">
        <v>3.605</v>
      </c>
      <c r="G783" s="713">
        <f t="shared" si="132"/>
        <v>0.50000000000000022</v>
      </c>
      <c r="H783" s="713">
        <f t="shared" si="133"/>
        <v>0.48000000000000026</v>
      </c>
    </row>
    <row r="784" spans="1:8" x14ac:dyDescent="0.2">
      <c r="A784" s="709">
        <f t="shared" si="134"/>
        <v>41974</v>
      </c>
      <c r="B784" s="709" t="str">
        <f t="shared" si="131"/>
        <v>4Q14</v>
      </c>
      <c r="C784" s="709" t="str">
        <f t="shared" si="135"/>
        <v>1Q15</v>
      </c>
      <c r="D784" s="710">
        <f t="shared" si="136"/>
        <v>42041</v>
      </c>
      <c r="E784" s="710">
        <f t="shared" si="136"/>
        <v>41981</v>
      </c>
      <c r="F784" s="712">
        <v>3.5350000000000001</v>
      </c>
      <c r="G784" s="713">
        <f t="shared" si="132"/>
        <v>0.48000000000000026</v>
      </c>
      <c r="H784" s="713">
        <f t="shared" si="133"/>
        <v>0.46000000000000024</v>
      </c>
    </row>
    <row r="785" spans="1:8" x14ac:dyDescent="0.2">
      <c r="A785" s="709">
        <f t="shared" si="134"/>
        <v>41974</v>
      </c>
      <c r="B785" s="709" t="str">
        <f t="shared" si="131"/>
        <v>4Q14</v>
      </c>
      <c r="C785" s="709" t="str">
        <f t="shared" si="135"/>
        <v>1Q15</v>
      </c>
      <c r="D785" s="710">
        <f t="shared" si="136"/>
        <v>42048</v>
      </c>
      <c r="E785" s="710">
        <f t="shared" si="136"/>
        <v>41988</v>
      </c>
      <c r="F785" s="712">
        <v>3.419</v>
      </c>
      <c r="G785" s="713">
        <f t="shared" si="132"/>
        <v>0.46000000000000024</v>
      </c>
      <c r="H785" s="713">
        <f t="shared" si="133"/>
        <v>0.43000000000000022</v>
      </c>
    </row>
    <row r="786" spans="1:8" x14ac:dyDescent="0.2">
      <c r="A786" s="709">
        <f t="shared" si="134"/>
        <v>41974</v>
      </c>
      <c r="B786" s="709" t="str">
        <f t="shared" si="131"/>
        <v>4Q14</v>
      </c>
      <c r="C786" s="709" t="str">
        <f t="shared" si="135"/>
        <v>1Q15</v>
      </c>
      <c r="D786" s="710">
        <f t="shared" si="136"/>
        <v>42055</v>
      </c>
      <c r="E786" s="710">
        <f t="shared" si="136"/>
        <v>41995</v>
      </c>
      <c r="F786" s="712">
        <v>3.2810000000000001</v>
      </c>
      <c r="G786" s="713">
        <f t="shared" si="132"/>
        <v>0.43000000000000022</v>
      </c>
      <c r="H786" s="713">
        <f t="shared" si="133"/>
        <v>0.42000000000000021</v>
      </c>
    </row>
    <row r="787" spans="1:8" x14ac:dyDescent="0.2">
      <c r="A787" s="709">
        <f t="shared" si="134"/>
        <v>41974</v>
      </c>
      <c r="B787" s="709" t="str">
        <f t="shared" si="131"/>
        <v>4Q14</v>
      </c>
      <c r="C787" s="709" t="str">
        <f t="shared" si="135"/>
        <v>1Q15</v>
      </c>
      <c r="D787" s="710">
        <f t="shared" si="136"/>
        <v>42062</v>
      </c>
      <c r="E787" s="710">
        <f t="shared" si="136"/>
        <v>42002</v>
      </c>
      <c r="F787" s="712">
        <v>3.2130000000000001</v>
      </c>
      <c r="G787" s="713">
        <f t="shared" si="132"/>
        <v>0.42000000000000021</v>
      </c>
      <c r="H787" s="713">
        <f t="shared" si="133"/>
        <v>0.40000000000000019</v>
      </c>
    </row>
    <row r="788" spans="1:8" x14ac:dyDescent="0.2">
      <c r="A788" s="709">
        <f t="shared" si="134"/>
        <v>42005</v>
      </c>
      <c r="B788" s="709" t="str">
        <f t="shared" si="131"/>
        <v>1Q15</v>
      </c>
      <c r="C788" s="709" t="str">
        <f t="shared" si="135"/>
        <v>1Q15</v>
      </c>
      <c r="D788" s="710">
        <f t="shared" si="136"/>
        <v>42069</v>
      </c>
      <c r="E788" s="710">
        <f t="shared" si="136"/>
        <v>42009</v>
      </c>
      <c r="F788" s="712">
        <v>3.137</v>
      </c>
      <c r="G788" s="713">
        <f t="shared" si="132"/>
        <v>0.40000000000000019</v>
      </c>
      <c r="H788" s="713">
        <f t="shared" si="133"/>
        <v>0.39000000000000018</v>
      </c>
    </row>
    <row r="789" spans="1:8" x14ac:dyDescent="0.2">
      <c r="A789" s="709">
        <f t="shared" si="134"/>
        <v>42005</v>
      </c>
      <c r="B789" s="709" t="str">
        <f t="shared" si="131"/>
        <v>1Q15</v>
      </c>
      <c r="C789" s="709" t="str">
        <f t="shared" si="135"/>
        <v>1Q15</v>
      </c>
      <c r="D789" s="710">
        <f t="shared" ref="D789:E804" si="137">D788+7</f>
        <v>42076</v>
      </c>
      <c r="E789" s="710">
        <f t="shared" si="137"/>
        <v>42016</v>
      </c>
      <c r="F789" s="712">
        <v>3.0529999999999999</v>
      </c>
      <c r="G789" s="713">
        <f t="shared" si="132"/>
        <v>0.39000000000000018</v>
      </c>
      <c r="H789" s="713">
        <f t="shared" si="133"/>
        <v>0.36000000000000015</v>
      </c>
    </row>
    <row r="790" spans="1:8" x14ac:dyDescent="0.2">
      <c r="A790" s="709">
        <f t="shared" si="134"/>
        <v>42005</v>
      </c>
      <c r="B790" s="709" t="str">
        <f t="shared" si="131"/>
        <v>1Q15</v>
      </c>
      <c r="C790" s="709" t="str">
        <f t="shared" si="135"/>
        <v>1Q15</v>
      </c>
      <c r="D790" s="710">
        <f t="shared" si="137"/>
        <v>42083</v>
      </c>
      <c r="E790" s="710">
        <f t="shared" si="137"/>
        <v>42023</v>
      </c>
      <c r="F790" s="712">
        <v>2.9329999999999998</v>
      </c>
      <c r="G790" s="713">
        <f t="shared" si="132"/>
        <v>0.36000000000000015</v>
      </c>
      <c r="H790" s="713">
        <f t="shared" si="133"/>
        <v>0.35000000000000014</v>
      </c>
    </row>
    <row r="791" spans="1:8" x14ac:dyDescent="0.2">
      <c r="A791" s="709">
        <f t="shared" si="134"/>
        <v>42005</v>
      </c>
      <c r="B791" s="709" t="str">
        <f t="shared" si="131"/>
        <v>1Q15</v>
      </c>
      <c r="C791" s="709" t="str">
        <f t="shared" si="135"/>
        <v>1Q15</v>
      </c>
      <c r="D791" s="710">
        <f t="shared" si="137"/>
        <v>42090</v>
      </c>
      <c r="E791" s="710">
        <f t="shared" si="137"/>
        <v>42030</v>
      </c>
      <c r="F791" s="712">
        <v>2.8660000000000001</v>
      </c>
      <c r="G791" s="713">
        <f t="shared" si="132"/>
        <v>0.35000000000000014</v>
      </c>
      <c r="H791" s="713">
        <f t="shared" si="133"/>
        <v>0.34000000000000014</v>
      </c>
    </row>
    <row r="792" spans="1:8" x14ac:dyDescent="0.2">
      <c r="A792" s="709">
        <f t="shared" si="134"/>
        <v>42036</v>
      </c>
      <c r="B792" s="709" t="str">
        <f t="shared" si="131"/>
        <v>1Q15</v>
      </c>
      <c r="C792" s="709" t="str">
        <f t="shared" si="135"/>
        <v>2Q15</v>
      </c>
      <c r="D792" s="710">
        <f t="shared" si="137"/>
        <v>42097</v>
      </c>
      <c r="E792" s="710">
        <f t="shared" si="137"/>
        <v>42037</v>
      </c>
      <c r="F792" s="712">
        <v>2.831</v>
      </c>
      <c r="G792" s="713">
        <f t="shared" si="132"/>
        <v>0.34000000000000014</v>
      </c>
      <c r="H792" s="713">
        <f t="shared" si="133"/>
        <v>0.34000000000000014</v>
      </c>
    </row>
    <row r="793" spans="1:8" x14ac:dyDescent="0.2">
      <c r="A793" s="709">
        <f t="shared" si="134"/>
        <v>42036</v>
      </c>
      <c r="B793" s="709" t="str">
        <f t="shared" si="131"/>
        <v>1Q15</v>
      </c>
      <c r="C793" s="709" t="str">
        <f t="shared" si="135"/>
        <v>2Q15</v>
      </c>
      <c r="D793" s="710">
        <f t="shared" si="137"/>
        <v>42104</v>
      </c>
      <c r="E793" s="710">
        <f t="shared" si="137"/>
        <v>42044</v>
      </c>
      <c r="F793" s="712">
        <v>2.835</v>
      </c>
      <c r="G793" s="713">
        <f t="shared" si="132"/>
        <v>0.34000000000000014</v>
      </c>
      <c r="H793" s="713">
        <f t="shared" si="133"/>
        <v>0.35000000000000014</v>
      </c>
    </row>
    <row r="794" spans="1:8" x14ac:dyDescent="0.2">
      <c r="A794" s="709">
        <f t="shared" si="134"/>
        <v>42036</v>
      </c>
      <c r="B794" s="709" t="str">
        <f t="shared" si="131"/>
        <v>1Q15</v>
      </c>
      <c r="C794" s="709" t="str">
        <f t="shared" si="135"/>
        <v>2Q15</v>
      </c>
      <c r="D794" s="710">
        <f t="shared" si="137"/>
        <v>42111</v>
      </c>
      <c r="E794" s="710">
        <f t="shared" si="137"/>
        <v>42051</v>
      </c>
      <c r="F794" s="712">
        <v>2.8650000000000002</v>
      </c>
      <c r="G794" s="713">
        <f t="shared" si="132"/>
        <v>0.35000000000000014</v>
      </c>
      <c r="H794" s="713">
        <f t="shared" si="133"/>
        <v>0.36000000000000015</v>
      </c>
    </row>
    <row r="795" spans="1:8" x14ac:dyDescent="0.2">
      <c r="A795" s="709">
        <f t="shared" si="134"/>
        <v>42036</v>
      </c>
      <c r="B795" s="709" t="str">
        <f t="shared" si="131"/>
        <v>1Q15</v>
      </c>
      <c r="C795" s="709" t="str">
        <f t="shared" si="135"/>
        <v>2Q15</v>
      </c>
      <c r="D795" s="710">
        <f t="shared" si="137"/>
        <v>42118</v>
      </c>
      <c r="E795" s="710">
        <f t="shared" si="137"/>
        <v>42058</v>
      </c>
      <c r="F795" s="712">
        <v>2.9</v>
      </c>
      <c r="G795" s="713">
        <f t="shared" si="132"/>
        <v>0.36000000000000015</v>
      </c>
      <c r="H795" s="713">
        <f t="shared" si="133"/>
        <v>0.36000000000000015</v>
      </c>
    </row>
    <row r="796" spans="1:8" x14ac:dyDescent="0.2">
      <c r="A796" s="709">
        <f t="shared" si="134"/>
        <v>42064</v>
      </c>
      <c r="B796" s="709" t="str">
        <f t="shared" si="131"/>
        <v>1Q15</v>
      </c>
      <c r="C796" s="709" t="str">
        <f t="shared" si="135"/>
        <v>2Q15</v>
      </c>
      <c r="D796" s="710">
        <f t="shared" si="137"/>
        <v>42125</v>
      </c>
      <c r="E796" s="710">
        <f t="shared" si="137"/>
        <v>42065</v>
      </c>
      <c r="F796" s="712">
        <v>2.9359999999999999</v>
      </c>
      <c r="G796" s="713">
        <f t="shared" si="132"/>
        <v>0.36000000000000015</v>
      </c>
      <c r="H796" s="713">
        <f t="shared" si="133"/>
        <v>0.36000000000000015</v>
      </c>
    </row>
    <row r="797" spans="1:8" x14ac:dyDescent="0.2">
      <c r="A797" s="709">
        <f t="shared" si="134"/>
        <v>42064</v>
      </c>
      <c r="B797" s="709" t="str">
        <f t="shared" si="131"/>
        <v>1Q15</v>
      </c>
      <c r="C797" s="709" t="str">
        <f t="shared" si="135"/>
        <v>2Q15</v>
      </c>
      <c r="D797" s="710">
        <f t="shared" si="137"/>
        <v>42132</v>
      </c>
      <c r="E797" s="710">
        <f t="shared" si="137"/>
        <v>42072</v>
      </c>
      <c r="F797" s="712">
        <v>2.944</v>
      </c>
      <c r="G797" s="713">
        <f t="shared" si="132"/>
        <v>0.36000000000000015</v>
      </c>
      <c r="H797" s="713">
        <f t="shared" si="133"/>
        <v>0.36000000000000015</v>
      </c>
    </row>
    <row r="798" spans="1:8" x14ac:dyDescent="0.2">
      <c r="A798" s="709">
        <f t="shared" si="134"/>
        <v>42064</v>
      </c>
      <c r="B798" s="709" t="str">
        <f t="shared" si="131"/>
        <v>1Q15</v>
      </c>
      <c r="C798" s="709" t="str">
        <f t="shared" si="135"/>
        <v>2Q15</v>
      </c>
      <c r="D798" s="710">
        <f t="shared" si="137"/>
        <v>42139</v>
      </c>
      <c r="E798" s="710">
        <f t="shared" si="137"/>
        <v>42079</v>
      </c>
      <c r="F798" s="712">
        <v>2.9169999999999998</v>
      </c>
      <c r="G798" s="713">
        <f t="shared" si="132"/>
        <v>0.36000000000000015</v>
      </c>
      <c r="H798" s="713">
        <f t="shared" si="133"/>
        <v>0.35000000000000014</v>
      </c>
    </row>
    <row r="799" spans="1:8" x14ac:dyDescent="0.2">
      <c r="A799" s="709">
        <f t="shared" si="134"/>
        <v>42064</v>
      </c>
      <c r="B799" s="709" t="str">
        <f t="shared" si="131"/>
        <v>1Q15</v>
      </c>
      <c r="C799" s="709" t="str">
        <f t="shared" si="135"/>
        <v>2Q15</v>
      </c>
      <c r="D799" s="710">
        <f t="shared" si="137"/>
        <v>42146</v>
      </c>
      <c r="E799" s="710">
        <f t="shared" si="137"/>
        <v>42086</v>
      </c>
      <c r="F799" s="712">
        <v>2.8639999999999999</v>
      </c>
      <c r="G799" s="713">
        <f t="shared" si="132"/>
        <v>0.35000000000000014</v>
      </c>
      <c r="H799" s="713">
        <f t="shared" si="133"/>
        <v>0.34000000000000014</v>
      </c>
    </row>
    <row r="800" spans="1:8" x14ac:dyDescent="0.2">
      <c r="A800" s="709">
        <f t="shared" si="134"/>
        <v>42064</v>
      </c>
      <c r="B800" s="709" t="str">
        <f t="shared" si="131"/>
        <v>1Q15</v>
      </c>
      <c r="C800" s="709" t="str">
        <f t="shared" si="135"/>
        <v>2Q15</v>
      </c>
      <c r="D800" s="710">
        <f t="shared" si="137"/>
        <v>42153</v>
      </c>
      <c r="E800" s="710">
        <f t="shared" si="137"/>
        <v>42093</v>
      </c>
      <c r="F800" s="712">
        <v>2.8239999999999998</v>
      </c>
      <c r="G800" s="713">
        <f t="shared" si="132"/>
        <v>0.34000000000000014</v>
      </c>
      <c r="H800" s="713">
        <f t="shared" si="133"/>
        <v>0.33000000000000013</v>
      </c>
    </row>
    <row r="801" spans="1:8" x14ac:dyDescent="0.2">
      <c r="A801" s="709">
        <f t="shared" si="134"/>
        <v>42095</v>
      </c>
      <c r="B801" s="709" t="str">
        <f t="shared" si="131"/>
        <v>2Q15</v>
      </c>
      <c r="C801" s="709" t="str">
        <f t="shared" si="135"/>
        <v>2Q15</v>
      </c>
      <c r="D801" s="710">
        <f t="shared" si="137"/>
        <v>42160</v>
      </c>
      <c r="E801" s="710">
        <f t="shared" si="137"/>
        <v>42100</v>
      </c>
      <c r="F801" s="712">
        <v>2.7839999999999998</v>
      </c>
      <c r="G801" s="713">
        <f t="shared" si="132"/>
        <v>0.33000000000000013</v>
      </c>
      <c r="H801" s="713">
        <f t="shared" si="133"/>
        <v>0.33000000000000013</v>
      </c>
    </row>
    <row r="802" spans="1:8" x14ac:dyDescent="0.2">
      <c r="A802" s="709">
        <f t="shared" si="134"/>
        <v>42095</v>
      </c>
      <c r="B802" s="709" t="str">
        <f t="shared" si="131"/>
        <v>2Q15</v>
      </c>
      <c r="C802" s="709" t="str">
        <f t="shared" si="135"/>
        <v>2Q15</v>
      </c>
      <c r="D802" s="710">
        <f t="shared" si="137"/>
        <v>42167</v>
      </c>
      <c r="E802" s="710">
        <f t="shared" si="137"/>
        <v>42107</v>
      </c>
      <c r="F802" s="712">
        <v>2.754</v>
      </c>
      <c r="G802" s="713">
        <f t="shared" si="132"/>
        <v>0.33000000000000013</v>
      </c>
      <c r="H802" s="713">
        <f t="shared" si="133"/>
        <v>0.33000000000000013</v>
      </c>
    </row>
    <row r="803" spans="1:8" x14ac:dyDescent="0.2">
      <c r="A803" s="709">
        <f t="shared" si="134"/>
        <v>42095</v>
      </c>
      <c r="B803" s="709" t="str">
        <f t="shared" si="131"/>
        <v>2Q15</v>
      </c>
      <c r="C803" s="709" t="str">
        <f t="shared" si="135"/>
        <v>2Q15</v>
      </c>
      <c r="D803" s="710">
        <f t="shared" si="137"/>
        <v>42174</v>
      </c>
      <c r="E803" s="710">
        <f t="shared" si="137"/>
        <v>42114</v>
      </c>
      <c r="F803" s="712">
        <v>2.78</v>
      </c>
      <c r="G803" s="713">
        <f t="shared" si="132"/>
        <v>0.33000000000000013</v>
      </c>
      <c r="H803" s="713">
        <f t="shared" si="133"/>
        <v>0.34000000000000014</v>
      </c>
    </row>
    <row r="804" spans="1:8" x14ac:dyDescent="0.2">
      <c r="A804" s="709">
        <f t="shared" si="134"/>
        <v>42095</v>
      </c>
      <c r="B804" s="709" t="str">
        <f t="shared" si="131"/>
        <v>2Q15</v>
      </c>
      <c r="C804" s="709" t="str">
        <f t="shared" si="135"/>
        <v>2Q15</v>
      </c>
      <c r="D804" s="710">
        <f t="shared" si="137"/>
        <v>42181</v>
      </c>
      <c r="E804" s="710">
        <f t="shared" si="137"/>
        <v>42121</v>
      </c>
      <c r="F804" s="712">
        <v>2.8109999999999999</v>
      </c>
      <c r="G804" s="713">
        <f t="shared" si="132"/>
        <v>0.34000000000000014</v>
      </c>
      <c r="H804" s="713">
        <f t="shared" si="133"/>
        <v>0.35000000000000014</v>
      </c>
    </row>
    <row r="805" spans="1:8" x14ac:dyDescent="0.2">
      <c r="A805" s="709">
        <f t="shared" si="134"/>
        <v>42125</v>
      </c>
      <c r="B805" s="709" t="str">
        <f t="shared" si="131"/>
        <v>2Q15</v>
      </c>
      <c r="C805" s="709" t="str">
        <f t="shared" si="135"/>
        <v>3Q15</v>
      </c>
      <c r="D805" s="710">
        <f t="shared" ref="D805:E820" si="138">D804+7</f>
        <v>42188</v>
      </c>
      <c r="E805" s="710">
        <f t="shared" si="138"/>
        <v>42128</v>
      </c>
      <c r="F805" s="712">
        <v>2.8540000000000001</v>
      </c>
      <c r="G805" s="713">
        <f t="shared" si="132"/>
        <v>0.35000000000000014</v>
      </c>
      <c r="H805" s="713">
        <f t="shared" si="133"/>
        <v>0.35000000000000014</v>
      </c>
    </row>
    <row r="806" spans="1:8" x14ac:dyDescent="0.2">
      <c r="A806" s="709">
        <f t="shared" si="134"/>
        <v>42125</v>
      </c>
      <c r="B806" s="709" t="str">
        <f t="shared" si="131"/>
        <v>2Q15</v>
      </c>
      <c r="C806" s="709" t="str">
        <f t="shared" si="135"/>
        <v>3Q15</v>
      </c>
      <c r="D806" s="710">
        <f t="shared" si="138"/>
        <v>42195</v>
      </c>
      <c r="E806" s="710">
        <f t="shared" si="138"/>
        <v>42135</v>
      </c>
      <c r="F806" s="712">
        <v>2.8780000000000001</v>
      </c>
      <c r="G806" s="713">
        <f t="shared" si="132"/>
        <v>0.35000000000000014</v>
      </c>
      <c r="H806" s="713">
        <f t="shared" si="133"/>
        <v>0.36000000000000015</v>
      </c>
    </row>
    <row r="807" spans="1:8" x14ac:dyDescent="0.2">
      <c r="A807" s="709">
        <f t="shared" si="134"/>
        <v>42125</v>
      </c>
      <c r="B807" s="709" t="str">
        <f t="shared" si="131"/>
        <v>2Q15</v>
      </c>
      <c r="C807" s="709" t="str">
        <f t="shared" si="135"/>
        <v>3Q15</v>
      </c>
      <c r="D807" s="710">
        <f t="shared" si="138"/>
        <v>42202</v>
      </c>
      <c r="E807" s="710">
        <f t="shared" si="138"/>
        <v>42142</v>
      </c>
      <c r="F807" s="712">
        <v>2.9039999999999999</v>
      </c>
      <c r="G807" s="713">
        <f t="shared" si="132"/>
        <v>0.36000000000000015</v>
      </c>
      <c r="H807" s="713">
        <f t="shared" si="133"/>
        <v>0.36000000000000015</v>
      </c>
    </row>
    <row r="808" spans="1:8" x14ac:dyDescent="0.2">
      <c r="A808" s="709">
        <f t="shared" si="134"/>
        <v>42125</v>
      </c>
      <c r="B808" s="709" t="str">
        <f t="shared" si="131"/>
        <v>2Q15</v>
      </c>
      <c r="C808" s="709" t="str">
        <f t="shared" si="135"/>
        <v>3Q15</v>
      </c>
      <c r="D808" s="710">
        <f t="shared" si="138"/>
        <v>42209</v>
      </c>
      <c r="E808" s="710">
        <f t="shared" si="138"/>
        <v>42149</v>
      </c>
      <c r="F808" s="712">
        <v>2.9140000000000001</v>
      </c>
      <c r="G808" s="713">
        <f t="shared" si="132"/>
        <v>0.36000000000000015</v>
      </c>
      <c r="H808" s="713">
        <f t="shared" si="133"/>
        <v>0.36000000000000015</v>
      </c>
    </row>
    <row r="809" spans="1:8" x14ac:dyDescent="0.2">
      <c r="A809" s="709">
        <f t="shared" si="134"/>
        <v>42156</v>
      </c>
      <c r="B809" s="709" t="str">
        <f t="shared" si="131"/>
        <v>2Q15</v>
      </c>
      <c r="C809" s="709" t="str">
        <f t="shared" si="135"/>
        <v>3Q15</v>
      </c>
      <c r="D809" s="710">
        <f t="shared" si="138"/>
        <v>42216</v>
      </c>
      <c r="E809" s="710">
        <f t="shared" si="138"/>
        <v>42156</v>
      </c>
      <c r="F809" s="712">
        <v>2.9089999999999998</v>
      </c>
      <c r="G809" s="713">
        <f t="shared" si="132"/>
        <v>0.36000000000000015</v>
      </c>
      <c r="H809" s="713">
        <f t="shared" si="133"/>
        <v>0.35000000000000014</v>
      </c>
    </row>
    <row r="810" spans="1:8" x14ac:dyDescent="0.2">
      <c r="A810" s="709">
        <f t="shared" si="134"/>
        <v>42156</v>
      </c>
      <c r="B810" s="709" t="str">
        <f t="shared" si="131"/>
        <v>2Q15</v>
      </c>
      <c r="C810" s="709" t="str">
        <f t="shared" si="135"/>
        <v>3Q15</v>
      </c>
      <c r="D810" s="710">
        <f t="shared" si="138"/>
        <v>42223</v>
      </c>
      <c r="E810" s="710">
        <f t="shared" si="138"/>
        <v>42163</v>
      </c>
      <c r="F810" s="712">
        <v>2.8839999999999999</v>
      </c>
      <c r="G810" s="713">
        <f t="shared" si="132"/>
        <v>0.35000000000000014</v>
      </c>
      <c r="H810" s="713">
        <f t="shared" si="133"/>
        <v>0.35000000000000014</v>
      </c>
    </row>
    <row r="811" spans="1:8" x14ac:dyDescent="0.2">
      <c r="A811" s="709">
        <f t="shared" si="134"/>
        <v>42156</v>
      </c>
      <c r="B811" s="709" t="str">
        <f t="shared" si="131"/>
        <v>2Q15</v>
      </c>
      <c r="C811" s="709" t="str">
        <f t="shared" si="135"/>
        <v>3Q15</v>
      </c>
      <c r="D811" s="710">
        <f t="shared" si="138"/>
        <v>42230</v>
      </c>
      <c r="E811" s="710">
        <f t="shared" si="138"/>
        <v>42170</v>
      </c>
      <c r="F811" s="712">
        <v>2.87</v>
      </c>
      <c r="G811" s="713">
        <f t="shared" si="132"/>
        <v>0.35000000000000014</v>
      </c>
      <c r="H811" s="713">
        <f t="shared" si="133"/>
        <v>0.35000000000000014</v>
      </c>
    </row>
    <row r="812" spans="1:8" x14ac:dyDescent="0.2">
      <c r="A812" s="709">
        <f t="shared" si="134"/>
        <v>42156</v>
      </c>
      <c r="B812" s="709" t="str">
        <f t="shared" si="131"/>
        <v>2Q15</v>
      </c>
      <c r="C812" s="709" t="str">
        <f t="shared" si="135"/>
        <v>3Q15</v>
      </c>
      <c r="D812" s="710">
        <f t="shared" si="138"/>
        <v>42237</v>
      </c>
      <c r="E812" s="710">
        <f t="shared" si="138"/>
        <v>42177</v>
      </c>
      <c r="F812" s="712">
        <v>2.859</v>
      </c>
      <c r="G812" s="713">
        <f t="shared" si="132"/>
        <v>0.35000000000000014</v>
      </c>
      <c r="H812" s="713">
        <f t="shared" si="133"/>
        <v>0.34000000000000014</v>
      </c>
    </row>
    <row r="813" spans="1:8" x14ac:dyDescent="0.2">
      <c r="A813" s="709">
        <f t="shared" si="134"/>
        <v>42156</v>
      </c>
      <c r="B813" s="709" t="str">
        <f t="shared" si="131"/>
        <v>2Q15</v>
      </c>
      <c r="C813" s="709" t="str">
        <f t="shared" si="135"/>
        <v>3Q15</v>
      </c>
      <c r="D813" s="710">
        <f t="shared" si="138"/>
        <v>42244</v>
      </c>
      <c r="E813" s="710">
        <f t="shared" si="138"/>
        <v>42184</v>
      </c>
      <c r="F813" s="712">
        <v>2.843</v>
      </c>
      <c r="G813" s="713">
        <f t="shared" si="132"/>
        <v>0.34000000000000014</v>
      </c>
      <c r="H813" s="713">
        <f t="shared" si="133"/>
        <v>0.34000000000000014</v>
      </c>
    </row>
    <row r="814" spans="1:8" x14ac:dyDescent="0.2">
      <c r="A814" s="709">
        <f t="shared" si="134"/>
        <v>42186</v>
      </c>
      <c r="B814" s="709" t="str">
        <f t="shared" si="131"/>
        <v>3Q15</v>
      </c>
      <c r="C814" s="709" t="str">
        <f t="shared" si="135"/>
        <v>3Q15</v>
      </c>
      <c r="D814" s="710">
        <f t="shared" si="138"/>
        <v>42251</v>
      </c>
      <c r="E814" s="710">
        <f t="shared" si="138"/>
        <v>42191</v>
      </c>
      <c r="F814" s="712">
        <v>2.8319999999999999</v>
      </c>
      <c r="G814" s="713">
        <f t="shared" si="132"/>
        <v>0.34000000000000014</v>
      </c>
      <c r="H814" s="713">
        <f t="shared" si="133"/>
        <v>0.34000000000000014</v>
      </c>
    </row>
    <row r="815" spans="1:8" x14ac:dyDescent="0.2">
      <c r="A815" s="709">
        <f t="shared" si="134"/>
        <v>42186</v>
      </c>
      <c r="B815" s="709" t="str">
        <f t="shared" si="131"/>
        <v>3Q15</v>
      </c>
      <c r="C815" s="709" t="str">
        <f t="shared" si="135"/>
        <v>3Q15</v>
      </c>
      <c r="D815" s="710">
        <f t="shared" si="138"/>
        <v>42258</v>
      </c>
      <c r="E815" s="710">
        <f t="shared" si="138"/>
        <v>42198</v>
      </c>
      <c r="F815" s="712">
        <v>2.8140000000000001</v>
      </c>
      <c r="G815" s="713">
        <f t="shared" si="132"/>
        <v>0.34000000000000014</v>
      </c>
      <c r="H815" s="713">
        <f t="shared" si="133"/>
        <v>0.33000000000000013</v>
      </c>
    </row>
    <row r="816" spans="1:8" x14ac:dyDescent="0.2">
      <c r="A816" s="709">
        <f t="shared" si="134"/>
        <v>42186</v>
      </c>
      <c r="B816" s="709" t="str">
        <f t="shared" si="131"/>
        <v>3Q15</v>
      </c>
      <c r="C816" s="709" t="str">
        <f t="shared" si="135"/>
        <v>3Q15</v>
      </c>
      <c r="D816" s="710">
        <f t="shared" si="138"/>
        <v>42265</v>
      </c>
      <c r="E816" s="710">
        <f t="shared" si="138"/>
        <v>42205</v>
      </c>
      <c r="F816" s="712">
        <v>2.782</v>
      </c>
      <c r="G816" s="713">
        <f t="shared" si="132"/>
        <v>0.33000000000000013</v>
      </c>
      <c r="H816" s="713">
        <f t="shared" si="133"/>
        <v>0.32000000000000012</v>
      </c>
    </row>
    <row r="817" spans="1:8" x14ac:dyDescent="0.2">
      <c r="A817" s="709">
        <f t="shared" si="134"/>
        <v>42186</v>
      </c>
      <c r="B817" s="709" t="str">
        <f t="shared" si="131"/>
        <v>3Q15</v>
      </c>
      <c r="C817" s="709" t="str">
        <f t="shared" si="135"/>
        <v>3Q15</v>
      </c>
      <c r="D817" s="710">
        <f t="shared" si="138"/>
        <v>42272</v>
      </c>
      <c r="E817" s="710">
        <f t="shared" si="138"/>
        <v>42212</v>
      </c>
      <c r="F817" s="712">
        <v>2.7229999999999999</v>
      </c>
      <c r="G817" s="713">
        <f t="shared" si="132"/>
        <v>0.32000000000000012</v>
      </c>
      <c r="H817" s="713">
        <f t="shared" si="133"/>
        <v>0.31000000000000011</v>
      </c>
    </row>
    <row r="818" spans="1:8" x14ac:dyDescent="0.2">
      <c r="A818" s="709">
        <f t="shared" si="134"/>
        <v>42217</v>
      </c>
      <c r="B818" s="709" t="str">
        <f t="shared" si="131"/>
        <v>3Q15</v>
      </c>
      <c r="C818" s="709" t="str">
        <f t="shared" si="135"/>
        <v>4Q15</v>
      </c>
      <c r="D818" s="710">
        <f t="shared" si="138"/>
        <v>42279</v>
      </c>
      <c r="E818" s="710">
        <f t="shared" si="138"/>
        <v>42219</v>
      </c>
      <c r="F818" s="712">
        <v>2.6680000000000001</v>
      </c>
      <c r="G818" s="713">
        <f t="shared" si="132"/>
        <v>0.31000000000000011</v>
      </c>
      <c r="H818" s="713">
        <f t="shared" si="133"/>
        <v>0.3000000000000001</v>
      </c>
    </row>
    <row r="819" spans="1:8" x14ac:dyDescent="0.2">
      <c r="A819" s="709">
        <f t="shared" si="134"/>
        <v>42217</v>
      </c>
      <c r="B819" s="709" t="str">
        <f t="shared" si="131"/>
        <v>3Q15</v>
      </c>
      <c r="C819" s="709" t="str">
        <f t="shared" si="135"/>
        <v>4Q15</v>
      </c>
      <c r="D819" s="710">
        <f t="shared" si="138"/>
        <v>42286</v>
      </c>
      <c r="E819" s="710">
        <f t="shared" si="138"/>
        <v>42226</v>
      </c>
      <c r="F819" s="712">
        <v>2.617</v>
      </c>
      <c r="G819" s="713">
        <f t="shared" si="132"/>
        <v>0.3000000000000001</v>
      </c>
      <c r="H819" s="713">
        <f t="shared" si="133"/>
        <v>0.3000000000000001</v>
      </c>
    </row>
    <row r="820" spans="1:8" x14ac:dyDescent="0.2">
      <c r="A820" s="709">
        <f t="shared" si="134"/>
        <v>42217</v>
      </c>
      <c r="B820" s="709" t="str">
        <f t="shared" si="131"/>
        <v>3Q15</v>
      </c>
      <c r="C820" s="709" t="str">
        <f t="shared" si="135"/>
        <v>4Q15</v>
      </c>
      <c r="D820" s="710">
        <f t="shared" si="138"/>
        <v>42293</v>
      </c>
      <c r="E820" s="710">
        <f t="shared" si="138"/>
        <v>42233</v>
      </c>
      <c r="F820" s="712">
        <v>2.6150000000000002</v>
      </c>
      <c r="G820" s="713">
        <f t="shared" si="132"/>
        <v>0.3000000000000001</v>
      </c>
      <c r="H820" s="713">
        <f t="shared" si="133"/>
        <v>0.29000000000000009</v>
      </c>
    </row>
    <row r="821" spans="1:8" x14ac:dyDescent="0.2">
      <c r="A821" s="709">
        <f t="shared" si="134"/>
        <v>42217</v>
      </c>
      <c r="B821" s="709" t="str">
        <f t="shared" si="131"/>
        <v>3Q15</v>
      </c>
      <c r="C821" s="709" t="str">
        <f t="shared" si="135"/>
        <v>4Q15</v>
      </c>
      <c r="D821" s="710">
        <f t="shared" ref="D821:E836" si="139">D820+7</f>
        <v>42300</v>
      </c>
      <c r="E821" s="710">
        <f t="shared" si="139"/>
        <v>42240</v>
      </c>
      <c r="F821" s="712">
        <v>2.5609999999999999</v>
      </c>
      <c r="G821" s="713">
        <f t="shared" si="132"/>
        <v>0.29000000000000009</v>
      </c>
      <c r="H821" s="713">
        <f t="shared" si="133"/>
        <v>0.28000000000000008</v>
      </c>
    </row>
    <row r="822" spans="1:8" x14ac:dyDescent="0.2">
      <c r="A822" s="709">
        <f t="shared" si="134"/>
        <v>42217</v>
      </c>
      <c r="B822" s="709" t="str">
        <f t="shared" si="131"/>
        <v>3Q15</v>
      </c>
      <c r="C822" s="709" t="str">
        <f t="shared" si="135"/>
        <v>4Q15</v>
      </c>
      <c r="D822" s="710">
        <f t="shared" si="139"/>
        <v>42307</v>
      </c>
      <c r="E822" s="710">
        <f t="shared" si="139"/>
        <v>42247</v>
      </c>
      <c r="F822" s="712">
        <v>2.5139999999999998</v>
      </c>
      <c r="G822" s="713">
        <f t="shared" si="132"/>
        <v>0.28000000000000008</v>
      </c>
      <c r="H822" s="713">
        <f t="shared" si="133"/>
        <v>0.28000000000000008</v>
      </c>
    </row>
    <row r="823" spans="1:8" x14ac:dyDescent="0.2">
      <c r="A823" s="709">
        <f t="shared" si="134"/>
        <v>42248</v>
      </c>
      <c r="B823" s="709" t="str">
        <f t="shared" si="131"/>
        <v>3Q15</v>
      </c>
      <c r="C823" s="709" t="str">
        <f t="shared" si="135"/>
        <v>4Q15</v>
      </c>
      <c r="D823" s="710">
        <f t="shared" si="139"/>
        <v>42314</v>
      </c>
      <c r="E823" s="710">
        <f t="shared" si="139"/>
        <v>42254</v>
      </c>
      <c r="F823" s="712">
        <v>2.5339999999999998</v>
      </c>
      <c r="G823" s="713">
        <f t="shared" si="132"/>
        <v>0.28000000000000008</v>
      </c>
      <c r="H823" s="713">
        <f t="shared" si="133"/>
        <v>0.28000000000000008</v>
      </c>
    </row>
    <row r="824" spans="1:8" x14ac:dyDescent="0.2">
      <c r="A824" s="709">
        <f t="shared" si="134"/>
        <v>42248</v>
      </c>
      <c r="B824" s="709" t="str">
        <f t="shared" si="131"/>
        <v>3Q15</v>
      </c>
      <c r="C824" s="709" t="str">
        <f t="shared" si="135"/>
        <v>4Q15</v>
      </c>
      <c r="D824" s="710">
        <f t="shared" si="139"/>
        <v>42321</v>
      </c>
      <c r="E824" s="710">
        <f t="shared" si="139"/>
        <v>42261</v>
      </c>
      <c r="F824" s="712">
        <v>2.5169999999999999</v>
      </c>
      <c r="G824" s="713">
        <f t="shared" si="132"/>
        <v>0.28000000000000008</v>
      </c>
      <c r="H824" s="713">
        <f t="shared" si="133"/>
        <v>0.27000000000000007</v>
      </c>
    </row>
    <row r="825" spans="1:8" x14ac:dyDescent="0.2">
      <c r="A825" s="709">
        <f t="shared" si="134"/>
        <v>42248</v>
      </c>
      <c r="B825" s="709" t="str">
        <f t="shared" si="131"/>
        <v>3Q15</v>
      </c>
      <c r="C825" s="709" t="str">
        <f t="shared" si="135"/>
        <v>4Q15</v>
      </c>
      <c r="D825" s="710">
        <f t="shared" si="139"/>
        <v>42328</v>
      </c>
      <c r="E825" s="710">
        <f t="shared" si="139"/>
        <v>42268</v>
      </c>
      <c r="F825" s="712">
        <v>2.4929999999999999</v>
      </c>
      <c r="G825" s="713">
        <f t="shared" si="132"/>
        <v>0.27000000000000007</v>
      </c>
      <c r="H825" s="713">
        <f t="shared" si="133"/>
        <v>0.27000000000000007</v>
      </c>
    </row>
    <row r="826" spans="1:8" x14ac:dyDescent="0.2">
      <c r="A826" s="709">
        <f t="shared" si="134"/>
        <v>42248</v>
      </c>
      <c r="B826" s="709" t="str">
        <f t="shared" si="131"/>
        <v>3Q15</v>
      </c>
      <c r="C826" s="709" t="str">
        <f t="shared" si="135"/>
        <v>4Q15</v>
      </c>
      <c r="D826" s="710">
        <f t="shared" si="139"/>
        <v>42335</v>
      </c>
      <c r="E826" s="710">
        <f t="shared" si="139"/>
        <v>42275</v>
      </c>
      <c r="F826" s="712">
        <v>2.476</v>
      </c>
      <c r="G826" s="713">
        <f t="shared" si="132"/>
        <v>0.27000000000000007</v>
      </c>
      <c r="H826" s="713">
        <f t="shared" si="133"/>
        <v>0.27000000000000007</v>
      </c>
    </row>
    <row r="827" spans="1:8" x14ac:dyDescent="0.2">
      <c r="A827" s="709">
        <f t="shared" si="134"/>
        <v>42278</v>
      </c>
      <c r="B827" s="709" t="str">
        <f t="shared" si="131"/>
        <v>4Q15</v>
      </c>
      <c r="C827" s="709" t="str">
        <f t="shared" si="135"/>
        <v>4Q15</v>
      </c>
      <c r="D827" s="710">
        <f t="shared" si="139"/>
        <v>42342</v>
      </c>
      <c r="E827" s="710">
        <f t="shared" si="139"/>
        <v>42282</v>
      </c>
      <c r="F827" s="712">
        <v>2.492</v>
      </c>
      <c r="G827" s="713">
        <f t="shared" si="132"/>
        <v>0.27000000000000007</v>
      </c>
      <c r="H827" s="713">
        <f t="shared" si="133"/>
        <v>0.29000000000000009</v>
      </c>
    </row>
    <row r="828" spans="1:8" x14ac:dyDescent="0.2">
      <c r="A828" s="709">
        <f t="shared" si="134"/>
        <v>42278</v>
      </c>
      <c r="B828" s="709" t="str">
        <f t="shared" si="131"/>
        <v>4Q15</v>
      </c>
      <c r="C828" s="709" t="str">
        <f t="shared" si="135"/>
        <v>4Q15</v>
      </c>
      <c r="D828" s="710">
        <f t="shared" si="139"/>
        <v>42349</v>
      </c>
      <c r="E828" s="710">
        <f t="shared" si="139"/>
        <v>42289</v>
      </c>
      <c r="F828" s="712">
        <v>2.556</v>
      </c>
      <c r="G828" s="713">
        <f t="shared" si="132"/>
        <v>0.29000000000000009</v>
      </c>
      <c r="H828" s="713">
        <f t="shared" si="133"/>
        <v>0.28000000000000008</v>
      </c>
    </row>
    <row r="829" spans="1:8" x14ac:dyDescent="0.2">
      <c r="A829" s="709">
        <f t="shared" si="134"/>
        <v>42278</v>
      </c>
      <c r="B829" s="709" t="str">
        <f t="shared" si="131"/>
        <v>4Q15</v>
      </c>
      <c r="C829" s="709" t="str">
        <f t="shared" si="135"/>
        <v>4Q15</v>
      </c>
      <c r="D829" s="710">
        <f t="shared" si="139"/>
        <v>42356</v>
      </c>
      <c r="E829" s="710">
        <f t="shared" si="139"/>
        <v>42296</v>
      </c>
      <c r="F829" s="712">
        <v>2.5310000000000001</v>
      </c>
      <c r="G829" s="713">
        <f t="shared" si="132"/>
        <v>0.28000000000000008</v>
      </c>
      <c r="H829" s="713">
        <f t="shared" si="133"/>
        <v>0.27000000000000007</v>
      </c>
    </row>
    <row r="830" spans="1:8" x14ac:dyDescent="0.2">
      <c r="A830" s="709">
        <f t="shared" si="134"/>
        <v>42278</v>
      </c>
      <c r="B830" s="709" t="str">
        <f t="shared" si="131"/>
        <v>4Q15</v>
      </c>
      <c r="C830" s="709" t="str">
        <f t="shared" si="135"/>
        <v>4Q15</v>
      </c>
      <c r="D830" s="710">
        <f t="shared" si="139"/>
        <v>42363</v>
      </c>
      <c r="E830" s="710">
        <f t="shared" si="139"/>
        <v>42303</v>
      </c>
      <c r="F830" s="712">
        <v>2.4980000000000002</v>
      </c>
      <c r="G830" s="713">
        <f t="shared" si="132"/>
        <v>0.27000000000000007</v>
      </c>
      <c r="H830" s="713">
        <f t="shared" si="133"/>
        <v>0.27000000000000007</v>
      </c>
    </row>
    <row r="831" spans="1:8" x14ac:dyDescent="0.2">
      <c r="A831" s="709">
        <f t="shared" si="134"/>
        <v>42309</v>
      </c>
      <c r="B831" s="709" t="str">
        <f t="shared" si="131"/>
        <v>4Q15</v>
      </c>
      <c r="C831" s="709" t="str">
        <f t="shared" si="135"/>
        <v>1Q16</v>
      </c>
      <c r="D831" s="710">
        <f t="shared" si="139"/>
        <v>42370</v>
      </c>
      <c r="E831" s="710">
        <f t="shared" si="139"/>
        <v>42310</v>
      </c>
      <c r="F831" s="712">
        <v>2.4849999999999999</v>
      </c>
      <c r="G831" s="713">
        <f t="shared" si="132"/>
        <v>0.27000000000000007</v>
      </c>
      <c r="H831" s="713">
        <f t="shared" si="133"/>
        <v>0.28000000000000008</v>
      </c>
    </row>
    <row r="832" spans="1:8" x14ac:dyDescent="0.2">
      <c r="A832" s="709">
        <f t="shared" si="134"/>
        <v>42309</v>
      </c>
      <c r="B832" s="709" t="str">
        <f t="shared" si="131"/>
        <v>4Q15</v>
      </c>
      <c r="C832" s="709" t="str">
        <f t="shared" si="135"/>
        <v>1Q16</v>
      </c>
      <c r="D832" s="710">
        <f t="shared" si="139"/>
        <v>42377</v>
      </c>
      <c r="E832" s="710">
        <f t="shared" si="139"/>
        <v>42317</v>
      </c>
      <c r="F832" s="712">
        <v>2.5019999999999998</v>
      </c>
      <c r="G832" s="713">
        <f t="shared" si="132"/>
        <v>0.28000000000000008</v>
      </c>
      <c r="H832" s="713">
        <f t="shared" si="133"/>
        <v>0.27000000000000007</v>
      </c>
    </row>
    <row r="833" spans="1:8" x14ac:dyDescent="0.2">
      <c r="A833" s="709">
        <f t="shared" si="134"/>
        <v>42309</v>
      </c>
      <c r="B833" s="709" t="str">
        <f t="shared" si="131"/>
        <v>4Q15</v>
      </c>
      <c r="C833" s="709" t="str">
        <f t="shared" si="135"/>
        <v>1Q16</v>
      </c>
      <c r="D833" s="710">
        <f t="shared" si="139"/>
        <v>42384</v>
      </c>
      <c r="E833" s="710">
        <f t="shared" si="139"/>
        <v>42324</v>
      </c>
      <c r="F833" s="712">
        <v>2.4820000000000002</v>
      </c>
      <c r="G833" s="713">
        <f t="shared" si="132"/>
        <v>0.27000000000000007</v>
      </c>
      <c r="H833" s="713">
        <f t="shared" si="133"/>
        <v>0.26000000000000006</v>
      </c>
    </row>
    <row r="834" spans="1:8" x14ac:dyDescent="0.2">
      <c r="A834" s="709">
        <f t="shared" si="134"/>
        <v>42309</v>
      </c>
      <c r="B834" s="709" t="str">
        <f t="shared" si="131"/>
        <v>4Q15</v>
      </c>
      <c r="C834" s="709" t="str">
        <f t="shared" si="135"/>
        <v>1Q16</v>
      </c>
      <c r="D834" s="710">
        <f t="shared" si="139"/>
        <v>42391</v>
      </c>
      <c r="E834" s="710">
        <f t="shared" si="139"/>
        <v>42331</v>
      </c>
      <c r="F834" s="712">
        <v>2.4449999999999998</v>
      </c>
      <c r="G834" s="713">
        <f t="shared" si="132"/>
        <v>0.26000000000000006</v>
      </c>
      <c r="H834" s="713">
        <f t="shared" si="133"/>
        <v>0.26000000000000006</v>
      </c>
    </row>
    <row r="835" spans="1:8" x14ac:dyDescent="0.2">
      <c r="A835" s="709">
        <f t="shared" si="134"/>
        <v>42309</v>
      </c>
      <c r="B835" s="709" t="str">
        <f t="shared" si="131"/>
        <v>4Q15</v>
      </c>
      <c r="C835" s="709" t="str">
        <f t="shared" si="135"/>
        <v>1Q16</v>
      </c>
      <c r="D835" s="710">
        <f t="shared" si="139"/>
        <v>42398</v>
      </c>
      <c r="E835" s="710">
        <f t="shared" si="139"/>
        <v>42338</v>
      </c>
      <c r="F835" s="712">
        <v>2.4209999999999998</v>
      </c>
      <c r="G835" s="713">
        <f t="shared" si="132"/>
        <v>0.26000000000000006</v>
      </c>
      <c r="H835" s="713">
        <f t="shared" si="133"/>
        <v>0.25000000000000006</v>
      </c>
    </row>
    <row r="836" spans="1:8" x14ac:dyDescent="0.2">
      <c r="A836" s="709">
        <f t="shared" si="134"/>
        <v>42339</v>
      </c>
      <c r="B836" s="709" t="str">
        <f t="shared" ref="B836:B899" si="140">VLOOKUP(MONTH(A836),$N$4:$O$16,2,FALSE) &amp; "Q" &amp; RIGHT(YEAR(A836),2)</f>
        <v>4Q15</v>
      </c>
      <c r="C836" s="709" t="str">
        <f t="shared" si="135"/>
        <v>1Q16</v>
      </c>
      <c r="D836" s="710">
        <f t="shared" si="139"/>
        <v>42405</v>
      </c>
      <c r="E836" s="710">
        <f t="shared" si="139"/>
        <v>42345</v>
      </c>
      <c r="F836" s="712">
        <v>2.379</v>
      </c>
      <c r="G836" s="713">
        <f t="shared" ref="G836:G899" si="141">INDEX($I$4:$K$153,MATCH(F836,$I$4:$I$153,1),3)</f>
        <v>0.25000000000000006</v>
      </c>
      <c r="H836" s="713">
        <f t="shared" ref="H836:H869" si="142">G837</f>
        <v>0.24000000000000007</v>
      </c>
    </row>
    <row r="837" spans="1:8" x14ac:dyDescent="0.2">
      <c r="A837" s="709">
        <f t="shared" ref="A837:A900" si="143">DATE(YEAR(E837),MONTH(E837),1)</f>
        <v>42339</v>
      </c>
      <c r="B837" s="709" t="str">
        <f t="shared" si="140"/>
        <v>4Q15</v>
      </c>
      <c r="C837" s="709" t="str">
        <f t="shared" ref="C837:C900" si="144">VLOOKUP(MONTH(D837),$N$4:$O$16,2,FALSE) &amp; "Q" &amp; RIGHT(YEAR(D837),2)</f>
        <v>1Q16</v>
      </c>
      <c r="D837" s="710">
        <f t="shared" ref="D837:E852" si="145">D836+7</f>
        <v>42412</v>
      </c>
      <c r="E837" s="710">
        <f t="shared" si="145"/>
        <v>42352</v>
      </c>
      <c r="F837" s="712">
        <v>2.3380000000000001</v>
      </c>
      <c r="G837" s="713">
        <f t="shared" si="141"/>
        <v>0.24000000000000007</v>
      </c>
      <c r="H837" s="713">
        <f t="shared" si="142"/>
        <v>0.23000000000000007</v>
      </c>
    </row>
    <row r="838" spans="1:8" x14ac:dyDescent="0.2">
      <c r="A838" s="709">
        <f t="shared" si="143"/>
        <v>42339</v>
      </c>
      <c r="B838" s="709" t="str">
        <f t="shared" si="140"/>
        <v>4Q15</v>
      </c>
      <c r="C838" s="709" t="str">
        <f t="shared" si="144"/>
        <v>1Q16</v>
      </c>
      <c r="D838" s="710">
        <f t="shared" si="145"/>
        <v>42419</v>
      </c>
      <c r="E838" s="710">
        <f t="shared" si="145"/>
        <v>42359</v>
      </c>
      <c r="F838" s="712">
        <v>2.2839999999999998</v>
      </c>
      <c r="G838" s="713">
        <f t="shared" si="141"/>
        <v>0.23000000000000007</v>
      </c>
      <c r="H838" s="713">
        <f t="shared" si="142"/>
        <v>0.22000000000000006</v>
      </c>
    </row>
    <row r="839" spans="1:8" x14ac:dyDescent="0.2">
      <c r="A839" s="709">
        <f t="shared" si="143"/>
        <v>42339</v>
      </c>
      <c r="B839" s="709" t="str">
        <f t="shared" si="140"/>
        <v>4Q15</v>
      </c>
      <c r="C839" s="709" t="str">
        <f t="shared" si="144"/>
        <v>1Q16</v>
      </c>
      <c r="D839" s="710">
        <f t="shared" si="145"/>
        <v>42426</v>
      </c>
      <c r="E839" s="710">
        <f t="shared" si="145"/>
        <v>42366</v>
      </c>
      <c r="F839" s="712">
        <v>2.2370000000000001</v>
      </c>
      <c r="G839" s="713">
        <f t="shared" si="141"/>
        <v>0.22000000000000006</v>
      </c>
      <c r="H839" s="713">
        <f t="shared" si="142"/>
        <v>0.22000000000000006</v>
      </c>
    </row>
    <row r="840" spans="1:8" x14ac:dyDescent="0.2">
      <c r="A840" s="709">
        <f t="shared" si="143"/>
        <v>42370</v>
      </c>
      <c r="B840" s="709" t="str">
        <f t="shared" si="140"/>
        <v>1Q16</v>
      </c>
      <c r="C840" s="709" t="str">
        <f t="shared" si="144"/>
        <v>1Q16</v>
      </c>
      <c r="D840" s="710">
        <f t="shared" si="145"/>
        <v>42433</v>
      </c>
      <c r="E840" s="710">
        <f t="shared" si="145"/>
        <v>42373</v>
      </c>
      <c r="F840" s="712">
        <v>2.2109999999999999</v>
      </c>
      <c r="G840" s="713">
        <f t="shared" si="141"/>
        <v>0.22000000000000006</v>
      </c>
      <c r="H840" s="713">
        <f t="shared" si="142"/>
        <v>0.21000000000000005</v>
      </c>
    </row>
    <row r="841" spans="1:8" x14ac:dyDescent="0.2">
      <c r="A841" s="709">
        <f t="shared" si="143"/>
        <v>42370</v>
      </c>
      <c r="B841" s="709" t="str">
        <f t="shared" si="140"/>
        <v>1Q16</v>
      </c>
      <c r="C841" s="709" t="str">
        <f t="shared" si="144"/>
        <v>1Q16</v>
      </c>
      <c r="D841" s="710">
        <f t="shared" si="145"/>
        <v>42440</v>
      </c>
      <c r="E841" s="710">
        <f t="shared" si="145"/>
        <v>42380</v>
      </c>
      <c r="F841" s="712">
        <v>2.177</v>
      </c>
      <c r="G841" s="713">
        <f t="shared" si="141"/>
        <v>0.21000000000000005</v>
      </c>
      <c r="H841" s="713">
        <f t="shared" si="142"/>
        <v>0.20000000000000004</v>
      </c>
    </row>
    <row r="842" spans="1:8" x14ac:dyDescent="0.2">
      <c r="A842" s="709">
        <f t="shared" si="143"/>
        <v>42370</v>
      </c>
      <c r="B842" s="709" t="str">
        <f t="shared" si="140"/>
        <v>1Q16</v>
      </c>
      <c r="C842" s="709" t="str">
        <f t="shared" si="144"/>
        <v>1Q16</v>
      </c>
      <c r="D842" s="710">
        <f t="shared" si="145"/>
        <v>42447</v>
      </c>
      <c r="E842" s="710">
        <f t="shared" si="145"/>
        <v>42387</v>
      </c>
      <c r="F842" s="712">
        <v>2.1120000000000001</v>
      </c>
      <c r="G842" s="713">
        <f t="shared" si="141"/>
        <v>0.20000000000000004</v>
      </c>
      <c r="H842" s="713">
        <f t="shared" si="142"/>
        <v>0.19000000000000003</v>
      </c>
    </row>
    <row r="843" spans="1:8" x14ac:dyDescent="0.2">
      <c r="A843" s="709">
        <f t="shared" si="143"/>
        <v>42370</v>
      </c>
      <c r="B843" s="709" t="str">
        <f t="shared" si="140"/>
        <v>1Q16</v>
      </c>
      <c r="C843" s="709" t="str">
        <f t="shared" si="144"/>
        <v>1Q16</v>
      </c>
      <c r="D843" s="710">
        <f t="shared" si="145"/>
        <v>42454</v>
      </c>
      <c r="E843" s="710">
        <f t="shared" si="145"/>
        <v>42394</v>
      </c>
      <c r="F843" s="712">
        <v>2.0710000000000002</v>
      </c>
      <c r="G843" s="713">
        <f t="shared" si="141"/>
        <v>0.19000000000000003</v>
      </c>
      <c r="H843" s="713">
        <f t="shared" si="142"/>
        <v>0.18000000000000002</v>
      </c>
    </row>
    <row r="844" spans="1:8" x14ac:dyDescent="0.2">
      <c r="A844" s="709">
        <f t="shared" si="143"/>
        <v>42401</v>
      </c>
      <c r="B844" s="709" t="str">
        <f t="shared" si="140"/>
        <v>1Q16</v>
      </c>
      <c r="C844" s="709" t="str">
        <f t="shared" si="144"/>
        <v>2Q16</v>
      </c>
      <c r="D844" s="710">
        <f t="shared" si="145"/>
        <v>42461</v>
      </c>
      <c r="E844" s="710">
        <f t="shared" si="145"/>
        <v>42401</v>
      </c>
      <c r="F844" s="712">
        <v>2.0310000000000001</v>
      </c>
      <c r="G844" s="713">
        <f t="shared" si="141"/>
        <v>0.18000000000000002</v>
      </c>
      <c r="H844" s="713">
        <f t="shared" si="142"/>
        <v>0.18000000000000002</v>
      </c>
    </row>
    <row r="845" spans="1:8" x14ac:dyDescent="0.2">
      <c r="A845" s="709">
        <f t="shared" si="143"/>
        <v>42401</v>
      </c>
      <c r="B845" s="709" t="str">
        <f t="shared" si="140"/>
        <v>1Q16</v>
      </c>
      <c r="C845" s="709" t="str">
        <f t="shared" si="144"/>
        <v>2Q16</v>
      </c>
      <c r="D845" s="710">
        <f t="shared" si="145"/>
        <v>42468</v>
      </c>
      <c r="E845" s="710">
        <f t="shared" si="145"/>
        <v>42408</v>
      </c>
      <c r="F845" s="712">
        <v>2.008</v>
      </c>
      <c r="G845" s="713">
        <f t="shared" si="141"/>
        <v>0.18000000000000002</v>
      </c>
      <c r="H845" s="713">
        <f t="shared" si="142"/>
        <v>0.17</v>
      </c>
    </row>
    <row r="846" spans="1:8" x14ac:dyDescent="0.2">
      <c r="A846" s="709">
        <f t="shared" si="143"/>
        <v>42401</v>
      </c>
      <c r="B846" s="709" t="str">
        <f t="shared" si="140"/>
        <v>1Q16</v>
      </c>
      <c r="C846" s="709" t="str">
        <f t="shared" si="144"/>
        <v>2Q16</v>
      </c>
      <c r="D846" s="710">
        <f t="shared" si="145"/>
        <v>42475</v>
      </c>
      <c r="E846" s="710">
        <f t="shared" si="145"/>
        <v>42415</v>
      </c>
      <c r="F846" s="712">
        <v>1.98</v>
      </c>
      <c r="G846" s="713">
        <f t="shared" si="141"/>
        <v>0.17</v>
      </c>
      <c r="H846" s="713">
        <f t="shared" si="142"/>
        <v>0.17</v>
      </c>
    </row>
    <row r="847" spans="1:8" x14ac:dyDescent="0.2">
      <c r="A847" s="709">
        <f t="shared" si="143"/>
        <v>42401</v>
      </c>
      <c r="B847" s="709" t="str">
        <f t="shared" si="140"/>
        <v>1Q16</v>
      </c>
      <c r="C847" s="709" t="str">
        <f t="shared" si="144"/>
        <v>2Q16</v>
      </c>
      <c r="D847" s="710">
        <f t="shared" si="145"/>
        <v>42482</v>
      </c>
      <c r="E847" s="710">
        <f t="shared" si="145"/>
        <v>42422</v>
      </c>
      <c r="F847" s="712">
        <v>1.9830000000000001</v>
      </c>
      <c r="G847" s="713">
        <f t="shared" si="141"/>
        <v>0.17</v>
      </c>
      <c r="H847" s="713">
        <f t="shared" si="142"/>
        <v>0.17</v>
      </c>
    </row>
    <row r="848" spans="1:8" x14ac:dyDescent="0.2">
      <c r="A848" s="709">
        <f t="shared" si="143"/>
        <v>42401</v>
      </c>
      <c r="B848" s="709" t="str">
        <f t="shared" si="140"/>
        <v>1Q16</v>
      </c>
      <c r="C848" s="709" t="str">
        <f t="shared" si="144"/>
        <v>2Q16</v>
      </c>
      <c r="D848" s="710">
        <f t="shared" si="145"/>
        <v>42489</v>
      </c>
      <c r="E848" s="710">
        <f t="shared" si="145"/>
        <v>42429</v>
      </c>
      <c r="F848" s="712">
        <v>1.9890000000000001</v>
      </c>
      <c r="G848" s="713">
        <f t="shared" si="141"/>
        <v>0.17</v>
      </c>
      <c r="H848" s="713">
        <f t="shared" si="142"/>
        <v>0.18000000000000002</v>
      </c>
    </row>
    <row r="849" spans="1:8" x14ac:dyDescent="0.2">
      <c r="A849" s="709">
        <f t="shared" si="143"/>
        <v>42430</v>
      </c>
      <c r="B849" s="709" t="str">
        <f t="shared" si="140"/>
        <v>1Q16</v>
      </c>
      <c r="C849" s="709" t="str">
        <f t="shared" si="144"/>
        <v>2Q16</v>
      </c>
      <c r="D849" s="710">
        <f t="shared" si="145"/>
        <v>42496</v>
      </c>
      <c r="E849" s="710">
        <f t="shared" si="145"/>
        <v>42436</v>
      </c>
      <c r="F849" s="712">
        <v>2.0209999999999999</v>
      </c>
      <c r="G849" s="713">
        <f t="shared" si="141"/>
        <v>0.18000000000000002</v>
      </c>
      <c r="H849" s="713">
        <f t="shared" si="142"/>
        <v>0.19000000000000003</v>
      </c>
    </row>
    <row r="850" spans="1:8" x14ac:dyDescent="0.2">
      <c r="A850" s="709">
        <f t="shared" si="143"/>
        <v>42430</v>
      </c>
      <c r="B850" s="709" t="str">
        <f t="shared" si="140"/>
        <v>1Q16</v>
      </c>
      <c r="C850" s="709" t="str">
        <f t="shared" si="144"/>
        <v>2Q16</v>
      </c>
      <c r="D850" s="710">
        <f t="shared" si="145"/>
        <v>42503</v>
      </c>
      <c r="E850" s="710">
        <f t="shared" si="145"/>
        <v>42443</v>
      </c>
      <c r="F850" s="712">
        <v>2.0990000000000002</v>
      </c>
      <c r="G850" s="713">
        <f t="shared" si="141"/>
        <v>0.19000000000000003</v>
      </c>
      <c r="H850" s="713">
        <f t="shared" si="142"/>
        <v>0.20000000000000004</v>
      </c>
    </row>
    <row r="851" spans="1:8" x14ac:dyDescent="0.2">
      <c r="A851" s="709">
        <f t="shared" si="143"/>
        <v>42430</v>
      </c>
      <c r="B851" s="709" t="str">
        <f t="shared" si="140"/>
        <v>1Q16</v>
      </c>
      <c r="C851" s="709" t="str">
        <f t="shared" si="144"/>
        <v>2Q16</v>
      </c>
      <c r="D851" s="710">
        <f t="shared" si="145"/>
        <v>42510</v>
      </c>
      <c r="E851" s="710">
        <f t="shared" si="145"/>
        <v>42450</v>
      </c>
      <c r="F851" s="712">
        <v>2.1190000000000002</v>
      </c>
      <c r="G851" s="713">
        <f t="shared" si="141"/>
        <v>0.20000000000000004</v>
      </c>
      <c r="H851" s="713">
        <f t="shared" si="142"/>
        <v>0.20000000000000004</v>
      </c>
    </row>
    <row r="852" spans="1:8" x14ac:dyDescent="0.2">
      <c r="A852" s="709">
        <f t="shared" si="143"/>
        <v>42430</v>
      </c>
      <c r="B852" s="709" t="str">
        <f t="shared" si="140"/>
        <v>1Q16</v>
      </c>
      <c r="C852" s="709" t="str">
        <f t="shared" si="144"/>
        <v>2Q16</v>
      </c>
      <c r="D852" s="710">
        <f t="shared" si="145"/>
        <v>42517</v>
      </c>
      <c r="E852" s="710">
        <f t="shared" si="145"/>
        <v>42457</v>
      </c>
      <c r="F852" s="712">
        <v>2.121</v>
      </c>
      <c r="G852" s="713">
        <f t="shared" si="141"/>
        <v>0.20000000000000004</v>
      </c>
      <c r="H852" s="713">
        <f t="shared" si="142"/>
        <v>0.20000000000000004</v>
      </c>
    </row>
    <row r="853" spans="1:8" x14ac:dyDescent="0.2">
      <c r="A853" s="709">
        <f t="shared" si="143"/>
        <v>42461</v>
      </c>
      <c r="B853" s="709" t="str">
        <f t="shared" si="140"/>
        <v>2Q16</v>
      </c>
      <c r="C853" s="709" t="str">
        <f t="shared" si="144"/>
        <v>2Q16</v>
      </c>
      <c r="D853" s="710">
        <f t="shared" ref="D853:E868" si="146">D852+7</f>
        <v>42524</v>
      </c>
      <c r="E853" s="710">
        <f t="shared" si="146"/>
        <v>42464</v>
      </c>
      <c r="F853" s="712">
        <v>2.1150000000000002</v>
      </c>
      <c r="G853" s="713">
        <f t="shared" si="141"/>
        <v>0.20000000000000004</v>
      </c>
      <c r="H853" s="713">
        <f t="shared" si="142"/>
        <v>0.20000000000000004</v>
      </c>
    </row>
    <row r="854" spans="1:8" x14ac:dyDescent="0.2">
      <c r="A854" s="709">
        <f t="shared" si="143"/>
        <v>42461</v>
      </c>
      <c r="B854" s="709" t="str">
        <f t="shared" si="140"/>
        <v>2Q16</v>
      </c>
      <c r="C854" s="709" t="str">
        <f t="shared" si="144"/>
        <v>2Q16</v>
      </c>
      <c r="D854" s="710">
        <f t="shared" si="146"/>
        <v>42531</v>
      </c>
      <c r="E854" s="710">
        <f t="shared" si="146"/>
        <v>42471</v>
      </c>
      <c r="F854" s="712">
        <v>2.1280000000000001</v>
      </c>
      <c r="G854" s="713">
        <f t="shared" si="141"/>
        <v>0.20000000000000004</v>
      </c>
      <c r="H854" s="713">
        <f t="shared" si="142"/>
        <v>0.21000000000000005</v>
      </c>
    </row>
    <row r="855" spans="1:8" x14ac:dyDescent="0.2">
      <c r="A855" s="709">
        <f t="shared" si="143"/>
        <v>42461</v>
      </c>
      <c r="B855" s="709" t="str">
        <f t="shared" si="140"/>
        <v>2Q16</v>
      </c>
      <c r="C855" s="709" t="str">
        <f t="shared" si="144"/>
        <v>2Q16</v>
      </c>
      <c r="D855" s="710">
        <f t="shared" si="146"/>
        <v>42538</v>
      </c>
      <c r="E855" s="710">
        <f t="shared" si="146"/>
        <v>42478</v>
      </c>
      <c r="F855" s="712">
        <v>2.165</v>
      </c>
      <c r="G855" s="713">
        <f t="shared" si="141"/>
        <v>0.21000000000000005</v>
      </c>
      <c r="H855" s="713">
        <f t="shared" si="142"/>
        <v>0.21000000000000005</v>
      </c>
    </row>
    <row r="856" spans="1:8" x14ac:dyDescent="0.2">
      <c r="A856" s="709">
        <f t="shared" si="143"/>
        <v>42461</v>
      </c>
      <c r="B856" s="709" t="str">
        <f t="shared" si="140"/>
        <v>2Q16</v>
      </c>
      <c r="C856" s="709" t="str">
        <f t="shared" si="144"/>
        <v>2Q16</v>
      </c>
      <c r="D856" s="710">
        <f t="shared" si="146"/>
        <v>42545</v>
      </c>
      <c r="E856" s="710">
        <f t="shared" si="146"/>
        <v>42485</v>
      </c>
      <c r="F856" s="712">
        <v>2.198</v>
      </c>
      <c r="G856" s="713">
        <f t="shared" si="141"/>
        <v>0.21000000000000005</v>
      </c>
      <c r="H856" s="713">
        <f t="shared" si="142"/>
        <v>0.23000000000000007</v>
      </c>
    </row>
    <row r="857" spans="1:8" x14ac:dyDescent="0.2">
      <c r="A857" s="709">
        <f t="shared" si="143"/>
        <v>42491</v>
      </c>
      <c r="B857" s="709" t="str">
        <f t="shared" si="140"/>
        <v>2Q16</v>
      </c>
      <c r="C857" s="709" t="str">
        <f t="shared" si="144"/>
        <v>3Q16</v>
      </c>
      <c r="D857" s="710">
        <f t="shared" si="146"/>
        <v>42552</v>
      </c>
      <c r="E857" s="710">
        <f t="shared" si="146"/>
        <v>42492</v>
      </c>
      <c r="F857" s="712">
        <v>2.266</v>
      </c>
      <c r="G857" s="713">
        <f t="shared" si="141"/>
        <v>0.23000000000000007</v>
      </c>
      <c r="H857" s="713">
        <f t="shared" si="142"/>
        <v>0.23000000000000007</v>
      </c>
    </row>
    <row r="858" spans="1:8" x14ac:dyDescent="0.2">
      <c r="A858" s="709">
        <f t="shared" si="143"/>
        <v>42491</v>
      </c>
      <c r="B858" s="709" t="str">
        <f t="shared" si="140"/>
        <v>2Q16</v>
      </c>
      <c r="C858" s="709" t="str">
        <f t="shared" si="144"/>
        <v>3Q16</v>
      </c>
      <c r="D858" s="710">
        <f t="shared" si="146"/>
        <v>42559</v>
      </c>
      <c r="E858" s="710">
        <f t="shared" si="146"/>
        <v>42499</v>
      </c>
      <c r="F858" s="712">
        <v>2.2709999999999999</v>
      </c>
      <c r="G858" s="713">
        <f t="shared" si="141"/>
        <v>0.23000000000000007</v>
      </c>
      <c r="H858" s="713">
        <f t="shared" si="142"/>
        <v>0.23000000000000007</v>
      </c>
    </row>
    <row r="859" spans="1:8" x14ac:dyDescent="0.2">
      <c r="A859" s="709">
        <f t="shared" si="143"/>
        <v>42491</v>
      </c>
      <c r="B859" s="709" t="str">
        <f t="shared" si="140"/>
        <v>2Q16</v>
      </c>
      <c r="C859" s="709" t="str">
        <f t="shared" si="144"/>
        <v>3Q16</v>
      </c>
      <c r="D859" s="710">
        <f t="shared" si="146"/>
        <v>42566</v>
      </c>
      <c r="E859" s="710">
        <f t="shared" si="146"/>
        <v>42506</v>
      </c>
      <c r="F859" s="712">
        <v>2.2970000000000002</v>
      </c>
      <c r="G859" s="713">
        <f t="shared" si="141"/>
        <v>0.23000000000000007</v>
      </c>
      <c r="H859" s="713">
        <f t="shared" si="142"/>
        <v>0.25000000000000006</v>
      </c>
    </row>
    <row r="860" spans="1:8" x14ac:dyDescent="0.2">
      <c r="A860" s="709">
        <f t="shared" si="143"/>
        <v>42491</v>
      </c>
      <c r="B860" s="709" t="str">
        <f t="shared" si="140"/>
        <v>2Q16</v>
      </c>
      <c r="C860" s="709" t="str">
        <f t="shared" si="144"/>
        <v>3Q16</v>
      </c>
      <c r="D860" s="710">
        <f t="shared" si="146"/>
        <v>42573</v>
      </c>
      <c r="E860" s="710">
        <f t="shared" si="146"/>
        <v>42513</v>
      </c>
      <c r="F860" s="712">
        <v>2.3570000000000002</v>
      </c>
      <c r="G860" s="713">
        <f t="shared" si="141"/>
        <v>0.25000000000000006</v>
      </c>
      <c r="H860" s="713">
        <f t="shared" si="142"/>
        <v>0.25000000000000006</v>
      </c>
    </row>
    <row r="861" spans="1:8" x14ac:dyDescent="0.2">
      <c r="A861" s="709">
        <f t="shared" si="143"/>
        <v>42491</v>
      </c>
      <c r="B861" s="709" t="str">
        <f t="shared" si="140"/>
        <v>2Q16</v>
      </c>
      <c r="C861" s="709" t="str">
        <f t="shared" si="144"/>
        <v>3Q16</v>
      </c>
      <c r="D861" s="710">
        <f t="shared" si="146"/>
        <v>42580</v>
      </c>
      <c r="E861" s="710">
        <f t="shared" si="146"/>
        <v>42520</v>
      </c>
      <c r="F861" s="712">
        <v>2.3820000000000001</v>
      </c>
      <c r="G861" s="713">
        <f t="shared" si="141"/>
        <v>0.25000000000000006</v>
      </c>
      <c r="H861" s="713">
        <f t="shared" si="142"/>
        <v>0.26000000000000006</v>
      </c>
    </row>
    <row r="862" spans="1:8" x14ac:dyDescent="0.2">
      <c r="A862" s="709">
        <f t="shared" si="143"/>
        <v>42522</v>
      </c>
      <c r="B862" s="709" t="str">
        <f t="shared" si="140"/>
        <v>2Q16</v>
      </c>
      <c r="C862" s="709" t="str">
        <f t="shared" si="144"/>
        <v>3Q16</v>
      </c>
      <c r="D862" s="710">
        <f t="shared" si="146"/>
        <v>42587</v>
      </c>
      <c r="E862" s="710">
        <f t="shared" si="146"/>
        <v>42527</v>
      </c>
      <c r="F862" s="712">
        <v>2.407</v>
      </c>
      <c r="G862" s="713">
        <f t="shared" si="141"/>
        <v>0.26000000000000006</v>
      </c>
      <c r="H862" s="713">
        <f t="shared" si="142"/>
        <v>0.26000000000000006</v>
      </c>
    </row>
    <row r="863" spans="1:8" x14ac:dyDescent="0.2">
      <c r="A863" s="709">
        <f t="shared" si="143"/>
        <v>42522</v>
      </c>
      <c r="B863" s="709" t="str">
        <f t="shared" si="140"/>
        <v>2Q16</v>
      </c>
      <c r="C863" s="709" t="str">
        <f t="shared" si="144"/>
        <v>3Q16</v>
      </c>
      <c r="D863" s="710">
        <f t="shared" si="146"/>
        <v>42594</v>
      </c>
      <c r="E863" s="710">
        <f t="shared" si="146"/>
        <v>42534</v>
      </c>
      <c r="F863" s="712">
        <v>2.431</v>
      </c>
      <c r="G863" s="713">
        <f t="shared" si="141"/>
        <v>0.26000000000000006</v>
      </c>
      <c r="H863" s="713">
        <f t="shared" si="142"/>
        <v>0.26000000000000006</v>
      </c>
    </row>
    <row r="864" spans="1:8" x14ac:dyDescent="0.2">
      <c r="A864" s="709">
        <f t="shared" si="143"/>
        <v>42522</v>
      </c>
      <c r="B864" s="709" t="str">
        <f t="shared" si="140"/>
        <v>2Q16</v>
      </c>
      <c r="C864" s="709" t="str">
        <f t="shared" si="144"/>
        <v>3Q16</v>
      </c>
      <c r="D864" s="710">
        <f t="shared" si="146"/>
        <v>42601</v>
      </c>
      <c r="E864" s="710">
        <f t="shared" si="146"/>
        <v>42541</v>
      </c>
      <c r="F864" s="712">
        <v>2.4260000000000002</v>
      </c>
      <c r="G864" s="713">
        <f t="shared" si="141"/>
        <v>0.26000000000000006</v>
      </c>
      <c r="H864" s="713">
        <f t="shared" si="142"/>
        <v>0.26000000000000006</v>
      </c>
    </row>
    <row r="865" spans="1:8" x14ac:dyDescent="0.2">
      <c r="A865" s="709">
        <f t="shared" si="143"/>
        <v>42522</v>
      </c>
      <c r="B865" s="709" t="str">
        <f t="shared" si="140"/>
        <v>2Q16</v>
      </c>
      <c r="C865" s="709" t="str">
        <f t="shared" si="144"/>
        <v>3Q16</v>
      </c>
      <c r="D865" s="710">
        <f t="shared" si="146"/>
        <v>42608</v>
      </c>
      <c r="E865" s="710">
        <f t="shared" si="146"/>
        <v>42548</v>
      </c>
      <c r="F865" s="712">
        <v>2.4260000000000002</v>
      </c>
      <c r="G865" s="713">
        <f t="shared" si="141"/>
        <v>0.26000000000000006</v>
      </c>
      <c r="H865" s="713">
        <f t="shared" si="142"/>
        <v>0.26000000000000006</v>
      </c>
    </row>
    <row r="866" spans="1:8" x14ac:dyDescent="0.2">
      <c r="A866" s="709">
        <f t="shared" si="143"/>
        <v>42552</v>
      </c>
      <c r="B866" s="709" t="str">
        <f t="shared" si="140"/>
        <v>3Q16</v>
      </c>
      <c r="C866" s="709" t="str">
        <f t="shared" si="144"/>
        <v>3Q16</v>
      </c>
      <c r="D866" s="710">
        <f t="shared" si="146"/>
        <v>42615</v>
      </c>
      <c r="E866" s="710">
        <f t="shared" si="146"/>
        <v>42555</v>
      </c>
      <c r="F866" s="712">
        <v>2.423</v>
      </c>
      <c r="G866" s="713">
        <f t="shared" si="141"/>
        <v>0.26000000000000006</v>
      </c>
      <c r="H866" s="713">
        <f t="shared" si="142"/>
        <v>0.26000000000000006</v>
      </c>
    </row>
    <row r="867" spans="1:8" x14ac:dyDescent="0.2">
      <c r="A867" s="709">
        <f t="shared" si="143"/>
        <v>42552</v>
      </c>
      <c r="B867" s="709" t="str">
        <f t="shared" si="140"/>
        <v>3Q16</v>
      </c>
      <c r="C867" s="709" t="str">
        <f t="shared" si="144"/>
        <v>3Q16</v>
      </c>
      <c r="D867" s="710">
        <f t="shared" si="146"/>
        <v>42622</v>
      </c>
      <c r="E867" s="710">
        <f t="shared" si="146"/>
        <v>42562</v>
      </c>
      <c r="F867" s="712">
        <v>2.4140000000000001</v>
      </c>
      <c r="G867" s="713">
        <f t="shared" si="141"/>
        <v>0.26000000000000006</v>
      </c>
      <c r="H867" s="713">
        <f t="shared" si="142"/>
        <v>0.26000000000000006</v>
      </c>
    </row>
    <row r="868" spans="1:8" x14ac:dyDescent="0.2">
      <c r="A868" s="709">
        <f t="shared" si="143"/>
        <v>42552</v>
      </c>
      <c r="B868" s="709" t="str">
        <f t="shared" si="140"/>
        <v>3Q16</v>
      </c>
      <c r="C868" s="709" t="str">
        <f t="shared" si="144"/>
        <v>3Q16</v>
      </c>
      <c r="D868" s="710">
        <f t="shared" si="146"/>
        <v>42629</v>
      </c>
      <c r="E868" s="710">
        <f t="shared" si="146"/>
        <v>42569</v>
      </c>
      <c r="F868" s="712">
        <v>2.4020000000000001</v>
      </c>
      <c r="G868" s="713">
        <f t="shared" si="141"/>
        <v>0.26000000000000006</v>
      </c>
      <c r="H868" s="713">
        <f t="shared" si="142"/>
        <v>0.25000000000000006</v>
      </c>
    </row>
    <row r="869" spans="1:8" x14ac:dyDescent="0.2">
      <c r="A869" s="709">
        <f t="shared" si="143"/>
        <v>42552</v>
      </c>
      <c r="B869" s="709" t="str">
        <f t="shared" si="140"/>
        <v>3Q16</v>
      </c>
      <c r="C869" s="709" t="str">
        <f t="shared" si="144"/>
        <v>3Q16</v>
      </c>
      <c r="D869" s="710">
        <f t="shared" ref="D869:E884" si="147">D868+7</f>
        <v>42636</v>
      </c>
      <c r="E869" s="710">
        <f t="shared" si="147"/>
        <v>42576</v>
      </c>
      <c r="F869" s="712">
        <v>2.379</v>
      </c>
      <c r="G869" s="713">
        <f t="shared" si="141"/>
        <v>0.25000000000000006</v>
      </c>
      <c r="H869" s="713">
        <f t="shared" si="142"/>
        <v>0.24000000000000007</v>
      </c>
    </row>
    <row r="870" spans="1:8" x14ac:dyDescent="0.2">
      <c r="A870" s="709">
        <f t="shared" si="143"/>
        <v>42583</v>
      </c>
      <c r="B870" s="709" t="str">
        <f t="shared" si="140"/>
        <v>3Q16</v>
      </c>
      <c r="C870" s="709" t="str">
        <f t="shared" si="144"/>
        <v>3Q16</v>
      </c>
      <c r="D870" s="710">
        <f t="shared" si="147"/>
        <v>42643</v>
      </c>
      <c r="E870" s="710">
        <f t="shared" si="147"/>
        <v>42583</v>
      </c>
      <c r="F870" s="712">
        <v>2.3479999999999999</v>
      </c>
      <c r="G870" s="713">
        <f t="shared" si="141"/>
        <v>0.24000000000000007</v>
      </c>
    </row>
    <row r="871" spans="1:8" x14ac:dyDescent="0.2">
      <c r="A871" s="709">
        <f t="shared" si="143"/>
        <v>42583</v>
      </c>
      <c r="B871" s="709" t="str">
        <f t="shared" si="140"/>
        <v>3Q16</v>
      </c>
      <c r="C871" s="709" t="str">
        <f t="shared" si="144"/>
        <v>4Q16</v>
      </c>
      <c r="D871" s="710">
        <f t="shared" si="147"/>
        <v>42650</v>
      </c>
      <c r="E871" s="710">
        <f t="shared" si="147"/>
        <v>42590</v>
      </c>
      <c r="F871" s="712">
        <v>2.3159999999999998</v>
      </c>
      <c r="G871" s="713">
        <f t="shared" si="141"/>
        <v>0.24000000000000007</v>
      </c>
    </row>
    <row r="872" spans="1:8" x14ac:dyDescent="0.2">
      <c r="A872" s="709">
        <f t="shared" si="143"/>
        <v>42583</v>
      </c>
      <c r="B872" s="709" t="str">
        <f t="shared" si="140"/>
        <v>3Q16</v>
      </c>
      <c r="C872" s="709" t="str">
        <f t="shared" si="144"/>
        <v>4Q16</v>
      </c>
      <c r="D872" s="710">
        <f t="shared" si="147"/>
        <v>42657</v>
      </c>
      <c r="E872" s="710">
        <f t="shared" si="147"/>
        <v>42597</v>
      </c>
      <c r="F872" s="712">
        <v>2.31</v>
      </c>
      <c r="G872" s="713">
        <f t="shared" si="141"/>
        <v>0.24000000000000007</v>
      </c>
    </row>
    <row r="873" spans="1:8" x14ac:dyDescent="0.2">
      <c r="A873" s="709">
        <f t="shared" si="143"/>
        <v>42583</v>
      </c>
      <c r="B873" s="709" t="str">
        <f t="shared" si="140"/>
        <v>3Q16</v>
      </c>
      <c r="C873" s="709" t="str">
        <f t="shared" si="144"/>
        <v>4Q16</v>
      </c>
      <c r="D873" s="710">
        <f t="shared" si="147"/>
        <v>42664</v>
      </c>
      <c r="E873" s="710">
        <f t="shared" si="147"/>
        <v>42604</v>
      </c>
      <c r="F873" s="712">
        <v>2.37</v>
      </c>
      <c r="G873" s="713">
        <f t="shared" si="141"/>
        <v>0.25000000000000006</v>
      </c>
    </row>
    <row r="874" spans="1:8" x14ac:dyDescent="0.2">
      <c r="A874" s="709">
        <f t="shared" si="143"/>
        <v>42583</v>
      </c>
      <c r="B874" s="709" t="str">
        <f t="shared" si="140"/>
        <v>3Q16</v>
      </c>
      <c r="C874" s="709" t="str">
        <f t="shared" si="144"/>
        <v>4Q16</v>
      </c>
      <c r="D874" s="710">
        <f t="shared" si="147"/>
        <v>42671</v>
      </c>
      <c r="E874" s="710">
        <f t="shared" si="147"/>
        <v>42611</v>
      </c>
      <c r="F874" s="712">
        <v>2.4089999999999998</v>
      </c>
      <c r="G874" s="713">
        <f t="shared" si="141"/>
        <v>0.26000000000000006</v>
      </c>
    </row>
    <row r="875" spans="1:8" x14ac:dyDescent="0.2">
      <c r="A875" s="709">
        <f t="shared" si="143"/>
        <v>42614</v>
      </c>
      <c r="B875" s="709" t="str">
        <f t="shared" si="140"/>
        <v>3Q16</v>
      </c>
      <c r="C875" s="709" t="str">
        <f t="shared" si="144"/>
        <v>4Q16</v>
      </c>
      <c r="D875" s="710">
        <f t="shared" si="147"/>
        <v>42678</v>
      </c>
      <c r="E875" s="710">
        <f t="shared" si="147"/>
        <v>42618</v>
      </c>
      <c r="F875" s="712">
        <v>2.407</v>
      </c>
      <c r="G875" s="713">
        <f t="shared" si="141"/>
        <v>0.26000000000000006</v>
      </c>
    </row>
    <row r="876" spans="1:8" x14ac:dyDescent="0.2">
      <c r="A876" s="709">
        <f t="shared" si="143"/>
        <v>42614</v>
      </c>
      <c r="B876" s="709" t="str">
        <f t="shared" si="140"/>
        <v>3Q16</v>
      </c>
      <c r="C876" s="709" t="str">
        <f t="shared" si="144"/>
        <v>4Q16</v>
      </c>
      <c r="D876" s="710">
        <f t="shared" si="147"/>
        <v>42685</v>
      </c>
      <c r="E876" s="710">
        <f t="shared" si="147"/>
        <v>42625</v>
      </c>
      <c r="F876" s="712">
        <v>2.399</v>
      </c>
      <c r="G876" s="713">
        <f t="shared" si="141"/>
        <v>0.25000000000000006</v>
      </c>
    </row>
    <row r="877" spans="1:8" x14ac:dyDescent="0.2">
      <c r="A877" s="709">
        <f t="shared" si="143"/>
        <v>42614</v>
      </c>
      <c r="B877" s="709" t="str">
        <f t="shared" si="140"/>
        <v>3Q16</v>
      </c>
      <c r="C877" s="709" t="str">
        <f t="shared" si="144"/>
        <v>4Q16</v>
      </c>
      <c r="D877" s="710">
        <f t="shared" si="147"/>
        <v>42692</v>
      </c>
      <c r="E877" s="710">
        <f t="shared" si="147"/>
        <v>42632</v>
      </c>
      <c r="F877" s="712">
        <v>2.3889999999999998</v>
      </c>
      <c r="G877" s="713">
        <f t="shared" si="141"/>
        <v>0.25000000000000006</v>
      </c>
    </row>
    <row r="878" spans="1:8" x14ac:dyDescent="0.2">
      <c r="A878" s="709">
        <f t="shared" si="143"/>
        <v>42614</v>
      </c>
      <c r="B878" s="709" t="str">
        <f t="shared" si="140"/>
        <v>3Q16</v>
      </c>
      <c r="C878" s="709" t="str">
        <f t="shared" si="144"/>
        <v>4Q16</v>
      </c>
      <c r="D878" s="710">
        <f t="shared" si="147"/>
        <v>42699</v>
      </c>
      <c r="E878" s="710">
        <f t="shared" si="147"/>
        <v>42639</v>
      </c>
      <c r="F878" s="712">
        <v>2.3820000000000001</v>
      </c>
      <c r="G878" s="713">
        <f t="shared" si="141"/>
        <v>0.25000000000000006</v>
      </c>
    </row>
    <row r="879" spans="1:8" x14ac:dyDescent="0.2">
      <c r="A879" s="709">
        <f t="shared" si="143"/>
        <v>42644</v>
      </c>
      <c r="B879" s="709" t="str">
        <f t="shared" si="140"/>
        <v>4Q16</v>
      </c>
      <c r="C879" s="709" t="str">
        <f t="shared" si="144"/>
        <v>4Q16</v>
      </c>
      <c r="D879" s="710">
        <f t="shared" si="147"/>
        <v>42706</v>
      </c>
      <c r="E879" s="710">
        <f t="shared" si="147"/>
        <v>42646</v>
      </c>
      <c r="F879" s="712">
        <v>2.3889999999999998</v>
      </c>
      <c r="G879" s="713">
        <f t="shared" si="141"/>
        <v>0.25000000000000006</v>
      </c>
    </row>
    <row r="880" spans="1:8" x14ac:dyDescent="0.2">
      <c r="A880" s="709">
        <f t="shared" si="143"/>
        <v>42644</v>
      </c>
      <c r="B880" s="709" t="str">
        <f t="shared" si="140"/>
        <v>4Q16</v>
      </c>
      <c r="C880" s="709" t="str">
        <f t="shared" si="144"/>
        <v>4Q16</v>
      </c>
      <c r="D880" s="710">
        <f t="shared" si="147"/>
        <v>42713</v>
      </c>
      <c r="E880" s="710">
        <f t="shared" si="147"/>
        <v>42653</v>
      </c>
      <c r="F880" s="712">
        <v>2.4449999999999998</v>
      </c>
      <c r="G880" s="713">
        <f t="shared" si="141"/>
        <v>0.26000000000000006</v>
      </c>
    </row>
    <row r="881" spans="1:7" x14ac:dyDescent="0.2">
      <c r="A881" s="709">
        <f t="shared" si="143"/>
        <v>42644</v>
      </c>
      <c r="B881" s="709" t="str">
        <f t="shared" si="140"/>
        <v>4Q16</v>
      </c>
      <c r="C881" s="709" t="str">
        <f t="shared" si="144"/>
        <v>4Q16</v>
      </c>
      <c r="D881" s="710">
        <f t="shared" si="147"/>
        <v>42720</v>
      </c>
      <c r="E881" s="710">
        <f t="shared" si="147"/>
        <v>42660</v>
      </c>
      <c r="F881" s="712">
        <v>2.4809999999999999</v>
      </c>
      <c r="G881" s="713">
        <f t="shared" si="141"/>
        <v>0.27000000000000007</v>
      </c>
    </row>
    <row r="882" spans="1:7" x14ac:dyDescent="0.2">
      <c r="A882" s="709">
        <f t="shared" si="143"/>
        <v>42644</v>
      </c>
      <c r="B882" s="709" t="str">
        <f t="shared" si="140"/>
        <v>4Q16</v>
      </c>
      <c r="C882" s="709" t="str">
        <f t="shared" si="144"/>
        <v>4Q16</v>
      </c>
      <c r="D882" s="710">
        <f t="shared" si="147"/>
        <v>42727</v>
      </c>
      <c r="E882" s="710">
        <f t="shared" si="147"/>
        <v>42667</v>
      </c>
      <c r="F882" s="712">
        <v>2.4780000000000002</v>
      </c>
      <c r="G882" s="713">
        <f t="shared" si="141"/>
        <v>0.27000000000000007</v>
      </c>
    </row>
    <row r="883" spans="1:7" x14ac:dyDescent="0.2">
      <c r="A883" s="709">
        <f t="shared" si="143"/>
        <v>42644</v>
      </c>
      <c r="B883" s="709" t="str">
        <f t="shared" si="140"/>
        <v>4Q16</v>
      </c>
      <c r="C883" s="709" t="str">
        <f t="shared" si="144"/>
        <v>4Q16</v>
      </c>
      <c r="D883" s="710">
        <f t="shared" si="147"/>
        <v>42734</v>
      </c>
      <c r="E883" s="710">
        <f t="shared" si="147"/>
        <v>42674</v>
      </c>
      <c r="F883" s="712">
        <v>2.4790000000000001</v>
      </c>
      <c r="G883" s="713">
        <f t="shared" si="141"/>
        <v>0.27000000000000007</v>
      </c>
    </row>
    <row r="884" spans="1:7" x14ac:dyDescent="0.2">
      <c r="A884" s="709">
        <f t="shared" si="143"/>
        <v>42675</v>
      </c>
      <c r="B884" s="709" t="str">
        <f t="shared" si="140"/>
        <v>4Q16</v>
      </c>
      <c r="C884" s="709" t="str">
        <f t="shared" si="144"/>
        <v>1Q17</v>
      </c>
      <c r="D884" s="710">
        <f t="shared" si="147"/>
        <v>42741</v>
      </c>
      <c r="E884" s="710">
        <f t="shared" si="147"/>
        <v>42681</v>
      </c>
      <c r="F884" s="712">
        <v>2.4700000000000002</v>
      </c>
      <c r="G884" s="713">
        <f t="shared" si="141"/>
        <v>0.27000000000000007</v>
      </c>
    </row>
    <row r="885" spans="1:7" x14ac:dyDescent="0.2">
      <c r="A885" s="709">
        <f t="shared" si="143"/>
        <v>42675</v>
      </c>
      <c r="B885" s="709" t="str">
        <f t="shared" si="140"/>
        <v>4Q16</v>
      </c>
      <c r="C885" s="709" t="str">
        <f t="shared" si="144"/>
        <v>1Q17</v>
      </c>
      <c r="D885" s="710">
        <f t="shared" ref="D885:E900" si="148">D884+7</f>
        <v>42748</v>
      </c>
      <c r="E885" s="710">
        <f t="shared" si="148"/>
        <v>42688</v>
      </c>
      <c r="F885" s="712">
        <v>2.4430000000000001</v>
      </c>
      <c r="G885" s="713">
        <f t="shared" si="141"/>
        <v>0.26000000000000006</v>
      </c>
    </row>
    <row r="886" spans="1:7" x14ac:dyDescent="0.2">
      <c r="A886" s="709">
        <f t="shared" si="143"/>
        <v>42675</v>
      </c>
      <c r="B886" s="709" t="str">
        <f t="shared" si="140"/>
        <v>4Q16</v>
      </c>
      <c r="C886" s="709" t="str">
        <f t="shared" si="144"/>
        <v>1Q17</v>
      </c>
      <c r="D886" s="710">
        <f t="shared" si="148"/>
        <v>42755</v>
      </c>
      <c r="E886" s="710">
        <f t="shared" si="148"/>
        <v>42695</v>
      </c>
      <c r="F886" s="712">
        <v>2.4209999999999998</v>
      </c>
      <c r="G886" s="713">
        <f t="shared" si="141"/>
        <v>0.26000000000000006</v>
      </c>
    </row>
    <row r="887" spans="1:7" x14ac:dyDescent="0.2">
      <c r="A887" s="709">
        <f t="shared" si="143"/>
        <v>42675</v>
      </c>
      <c r="B887" s="709" t="str">
        <f t="shared" si="140"/>
        <v>4Q16</v>
      </c>
      <c r="C887" s="709" t="str">
        <f t="shared" si="144"/>
        <v>1Q17</v>
      </c>
      <c r="D887" s="710">
        <f t="shared" si="148"/>
        <v>42762</v>
      </c>
      <c r="E887" s="710">
        <f t="shared" si="148"/>
        <v>42702</v>
      </c>
      <c r="F887" s="712">
        <v>2.42</v>
      </c>
      <c r="G887" s="713">
        <f t="shared" si="141"/>
        <v>0.26000000000000006</v>
      </c>
    </row>
    <row r="888" spans="1:7" x14ac:dyDescent="0.2">
      <c r="A888" s="709">
        <f t="shared" si="143"/>
        <v>42705</v>
      </c>
      <c r="B888" s="709" t="str">
        <f t="shared" si="140"/>
        <v>4Q16</v>
      </c>
      <c r="C888" s="709" t="str">
        <f t="shared" si="144"/>
        <v>1Q17</v>
      </c>
      <c r="D888" s="710">
        <f t="shared" si="148"/>
        <v>42769</v>
      </c>
      <c r="E888" s="710">
        <f t="shared" si="148"/>
        <v>42709</v>
      </c>
      <c r="F888" s="712">
        <v>2.48</v>
      </c>
      <c r="G888" s="713">
        <f t="shared" si="141"/>
        <v>0.27000000000000007</v>
      </c>
    </row>
    <row r="889" spans="1:7" x14ac:dyDescent="0.2">
      <c r="A889" s="709">
        <f t="shared" si="143"/>
        <v>42705</v>
      </c>
      <c r="B889" s="709" t="str">
        <f t="shared" si="140"/>
        <v>4Q16</v>
      </c>
      <c r="C889" s="709" t="str">
        <f t="shared" si="144"/>
        <v>1Q17</v>
      </c>
      <c r="D889" s="710">
        <f t="shared" si="148"/>
        <v>42776</v>
      </c>
      <c r="E889" s="710">
        <f t="shared" si="148"/>
        <v>42716</v>
      </c>
      <c r="F889" s="712">
        <v>2.4929999999999999</v>
      </c>
      <c r="G889" s="713">
        <f t="shared" si="141"/>
        <v>0.27000000000000007</v>
      </c>
    </row>
    <row r="890" spans="1:7" x14ac:dyDescent="0.2">
      <c r="A890" s="709">
        <f t="shared" si="143"/>
        <v>42705</v>
      </c>
      <c r="B890" s="709" t="str">
        <f t="shared" si="140"/>
        <v>4Q16</v>
      </c>
      <c r="C890" s="709" t="str">
        <f t="shared" si="144"/>
        <v>1Q17</v>
      </c>
      <c r="D890" s="710">
        <f t="shared" si="148"/>
        <v>42783</v>
      </c>
      <c r="E890" s="710">
        <f t="shared" si="148"/>
        <v>42723</v>
      </c>
      <c r="F890" s="712">
        <v>2.5270000000000001</v>
      </c>
      <c r="G890" s="713">
        <f t="shared" si="141"/>
        <v>0.28000000000000008</v>
      </c>
    </row>
    <row r="891" spans="1:7" x14ac:dyDescent="0.2">
      <c r="A891" s="709">
        <f t="shared" si="143"/>
        <v>42705</v>
      </c>
      <c r="B891" s="709" t="str">
        <f t="shared" si="140"/>
        <v>4Q16</v>
      </c>
      <c r="C891" s="709" t="str">
        <f t="shared" si="144"/>
        <v>1Q17</v>
      </c>
      <c r="D891" s="710">
        <f t="shared" si="148"/>
        <v>42790</v>
      </c>
      <c r="E891" s="710">
        <f t="shared" si="148"/>
        <v>42730</v>
      </c>
      <c r="F891" s="712">
        <v>2.54</v>
      </c>
      <c r="G891" s="713">
        <f t="shared" si="141"/>
        <v>0.28000000000000008</v>
      </c>
    </row>
    <row r="892" spans="1:7" x14ac:dyDescent="0.2">
      <c r="A892" s="709">
        <f t="shared" si="143"/>
        <v>42736</v>
      </c>
      <c r="B892" s="709" t="str">
        <f t="shared" si="140"/>
        <v>1Q17</v>
      </c>
      <c r="C892" s="709" t="str">
        <f t="shared" si="144"/>
        <v>1Q17</v>
      </c>
      <c r="D892" s="710">
        <f t="shared" si="148"/>
        <v>42797</v>
      </c>
      <c r="E892" s="710">
        <f t="shared" si="148"/>
        <v>42737</v>
      </c>
      <c r="F892" s="712">
        <v>2.5859999999999999</v>
      </c>
      <c r="G892" s="713">
        <f t="shared" si="141"/>
        <v>0.29000000000000009</v>
      </c>
    </row>
    <row r="893" spans="1:7" x14ac:dyDescent="0.2">
      <c r="A893" s="709">
        <f t="shared" si="143"/>
        <v>42736</v>
      </c>
      <c r="B893" s="709" t="str">
        <f t="shared" si="140"/>
        <v>1Q17</v>
      </c>
      <c r="C893" s="709" t="str">
        <f t="shared" si="144"/>
        <v>1Q17</v>
      </c>
      <c r="D893" s="710">
        <f t="shared" si="148"/>
        <v>42804</v>
      </c>
      <c r="E893" s="710">
        <f t="shared" si="148"/>
        <v>42744</v>
      </c>
      <c r="F893" s="712">
        <v>2.597</v>
      </c>
      <c r="G893" s="713">
        <f t="shared" si="141"/>
        <v>0.29000000000000009</v>
      </c>
    </row>
    <row r="894" spans="1:7" x14ac:dyDescent="0.2">
      <c r="A894" s="709">
        <f t="shared" si="143"/>
        <v>42736</v>
      </c>
      <c r="B894" s="709" t="str">
        <f t="shared" si="140"/>
        <v>1Q17</v>
      </c>
      <c r="C894" s="709" t="str">
        <f t="shared" si="144"/>
        <v>1Q17</v>
      </c>
      <c r="D894" s="710">
        <f t="shared" si="148"/>
        <v>42811</v>
      </c>
      <c r="E894" s="710">
        <f t="shared" si="148"/>
        <v>42751</v>
      </c>
      <c r="F894" s="712">
        <v>2.585</v>
      </c>
      <c r="G894" s="713">
        <f t="shared" si="141"/>
        <v>0.29000000000000009</v>
      </c>
    </row>
    <row r="895" spans="1:7" x14ac:dyDescent="0.2">
      <c r="A895" s="709">
        <f t="shared" si="143"/>
        <v>42736</v>
      </c>
      <c r="B895" s="709" t="str">
        <f t="shared" si="140"/>
        <v>1Q17</v>
      </c>
      <c r="C895" s="709" t="str">
        <f t="shared" si="144"/>
        <v>1Q17</v>
      </c>
      <c r="D895" s="710">
        <f t="shared" si="148"/>
        <v>42818</v>
      </c>
      <c r="E895" s="710">
        <f t="shared" si="148"/>
        <v>42758</v>
      </c>
      <c r="F895" s="712">
        <v>2.569</v>
      </c>
      <c r="G895" s="713">
        <f t="shared" si="141"/>
        <v>0.29000000000000009</v>
      </c>
    </row>
    <row r="896" spans="1:7" x14ac:dyDescent="0.2">
      <c r="A896" s="709">
        <f t="shared" si="143"/>
        <v>42736</v>
      </c>
      <c r="B896" s="709" t="str">
        <f t="shared" si="140"/>
        <v>1Q17</v>
      </c>
      <c r="C896" s="709" t="str">
        <f t="shared" si="144"/>
        <v>1Q17</v>
      </c>
      <c r="D896" s="710">
        <f t="shared" si="148"/>
        <v>42825</v>
      </c>
      <c r="E896" s="710">
        <f t="shared" si="148"/>
        <v>42765</v>
      </c>
      <c r="F896" s="712">
        <v>2.5619999999999998</v>
      </c>
      <c r="G896" s="713">
        <f t="shared" si="141"/>
        <v>0.29000000000000009</v>
      </c>
    </row>
    <row r="897" spans="1:7" x14ac:dyDescent="0.2">
      <c r="A897" s="709">
        <f t="shared" si="143"/>
        <v>42767</v>
      </c>
      <c r="B897" s="709" t="str">
        <f t="shared" si="140"/>
        <v>1Q17</v>
      </c>
      <c r="C897" s="709" t="str">
        <f t="shared" si="144"/>
        <v>2Q17</v>
      </c>
      <c r="D897" s="710">
        <f t="shared" si="148"/>
        <v>42832</v>
      </c>
      <c r="E897" s="710">
        <f t="shared" si="148"/>
        <v>42772</v>
      </c>
      <c r="F897" s="712">
        <v>2.5579999999999998</v>
      </c>
      <c r="G897" s="713">
        <f t="shared" si="141"/>
        <v>0.29000000000000009</v>
      </c>
    </row>
    <row r="898" spans="1:7" x14ac:dyDescent="0.2">
      <c r="A898" s="709">
        <f t="shared" si="143"/>
        <v>42767</v>
      </c>
      <c r="B898" s="709" t="str">
        <f t="shared" si="140"/>
        <v>1Q17</v>
      </c>
      <c r="C898" s="709" t="str">
        <f t="shared" si="144"/>
        <v>2Q17</v>
      </c>
      <c r="D898" s="710">
        <f t="shared" si="148"/>
        <v>42839</v>
      </c>
      <c r="E898" s="710">
        <f t="shared" si="148"/>
        <v>42779</v>
      </c>
      <c r="F898" s="712">
        <v>2.5649999999999999</v>
      </c>
      <c r="G898" s="713">
        <f t="shared" si="141"/>
        <v>0.29000000000000009</v>
      </c>
    </row>
    <row r="899" spans="1:7" x14ac:dyDescent="0.2">
      <c r="A899" s="709">
        <f t="shared" si="143"/>
        <v>42767</v>
      </c>
      <c r="B899" s="709" t="str">
        <f t="shared" si="140"/>
        <v>1Q17</v>
      </c>
      <c r="C899" s="709" t="str">
        <f t="shared" si="144"/>
        <v>2Q17</v>
      </c>
      <c r="D899" s="710">
        <f t="shared" si="148"/>
        <v>42846</v>
      </c>
      <c r="E899" s="710">
        <f t="shared" si="148"/>
        <v>42786</v>
      </c>
      <c r="F899" s="712">
        <v>2.5720000000000001</v>
      </c>
      <c r="G899" s="713">
        <f t="shared" si="141"/>
        <v>0.29000000000000009</v>
      </c>
    </row>
    <row r="900" spans="1:7" x14ac:dyDescent="0.2">
      <c r="A900" s="709">
        <f t="shared" si="143"/>
        <v>42767</v>
      </c>
      <c r="B900" s="709" t="str">
        <f t="shared" ref="B900:B927" si="149">VLOOKUP(MONTH(A900),$N$4:$O$16,2,FALSE) &amp; "Q" &amp; RIGHT(YEAR(A900),2)</f>
        <v>1Q17</v>
      </c>
      <c r="C900" s="709" t="str">
        <f t="shared" si="144"/>
        <v>2Q17</v>
      </c>
      <c r="D900" s="710">
        <f t="shared" si="148"/>
        <v>42853</v>
      </c>
      <c r="E900" s="710">
        <f t="shared" si="148"/>
        <v>42793</v>
      </c>
      <c r="F900" s="712">
        <v>2.577</v>
      </c>
      <c r="G900" s="713">
        <f t="shared" ref="G900:G927" si="150">INDEX($I$4:$K$153,MATCH(F900,$I$4:$I$153,1),3)</f>
        <v>0.29000000000000009</v>
      </c>
    </row>
    <row r="901" spans="1:7" x14ac:dyDescent="0.2">
      <c r="A901" s="709">
        <f t="shared" ref="A901:A927" si="151">DATE(YEAR(E901),MONTH(E901),1)</f>
        <v>42795</v>
      </c>
      <c r="B901" s="709" t="str">
        <f t="shared" si="149"/>
        <v>1Q17</v>
      </c>
      <c r="C901" s="709" t="str">
        <f t="shared" ref="C901:C927" si="152">VLOOKUP(MONTH(D901),$N$4:$O$16,2,FALSE) &amp; "Q" &amp; RIGHT(YEAR(D901),2)</f>
        <v>2Q17</v>
      </c>
      <c r="D901" s="710">
        <f t="shared" ref="D901:E916" si="153">D900+7</f>
        <v>42860</v>
      </c>
      <c r="E901" s="710">
        <f t="shared" si="153"/>
        <v>42800</v>
      </c>
      <c r="F901" s="712">
        <v>2.5790000000000002</v>
      </c>
      <c r="G901" s="713">
        <f t="shared" si="150"/>
        <v>0.29000000000000009</v>
      </c>
    </row>
    <row r="902" spans="1:7" x14ac:dyDescent="0.2">
      <c r="A902" s="709">
        <f t="shared" si="151"/>
        <v>42795</v>
      </c>
      <c r="B902" s="709" t="str">
        <f t="shared" si="149"/>
        <v>1Q17</v>
      </c>
      <c r="C902" s="709" t="str">
        <f t="shared" si="152"/>
        <v>2Q17</v>
      </c>
      <c r="D902" s="710">
        <f t="shared" si="153"/>
        <v>42867</v>
      </c>
      <c r="E902" s="710">
        <f t="shared" si="153"/>
        <v>42807</v>
      </c>
      <c r="F902" s="712">
        <v>2.5640000000000001</v>
      </c>
      <c r="G902" s="713">
        <f t="shared" si="150"/>
        <v>0.29000000000000009</v>
      </c>
    </row>
    <row r="903" spans="1:7" x14ac:dyDescent="0.2">
      <c r="A903" s="709">
        <f t="shared" si="151"/>
        <v>42795</v>
      </c>
      <c r="B903" s="709" t="str">
        <f t="shared" si="149"/>
        <v>1Q17</v>
      </c>
      <c r="C903" s="709" t="str">
        <f t="shared" si="152"/>
        <v>2Q17</v>
      </c>
      <c r="D903" s="710">
        <f t="shared" si="153"/>
        <v>42874</v>
      </c>
      <c r="E903" s="710">
        <f t="shared" si="153"/>
        <v>42814</v>
      </c>
      <c r="F903" s="712">
        <v>2.5390000000000001</v>
      </c>
      <c r="G903" s="713">
        <f t="shared" si="150"/>
        <v>0.28000000000000008</v>
      </c>
    </row>
    <row r="904" spans="1:7" x14ac:dyDescent="0.2">
      <c r="A904" s="709">
        <f t="shared" si="151"/>
        <v>42795</v>
      </c>
      <c r="B904" s="709" t="str">
        <f t="shared" si="149"/>
        <v>1Q17</v>
      </c>
      <c r="C904" s="709" t="str">
        <f t="shared" si="152"/>
        <v>2Q17</v>
      </c>
      <c r="D904" s="710">
        <f t="shared" si="153"/>
        <v>42881</v>
      </c>
      <c r="E904" s="710">
        <f t="shared" si="153"/>
        <v>42821</v>
      </c>
      <c r="F904" s="712">
        <v>2.532</v>
      </c>
      <c r="G904" s="713">
        <f t="shared" si="150"/>
        <v>0.28000000000000008</v>
      </c>
    </row>
    <row r="905" spans="1:7" x14ac:dyDescent="0.2">
      <c r="A905" s="709">
        <f t="shared" si="151"/>
        <v>42826</v>
      </c>
      <c r="B905" s="709" t="str">
        <f t="shared" si="149"/>
        <v>2Q17</v>
      </c>
      <c r="C905" s="709" t="str">
        <f t="shared" si="152"/>
        <v>2Q17</v>
      </c>
      <c r="D905" s="710">
        <f t="shared" si="153"/>
        <v>42888</v>
      </c>
      <c r="E905" s="710">
        <f t="shared" si="153"/>
        <v>42828</v>
      </c>
      <c r="F905" s="712">
        <v>2.556</v>
      </c>
      <c r="G905" s="713">
        <f t="shared" si="150"/>
        <v>0.29000000000000009</v>
      </c>
    </row>
    <row r="906" spans="1:7" x14ac:dyDescent="0.2">
      <c r="A906" s="709">
        <f t="shared" si="151"/>
        <v>42826</v>
      </c>
      <c r="B906" s="709" t="str">
        <f t="shared" si="149"/>
        <v>2Q17</v>
      </c>
      <c r="C906" s="709" t="str">
        <f t="shared" si="152"/>
        <v>2Q17</v>
      </c>
      <c r="D906" s="710">
        <f t="shared" si="153"/>
        <v>42895</v>
      </c>
      <c r="E906" s="710">
        <f t="shared" si="153"/>
        <v>42835</v>
      </c>
      <c r="F906" s="712">
        <v>2.5819999999999999</v>
      </c>
      <c r="G906" s="713">
        <f t="shared" si="150"/>
        <v>0.29000000000000009</v>
      </c>
    </row>
    <row r="907" spans="1:7" x14ac:dyDescent="0.2">
      <c r="A907" s="709">
        <f t="shared" si="151"/>
        <v>42826</v>
      </c>
      <c r="B907" s="709" t="str">
        <f t="shared" si="149"/>
        <v>2Q17</v>
      </c>
      <c r="C907" s="709" t="str">
        <f t="shared" si="152"/>
        <v>2Q17</v>
      </c>
      <c r="D907" s="710">
        <f t="shared" si="153"/>
        <v>42902</v>
      </c>
      <c r="E907" s="710">
        <f t="shared" si="153"/>
        <v>42842</v>
      </c>
      <c r="F907" s="712">
        <v>2.597</v>
      </c>
      <c r="G907" s="713">
        <f t="shared" si="150"/>
        <v>0.29000000000000009</v>
      </c>
    </row>
    <row r="908" spans="1:7" x14ac:dyDescent="0.2">
      <c r="A908" s="709">
        <f t="shared" si="151"/>
        <v>42826</v>
      </c>
      <c r="B908" s="709" t="str">
        <f t="shared" si="149"/>
        <v>2Q17</v>
      </c>
      <c r="C908" s="709" t="str">
        <f t="shared" si="152"/>
        <v>2Q17</v>
      </c>
      <c r="D908" s="710">
        <f t="shared" si="153"/>
        <v>42909</v>
      </c>
      <c r="E908" s="710">
        <f t="shared" si="153"/>
        <v>42849</v>
      </c>
      <c r="F908" s="712">
        <v>2.5950000000000002</v>
      </c>
      <c r="G908" s="713">
        <f t="shared" si="150"/>
        <v>0.29000000000000009</v>
      </c>
    </row>
    <row r="909" spans="1:7" x14ac:dyDescent="0.2">
      <c r="A909" s="709">
        <f t="shared" si="151"/>
        <v>42856</v>
      </c>
      <c r="B909" s="709" t="str">
        <f t="shared" si="149"/>
        <v>2Q17</v>
      </c>
      <c r="C909" s="709" t="str">
        <f t="shared" si="152"/>
        <v>2Q17</v>
      </c>
      <c r="D909" s="710">
        <f t="shared" si="153"/>
        <v>42916</v>
      </c>
      <c r="E909" s="710">
        <f t="shared" si="153"/>
        <v>42856</v>
      </c>
      <c r="F909" s="712">
        <v>2.5830000000000002</v>
      </c>
      <c r="G909" s="713">
        <f t="shared" si="150"/>
        <v>0.29000000000000009</v>
      </c>
    </row>
    <row r="910" spans="1:7" x14ac:dyDescent="0.2">
      <c r="A910" s="709">
        <f t="shared" si="151"/>
        <v>42856</v>
      </c>
      <c r="B910" s="709" t="str">
        <f t="shared" si="149"/>
        <v>2Q17</v>
      </c>
      <c r="C910" s="709" t="str">
        <f t="shared" si="152"/>
        <v>3Q17</v>
      </c>
      <c r="D910" s="710">
        <f t="shared" si="153"/>
        <v>42923</v>
      </c>
      <c r="E910" s="710">
        <f t="shared" si="153"/>
        <v>42863</v>
      </c>
      <c r="F910" s="712">
        <v>2.5649999999999999</v>
      </c>
      <c r="G910" s="713">
        <f t="shared" si="150"/>
        <v>0.29000000000000009</v>
      </c>
    </row>
    <row r="911" spans="1:7" x14ac:dyDescent="0.2">
      <c r="A911" s="709">
        <f t="shared" si="151"/>
        <v>42856</v>
      </c>
      <c r="B911" s="709" t="str">
        <f t="shared" si="149"/>
        <v>2Q17</v>
      </c>
      <c r="C911" s="709" t="str">
        <f t="shared" si="152"/>
        <v>3Q17</v>
      </c>
      <c r="D911" s="710">
        <f t="shared" si="153"/>
        <v>42930</v>
      </c>
      <c r="E911" s="710">
        <f t="shared" si="153"/>
        <v>42870</v>
      </c>
      <c r="F911" s="712">
        <v>2.544</v>
      </c>
      <c r="G911" s="713">
        <f t="shared" si="150"/>
        <v>0.28000000000000008</v>
      </c>
    </row>
    <row r="912" spans="1:7" x14ac:dyDescent="0.2">
      <c r="A912" s="709">
        <f t="shared" si="151"/>
        <v>42856</v>
      </c>
      <c r="B912" s="709" t="str">
        <f t="shared" si="149"/>
        <v>2Q17</v>
      </c>
      <c r="C912" s="709" t="str">
        <f t="shared" si="152"/>
        <v>3Q17</v>
      </c>
      <c r="D912" s="710">
        <f t="shared" si="153"/>
        <v>42937</v>
      </c>
      <c r="E912" s="710">
        <f t="shared" si="153"/>
        <v>42877</v>
      </c>
      <c r="F912" s="712">
        <v>2.5390000000000001</v>
      </c>
      <c r="G912" s="713">
        <f t="shared" si="150"/>
        <v>0.28000000000000008</v>
      </c>
    </row>
    <row r="913" spans="1:7" x14ac:dyDescent="0.2">
      <c r="A913" s="709">
        <f t="shared" si="151"/>
        <v>42856</v>
      </c>
      <c r="B913" s="709" t="str">
        <f t="shared" si="149"/>
        <v>2Q17</v>
      </c>
      <c r="C913" s="709" t="str">
        <f t="shared" si="152"/>
        <v>3Q17</v>
      </c>
      <c r="D913" s="710">
        <f t="shared" si="153"/>
        <v>42944</v>
      </c>
      <c r="E913" s="710">
        <f t="shared" si="153"/>
        <v>42884</v>
      </c>
      <c r="F913" s="712">
        <v>2.5710000000000002</v>
      </c>
      <c r="G913" s="713">
        <f t="shared" si="150"/>
        <v>0.29000000000000009</v>
      </c>
    </row>
    <row r="914" spans="1:7" x14ac:dyDescent="0.2">
      <c r="A914" s="709">
        <f t="shared" si="151"/>
        <v>42887</v>
      </c>
      <c r="B914" s="709" t="str">
        <f t="shared" si="149"/>
        <v>2Q17</v>
      </c>
      <c r="C914" s="709" t="str">
        <f t="shared" si="152"/>
        <v>3Q17</v>
      </c>
      <c r="D914" s="710">
        <f t="shared" si="153"/>
        <v>42951</v>
      </c>
      <c r="E914" s="710">
        <f t="shared" si="153"/>
        <v>42891</v>
      </c>
      <c r="F914" s="712">
        <v>2.5640000000000001</v>
      </c>
      <c r="G914" s="713">
        <f t="shared" si="150"/>
        <v>0.29000000000000009</v>
      </c>
    </row>
    <row r="915" spans="1:7" x14ac:dyDescent="0.2">
      <c r="A915" s="709">
        <f t="shared" si="151"/>
        <v>42887</v>
      </c>
      <c r="B915" s="709" t="str">
        <f t="shared" si="149"/>
        <v>2Q17</v>
      </c>
      <c r="C915" s="709" t="str">
        <f t="shared" si="152"/>
        <v>3Q17</v>
      </c>
      <c r="D915" s="710">
        <f t="shared" si="153"/>
        <v>42958</v>
      </c>
      <c r="E915" s="710">
        <f t="shared" si="153"/>
        <v>42898</v>
      </c>
      <c r="F915" s="712">
        <v>2.524</v>
      </c>
      <c r="G915" s="713">
        <f t="shared" si="150"/>
        <v>0.28000000000000008</v>
      </c>
    </row>
    <row r="916" spans="1:7" x14ac:dyDescent="0.2">
      <c r="A916" s="709">
        <f t="shared" si="151"/>
        <v>42887</v>
      </c>
      <c r="B916" s="709" t="str">
        <f t="shared" si="149"/>
        <v>2Q17</v>
      </c>
      <c r="C916" s="709" t="str">
        <f t="shared" si="152"/>
        <v>3Q17</v>
      </c>
      <c r="D916" s="710">
        <f t="shared" si="153"/>
        <v>42965</v>
      </c>
      <c r="E916" s="710">
        <f t="shared" si="153"/>
        <v>42905</v>
      </c>
      <c r="F916" s="712">
        <v>2.4889999999999999</v>
      </c>
      <c r="G916" s="713">
        <f t="shared" si="150"/>
        <v>0.27000000000000007</v>
      </c>
    </row>
    <row r="917" spans="1:7" x14ac:dyDescent="0.2">
      <c r="A917" s="709">
        <f t="shared" si="151"/>
        <v>42887</v>
      </c>
      <c r="B917" s="709" t="str">
        <f t="shared" si="149"/>
        <v>2Q17</v>
      </c>
      <c r="C917" s="709" t="str">
        <f t="shared" si="152"/>
        <v>3Q17</v>
      </c>
      <c r="D917" s="710">
        <f t="shared" ref="D917:E927" si="154">D916+7</f>
        <v>42972</v>
      </c>
      <c r="E917" s="710">
        <f t="shared" si="154"/>
        <v>42912</v>
      </c>
      <c r="F917" s="712">
        <v>2.4649999999999999</v>
      </c>
      <c r="G917" s="713">
        <f t="shared" si="150"/>
        <v>0.27000000000000007</v>
      </c>
    </row>
    <row r="918" spans="1:7" x14ac:dyDescent="0.2">
      <c r="A918" s="709">
        <f t="shared" si="151"/>
        <v>42917</v>
      </c>
      <c r="B918" s="709" t="str">
        <f t="shared" si="149"/>
        <v>3Q17</v>
      </c>
      <c r="C918" s="709" t="str">
        <f t="shared" si="152"/>
        <v>3Q17</v>
      </c>
      <c r="D918" s="710">
        <f t="shared" si="154"/>
        <v>42979</v>
      </c>
      <c r="E918" s="710">
        <f t="shared" si="154"/>
        <v>42919</v>
      </c>
      <c r="F918" s="712">
        <v>2.472</v>
      </c>
      <c r="G918" s="713">
        <f t="shared" si="150"/>
        <v>0.27000000000000007</v>
      </c>
    </row>
    <row r="919" spans="1:7" x14ac:dyDescent="0.2">
      <c r="A919" s="709">
        <f t="shared" si="151"/>
        <v>42917</v>
      </c>
      <c r="B919" s="709" t="str">
        <f t="shared" si="149"/>
        <v>3Q17</v>
      </c>
      <c r="C919" s="709" t="str">
        <f t="shared" si="152"/>
        <v>3Q17</v>
      </c>
      <c r="D919" s="710">
        <f t="shared" si="154"/>
        <v>42986</v>
      </c>
      <c r="E919" s="710">
        <f t="shared" si="154"/>
        <v>42926</v>
      </c>
      <c r="F919" s="712">
        <v>2.4809999999999999</v>
      </c>
      <c r="G919" s="713">
        <f t="shared" si="150"/>
        <v>0.27000000000000007</v>
      </c>
    </row>
    <row r="920" spans="1:7" x14ac:dyDescent="0.2">
      <c r="A920" s="709">
        <f t="shared" si="151"/>
        <v>42917</v>
      </c>
      <c r="B920" s="709" t="str">
        <f t="shared" si="149"/>
        <v>3Q17</v>
      </c>
      <c r="C920" s="709" t="str">
        <f t="shared" si="152"/>
        <v>3Q17</v>
      </c>
      <c r="D920" s="710">
        <f t="shared" si="154"/>
        <v>42993</v>
      </c>
      <c r="E920" s="710">
        <f t="shared" si="154"/>
        <v>42933</v>
      </c>
      <c r="F920" s="712">
        <v>2.4910000000000001</v>
      </c>
      <c r="G920" s="713">
        <f t="shared" si="150"/>
        <v>0.27000000000000007</v>
      </c>
    </row>
    <row r="921" spans="1:7" x14ac:dyDescent="0.2">
      <c r="A921" s="709">
        <f t="shared" si="151"/>
        <v>42917</v>
      </c>
      <c r="B921" s="709" t="str">
        <f t="shared" si="149"/>
        <v>3Q17</v>
      </c>
      <c r="C921" s="709" t="str">
        <f t="shared" si="152"/>
        <v>3Q17</v>
      </c>
      <c r="D921" s="710">
        <f t="shared" si="154"/>
        <v>43000</v>
      </c>
      <c r="E921" s="710">
        <f t="shared" si="154"/>
        <v>42940</v>
      </c>
      <c r="F921" s="712">
        <v>2.5070000000000001</v>
      </c>
      <c r="G921" s="713">
        <f t="shared" si="150"/>
        <v>0.28000000000000008</v>
      </c>
    </row>
    <row r="922" spans="1:7" x14ac:dyDescent="0.2">
      <c r="A922" s="709">
        <f t="shared" si="151"/>
        <v>42917</v>
      </c>
      <c r="B922" s="709" t="str">
        <f t="shared" si="149"/>
        <v>3Q17</v>
      </c>
      <c r="C922" s="709" t="str">
        <f t="shared" si="152"/>
        <v>3Q17</v>
      </c>
      <c r="D922" s="710">
        <f t="shared" si="154"/>
        <v>43007</v>
      </c>
      <c r="E922" s="710">
        <f t="shared" si="154"/>
        <v>42947</v>
      </c>
      <c r="F922" s="712">
        <v>2.5310000000000001</v>
      </c>
      <c r="G922" s="713">
        <f t="shared" si="150"/>
        <v>0.28000000000000008</v>
      </c>
    </row>
    <row r="923" spans="1:7" x14ac:dyDescent="0.2">
      <c r="A923" s="709">
        <f t="shared" si="151"/>
        <v>42948</v>
      </c>
      <c r="B923" s="709" t="str">
        <f t="shared" si="149"/>
        <v>3Q17</v>
      </c>
      <c r="C923" s="709" t="str">
        <f t="shared" si="152"/>
        <v>4Q17</v>
      </c>
      <c r="D923" s="710">
        <f t="shared" si="154"/>
        <v>43014</v>
      </c>
      <c r="E923" s="710">
        <f t="shared" si="154"/>
        <v>42954</v>
      </c>
      <c r="F923" s="712">
        <v>2.581</v>
      </c>
      <c r="G923" s="713">
        <f t="shared" si="150"/>
        <v>0.29000000000000009</v>
      </c>
    </row>
    <row r="924" spans="1:7" x14ac:dyDescent="0.2">
      <c r="A924" s="709">
        <f t="shared" si="151"/>
        <v>42948</v>
      </c>
      <c r="B924" s="709" t="str">
        <f t="shared" si="149"/>
        <v>3Q17</v>
      </c>
      <c r="C924" s="709" t="str">
        <f t="shared" si="152"/>
        <v>4Q17</v>
      </c>
      <c r="D924" s="710">
        <f t="shared" si="154"/>
        <v>43021</v>
      </c>
      <c r="E924" s="710">
        <f t="shared" si="154"/>
        <v>42961</v>
      </c>
      <c r="F924" s="712">
        <v>2.5979999999999999</v>
      </c>
      <c r="G924" s="713">
        <f t="shared" si="150"/>
        <v>0.29000000000000009</v>
      </c>
    </row>
    <row r="925" spans="1:7" x14ac:dyDescent="0.2">
      <c r="A925" s="709">
        <f t="shared" si="151"/>
        <v>42948</v>
      </c>
      <c r="B925" s="709" t="str">
        <f t="shared" si="149"/>
        <v>3Q17</v>
      </c>
      <c r="C925" s="709" t="str">
        <f t="shared" si="152"/>
        <v>4Q17</v>
      </c>
      <c r="D925" s="710">
        <f t="shared" si="154"/>
        <v>43028</v>
      </c>
      <c r="E925" s="710">
        <f t="shared" si="154"/>
        <v>42968</v>
      </c>
      <c r="F925" s="712">
        <v>2.5960000000000001</v>
      </c>
      <c r="G925" s="713">
        <f t="shared" si="150"/>
        <v>0.29000000000000009</v>
      </c>
    </row>
    <row r="926" spans="1:7" x14ac:dyDescent="0.2">
      <c r="A926" s="709">
        <f t="shared" si="151"/>
        <v>42948</v>
      </c>
      <c r="B926" s="709" t="str">
        <f t="shared" si="149"/>
        <v>3Q17</v>
      </c>
      <c r="C926" s="709" t="str">
        <f t="shared" si="152"/>
        <v>4Q17</v>
      </c>
      <c r="D926" s="710">
        <f t="shared" si="154"/>
        <v>43035</v>
      </c>
      <c r="E926" s="710">
        <f t="shared" si="154"/>
        <v>42975</v>
      </c>
      <c r="F926" s="712">
        <v>2.605</v>
      </c>
      <c r="G926" s="713">
        <f t="shared" si="150"/>
        <v>0.3000000000000001</v>
      </c>
    </row>
    <row r="927" spans="1:7" x14ac:dyDescent="0.2">
      <c r="A927" s="709">
        <f t="shared" si="151"/>
        <v>42979</v>
      </c>
      <c r="B927" s="709" t="str">
        <f t="shared" si="149"/>
        <v>3Q17</v>
      </c>
      <c r="C927" s="709" t="str">
        <f t="shared" si="152"/>
        <v>4Q17</v>
      </c>
      <c r="D927" s="710">
        <f t="shared" si="154"/>
        <v>43042</v>
      </c>
      <c r="E927" s="710">
        <f t="shared" si="154"/>
        <v>42982</v>
      </c>
      <c r="F927" s="712">
        <v>2.758</v>
      </c>
      <c r="G927" s="713">
        <f t="shared" si="150"/>
        <v>0.33000000000000013</v>
      </c>
    </row>
    <row r="928" spans="1:7" x14ac:dyDescent="0.2">
      <c r="A928" s="709">
        <f t="shared" ref="A928:A943" si="155">DATE(YEAR(E928),MONTH(E928),1)</f>
        <v>42979</v>
      </c>
      <c r="B928" s="709" t="str">
        <f t="shared" ref="B928:B943" si="156">VLOOKUP(MONTH(A928),$N$4:$O$16,2,FALSE) &amp; "Q" &amp; RIGHT(YEAR(A928),2)</f>
        <v>3Q17</v>
      </c>
      <c r="C928" s="709" t="str">
        <f t="shared" ref="C928:C943" si="157">VLOOKUP(MONTH(D928),$N$4:$O$16,2,FALSE) &amp; "Q" &amp; RIGHT(YEAR(D928),2)</f>
        <v>4Q17</v>
      </c>
      <c r="D928" s="710">
        <f t="shared" ref="D928:D991" si="158">D927+7</f>
        <v>43049</v>
      </c>
      <c r="E928" s="710">
        <f t="shared" ref="E928:E991" si="159">E927+7</f>
        <v>42989</v>
      </c>
      <c r="F928" s="712">
        <v>2.802</v>
      </c>
      <c r="G928" s="713">
        <f t="shared" ref="G928:G943" si="160">INDEX($I$4:$K$153,MATCH(F928,$I$4:$I$153,1),3)</f>
        <v>0.34000000000000014</v>
      </c>
    </row>
    <row r="929" spans="1:7" x14ac:dyDescent="0.2">
      <c r="A929" s="709">
        <f t="shared" si="155"/>
        <v>42979</v>
      </c>
      <c r="B929" s="709" t="str">
        <f t="shared" si="156"/>
        <v>3Q17</v>
      </c>
      <c r="C929" s="709" t="str">
        <f t="shared" si="157"/>
        <v>4Q17</v>
      </c>
      <c r="D929" s="710">
        <f t="shared" si="158"/>
        <v>43056</v>
      </c>
      <c r="E929" s="710">
        <f t="shared" si="159"/>
        <v>42996</v>
      </c>
      <c r="F929" s="712">
        <v>2.7909999999999999</v>
      </c>
      <c r="G929" s="713">
        <f t="shared" si="160"/>
        <v>0.33000000000000013</v>
      </c>
    </row>
    <row r="930" spans="1:7" x14ac:dyDescent="0.2">
      <c r="A930" s="709">
        <f t="shared" si="155"/>
        <v>42979</v>
      </c>
      <c r="B930" s="709" t="str">
        <f t="shared" si="156"/>
        <v>3Q17</v>
      </c>
      <c r="C930" s="709" t="str">
        <f t="shared" si="157"/>
        <v>4Q17</v>
      </c>
      <c r="D930" s="710">
        <f t="shared" si="158"/>
        <v>43063</v>
      </c>
      <c r="E930" s="710">
        <f t="shared" si="159"/>
        <v>43003</v>
      </c>
      <c r="F930" s="712">
        <v>2.7879999999999998</v>
      </c>
      <c r="G930" s="713">
        <f t="shared" si="160"/>
        <v>0.33000000000000013</v>
      </c>
    </row>
    <row r="931" spans="1:7" x14ac:dyDescent="0.2">
      <c r="A931" s="709">
        <f t="shared" si="155"/>
        <v>43009</v>
      </c>
      <c r="B931" s="709" t="str">
        <f t="shared" si="156"/>
        <v>4Q17</v>
      </c>
      <c r="C931" s="709" t="str">
        <f t="shared" si="157"/>
        <v>4Q17</v>
      </c>
      <c r="D931" s="710">
        <f t="shared" si="158"/>
        <v>43070</v>
      </c>
      <c r="E931" s="710">
        <f t="shared" si="159"/>
        <v>43010</v>
      </c>
      <c r="F931" s="712">
        <v>2.7919999999999998</v>
      </c>
      <c r="G931" s="713">
        <f t="shared" si="160"/>
        <v>0.33000000000000013</v>
      </c>
    </row>
    <row r="932" spans="1:7" x14ac:dyDescent="0.2">
      <c r="A932" s="709">
        <f t="shared" si="155"/>
        <v>43009</v>
      </c>
      <c r="B932" s="709" t="str">
        <f t="shared" si="156"/>
        <v>4Q17</v>
      </c>
      <c r="C932" s="709" t="str">
        <f t="shared" si="157"/>
        <v>4Q17</v>
      </c>
      <c r="D932" s="710">
        <f t="shared" si="158"/>
        <v>43077</v>
      </c>
      <c r="E932" s="710">
        <f t="shared" si="159"/>
        <v>43017</v>
      </c>
      <c r="F932" s="712">
        <v>2.7759999999999998</v>
      </c>
      <c r="G932" s="713">
        <f t="shared" si="160"/>
        <v>0.33000000000000013</v>
      </c>
    </row>
    <row r="933" spans="1:7" x14ac:dyDescent="0.2">
      <c r="A933" s="709">
        <f t="shared" si="155"/>
        <v>43009</v>
      </c>
      <c r="B933" s="709" t="str">
        <f t="shared" si="156"/>
        <v>4Q17</v>
      </c>
      <c r="C933" s="709" t="str">
        <f t="shared" si="157"/>
        <v>4Q17</v>
      </c>
      <c r="D933" s="710">
        <f t="shared" si="158"/>
        <v>43084</v>
      </c>
      <c r="E933" s="710">
        <f t="shared" si="159"/>
        <v>43024</v>
      </c>
      <c r="F933" s="712">
        <v>2.7869999999999999</v>
      </c>
      <c r="G933" s="713">
        <f t="shared" si="160"/>
        <v>0.33000000000000013</v>
      </c>
    </row>
    <row r="934" spans="1:7" x14ac:dyDescent="0.2">
      <c r="A934" s="709">
        <f t="shared" si="155"/>
        <v>43009</v>
      </c>
      <c r="B934" s="709" t="str">
        <f t="shared" si="156"/>
        <v>4Q17</v>
      </c>
      <c r="C934" s="709" t="str">
        <f t="shared" si="157"/>
        <v>4Q17</v>
      </c>
      <c r="D934" s="710">
        <f t="shared" si="158"/>
        <v>43091</v>
      </c>
      <c r="E934" s="710">
        <f t="shared" si="159"/>
        <v>43031</v>
      </c>
      <c r="F934" s="712">
        <v>2.7970000000000002</v>
      </c>
      <c r="G934" s="713">
        <f t="shared" si="160"/>
        <v>0.33000000000000013</v>
      </c>
    </row>
    <row r="935" spans="1:7" x14ac:dyDescent="0.2">
      <c r="A935" s="709">
        <f t="shared" si="155"/>
        <v>43009</v>
      </c>
      <c r="B935" s="709" t="str">
        <f t="shared" si="156"/>
        <v>4Q17</v>
      </c>
      <c r="C935" s="709" t="str">
        <f t="shared" si="157"/>
        <v>4Q17</v>
      </c>
      <c r="D935" s="710">
        <f t="shared" si="158"/>
        <v>43098</v>
      </c>
      <c r="E935" s="710">
        <f t="shared" si="159"/>
        <v>43038</v>
      </c>
      <c r="F935" s="712">
        <v>2.819</v>
      </c>
      <c r="G935" s="713">
        <f t="shared" si="160"/>
        <v>0.34000000000000014</v>
      </c>
    </row>
    <row r="936" spans="1:7" x14ac:dyDescent="0.2">
      <c r="A936" s="709">
        <f t="shared" si="155"/>
        <v>43040</v>
      </c>
      <c r="B936" s="709" t="str">
        <f t="shared" si="156"/>
        <v>4Q17</v>
      </c>
      <c r="C936" s="709" t="str">
        <f t="shared" si="157"/>
        <v>1Q18</v>
      </c>
      <c r="D936" s="710">
        <f t="shared" si="158"/>
        <v>43105</v>
      </c>
      <c r="E936" s="710">
        <f t="shared" si="159"/>
        <v>43045</v>
      </c>
      <c r="F936" s="712">
        <v>2.8820000000000001</v>
      </c>
      <c r="G936" s="713">
        <f t="shared" si="160"/>
        <v>0.35000000000000014</v>
      </c>
    </row>
    <row r="937" spans="1:7" x14ac:dyDescent="0.2">
      <c r="A937" s="709">
        <f t="shared" si="155"/>
        <v>43040</v>
      </c>
      <c r="B937" s="709" t="str">
        <f t="shared" si="156"/>
        <v>4Q17</v>
      </c>
      <c r="C937" s="709" t="str">
        <f t="shared" si="157"/>
        <v>1Q18</v>
      </c>
      <c r="D937" s="710">
        <f t="shared" si="158"/>
        <v>43112</v>
      </c>
      <c r="E937" s="710">
        <f t="shared" si="159"/>
        <v>43052</v>
      </c>
      <c r="F937" s="712">
        <v>2.915</v>
      </c>
      <c r="G937" s="713">
        <f t="shared" si="160"/>
        <v>0.36000000000000015</v>
      </c>
    </row>
    <row r="938" spans="1:7" x14ac:dyDescent="0.2">
      <c r="A938" s="709">
        <f t="shared" si="155"/>
        <v>43040</v>
      </c>
      <c r="B938" s="709" t="str">
        <f t="shared" si="156"/>
        <v>4Q17</v>
      </c>
      <c r="C938" s="709" t="str">
        <f t="shared" si="157"/>
        <v>1Q18</v>
      </c>
      <c r="D938" s="710">
        <f t="shared" si="158"/>
        <v>43119</v>
      </c>
      <c r="E938" s="710">
        <f t="shared" si="159"/>
        <v>43059</v>
      </c>
      <c r="F938" s="712">
        <v>2.9119999999999999</v>
      </c>
      <c r="G938" s="713">
        <f t="shared" si="160"/>
        <v>0.36000000000000015</v>
      </c>
    </row>
    <row r="939" spans="1:7" x14ac:dyDescent="0.2">
      <c r="A939" s="709">
        <f t="shared" si="155"/>
        <v>43040</v>
      </c>
      <c r="B939" s="709" t="str">
        <f t="shared" si="156"/>
        <v>4Q17</v>
      </c>
      <c r="C939" s="709" t="str">
        <f t="shared" si="157"/>
        <v>1Q18</v>
      </c>
      <c r="D939" s="710">
        <f t="shared" si="158"/>
        <v>43126</v>
      </c>
      <c r="E939" s="710">
        <f t="shared" si="159"/>
        <v>43066</v>
      </c>
      <c r="F939" s="712">
        <v>2.9260000000000002</v>
      </c>
      <c r="G939" s="713">
        <f t="shared" si="160"/>
        <v>0.36000000000000015</v>
      </c>
    </row>
    <row r="940" spans="1:7" x14ac:dyDescent="0.2">
      <c r="A940" s="709">
        <f t="shared" si="155"/>
        <v>43070</v>
      </c>
      <c r="B940" s="709" t="str">
        <f t="shared" si="156"/>
        <v>4Q17</v>
      </c>
      <c r="C940" s="709" t="str">
        <f t="shared" si="157"/>
        <v>1Q18</v>
      </c>
      <c r="D940" s="710">
        <f t="shared" si="158"/>
        <v>43133</v>
      </c>
      <c r="E940" s="710">
        <f t="shared" si="159"/>
        <v>43073</v>
      </c>
      <c r="F940" s="712">
        <v>2.9220000000000002</v>
      </c>
      <c r="G940" s="713">
        <f t="shared" si="160"/>
        <v>0.36000000000000015</v>
      </c>
    </row>
    <row r="941" spans="1:7" x14ac:dyDescent="0.2">
      <c r="A941" s="709">
        <f t="shared" si="155"/>
        <v>43070</v>
      </c>
      <c r="B941" s="709" t="str">
        <f t="shared" si="156"/>
        <v>4Q17</v>
      </c>
      <c r="C941" s="709" t="str">
        <f t="shared" si="157"/>
        <v>1Q18</v>
      </c>
      <c r="D941" s="710">
        <f t="shared" si="158"/>
        <v>43140</v>
      </c>
      <c r="E941" s="710">
        <f t="shared" si="159"/>
        <v>43080</v>
      </c>
      <c r="F941" s="712">
        <v>2.91</v>
      </c>
      <c r="G941" s="713">
        <f t="shared" si="160"/>
        <v>0.36000000000000015</v>
      </c>
    </row>
    <row r="942" spans="1:7" x14ac:dyDescent="0.2">
      <c r="A942" s="709">
        <f t="shared" si="155"/>
        <v>43070</v>
      </c>
      <c r="B942" s="709" t="str">
        <f t="shared" si="156"/>
        <v>4Q17</v>
      </c>
      <c r="C942" s="709" t="str">
        <f t="shared" si="157"/>
        <v>1Q18</v>
      </c>
      <c r="D942" s="710">
        <f t="shared" si="158"/>
        <v>43147</v>
      </c>
      <c r="E942" s="710">
        <f t="shared" si="159"/>
        <v>43087</v>
      </c>
      <c r="F942" s="712">
        <v>2.9009999999999998</v>
      </c>
      <c r="G942" s="713">
        <f t="shared" si="160"/>
        <v>0.36000000000000015</v>
      </c>
    </row>
    <row r="943" spans="1:7" x14ac:dyDescent="0.2">
      <c r="A943" s="709">
        <f t="shared" si="155"/>
        <v>43070</v>
      </c>
      <c r="B943" s="709" t="str">
        <f t="shared" si="156"/>
        <v>4Q17</v>
      </c>
      <c r="C943" s="709" t="str">
        <f t="shared" si="157"/>
        <v>1Q18</v>
      </c>
      <c r="D943" s="710">
        <f t="shared" si="158"/>
        <v>43154</v>
      </c>
      <c r="E943" s="710">
        <f t="shared" si="159"/>
        <v>43094</v>
      </c>
      <c r="F943" s="712">
        <v>2.903</v>
      </c>
      <c r="G943" s="713">
        <f t="shared" si="160"/>
        <v>0.36000000000000015</v>
      </c>
    </row>
    <row r="944" spans="1:7" x14ac:dyDescent="0.2">
      <c r="A944" s="709">
        <f t="shared" ref="A944:A987" si="161">DATE(YEAR(E944),MONTH(E944),1)</f>
        <v>43101</v>
      </c>
      <c r="B944" s="709" t="str">
        <f t="shared" ref="B944:B987" si="162">VLOOKUP(MONTH(A944),$N$4:$O$16,2,FALSE) &amp; "Q" &amp; RIGHT(YEAR(A944),2)</f>
        <v>1Q18</v>
      </c>
      <c r="C944" s="709" t="str">
        <f t="shared" ref="C944:C987" si="163">VLOOKUP(MONTH(D944),$N$4:$O$16,2,FALSE) &amp; "Q" &amp; RIGHT(YEAR(D944),2)</f>
        <v>1Q18</v>
      </c>
      <c r="D944" s="710">
        <f t="shared" si="158"/>
        <v>43161</v>
      </c>
      <c r="E944" s="710">
        <f t="shared" si="159"/>
        <v>43101</v>
      </c>
      <c r="F944" s="712">
        <v>2.9729999999999999</v>
      </c>
      <c r="G944" s="713">
        <f t="shared" ref="G944:G987" si="164">INDEX($I$4:$K$153,MATCH(F944,$I$4:$I$153,1),3)</f>
        <v>0.37000000000000016</v>
      </c>
    </row>
    <row r="945" spans="1:7" x14ac:dyDescent="0.2">
      <c r="A945" s="709">
        <f t="shared" si="161"/>
        <v>43101</v>
      </c>
      <c r="B945" s="709" t="str">
        <f t="shared" si="162"/>
        <v>1Q18</v>
      </c>
      <c r="C945" s="709" t="str">
        <f t="shared" si="163"/>
        <v>1Q18</v>
      </c>
      <c r="D945" s="710">
        <f t="shared" si="158"/>
        <v>43168</v>
      </c>
      <c r="E945" s="710">
        <f t="shared" si="159"/>
        <v>43108</v>
      </c>
      <c r="F945" s="712">
        <v>2.996</v>
      </c>
      <c r="G945" s="713">
        <f t="shared" si="164"/>
        <v>0.37000000000000016</v>
      </c>
    </row>
    <row r="946" spans="1:7" x14ac:dyDescent="0.2">
      <c r="A946" s="709">
        <f t="shared" si="161"/>
        <v>43101</v>
      </c>
      <c r="B946" s="709" t="str">
        <f t="shared" si="162"/>
        <v>1Q18</v>
      </c>
      <c r="C946" s="709" t="str">
        <f t="shared" si="163"/>
        <v>1Q18</v>
      </c>
      <c r="D946" s="710">
        <f t="shared" si="158"/>
        <v>43175</v>
      </c>
      <c r="E946" s="710">
        <f t="shared" si="159"/>
        <v>43115</v>
      </c>
      <c r="F946" s="712">
        <v>3.028</v>
      </c>
      <c r="G946" s="713">
        <f t="shared" si="164"/>
        <v>0.38000000000000017</v>
      </c>
    </row>
    <row r="947" spans="1:7" x14ac:dyDescent="0.2">
      <c r="A947" s="709">
        <f t="shared" si="161"/>
        <v>43101</v>
      </c>
      <c r="B947" s="709" t="str">
        <f t="shared" si="162"/>
        <v>1Q18</v>
      </c>
      <c r="C947" s="709" t="str">
        <f t="shared" si="163"/>
        <v>1Q18</v>
      </c>
      <c r="D947" s="710">
        <f t="shared" si="158"/>
        <v>43182</v>
      </c>
      <c r="E947" s="710">
        <f t="shared" si="159"/>
        <v>43122</v>
      </c>
      <c r="F947" s="712">
        <v>3.0249999999999999</v>
      </c>
      <c r="G947" s="713">
        <f t="shared" si="164"/>
        <v>0.38000000000000017</v>
      </c>
    </row>
    <row r="948" spans="1:7" x14ac:dyDescent="0.2">
      <c r="A948" s="709">
        <f t="shared" si="161"/>
        <v>43101</v>
      </c>
      <c r="B948" s="709" t="str">
        <f t="shared" si="162"/>
        <v>1Q18</v>
      </c>
      <c r="C948" s="709" t="str">
        <f t="shared" si="163"/>
        <v>1Q18</v>
      </c>
      <c r="D948" s="710">
        <f t="shared" si="158"/>
        <v>43189</v>
      </c>
      <c r="E948" s="710">
        <f t="shared" si="159"/>
        <v>43129</v>
      </c>
      <c r="F948" s="712">
        <v>3.07</v>
      </c>
      <c r="G948" s="713">
        <f t="shared" si="164"/>
        <v>0.39000000000000018</v>
      </c>
    </row>
    <row r="949" spans="1:7" x14ac:dyDescent="0.2">
      <c r="A949" s="709">
        <f t="shared" si="161"/>
        <v>43132</v>
      </c>
      <c r="B949" s="709" t="str">
        <f t="shared" si="162"/>
        <v>1Q18</v>
      </c>
      <c r="C949" s="709" t="str">
        <f t="shared" si="163"/>
        <v>2Q18</v>
      </c>
      <c r="D949" s="710">
        <f t="shared" si="158"/>
        <v>43196</v>
      </c>
      <c r="E949" s="710">
        <f t="shared" si="159"/>
        <v>43136</v>
      </c>
      <c r="F949" s="712">
        <v>3.0859999999999999</v>
      </c>
      <c r="G949" s="713">
        <f t="shared" si="164"/>
        <v>0.39000000000000018</v>
      </c>
    </row>
    <row r="950" spans="1:7" x14ac:dyDescent="0.2">
      <c r="A950" s="709">
        <f t="shared" si="161"/>
        <v>43132</v>
      </c>
      <c r="B950" s="709" t="str">
        <f t="shared" si="162"/>
        <v>1Q18</v>
      </c>
      <c r="C950" s="709" t="str">
        <f t="shared" si="163"/>
        <v>2Q18</v>
      </c>
      <c r="D950" s="710">
        <f t="shared" si="158"/>
        <v>43203</v>
      </c>
      <c r="E950" s="710">
        <f t="shared" si="159"/>
        <v>43143</v>
      </c>
      <c r="F950" s="712">
        <v>3.0630000000000002</v>
      </c>
      <c r="G950" s="713">
        <f t="shared" si="164"/>
        <v>0.39000000000000018</v>
      </c>
    </row>
    <row r="951" spans="1:7" x14ac:dyDescent="0.2">
      <c r="A951" s="709">
        <f t="shared" si="161"/>
        <v>43132</v>
      </c>
      <c r="B951" s="709" t="str">
        <f t="shared" si="162"/>
        <v>1Q18</v>
      </c>
      <c r="C951" s="709" t="str">
        <f t="shared" si="163"/>
        <v>2Q18</v>
      </c>
      <c r="D951" s="710">
        <f t="shared" si="158"/>
        <v>43210</v>
      </c>
      <c r="E951" s="710">
        <f t="shared" si="159"/>
        <v>43150</v>
      </c>
      <c r="F951" s="712">
        <v>3.0270000000000001</v>
      </c>
      <c r="G951" s="713">
        <f t="shared" si="164"/>
        <v>0.38000000000000017</v>
      </c>
    </row>
    <row r="952" spans="1:7" x14ac:dyDescent="0.2">
      <c r="A952" s="709">
        <f t="shared" si="161"/>
        <v>43132</v>
      </c>
      <c r="B952" s="709" t="str">
        <f t="shared" si="162"/>
        <v>1Q18</v>
      </c>
      <c r="C952" s="709" t="str">
        <f t="shared" si="163"/>
        <v>2Q18</v>
      </c>
      <c r="D952" s="710">
        <f t="shared" si="158"/>
        <v>43217</v>
      </c>
      <c r="E952" s="710">
        <f t="shared" si="159"/>
        <v>43157</v>
      </c>
      <c r="F952" s="712">
        <v>3.0070000000000001</v>
      </c>
      <c r="G952" s="713">
        <f t="shared" si="164"/>
        <v>0.38000000000000017</v>
      </c>
    </row>
    <row r="953" spans="1:7" x14ac:dyDescent="0.2">
      <c r="A953" s="709">
        <f t="shared" si="161"/>
        <v>43160</v>
      </c>
      <c r="B953" s="709" t="str">
        <f t="shared" si="162"/>
        <v>1Q18</v>
      </c>
      <c r="C953" s="709" t="str">
        <f t="shared" si="163"/>
        <v>2Q18</v>
      </c>
      <c r="D953" s="710">
        <f t="shared" si="158"/>
        <v>43224</v>
      </c>
      <c r="E953" s="710">
        <f t="shared" si="159"/>
        <v>43164</v>
      </c>
      <c r="F953" s="712">
        <v>2.992</v>
      </c>
      <c r="G953" s="713">
        <f t="shared" si="164"/>
        <v>0.37000000000000016</v>
      </c>
    </row>
    <row r="954" spans="1:7" x14ac:dyDescent="0.2">
      <c r="A954" s="709">
        <f t="shared" si="161"/>
        <v>43160</v>
      </c>
      <c r="B954" s="709" t="str">
        <f t="shared" si="162"/>
        <v>1Q18</v>
      </c>
      <c r="C954" s="709" t="str">
        <f t="shared" si="163"/>
        <v>2Q18</v>
      </c>
      <c r="D954" s="710">
        <f t="shared" si="158"/>
        <v>43231</v>
      </c>
      <c r="E954" s="710">
        <f t="shared" si="159"/>
        <v>43171</v>
      </c>
      <c r="F954" s="712">
        <v>2.976</v>
      </c>
      <c r="G954" s="713">
        <f t="shared" si="164"/>
        <v>0.37000000000000016</v>
      </c>
    </row>
    <row r="955" spans="1:7" x14ac:dyDescent="0.2">
      <c r="A955" s="709">
        <f t="shared" si="161"/>
        <v>43160</v>
      </c>
      <c r="B955" s="709" t="str">
        <f t="shared" si="162"/>
        <v>1Q18</v>
      </c>
      <c r="C955" s="709" t="str">
        <f t="shared" si="163"/>
        <v>2Q18</v>
      </c>
      <c r="D955" s="710">
        <f t="shared" si="158"/>
        <v>43238</v>
      </c>
      <c r="E955" s="710">
        <f t="shared" si="159"/>
        <v>43178</v>
      </c>
      <c r="F955" s="712">
        <v>2.972</v>
      </c>
      <c r="G955" s="713">
        <f t="shared" si="164"/>
        <v>0.37000000000000016</v>
      </c>
    </row>
    <row r="956" spans="1:7" x14ac:dyDescent="0.2">
      <c r="A956" s="709">
        <f t="shared" si="161"/>
        <v>43160</v>
      </c>
      <c r="B956" s="709" t="str">
        <f t="shared" si="162"/>
        <v>1Q18</v>
      </c>
      <c r="C956" s="709" t="str">
        <f t="shared" si="163"/>
        <v>2Q18</v>
      </c>
      <c r="D956" s="710">
        <f t="shared" si="158"/>
        <v>43245</v>
      </c>
      <c r="E956" s="710">
        <f t="shared" si="159"/>
        <v>43185</v>
      </c>
      <c r="F956" s="712">
        <v>3.01</v>
      </c>
      <c r="G956" s="713">
        <f t="shared" si="164"/>
        <v>0.38000000000000017</v>
      </c>
    </row>
    <row r="957" spans="1:7" x14ac:dyDescent="0.2">
      <c r="A957" s="709">
        <f t="shared" si="161"/>
        <v>43191</v>
      </c>
      <c r="B957" s="709" t="str">
        <f t="shared" si="162"/>
        <v>2Q18</v>
      </c>
      <c r="C957" s="709" t="str">
        <f t="shared" si="163"/>
        <v>2Q18</v>
      </c>
      <c r="D957" s="710">
        <f t="shared" si="158"/>
        <v>43252</v>
      </c>
      <c r="E957" s="710">
        <f t="shared" si="159"/>
        <v>43192</v>
      </c>
      <c r="F957" s="712">
        <v>3.0419999999999998</v>
      </c>
      <c r="G957" s="713">
        <f t="shared" si="164"/>
        <v>0.38000000000000017</v>
      </c>
    </row>
    <row r="958" spans="1:7" x14ac:dyDescent="0.2">
      <c r="A958" s="709">
        <f t="shared" si="161"/>
        <v>43191</v>
      </c>
      <c r="B958" s="709" t="str">
        <f t="shared" si="162"/>
        <v>2Q18</v>
      </c>
      <c r="C958" s="709" t="str">
        <f t="shared" si="163"/>
        <v>2Q18</v>
      </c>
      <c r="D958" s="710">
        <f t="shared" si="158"/>
        <v>43259</v>
      </c>
      <c r="E958" s="710">
        <f t="shared" si="159"/>
        <v>43199</v>
      </c>
      <c r="F958" s="712">
        <v>3.0430000000000001</v>
      </c>
      <c r="G958" s="713">
        <f t="shared" si="164"/>
        <v>0.38000000000000017</v>
      </c>
    </row>
    <row r="959" spans="1:7" x14ac:dyDescent="0.2">
      <c r="A959" s="709">
        <f t="shared" si="161"/>
        <v>43191</v>
      </c>
      <c r="B959" s="709" t="str">
        <f t="shared" si="162"/>
        <v>2Q18</v>
      </c>
      <c r="C959" s="709" t="str">
        <f t="shared" si="163"/>
        <v>2Q18</v>
      </c>
      <c r="D959" s="710">
        <f t="shared" si="158"/>
        <v>43266</v>
      </c>
      <c r="E959" s="710">
        <f t="shared" si="159"/>
        <v>43206</v>
      </c>
      <c r="F959" s="712">
        <v>3.1040000000000001</v>
      </c>
      <c r="G959" s="713">
        <f t="shared" si="164"/>
        <v>0.40000000000000019</v>
      </c>
    </row>
    <row r="960" spans="1:7" x14ac:dyDescent="0.2">
      <c r="A960" s="709">
        <f t="shared" si="161"/>
        <v>43191</v>
      </c>
      <c r="B960" s="709" t="str">
        <f t="shared" si="162"/>
        <v>2Q18</v>
      </c>
      <c r="C960" s="709" t="str">
        <f t="shared" si="163"/>
        <v>2Q18</v>
      </c>
      <c r="D960" s="710">
        <f t="shared" si="158"/>
        <v>43273</v>
      </c>
      <c r="E960" s="710">
        <f t="shared" si="159"/>
        <v>43213</v>
      </c>
      <c r="F960" s="712">
        <v>3.133</v>
      </c>
      <c r="G960" s="713">
        <f t="shared" si="164"/>
        <v>0.40000000000000019</v>
      </c>
    </row>
    <row r="961" spans="1:7" x14ac:dyDescent="0.2">
      <c r="A961" s="709">
        <f t="shared" si="161"/>
        <v>43191</v>
      </c>
      <c r="B961" s="709" t="str">
        <f t="shared" si="162"/>
        <v>2Q18</v>
      </c>
      <c r="C961" s="709" t="str">
        <f t="shared" si="163"/>
        <v>2Q18</v>
      </c>
      <c r="D961" s="710">
        <f t="shared" si="158"/>
        <v>43280</v>
      </c>
      <c r="E961" s="710">
        <f t="shared" si="159"/>
        <v>43220</v>
      </c>
      <c r="F961" s="724">
        <f t="shared" ref="F961:F992" si="165">F960</f>
        <v>3.133</v>
      </c>
      <c r="G961" s="713">
        <f t="shared" si="164"/>
        <v>0.40000000000000019</v>
      </c>
    </row>
    <row r="962" spans="1:7" x14ac:dyDescent="0.2">
      <c r="A962" s="709">
        <f t="shared" si="161"/>
        <v>43221</v>
      </c>
      <c r="B962" s="709" t="str">
        <f t="shared" si="162"/>
        <v>2Q18</v>
      </c>
      <c r="C962" s="709" t="str">
        <f t="shared" si="163"/>
        <v>3Q18</v>
      </c>
      <c r="D962" s="710">
        <f t="shared" si="158"/>
        <v>43287</v>
      </c>
      <c r="E962" s="710">
        <f t="shared" si="159"/>
        <v>43227</v>
      </c>
      <c r="F962" s="724">
        <f t="shared" si="165"/>
        <v>3.133</v>
      </c>
      <c r="G962" s="713">
        <f t="shared" si="164"/>
        <v>0.40000000000000019</v>
      </c>
    </row>
    <row r="963" spans="1:7" x14ac:dyDescent="0.2">
      <c r="A963" s="709">
        <f t="shared" si="161"/>
        <v>43221</v>
      </c>
      <c r="B963" s="709" t="str">
        <f t="shared" si="162"/>
        <v>2Q18</v>
      </c>
      <c r="C963" s="709" t="str">
        <f t="shared" si="163"/>
        <v>3Q18</v>
      </c>
      <c r="D963" s="710">
        <f t="shared" si="158"/>
        <v>43294</v>
      </c>
      <c r="E963" s="710">
        <f t="shared" si="159"/>
        <v>43234</v>
      </c>
      <c r="F963" s="724">
        <f t="shared" si="165"/>
        <v>3.133</v>
      </c>
      <c r="G963" s="713">
        <f t="shared" si="164"/>
        <v>0.40000000000000019</v>
      </c>
    </row>
    <row r="964" spans="1:7" x14ac:dyDescent="0.2">
      <c r="A964" s="709">
        <f t="shared" si="161"/>
        <v>43221</v>
      </c>
      <c r="B964" s="709" t="str">
        <f t="shared" si="162"/>
        <v>2Q18</v>
      </c>
      <c r="C964" s="709" t="str">
        <f t="shared" si="163"/>
        <v>3Q18</v>
      </c>
      <c r="D964" s="710">
        <f t="shared" si="158"/>
        <v>43301</v>
      </c>
      <c r="E964" s="710">
        <f t="shared" si="159"/>
        <v>43241</v>
      </c>
      <c r="F964" s="724">
        <f t="shared" si="165"/>
        <v>3.133</v>
      </c>
      <c r="G964" s="713">
        <f t="shared" si="164"/>
        <v>0.40000000000000019</v>
      </c>
    </row>
    <row r="965" spans="1:7" x14ac:dyDescent="0.2">
      <c r="A965" s="709">
        <f t="shared" si="161"/>
        <v>43221</v>
      </c>
      <c r="B965" s="709" t="str">
        <f t="shared" si="162"/>
        <v>2Q18</v>
      </c>
      <c r="C965" s="709" t="str">
        <f t="shared" si="163"/>
        <v>3Q18</v>
      </c>
      <c r="D965" s="710">
        <f t="shared" si="158"/>
        <v>43308</v>
      </c>
      <c r="E965" s="710">
        <f t="shared" si="159"/>
        <v>43248</v>
      </c>
      <c r="F965" s="724">
        <f t="shared" si="165"/>
        <v>3.133</v>
      </c>
      <c r="G965" s="713">
        <f t="shared" si="164"/>
        <v>0.40000000000000019</v>
      </c>
    </row>
    <row r="966" spans="1:7" x14ac:dyDescent="0.2">
      <c r="A966" s="709">
        <f t="shared" si="161"/>
        <v>43252</v>
      </c>
      <c r="B966" s="709" t="str">
        <f t="shared" si="162"/>
        <v>2Q18</v>
      </c>
      <c r="C966" s="709" t="str">
        <f t="shared" si="163"/>
        <v>3Q18</v>
      </c>
      <c r="D966" s="710">
        <f t="shared" si="158"/>
        <v>43315</v>
      </c>
      <c r="E966" s="710">
        <f t="shared" si="159"/>
        <v>43255</v>
      </c>
      <c r="F966" s="724">
        <f t="shared" si="165"/>
        <v>3.133</v>
      </c>
      <c r="G966" s="713">
        <f t="shared" si="164"/>
        <v>0.40000000000000019</v>
      </c>
    </row>
    <row r="967" spans="1:7" x14ac:dyDescent="0.2">
      <c r="A967" s="709">
        <f t="shared" si="161"/>
        <v>43252</v>
      </c>
      <c r="B967" s="709" t="str">
        <f t="shared" si="162"/>
        <v>2Q18</v>
      </c>
      <c r="C967" s="709" t="str">
        <f t="shared" si="163"/>
        <v>3Q18</v>
      </c>
      <c r="D967" s="710">
        <f t="shared" si="158"/>
        <v>43322</v>
      </c>
      <c r="E967" s="710">
        <f t="shared" si="159"/>
        <v>43262</v>
      </c>
      <c r="F967" s="724">
        <f t="shared" si="165"/>
        <v>3.133</v>
      </c>
      <c r="G967" s="713">
        <f t="shared" si="164"/>
        <v>0.40000000000000019</v>
      </c>
    </row>
    <row r="968" spans="1:7" x14ac:dyDescent="0.2">
      <c r="A968" s="709">
        <f t="shared" si="161"/>
        <v>43252</v>
      </c>
      <c r="B968" s="709" t="str">
        <f t="shared" si="162"/>
        <v>2Q18</v>
      </c>
      <c r="C968" s="709" t="str">
        <f t="shared" si="163"/>
        <v>3Q18</v>
      </c>
      <c r="D968" s="710">
        <f t="shared" si="158"/>
        <v>43329</v>
      </c>
      <c r="E968" s="710">
        <f t="shared" si="159"/>
        <v>43269</v>
      </c>
      <c r="F968" s="724">
        <f t="shared" si="165"/>
        <v>3.133</v>
      </c>
      <c r="G968" s="713">
        <f t="shared" si="164"/>
        <v>0.40000000000000019</v>
      </c>
    </row>
    <row r="969" spans="1:7" x14ac:dyDescent="0.2">
      <c r="A969" s="709">
        <f t="shared" si="161"/>
        <v>43252</v>
      </c>
      <c r="B969" s="709" t="str">
        <f t="shared" si="162"/>
        <v>2Q18</v>
      </c>
      <c r="C969" s="709" t="str">
        <f t="shared" si="163"/>
        <v>3Q18</v>
      </c>
      <c r="D969" s="710">
        <f t="shared" si="158"/>
        <v>43336</v>
      </c>
      <c r="E969" s="710">
        <f t="shared" si="159"/>
        <v>43276</v>
      </c>
      <c r="F969" s="724">
        <f t="shared" si="165"/>
        <v>3.133</v>
      </c>
      <c r="G969" s="713">
        <f t="shared" si="164"/>
        <v>0.40000000000000019</v>
      </c>
    </row>
    <row r="970" spans="1:7" x14ac:dyDescent="0.2">
      <c r="A970" s="709">
        <f t="shared" si="161"/>
        <v>43282</v>
      </c>
      <c r="B970" s="709" t="str">
        <f t="shared" si="162"/>
        <v>3Q18</v>
      </c>
      <c r="C970" s="709" t="str">
        <f t="shared" si="163"/>
        <v>3Q18</v>
      </c>
      <c r="D970" s="710">
        <f t="shared" si="158"/>
        <v>43343</v>
      </c>
      <c r="E970" s="710">
        <f t="shared" si="159"/>
        <v>43283</v>
      </c>
      <c r="F970" s="724">
        <f t="shared" si="165"/>
        <v>3.133</v>
      </c>
      <c r="G970" s="713">
        <f t="shared" si="164"/>
        <v>0.40000000000000019</v>
      </c>
    </row>
    <row r="971" spans="1:7" x14ac:dyDescent="0.2">
      <c r="A971" s="709">
        <f t="shared" si="161"/>
        <v>43282</v>
      </c>
      <c r="B971" s="709" t="str">
        <f t="shared" si="162"/>
        <v>3Q18</v>
      </c>
      <c r="C971" s="709" t="str">
        <f t="shared" si="163"/>
        <v>3Q18</v>
      </c>
      <c r="D971" s="710">
        <f t="shared" si="158"/>
        <v>43350</v>
      </c>
      <c r="E971" s="710">
        <f t="shared" si="159"/>
        <v>43290</v>
      </c>
      <c r="F971" s="724">
        <f t="shared" si="165"/>
        <v>3.133</v>
      </c>
      <c r="G971" s="713">
        <f t="shared" si="164"/>
        <v>0.40000000000000019</v>
      </c>
    </row>
    <row r="972" spans="1:7" x14ac:dyDescent="0.2">
      <c r="A972" s="709">
        <f t="shared" si="161"/>
        <v>43282</v>
      </c>
      <c r="B972" s="709" t="str">
        <f t="shared" si="162"/>
        <v>3Q18</v>
      </c>
      <c r="C972" s="709" t="str">
        <f t="shared" si="163"/>
        <v>3Q18</v>
      </c>
      <c r="D972" s="710">
        <f t="shared" si="158"/>
        <v>43357</v>
      </c>
      <c r="E972" s="710">
        <f t="shared" si="159"/>
        <v>43297</v>
      </c>
      <c r="F972" s="724">
        <f t="shared" si="165"/>
        <v>3.133</v>
      </c>
      <c r="G972" s="713">
        <f t="shared" si="164"/>
        <v>0.40000000000000019</v>
      </c>
    </row>
    <row r="973" spans="1:7" x14ac:dyDescent="0.2">
      <c r="A973" s="709">
        <f t="shared" si="161"/>
        <v>43282</v>
      </c>
      <c r="B973" s="709" t="str">
        <f t="shared" si="162"/>
        <v>3Q18</v>
      </c>
      <c r="C973" s="709" t="str">
        <f t="shared" si="163"/>
        <v>3Q18</v>
      </c>
      <c r="D973" s="710">
        <f t="shared" si="158"/>
        <v>43364</v>
      </c>
      <c r="E973" s="710">
        <f t="shared" si="159"/>
        <v>43304</v>
      </c>
      <c r="F973" s="724">
        <f t="shared" si="165"/>
        <v>3.133</v>
      </c>
      <c r="G973" s="713">
        <f t="shared" si="164"/>
        <v>0.40000000000000019</v>
      </c>
    </row>
    <row r="974" spans="1:7" x14ac:dyDescent="0.2">
      <c r="A974" s="709">
        <f t="shared" si="161"/>
        <v>43282</v>
      </c>
      <c r="B974" s="709" t="str">
        <f t="shared" si="162"/>
        <v>3Q18</v>
      </c>
      <c r="C974" s="709" t="str">
        <f t="shared" si="163"/>
        <v>3Q18</v>
      </c>
      <c r="D974" s="710">
        <f t="shared" si="158"/>
        <v>43371</v>
      </c>
      <c r="E974" s="710">
        <f t="shared" si="159"/>
        <v>43311</v>
      </c>
      <c r="F974" s="724">
        <f t="shared" si="165"/>
        <v>3.133</v>
      </c>
      <c r="G974" s="713">
        <f t="shared" si="164"/>
        <v>0.40000000000000019</v>
      </c>
    </row>
    <row r="975" spans="1:7" x14ac:dyDescent="0.2">
      <c r="A975" s="709">
        <f t="shared" si="161"/>
        <v>43313</v>
      </c>
      <c r="B975" s="709" t="str">
        <f t="shared" si="162"/>
        <v>3Q18</v>
      </c>
      <c r="C975" s="709" t="str">
        <f t="shared" si="163"/>
        <v>4Q18</v>
      </c>
      <c r="D975" s="710">
        <f t="shared" si="158"/>
        <v>43378</v>
      </c>
      <c r="E975" s="710">
        <f t="shared" si="159"/>
        <v>43318</v>
      </c>
      <c r="F975" s="724">
        <f t="shared" si="165"/>
        <v>3.133</v>
      </c>
      <c r="G975" s="713">
        <f t="shared" si="164"/>
        <v>0.40000000000000019</v>
      </c>
    </row>
    <row r="976" spans="1:7" x14ac:dyDescent="0.2">
      <c r="A976" s="709">
        <f t="shared" si="161"/>
        <v>43313</v>
      </c>
      <c r="B976" s="709" t="str">
        <f t="shared" si="162"/>
        <v>3Q18</v>
      </c>
      <c r="C976" s="709" t="str">
        <f t="shared" si="163"/>
        <v>4Q18</v>
      </c>
      <c r="D976" s="710">
        <f t="shared" si="158"/>
        <v>43385</v>
      </c>
      <c r="E976" s="710">
        <f t="shared" si="159"/>
        <v>43325</v>
      </c>
      <c r="F976" s="724">
        <f t="shared" si="165"/>
        <v>3.133</v>
      </c>
      <c r="G976" s="713">
        <f t="shared" si="164"/>
        <v>0.40000000000000019</v>
      </c>
    </row>
    <row r="977" spans="1:7" x14ac:dyDescent="0.2">
      <c r="A977" s="709">
        <f t="shared" si="161"/>
        <v>43313</v>
      </c>
      <c r="B977" s="709" t="str">
        <f t="shared" si="162"/>
        <v>3Q18</v>
      </c>
      <c r="C977" s="709" t="str">
        <f t="shared" si="163"/>
        <v>4Q18</v>
      </c>
      <c r="D977" s="710">
        <f t="shared" si="158"/>
        <v>43392</v>
      </c>
      <c r="E977" s="710">
        <f t="shared" si="159"/>
        <v>43332</v>
      </c>
      <c r="F977" s="724">
        <f t="shared" si="165"/>
        <v>3.133</v>
      </c>
      <c r="G977" s="713">
        <f t="shared" si="164"/>
        <v>0.40000000000000019</v>
      </c>
    </row>
    <row r="978" spans="1:7" x14ac:dyDescent="0.2">
      <c r="A978" s="709">
        <f t="shared" si="161"/>
        <v>43313</v>
      </c>
      <c r="B978" s="709" t="str">
        <f t="shared" si="162"/>
        <v>3Q18</v>
      </c>
      <c r="C978" s="709" t="str">
        <f t="shared" si="163"/>
        <v>4Q18</v>
      </c>
      <c r="D978" s="710">
        <f t="shared" si="158"/>
        <v>43399</v>
      </c>
      <c r="E978" s="710">
        <f t="shared" si="159"/>
        <v>43339</v>
      </c>
      <c r="F978" s="724">
        <f t="shared" si="165"/>
        <v>3.133</v>
      </c>
      <c r="G978" s="713">
        <f t="shared" si="164"/>
        <v>0.40000000000000019</v>
      </c>
    </row>
    <row r="979" spans="1:7" x14ac:dyDescent="0.2">
      <c r="A979" s="709">
        <f t="shared" si="161"/>
        <v>43344</v>
      </c>
      <c r="B979" s="709" t="str">
        <f t="shared" si="162"/>
        <v>3Q18</v>
      </c>
      <c r="C979" s="709" t="str">
        <f t="shared" si="163"/>
        <v>4Q18</v>
      </c>
      <c r="D979" s="710">
        <f t="shared" si="158"/>
        <v>43406</v>
      </c>
      <c r="E979" s="710">
        <f t="shared" si="159"/>
        <v>43346</v>
      </c>
      <c r="F979" s="724">
        <f t="shared" si="165"/>
        <v>3.133</v>
      </c>
      <c r="G979" s="713">
        <f t="shared" si="164"/>
        <v>0.40000000000000019</v>
      </c>
    </row>
    <row r="980" spans="1:7" x14ac:dyDescent="0.2">
      <c r="A980" s="709">
        <f t="shared" si="161"/>
        <v>43344</v>
      </c>
      <c r="B980" s="709" t="str">
        <f t="shared" si="162"/>
        <v>3Q18</v>
      </c>
      <c r="C980" s="709" t="str">
        <f t="shared" si="163"/>
        <v>4Q18</v>
      </c>
      <c r="D980" s="710">
        <f t="shared" si="158"/>
        <v>43413</v>
      </c>
      <c r="E980" s="710">
        <f t="shared" si="159"/>
        <v>43353</v>
      </c>
      <c r="F980" s="724">
        <f t="shared" si="165"/>
        <v>3.133</v>
      </c>
      <c r="G980" s="713">
        <f t="shared" si="164"/>
        <v>0.40000000000000019</v>
      </c>
    </row>
    <row r="981" spans="1:7" x14ac:dyDescent="0.2">
      <c r="A981" s="709">
        <f t="shared" si="161"/>
        <v>43344</v>
      </c>
      <c r="B981" s="709" t="str">
        <f t="shared" si="162"/>
        <v>3Q18</v>
      </c>
      <c r="C981" s="709" t="str">
        <f t="shared" si="163"/>
        <v>4Q18</v>
      </c>
      <c r="D981" s="710">
        <f t="shared" si="158"/>
        <v>43420</v>
      </c>
      <c r="E981" s="710">
        <f t="shared" si="159"/>
        <v>43360</v>
      </c>
      <c r="F981" s="724">
        <f t="shared" si="165"/>
        <v>3.133</v>
      </c>
      <c r="G981" s="713">
        <f t="shared" si="164"/>
        <v>0.40000000000000019</v>
      </c>
    </row>
    <row r="982" spans="1:7" x14ac:dyDescent="0.2">
      <c r="A982" s="709">
        <f t="shared" si="161"/>
        <v>43344</v>
      </c>
      <c r="B982" s="709" t="str">
        <f t="shared" si="162"/>
        <v>3Q18</v>
      </c>
      <c r="C982" s="709" t="str">
        <f t="shared" si="163"/>
        <v>4Q18</v>
      </c>
      <c r="D982" s="710">
        <f t="shared" si="158"/>
        <v>43427</v>
      </c>
      <c r="E982" s="710">
        <f t="shared" si="159"/>
        <v>43367</v>
      </c>
      <c r="F982" s="724">
        <f t="shared" si="165"/>
        <v>3.133</v>
      </c>
      <c r="G982" s="713">
        <f t="shared" si="164"/>
        <v>0.40000000000000019</v>
      </c>
    </row>
    <row r="983" spans="1:7" x14ac:dyDescent="0.2">
      <c r="A983" s="709">
        <f t="shared" si="161"/>
        <v>43374</v>
      </c>
      <c r="B983" s="709" t="str">
        <f t="shared" si="162"/>
        <v>4Q18</v>
      </c>
      <c r="C983" s="709" t="str">
        <f t="shared" si="163"/>
        <v>4Q18</v>
      </c>
      <c r="D983" s="710">
        <f t="shared" si="158"/>
        <v>43434</v>
      </c>
      <c r="E983" s="710">
        <f t="shared" si="159"/>
        <v>43374</v>
      </c>
      <c r="F983" s="724">
        <f t="shared" si="165"/>
        <v>3.133</v>
      </c>
      <c r="G983" s="713">
        <f t="shared" si="164"/>
        <v>0.40000000000000019</v>
      </c>
    </row>
    <row r="984" spans="1:7" x14ac:dyDescent="0.2">
      <c r="A984" s="709">
        <f t="shared" si="161"/>
        <v>43374</v>
      </c>
      <c r="B984" s="709" t="str">
        <f t="shared" si="162"/>
        <v>4Q18</v>
      </c>
      <c r="C984" s="709" t="str">
        <f t="shared" si="163"/>
        <v>4Q18</v>
      </c>
      <c r="D984" s="710">
        <f t="shared" si="158"/>
        <v>43441</v>
      </c>
      <c r="E984" s="710">
        <f t="shared" si="159"/>
        <v>43381</v>
      </c>
      <c r="F984" s="724">
        <f t="shared" si="165"/>
        <v>3.133</v>
      </c>
      <c r="G984" s="713">
        <f t="shared" si="164"/>
        <v>0.40000000000000019</v>
      </c>
    </row>
    <row r="985" spans="1:7" x14ac:dyDescent="0.2">
      <c r="A985" s="709">
        <f t="shared" si="161"/>
        <v>43374</v>
      </c>
      <c r="B985" s="709" t="str">
        <f t="shared" si="162"/>
        <v>4Q18</v>
      </c>
      <c r="C985" s="709" t="str">
        <f t="shared" si="163"/>
        <v>4Q18</v>
      </c>
      <c r="D985" s="710">
        <f t="shared" si="158"/>
        <v>43448</v>
      </c>
      <c r="E985" s="710">
        <f t="shared" si="159"/>
        <v>43388</v>
      </c>
      <c r="F985" s="724">
        <f t="shared" si="165"/>
        <v>3.133</v>
      </c>
      <c r="G985" s="713">
        <f t="shared" si="164"/>
        <v>0.40000000000000019</v>
      </c>
    </row>
    <row r="986" spans="1:7" x14ac:dyDescent="0.2">
      <c r="A986" s="709">
        <f t="shared" si="161"/>
        <v>43374</v>
      </c>
      <c r="B986" s="709" t="str">
        <f t="shared" si="162"/>
        <v>4Q18</v>
      </c>
      <c r="C986" s="709" t="str">
        <f t="shared" si="163"/>
        <v>4Q18</v>
      </c>
      <c r="D986" s="710">
        <f t="shared" si="158"/>
        <v>43455</v>
      </c>
      <c r="E986" s="710">
        <f t="shared" si="159"/>
        <v>43395</v>
      </c>
      <c r="F986" s="724">
        <f t="shared" si="165"/>
        <v>3.133</v>
      </c>
      <c r="G986" s="713">
        <f t="shared" si="164"/>
        <v>0.40000000000000019</v>
      </c>
    </row>
    <row r="987" spans="1:7" x14ac:dyDescent="0.2">
      <c r="A987" s="709">
        <f t="shared" si="161"/>
        <v>43374</v>
      </c>
      <c r="B987" s="709" t="str">
        <f t="shared" si="162"/>
        <v>4Q18</v>
      </c>
      <c r="C987" s="709" t="str">
        <f t="shared" si="163"/>
        <v>4Q18</v>
      </c>
      <c r="D987" s="710">
        <f t="shared" si="158"/>
        <v>43462</v>
      </c>
      <c r="E987" s="710">
        <f t="shared" si="159"/>
        <v>43402</v>
      </c>
      <c r="F987" s="724">
        <f t="shared" si="165"/>
        <v>3.133</v>
      </c>
      <c r="G987" s="713">
        <f t="shared" si="164"/>
        <v>0.40000000000000019</v>
      </c>
    </row>
    <row r="988" spans="1:7" x14ac:dyDescent="0.2">
      <c r="A988" s="709">
        <f t="shared" ref="A988:A1051" si="166">DATE(YEAR(E988),MONTH(E988),1)</f>
        <v>43405</v>
      </c>
      <c r="B988" s="709" t="str">
        <f t="shared" ref="B988:B1051" si="167">VLOOKUP(MONTH(A988),$N$4:$O$16,2,FALSE) &amp; "Q" &amp; RIGHT(YEAR(A988),2)</f>
        <v>4Q18</v>
      </c>
      <c r="C988" s="709" t="str">
        <f t="shared" ref="C988:C1051" si="168">VLOOKUP(MONTH(D988),$N$4:$O$16,2,FALSE) &amp; "Q" &amp; RIGHT(YEAR(D988),2)</f>
        <v>1Q19</v>
      </c>
      <c r="D988" s="710">
        <f t="shared" si="158"/>
        <v>43469</v>
      </c>
      <c r="E988" s="710">
        <f t="shared" si="159"/>
        <v>43409</v>
      </c>
      <c r="F988" s="724">
        <f t="shared" si="165"/>
        <v>3.133</v>
      </c>
      <c r="G988" s="713">
        <f t="shared" ref="G988:G1051" si="169">INDEX($I$4:$K$153,MATCH(F988,$I$4:$I$153,1),3)</f>
        <v>0.40000000000000019</v>
      </c>
    </row>
    <row r="989" spans="1:7" x14ac:dyDescent="0.2">
      <c r="A989" s="709">
        <f t="shared" si="166"/>
        <v>43405</v>
      </c>
      <c r="B989" s="709" t="str">
        <f t="shared" si="167"/>
        <v>4Q18</v>
      </c>
      <c r="C989" s="709" t="str">
        <f t="shared" si="168"/>
        <v>1Q19</v>
      </c>
      <c r="D989" s="710">
        <f t="shared" si="158"/>
        <v>43476</v>
      </c>
      <c r="E989" s="710">
        <f t="shared" si="159"/>
        <v>43416</v>
      </c>
      <c r="F989" s="724">
        <f t="shared" si="165"/>
        <v>3.133</v>
      </c>
      <c r="G989" s="713">
        <f t="shared" si="169"/>
        <v>0.40000000000000019</v>
      </c>
    </row>
    <row r="990" spans="1:7" x14ac:dyDescent="0.2">
      <c r="A990" s="709">
        <f t="shared" si="166"/>
        <v>43405</v>
      </c>
      <c r="B990" s="709" t="str">
        <f t="shared" si="167"/>
        <v>4Q18</v>
      </c>
      <c r="C990" s="709" t="str">
        <f t="shared" si="168"/>
        <v>1Q19</v>
      </c>
      <c r="D990" s="710">
        <f t="shared" si="158"/>
        <v>43483</v>
      </c>
      <c r="E990" s="710">
        <f t="shared" si="159"/>
        <v>43423</v>
      </c>
      <c r="F990" s="724">
        <f t="shared" si="165"/>
        <v>3.133</v>
      </c>
      <c r="G990" s="713">
        <f t="shared" si="169"/>
        <v>0.40000000000000019</v>
      </c>
    </row>
    <row r="991" spans="1:7" x14ac:dyDescent="0.2">
      <c r="A991" s="709">
        <f t="shared" si="166"/>
        <v>43405</v>
      </c>
      <c r="B991" s="709" t="str">
        <f t="shared" si="167"/>
        <v>4Q18</v>
      </c>
      <c r="C991" s="709" t="str">
        <f t="shared" si="168"/>
        <v>1Q19</v>
      </c>
      <c r="D991" s="710">
        <f t="shared" si="158"/>
        <v>43490</v>
      </c>
      <c r="E991" s="710">
        <f t="shared" si="159"/>
        <v>43430</v>
      </c>
      <c r="F991" s="724">
        <f t="shared" si="165"/>
        <v>3.133</v>
      </c>
      <c r="G991" s="713">
        <f t="shared" si="169"/>
        <v>0.40000000000000019</v>
      </c>
    </row>
    <row r="992" spans="1:7" x14ac:dyDescent="0.2">
      <c r="A992" s="709">
        <f t="shared" si="166"/>
        <v>43435</v>
      </c>
      <c r="B992" s="709" t="str">
        <f t="shared" si="167"/>
        <v>4Q18</v>
      </c>
      <c r="C992" s="709" t="str">
        <f t="shared" si="168"/>
        <v>1Q19</v>
      </c>
      <c r="D992" s="710">
        <f t="shared" ref="D992:E1007" si="170">D991+7</f>
        <v>43497</v>
      </c>
      <c r="E992" s="710">
        <f t="shared" si="170"/>
        <v>43437</v>
      </c>
      <c r="F992" s="724">
        <f t="shared" si="165"/>
        <v>3.133</v>
      </c>
      <c r="G992" s="713">
        <f t="shared" si="169"/>
        <v>0.40000000000000019</v>
      </c>
    </row>
    <row r="993" spans="1:7" x14ac:dyDescent="0.2">
      <c r="A993" s="709">
        <f t="shared" si="166"/>
        <v>43435</v>
      </c>
      <c r="B993" s="709" t="str">
        <f t="shared" si="167"/>
        <v>4Q18</v>
      </c>
      <c r="C993" s="709" t="str">
        <f t="shared" si="168"/>
        <v>1Q19</v>
      </c>
      <c r="D993" s="710">
        <f t="shared" si="170"/>
        <v>43504</v>
      </c>
      <c r="E993" s="710">
        <f t="shared" si="170"/>
        <v>43444</v>
      </c>
      <c r="F993" s="724">
        <f t="shared" ref="F993:F1056" si="171">F992</f>
        <v>3.133</v>
      </c>
      <c r="G993" s="713">
        <f t="shared" si="169"/>
        <v>0.40000000000000019</v>
      </c>
    </row>
    <row r="994" spans="1:7" x14ac:dyDescent="0.2">
      <c r="A994" s="709">
        <f t="shared" si="166"/>
        <v>43435</v>
      </c>
      <c r="B994" s="709" t="str">
        <f t="shared" si="167"/>
        <v>4Q18</v>
      </c>
      <c r="C994" s="709" t="str">
        <f t="shared" si="168"/>
        <v>1Q19</v>
      </c>
      <c r="D994" s="710">
        <f t="shared" si="170"/>
        <v>43511</v>
      </c>
      <c r="E994" s="710">
        <f t="shared" si="170"/>
        <v>43451</v>
      </c>
      <c r="F994" s="724">
        <f t="shared" si="171"/>
        <v>3.133</v>
      </c>
      <c r="G994" s="713">
        <f t="shared" si="169"/>
        <v>0.40000000000000019</v>
      </c>
    </row>
    <row r="995" spans="1:7" x14ac:dyDescent="0.2">
      <c r="A995" s="709">
        <f t="shared" si="166"/>
        <v>43435</v>
      </c>
      <c r="B995" s="709" t="str">
        <f t="shared" si="167"/>
        <v>4Q18</v>
      </c>
      <c r="C995" s="709" t="str">
        <f t="shared" si="168"/>
        <v>1Q19</v>
      </c>
      <c r="D995" s="710">
        <f t="shared" si="170"/>
        <v>43518</v>
      </c>
      <c r="E995" s="710">
        <f t="shared" si="170"/>
        <v>43458</v>
      </c>
      <c r="F995" s="724">
        <f t="shared" si="171"/>
        <v>3.133</v>
      </c>
      <c r="G995" s="713">
        <f t="shared" si="169"/>
        <v>0.40000000000000019</v>
      </c>
    </row>
    <row r="996" spans="1:7" x14ac:dyDescent="0.2">
      <c r="A996" s="709">
        <f t="shared" si="166"/>
        <v>43435</v>
      </c>
      <c r="B996" s="709" t="str">
        <f t="shared" si="167"/>
        <v>4Q18</v>
      </c>
      <c r="C996" s="709" t="str">
        <f t="shared" si="168"/>
        <v>1Q19</v>
      </c>
      <c r="D996" s="710">
        <f t="shared" si="170"/>
        <v>43525</v>
      </c>
      <c r="E996" s="710">
        <f t="shared" si="170"/>
        <v>43465</v>
      </c>
      <c r="F996" s="724">
        <f t="shared" si="171"/>
        <v>3.133</v>
      </c>
      <c r="G996" s="713">
        <f t="shared" si="169"/>
        <v>0.40000000000000019</v>
      </c>
    </row>
    <row r="997" spans="1:7" x14ac:dyDescent="0.2">
      <c r="A997" s="709">
        <f t="shared" si="166"/>
        <v>43466</v>
      </c>
      <c r="B997" s="709" t="str">
        <f t="shared" si="167"/>
        <v>1Q19</v>
      </c>
      <c r="C997" s="709" t="str">
        <f t="shared" si="168"/>
        <v>1Q19</v>
      </c>
      <c r="D997" s="710">
        <f t="shared" si="170"/>
        <v>43532</v>
      </c>
      <c r="E997" s="710">
        <f t="shared" si="170"/>
        <v>43472</v>
      </c>
      <c r="F997" s="724">
        <f t="shared" si="171"/>
        <v>3.133</v>
      </c>
      <c r="G997" s="713">
        <f t="shared" si="169"/>
        <v>0.40000000000000019</v>
      </c>
    </row>
    <row r="998" spans="1:7" x14ac:dyDescent="0.2">
      <c r="A998" s="709">
        <f t="shared" si="166"/>
        <v>43466</v>
      </c>
      <c r="B998" s="709" t="str">
        <f t="shared" si="167"/>
        <v>1Q19</v>
      </c>
      <c r="C998" s="709" t="str">
        <f t="shared" si="168"/>
        <v>1Q19</v>
      </c>
      <c r="D998" s="710">
        <f t="shared" si="170"/>
        <v>43539</v>
      </c>
      <c r="E998" s="710">
        <f t="shared" si="170"/>
        <v>43479</v>
      </c>
      <c r="F998" s="724">
        <f t="shared" si="171"/>
        <v>3.133</v>
      </c>
      <c r="G998" s="713">
        <f t="shared" si="169"/>
        <v>0.40000000000000019</v>
      </c>
    </row>
    <row r="999" spans="1:7" x14ac:dyDescent="0.2">
      <c r="A999" s="709">
        <f t="shared" si="166"/>
        <v>43466</v>
      </c>
      <c r="B999" s="709" t="str">
        <f t="shared" si="167"/>
        <v>1Q19</v>
      </c>
      <c r="C999" s="709" t="str">
        <f t="shared" si="168"/>
        <v>1Q19</v>
      </c>
      <c r="D999" s="710">
        <f t="shared" si="170"/>
        <v>43546</v>
      </c>
      <c r="E999" s="710">
        <f t="shared" si="170"/>
        <v>43486</v>
      </c>
      <c r="F999" s="724">
        <f t="shared" si="171"/>
        <v>3.133</v>
      </c>
      <c r="G999" s="713">
        <f t="shared" si="169"/>
        <v>0.40000000000000019</v>
      </c>
    </row>
    <row r="1000" spans="1:7" x14ac:dyDescent="0.2">
      <c r="A1000" s="709">
        <f t="shared" si="166"/>
        <v>43466</v>
      </c>
      <c r="B1000" s="709" t="str">
        <f t="shared" si="167"/>
        <v>1Q19</v>
      </c>
      <c r="C1000" s="709" t="str">
        <f t="shared" si="168"/>
        <v>1Q19</v>
      </c>
      <c r="D1000" s="710">
        <f t="shared" si="170"/>
        <v>43553</v>
      </c>
      <c r="E1000" s="710">
        <f t="shared" si="170"/>
        <v>43493</v>
      </c>
      <c r="F1000" s="724">
        <f t="shared" si="171"/>
        <v>3.133</v>
      </c>
      <c r="G1000" s="713">
        <f t="shared" si="169"/>
        <v>0.40000000000000019</v>
      </c>
    </row>
    <row r="1001" spans="1:7" x14ac:dyDescent="0.2">
      <c r="A1001" s="709">
        <f t="shared" si="166"/>
        <v>43497</v>
      </c>
      <c r="B1001" s="709" t="str">
        <f t="shared" si="167"/>
        <v>1Q19</v>
      </c>
      <c r="C1001" s="709" t="str">
        <f t="shared" si="168"/>
        <v>2Q19</v>
      </c>
      <c r="D1001" s="710">
        <f t="shared" si="170"/>
        <v>43560</v>
      </c>
      <c r="E1001" s="710">
        <f t="shared" si="170"/>
        <v>43500</v>
      </c>
      <c r="F1001" s="724">
        <f t="shared" si="171"/>
        <v>3.133</v>
      </c>
      <c r="G1001" s="713">
        <f t="shared" si="169"/>
        <v>0.40000000000000019</v>
      </c>
    </row>
    <row r="1002" spans="1:7" x14ac:dyDescent="0.2">
      <c r="A1002" s="709">
        <f t="shared" si="166"/>
        <v>43497</v>
      </c>
      <c r="B1002" s="709" t="str">
        <f t="shared" si="167"/>
        <v>1Q19</v>
      </c>
      <c r="C1002" s="709" t="str">
        <f t="shared" si="168"/>
        <v>2Q19</v>
      </c>
      <c r="D1002" s="710">
        <f t="shared" si="170"/>
        <v>43567</v>
      </c>
      <c r="E1002" s="710">
        <f t="shared" si="170"/>
        <v>43507</v>
      </c>
      <c r="F1002" s="724">
        <f t="shared" si="171"/>
        <v>3.133</v>
      </c>
      <c r="G1002" s="713">
        <f t="shared" si="169"/>
        <v>0.40000000000000019</v>
      </c>
    </row>
    <row r="1003" spans="1:7" x14ac:dyDescent="0.2">
      <c r="A1003" s="709">
        <f t="shared" si="166"/>
        <v>43497</v>
      </c>
      <c r="B1003" s="709" t="str">
        <f t="shared" si="167"/>
        <v>1Q19</v>
      </c>
      <c r="C1003" s="709" t="str">
        <f t="shared" si="168"/>
        <v>2Q19</v>
      </c>
      <c r="D1003" s="710">
        <f t="shared" si="170"/>
        <v>43574</v>
      </c>
      <c r="E1003" s="710">
        <f t="shared" si="170"/>
        <v>43514</v>
      </c>
      <c r="F1003" s="724">
        <f t="shared" si="171"/>
        <v>3.133</v>
      </c>
      <c r="G1003" s="713">
        <f t="shared" si="169"/>
        <v>0.40000000000000019</v>
      </c>
    </row>
    <row r="1004" spans="1:7" x14ac:dyDescent="0.2">
      <c r="A1004" s="709">
        <f t="shared" si="166"/>
        <v>43497</v>
      </c>
      <c r="B1004" s="709" t="str">
        <f t="shared" si="167"/>
        <v>1Q19</v>
      </c>
      <c r="C1004" s="709" t="str">
        <f t="shared" si="168"/>
        <v>2Q19</v>
      </c>
      <c r="D1004" s="710">
        <f t="shared" si="170"/>
        <v>43581</v>
      </c>
      <c r="E1004" s="710">
        <f t="shared" si="170"/>
        <v>43521</v>
      </c>
      <c r="F1004" s="724">
        <f t="shared" si="171"/>
        <v>3.133</v>
      </c>
      <c r="G1004" s="713">
        <f t="shared" si="169"/>
        <v>0.40000000000000019</v>
      </c>
    </row>
    <row r="1005" spans="1:7" x14ac:dyDescent="0.2">
      <c r="A1005" s="709">
        <f t="shared" si="166"/>
        <v>43525</v>
      </c>
      <c r="B1005" s="709" t="str">
        <f t="shared" si="167"/>
        <v>1Q19</v>
      </c>
      <c r="C1005" s="709" t="str">
        <f t="shared" si="168"/>
        <v>2Q19</v>
      </c>
      <c r="D1005" s="710">
        <f t="shared" si="170"/>
        <v>43588</v>
      </c>
      <c r="E1005" s="710">
        <f t="shared" si="170"/>
        <v>43528</v>
      </c>
      <c r="F1005" s="724">
        <f t="shared" si="171"/>
        <v>3.133</v>
      </c>
      <c r="G1005" s="713">
        <f t="shared" si="169"/>
        <v>0.40000000000000019</v>
      </c>
    </row>
    <row r="1006" spans="1:7" x14ac:dyDescent="0.2">
      <c r="A1006" s="709">
        <f t="shared" si="166"/>
        <v>43525</v>
      </c>
      <c r="B1006" s="709" t="str">
        <f t="shared" si="167"/>
        <v>1Q19</v>
      </c>
      <c r="C1006" s="709" t="str">
        <f t="shared" si="168"/>
        <v>2Q19</v>
      </c>
      <c r="D1006" s="710">
        <f t="shared" si="170"/>
        <v>43595</v>
      </c>
      <c r="E1006" s="710">
        <f t="shared" si="170"/>
        <v>43535</v>
      </c>
      <c r="F1006" s="724">
        <f t="shared" si="171"/>
        <v>3.133</v>
      </c>
      <c r="G1006" s="713">
        <f t="shared" si="169"/>
        <v>0.40000000000000019</v>
      </c>
    </row>
    <row r="1007" spans="1:7" x14ac:dyDescent="0.2">
      <c r="A1007" s="709">
        <f t="shared" si="166"/>
        <v>43525</v>
      </c>
      <c r="B1007" s="709" t="str">
        <f t="shared" si="167"/>
        <v>1Q19</v>
      </c>
      <c r="C1007" s="709" t="str">
        <f t="shared" si="168"/>
        <v>2Q19</v>
      </c>
      <c r="D1007" s="710">
        <f t="shared" si="170"/>
        <v>43602</v>
      </c>
      <c r="E1007" s="710">
        <f t="shared" si="170"/>
        <v>43542</v>
      </c>
      <c r="F1007" s="724">
        <f t="shared" si="171"/>
        <v>3.133</v>
      </c>
      <c r="G1007" s="713">
        <f t="shared" si="169"/>
        <v>0.40000000000000019</v>
      </c>
    </row>
    <row r="1008" spans="1:7" x14ac:dyDescent="0.2">
      <c r="A1008" s="709">
        <f t="shared" si="166"/>
        <v>43525</v>
      </c>
      <c r="B1008" s="709" t="str">
        <f t="shared" si="167"/>
        <v>1Q19</v>
      </c>
      <c r="C1008" s="709" t="str">
        <f t="shared" si="168"/>
        <v>2Q19</v>
      </c>
      <c r="D1008" s="710">
        <f t="shared" ref="D1008:E1023" si="172">D1007+7</f>
        <v>43609</v>
      </c>
      <c r="E1008" s="710">
        <f t="shared" si="172"/>
        <v>43549</v>
      </c>
      <c r="F1008" s="724">
        <f t="shared" si="171"/>
        <v>3.133</v>
      </c>
      <c r="G1008" s="713">
        <f t="shared" si="169"/>
        <v>0.40000000000000019</v>
      </c>
    </row>
    <row r="1009" spans="1:7" x14ac:dyDescent="0.2">
      <c r="A1009" s="709">
        <f t="shared" si="166"/>
        <v>43556</v>
      </c>
      <c r="B1009" s="709" t="str">
        <f t="shared" si="167"/>
        <v>2Q19</v>
      </c>
      <c r="C1009" s="709" t="str">
        <f t="shared" si="168"/>
        <v>2Q19</v>
      </c>
      <c r="D1009" s="710">
        <f t="shared" si="172"/>
        <v>43616</v>
      </c>
      <c r="E1009" s="710">
        <f t="shared" si="172"/>
        <v>43556</v>
      </c>
      <c r="F1009" s="724">
        <f t="shared" si="171"/>
        <v>3.133</v>
      </c>
      <c r="G1009" s="713">
        <f t="shared" si="169"/>
        <v>0.40000000000000019</v>
      </c>
    </row>
    <row r="1010" spans="1:7" x14ac:dyDescent="0.2">
      <c r="A1010" s="709">
        <f t="shared" si="166"/>
        <v>43556</v>
      </c>
      <c r="B1010" s="709" t="str">
        <f t="shared" si="167"/>
        <v>2Q19</v>
      </c>
      <c r="C1010" s="709" t="str">
        <f t="shared" si="168"/>
        <v>2Q19</v>
      </c>
      <c r="D1010" s="710">
        <f t="shared" si="172"/>
        <v>43623</v>
      </c>
      <c r="E1010" s="710">
        <f t="shared" si="172"/>
        <v>43563</v>
      </c>
      <c r="F1010" s="724">
        <f t="shared" si="171"/>
        <v>3.133</v>
      </c>
      <c r="G1010" s="713">
        <f t="shared" si="169"/>
        <v>0.40000000000000019</v>
      </c>
    </row>
    <row r="1011" spans="1:7" x14ac:dyDescent="0.2">
      <c r="A1011" s="709">
        <f t="shared" si="166"/>
        <v>43556</v>
      </c>
      <c r="B1011" s="709" t="str">
        <f t="shared" si="167"/>
        <v>2Q19</v>
      </c>
      <c r="C1011" s="709" t="str">
        <f t="shared" si="168"/>
        <v>2Q19</v>
      </c>
      <c r="D1011" s="710">
        <f t="shared" si="172"/>
        <v>43630</v>
      </c>
      <c r="E1011" s="710">
        <f t="shared" si="172"/>
        <v>43570</v>
      </c>
      <c r="F1011" s="724">
        <f t="shared" si="171"/>
        <v>3.133</v>
      </c>
      <c r="G1011" s="713">
        <f t="shared" si="169"/>
        <v>0.40000000000000019</v>
      </c>
    </row>
    <row r="1012" spans="1:7" x14ac:dyDescent="0.2">
      <c r="A1012" s="709">
        <f t="shared" si="166"/>
        <v>43556</v>
      </c>
      <c r="B1012" s="709" t="str">
        <f t="shared" si="167"/>
        <v>2Q19</v>
      </c>
      <c r="C1012" s="709" t="str">
        <f t="shared" si="168"/>
        <v>2Q19</v>
      </c>
      <c r="D1012" s="710">
        <f t="shared" si="172"/>
        <v>43637</v>
      </c>
      <c r="E1012" s="710">
        <f t="shared" si="172"/>
        <v>43577</v>
      </c>
      <c r="F1012" s="724">
        <f t="shared" si="171"/>
        <v>3.133</v>
      </c>
      <c r="G1012" s="713">
        <f t="shared" si="169"/>
        <v>0.40000000000000019</v>
      </c>
    </row>
    <row r="1013" spans="1:7" x14ac:dyDescent="0.2">
      <c r="A1013" s="709">
        <f t="shared" si="166"/>
        <v>43556</v>
      </c>
      <c r="B1013" s="709" t="str">
        <f t="shared" si="167"/>
        <v>2Q19</v>
      </c>
      <c r="C1013" s="709" t="str">
        <f t="shared" si="168"/>
        <v>2Q19</v>
      </c>
      <c r="D1013" s="710">
        <f t="shared" si="172"/>
        <v>43644</v>
      </c>
      <c r="E1013" s="710">
        <f t="shared" si="172"/>
        <v>43584</v>
      </c>
      <c r="F1013" s="724">
        <f t="shared" si="171"/>
        <v>3.133</v>
      </c>
      <c r="G1013" s="713">
        <f t="shared" si="169"/>
        <v>0.40000000000000019</v>
      </c>
    </row>
    <row r="1014" spans="1:7" x14ac:dyDescent="0.2">
      <c r="A1014" s="709">
        <f t="shared" si="166"/>
        <v>43586</v>
      </c>
      <c r="B1014" s="709" t="str">
        <f t="shared" si="167"/>
        <v>2Q19</v>
      </c>
      <c r="C1014" s="709" t="str">
        <f t="shared" si="168"/>
        <v>3Q19</v>
      </c>
      <c r="D1014" s="710">
        <f t="shared" si="172"/>
        <v>43651</v>
      </c>
      <c r="E1014" s="710">
        <f t="shared" si="172"/>
        <v>43591</v>
      </c>
      <c r="F1014" s="724">
        <f t="shared" si="171"/>
        <v>3.133</v>
      </c>
      <c r="G1014" s="713">
        <f t="shared" si="169"/>
        <v>0.40000000000000019</v>
      </c>
    </row>
    <row r="1015" spans="1:7" x14ac:dyDescent="0.2">
      <c r="A1015" s="709">
        <f t="shared" si="166"/>
        <v>43586</v>
      </c>
      <c r="B1015" s="709" t="str">
        <f t="shared" si="167"/>
        <v>2Q19</v>
      </c>
      <c r="C1015" s="709" t="str">
        <f t="shared" si="168"/>
        <v>3Q19</v>
      </c>
      <c r="D1015" s="710">
        <f t="shared" si="172"/>
        <v>43658</v>
      </c>
      <c r="E1015" s="710">
        <f t="shared" si="172"/>
        <v>43598</v>
      </c>
      <c r="F1015" s="724">
        <f t="shared" si="171"/>
        <v>3.133</v>
      </c>
      <c r="G1015" s="713">
        <f t="shared" si="169"/>
        <v>0.40000000000000019</v>
      </c>
    </row>
    <row r="1016" spans="1:7" x14ac:dyDescent="0.2">
      <c r="A1016" s="709">
        <f t="shared" si="166"/>
        <v>43586</v>
      </c>
      <c r="B1016" s="709" t="str">
        <f t="shared" si="167"/>
        <v>2Q19</v>
      </c>
      <c r="C1016" s="709" t="str">
        <f t="shared" si="168"/>
        <v>3Q19</v>
      </c>
      <c r="D1016" s="710">
        <f t="shared" si="172"/>
        <v>43665</v>
      </c>
      <c r="E1016" s="710">
        <f t="shared" si="172"/>
        <v>43605</v>
      </c>
      <c r="F1016" s="724">
        <f t="shared" si="171"/>
        <v>3.133</v>
      </c>
      <c r="G1016" s="713">
        <f t="shared" si="169"/>
        <v>0.40000000000000019</v>
      </c>
    </row>
    <row r="1017" spans="1:7" x14ac:dyDescent="0.2">
      <c r="A1017" s="709">
        <f t="shared" si="166"/>
        <v>43586</v>
      </c>
      <c r="B1017" s="709" t="str">
        <f t="shared" si="167"/>
        <v>2Q19</v>
      </c>
      <c r="C1017" s="709" t="str">
        <f t="shared" si="168"/>
        <v>3Q19</v>
      </c>
      <c r="D1017" s="710">
        <f t="shared" si="172"/>
        <v>43672</v>
      </c>
      <c r="E1017" s="710">
        <f t="shared" si="172"/>
        <v>43612</v>
      </c>
      <c r="F1017" s="724">
        <f t="shared" si="171"/>
        <v>3.133</v>
      </c>
      <c r="G1017" s="713">
        <f t="shared" si="169"/>
        <v>0.40000000000000019</v>
      </c>
    </row>
    <row r="1018" spans="1:7" x14ac:dyDescent="0.2">
      <c r="A1018" s="709">
        <f t="shared" si="166"/>
        <v>43617</v>
      </c>
      <c r="B1018" s="709" t="str">
        <f t="shared" si="167"/>
        <v>2Q19</v>
      </c>
      <c r="C1018" s="709" t="str">
        <f t="shared" si="168"/>
        <v>3Q19</v>
      </c>
      <c r="D1018" s="710">
        <f t="shared" si="172"/>
        <v>43679</v>
      </c>
      <c r="E1018" s="710">
        <f t="shared" si="172"/>
        <v>43619</v>
      </c>
      <c r="F1018" s="724">
        <f t="shared" si="171"/>
        <v>3.133</v>
      </c>
      <c r="G1018" s="713">
        <f t="shared" si="169"/>
        <v>0.40000000000000019</v>
      </c>
    </row>
    <row r="1019" spans="1:7" x14ac:dyDescent="0.2">
      <c r="A1019" s="709">
        <f t="shared" si="166"/>
        <v>43617</v>
      </c>
      <c r="B1019" s="709" t="str">
        <f t="shared" si="167"/>
        <v>2Q19</v>
      </c>
      <c r="C1019" s="709" t="str">
        <f t="shared" si="168"/>
        <v>3Q19</v>
      </c>
      <c r="D1019" s="710">
        <f t="shared" si="172"/>
        <v>43686</v>
      </c>
      <c r="E1019" s="710">
        <f t="shared" si="172"/>
        <v>43626</v>
      </c>
      <c r="F1019" s="724">
        <f t="shared" si="171"/>
        <v>3.133</v>
      </c>
      <c r="G1019" s="713">
        <f t="shared" si="169"/>
        <v>0.40000000000000019</v>
      </c>
    </row>
    <row r="1020" spans="1:7" x14ac:dyDescent="0.2">
      <c r="A1020" s="709">
        <f t="shared" si="166"/>
        <v>43617</v>
      </c>
      <c r="B1020" s="709" t="str">
        <f t="shared" si="167"/>
        <v>2Q19</v>
      </c>
      <c r="C1020" s="709" t="str">
        <f t="shared" si="168"/>
        <v>3Q19</v>
      </c>
      <c r="D1020" s="710">
        <f t="shared" si="172"/>
        <v>43693</v>
      </c>
      <c r="E1020" s="710">
        <f t="shared" si="172"/>
        <v>43633</v>
      </c>
      <c r="F1020" s="724">
        <f t="shared" si="171"/>
        <v>3.133</v>
      </c>
      <c r="G1020" s="713">
        <f t="shared" si="169"/>
        <v>0.40000000000000019</v>
      </c>
    </row>
    <row r="1021" spans="1:7" x14ac:dyDescent="0.2">
      <c r="A1021" s="709">
        <f t="shared" si="166"/>
        <v>43617</v>
      </c>
      <c r="B1021" s="709" t="str">
        <f t="shared" si="167"/>
        <v>2Q19</v>
      </c>
      <c r="C1021" s="709" t="str">
        <f t="shared" si="168"/>
        <v>3Q19</v>
      </c>
      <c r="D1021" s="710">
        <f t="shared" si="172"/>
        <v>43700</v>
      </c>
      <c r="E1021" s="710">
        <f t="shared" si="172"/>
        <v>43640</v>
      </c>
      <c r="F1021" s="724">
        <f t="shared" si="171"/>
        <v>3.133</v>
      </c>
      <c r="G1021" s="713">
        <f t="shared" si="169"/>
        <v>0.40000000000000019</v>
      </c>
    </row>
    <row r="1022" spans="1:7" x14ac:dyDescent="0.2">
      <c r="A1022" s="709">
        <f t="shared" si="166"/>
        <v>43647</v>
      </c>
      <c r="B1022" s="709" t="str">
        <f t="shared" si="167"/>
        <v>3Q19</v>
      </c>
      <c r="C1022" s="709" t="str">
        <f t="shared" si="168"/>
        <v>3Q19</v>
      </c>
      <c r="D1022" s="710">
        <f t="shared" si="172"/>
        <v>43707</v>
      </c>
      <c r="E1022" s="710">
        <f t="shared" si="172"/>
        <v>43647</v>
      </c>
      <c r="F1022" s="724">
        <f t="shared" si="171"/>
        <v>3.133</v>
      </c>
      <c r="G1022" s="713">
        <f t="shared" si="169"/>
        <v>0.40000000000000019</v>
      </c>
    </row>
    <row r="1023" spans="1:7" x14ac:dyDescent="0.2">
      <c r="A1023" s="709">
        <f t="shared" si="166"/>
        <v>43647</v>
      </c>
      <c r="B1023" s="709" t="str">
        <f t="shared" si="167"/>
        <v>3Q19</v>
      </c>
      <c r="C1023" s="709" t="str">
        <f t="shared" si="168"/>
        <v>3Q19</v>
      </c>
      <c r="D1023" s="710">
        <f t="shared" si="172"/>
        <v>43714</v>
      </c>
      <c r="E1023" s="710">
        <f t="shared" si="172"/>
        <v>43654</v>
      </c>
      <c r="F1023" s="724">
        <f t="shared" si="171"/>
        <v>3.133</v>
      </c>
      <c r="G1023" s="713">
        <f t="shared" si="169"/>
        <v>0.40000000000000019</v>
      </c>
    </row>
    <row r="1024" spans="1:7" x14ac:dyDescent="0.2">
      <c r="A1024" s="709">
        <f t="shared" si="166"/>
        <v>43647</v>
      </c>
      <c r="B1024" s="709" t="str">
        <f t="shared" si="167"/>
        <v>3Q19</v>
      </c>
      <c r="C1024" s="709" t="str">
        <f t="shared" si="168"/>
        <v>3Q19</v>
      </c>
      <c r="D1024" s="710">
        <f t="shared" ref="D1024:E1039" si="173">D1023+7</f>
        <v>43721</v>
      </c>
      <c r="E1024" s="710">
        <f t="shared" si="173"/>
        <v>43661</v>
      </c>
      <c r="F1024" s="724">
        <f t="shared" si="171"/>
        <v>3.133</v>
      </c>
      <c r="G1024" s="713">
        <f t="shared" si="169"/>
        <v>0.40000000000000019</v>
      </c>
    </row>
    <row r="1025" spans="1:7" x14ac:dyDescent="0.2">
      <c r="A1025" s="709">
        <f t="shared" si="166"/>
        <v>43647</v>
      </c>
      <c r="B1025" s="709" t="str">
        <f t="shared" si="167"/>
        <v>3Q19</v>
      </c>
      <c r="C1025" s="709" t="str">
        <f t="shared" si="168"/>
        <v>3Q19</v>
      </c>
      <c r="D1025" s="710">
        <f t="shared" si="173"/>
        <v>43728</v>
      </c>
      <c r="E1025" s="710">
        <f t="shared" si="173"/>
        <v>43668</v>
      </c>
      <c r="F1025" s="724">
        <f t="shared" si="171"/>
        <v>3.133</v>
      </c>
      <c r="G1025" s="713">
        <f t="shared" si="169"/>
        <v>0.40000000000000019</v>
      </c>
    </row>
    <row r="1026" spans="1:7" x14ac:dyDescent="0.2">
      <c r="A1026" s="709">
        <f t="shared" si="166"/>
        <v>43647</v>
      </c>
      <c r="B1026" s="709" t="str">
        <f t="shared" si="167"/>
        <v>3Q19</v>
      </c>
      <c r="C1026" s="709" t="str">
        <f t="shared" si="168"/>
        <v>3Q19</v>
      </c>
      <c r="D1026" s="710">
        <f t="shared" si="173"/>
        <v>43735</v>
      </c>
      <c r="E1026" s="710">
        <f t="shared" si="173"/>
        <v>43675</v>
      </c>
      <c r="F1026" s="724">
        <f t="shared" si="171"/>
        <v>3.133</v>
      </c>
      <c r="G1026" s="713">
        <f t="shared" si="169"/>
        <v>0.40000000000000019</v>
      </c>
    </row>
    <row r="1027" spans="1:7" x14ac:dyDescent="0.2">
      <c r="A1027" s="709">
        <f t="shared" si="166"/>
        <v>43678</v>
      </c>
      <c r="B1027" s="709" t="str">
        <f t="shared" si="167"/>
        <v>3Q19</v>
      </c>
      <c r="C1027" s="709" t="str">
        <f t="shared" si="168"/>
        <v>4Q19</v>
      </c>
      <c r="D1027" s="710">
        <f t="shared" si="173"/>
        <v>43742</v>
      </c>
      <c r="E1027" s="710">
        <f t="shared" si="173"/>
        <v>43682</v>
      </c>
      <c r="F1027" s="724">
        <f t="shared" si="171"/>
        <v>3.133</v>
      </c>
      <c r="G1027" s="713">
        <f t="shared" si="169"/>
        <v>0.40000000000000019</v>
      </c>
    </row>
    <row r="1028" spans="1:7" x14ac:dyDescent="0.2">
      <c r="A1028" s="709">
        <f t="shared" si="166"/>
        <v>43678</v>
      </c>
      <c r="B1028" s="709" t="str">
        <f t="shared" si="167"/>
        <v>3Q19</v>
      </c>
      <c r="C1028" s="709" t="str">
        <f t="shared" si="168"/>
        <v>4Q19</v>
      </c>
      <c r="D1028" s="710">
        <f t="shared" si="173"/>
        <v>43749</v>
      </c>
      <c r="E1028" s="710">
        <f t="shared" si="173"/>
        <v>43689</v>
      </c>
      <c r="F1028" s="724">
        <f t="shared" si="171"/>
        <v>3.133</v>
      </c>
      <c r="G1028" s="713">
        <f t="shared" si="169"/>
        <v>0.40000000000000019</v>
      </c>
    </row>
    <row r="1029" spans="1:7" x14ac:dyDescent="0.2">
      <c r="A1029" s="709">
        <f t="shared" si="166"/>
        <v>43678</v>
      </c>
      <c r="B1029" s="709" t="str">
        <f t="shared" si="167"/>
        <v>3Q19</v>
      </c>
      <c r="C1029" s="709" t="str">
        <f t="shared" si="168"/>
        <v>4Q19</v>
      </c>
      <c r="D1029" s="710">
        <f t="shared" si="173"/>
        <v>43756</v>
      </c>
      <c r="E1029" s="710">
        <f t="shared" si="173"/>
        <v>43696</v>
      </c>
      <c r="F1029" s="724">
        <f t="shared" si="171"/>
        <v>3.133</v>
      </c>
      <c r="G1029" s="713">
        <f t="shared" si="169"/>
        <v>0.40000000000000019</v>
      </c>
    </row>
    <row r="1030" spans="1:7" x14ac:dyDescent="0.2">
      <c r="A1030" s="709">
        <f t="shared" si="166"/>
        <v>43678</v>
      </c>
      <c r="B1030" s="709" t="str">
        <f t="shared" si="167"/>
        <v>3Q19</v>
      </c>
      <c r="C1030" s="709" t="str">
        <f t="shared" si="168"/>
        <v>4Q19</v>
      </c>
      <c r="D1030" s="710">
        <f t="shared" si="173"/>
        <v>43763</v>
      </c>
      <c r="E1030" s="710">
        <f t="shared" si="173"/>
        <v>43703</v>
      </c>
      <c r="F1030" s="724">
        <f t="shared" si="171"/>
        <v>3.133</v>
      </c>
      <c r="G1030" s="713">
        <f t="shared" si="169"/>
        <v>0.40000000000000019</v>
      </c>
    </row>
    <row r="1031" spans="1:7" x14ac:dyDescent="0.2">
      <c r="A1031" s="709">
        <f t="shared" si="166"/>
        <v>43709</v>
      </c>
      <c r="B1031" s="709" t="str">
        <f t="shared" si="167"/>
        <v>3Q19</v>
      </c>
      <c r="C1031" s="709" t="str">
        <f t="shared" si="168"/>
        <v>4Q19</v>
      </c>
      <c r="D1031" s="710">
        <f t="shared" si="173"/>
        <v>43770</v>
      </c>
      <c r="E1031" s="710">
        <f t="shared" si="173"/>
        <v>43710</v>
      </c>
      <c r="F1031" s="724">
        <f t="shared" si="171"/>
        <v>3.133</v>
      </c>
      <c r="G1031" s="713">
        <f t="shared" si="169"/>
        <v>0.40000000000000019</v>
      </c>
    </row>
    <row r="1032" spans="1:7" x14ac:dyDescent="0.2">
      <c r="A1032" s="709">
        <f t="shared" si="166"/>
        <v>43709</v>
      </c>
      <c r="B1032" s="709" t="str">
        <f t="shared" si="167"/>
        <v>3Q19</v>
      </c>
      <c r="C1032" s="709" t="str">
        <f t="shared" si="168"/>
        <v>4Q19</v>
      </c>
      <c r="D1032" s="710">
        <f t="shared" si="173"/>
        <v>43777</v>
      </c>
      <c r="E1032" s="710">
        <f t="shared" si="173"/>
        <v>43717</v>
      </c>
      <c r="F1032" s="724">
        <f t="shared" si="171"/>
        <v>3.133</v>
      </c>
      <c r="G1032" s="713">
        <f t="shared" si="169"/>
        <v>0.40000000000000019</v>
      </c>
    </row>
    <row r="1033" spans="1:7" x14ac:dyDescent="0.2">
      <c r="A1033" s="709">
        <f t="shared" si="166"/>
        <v>43709</v>
      </c>
      <c r="B1033" s="709" t="str">
        <f t="shared" si="167"/>
        <v>3Q19</v>
      </c>
      <c r="C1033" s="709" t="str">
        <f t="shared" si="168"/>
        <v>4Q19</v>
      </c>
      <c r="D1033" s="710">
        <f t="shared" si="173"/>
        <v>43784</v>
      </c>
      <c r="E1033" s="710">
        <f t="shared" si="173"/>
        <v>43724</v>
      </c>
      <c r="F1033" s="724">
        <f t="shared" si="171"/>
        <v>3.133</v>
      </c>
      <c r="G1033" s="713">
        <f t="shared" si="169"/>
        <v>0.40000000000000019</v>
      </c>
    </row>
    <row r="1034" spans="1:7" x14ac:dyDescent="0.2">
      <c r="A1034" s="709">
        <f t="shared" si="166"/>
        <v>43709</v>
      </c>
      <c r="B1034" s="709" t="str">
        <f t="shared" si="167"/>
        <v>3Q19</v>
      </c>
      <c r="C1034" s="709" t="str">
        <f t="shared" si="168"/>
        <v>4Q19</v>
      </c>
      <c r="D1034" s="710">
        <f t="shared" si="173"/>
        <v>43791</v>
      </c>
      <c r="E1034" s="710">
        <f t="shared" si="173"/>
        <v>43731</v>
      </c>
      <c r="F1034" s="724">
        <f t="shared" si="171"/>
        <v>3.133</v>
      </c>
      <c r="G1034" s="713">
        <f t="shared" si="169"/>
        <v>0.40000000000000019</v>
      </c>
    </row>
    <row r="1035" spans="1:7" x14ac:dyDescent="0.2">
      <c r="A1035" s="709">
        <f t="shared" si="166"/>
        <v>43709</v>
      </c>
      <c r="B1035" s="709" t="str">
        <f t="shared" si="167"/>
        <v>3Q19</v>
      </c>
      <c r="C1035" s="709" t="str">
        <f t="shared" si="168"/>
        <v>4Q19</v>
      </c>
      <c r="D1035" s="710">
        <f t="shared" si="173"/>
        <v>43798</v>
      </c>
      <c r="E1035" s="710">
        <f t="shared" si="173"/>
        <v>43738</v>
      </c>
      <c r="F1035" s="724">
        <f t="shared" si="171"/>
        <v>3.133</v>
      </c>
      <c r="G1035" s="713">
        <f t="shared" si="169"/>
        <v>0.40000000000000019</v>
      </c>
    </row>
    <row r="1036" spans="1:7" x14ac:dyDescent="0.2">
      <c r="A1036" s="709">
        <f t="shared" si="166"/>
        <v>43739</v>
      </c>
      <c r="B1036" s="709" t="str">
        <f t="shared" si="167"/>
        <v>4Q19</v>
      </c>
      <c r="C1036" s="709" t="str">
        <f t="shared" si="168"/>
        <v>4Q19</v>
      </c>
      <c r="D1036" s="710">
        <f t="shared" si="173"/>
        <v>43805</v>
      </c>
      <c r="E1036" s="710">
        <f t="shared" si="173"/>
        <v>43745</v>
      </c>
      <c r="F1036" s="724">
        <f t="shared" si="171"/>
        <v>3.133</v>
      </c>
      <c r="G1036" s="713">
        <f t="shared" si="169"/>
        <v>0.40000000000000019</v>
      </c>
    </row>
    <row r="1037" spans="1:7" x14ac:dyDescent="0.2">
      <c r="A1037" s="709">
        <f t="shared" si="166"/>
        <v>43739</v>
      </c>
      <c r="B1037" s="709" t="str">
        <f t="shared" si="167"/>
        <v>4Q19</v>
      </c>
      <c r="C1037" s="709" t="str">
        <f t="shared" si="168"/>
        <v>4Q19</v>
      </c>
      <c r="D1037" s="710">
        <f t="shared" si="173"/>
        <v>43812</v>
      </c>
      <c r="E1037" s="710">
        <f t="shared" si="173"/>
        <v>43752</v>
      </c>
      <c r="F1037" s="724">
        <f t="shared" si="171"/>
        <v>3.133</v>
      </c>
      <c r="G1037" s="713">
        <f t="shared" si="169"/>
        <v>0.40000000000000019</v>
      </c>
    </row>
    <row r="1038" spans="1:7" x14ac:dyDescent="0.2">
      <c r="A1038" s="709">
        <f t="shared" si="166"/>
        <v>43739</v>
      </c>
      <c r="B1038" s="709" t="str">
        <f t="shared" si="167"/>
        <v>4Q19</v>
      </c>
      <c r="C1038" s="709" t="str">
        <f t="shared" si="168"/>
        <v>4Q19</v>
      </c>
      <c r="D1038" s="710">
        <f t="shared" si="173"/>
        <v>43819</v>
      </c>
      <c r="E1038" s="710">
        <f t="shared" si="173"/>
        <v>43759</v>
      </c>
      <c r="F1038" s="724">
        <f t="shared" si="171"/>
        <v>3.133</v>
      </c>
      <c r="G1038" s="713">
        <f t="shared" si="169"/>
        <v>0.40000000000000019</v>
      </c>
    </row>
    <row r="1039" spans="1:7" x14ac:dyDescent="0.2">
      <c r="A1039" s="709">
        <f t="shared" si="166"/>
        <v>43739</v>
      </c>
      <c r="B1039" s="709" t="str">
        <f t="shared" si="167"/>
        <v>4Q19</v>
      </c>
      <c r="C1039" s="709" t="str">
        <f t="shared" si="168"/>
        <v>4Q19</v>
      </c>
      <c r="D1039" s="710">
        <f t="shared" si="173"/>
        <v>43826</v>
      </c>
      <c r="E1039" s="710">
        <f t="shared" si="173"/>
        <v>43766</v>
      </c>
      <c r="F1039" s="724">
        <f t="shared" si="171"/>
        <v>3.133</v>
      </c>
      <c r="G1039" s="713">
        <f t="shared" si="169"/>
        <v>0.40000000000000019</v>
      </c>
    </row>
    <row r="1040" spans="1:7" x14ac:dyDescent="0.2">
      <c r="A1040" s="709">
        <f t="shared" si="166"/>
        <v>43770</v>
      </c>
      <c r="B1040" s="709" t="str">
        <f t="shared" si="167"/>
        <v>4Q19</v>
      </c>
      <c r="C1040" s="709" t="str">
        <f t="shared" si="168"/>
        <v>1Q20</v>
      </c>
      <c r="D1040" s="710">
        <f t="shared" ref="D1040:E1055" si="174">D1039+7</f>
        <v>43833</v>
      </c>
      <c r="E1040" s="710">
        <f t="shared" si="174"/>
        <v>43773</v>
      </c>
      <c r="F1040" s="724">
        <f t="shared" si="171"/>
        <v>3.133</v>
      </c>
      <c r="G1040" s="713">
        <f t="shared" si="169"/>
        <v>0.40000000000000019</v>
      </c>
    </row>
    <row r="1041" spans="1:7" x14ac:dyDescent="0.2">
      <c r="A1041" s="709">
        <f t="shared" si="166"/>
        <v>43770</v>
      </c>
      <c r="B1041" s="709" t="str">
        <f t="shared" si="167"/>
        <v>4Q19</v>
      </c>
      <c r="C1041" s="709" t="str">
        <f t="shared" si="168"/>
        <v>1Q20</v>
      </c>
      <c r="D1041" s="710">
        <f t="shared" si="174"/>
        <v>43840</v>
      </c>
      <c r="E1041" s="710">
        <f t="shared" si="174"/>
        <v>43780</v>
      </c>
      <c r="F1041" s="724">
        <f t="shared" si="171"/>
        <v>3.133</v>
      </c>
      <c r="G1041" s="713">
        <f t="shared" si="169"/>
        <v>0.40000000000000019</v>
      </c>
    </row>
    <row r="1042" spans="1:7" x14ac:dyDescent="0.2">
      <c r="A1042" s="709">
        <f t="shared" si="166"/>
        <v>43770</v>
      </c>
      <c r="B1042" s="709" t="str">
        <f t="shared" si="167"/>
        <v>4Q19</v>
      </c>
      <c r="C1042" s="709" t="str">
        <f t="shared" si="168"/>
        <v>1Q20</v>
      </c>
      <c r="D1042" s="710">
        <f t="shared" si="174"/>
        <v>43847</v>
      </c>
      <c r="E1042" s="710">
        <f t="shared" si="174"/>
        <v>43787</v>
      </c>
      <c r="F1042" s="724">
        <f t="shared" si="171"/>
        <v>3.133</v>
      </c>
      <c r="G1042" s="713">
        <f t="shared" si="169"/>
        <v>0.40000000000000019</v>
      </c>
    </row>
    <row r="1043" spans="1:7" x14ac:dyDescent="0.2">
      <c r="A1043" s="709">
        <f t="shared" si="166"/>
        <v>43770</v>
      </c>
      <c r="B1043" s="709" t="str">
        <f t="shared" si="167"/>
        <v>4Q19</v>
      </c>
      <c r="C1043" s="709" t="str">
        <f t="shared" si="168"/>
        <v>1Q20</v>
      </c>
      <c r="D1043" s="710">
        <f t="shared" si="174"/>
        <v>43854</v>
      </c>
      <c r="E1043" s="710">
        <f t="shared" si="174"/>
        <v>43794</v>
      </c>
      <c r="F1043" s="724">
        <f t="shared" si="171"/>
        <v>3.133</v>
      </c>
      <c r="G1043" s="713">
        <f t="shared" si="169"/>
        <v>0.40000000000000019</v>
      </c>
    </row>
    <row r="1044" spans="1:7" x14ac:dyDescent="0.2">
      <c r="A1044" s="709">
        <f t="shared" si="166"/>
        <v>43800</v>
      </c>
      <c r="B1044" s="709" t="str">
        <f t="shared" si="167"/>
        <v>4Q19</v>
      </c>
      <c r="C1044" s="709" t="str">
        <f t="shared" si="168"/>
        <v>1Q20</v>
      </c>
      <c r="D1044" s="710">
        <f t="shared" si="174"/>
        <v>43861</v>
      </c>
      <c r="E1044" s="710">
        <f t="shared" si="174"/>
        <v>43801</v>
      </c>
      <c r="F1044" s="724">
        <f t="shared" si="171"/>
        <v>3.133</v>
      </c>
      <c r="G1044" s="713">
        <f t="shared" si="169"/>
        <v>0.40000000000000019</v>
      </c>
    </row>
    <row r="1045" spans="1:7" x14ac:dyDescent="0.2">
      <c r="A1045" s="709">
        <f t="shared" si="166"/>
        <v>43800</v>
      </c>
      <c r="B1045" s="709" t="str">
        <f t="shared" si="167"/>
        <v>4Q19</v>
      </c>
      <c r="C1045" s="709" t="str">
        <f t="shared" si="168"/>
        <v>1Q20</v>
      </c>
      <c r="D1045" s="710">
        <f t="shared" si="174"/>
        <v>43868</v>
      </c>
      <c r="E1045" s="710">
        <f t="shared" si="174"/>
        <v>43808</v>
      </c>
      <c r="F1045" s="724">
        <f t="shared" si="171"/>
        <v>3.133</v>
      </c>
      <c r="G1045" s="713">
        <f t="shared" si="169"/>
        <v>0.40000000000000019</v>
      </c>
    </row>
    <row r="1046" spans="1:7" x14ac:dyDescent="0.2">
      <c r="A1046" s="709">
        <f t="shared" si="166"/>
        <v>43800</v>
      </c>
      <c r="B1046" s="709" t="str">
        <f t="shared" si="167"/>
        <v>4Q19</v>
      </c>
      <c r="C1046" s="709" t="str">
        <f t="shared" si="168"/>
        <v>1Q20</v>
      </c>
      <c r="D1046" s="710">
        <f t="shared" si="174"/>
        <v>43875</v>
      </c>
      <c r="E1046" s="710">
        <f t="shared" si="174"/>
        <v>43815</v>
      </c>
      <c r="F1046" s="724">
        <f t="shared" si="171"/>
        <v>3.133</v>
      </c>
      <c r="G1046" s="713">
        <f t="shared" si="169"/>
        <v>0.40000000000000019</v>
      </c>
    </row>
    <row r="1047" spans="1:7" x14ac:dyDescent="0.2">
      <c r="A1047" s="709">
        <f t="shared" si="166"/>
        <v>43800</v>
      </c>
      <c r="B1047" s="709" t="str">
        <f t="shared" si="167"/>
        <v>4Q19</v>
      </c>
      <c r="C1047" s="709" t="str">
        <f t="shared" si="168"/>
        <v>1Q20</v>
      </c>
      <c r="D1047" s="710">
        <f t="shared" si="174"/>
        <v>43882</v>
      </c>
      <c r="E1047" s="710">
        <f t="shared" si="174"/>
        <v>43822</v>
      </c>
      <c r="F1047" s="724">
        <f t="shared" si="171"/>
        <v>3.133</v>
      </c>
      <c r="G1047" s="713">
        <f t="shared" si="169"/>
        <v>0.40000000000000019</v>
      </c>
    </row>
    <row r="1048" spans="1:7" x14ac:dyDescent="0.2">
      <c r="A1048" s="709">
        <f t="shared" si="166"/>
        <v>43800</v>
      </c>
      <c r="B1048" s="709" t="str">
        <f t="shared" si="167"/>
        <v>4Q19</v>
      </c>
      <c r="C1048" s="709" t="str">
        <f t="shared" si="168"/>
        <v>1Q20</v>
      </c>
      <c r="D1048" s="710">
        <f t="shared" si="174"/>
        <v>43889</v>
      </c>
      <c r="E1048" s="710">
        <f t="shared" si="174"/>
        <v>43829</v>
      </c>
      <c r="F1048" s="724">
        <f t="shared" si="171"/>
        <v>3.133</v>
      </c>
      <c r="G1048" s="713">
        <f t="shared" si="169"/>
        <v>0.40000000000000019</v>
      </c>
    </row>
    <row r="1049" spans="1:7" x14ac:dyDescent="0.2">
      <c r="A1049" s="709">
        <f t="shared" si="166"/>
        <v>43831</v>
      </c>
      <c r="B1049" s="709" t="str">
        <f t="shared" si="167"/>
        <v>1Q20</v>
      </c>
      <c r="C1049" s="709" t="str">
        <f t="shared" si="168"/>
        <v>1Q20</v>
      </c>
      <c r="D1049" s="710">
        <f t="shared" si="174"/>
        <v>43896</v>
      </c>
      <c r="E1049" s="710">
        <f t="shared" si="174"/>
        <v>43836</v>
      </c>
      <c r="F1049" s="724">
        <f t="shared" si="171"/>
        <v>3.133</v>
      </c>
      <c r="G1049" s="713">
        <f t="shared" si="169"/>
        <v>0.40000000000000019</v>
      </c>
    </row>
    <row r="1050" spans="1:7" x14ac:dyDescent="0.2">
      <c r="A1050" s="709">
        <f t="shared" si="166"/>
        <v>43831</v>
      </c>
      <c r="B1050" s="709" t="str">
        <f t="shared" si="167"/>
        <v>1Q20</v>
      </c>
      <c r="C1050" s="709" t="str">
        <f t="shared" si="168"/>
        <v>1Q20</v>
      </c>
      <c r="D1050" s="710">
        <f t="shared" si="174"/>
        <v>43903</v>
      </c>
      <c r="E1050" s="710">
        <f t="shared" si="174"/>
        <v>43843</v>
      </c>
      <c r="F1050" s="724">
        <f t="shared" si="171"/>
        <v>3.133</v>
      </c>
      <c r="G1050" s="713">
        <f t="shared" si="169"/>
        <v>0.40000000000000019</v>
      </c>
    </row>
    <row r="1051" spans="1:7" x14ac:dyDescent="0.2">
      <c r="A1051" s="709">
        <f t="shared" si="166"/>
        <v>43831</v>
      </c>
      <c r="B1051" s="709" t="str">
        <f t="shared" si="167"/>
        <v>1Q20</v>
      </c>
      <c r="C1051" s="709" t="str">
        <f t="shared" si="168"/>
        <v>1Q20</v>
      </c>
      <c r="D1051" s="710">
        <f t="shared" si="174"/>
        <v>43910</v>
      </c>
      <c r="E1051" s="710">
        <f t="shared" si="174"/>
        <v>43850</v>
      </c>
      <c r="F1051" s="724">
        <f t="shared" si="171"/>
        <v>3.133</v>
      </c>
      <c r="G1051" s="713">
        <f t="shared" si="169"/>
        <v>0.40000000000000019</v>
      </c>
    </row>
    <row r="1052" spans="1:7" x14ac:dyDescent="0.2">
      <c r="A1052" s="709">
        <f t="shared" ref="A1052:A1072" si="175">DATE(YEAR(E1052),MONTH(E1052),1)</f>
        <v>43831</v>
      </c>
      <c r="B1052" s="709" t="str">
        <f t="shared" ref="B1052:B1072" si="176">VLOOKUP(MONTH(A1052),$N$4:$O$16,2,FALSE) &amp; "Q" &amp; RIGHT(YEAR(A1052),2)</f>
        <v>1Q20</v>
      </c>
      <c r="C1052" s="709" t="str">
        <f t="shared" ref="C1052:C1072" si="177">VLOOKUP(MONTH(D1052),$N$4:$O$16,2,FALSE) &amp; "Q" &amp; RIGHT(YEAR(D1052),2)</f>
        <v>1Q20</v>
      </c>
      <c r="D1052" s="710">
        <f t="shared" si="174"/>
        <v>43917</v>
      </c>
      <c r="E1052" s="710">
        <f t="shared" si="174"/>
        <v>43857</v>
      </c>
      <c r="F1052" s="724">
        <f t="shared" si="171"/>
        <v>3.133</v>
      </c>
      <c r="G1052" s="713">
        <f t="shared" ref="G1052:G1072" si="178">INDEX($I$4:$K$153,MATCH(F1052,$I$4:$I$153,1),3)</f>
        <v>0.40000000000000019</v>
      </c>
    </row>
    <row r="1053" spans="1:7" x14ac:dyDescent="0.2">
      <c r="A1053" s="709">
        <f t="shared" si="175"/>
        <v>43862</v>
      </c>
      <c r="B1053" s="709" t="str">
        <f t="shared" si="176"/>
        <v>1Q20</v>
      </c>
      <c r="C1053" s="709" t="str">
        <f t="shared" si="177"/>
        <v>2Q20</v>
      </c>
      <c r="D1053" s="710">
        <f t="shared" si="174"/>
        <v>43924</v>
      </c>
      <c r="E1053" s="710">
        <f t="shared" si="174"/>
        <v>43864</v>
      </c>
      <c r="F1053" s="724">
        <f t="shared" si="171"/>
        <v>3.133</v>
      </c>
      <c r="G1053" s="713">
        <f t="shared" si="178"/>
        <v>0.40000000000000019</v>
      </c>
    </row>
    <row r="1054" spans="1:7" x14ac:dyDescent="0.2">
      <c r="A1054" s="709">
        <f t="shared" si="175"/>
        <v>43862</v>
      </c>
      <c r="B1054" s="709" t="str">
        <f t="shared" si="176"/>
        <v>1Q20</v>
      </c>
      <c r="C1054" s="709" t="str">
        <f t="shared" si="177"/>
        <v>2Q20</v>
      </c>
      <c r="D1054" s="710">
        <f t="shared" si="174"/>
        <v>43931</v>
      </c>
      <c r="E1054" s="710">
        <f t="shared" si="174"/>
        <v>43871</v>
      </c>
      <c r="F1054" s="724">
        <f t="shared" si="171"/>
        <v>3.133</v>
      </c>
      <c r="G1054" s="713">
        <f t="shared" si="178"/>
        <v>0.40000000000000019</v>
      </c>
    </row>
    <row r="1055" spans="1:7" x14ac:dyDescent="0.2">
      <c r="A1055" s="709">
        <f t="shared" si="175"/>
        <v>43862</v>
      </c>
      <c r="B1055" s="709" t="str">
        <f t="shared" si="176"/>
        <v>1Q20</v>
      </c>
      <c r="C1055" s="709" t="str">
        <f t="shared" si="177"/>
        <v>2Q20</v>
      </c>
      <c r="D1055" s="710">
        <f t="shared" si="174"/>
        <v>43938</v>
      </c>
      <c r="E1055" s="710">
        <f t="shared" si="174"/>
        <v>43878</v>
      </c>
      <c r="F1055" s="724">
        <f t="shared" si="171"/>
        <v>3.133</v>
      </c>
      <c r="G1055" s="713">
        <f t="shared" si="178"/>
        <v>0.40000000000000019</v>
      </c>
    </row>
    <row r="1056" spans="1:7" x14ac:dyDescent="0.2">
      <c r="A1056" s="709">
        <f t="shared" si="175"/>
        <v>43862</v>
      </c>
      <c r="B1056" s="709" t="str">
        <f t="shared" si="176"/>
        <v>1Q20</v>
      </c>
      <c r="C1056" s="709" t="str">
        <f t="shared" si="177"/>
        <v>2Q20</v>
      </c>
      <c r="D1056" s="710">
        <f t="shared" ref="D1056:E1071" si="179">D1055+7</f>
        <v>43945</v>
      </c>
      <c r="E1056" s="710">
        <f t="shared" si="179"/>
        <v>43885</v>
      </c>
      <c r="F1056" s="724">
        <f t="shared" si="171"/>
        <v>3.133</v>
      </c>
      <c r="G1056" s="713">
        <f t="shared" si="178"/>
        <v>0.40000000000000019</v>
      </c>
    </row>
    <row r="1057" spans="1:7" x14ac:dyDescent="0.2">
      <c r="A1057" s="709">
        <f t="shared" si="175"/>
        <v>43891</v>
      </c>
      <c r="B1057" s="709" t="str">
        <f t="shared" si="176"/>
        <v>1Q20</v>
      </c>
      <c r="C1057" s="709" t="str">
        <f t="shared" si="177"/>
        <v>2Q20</v>
      </c>
      <c r="D1057" s="710">
        <f t="shared" si="179"/>
        <v>43952</v>
      </c>
      <c r="E1057" s="710">
        <f t="shared" si="179"/>
        <v>43892</v>
      </c>
      <c r="F1057" s="724">
        <f t="shared" ref="F1057:F1102" si="180">F1056</f>
        <v>3.133</v>
      </c>
      <c r="G1057" s="713">
        <f t="shared" si="178"/>
        <v>0.40000000000000019</v>
      </c>
    </row>
    <row r="1058" spans="1:7" x14ac:dyDescent="0.2">
      <c r="A1058" s="709">
        <f t="shared" si="175"/>
        <v>43891</v>
      </c>
      <c r="B1058" s="709" t="str">
        <f t="shared" si="176"/>
        <v>1Q20</v>
      </c>
      <c r="C1058" s="709" t="str">
        <f t="shared" si="177"/>
        <v>2Q20</v>
      </c>
      <c r="D1058" s="710">
        <f t="shared" si="179"/>
        <v>43959</v>
      </c>
      <c r="E1058" s="710">
        <f t="shared" si="179"/>
        <v>43899</v>
      </c>
      <c r="F1058" s="724">
        <f t="shared" si="180"/>
        <v>3.133</v>
      </c>
      <c r="G1058" s="713">
        <f t="shared" si="178"/>
        <v>0.40000000000000019</v>
      </c>
    </row>
    <row r="1059" spans="1:7" x14ac:dyDescent="0.2">
      <c r="A1059" s="709">
        <f t="shared" si="175"/>
        <v>43891</v>
      </c>
      <c r="B1059" s="709" t="str">
        <f t="shared" si="176"/>
        <v>1Q20</v>
      </c>
      <c r="C1059" s="709" t="str">
        <f t="shared" si="177"/>
        <v>2Q20</v>
      </c>
      <c r="D1059" s="710">
        <f t="shared" si="179"/>
        <v>43966</v>
      </c>
      <c r="E1059" s="710">
        <f t="shared" si="179"/>
        <v>43906</v>
      </c>
      <c r="F1059" s="724">
        <f t="shared" si="180"/>
        <v>3.133</v>
      </c>
      <c r="G1059" s="713">
        <f t="shared" si="178"/>
        <v>0.40000000000000019</v>
      </c>
    </row>
    <row r="1060" spans="1:7" x14ac:dyDescent="0.2">
      <c r="A1060" s="709">
        <f t="shared" si="175"/>
        <v>43891</v>
      </c>
      <c r="B1060" s="709" t="str">
        <f t="shared" si="176"/>
        <v>1Q20</v>
      </c>
      <c r="C1060" s="709" t="str">
        <f t="shared" si="177"/>
        <v>2Q20</v>
      </c>
      <c r="D1060" s="710">
        <f t="shared" si="179"/>
        <v>43973</v>
      </c>
      <c r="E1060" s="710">
        <f t="shared" si="179"/>
        <v>43913</v>
      </c>
      <c r="F1060" s="724">
        <f t="shared" si="180"/>
        <v>3.133</v>
      </c>
      <c r="G1060" s="713">
        <f t="shared" si="178"/>
        <v>0.40000000000000019</v>
      </c>
    </row>
    <row r="1061" spans="1:7" x14ac:dyDescent="0.2">
      <c r="A1061" s="709">
        <f t="shared" si="175"/>
        <v>43891</v>
      </c>
      <c r="B1061" s="709" t="str">
        <f t="shared" si="176"/>
        <v>1Q20</v>
      </c>
      <c r="C1061" s="709" t="str">
        <f t="shared" si="177"/>
        <v>2Q20</v>
      </c>
      <c r="D1061" s="710">
        <f t="shared" si="179"/>
        <v>43980</v>
      </c>
      <c r="E1061" s="710">
        <f t="shared" si="179"/>
        <v>43920</v>
      </c>
      <c r="F1061" s="724">
        <f t="shared" si="180"/>
        <v>3.133</v>
      </c>
      <c r="G1061" s="713">
        <f t="shared" si="178"/>
        <v>0.40000000000000019</v>
      </c>
    </row>
    <row r="1062" spans="1:7" x14ac:dyDescent="0.2">
      <c r="A1062" s="709">
        <f t="shared" si="175"/>
        <v>43922</v>
      </c>
      <c r="B1062" s="709" t="str">
        <f t="shared" si="176"/>
        <v>2Q20</v>
      </c>
      <c r="C1062" s="709" t="str">
        <f t="shared" si="177"/>
        <v>2Q20</v>
      </c>
      <c r="D1062" s="710">
        <f t="shared" si="179"/>
        <v>43987</v>
      </c>
      <c r="E1062" s="710">
        <f t="shared" si="179"/>
        <v>43927</v>
      </c>
      <c r="F1062" s="724">
        <f t="shared" si="180"/>
        <v>3.133</v>
      </c>
      <c r="G1062" s="713">
        <f t="shared" si="178"/>
        <v>0.40000000000000019</v>
      </c>
    </row>
    <row r="1063" spans="1:7" x14ac:dyDescent="0.2">
      <c r="A1063" s="709">
        <f t="shared" si="175"/>
        <v>43922</v>
      </c>
      <c r="B1063" s="709" t="str">
        <f t="shared" si="176"/>
        <v>2Q20</v>
      </c>
      <c r="C1063" s="709" t="str">
        <f t="shared" si="177"/>
        <v>2Q20</v>
      </c>
      <c r="D1063" s="710">
        <f t="shared" si="179"/>
        <v>43994</v>
      </c>
      <c r="E1063" s="710">
        <f t="shared" si="179"/>
        <v>43934</v>
      </c>
      <c r="F1063" s="724">
        <f t="shared" si="180"/>
        <v>3.133</v>
      </c>
      <c r="G1063" s="713">
        <f t="shared" si="178"/>
        <v>0.40000000000000019</v>
      </c>
    </row>
    <row r="1064" spans="1:7" x14ac:dyDescent="0.2">
      <c r="A1064" s="709">
        <f t="shared" si="175"/>
        <v>43922</v>
      </c>
      <c r="B1064" s="709" t="str">
        <f t="shared" si="176"/>
        <v>2Q20</v>
      </c>
      <c r="C1064" s="709" t="str">
        <f t="shared" si="177"/>
        <v>2Q20</v>
      </c>
      <c r="D1064" s="710">
        <f t="shared" si="179"/>
        <v>44001</v>
      </c>
      <c r="E1064" s="710">
        <f t="shared" si="179"/>
        <v>43941</v>
      </c>
      <c r="F1064" s="724">
        <f t="shared" si="180"/>
        <v>3.133</v>
      </c>
      <c r="G1064" s="713">
        <f t="shared" si="178"/>
        <v>0.40000000000000019</v>
      </c>
    </row>
    <row r="1065" spans="1:7" x14ac:dyDescent="0.2">
      <c r="A1065" s="709">
        <f t="shared" si="175"/>
        <v>43922</v>
      </c>
      <c r="B1065" s="709" t="str">
        <f t="shared" si="176"/>
        <v>2Q20</v>
      </c>
      <c r="C1065" s="709" t="str">
        <f t="shared" si="177"/>
        <v>2Q20</v>
      </c>
      <c r="D1065" s="710">
        <f t="shared" si="179"/>
        <v>44008</v>
      </c>
      <c r="E1065" s="710">
        <f t="shared" si="179"/>
        <v>43948</v>
      </c>
      <c r="F1065" s="724">
        <f t="shared" si="180"/>
        <v>3.133</v>
      </c>
      <c r="G1065" s="713">
        <f t="shared" si="178"/>
        <v>0.40000000000000019</v>
      </c>
    </row>
    <row r="1066" spans="1:7" x14ac:dyDescent="0.2">
      <c r="A1066" s="709">
        <f t="shared" si="175"/>
        <v>43952</v>
      </c>
      <c r="B1066" s="709" t="str">
        <f t="shared" si="176"/>
        <v>2Q20</v>
      </c>
      <c r="C1066" s="709" t="str">
        <f t="shared" si="177"/>
        <v>3Q20</v>
      </c>
      <c r="D1066" s="710">
        <f t="shared" si="179"/>
        <v>44015</v>
      </c>
      <c r="E1066" s="710">
        <f t="shared" si="179"/>
        <v>43955</v>
      </c>
      <c r="F1066" s="724">
        <f t="shared" si="180"/>
        <v>3.133</v>
      </c>
      <c r="G1066" s="713">
        <f t="shared" si="178"/>
        <v>0.40000000000000019</v>
      </c>
    </row>
    <row r="1067" spans="1:7" x14ac:dyDescent="0.2">
      <c r="A1067" s="709">
        <f t="shared" si="175"/>
        <v>43952</v>
      </c>
      <c r="B1067" s="709" t="str">
        <f t="shared" si="176"/>
        <v>2Q20</v>
      </c>
      <c r="C1067" s="709" t="str">
        <f t="shared" si="177"/>
        <v>3Q20</v>
      </c>
      <c r="D1067" s="710">
        <f t="shared" si="179"/>
        <v>44022</v>
      </c>
      <c r="E1067" s="710">
        <f t="shared" si="179"/>
        <v>43962</v>
      </c>
      <c r="F1067" s="724">
        <f t="shared" si="180"/>
        <v>3.133</v>
      </c>
      <c r="G1067" s="713">
        <f t="shared" si="178"/>
        <v>0.40000000000000019</v>
      </c>
    </row>
    <row r="1068" spans="1:7" x14ac:dyDescent="0.2">
      <c r="A1068" s="709">
        <f t="shared" si="175"/>
        <v>43952</v>
      </c>
      <c r="B1068" s="709" t="str">
        <f t="shared" si="176"/>
        <v>2Q20</v>
      </c>
      <c r="C1068" s="709" t="str">
        <f t="shared" si="177"/>
        <v>3Q20</v>
      </c>
      <c r="D1068" s="710">
        <f t="shared" si="179"/>
        <v>44029</v>
      </c>
      <c r="E1068" s="710">
        <f t="shared" si="179"/>
        <v>43969</v>
      </c>
      <c r="F1068" s="724">
        <f t="shared" si="180"/>
        <v>3.133</v>
      </c>
      <c r="G1068" s="713">
        <f t="shared" si="178"/>
        <v>0.40000000000000019</v>
      </c>
    </row>
    <row r="1069" spans="1:7" x14ac:dyDescent="0.2">
      <c r="A1069" s="709">
        <f t="shared" si="175"/>
        <v>43952</v>
      </c>
      <c r="B1069" s="709" t="str">
        <f t="shared" si="176"/>
        <v>2Q20</v>
      </c>
      <c r="C1069" s="709" t="str">
        <f t="shared" si="177"/>
        <v>3Q20</v>
      </c>
      <c r="D1069" s="710">
        <f t="shared" si="179"/>
        <v>44036</v>
      </c>
      <c r="E1069" s="710">
        <f t="shared" si="179"/>
        <v>43976</v>
      </c>
      <c r="F1069" s="724">
        <f t="shared" si="180"/>
        <v>3.133</v>
      </c>
      <c r="G1069" s="713">
        <f t="shared" si="178"/>
        <v>0.40000000000000019</v>
      </c>
    </row>
    <row r="1070" spans="1:7" x14ac:dyDescent="0.2">
      <c r="A1070" s="709">
        <f t="shared" si="175"/>
        <v>43983</v>
      </c>
      <c r="B1070" s="709" t="str">
        <f t="shared" si="176"/>
        <v>2Q20</v>
      </c>
      <c r="C1070" s="709" t="str">
        <f t="shared" si="177"/>
        <v>3Q20</v>
      </c>
      <c r="D1070" s="710">
        <f t="shared" si="179"/>
        <v>44043</v>
      </c>
      <c r="E1070" s="710">
        <f t="shared" si="179"/>
        <v>43983</v>
      </c>
      <c r="F1070" s="724">
        <f t="shared" si="180"/>
        <v>3.133</v>
      </c>
      <c r="G1070" s="713">
        <f t="shared" si="178"/>
        <v>0.40000000000000019</v>
      </c>
    </row>
    <row r="1071" spans="1:7" x14ac:dyDescent="0.2">
      <c r="A1071" s="709">
        <f t="shared" si="175"/>
        <v>43983</v>
      </c>
      <c r="B1071" s="709" t="str">
        <f t="shared" si="176"/>
        <v>2Q20</v>
      </c>
      <c r="C1071" s="709" t="str">
        <f t="shared" si="177"/>
        <v>3Q20</v>
      </c>
      <c r="D1071" s="710">
        <f t="shared" si="179"/>
        <v>44050</v>
      </c>
      <c r="E1071" s="710">
        <f t="shared" si="179"/>
        <v>43990</v>
      </c>
      <c r="F1071" s="724">
        <f t="shared" si="180"/>
        <v>3.133</v>
      </c>
      <c r="G1071" s="713">
        <f t="shared" si="178"/>
        <v>0.40000000000000019</v>
      </c>
    </row>
    <row r="1072" spans="1:7" x14ac:dyDescent="0.2">
      <c r="A1072" s="709">
        <f t="shared" si="175"/>
        <v>43983</v>
      </c>
      <c r="B1072" s="709" t="str">
        <f t="shared" si="176"/>
        <v>2Q20</v>
      </c>
      <c r="C1072" s="709" t="str">
        <f t="shared" si="177"/>
        <v>3Q20</v>
      </c>
      <c r="D1072" s="710">
        <f>D1071+7</f>
        <v>44057</v>
      </c>
      <c r="E1072" s="710">
        <f>E1071+7</f>
        <v>43997</v>
      </c>
      <c r="F1072" s="724">
        <f t="shared" si="180"/>
        <v>3.133</v>
      </c>
      <c r="G1072" s="713">
        <f t="shared" si="178"/>
        <v>0.40000000000000019</v>
      </c>
    </row>
    <row r="1073" spans="1:7" x14ac:dyDescent="0.2">
      <c r="A1073" s="709">
        <f t="shared" ref="A1073:A1094" si="181">DATE(YEAR(E1073),MONTH(E1073),1)</f>
        <v>43983</v>
      </c>
      <c r="B1073" s="709" t="str">
        <f t="shared" ref="B1073:B1094" si="182">VLOOKUP(MONTH(A1073),$N$4:$O$16,2,FALSE) &amp; "Q" &amp; RIGHT(YEAR(A1073),2)</f>
        <v>2Q20</v>
      </c>
      <c r="C1073" s="709" t="str">
        <f t="shared" ref="C1073:C1094" si="183">VLOOKUP(MONTH(D1073),$N$4:$O$16,2,FALSE) &amp; "Q" &amp; RIGHT(YEAR(D1073),2)</f>
        <v>3Q20</v>
      </c>
      <c r="D1073" s="710">
        <f t="shared" ref="D1073:D1102" si="184">D1072+7</f>
        <v>44064</v>
      </c>
      <c r="E1073" s="710">
        <f t="shared" ref="E1073:E1102" si="185">E1072+7</f>
        <v>44004</v>
      </c>
      <c r="F1073" s="724">
        <f t="shared" si="180"/>
        <v>3.133</v>
      </c>
      <c r="G1073" s="713">
        <f t="shared" ref="G1073:G1094" si="186">INDEX($I$4:$K$153,MATCH(F1073,$I$4:$I$153,1),3)</f>
        <v>0.40000000000000019</v>
      </c>
    </row>
    <row r="1074" spans="1:7" x14ac:dyDescent="0.2">
      <c r="A1074" s="709">
        <f t="shared" si="181"/>
        <v>43983</v>
      </c>
      <c r="B1074" s="709" t="str">
        <f t="shared" si="182"/>
        <v>2Q20</v>
      </c>
      <c r="C1074" s="709" t="str">
        <f t="shared" si="183"/>
        <v>3Q20</v>
      </c>
      <c r="D1074" s="710">
        <f t="shared" si="184"/>
        <v>44071</v>
      </c>
      <c r="E1074" s="710">
        <f t="shared" si="185"/>
        <v>44011</v>
      </c>
      <c r="F1074" s="724">
        <f t="shared" si="180"/>
        <v>3.133</v>
      </c>
      <c r="G1074" s="713">
        <f t="shared" si="186"/>
        <v>0.40000000000000019</v>
      </c>
    </row>
    <row r="1075" spans="1:7" x14ac:dyDescent="0.2">
      <c r="A1075" s="709">
        <f t="shared" si="181"/>
        <v>44013</v>
      </c>
      <c r="B1075" s="709" t="str">
        <f t="shared" si="182"/>
        <v>3Q20</v>
      </c>
      <c r="C1075" s="709" t="str">
        <f t="shared" si="183"/>
        <v>3Q20</v>
      </c>
      <c r="D1075" s="710">
        <f t="shared" si="184"/>
        <v>44078</v>
      </c>
      <c r="E1075" s="710">
        <f t="shared" si="185"/>
        <v>44018</v>
      </c>
      <c r="F1075" s="724">
        <f t="shared" si="180"/>
        <v>3.133</v>
      </c>
      <c r="G1075" s="713">
        <f t="shared" si="186"/>
        <v>0.40000000000000019</v>
      </c>
    </row>
    <row r="1076" spans="1:7" x14ac:dyDescent="0.2">
      <c r="A1076" s="709">
        <f t="shared" si="181"/>
        <v>44013</v>
      </c>
      <c r="B1076" s="709" t="str">
        <f t="shared" si="182"/>
        <v>3Q20</v>
      </c>
      <c r="C1076" s="709" t="str">
        <f t="shared" si="183"/>
        <v>3Q20</v>
      </c>
      <c r="D1076" s="710">
        <f t="shared" si="184"/>
        <v>44085</v>
      </c>
      <c r="E1076" s="710">
        <f t="shared" si="185"/>
        <v>44025</v>
      </c>
      <c r="F1076" s="724">
        <f t="shared" si="180"/>
        <v>3.133</v>
      </c>
      <c r="G1076" s="713">
        <f t="shared" si="186"/>
        <v>0.40000000000000019</v>
      </c>
    </row>
    <row r="1077" spans="1:7" x14ac:dyDescent="0.2">
      <c r="A1077" s="709">
        <f t="shared" si="181"/>
        <v>44013</v>
      </c>
      <c r="B1077" s="709" t="str">
        <f t="shared" si="182"/>
        <v>3Q20</v>
      </c>
      <c r="C1077" s="709" t="str">
        <f t="shared" si="183"/>
        <v>3Q20</v>
      </c>
      <c r="D1077" s="710">
        <f t="shared" si="184"/>
        <v>44092</v>
      </c>
      <c r="E1077" s="710">
        <f t="shared" si="185"/>
        <v>44032</v>
      </c>
      <c r="F1077" s="724">
        <f t="shared" si="180"/>
        <v>3.133</v>
      </c>
      <c r="G1077" s="713">
        <f t="shared" si="186"/>
        <v>0.40000000000000019</v>
      </c>
    </row>
    <row r="1078" spans="1:7" x14ac:dyDescent="0.2">
      <c r="A1078" s="709">
        <f t="shared" si="181"/>
        <v>44013</v>
      </c>
      <c r="B1078" s="709" t="str">
        <f t="shared" si="182"/>
        <v>3Q20</v>
      </c>
      <c r="C1078" s="709" t="str">
        <f t="shared" si="183"/>
        <v>3Q20</v>
      </c>
      <c r="D1078" s="710">
        <f t="shared" si="184"/>
        <v>44099</v>
      </c>
      <c r="E1078" s="710">
        <f t="shared" si="185"/>
        <v>44039</v>
      </c>
      <c r="F1078" s="724">
        <f t="shared" si="180"/>
        <v>3.133</v>
      </c>
      <c r="G1078" s="713">
        <f t="shared" si="186"/>
        <v>0.40000000000000019</v>
      </c>
    </row>
    <row r="1079" spans="1:7" x14ac:dyDescent="0.2">
      <c r="A1079" s="709">
        <f t="shared" si="181"/>
        <v>44044</v>
      </c>
      <c r="B1079" s="709" t="str">
        <f t="shared" si="182"/>
        <v>3Q20</v>
      </c>
      <c r="C1079" s="709" t="str">
        <f t="shared" si="183"/>
        <v>4Q20</v>
      </c>
      <c r="D1079" s="710">
        <f t="shared" si="184"/>
        <v>44106</v>
      </c>
      <c r="E1079" s="710">
        <f t="shared" si="185"/>
        <v>44046</v>
      </c>
      <c r="F1079" s="724">
        <f t="shared" si="180"/>
        <v>3.133</v>
      </c>
      <c r="G1079" s="713">
        <f t="shared" si="186"/>
        <v>0.40000000000000019</v>
      </c>
    </row>
    <row r="1080" spans="1:7" x14ac:dyDescent="0.2">
      <c r="A1080" s="709">
        <f t="shared" si="181"/>
        <v>44044</v>
      </c>
      <c r="B1080" s="709" t="str">
        <f t="shared" si="182"/>
        <v>3Q20</v>
      </c>
      <c r="C1080" s="709" t="str">
        <f t="shared" si="183"/>
        <v>4Q20</v>
      </c>
      <c r="D1080" s="710">
        <f t="shared" si="184"/>
        <v>44113</v>
      </c>
      <c r="E1080" s="710">
        <f t="shared" si="185"/>
        <v>44053</v>
      </c>
      <c r="F1080" s="724">
        <f t="shared" si="180"/>
        <v>3.133</v>
      </c>
      <c r="G1080" s="713">
        <f t="shared" si="186"/>
        <v>0.40000000000000019</v>
      </c>
    </row>
    <row r="1081" spans="1:7" x14ac:dyDescent="0.2">
      <c r="A1081" s="709">
        <f t="shared" si="181"/>
        <v>44044</v>
      </c>
      <c r="B1081" s="709" t="str">
        <f t="shared" si="182"/>
        <v>3Q20</v>
      </c>
      <c r="C1081" s="709" t="str">
        <f t="shared" si="183"/>
        <v>4Q20</v>
      </c>
      <c r="D1081" s="710">
        <f t="shared" si="184"/>
        <v>44120</v>
      </c>
      <c r="E1081" s="710">
        <f t="shared" si="185"/>
        <v>44060</v>
      </c>
      <c r="F1081" s="724">
        <f t="shared" si="180"/>
        <v>3.133</v>
      </c>
      <c r="G1081" s="713">
        <f t="shared" si="186"/>
        <v>0.40000000000000019</v>
      </c>
    </row>
    <row r="1082" spans="1:7" x14ac:dyDescent="0.2">
      <c r="A1082" s="709">
        <f t="shared" si="181"/>
        <v>44044</v>
      </c>
      <c r="B1082" s="709" t="str">
        <f t="shared" si="182"/>
        <v>3Q20</v>
      </c>
      <c r="C1082" s="709" t="str">
        <f t="shared" si="183"/>
        <v>4Q20</v>
      </c>
      <c r="D1082" s="710">
        <f t="shared" si="184"/>
        <v>44127</v>
      </c>
      <c r="E1082" s="710">
        <f t="shared" si="185"/>
        <v>44067</v>
      </c>
      <c r="F1082" s="724">
        <f t="shared" si="180"/>
        <v>3.133</v>
      </c>
      <c r="G1082" s="713">
        <f t="shared" si="186"/>
        <v>0.40000000000000019</v>
      </c>
    </row>
    <row r="1083" spans="1:7" x14ac:dyDescent="0.2">
      <c r="A1083" s="709">
        <f t="shared" si="181"/>
        <v>44044</v>
      </c>
      <c r="B1083" s="709" t="str">
        <f t="shared" si="182"/>
        <v>3Q20</v>
      </c>
      <c r="C1083" s="709" t="str">
        <f t="shared" si="183"/>
        <v>4Q20</v>
      </c>
      <c r="D1083" s="710">
        <f t="shared" si="184"/>
        <v>44134</v>
      </c>
      <c r="E1083" s="710">
        <f t="shared" si="185"/>
        <v>44074</v>
      </c>
      <c r="F1083" s="724">
        <f t="shared" si="180"/>
        <v>3.133</v>
      </c>
      <c r="G1083" s="713">
        <f t="shared" si="186"/>
        <v>0.40000000000000019</v>
      </c>
    </row>
    <row r="1084" spans="1:7" x14ac:dyDescent="0.2">
      <c r="A1084" s="709">
        <f t="shared" si="181"/>
        <v>44075</v>
      </c>
      <c r="B1084" s="709" t="str">
        <f t="shared" si="182"/>
        <v>3Q20</v>
      </c>
      <c r="C1084" s="709" t="str">
        <f t="shared" si="183"/>
        <v>4Q20</v>
      </c>
      <c r="D1084" s="710">
        <f t="shared" si="184"/>
        <v>44141</v>
      </c>
      <c r="E1084" s="710">
        <f t="shared" si="185"/>
        <v>44081</v>
      </c>
      <c r="F1084" s="724">
        <f t="shared" si="180"/>
        <v>3.133</v>
      </c>
      <c r="G1084" s="713">
        <f t="shared" si="186"/>
        <v>0.40000000000000019</v>
      </c>
    </row>
    <row r="1085" spans="1:7" x14ac:dyDescent="0.2">
      <c r="A1085" s="709">
        <f t="shared" si="181"/>
        <v>44075</v>
      </c>
      <c r="B1085" s="709" t="str">
        <f t="shared" si="182"/>
        <v>3Q20</v>
      </c>
      <c r="C1085" s="709" t="str">
        <f t="shared" si="183"/>
        <v>4Q20</v>
      </c>
      <c r="D1085" s="710">
        <f t="shared" si="184"/>
        <v>44148</v>
      </c>
      <c r="E1085" s="710">
        <f t="shared" si="185"/>
        <v>44088</v>
      </c>
      <c r="F1085" s="724">
        <f t="shared" si="180"/>
        <v>3.133</v>
      </c>
      <c r="G1085" s="713">
        <f t="shared" si="186"/>
        <v>0.40000000000000019</v>
      </c>
    </row>
    <row r="1086" spans="1:7" x14ac:dyDescent="0.2">
      <c r="A1086" s="709">
        <f t="shared" si="181"/>
        <v>44075</v>
      </c>
      <c r="B1086" s="709" t="str">
        <f t="shared" si="182"/>
        <v>3Q20</v>
      </c>
      <c r="C1086" s="709" t="str">
        <f t="shared" si="183"/>
        <v>4Q20</v>
      </c>
      <c r="D1086" s="710">
        <f t="shared" si="184"/>
        <v>44155</v>
      </c>
      <c r="E1086" s="710">
        <f t="shared" si="185"/>
        <v>44095</v>
      </c>
      <c r="F1086" s="724">
        <f t="shared" si="180"/>
        <v>3.133</v>
      </c>
      <c r="G1086" s="713">
        <f t="shared" si="186"/>
        <v>0.40000000000000019</v>
      </c>
    </row>
    <row r="1087" spans="1:7" x14ac:dyDescent="0.2">
      <c r="A1087" s="709">
        <f t="shared" si="181"/>
        <v>44075</v>
      </c>
      <c r="B1087" s="709" t="str">
        <f t="shared" si="182"/>
        <v>3Q20</v>
      </c>
      <c r="C1087" s="709" t="str">
        <f t="shared" si="183"/>
        <v>4Q20</v>
      </c>
      <c r="D1087" s="710">
        <f t="shared" si="184"/>
        <v>44162</v>
      </c>
      <c r="E1087" s="710">
        <f t="shared" si="185"/>
        <v>44102</v>
      </c>
      <c r="F1087" s="724">
        <f t="shared" si="180"/>
        <v>3.133</v>
      </c>
      <c r="G1087" s="713">
        <f t="shared" si="186"/>
        <v>0.40000000000000019</v>
      </c>
    </row>
    <row r="1088" spans="1:7" x14ac:dyDescent="0.2">
      <c r="A1088" s="709">
        <f t="shared" si="181"/>
        <v>44105</v>
      </c>
      <c r="B1088" s="709" t="str">
        <f t="shared" si="182"/>
        <v>4Q20</v>
      </c>
      <c r="C1088" s="709" t="str">
        <f t="shared" si="183"/>
        <v>4Q20</v>
      </c>
      <c r="D1088" s="710">
        <f t="shared" si="184"/>
        <v>44169</v>
      </c>
      <c r="E1088" s="710">
        <f t="shared" si="185"/>
        <v>44109</v>
      </c>
      <c r="F1088" s="724">
        <f t="shared" si="180"/>
        <v>3.133</v>
      </c>
      <c r="G1088" s="713">
        <f t="shared" si="186"/>
        <v>0.40000000000000019</v>
      </c>
    </row>
    <row r="1089" spans="1:7" x14ac:dyDescent="0.2">
      <c r="A1089" s="709">
        <f t="shared" si="181"/>
        <v>44105</v>
      </c>
      <c r="B1089" s="709" t="str">
        <f t="shared" si="182"/>
        <v>4Q20</v>
      </c>
      <c r="C1089" s="709" t="str">
        <f t="shared" si="183"/>
        <v>4Q20</v>
      </c>
      <c r="D1089" s="710">
        <f t="shared" si="184"/>
        <v>44176</v>
      </c>
      <c r="E1089" s="710">
        <f t="shared" si="185"/>
        <v>44116</v>
      </c>
      <c r="F1089" s="724">
        <f t="shared" si="180"/>
        <v>3.133</v>
      </c>
      <c r="G1089" s="713">
        <f t="shared" si="186"/>
        <v>0.40000000000000019</v>
      </c>
    </row>
    <row r="1090" spans="1:7" x14ac:dyDescent="0.2">
      <c r="A1090" s="709">
        <f t="shared" si="181"/>
        <v>44105</v>
      </c>
      <c r="B1090" s="709" t="str">
        <f t="shared" si="182"/>
        <v>4Q20</v>
      </c>
      <c r="C1090" s="709" t="str">
        <f t="shared" si="183"/>
        <v>4Q20</v>
      </c>
      <c r="D1090" s="710">
        <f t="shared" si="184"/>
        <v>44183</v>
      </c>
      <c r="E1090" s="710">
        <f t="shared" si="185"/>
        <v>44123</v>
      </c>
      <c r="F1090" s="724">
        <f t="shared" si="180"/>
        <v>3.133</v>
      </c>
      <c r="G1090" s="713">
        <f t="shared" si="186"/>
        <v>0.40000000000000019</v>
      </c>
    </row>
    <row r="1091" spans="1:7" x14ac:dyDescent="0.2">
      <c r="A1091" s="709">
        <f t="shared" si="181"/>
        <v>44105</v>
      </c>
      <c r="B1091" s="709" t="str">
        <f t="shared" si="182"/>
        <v>4Q20</v>
      </c>
      <c r="C1091" s="709" t="str">
        <f t="shared" si="183"/>
        <v>4Q20</v>
      </c>
      <c r="D1091" s="710">
        <f t="shared" si="184"/>
        <v>44190</v>
      </c>
      <c r="E1091" s="710">
        <f t="shared" si="185"/>
        <v>44130</v>
      </c>
      <c r="F1091" s="724">
        <f t="shared" si="180"/>
        <v>3.133</v>
      </c>
      <c r="G1091" s="713">
        <f t="shared" si="186"/>
        <v>0.40000000000000019</v>
      </c>
    </row>
    <row r="1092" spans="1:7" x14ac:dyDescent="0.2">
      <c r="A1092" s="709">
        <f t="shared" si="181"/>
        <v>44136</v>
      </c>
      <c r="B1092" s="709" t="str">
        <f t="shared" si="182"/>
        <v>4Q20</v>
      </c>
      <c r="C1092" s="709" t="str">
        <f t="shared" si="183"/>
        <v>1Q21</v>
      </c>
      <c r="D1092" s="710">
        <f t="shared" si="184"/>
        <v>44197</v>
      </c>
      <c r="E1092" s="710">
        <f t="shared" si="185"/>
        <v>44137</v>
      </c>
      <c r="F1092" s="724">
        <f t="shared" si="180"/>
        <v>3.133</v>
      </c>
      <c r="G1092" s="713">
        <f t="shared" si="186"/>
        <v>0.40000000000000019</v>
      </c>
    </row>
    <row r="1093" spans="1:7" x14ac:dyDescent="0.2">
      <c r="A1093" s="709">
        <f t="shared" si="181"/>
        <v>44136</v>
      </c>
      <c r="B1093" s="709" t="str">
        <f t="shared" si="182"/>
        <v>4Q20</v>
      </c>
      <c r="C1093" s="709" t="str">
        <f t="shared" si="183"/>
        <v>1Q21</v>
      </c>
      <c r="D1093" s="710">
        <f t="shared" si="184"/>
        <v>44204</v>
      </c>
      <c r="E1093" s="710">
        <f t="shared" si="185"/>
        <v>44144</v>
      </c>
      <c r="F1093" s="724">
        <f t="shared" si="180"/>
        <v>3.133</v>
      </c>
      <c r="G1093" s="713">
        <f t="shared" si="186"/>
        <v>0.40000000000000019</v>
      </c>
    </row>
    <row r="1094" spans="1:7" x14ac:dyDescent="0.2">
      <c r="A1094" s="709">
        <f t="shared" si="181"/>
        <v>44136</v>
      </c>
      <c r="B1094" s="709" t="str">
        <f t="shared" si="182"/>
        <v>4Q20</v>
      </c>
      <c r="C1094" s="709" t="str">
        <f t="shared" si="183"/>
        <v>1Q21</v>
      </c>
      <c r="D1094" s="710">
        <f t="shared" si="184"/>
        <v>44211</v>
      </c>
      <c r="E1094" s="710">
        <f t="shared" si="185"/>
        <v>44151</v>
      </c>
      <c r="F1094" s="724">
        <f t="shared" si="180"/>
        <v>3.133</v>
      </c>
      <c r="G1094" s="713">
        <f t="shared" si="186"/>
        <v>0.40000000000000019</v>
      </c>
    </row>
    <row r="1095" spans="1:7" x14ac:dyDescent="0.2">
      <c r="A1095" s="709">
        <f t="shared" ref="A1095:A1102" si="187">DATE(YEAR(E1095),MONTH(E1095),1)</f>
        <v>44136</v>
      </c>
      <c r="B1095" s="709" t="str">
        <f t="shared" ref="B1095:B1102" si="188">VLOOKUP(MONTH(A1095),$N$4:$O$16,2,FALSE) &amp; "Q" &amp; RIGHT(YEAR(A1095),2)</f>
        <v>4Q20</v>
      </c>
      <c r="C1095" s="709" t="str">
        <f t="shared" ref="C1095:C1102" si="189">VLOOKUP(MONTH(D1095),$N$4:$O$16,2,FALSE) &amp; "Q" &amp; RIGHT(YEAR(D1095),2)</f>
        <v>1Q21</v>
      </c>
      <c r="D1095" s="710">
        <f t="shared" si="184"/>
        <v>44218</v>
      </c>
      <c r="E1095" s="710">
        <f t="shared" si="185"/>
        <v>44158</v>
      </c>
      <c r="F1095" s="724">
        <f t="shared" si="180"/>
        <v>3.133</v>
      </c>
      <c r="G1095" s="713">
        <f t="shared" ref="G1095:G1102" si="190">INDEX($I$4:$K$153,MATCH(F1095,$I$4:$I$153,1),3)</f>
        <v>0.40000000000000019</v>
      </c>
    </row>
    <row r="1096" spans="1:7" x14ac:dyDescent="0.2">
      <c r="A1096" s="709">
        <f t="shared" si="187"/>
        <v>44136</v>
      </c>
      <c r="B1096" s="709" t="str">
        <f t="shared" si="188"/>
        <v>4Q20</v>
      </c>
      <c r="C1096" s="709" t="str">
        <f t="shared" si="189"/>
        <v>1Q21</v>
      </c>
      <c r="D1096" s="710">
        <f t="shared" si="184"/>
        <v>44225</v>
      </c>
      <c r="E1096" s="710">
        <f t="shared" si="185"/>
        <v>44165</v>
      </c>
      <c r="F1096" s="724">
        <f t="shared" si="180"/>
        <v>3.133</v>
      </c>
      <c r="G1096" s="713">
        <f t="shared" si="190"/>
        <v>0.40000000000000019</v>
      </c>
    </row>
    <row r="1097" spans="1:7" x14ac:dyDescent="0.2">
      <c r="A1097" s="709">
        <f t="shared" si="187"/>
        <v>44166</v>
      </c>
      <c r="B1097" s="709" t="str">
        <f t="shared" si="188"/>
        <v>4Q20</v>
      </c>
      <c r="C1097" s="709" t="str">
        <f t="shared" si="189"/>
        <v>1Q21</v>
      </c>
      <c r="D1097" s="710">
        <f t="shared" si="184"/>
        <v>44232</v>
      </c>
      <c r="E1097" s="710">
        <f t="shared" si="185"/>
        <v>44172</v>
      </c>
      <c r="F1097" s="724">
        <f t="shared" si="180"/>
        <v>3.133</v>
      </c>
      <c r="G1097" s="713">
        <f t="shared" si="190"/>
        <v>0.40000000000000019</v>
      </c>
    </row>
    <row r="1098" spans="1:7" x14ac:dyDescent="0.2">
      <c r="A1098" s="709">
        <f t="shared" si="187"/>
        <v>44166</v>
      </c>
      <c r="B1098" s="709" t="str">
        <f t="shared" si="188"/>
        <v>4Q20</v>
      </c>
      <c r="C1098" s="709" t="str">
        <f t="shared" si="189"/>
        <v>1Q21</v>
      </c>
      <c r="D1098" s="710">
        <f t="shared" si="184"/>
        <v>44239</v>
      </c>
      <c r="E1098" s="710">
        <f t="shared" si="185"/>
        <v>44179</v>
      </c>
      <c r="F1098" s="724">
        <f t="shared" si="180"/>
        <v>3.133</v>
      </c>
      <c r="G1098" s="713">
        <f t="shared" si="190"/>
        <v>0.40000000000000019</v>
      </c>
    </row>
    <row r="1099" spans="1:7" x14ac:dyDescent="0.2">
      <c r="A1099" s="709">
        <f t="shared" si="187"/>
        <v>44166</v>
      </c>
      <c r="B1099" s="709" t="str">
        <f t="shared" si="188"/>
        <v>4Q20</v>
      </c>
      <c r="C1099" s="709" t="str">
        <f t="shared" si="189"/>
        <v>1Q21</v>
      </c>
      <c r="D1099" s="710">
        <f t="shared" si="184"/>
        <v>44246</v>
      </c>
      <c r="E1099" s="710">
        <f t="shared" si="185"/>
        <v>44186</v>
      </c>
      <c r="F1099" s="724">
        <f t="shared" si="180"/>
        <v>3.133</v>
      </c>
      <c r="G1099" s="713">
        <f t="shared" si="190"/>
        <v>0.40000000000000019</v>
      </c>
    </row>
    <row r="1100" spans="1:7" x14ac:dyDescent="0.2">
      <c r="A1100" s="709">
        <f t="shared" si="187"/>
        <v>44166</v>
      </c>
      <c r="B1100" s="709" t="str">
        <f t="shared" si="188"/>
        <v>4Q20</v>
      </c>
      <c r="C1100" s="709" t="str">
        <f t="shared" si="189"/>
        <v>1Q21</v>
      </c>
      <c r="D1100" s="710">
        <f t="shared" si="184"/>
        <v>44253</v>
      </c>
      <c r="E1100" s="710">
        <f t="shared" si="185"/>
        <v>44193</v>
      </c>
      <c r="F1100" s="724">
        <f t="shared" si="180"/>
        <v>3.133</v>
      </c>
      <c r="G1100" s="713">
        <f t="shared" si="190"/>
        <v>0.40000000000000019</v>
      </c>
    </row>
    <row r="1101" spans="1:7" x14ac:dyDescent="0.2">
      <c r="A1101" s="709">
        <f t="shared" si="187"/>
        <v>44197</v>
      </c>
      <c r="B1101" s="709" t="str">
        <f t="shared" si="188"/>
        <v>1Q21</v>
      </c>
      <c r="C1101" s="709" t="str">
        <f t="shared" si="189"/>
        <v>1Q21</v>
      </c>
      <c r="D1101" s="710">
        <f t="shared" si="184"/>
        <v>44260</v>
      </c>
      <c r="E1101" s="710">
        <f t="shared" si="185"/>
        <v>44200</v>
      </c>
      <c r="F1101" s="724">
        <f t="shared" si="180"/>
        <v>3.133</v>
      </c>
      <c r="G1101" s="713">
        <f t="shared" si="190"/>
        <v>0.40000000000000019</v>
      </c>
    </row>
    <row r="1102" spans="1:7" x14ac:dyDescent="0.2">
      <c r="A1102" s="709">
        <f t="shared" si="187"/>
        <v>44197</v>
      </c>
      <c r="B1102" s="709" t="str">
        <f t="shared" si="188"/>
        <v>1Q21</v>
      </c>
      <c r="C1102" s="709" t="str">
        <f t="shared" si="189"/>
        <v>1Q21</v>
      </c>
      <c r="D1102" s="710">
        <f t="shared" si="184"/>
        <v>44267</v>
      </c>
      <c r="E1102" s="710">
        <f t="shared" si="185"/>
        <v>44207</v>
      </c>
      <c r="F1102" s="724">
        <f t="shared" si="180"/>
        <v>3.133</v>
      </c>
      <c r="G1102" s="713">
        <f t="shared" si="190"/>
        <v>0.40000000000000019</v>
      </c>
    </row>
  </sheetData>
  <mergeCells count="1">
    <mergeCell ref="I2:K2"/>
  </mergeCells>
  <phoneticPr fontId="18" type="noConversion"/>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DP1104"/>
  <sheetViews>
    <sheetView topLeftCell="D1" workbookViewId="0">
      <pane ySplit="3" topLeftCell="A953" activePane="bottomLeft" state="frozen"/>
      <selection activeCell="D54" sqref="D54"/>
      <selection pane="bottomLeft" activeCell="F960" sqref="F960"/>
    </sheetView>
  </sheetViews>
  <sheetFormatPr defaultRowHeight="12.75" outlineLevelRow="1" outlineLevelCol="1" x14ac:dyDescent="0.2"/>
  <cols>
    <col min="1" max="2" width="9" style="703" hidden="1" customWidth="1" outlineLevel="1"/>
    <col min="3" max="3" width="8.5" style="703" hidden="1" customWidth="1" outlineLevel="1"/>
    <col min="4" max="4" width="6.125" style="703" bestFit="1" customWidth="1" collapsed="1"/>
    <col min="5" max="5" width="6.125" style="703" bestFit="1" customWidth="1"/>
    <col min="6" max="6" width="12.875" style="725" customWidth="1"/>
    <col min="7" max="7" width="9" style="703"/>
    <col min="8" max="8" width="9" style="703" hidden="1" customWidth="1" outlineLevel="1"/>
    <col min="9" max="9" width="9" style="703" collapsed="1"/>
    <col min="10" max="12" width="9" style="703"/>
    <col min="13" max="13" width="37.375" style="703" customWidth="1"/>
    <col min="14" max="19" width="9" style="703" outlineLevel="1"/>
    <col min="20" max="20" width="9" style="703"/>
    <col min="21" max="24" width="9" style="703" hidden="1" customWidth="1" outlineLevel="1"/>
    <col min="25" max="25" width="9" style="703" collapsed="1"/>
    <col min="26" max="29" width="9" style="703" hidden="1" customWidth="1" outlineLevel="1"/>
    <col min="30" max="30" width="9" style="703" collapsed="1"/>
    <col min="31" max="34" width="8" style="703" hidden="1" customWidth="1" outlineLevel="1"/>
    <col min="35" max="35" width="9" style="703" collapsed="1"/>
    <col min="36" max="39" width="9" style="703" hidden="1" customWidth="1" outlineLevel="1"/>
    <col min="40" max="40" width="9" style="703" collapsed="1"/>
    <col min="41" max="44" width="9" style="703" hidden="1" customWidth="1" outlineLevel="1"/>
    <col min="45" max="45" width="9" style="703" collapsed="1"/>
    <col min="46" max="49" width="9" style="703" outlineLevel="1"/>
    <col min="50" max="50" width="9" style="703" hidden="1" customWidth="1"/>
    <col min="51" max="54" width="9" style="703" outlineLevel="1"/>
    <col min="55" max="55" width="9" style="703" hidden="1" customWidth="1"/>
    <col min="56" max="59" width="9" style="703" outlineLevel="1"/>
    <col min="60" max="60" width="9" style="703" hidden="1" customWidth="1"/>
    <col min="61" max="64" width="9" style="703" outlineLevel="1"/>
    <col min="65" max="65" width="9" style="703" hidden="1" customWidth="1"/>
    <col min="66" max="69" width="9" style="703" outlineLevel="1"/>
    <col min="70" max="70" width="9" style="703" hidden="1" customWidth="1"/>
    <col min="71" max="74" width="9" style="703" outlineLevel="1"/>
    <col min="75" max="75" width="9" style="703" hidden="1" customWidth="1"/>
    <col min="76" max="79" width="9" style="703" outlineLevel="1"/>
    <col min="80" max="80" width="0" style="703" hidden="1" customWidth="1"/>
    <col min="81" max="84" width="9" style="703" outlineLevel="1"/>
    <col min="85" max="85" width="9" style="703"/>
    <col min="86" max="89" width="9" style="703" outlineLevel="1"/>
    <col min="90" max="90" width="9" style="703"/>
    <col min="91" max="94" width="9" style="703" outlineLevel="1"/>
    <col min="95" max="95" width="9" style="703"/>
    <col min="96" max="99" width="9" style="703" outlineLevel="1"/>
    <col min="100" max="100" width="9" style="703"/>
    <col min="101" max="104" width="9" style="703" outlineLevel="1"/>
    <col min="105" max="105" width="9" style="703"/>
    <col min="106" max="109" width="9" style="703" outlineLevel="1"/>
    <col min="110" max="110" width="9" style="703"/>
    <col min="111" max="114" width="9" style="703" outlineLevel="1"/>
    <col min="115" max="115" width="9" style="703"/>
    <col min="116" max="119" width="9" style="703" outlineLevel="1"/>
    <col min="120" max="16384" width="9" style="703"/>
  </cols>
  <sheetData>
    <row r="1" spans="1:120" x14ac:dyDescent="0.2">
      <c r="A1" s="696"/>
      <c r="B1" s="696"/>
      <c r="C1" s="696"/>
      <c r="D1" s="697"/>
      <c r="E1" s="697"/>
      <c r="F1" s="698"/>
      <c r="G1" s="697"/>
      <c r="H1" s="697"/>
      <c r="I1" s="697"/>
      <c r="J1" s="697"/>
      <c r="K1" s="697"/>
      <c r="L1" s="699"/>
      <c r="M1" s="700" t="s">
        <v>35</v>
      </c>
      <c r="N1" s="697"/>
      <c r="O1" s="697"/>
      <c r="P1" s="701" t="str">
        <f>"1Q" &amp; MID(T2,3,2)</f>
        <v>1Q00</v>
      </c>
      <c r="Q1" s="701" t="str">
        <f>"2Q" &amp; MID(T2,3,2)</f>
        <v>2Q00</v>
      </c>
      <c r="R1" s="701" t="str">
        <f>"3Q" &amp; MID(T2,3,2)</f>
        <v>3Q00</v>
      </c>
      <c r="S1" s="701" t="str">
        <f>"4Q" &amp; MID(T2,3,2)</f>
        <v>4Q00</v>
      </c>
      <c r="T1" s="702" t="str">
        <f>LEFT(T2,4)</f>
        <v>2000</v>
      </c>
      <c r="U1" s="701" t="str">
        <f>"1Q" &amp; MID(Y2,3,2)</f>
        <v>1Q01</v>
      </c>
      <c r="V1" s="701" t="str">
        <f>"2Q" &amp; MID(Y2,3,2)</f>
        <v>2Q01</v>
      </c>
      <c r="W1" s="701" t="str">
        <f>"3Q" &amp; MID(Y2,3,2)</f>
        <v>3Q01</v>
      </c>
      <c r="X1" s="701" t="str">
        <f>"4Q" &amp; MID(Y2,3,2)</f>
        <v>4Q01</v>
      </c>
      <c r="Y1" s="702" t="str">
        <f>LEFT(Y2,4)</f>
        <v>2001</v>
      </c>
      <c r="Z1" s="701" t="str">
        <f>"1Q" &amp; MID(AD2,3,2)</f>
        <v>1Q02</v>
      </c>
      <c r="AA1" s="701" t="str">
        <f>"2Q" &amp; MID(AD2,3,2)</f>
        <v>2Q02</v>
      </c>
      <c r="AB1" s="701" t="str">
        <f>"3Q" &amp; MID(AD2,3,2)</f>
        <v>3Q02</v>
      </c>
      <c r="AC1" s="701" t="str">
        <f>"4Q" &amp; MID(AD2,3,2)</f>
        <v>4Q02</v>
      </c>
      <c r="AD1" s="702" t="str">
        <f>LEFT(AD2,4)</f>
        <v>2002</v>
      </c>
      <c r="AE1" s="701" t="str">
        <f>"1Q" &amp; MID(AI2,3,2)</f>
        <v>1Q03</v>
      </c>
      <c r="AF1" s="701" t="str">
        <f>"2Q" &amp; MID(AI2,3,2)</f>
        <v>2Q03</v>
      </c>
      <c r="AG1" s="701" t="str">
        <f>"3Q" &amp; MID(AI2,3,2)</f>
        <v>3Q03</v>
      </c>
      <c r="AH1" s="701" t="str">
        <f>"4Q" &amp; MID(AI2,3,2)</f>
        <v>4Q03</v>
      </c>
      <c r="AI1" s="702" t="str">
        <f>LEFT(AI2,4)</f>
        <v>2003</v>
      </c>
      <c r="AJ1" s="701" t="str">
        <f>"1Q" &amp; MID(AN2,3,2)</f>
        <v>1Q04</v>
      </c>
      <c r="AK1" s="701" t="str">
        <f>"2Q" &amp; MID(AN2,3,2)</f>
        <v>2Q04</v>
      </c>
      <c r="AL1" s="701" t="str">
        <f>"3Q" &amp; MID(AN2,3,2)</f>
        <v>3Q04</v>
      </c>
      <c r="AM1" s="701" t="str">
        <f>"4Q" &amp; MID(AN2,3,2)</f>
        <v>4Q04</v>
      </c>
      <c r="AN1" s="702" t="str">
        <f>LEFT(AN2,4)</f>
        <v>2004</v>
      </c>
      <c r="AO1" s="701" t="str">
        <f>"1Q" &amp; MID(AS2,3,2)</f>
        <v>1Q05</v>
      </c>
      <c r="AP1" s="701" t="str">
        <f>"2Q" &amp; MID(AS2,3,2)</f>
        <v>2Q05</v>
      </c>
      <c r="AQ1" s="701" t="str">
        <f>"3Q" &amp; MID(AS2,3,2)</f>
        <v>3Q05</v>
      </c>
      <c r="AR1" s="701" t="str">
        <f>"4Q" &amp; MID(AS2,3,2)</f>
        <v>4Q05</v>
      </c>
      <c r="AS1" s="702" t="str">
        <f>LEFT(AS2,4)</f>
        <v>2005</v>
      </c>
      <c r="AT1" s="701" t="str">
        <f>"1Q" &amp; MID(AX2,3,2)</f>
        <v>1Q06</v>
      </c>
      <c r="AU1" s="701" t="str">
        <f>"2Q" &amp; MID(AX2,3,2)</f>
        <v>2Q06</v>
      </c>
      <c r="AV1" s="701" t="str">
        <f>"3Q" &amp; MID(AX2,3,2)</f>
        <v>3Q06</v>
      </c>
      <c r="AW1" s="701" t="str">
        <f>"4Q" &amp; MID(AX2,3,2)</f>
        <v>4Q06</v>
      </c>
      <c r="AX1" s="702" t="str">
        <f>LEFT(AX2,4)</f>
        <v>2006</v>
      </c>
      <c r="AY1" s="701" t="str">
        <f>"1Q" &amp; MID(BC2,3,2)</f>
        <v>1Q07</v>
      </c>
      <c r="AZ1" s="701" t="str">
        <f>"2Q" &amp; MID(BC2,3,2)</f>
        <v>2Q07</v>
      </c>
      <c r="BA1" s="701" t="str">
        <f>"3Q" &amp; MID(BC2,3,2)</f>
        <v>3Q07</v>
      </c>
      <c r="BB1" s="701" t="str">
        <f>"4Q" &amp; MID(BC2,3,2)</f>
        <v>4Q07</v>
      </c>
      <c r="BC1" s="702" t="str">
        <f>LEFT(BC2,4)</f>
        <v>2007</v>
      </c>
      <c r="BD1" s="701" t="str">
        <f>"1Q" &amp; MID(BH2,3,2)</f>
        <v>1Q08</v>
      </c>
      <c r="BE1" s="701" t="str">
        <f>"2Q" &amp; MID(BH2,3,2)</f>
        <v>2Q08</v>
      </c>
      <c r="BF1" s="701" t="str">
        <f>"3Q" &amp; MID(BH2,3,2)</f>
        <v>3Q08</v>
      </c>
      <c r="BG1" s="701" t="str">
        <f>"4Q" &amp; MID(BH2,3,2)</f>
        <v>4Q08</v>
      </c>
      <c r="BH1" s="702" t="str">
        <f>LEFT(BH2,4)</f>
        <v>2008</v>
      </c>
      <c r="BI1" s="701" t="str">
        <f>"1Q" &amp; MID(BM2,3,2)</f>
        <v>1Q09</v>
      </c>
      <c r="BJ1" s="701" t="str">
        <f>"2Q" &amp; MID(BM2,3,2)</f>
        <v>2Q09</v>
      </c>
      <c r="BK1" s="701" t="str">
        <f>"3Q" &amp; MID(BM2,3,2)</f>
        <v>3Q09</v>
      </c>
      <c r="BL1" s="701" t="str">
        <f>"4Q" &amp; MID(BM2,3,2)</f>
        <v>4Q09</v>
      </c>
      <c r="BM1" s="702" t="str">
        <f>LEFT(BM2,4)</f>
        <v>2009</v>
      </c>
      <c r="BN1" s="701" t="str">
        <f>"1Q" &amp; MID(BR2,3,2)</f>
        <v>1Q10</v>
      </c>
      <c r="BO1" s="701" t="str">
        <f>"2Q" &amp; MID(BR2,3,2)</f>
        <v>2Q10</v>
      </c>
      <c r="BP1" s="701" t="str">
        <f>"3Q" &amp; MID(BR2,3,2)</f>
        <v>3Q10</v>
      </c>
      <c r="BQ1" s="701" t="str">
        <f>"4Q" &amp; MID(BR2,3,2)</f>
        <v>4Q10</v>
      </c>
      <c r="BR1" s="702" t="str">
        <f>LEFT(BR2,4)</f>
        <v>2010</v>
      </c>
      <c r="BS1" s="701" t="str">
        <f>"1Q" &amp; MID(BW2,3,2)</f>
        <v>1Q11</v>
      </c>
      <c r="BT1" s="701" t="str">
        <f>"2Q" &amp; MID(BW2,3,2)</f>
        <v>2Q11</v>
      </c>
      <c r="BU1" s="701" t="str">
        <f>"3Q" &amp; MID(BW2,3,2)</f>
        <v>3Q11</v>
      </c>
      <c r="BV1" s="701" t="str">
        <f>"4Q" &amp; MID(BW2,3,2)</f>
        <v>4Q11</v>
      </c>
      <c r="BW1" s="702" t="str">
        <f>LEFT(BW2,4)</f>
        <v>2011</v>
      </c>
      <c r="BX1" s="701" t="str">
        <f>"1Q" &amp; MID(CB2,3,2)</f>
        <v>1Q12</v>
      </c>
      <c r="BY1" s="701" t="str">
        <f>"2Q" &amp; MID(CB2,3,2)</f>
        <v>2Q12</v>
      </c>
      <c r="BZ1" s="701" t="str">
        <f>"3Q" &amp; MID(CB2,3,2)</f>
        <v>3Q12</v>
      </c>
      <c r="CA1" s="701" t="str">
        <f>"4Q" &amp; MID(CB2,3,2)</f>
        <v>4Q12</v>
      </c>
      <c r="CB1" s="702" t="str">
        <f>LEFT(CB2,4)</f>
        <v>2012</v>
      </c>
      <c r="CC1" s="701" t="str">
        <f>"1Q" &amp; MID(CG2,3,2)</f>
        <v>1Q13</v>
      </c>
      <c r="CD1" s="701" t="str">
        <f>"2Q" &amp; MID(CG2,3,2)</f>
        <v>2Q13</v>
      </c>
      <c r="CE1" s="701" t="str">
        <f>"3Q" &amp; MID(CG2,3,2)</f>
        <v>3Q13</v>
      </c>
      <c r="CF1" s="701" t="str">
        <f>"4Q" &amp; MID(CG2,3,2)</f>
        <v>4Q13</v>
      </c>
      <c r="CG1" s="702" t="str">
        <f>LEFT(CG2,4)</f>
        <v>2013</v>
      </c>
      <c r="CH1" s="701" t="str">
        <f>"1Q" &amp; MID(CL2,3,2)</f>
        <v>1Q14</v>
      </c>
      <c r="CI1" s="701" t="str">
        <f>"2Q" &amp; MID(CL2,3,2)</f>
        <v>2Q14</v>
      </c>
      <c r="CJ1" s="701" t="str">
        <f>"3Q" &amp; MID(CL2,3,2)</f>
        <v>3Q14</v>
      </c>
      <c r="CK1" s="701" t="str">
        <f>"4Q" &amp; MID(CL2,3,2)</f>
        <v>4Q14</v>
      </c>
      <c r="CL1" s="702" t="str">
        <f>LEFT(CL2,4)</f>
        <v>2014</v>
      </c>
      <c r="CM1" s="701" t="str">
        <f>"1Q" &amp; MID(CQ2,3,2)</f>
        <v>1Q15</v>
      </c>
      <c r="CN1" s="701" t="str">
        <f>"2Q" &amp; MID(CQ2,3,2)</f>
        <v>2Q15</v>
      </c>
      <c r="CO1" s="701" t="str">
        <f>"3Q" &amp; MID(CQ2,3,2)</f>
        <v>3Q15</v>
      </c>
      <c r="CP1" s="701" t="str">
        <f>"4Q" &amp; MID(CQ2,3,2)</f>
        <v>4Q15</v>
      </c>
      <c r="CQ1" s="702" t="str">
        <f>LEFT(CQ2,4)</f>
        <v>2015</v>
      </c>
      <c r="CR1" s="701" t="str">
        <f>"1Q" &amp; MID(CV2,3,2)</f>
        <v>1Q16</v>
      </c>
      <c r="CS1" s="701" t="str">
        <f>"2Q" &amp; MID(CV2,3,2)</f>
        <v>2Q16</v>
      </c>
      <c r="CT1" s="701" t="str">
        <f>"3Q" &amp; MID(CV2,3,2)</f>
        <v>3Q16</v>
      </c>
      <c r="CU1" s="701" t="str">
        <f>"4Q" &amp; MID(CV2,3,2)</f>
        <v>4Q16</v>
      </c>
      <c r="CV1" s="702" t="str">
        <f>LEFT(CV2,4)</f>
        <v>2016</v>
      </c>
      <c r="CW1" s="701" t="str">
        <f>"1Q" &amp; MID(DA2,3,2)</f>
        <v>1Q17</v>
      </c>
      <c r="CX1" s="701" t="str">
        <f>"2Q" &amp; MID(DA2,3,2)</f>
        <v>2Q17</v>
      </c>
      <c r="CY1" s="701" t="str">
        <f>"3Q" &amp; MID(DA2,3,2)</f>
        <v>3Q17</v>
      </c>
      <c r="CZ1" s="701" t="str">
        <f>"4Q" &amp; MID(DA2,3,2)</f>
        <v>4Q17</v>
      </c>
      <c r="DA1" s="702" t="str">
        <f>LEFT(DA2,4)</f>
        <v>2017</v>
      </c>
      <c r="DB1" s="701" t="str">
        <f>"1Q" &amp; MID(DF2,3,2)</f>
        <v>1Q18</v>
      </c>
      <c r="DC1" s="701" t="str">
        <f>"2Q" &amp; MID(DF2,3,2)</f>
        <v>2Q18</v>
      </c>
      <c r="DD1" s="701" t="str">
        <f>"3Q" &amp; MID(DF2,3,2)</f>
        <v>3Q18</v>
      </c>
      <c r="DE1" s="701" t="str">
        <f>"4Q" &amp; MID(DF2,3,2)</f>
        <v>4Q18</v>
      </c>
      <c r="DF1" s="702" t="str">
        <f>LEFT(DF2,4)</f>
        <v>2018</v>
      </c>
      <c r="DG1" s="701" t="str">
        <f>"1Q" &amp; MID(DK2,3,2)</f>
        <v>1Q19</v>
      </c>
      <c r="DH1" s="701" t="str">
        <f>"2Q" &amp; MID(DK2,3,2)</f>
        <v>2Q19</v>
      </c>
      <c r="DI1" s="701" t="str">
        <f>"3Q" &amp; MID(DK2,3,2)</f>
        <v>3Q19</v>
      </c>
      <c r="DJ1" s="701" t="str">
        <f>"4Q" &amp; MID(DK2,3,2)</f>
        <v>4Q19</v>
      </c>
      <c r="DK1" s="702" t="str">
        <f>LEFT(DK2,4)</f>
        <v>2019</v>
      </c>
      <c r="DL1" s="701" t="str">
        <f>"1Q" &amp; MID(DP2,3,2)</f>
        <v>1Q20</v>
      </c>
      <c r="DM1" s="701" t="str">
        <f>"2Q" &amp; MID(DP2,3,2)</f>
        <v>2Q20</v>
      </c>
      <c r="DN1" s="701" t="str">
        <f>"3Q" &amp; MID(DP2,3,2)</f>
        <v>3Q20</v>
      </c>
      <c r="DO1" s="701" t="str">
        <f>"4Q" &amp; MID(DP2,3,2)</f>
        <v>4Q20</v>
      </c>
      <c r="DP1" s="702" t="str">
        <f>LEFT(DP2,4)</f>
        <v>2020</v>
      </c>
    </row>
    <row r="2" spans="1:120" x14ac:dyDescent="0.2">
      <c r="A2" s="696"/>
      <c r="B2" s="696"/>
      <c r="C2" s="696"/>
      <c r="D2" s="697"/>
      <c r="E2" s="697"/>
      <c r="F2" s="698"/>
      <c r="G2" s="697"/>
      <c r="H2" s="697"/>
      <c r="I2" s="2169" t="s">
        <v>409</v>
      </c>
      <c r="J2" s="2169"/>
      <c r="K2" s="2169"/>
      <c r="L2" s="699"/>
      <c r="M2" s="697"/>
      <c r="N2" s="704"/>
      <c r="O2" s="704"/>
      <c r="P2" s="705" t="s">
        <v>522</v>
      </c>
      <c r="Q2" s="705" t="s">
        <v>523</v>
      </c>
      <c r="R2" s="705" t="s">
        <v>531</v>
      </c>
      <c r="S2" s="705" t="s">
        <v>532</v>
      </c>
      <c r="T2" s="705" t="s">
        <v>622</v>
      </c>
      <c r="U2" s="705" t="s">
        <v>522</v>
      </c>
      <c r="V2" s="705" t="s">
        <v>523</v>
      </c>
      <c r="W2" s="705" t="s">
        <v>531</v>
      </c>
      <c r="X2" s="705" t="s">
        <v>532</v>
      </c>
      <c r="Y2" s="705" t="s">
        <v>623</v>
      </c>
      <c r="Z2" s="705" t="s">
        <v>522</v>
      </c>
      <c r="AA2" s="705" t="s">
        <v>523</v>
      </c>
      <c r="AB2" s="705" t="s">
        <v>531</v>
      </c>
      <c r="AC2" s="705" t="s">
        <v>532</v>
      </c>
      <c r="AD2" s="705" t="s">
        <v>533</v>
      </c>
      <c r="AE2" s="705" t="s">
        <v>522</v>
      </c>
      <c r="AF2" s="705" t="s">
        <v>523</v>
      </c>
      <c r="AG2" s="705" t="s">
        <v>531</v>
      </c>
      <c r="AH2" s="705" t="s">
        <v>532</v>
      </c>
      <c r="AI2" s="705" t="s">
        <v>534</v>
      </c>
      <c r="AJ2" s="705" t="s">
        <v>522</v>
      </c>
      <c r="AK2" s="705" t="s">
        <v>523</v>
      </c>
      <c r="AL2" s="705" t="s">
        <v>531</v>
      </c>
      <c r="AM2" s="705" t="s">
        <v>532</v>
      </c>
      <c r="AN2" s="705" t="s">
        <v>535</v>
      </c>
      <c r="AO2" s="705" t="s">
        <v>522</v>
      </c>
      <c r="AP2" s="705" t="s">
        <v>523</v>
      </c>
      <c r="AQ2" s="705" t="s">
        <v>531</v>
      </c>
      <c r="AR2" s="705" t="s">
        <v>532</v>
      </c>
      <c r="AS2" s="705" t="s">
        <v>536</v>
      </c>
      <c r="AT2" s="705" t="s">
        <v>522</v>
      </c>
      <c r="AU2" s="705" t="s">
        <v>523</v>
      </c>
      <c r="AV2" s="705" t="s">
        <v>531</v>
      </c>
      <c r="AW2" s="705" t="s">
        <v>532</v>
      </c>
      <c r="AX2" s="705" t="s">
        <v>198</v>
      </c>
      <c r="AY2" s="705" t="s">
        <v>522</v>
      </c>
      <c r="AZ2" s="705" t="s">
        <v>523</v>
      </c>
      <c r="BA2" s="705" t="s">
        <v>531</v>
      </c>
      <c r="BB2" s="705" t="s">
        <v>532</v>
      </c>
      <c r="BC2" s="705" t="s">
        <v>199</v>
      </c>
      <c r="BD2" s="705" t="s">
        <v>522</v>
      </c>
      <c r="BE2" s="705" t="s">
        <v>523</v>
      </c>
      <c r="BF2" s="705" t="s">
        <v>531</v>
      </c>
      <c r="BG2" s="705" t="s">
        <v>532</v>
      </c>
      <c r="BH2" s="705" t="s">
        <v>200</v>
      </c>
      <c r="BI2" s="705" t="s">
        <v>522</v>
      </c>
      <c r="BJ2" s="705" t="s">
        <v>523</v>
      </c>
      <c r="BK2" s="705" t="s">
        <v>531</v>
      </c>
      <c r="BL2" s="705" t="s">
        <v>532</v>
      </c>
      <c r="BM2" s="705" t="s">
        <v>435</v>
      </c>
      <c r="BN2" s="705" t="s">
        <v>522</v>
      </c>
      <c r="BO2" s="705" t="s">
        <v>523</v>
      </c>
      <c r="BP2" s="705" t="s">
        <v>531</v>
      </c>
      <c r="BQ2" s="705" t="s">
        <v>532</v>
      </c>
      <c r="BR2" s="705" t="s">
        <v>436</v>
      </c>
      <c r="BS2" s="705" t="s">
        <v>522</v>
      </c>
      <c r="BT2" s="705" t="s">
        <v>523</v>
      </c>
      <c r="BU2" s="705" t="s">
        <v>531</v>
      </c>
      <c r="BV2" s="705" t="s">
        <v>532</v>
      </c>
      <c r="BW2" s="705" t="s">
        <v>11</v>
      </c>
      <c r="BX2" s="705" t="s">
        <v>522</v>
      </c>
      <c r="BY2" s="705" t="s">
        <v>523</v>
      </c>
      <c r="BZ2" s="705" t="s">
        <v>531</v>
      </c>
      <c r="CA2" s="705" t="s">
        <v>532</v>
      </c>
      <c r="CB2" s="705" t="s">
        <v>12</v>
      </c>
      <c r="CC2" s="705" t="s">
        <v>522</v>
      </c>
      <c r="CD2" s="705" t="s">
        <v>523</v>
      </c>
      <c r="CE2" s="705" t="s">
        <v>531</v>
      </c>
      <c r="CF2" s="705" t="s">
        <v>532</v>
      </c>
      <c r="CG2" s="705" t="s">
        <v>313</v>
      </c>
      <c r="CH2" s="705" t="str">
        <f>CC2</f>
        <v>1QA</v>
      </c>
      <c r="CI2" s="705" t="str">
        <f>CD2</f>
        <v>2QA</v>
      </c>
      <c r="CJ2" s="705" t="s">
        <v>531</v>
      </c>
      <c r="CK2" s="705" t="s">
        <v>532</v>
      </c>
      <c r="CL2" s="705" t="s">
        <v>717</v>
      </c>
      <c r="CM2" s="705" t="s">
        <v>522</v>
      </c>
      <c r="CN2" s="705" t="s">
        <v>523</v>
      </c>
      <c r="CO2" s="705" t="s">
        <v>531</v>
      </c>
      <c r="CP2" s="705" t="s">
        <v>437</v>
      </c>
      <c r="CQ2" s="705" t="s">
        <v>213</v>
      </c>
      <c r="CR2" s="705" t="str">
        <f>CM2</f>
        <v>1QA</v>
      </c>
      <c r="CS2" s="705" t="str">
        <f>CN2</f>
        <v>2QA</v>
      </c>
      <c r="CT2" s="705" t="str">
        <f>CO2</f>
        <v>3QA</v>
      </c>
      <c r="CU2" s="705" t="str">
        <f>CP2</f>
        <v>4QE</v>
      </c>
      <c r="CV2" s="705" t="s">
        <v>374</v>
      </c>
      <c r="CW2" s="705" t="str">
        <f>CR2</f>
        <v>1QA</v>
      </c>
      <c r="CX2" s="705" t="str">
        <f>CS2</f>
        <v>2QA</v>
      </c>
      <c r="CY2" s="705" t="str">
        <f>CT2</f>
        <v>3QA</v>
      </c>
      <c r="CZ2" s="705" t="str">
        <f>CU2</f>
        <v>4QE</v>
      </c>
      <c r="DA2" s="705" t="s">
        <v>65</v>
      </c>
      <c r="DB2" s="705" t="str">
        <f>CW2</f>
        <v>1QA</v>
      </c>
      <c r="DC2" s="705" t="str">
        <f>CX2</f>
        <v>2QA</v>
      </c>
      <c r="DD2" s="705" t="str">
        <f>CY2</f>
        <v>3QA</v>
      </c>
      <c r="DE2" s="705" t="str">
        <f>CZ2</f>
        <v>4QE</v>
      </c>
      <c r="DF2" s="705" t="s">
        <v>719</v>
      </c>
      <c r="DG2" s="705" t="str">
        <f>DB2</f>
        <v>1QA</v>
      </c>
      <c r="DH2" s="705" t="str">
        <f>DC2</f>
        <v>2QA</v>
      </c>
      <c r="DI2" s="705" t="str">
        <f>DD2</f>
        <v>3QA</v>
      </c>
      <c r="DJ2" s="705" t="str">
        <f>DE2</f>
        <v>4QE</v>
      </c>
      <c r="DK2" s="705" t="s">
        <v>798</v>
      </c>
      <c r="DL2" s="705" t="str">
        <f>DG2</f>
        <v>1QA</v>
      </c>
      <c r="DM2" s="705" t="str">
        <f>DH2</f>
        <v>2QA</v>
      </c>
      <c r="DN2" s="705" t="str">
        <f>DI2</f>
        <v>3QA</v>
      </c>
      <c r="DO2" s="705" t="str">
        <f>DJ2</f>
        <v>4QE</v>
      </c>
      <c r="DP2" s="705" t="s">
        <v>830</v>
      </c>
    </row>
    <row r="3" spans="1:120" ht="33.75" x14ac:dyDescent="0.2">
      <c r="A3" s="706" t="s">
        <v>66</v>
      </c>
      <c r="B3" s="706" t="s">
        <v>107</v>
      </c>
      <c r="C3" s="706" t="s">
        <v>648</v>
      </c>
      <c r="D3" s="706" t="s">
        <v>67</v>
      </c>
      <c r="E3" s="706" t="s">
        <v>68</v>
      </c>
      <c r="F3" s="707" t="s">
        <v>409</v>
      </c>
      <c r="G3" s="707" t="s">
        <v>385</v>
      </c>
      <c r="H3" s="707" t="s">
        <v>386</v>
      </c>
      <c r="I3" s="708" t="s">
        <v>387</v>
      </c>
      <c r="J3" s="708" t="s">
        <v>388</v>
      </c>
      <c r="K3" s="707" t="s">
        <v>638</v>
      </c>
      <c r="L3" s="699"/>
      <c r="M3" s="700" t="s">
        <v>18</v>
      </c>
      <c r="N3" s="708" t="s">
        <v>66</v>
      </c>
      <c r="O3" s="708" t="s">
        <v>389</v>
      </c>
      <c r="P3" s="697"/>
      <c r="Q3" s="697"/>
      <c r="R3" s="697"/>
      <c r="S3" s="697"/>
      <c r="T3" s="697"/>
      <c r="U3" s="697"/>
      <c r="V3" s="697"/>
      <c r="W3" s="697"/>
      <c r="X3" s="697"/>
      <c r="Y3" s="697"/>
      <c r="Z3" s="697"/>
      <c r="AA3" s="697"/>
      <c r="AB3" s="697"/>
      <c r="AC3" s="697"/>
      <c r="AD3" s="697"/>
      <c r="AE3" s="697"/>
      <c r="AF3" s="697"/>
      <c r="AG3" s="697"/>
      <c r="AH3" s="697"/>
      <c r="AI3" s="697"/>
      <c r="AJ3" s="697"/>
      <c r="AK3" s="697"/>
      <c r="AL3" s="697"/>
      <c r="AM3" s="697"/>
      <c r="AN3" s="697"/>
      <c r="AO3" s="697"/>
      <c r="AP3" s="697"/>
      <c r="AQ3" s="697"/>
      <c r="AR3" s="697"/>
      <c r="AS3" s="697"/>
      <c r="AT3" s="697"/>
      <c r="AU3" s="697"/>
      <c r="AV3" s="697"/>
      <c r="AW3" s="697"/>
      <c r="AX3" s="697"/>
      <c r="AY3" s="697"/>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c r="DA3" s="697"/>
      <c r="DB3" s="697"/>
      <c r="DC3" s="697"/>
      <c r="DD3" s="697"/>
      <c r="DE3" s="697"/>
      <c r="DF3" s="697"/>
      <c r="DG3" s="697"/>
      <c r="DH3" s="697"/>
      <c r="DI3" s="697"/>
      <c r="DJ3" s="697"/>
      <c r="DK3" s="697"/>
      <c r="DL3" s="697"/>
      <c r="DM3" s="697"/>
      <c r="DN3" s="697"/>
      <c r="DO3" s="697"/>
      <c r="DP3" s="697"/>
    </row>
    <row r="4" spans="1:120" x14ac:dyDescent="0.2">
      <c r="A4" s="709">
        <f t="shared" ref="A4:A67" si="0">DATE(YEAR(E4),MONTH(E4),1)</f>
        <v>36495</v>
      </c>
      <c r="B4" s="709" t="str">
        <f t="shared" ref="B4:B67" si="1">VLOOKUP(MONTH(A4),$N$4:$O$16,2,FALSE) &amp; "Q" &amp; RIGHT(YEAR(A4),2)</f>
        <v>4Q99</v>
      </c>
      <c r="C4" s="709" t="str">
        <f t="shared" ref="C4:C67" si="2">VLOOKUP(MONTH(D4),$N$4:$O$16,2,FALSE) &amp; "Q" &amp; RIGHT(YEAR(D4),2)</f>
        <v>1Q00</v>
      </c>
      <c r="D4" s="710">
        <f>E4+60</f>
        <v>36578</v>
      </c>
      <c r="E4" s="711">
        <v>36518</v>
      </c>
      <c r="F4" s="712">
        <v>26.07</v>
      </c>
      <c r="G4" s="713">
        <f t="shared" ref="G4:G67" si="3">INDEX($I$4:$K$153,MATCH(F4,$I$4:$I$153,1),3)</f>
        <v>1.4900000000000011</v>
      </c>
      <c r="H4" s="713">
        <f t="shared" ref="H4:H67" si="4">G5</f>
        <v>1.4900000000000011</v>
      </c>
      <c r="I4" s="713">
        <v>0</v>
      </c>
      <c r="J4" s="713">
        <v>1.1499999999999999</v>
      </c>
      <c r="K4" s="713">
        <v>0</v>
      </c>
      <c r="L4" s="697"/>
      <c r="M4" s="700" t="s">
        <v>390</v>
      </c>
      <c r="N4" s="697">
        <v>1</v>
      </c>
      <c r="O4" s="697">
        <v>1</v>
      </c>
      <c r="P4" s="714"/>
      <c r="Q4" s="714">
        <f>SUMIF($B:$B,Q$1,$F:$F)/COUNTIF($B:$B,Q$1)</f>
        <v>28.904615384615383</v>
      </c>
      <c r="R4" s="714">
        <f>SUMIF($B:$B,R$1,$F:$F)/COUNTIF($B:$B,R$1)</f>
        <v>31.634615384615383</v>
      </c>
      <c r="S4" s="714">
        <f>SUMIF($B:$B,S$1,$F:$F)/COUNTIF($B:$B,S$1)</f>
        <v>32.035384615384615</v>
      </c>
      <c r="T4" s="715">
        <f>AVERAGE(P4:S4)</f>
        <v>30.858205128205128</v>
      </c>
      <c r="U4" s="714">
        <f>SUMIF($B:$B,U$1,$F:$F)/COUNTIF($B:$B,U$1)</f>
        <v>28.775384615384617</v>
      </c>
      <c r="V4" s="714">
        <f>SUMIF($B:$B,V$1,$F:$F)/COUNTIF($B:$B,V$1)</f>
        <v>27.936153846153843</v>
      </c>
      <c r="W4" s="714">
        <f>SUMIF($B:$B,W$1,$F:$F)/COUNTIF($B:$B,W$1)</f>
        <v>26.716923076923077</v>
      </c>
      <c r="X4" s="714">
        <f>SUMIF($B:$B,X$1,$F:$F)/COUNTIF($B:$B,X$1)</f>
        <v>20.454615384615384</v>
      </c>
      <c r="Y4" s="715">
        <f>AVERAGE(U4:X4)</f>
        <v>25.970769230769228</v>
      </c>
      <c r="Z4" s="714">
        <f>SUMIF($B:$B,Z$1,$F:$F)/COUNTIF($B:$B,Z$1)</f>
        <v>21.613076923076925</v>
      </c>
      <c r="AA4" s="714">
        <f>SUMIF($B:$B,AA$1,$F:$F)/COUNTIF($B:$B,AA$1)</f>
        <v>26.253076923076925</v>
      </c>
      <c r="AB4" s="714">
        <f>SUMIF($B:$B,AB$1,$F:$F)/COUNTIF($B:$B,AB$1)</f>
        <v>28.239999999999995</v>
      </c>
      <c r="AC4" s="714">
        <f>SUMIF($B:$B,AC$1,$F:$F)/COUNTIF($B:$B,AC$1)</f>
        <v>28.256153846153843</v>
      </c>
      <c r="AD4" s="715">
        <f>AVERAGE(Z4:AC4)</f>
        <v>26.090576923076924</v>
      </c>
      <c r="AE4" s="714">
        <f>SUMIF($B:$B,AE$1,$F:$F)/COUNTIF($B:$B,AE$1)</f>
        <v>34.016923076923078</v>
      </c>
      <c r="AF4" s="714">
        <f>SUMIF($B:$B,AF$1,$F:$F)/COUNTIF($B:$B,AF$1)</f>
        <v>29.001538461538455</v>
      </c>
      <c r="AG4" s="714">
        <f>SUMIF($B:$B,AG$1,$F:$F)/COUNTIF($B:$B,AG$1)</f>
        <v>30.251538461538459</v>
      </c>
      <c r="AH4" s="714">
        <f>SUMIF($B:$B,AH$1,$F:$F)/COUNTIF($B:$B,AH$1)</f>
        <v>31.025384615384613</v>
      </c>
      <c r="AI4" s="715">
        <f>AVERAGE(AE4:AH4)</f>
        <v>31.073846153846151</v>
      </c>
      <c r="AJ4" s="714">
        <f>SUMIF($B:$B,AJ$1,$F:$F)/COUNTIF($B:$B,AJ$1)</f>
        <v>35.122307692307686</v>
      </c>
      <c r="AK4" s="714">
        <f>SUMIF($B:$B,AK$1,$F:$F)/COUNTIF($B:$B,AK$1)</f>
        <v>38.277692307692305</v>
      </c>
      <c r="AL4" s="714">
        <f>SUMIF($B:$B,AL$1,$F:$F)/COUNTIF($B:$B,AL$1)</f>
        <v>43.112307692307695</v>
      </c>
      <c r="AM4" s="714">
        <f>SUMIF($B:$B,AM$1,$F:$F)/COUNTIF($B:$B,AM$1)</f>
        <v>48.247142857142855</v>
      </c>
      <c r="AN4" s="715">
        <f>AVERAGE(AJ4:AM4)</f>
        <v>41.189862637362637</v>
      </c>
      <c r="AO4" s="714">
        <f>SUMIF($B:$B,AO$1,$F:$F)/COUNTIF($B:$B,AO$1)</f>
        <v>49.644166666666671</v>
      </c>
      <c r="AP4" s="714">
        <f>SUMIF($B:$B,AP$1,$F:$F)/COUNTIF($B:$B,AP$1)</f>
        <v>52.896153846153837</v>
      </c>
      <c r="AQ4" s="714">
        <f>SUMIF($B:$B,AQ$1,$F:$F)/COUNTIF($B:$B,AQ$1)</f>
        <v>62.98571428571428</v>
      </c>
      <c r="AR4" s="714">
        <f>SUMIF($B:$B,AR$1,$F:$F)/COUNTIF($B:$B,AR$1)</f>
        <v>59.96384615384617</v>
      </c>
      <c r="AS4" s="715">
        <f>AVERAGE(AO4:AR4)</f>
        <v>56.372470238095239</v>
      </c>
      <c r="AT4" s="714">
        <f>SUMIF($B:$B,AT$1,$F:$F)/COUNTIF($B:$B,AT$1)</f>
        <v>63.270769230769233</v>
      </c>
      <c r="AU4" s="714">
        <f>SUMIF($B:$B,AU$1,$F:$F)/COUNTIF($B:$B,AU$1)</f>
        <v>70.450769230769211</v>
      </c>
      <c r="AV4" s="714">
        <f>SUMIF($B:$B,AV$1,$F:$F)/COUNTIF($B:$B,AV$1)</f>
        <v>70.562307692307684</v>
      </c>
      <c r="AW4" s="714">
        <f>SUMIF($B:$B,AW$1,$F:$F)/COUNTIF($B:$B,AW$1)</f>
        <v>59.871538461538456</v>
      </c>
      <c r="AX4" s="715">
        <f>AVERAGE(AT4:AW4)</f>
        <v>66.038846153846151</v>
      </c>
      <c r="AY4" s="714">
        <f>SUMIF($B:$B,AY$1,$F:$F)/COUNTIF($B:$B,AY$1)</f>
        <v>57.992307692307698</v>
      </c>
      <c r="AZ4" s="714">
        <f>SUMIF($B:$B,AZ$1,$F:$F)/COUNTIF($B:$B,AZ$1)</f>
        <v>64.946923076923071</v>
      </c>
      <c r="BA4" s="714">
        <f>SUMIF($B:$B,BA$1,$F:$F)/COUNTIF($B:$B,BA$1)</f>
        <v>75.180769230769243</v>
      </c>
      <c r="BB4" s="714">
        <f>SUMIF($B:$B,BB$1,$F:$F)/COUNTIF($B:$B,BB$1)</f>
        <v>90.692307692307722</v>
      </c>
      <c r="BC4" s="715">
        <f>AVERAGE(AY4:BB4)</f>
        <v>72.203076923076935</v>
      </c>
      <c r="BD4" s="714">
        <f>SUMIF($B:$B,BD$1,$F:$F)/COUNTIF($B:$B,BD$1)</f>
        <v>97.785384615384615</v>
      </c>
      <c r="BE4" s="714">
        <f>SUMIF($B:$B,BE$1,$F:$F)/COUNTIF($B:$B,BE$1)</f>
        <v>123.25615384615384</v>
      </c>
      <c r="BF4" s="714">
        <f>SUMIF($B:$B,BF$1,$F:$F)/COUNTIF($B:$B,BF$1)</f>
        <v>119.4523076923077</v>
      </c>
      <c r="BG4" s="714">
        <f>SUMIF($B:$B,BG$1,$F:$F)/COUNTIF($B:$B,BG$1)</f>
        <v>60.236923076923077</v>
      </c>
      <c r="BH4" s="715">
        <f>AVERAGE(BD4:BG4)</f>
        <v>100.18269230769229</v>
      </c>
      <c r="BI4" s="714">
        <f>SUMIF($B:$B,BI$1,$F:$F)/COUNTIF($B:$B,BI$1)</f>
        <v>42.748461538461541</v>
      </c>
      <c r="BJ4" s="714">
        <f>SUMIF($B:$B,BJ$1,$F:$F)/COUNTIF($B:$B,BJ$1)</f>
        <v>58.873846153846152</v>
      </c>
      <c r="BK4" s="714">
        <f>SUMIF($B:$B,BK$1,$F:$F)/COUNTIF($B:$B,BK$1)</f>
        <v>68.287692307692296</v>
      </c>
      <c r="BL4" s="714">
        <f>SUMIF($B:$B,BL$1,$F:$F)/COUNTIF($B:$B,BL$1)</f>
        <v>75.419230769230779</v>
      </c>
      <c r="BM4" s="715">
        <f>AVERAGE(BI4:BL4)</f>
        <v>61.332307692307687</v>
      </c>
      <c r="BN4" s="714">
        <f>SUMIF($B:$B,BN$1,$F:$F)/COUNTIF($B:$B,BN$1)</f>
        <v>78.614615384615391</v>
      </c>
      <c r="BO4" s="714">
        <f>SUMIF($B:$B,BO$1,$F:$F)/COUNTIF($B:$B,BO$1)</f>
        <v>78.093846153846158</v>
      </c>
      <c r="BP4" s="714">
        <f>SUMIF($B:$B,BP$1,$F:$F)/COUNTIF($B:$B,BP$1)</f>
        <v>75.946923076923085</v>
      </c>
      <c r="BQ4" s="714">
        <f>SUMIF($B:$B,BQ$1,$F:$F)/COUNTIF($B:$B,BQ$1)</f>
        <v>84.752857142857138</v>
      </c>
      <c r="BR4" s="715">
        <f>AVERAGE(BN4:BQ4)</f>
        <v>79.352060439560447</v>
      </c>
      <c r="BS4" s="1152">
        <f>SUMIF($B:$B,BS$1,$F:$F)/COUNTIF($B:$B,BS$1)</f>
        <v>93.319166666666661</v>
      </c>
      <c r="BT4" s="1152">
        <f>SUMIF($B:$B,BT$1,$F:$F)/COUNTIF($B:$B,BT$1)</f>
        <v>102.79384615384615</v>
      </c>
      <c r="BU4" s="1152">
        <f>SUMIF($B:$B,BU$1,$F:$F)/COUNTIF($B:$B,BU$1)</f>
        <v>89.803571428571431</v>
      </c>
      <c r="BV4" s="1152">
        <f>SUMIF($B:$B,BV$1,$F:$F)/COUNTIF($B:$B,BV$1)</f>
        <v>94.149230769230769</v>
      </c>
      <c r="BW4" s="1153">
        <f>AVERAGE(BS4:BV4)</f>
        <v>95.016453754578748</v>
      </c>
      <c r="BX4" s="1152">
        <f>SUMIF($B:$B,BX$1,$F:$F)/COUNTIF($B:$B,BX$1)</f>
        <v>102.99307692307694</v>
      </c>
      <c r="BY4" s="1152">
        <f>SUMIF($B:$B,BY$1,$F:$F)/COUNTIF($B:$B,BY$1)</f>
        <v>93.349230769230772</v>
      </c>
      <c r="BZ4" s="1152">
        <f>SUMIF($B:$B,BZ$1,$F:$F)/COUNTIF($B:$B,BZ$1)</f>
        <v>92.123076923076937</v>
      </c>
      <c r="CA4" s="1152">
        <f>SUMIF($B:$B,CA$1,$F:$F)/COUNTIF($B:$B,CA$1)</f>
        <v>87.973076923076931</v>
      </c>
      <c r="CB4" s="1153">
        <f>AVERAGE(BX4:CA4)</f>
        <v>94.109615384615395</v>
      </c>
      <c r="CC4" s="1152">
        <f>SUMIF($B:$B,CC$1,$F:$F)/COUNTIF($B:$B,CC$1)</f>
        <v>94.307692307692307</v>
      </c>
      <c r="CD4" s="1152">
        <f>SUMIF($B:$B,CD$1,$F:$F)/COUNTIF($B:$B,CD$1)</f>
        <v>94.037692307692311</v>
      </c>
      <c r="CE4" s="1152">
        <f>SUMIF($B:$B,CE$1,$F:$F)/COUNTIF($B:$B,CE$1)</f>
        <v>105.85</v>
      </c>
      <c r="CF4" s="1152">
        <f>SUMIF($B:$B,CF$1,$F:$F)/COUNTIF($B:$B,CF$1)</f>
        <v>97.495384615384623</v>
      </c>
      <c r="CG4" s="1153">
        <f>AVERAGE(CC4:CF4)</f>
        <v>97.922692307692301</v>
      </c>
      <c r="CH4" s="1152">
        <f>SUMIF($B:$B,CH$1,$F:$F)/COUNTIF($B:$B,CH$1)</f>
        <v>98.622307692307686</v>
      </c>
      <c r="CI4" s="1152">
        <f>SUMIF($B:$B,CI$1,$F:$F)/COUNTIF($B:$B,CI$1)</f>
        <v>103.29615384615386</v>
      </c>
      <c r="CJ4" s="1152">
        <f>SUMIF($B:$B,CJ$1,$F:$F)/COUNTIF($B:$B,CJ$1)</f>
        <v>98.208461538461563</v>
      </c>
      <c r="CK4" s="1152">
        <f>SUMIF($B:$B,CK$1,$F:$F)/COUNTIF($B:$B,CK$1)</f>
        <v>74.433076923076925</v>
      </c>
      <c r="CL4" s="1153">
        <f>AVERAGE(CH4:CK4)</f>
        <v>93.640000000000015</v>
      </c>
      <c r="CM4" s="1152">
        <f>SUMIF($B:$B,CM$1,$F:$F)/COUNTIF($B:$B,CM$1)</f>
        <v>48.828461538461539</v>
      </c>
      <c r="CN4" s="1152">
        <f>SUMIF($B:$B,CN$1,$F:$F)/COUNTIF($B:$B,CN$1)</f>
        <v>57.392307692307696</v>
      </c>
      <c r="CO4" s="1152">
        <f>SUMIF($B:$B,CO$1,$F:$F)/COUNTIF($B:$B,CO$1)</f>
        <v>47.096153846153854</v>
      </c>
      <c r="CP4" s="1152">
        <f>SUMIF($B:$B,CP$1,$F:$F)/COUNTIF($B:$B,CP$1)</f>
        <v>42.268461538461537</v>
      </c>
      <c r="CQ4" s="1153">
        <f>AVERAGE(CM4:CP4)</f>
        <v>48.89634615384616</v>
      </c>
      <c r="CR4" s="1152">
        <f>SUMIF($B:$B,CR$1,$F:$F)/COUNTIF($B:$B,CR$1)</f>
        <v>33.373846153846152</v>
      </c>
      <c r="CS4" s="1152">
        <f>SUMIF($B:$B,CS$1,$F:$F)/COUNTIF($B:$B,CS$1)</f>
        <v>44.852307692307704</v>
      </c>
      <c r="CT4" s="1152">
        <f>SUMIF($B:$B,CT$1,$F:$F)/COUNTIF($B:$B,CT$1)</f>
        <v>45.06428571428571</v>
      </c>
      <c r="CU4" s="1152">
        <f>SUMIF($B:$B,CU$1,$F:$F)/COUNTIF($B:$B,CU$1)</f>
        <v>49.174615384615386</v>
      </c>
      <c r="CV4" s="1153">
        <f>AVERAGE(CR4:CU4)</f>
        <v>43.11626373626374</v>
      </c>
      <c r="CW4" s="1152">
        <f>SUMIF($B:$B,CW$1,$F:$F)/COUNTIF($B:$B,CW$1)</f>
        <v>51.687692307692302</v>
      </c>
      <c r="CX4" s="1152">
        <f>SUMIF($B:$B,CX$1,$F:$F)/COUNTIF($B:$B,CX$1)</f>
        <v>48.18692307692308</v>
      </c>
      <c r="CY4" s="1152">
        <f>SUMIF($B:$B,CY$1,$F:$F)/COUNTIF($B:$B,CY$1)</f>
        <v>48.089999999999996</v>
      </c>
      <c r="CZ4" s="1152">
        <f>SUMIF($B:$B,CZ$1,$F:$F)/COUNTIF($B:$B,CZ$1)</f>
        <v>55.370769230769234</v>
      </c>
      <c r="DA4" s="1153">
        <f>AVERAGE(CW4:CZ4)</f>
        <v>50.833846153846153</v>
      </c>
      <c r="DB4" s="1152">
        <f>SUMIF($B:$B,DB$1,$F:$F)/COUNTIF($B:$B,DB$1)</f>
        <v>62.920769230769231</v>
      </c>
      <c r="DC4" s="1152">
        <f>SUMIF($B:$B,DC$1,$F:$F)/COUNTIF($B:$B,DC$1)</f>
        <v>67.087692307692294</v>
      </c>
      <c r="DD4" s="1152">
        <f>SUMIF($B:$B,DD$1,$F:$F)/COUNTIF($B:$B,DD$1)</f>
        <v>67.549999999999983</v>
      </c>
      <c r="DE4" s="1152">
        <f>SUMIF($B:$B,DE$1,$F:$F)/COUNTIF($B:$B,DE$1)</f>
        <v>67.549999999999983</v>
      </c>
      <c r="DF4" s="1153">
        <f>AVERAGE(DB4:DE4)</f>
        <v>66.277115384615371</v>
      </c>
      <c r="DG4" s="1152">
        <f>SUMIF($B:$B,DG$1,$F:$F)/COUNTIF($B:$B,DG$1)</f>
        <v>67.549999999999983</v>
      </c>
      <c r="DH4" s="1152">
        <f>SUMIF($B:$B,DH$1,$F:$F)/COUNTIF($B:$B,DH$1)</f>
        <v>67.549999999999983</v>
      </c>
      <c r="DI4" s="1152">
        <f>SUMIF($B:$B,DI$1,$F:$F)/COUNTIF($B:$B,DI$1)</f>
        <v>67.549999999999983</v>
      </c>
      <c r="DJ4" s="1152">
        <f>SUMIF($B:$B,DJ$1,$F:$F)/COUNTIF($B:$B,DJ$1)</f>
        <v>67.549999999999983</v>
      </c>
      <c r="DK4" s="1153">
        <f>AVERAGE(DG4:DJ4)</f>
        <v>67.549999999999983</v>
      </c>
      <c r="DL4" s="1152">
        <f>SUMIF($B:$B,DL$1,$F:$F)/COUNTIF($B:$B,DL$1)</f>
        <v>67.549999999999983</v>
      </c>
      <c r="DM4" s="1152">
        <f>SUMIF($B:$B,DM$1,$F:$F)/COUNTIF($B:$B,DM$1)</f>
        <v>67.549999999999983</v>
      </c>
      <c r="DN4" s="1152">
        <f>SUMIF($B:$B,DN$1,$F:$F)/COUNTIF($B:$B,DN$1)</f>
        <v>67.549999999999983</v>
      </c>
      <c r="DO4" s="1152">
        <f>SUMIF($B:$B,DO$1,$F:$F)/COUNTIF($B:$B,DO$1)</f>
        <v>67.549999999999983</v>
      </c>
      <c r="DP4" s="1153">
        <f>AVERAGE(DL4:DO4)</f>
        <v>67.549999999999983</v>
      </c>
    </row>
    <row r="5" spans="1:120" x14ac:dyDescent="0.2">
      <c r="A5" s="709">
        <f t="shared" si="0"/>
        <v>36495</v>
      </c>
      <c r="B5" s="709" t="str">
        <f t="shared" si="1"/>
        <v>4Q99</v>
      </c>
      <c r="C5" s="709" t="str">
        <f t="shared" si="2"/>
        <v>1Q00</v>
      </c>
      <c r="D5" s="710">
        <f t="shared" ref="D5:E20" si="5">D4+7</f>
        <v>36585</v>
      </c>
      <c r="E5" s="710">
        <f t="shared" si="5"/>
        <v>36525</v>
      </c>
      <c r="F5" s="712">
        <v>26.34</v>
      </c>
      <c r="G5" s="713">
        <f t="shared" si="3"/>
        <v>1.4900000000000011</v>
      </c>
      <c r="H5" s="713">
        <f t="shared" si="4"/>
        <v>1.4900000000000011</v>
      </c>
      <c r="I5" s="713">
        <f>J4</f>
        <v>1.1499999999999999</v>
      </c>
      <c r="J5" s="713">
        <f t="shared" ref="J5:J68" si="6">J4+0.05</f>
        <v>1.2</v>
      </c>
      <c r="K5" s="713">
        <v>0.01</v>
      </c>
      <c r="L5" s="697"/>
      <c r="M5" s="700" t="s">
        <v>239</v>
      </c>
      <c r="N5" s="697">
        <f t="shared" ref="N5:N12" si="7">N4+1</f>
        <v>2</v>
      </c>
      <c r="O5" s="697">
        <v>1</v>
      </c>
      <c r="P5" s="714">
        <f>SUMIF($C:$C,P$1,$F:$F)/COUNTIF($C:$C,P$1)</f>
        <v>26.89</v>
      </c>
      <c r="Q5" s="714">
        <f>SUMIF($C:$C,Q$1,$F:$F)/COUNTIF($C:$C,Q$1)</f>
        <v>28.413076923076922</v>
      </c>
      <c r="R5" s="714">
        <f>SUMIF($C:$C,R$1,$F:$F)/COUNTIF($C:$C,R$1)</f>
        <v>30.168461538461536</v>
      </c>
      <c r="S5" s="714">
        <f>SUMIF($C:$C,S$1,$F:$F)/COUNTIF($C:$C,S$1)</f>
        <v>32.639230769230771</v>
      </c>
      <c r="T5" s="715">
        <f>AVERAGE(P5:S5)</f>
        <v>29.527692307692305</v>
      </c>
      <c r="U5" s="714">
        <f>SUMIF($C:$C,U$1,$F:$F)/COUNTIF($C:$C,U$1)</f>
        <v>30.96</v>
      </c>
      <c r="V5" s="714">
        <f>SUMIF($C:$C,V$1,$F:$F)/COUNTIF($C:$C,V$1)</f>
        <v>28.107692307692307</v>
      </c>
      <c r="W5" s="714">
        <f>SUMIF($C:$C,W$1,$F:$F)/COUNTIF($C:$C,W$1)</f>
        <v>27.612307692307692</v>
      </c>
      <c r="X5" s="714">
        <f>SUMIF($C:$C,X$1,$F:$F)/COUNTIF($C:$C,X$1)</f>
        <v>25.429230769230774</v>
      </c>
      <c r="Y5" s="715">
        <f>AVERAGE(U5:X5)</f>
        <v>28.027307692307694</v>
      </c>
      <c r="Z5" s="714">
        <f>SUMIF($C:$C,Z$1,$F:$F)/COUNTIF($C:$C,Z$1)</f>
        <v>19.700769230769229</v>
      </c>
      <c r="AA5" s="714">
        <f>SUMIF($C:$C,AA$1,$F:$F)/COUNTIF($C:$C,AA$1)</f>
        <v>23.541538461538462</v>
      </c>
      <c r="AB5" s="714">
        <f>SUMIF($C:$C,AB$1,$F:$F)/COUNTIF($C:$C,AB$1)</f>
        <v>26.52538461538461</v>
      </c>
      <c r="AC5" s="714">
        <f>SUMIF($C:$C,AC$1,$F:$F)/COUNTIF($C:$C,AC$1)</f>
        <v>28.823571428571427</v>
      </c>
      <c r="AD5" s="715">
        <f>AVERAGE(Z5:AC5)</f>
        <v>24.647815934065932</v>
      </c>
      <c r="AE5" s="714">
        <f>SUMIF($C:$C,AE$1,$F:$F)/COUNTIF($C:$C,AE$1)</f>
        <v>29.512499999999999</v>
      </c>
      <c r="AF5" s="714">
        <f>SUMIF($C:$C,AF$1,$F:$F)/COUNTIF($C:$C,AF$1)</f>
        <v>32.791538461538451</v>
      </c>
      <c r="AG5" s="714">
        <f>SUMIF($C:$C,AG$1,$F:$F)/COUNTIF($C:$C,AG$1)</f>
        <v>29.700714285714291</v>
      </c>
      <c r="AH5" s="714">
        <f>SUMIF($C:$C,AH$1,$F:$F)/COUNTIF($C:$C,AH$1)</f>
        <v>30.036153846153848</v>
      </c>
      <c r="AI5" s="715">
        <f>AVERAGE(AE5:AH5)</f>
        <v>30.510226648351651</v>
      </c>
      <c r="AJ5" s="714">
        <f>SUMIF($C:$C,AJ$1,$F:$F)/COUNTIF($C:$C,AJ$1)</f>
        <v>32.49307692307692</v>
      </c>
      <c r="AK5" s="714">
        <f>SUMIF($C:$C,AK$1,$F:$F)/COUNTIF($C:$C,AK$1)</f>
        <v>36.107692307692304</v>
      </c>
      <c r="AL5" s="714">
        <f>SUMIF($C:$C,AL$1,$F:$F)/COUNTIF($C:$C,AL$1)</f>
        <v>39.663846153846144</v>
      </c>
      <c r="AM5" s="714">
        <f>SUMIF($C:$C,AM$1,$F:$F)/COUNTIF($C:$C,AM$1)</f>
        <v>47.919230769230758</v>
      </c>
      <c r="AN5" s="715">
        <f>AVERAGE(AJ5:AM5)</f>
        <v>39.045961538461533</v>
      </c>
      <c r="AO5" s="714">
        <f>SUMIF($C:$C,AO$1,$F:$F)/COUNTIF($C:$C,AO$1)</f>
        <v>46.097692307692306</v>
      </c>
      <c r="AP5" s="714">
        <f>SUMIF($C:$C,AP$1,$F:$F)/COUNTIF($C:$C,AP$1)</f>
        <v>51.884615384615394</v>
      </c>
      <c r="AQ5" s="714">
        <f>SUMIF($C:$C,AQ$1,$F:$F)/COUNTIF($C:$C,AQ$1)</f>
        <v>55.080769230769221</v>
      </c>
      <c r="AR5" s="714">
        <f>SUMIF($C:$C,AR$1,$F:$F)/COUNTIF($C:$C,AR$1)</f>
        <v>64.376923076923063</v>
      </c>
      <c r="AS5" s="715">
        <f>AVERAGE(AO5:AR5)</f>
        <v>54.36</v>
      </c>
      <c r="AT5" s="714">
        <f>SUMIF($C:$C,AT$1,$F:$F)/COUNTIF($C:$C,AT$1)</f>
        <v>60.825384615384614</v>
      </c>
      <c r="AU5" s="714">
        <f>SUMIF($C:$C,AU$1,$F:$F)/COUNTIF($C:$C,AU$1)</f>
        <v>64.572307692307689</v>
      </c>
      <c r="AV5" s="714">
        <f>SUMIF($C:$C,AV$1,$F:$F)/COUNTIF($C:$C,AV$1)</f>
        <v>71.993076923076927</v>
      </c>
      <c r="AW5" s="714">
        <f>SUMIF($C:$C,AW$1,$F:$F)/COUNTIF($C:$C,AW$1)</f>
        <v>65.793076923076924</v>
      </c>
      <c r="AX5" s="715">
        <f>AVERAGE(AT5:AW5)</f>
        <v>65.79596153846154</v>
      </c>
      <c r="AY5" s="714">
        <f>SUMIF($C:$C,AY$1,$F:$F)/COUNTIF($C:$C,AY$1)</f>
        <v>58.428461538461534</v>
      </c>
      <c r="AZ5" s="714">
        <f>SUMIF($C:$C,AZ$1,$F:$F)/COUNTIF($C:$C,AZ$1)</f>
        <v>60.97461538461539</v>
      </c>
      <c r="BA5" s="714">
        <f>SUMIF($C:$C,BA$1,$F:$F)/COUNTIF($C:$C,BA$1)</f>
        <v>67.94076923076922</v>
      </c>
      <c r="BB5" s="714">
        <f>SUMIF($C:$C,BB$1,$F:$F)/COUNTIF($C:$C,BB$1)</f>
        <v>78.599230769230772</v>
      </c>
      <c r="BC5" s="715">
        <f>AVERAGE(AY5:BB5)</f>
        <v>66.485769230769222</v>
      </c>
      <c r="BD5" s="714">
        <f>SUMIF($C:$C,BD$1,$F:$F)/COUNTIF($C:$C,BD$1)</f>
        <v>93.366923076923086</v>
      </c>
      <c r="BE5" s="714">
        <f>SUMIF($C:$C,BE$1,$F:$F)/COUNTIF($C:$C,BE$1)</f>
        <v>103.33769230769229</v>
      </c>
      <c r="BF5" s="714">
        <f>SUMIF($C:$C,BF$1,$F:$F)/COUNTIF($C:$C,BF$1)</f>
        <v>130.33071428571432</v>
      </c>
      <c r="BG5" s="714">
        <f>SUMIF($C:$C,BG$1,$F:$F)/COUNTIF($C:$C,BG$1)</f>
        <v>98.18</v>
      </c>
      <c r="BH5" s="715">
        <f>AVERAGE(BD5:BG5)</f>
        <v>106.30383241758243</v>
      </c>
      <c r="BI5" s="714">
        <f>SUMIF($C:$C,BI$1,$F:$F)/COUNTIF($C:$C,BI$1)</f>
        <v>46.133076923076928</v>
      </c>
      <c r="BJ5" s="714">
        <f>SUMIF($C:$C,BJ$1,$F:$F)/COUNTIF($C:$C,BJ$1)</f>
        <v>45.842307692307699</v>
      </c>
      <c r="BK5" s="714">
        <f>SUMIF($C:$C,BK$1,$F:$F)/COUNTIF($C:$C,BK$1)</f>
        <v>64.699999999999989</v>
      </c>
      <c r="BL5" s="714">
        <f>SUMIF($C:$C,BL$1,$F:$F)/COUNTIF($C:$C,BL$1)</f>
        <v>72.095384615384617</v>
      </c>
      <c r="BM5" s="715">
        <f>AVERAGE(BI5:BL5)</f>
        <v>57.192692307692312</v>
      </c>
      <c r="BN5" s="714">
        <f>SUMIF($C:$C,BN$1,$F:$F)/COUNTIF($C:$C,BN$1)</f>
        <v>76.813846153846143</v>
      </c>
      <c r="BO5" s="714">
        <f>SUMIF($C:$C,BO$1,$F:$F)/COUNTIF($C:$C,BO$1)</f>
        <v>80.776153846153846</v>
      </c>
      <c r="BP5" s="714">
        <f>SUMIF($C:$C,BP$1,$F:$F)/COUNTIF($C:$C,BP$1)</f>
        <v>75.113076923076918</v>
      </c>
      <c r="BQ5" s="714">
        <f>SUMIF($C:$C,BQ$1,$F:$F)/COUNTIF($C:$C,BQ$1)</f>
        <v>77.843846153846144</v>
      </c>
      <c r="BR5" s="715">
        <f>AVERAGE(BN5:BQ5)</f>
        <v>77.636730769230752</v>
      </c>
      <c r="BS5" s="1152">
        <f>SUMIF($C:$C,BS$1,$F:$F)/COUNTIF($C:$C,BS$1)</f>
        <v>87.455384615384602</v>
      </c>
      <c r="BT5" s="1152">
        <f>SUMIF($C:$C,BT$1,$F:$F)/COUNTIF($C:$C,BT$1)</f>
        <v>100.53384615384613</v>
      </c>
      <c r="BU5" s="1152">
        <f>SUMIF($C:$C,BU$1,$F:$F)/COUNTIF($C:$C,BU$1)</f>
        <v>98.166923076923084</v>
      </c>
      <c r="BV5" s="1152">
        <f>SUMIF($C:$C,BV$1,$F:$F)/COUNTIF($C:$C,BV$1)</f>
        <v>85.983846153846144</v>
      </c>
      <c r="BW5" s="1153">
        <f>AVERAGE(BS5:BV5)</f>
        <v>93.034999999999997</v>
      </c>
      <c r="BX5" s="1152">
        <f>SUMIF($C:$C,BX$1,$F:$F)/COUNTIF($C:$C,BX$1)</f>
        <v>98.626153846153841</v>
      </c>
      <c r="BY5" s="1152">
        <f>SUMIF($C:$C,BY$1,$F:$F)/COUNTIF($C:$C,BY$1)</f>
        <v>103.83000000000001</v>
      </c>
      <c r="BZ5" s="1152">
        <f>SUMIF($C:$C,BZ$1,$F:$F)/COUNTIF($C:$C,BZ$1)</f>
        <v>88.560000000000016</v>
      </c>
      <c r="CA5" s="1152">
        <f>SUMIF($C:$C,CA$1,$F:$F)/COUNTIF($C:$C,CA$1)</f>
        <v>92.848461538461535</v>
      </c>
      <c r="CB5" s="1153">
        <f>AVERAGE(BX5:CA5)</f>
        <v>95.966153846153858</v>
      </c>
      <c r="CC5" s="1152">
        <f>SUMIF($C:$C,CC$1,$F:$F)/COUNTIF($C:$C,CC$1)</f>
        <v>89.201538461538476</v>
      </c>
      <c r="CD5" s="1152">
        <f>SUMIF($C:$C,CD$1,$F:$F)/COUNTIF($C:$C,CD$1)</f>
        <v>93.637692307692305</v>
      </c>
      <c r="CE5" s="1152">
        <f>SUMIF($C:$C,CE$1,$F:$F)/COUNTIF($C:$C,CE$1)</f>
        <v>97.936153846153857</v>
      </c>
      <c r="CF5" s="1152">
        <f>SUMIF($C:$C,CF$1,$F:$F)/COUNTIF($C:$C,CF$1)</f>
        <v>104.27142857142859</v>
      </c>
      <c r="CG5" s="1153">
        <f>AVERAGE(CC5:CF5)</f>
        <v>96.261703296703303</v>
      </c>
      <c r="CH5" s="1152">
        <f>SUMIF($C:$C,CH$1,$F:$F)/COUNTIF($C:$C,CH$1)</f>
        <v>95.303333333333327</v>
      </c>
      <c r="CI5" s="1152">
        <f>SUMIF($C:$C,CI$1,$F:$F)/COUNTIF($C:$C,CI$1)</f>
        <v>101.02076923076922</v>
      </c>
      <c r="CJ5" s="1152">
        <f>SUMIF($C:$C,CJ$1,$F:$F)/COUNTIF($C:$C,CJ$1)</f>
        <v>103.66357142857143</v>
      </c>
      <c r="CK5" s="1152">
        <f>SUMIF($C:$C,CK$1,$F:$F)/COUNTIF($C:$C,CK$1)</f>
        <v>91.106923076923067</v>
      </c>
      <c r="CL5" s="1153">
        <f>AVERAGE(CH5:CK5)</f>
        <v>97.773649267399264</v>
      </c>
      <c r="CM5" s="1152">
        <f>SUMIF($C:$C,CM$1,$F:$F)/COUNTIF($C:$C,CM$1)</f>
        <v>60.256153846153858</v>
      </c>
      <c r="CN5" s="1152">
        <f>SUMIF($C:$C,CN$1,$F:$F)/COUNTIF($C:$C,CN$1)</f>
        <v>51.023076923076921</v>
      </c>
      <c r="CO5" s="1152">
        <f>SUMIF($C:$C,CO$1,$F:$F)/COUNTIF($C:$C,CO$1)</f>
        <v>56.585384615384605</v>
      </c>
      <c r="CP5" s="1152">
        <f>SUMIF($C:$C,CP$1,$F:$F)/COUNTIF($C:$C,CP$1)</f>
        <v>44.883076923076928</v>
      </c>
      <c r="CQ5" s="1153">
        <f>AVERAGE(CM5:CP5)</f>
        <v>53.18692307692308</v>
      </c>
      <c r="CR5" s="1152">
        <f>SUMIF($C:$C,CR$1,$F:$F)/COUNTIF($C:$C,CR$1)</f>
        <v>37.106923076923074</v>
      </c>
      <c r="CS5" s="1152">
        <f>SUMIF($C:$C,CS$1,$F:$F)/COUNTIF($C:$C,CS$1)</f>
        <v>36.273846153846151</v>
      </c>
      <c r="CT5" s="1152">
        <f>SUMIF($C:$C,CT$1,$F:$F)/COUNTIF($C:$C,CT$1)</f>
        <v>46.796923076923079</v>
      </c>
      <c r="CU5" s="1152">
        <f>SUMIF($C:$C,CU$1,$F:$F)/COUNTIF($C:$C,CU$1)</f>
        <v>46.490769230769232</v>
      </c>
      <c r="CV5" s="1153">
        <f>AVERAGE(CR5:CU5)</f>
        <v>41.667115384615386</v>
      </c>
      <c r="CW5" s="1152">
        <f>SUMIF($C:$C,CW$1,$F:$F)/COUNTIF($C:$C,CW$1)</f>
        <v>49.965384615384622</v>
      </c>
      <c r="CX5" s="1152">
        <f>SUMIF($C:$C,CX$1,$F:$F)/COUNTIF($C:$C,CX$1)</f>
        <v>51.279230769230757</v>
      </c>
      <c r="CY5" s="1152">
        <f>SUMIF($C:$C,CY$1,$F:$F)/COUNTIF($C:$C,CY$1)</f>
        <v>46.686153846153843</v>
      </c>
      <c r="CZ5" s="1152">
        <f>SUMIF($C:$C,CZ$1,$F:$F)/COUNTIF($C:$C,CZ$1)</f>
        <v>49.636153846153846</v>
      </c>
      <c r="DA5" s="1153">
        <f>AVERAGE(CW5:CZ5)</f>
        <v>49.391730769230762</v>
      </c>
      <c r="DB5" s="1152">
        <f>SUMIF($C:$C,DB$1,$F:$F)/COUNTIF($C:$C,DB$1)</f>
        <v>59.08461538461539</v>
      </c>
      <c r="DC5" s="1152">
        <f>SUMIF($C:$C,DC$1,$F:$F)/COUNTIF($C:$C,DC$1)</f>
        <v>63.740769230769232</v>
      </c>
      <c r="DD5" s="1152">
        <f>SUMIF($C:$C,DD$1,$F:$F)/COUNTIF($C:$C,DD$1)</f>
        <v>67.549999999999983</v>
      </c>
      <c r="DE5" s="1152">
        <f>SUMIF($C:$C,DE$1,$F:$F)/COUNTIF($C:$C,DE$1)</f>
        <v>67.549999999999983</v>
      </c>
      <c r="DF5" s="1153">
        <f>AVERAGE(DB5:DE5)</f>
        <v>64.481346153846147</v>
      </c>
      <c r="DG5" s="1152">
        <f>SUMIF($C:$C,DG$1,$F:$F)/COUNTIF($C:$C,DG$1)</f>
        <v>67.549999999999983</v>
      </c>
      <c r="DH5" s="1152">
        <f>SUMIF($C:$C,DH$1,$F:$F)/COUNTIF($C:$C,DH$1)</f>
        <v>67.549999999999983</v>
      </c>
      <c r="DI5" s="1152">
        <f>SUMIF($C:$C,DI$1,$F:$F)/COUNTIF($C:$C,DI$1)</f>
        <v>67.549999999999983</v>
      </c>
      <c r="DJ5" s="1152">
        <f>SUMIF($C:$C,DJ$1,$F:$F)/COUNTIF($C:$C,DJ$1)</f>
        <v>67.549999999999983</v>
      </c>
      <c r="DK5" s="1153">
        <f>AVERAGE(DG5:DJ5)</f>
        <v>67.549999999999983</v>
      </c>
      <c r="DL5" s="1152">
        <f>SUMIF($C:$C,DL$1,$F:$F)/COUNTIF($C:$C,DL$1)</f>
        <v>67.549999999999983</v>
      </c>
      <c r="DM5" s="1152">
        <f>SUMIF($C:$C,DM$1,$F:$F)/COUNTIF($C:$C,DM$1)</f>
        <v>67.549999999999983</v>
      </c>
      <c r="DN5" s="1152">
        <f>SUMIF($C:$C,DN$1,$F:$F)/COUNTIF($C:$C,DN$1)</f>
        <v>67.549999999999983</v>
      </c>
      <c r="DO5" s="1152">
        <f>SUMIF($C:$C,DO$1,$F:$F)/COUNTIF($C:$C,DO$1)</f>
        <v>67.549999999999983</v>
      </c>
      <c r="DP5" s="1153">
        <f>AVERAGE(DL5:DO5)</f>
        <v>67.549999999999983</v>
      </c>
    </row>
    <row r="6" spans="1:120" x14ac:dyDescent="0.2">
      <c r="A6" s="709">
        <f t="shared" si="0"/>
        <v>36526</v>
      </c>
      <c r="B6" s="709" t="str">
        <f t="shared" si="1"/>
        <v>1Q00</v>
      </c>
      <c r="C6" s="709" t="str">
        <f t="shared" si="2"/>
        <v>1Q00</v>
      </c>
      <c r="D6" s="710">
        <f t="shared" si="5"/>
        <v>36592</v>
      </c>
      <c r="E6" s="710">
        <f t="shared" si="5"/>
        <v>36532</v>
      </c>
      <c r="F6" s="712">
        <v>24.95</v>
      </c>
      <c r="G6" s="713">
        <f t="shared" si="3"/>
        <v>1.4900000000000011</v>
      </c>
      <c r="H6" s="713">
        <f t="shared" si="4"/>
        <v>1.4900000000000011</v>
      </c>
      <c r="I6" s="713">
        <f t="shared" ref="I6:J69" si="8">I5+0.05</f>
        <v>1.2</v>
      </c>
      <c r="J6" s="713">
        <f t="shared" si="6"/>
        <v>1.25</v>
      </c>
      <c r="K6" s="713">
        <f t="shared" ref="K6:K69" si="9">K5+0.01</f>
        <v>0.02</v>
      </c>
      <c r="L6" s="697"/>
      <c r="M6" s="697" t="s">
        <v>391</v>
      </c>
      <c r="N6" s="697">
        <f t="shared" si="7"/>
        <v>3</v>
      </c>
      <c r="O6" s="697">
        <v>1</v>
      </c>
      <c r="P6" s="716"/>
      <c r="Q6" s="714">
        <f t="shared" ref="Q6:BR6" si="10">Q4-Q5</f>
        <v>0.49153846153846104</v>
      </c>
      <c r="R6" s="714">
        <f t="shared" si="10"/>
        <v>1.4661538461538477</v>
      </c>
      <c r="S6" s="714">
        <f t="shared" si="10"/>
        <v>-0.60384615384615614</v>
      </c>
      <c r="T6" s="715">
        <f t="shared" si="10"/>
        <v>1.3305128205128227</v>
      </c>
      <c r="U6" s="716">
        <f t="shared" si="10"/>
        <v>-2.184615384615384</v>
      </c>
      <c r="V6" s="714">
        <f t="shared" si="10"/>
        <v>-0.1715384615384643</v>
      </c>
      <c r="W6" s="714">
        <f t="shared" si="10"/>
        <v>-0.89538461538461434</v>
      </c>
      <c r="X6" s="714">
        <f t="shared" si="10"/>
        <v>-4.9746153846153902</v>
      </c>
      <c r="Y6" s="715">
        <f t="shared" si="10"/>
        <v>-2.0565384615384659</v>
      </c>
      <c r="Z6" s="716">
        <f t="shared" si="10"/>
        <v>1.9123076923076958</v>
      </c>
      <c r="AA6" s="714">
        <f t="shared" si="10"/>
        <v>2.7115384615384635</v>
      </c>
      <c r="AB6" s="714">
        <f t="shared" si="10"/>
        <v>1.7146153846153851</v>
      </c>
      <c r="AC6" s="714">
        <f t="shared" si="10"/>
        <v>-0.56741758241758333</v>
      </c>
      <c r="AD6" s="715">
        <f t="shared" si="10"/>
        <v>1.442760989010992</v>
      </c>
      <c r="AE6" s="716">
        <f t="shared" si="10"/>
        <v>4.5044230769230786</v>
      </c>
      <c r="AF6" s="714">
        <f t="shared" si="10"/>
        <v>-3.7899999999999956</v>
      </c>
      <c r="AG6" s="714">
        <f t="shared" si="10"/>
        <v>0.55082417582416809</v>
      </c>
      <c r="AH6" s="714">
        <f t="shared" si="10"/>
        <v>0.98923076923076536</v>
      </c>
      <c r="AI6" s="715">
        <f t="shared" si="10"/>
        <v>0.56361950549450057</v>
      </c>
      <c r="AJ6" s="716">
        <f t="shared" si="10"/>
        <v>2.6292307692307659</v>
      </c>
      <c r="AK6" s="714">
        <f t="shared" si="10"/>
        <v>2.1700000000000017</v>
      </c>
      <c r="AL6" s="714">
        <f t="shared" si="10"/>
        <v>3.4484615384615509</v>
      </c>
      <c r="AM6" s="714">
        <f t="shared" si="10"/>
        <v>0.32791208791209669</v>
      </c>
      <c r="AN6" s="715">
        <f t="shared" si="10"/>
        <v>2.1439010989011038</v>
      </c>
      <c r="AO6" s="716">
        <f t="shared" si="10"/>
        <v>3.5464743589743648</v>
      </c>
      <c r="AP6" s="714">
        <f t="shared" si="10"/>
        <v>1.0115384615384428</v>
      </c>
      <c r="AQ6" s="714">
        <f t="shared" si="10"/>
        <v>7.9049450549450597</v>
      </c>
      <c r="AR6" s="714">
        <f t="shared" si="10"/>
        <v>-4.4130769230768934</v>
      </c>
      <c r="AS6" s="715">
        <f t="shared" si="10"/>
        <v>2.0124702380952399</v>
      </c>
      <c r="AT6" s="716">
        <f t="shared" si="10"/>
        <v>2.4453846153846186</v>
      </c>
      <c r="AU6" s="714">
        <f t="shared" si="10"/>
        <v>5.8784615384615222</v>
      </c>
      <c r="AV6" s="714">
        <f t="shared" si="10"/>
        <v>-1.4307692307692434</v>
      </c>
      <c r="AW6" s="714">
        <f t="shared" si="10"/>
        <v>-5.9215384615384679</v>
      </c>
      <c r="AX6" s="715">
        <f t="shared" si="10"/>
        <v>0.24288461538461092</v>
      </c>
      <c r="AY6" s="716">
        <f t="shared" si="10"/>
        <v>-0.4361538461538359</v>
      </c>
      <c r="AZ6" s="714">
        <f t="shared" si="10"/>
        <v>3.9723076923076803</v>
      </c>
      <c r="BA6" s="714">
        <f t="shared" si="10"/>
        <v>7.2400000000000233</v>
      </c>
      <c r="BB6" s="714">
        <f t="shared" si="10"/>
        <v>12.09307692307695</v>
      </c>
      <c r="BC6" s="715">
        <f t="shared" si="10"/>
        <v>5.7173076923077133</v>
      </c>
      <c r="BD6" s="716">
        <f t="shared" si="10"/>
        <v>4.4184615384615284</v>
      </c>
      <c r="BE6" s="714">
        <f t="shared" si="10"/>
        <v>19.918461538461543</v>
      </c>
      <c r="BF6" s="714">
        <f t="shared" si="10"/>
        <v>-10.878406593406623</v>
      </c>
      <c r="BG6" s="714">
        <f t="shared" si="10"/>
        <v>-37.94307692307693</v>
      </c>
      <c r="BH6" s="715">
        <f t="shared" si="10"/>
        <v>-6.1211401098901348</v>
      </c>
      <c r="BI6" s="716">
        <f t="shared" si="10"/>
        <v>-3.3846153846153868</v>
      </c>
      <c r="BJ6" s="714">
        <f t="shared" si="10"/>
        <v>13.031538461538453</v>
      </c>
      <c r="BK6" s="714">
        <f t="shared" si="10"/>
        <v>3.5876923076923077</v>
      </c>
      <c r="BL6" s="714">
        <f t="shared" si="10"/>
        <v>3.3238461538461621</v>
      </c>
      <c r="BM6" s="715">
        <f t="shared" si="10"/>
        <v>4.1396153846153751</v>
      </c>
      <c r="BN6" s="716">
        <f t="shared" si="10"/>
        <v>1.800769230769248</v>
      </c>
      <c r="BO6" s="714">
        <f t="shared" si="10"/>
        <v>-2.6823076923076883</v>
      </c>
      <c r="BP6" s="714">
        <f t="shared" si="10"/>
        <v>0.83384615384616723</v>
      </c>
      <c r="BQ6" s="714">
        <f t="shared" si="10"/>
        <v>6.9090109890109943</v>
      </c>
      <c r="BR6" s="715">
        <f t="shared" si="10"/>
        <v>1.7153296703296945</v>
      </c>
      <c r="BS6" s="1154">
        <f>BS5-BS4</f>
        <v>-5.8637820512820582</v>
      </c>
      <c r="BT6" s="1152">
        <f t="shared" ref="BT6:CQ6" si="11">BT5-BT4</f>
        <v>-2.2600000000000193</v>
      </c>
      <c r="BU6" s="1152">
        <f t="shared" si="11"/>
        <v>8.363351648351653</v>
      </c>
      <c r="BV6" s="1152">
        <f t="shared" si="11"/>
        <v>-8.1653846153846246</v>
      </c>
      <c r="BW6" s="1153">
        <f t="shared" si="11"/>
        <v>-1.9814537545787516</v>
      </c>
      <c r="BX6" s="1154">
        <f t="shared" si="11"/>
        <v>-4.3669230769231007</v>
      </c>
      <c r="BY6" s="1152">
        <f t="shared" si="11"/>
        <v>10.480769230769241</v>
      </c>
      <c r="BZ6" s="1152">
        <f t="shared" si="11"/>
        <v>-3.5630769230769204</v>
      </c>
      <c r="CA6" s="1152">
        <f t="shared" si="11"/>
        <v>4.8753846153846041</v>
      </c>
      <c r="CB6" s="1153">
        <f t="shared" si="11"/>
        <v>1.856538461538463</v>
      </c>
      <c r="CC6" s="1154">
        <f t="shared" si="11"/>
        <v>-5.1061538461538305</v>
      </c>
      <c r="CD6" s="1152">
        <f t="shared" si="11"/>
        <v>-0.40000000000000568</v>
      </c>
      <c r="CE6" s="1152">
        <f t="shared" si="11"/>
        <v>-7.9138461538461371</v>
      </c>
      <c r="CF6" s="1152">
        <f t="shared" si="11"/>
        <v>6.7760439560439636</v>
      </c>
      <c r="CG6" s="1153">
        <f t="shared" si="11"/>
        <v>-1.6609890109889989</v>
      </c>
      <c r="CH6" s="1154">
        <f t="shared" si="11"/>
        <v>-3.3189743589743586</v>
      </c>
      <c r="CI6" s="1152">
        <f t="shared" si="11"/>
        <v>-2.2753846153846382</v>
      </c>
      <c r="CJ6" s="1152">
        <f t="shared" si="11"/>
        <v>5.4551098901098669</v>
      </c>
      <c r="CK6" s="1152">
        <f t="shared" si="11"/>
        <v>16.673846153846142</v>
      </c>
      <c r="CL6" s="1153">
        <f t="shared" si="11"/>
        <v>4.1336492673992495</v>
      </c>
      <c r="CM6" s="1154">
        <f t="shared" si="11"/>
        <v>11.427692307692318</v>
      </c>
      <c r="CN6" s="1152">
        <f t="shared" si="11"/>
        <v>-6.369230769230775</v>
      </c>
      <c r="CO6" s="1152">
        <f t="shared" si="11"/>
        <v>9.4892307692307512</v>
      </c>
      <c r="CP6" s="1152">
        <f t="shared" si="11"/>
        <v>2.6146153846153908</v>
      </c>
      <c r="CQ6" s="1153">
        <f t="shared" si="11"/>
        <v>4.2905769230769195</v>
      </c>
      <c r="CR6" s="1154">
        <f t="shared" ref="CR6:DA6" si="12">CR5-CR4</f>
        <v>3.7330769230769221</v>
      </c>
      <c r="CS6" s="1152">
        <f t="shared" si="12"/>
        <v>-8.5784615384615535</v>
      </c>
      <c r="CT6" s="1152">
        <f>CT5-CT4</f>
        <v>1.7326373626373694</v>
      </c>
      <c r="CU6" s="1152">
        <f>CU5-CU4</f>
        <v>-2.6838461538461544</v>
      </c>
      <c r="CV6" s="1153">
        <f t="shared" si="12"/>
        <v>-1.4491483516483541</v>
      </c>
      <c r="CW6" s="1154">
        <f t="shared" si="12"/>
        <v>-1.7223076923076803</v>
      </c>
      <c r="CX6" s="1152">
        <f t="shared" si="12"/>
        <v>3.0923076923076778</v>
      </c>
      <c r="CY6" s="1152">
        <f t="shared" si="12"/>
        <v>-1.4038461538461533</v>
      </c>
      <c r="CZ6" s="1152">
        <f t="shared" si="12"/>
        <v>-5.7346153846153882</v>
      </c>
      <c r="DA6" s="1153">
        <f t="shared" si="12"/>
        <v>-1.4421153846153913</v>
      </c>
      <c r="DB6" s="1154">
        <f t="shared" ref="DB6:DK6" si="13">DB5-DB4</f>
        <v>-3.8361538461538416</v>
      </c>
      <c r="DC6" s="1152">
        <f t="shared" si="13"/>
        <v>-3.346923076923062</v>
      </c>
      <c r="DD6" s="1152">
        <f t="shared" si="13"/>
        <v>0</v>
      </c>
      <c r="DE6" s="1152">
        <f t="shared" si="13"/>
        <v>0</v>
      </c>
      <c r="DF6" s="1153">
        <f t="shared" si="13"/>
        <v>-1.7957692307692241</v>
      </c>
      <c r="DG6" s="1154">
        <f t="shared" si="13"/>
        <v>0</v>
      </c>
      <c r="DH6" s="1152">
        <f t="shared" si="13"/>
        <v>0</v>
      </c>
      <c r="DI6" s="1152">
        <f t="shared" si="13"/>
        <v>0</v>
      </c>
      <c r="DJ6" s="1152">
        <f t="shared" si="13"/>
        <v>0</v>
      </c>
      <c r="DK6" s="1153">
        <f t="shared" si="13"/>
        <v>0</v>
      </c>
      <c r="DL6" s="1154">
        <f t="shared" ref="DL6:DP6" si="14">DL5-DL4</f>
        <v>0</v>
      </c>
      <c r="DM6" s="1152">
        <f t="shared" si="14"/>
        <v>0</v>
      </c>
      <c r="DN6" s="1152">
        <f t="shared" si="14"/>
        <v>0</v>
      </c>
      <c r="DO6" s="1152">
        <f t="shared" si="14"/>
        <v>0</v>
      </c>
      <c r="DP6" s="1153">
        <f t="shared" si="14"/>
        <v>0</v>
      </c>
    </row>
    <row r="7" spans="1:120" x14ac:dyDescent="0.2">
      <c r="A7" s="709">
        <f t="shared" si="0"/>
        <v>36526</v>
      </c>
      <c r="B7" s="709" t="str">
        <f t="shared" si="1"/>
        <v>1Q00</v>
      </c>
      <c r="C7" s="709" t="str">
        <f t="shared" si="2"/>
        <v>1Q00</v>
      </c>
      <c r="D7" s="710">
        <f t="shared" si="5"/>
        <v>36599</v>
      </c>
      <c r="E7" s="710">
        <f t="shared" si="5"/>
        <v>36539</v>
      </c>
      <c r="F7" s="712">
        <v>26.27</v>
      </c>
      <c r="G7" s="713">
        <f t="shared" si="3"/>
        <v>1.4900000000000011</v>
      </c>
      <c r="H7" s="713">
        <f t="shared" si="4"/>
        <v>1.4900000000000011</v>
      </c>
      <c r="I7" s="713">
        <f t="shared" si="8"/>
        <v>1.25</v>
      </c>
      <c r="J7" s="713">
        <f t="shared" si="6"/>
        <v>1.3</v>
      </c>
      <c r="K7" s="713">
        <f t="shared" si="9"/>
        <v>0.03</v>
      </c>
      <c r="L7" s="697"/>
      <c r="M7" s="697"/>
      <c r="N7" s="697">
        <f t="shared" si="7"/>
        <v>4</v>
      </c>
      <c r="O7" s="697">
        <v>2</v>
      </c>
      <c r="P7" s="697"/>
      <c r="Q7" s="699"/>
      <c r="R7" s="699"/>
      <c r="S7" s="699"/>
      <c r="T7" s="717"/>
      <c r="U7" s="697"/>
      <c r="V7" s="699"/>
      <c r="W7" s="699"/>
      <c r="X7" s="699"/>
      <c r="Y7" s="717"/>
      <c r="Z7" s="697"/>
      <c r="AA7" s="699"/>
      <c r="AB7" s="699"/>
      <c r="AC7" s="699"/>
      <c r="AD7" s="717"/>
      <c r="AE7" s="697"/>
      <c r="AF7" s="699"/>
      <c r="AG7" s="699"/>
      <c r="AH7" s="699"/>
      <c r="AI7" s="717"/>
      <c r="AJ7" s="697"/>
      <c r="AK7" s="699"/>
      <c r="AL7" s="699"/>
      <c r="AM7" s="699"/>
      <c r="AN7" s="717"/>
      <c r="AO7" s="697"/>
      <c r="AP7" s="699"/>
      <c r="AQ7" s="699"/>
      <c r="AR7" s="699"/>
      <c r="AS7" s="717"/>
      <c r="AT7" s="697"/>
      <c r="AU7" s="699"/>
      <c r="AV7" s="699"/>
      <c r="AW7" s="699"/>
      <c r="AX7" s="717"/>
      <c r="AY7" s="697"/>
      <c r="AZ7" s="699"/>
      <c r="BA7" s="699"/>
      <c r="BB7" s="699"/>
      <c r="BC7" s="717"/>
      <c r="BD7" s="697"/>
      <c r="BE7" s="699"/>
      <c r="BF7" s="699"/>
      <c r="BG7" s="699"/>
      <c r="BH7" s="717"/>
      <c r="BI7" s="697"/>
      <c r="BJ7" s="699"/>
      <c r="BK7" s="699"/>
      <c r="BL7" s="699"/>
      <c r="BM7" s="717"/>
      <c r="BN7" s="697"/>
      <c r="BO7" s="699"/>
      <c r="BP7" s="699"/>
      <c r="BQ7" s="699"/>
      <c r="BR7" s="717"/>
      <c r="BS7" s="1154"/>
      <c r="BT7" s="1152"/>
      <c r="BU7" s="1152"/>
      <c r="BV7" s="1152"/>
      <c r="BW7" s="1153"/>
      <c r="BX7" s="1154"/>
      <c r="BY7" s="1152"/>
      <c r="BZ7" s="1152"/>
      <c r="CA7" s="1152"/>
      <c r="CB7" s="1153"/>
      <c r="CC7" s="1154"/>
      <c r="CD7" s="1152"/>
      <c r="CE7" s="1152"/>
      <c r="CF7" s="1152"/>
      <c r="CG7" s="1153"/>
      <c r="CH7" s="1154"/>
      <c r="CI7" s="1152"/>
      <c r="CJ7" s="1152"/>
      <c r="CK7" s="1152"/>
      <c r="CL7" s="1153"/>
      <c r="CM7" s="1154"/>
      <c r="CN7" s="1152"/>
      <c r="CO7" s="1152"/>
      <c r="CP7" s="1152"/>
      <c r="CQ7" s="1153"/>
      <c r="CR7" s="1154"/>
      <c r="CS7" s="1152"/>
      <c r="CT7" s="1152"/>
      <c r="CU7" s="1152"/>
      <c r="CV7" s="1153"/>
      <c r="CW7" s="1154"/>
      <c r="CX7" s="1152"/>
      <c r="CY7" s="1152"/>
      <c r="CZ7" s="1152"/>
      <c r="DA7" s="1153"/>
      <c r="DB7" s="1154"/>
      <c r="DC7" s="1152"/>
      <c r="DD7" s="1152"/>
      <c r="DE7" s="1152"/>
      <c r="DF7" s="1153"/>
      <c r="DG7" s="1154"/>
      <c r="DH7" s="1152"/>
      <c r="DI7" s="1152"/>
      <c r="DJ7" s="1152"/>
      <c r="DK7" s="1153"/>
      <c r="DL7" s="1154"/>
      <c r="DM7" s="1152"/>
      <c r="DN7" s="1152"/>
      <c r="DO7" s="1152"/>
      <c r="DP7" s="1153"/>
    </row>
    <row r="8" spans="1:120" x14ac:dyDescent="0.2">
      <c r="A8" s="709">
        <f t="shared" si="0"/>
        <v>36526</v>
      </c>
      <c r="B8" s="709" t="str">
        <f t="shared" si="1"/>
        <v>1Q00</v>
      </c>
      <c r="C8" s="709" t="str">
        <f t="shared" si="2"/>
        <v>1Q00</v>
      </c>
      <c r="D8" s="710">
        <f t="shared" si="5"/>
        <v>36606</v>
      </c>
      <c r="E8" s="710">
        <f t="shared" si="5"/>
        <v>36546</v>
      </c>
      <c r="F8" s="712">
        <v>29.37</v>
      </c>
      <c r="G8" s="713">
        <f t="shared" si="3"/>
        <v>1.4900000000000011</v>
      </c>
      <c r="H8" s="713">
        <f t="shared" si="4"/>
        <v>1.4900000000000011</v>
      </c>
      <c r="I8" s="713">
        <f t="shared" si="8"/>
        <v>1.3</v>
      </c>
      <c r="J8" s="713">
        <f t="shared" si="6"/>
        <v>1.35</v>
      </c>
      <c r="K8" s="713">
        <f t="shared" si="9"/>
        <v>0.04</v>
      </c>
      <c r="L8" s="697"/>
      <c r="M8" s="700" t="s">
        <v>110</v>
      </c>
      <c r="N8" s="697">
        <f t="shared" si="7"/>
        <v>5</v>
      </c>
      <c r="O8" s="697">
        <v>2</v>
      </c>
      <c r="P8" s="697"/>
      <c r="Q8" s="699"/>
      <c r="R8" s="699"/>
      <c r="S8" s="699"/>
      <c r="T8" s="717"/>
      <c r="U8" s="697"/>
      <c r="V8" s="699"/>
      <c r="W8" s="699"/>
      <c r="X8" s="699"/>
      <c r="Y8" s="717"/>
      <c r="Z8" s="697"/>
      <c r="AA8" s="699"/>
      <c r="AB8" s="699"/>
      <c r="AC8" s="699"/>
      <c r="AD8" s="717"/>
      <c r="AE8" s="697"/>
      <c r="AF8" s="699"/>
      <c r="AG8" s="699"/>
      <c r="AH8" s="699"/>
      <c r="AI8" s="717"/>
      <c r="AJ8" s="697"/>
      <c r="AK8" s="699"/>
      <c r="AL8" s="699"/>
      <c r="AM8" s="699"/>
      <c r="AN8" s="717"/>
      <c r="AO8" s="697"/>
      <c r="AP8" s="699"/>
      <c r="AQ8" s="699"/>
      <c r="AR8" s="699"/>
      <c r="AS8" s="717"/>
      <c r="AT8" s="697"/>
      <c r="AU8" s="699"/>
      <c r="AV8" s="699"/>
      <c r="AW8" s="699"/>
      <c r="AX8" s="717"/>
      <c r="AY8" s="697"/>
      <c r="AZ8" s="699"/>
      <c r="BA8" s="699"/>
      <c r="BB8" s="699"/>
      <c r="BC8" s="717"/>
      <c r="BD8" s="697"/>
      <c r="BE8" s="699"/>
      <c r="BF8" s="699"/>
      <c r="BG8" s="699"/>
      <c r="BH8" s="717"/>
      <c r="BI8" s="697"/>
      <c r="BJ8" s="699"/>
      <c r="BK8" s="699"/>
      <c r="BL8" s="699"/>
      <c r="BM8" s="717"/>
      <c r="BN8" s="697"/>
      <c r="BO8" s="699"/>
      <c r="BP8" s="699"/>
      <c r="BQ8" s="699"/>
      <c r="BR8" s="717"/>
      <c r="BS8" s="1154">
        <f t="shared" ref="BS8:CG8" si="15">+BS6*3</f>
        <v>-17.591346153846175</v>
      </c>
      <c r="BT8" s="1152">
        <f t="shared" si="15"/>
        <v>-6.780000000000058</v>
      </c>
      <c r="BU8" s="1152">
        <f t="shared" si="15"/>
        <v>25.090054945054959</v>
      </c>
      <c r="BV8" s="1152">
        <f t="shared" si="15"/>
        <v>-24.496153846153874</v>
      </c>
      <c r="BW8" s="1153"/>
      <c r="BX8" s="1154">
        <f t="shared" si="15"/>
        <v>-13.100769230769302</v>
      </c>
      <c r="BY8" s="1152">
        <f t="shared" si="15"/>
        <v>31.442307692307722</v>
      </c>
      <c r="BZ8" s="1152">
        <f t="shared" si="15"/>
        <v>-10.689230769230761</v>
      </c>
      <c r="CA8" s="1152">
        <f>+CA6*3</f>
        <v>14.626153846153812</v>
      </c>
      <c r="CB8" s="1153"/>
      <c r="CC8" s="1154">
        <f t="shared" si="15"/>
        <v>-15.318461538461492</v>
      </c>
      <c r="CD8" s="1154">
        <f t="shared" si="15"/>
        <v>-1.2000000000000171</v>
      </c>
      <c r="CE8" s="1154">
        <f t="shared" si="15"/>
        <v>-23.741538461538411</v>
      </c>
      <c r="CF8" s="1154">
        <f t="shared" si="15"/>
        <v>20.328131868131891</v>
      </c>
      <c r="CG8" s="1154">
        <f t="shared" si="15"/>
        <v>-4.9829670329669966</v>
      </c>
      <c r="CH8" s="1154">
        <f t="shared" ref="CH8:CO8" si="16">+CH6*3</f>
        <v>-9.9569230769230757</v>
      </c>
      <c r="CI8" s="1154">
        <f t="shared" si="16"/>
        <v>-6.8261538461539146</v>
      </c>
      <c r="CJ8" s="1154">
        <f t="shared" si="16"/>
        <v>16.365329670329601</v>
      </c>
      <c r="CK8" s="1154">
        <f t="shared" si="16"/>
        <v>50.021538461538427</v>
      </c>
      <c r="CL8" s="1154">
        <f t="shared" si="16"/>
        <v>12.400947802197749</v>
      </c>
      <c r="CM8" s="1154">
        <f t="shared" si="16"/>
        <v>34.283076923076955</v>
      </c>
      <c r="CN8" s="1154">
        <f t="shared" si="16"/>
        <v>-19.107692307692325</v>
      </c>
      <c r="CO8" s="1154">
        <f t="shared" si="16"/>
        <v>28.467692307692253</v>
      </c>
      <c r="CP8" s="1154">
        <f t="shared" ref="CP8:CU8" si="17">+CP6*3</f>
        <v>7.8438461538461723</v>
      </c>
      <c r="CQ8" s="1154">
        <f t="shared" si="17"/>
        <v>12.871730769230759</v>
      </c>
      <c r="CR8" s="1154">
        <f t="shared" si="17"/>
        <v>11.199230769230766</v>
      </c>
      <c r="CS8" s="1154">
        <f t="shared" si="17"/>
        <v>-25.73538461538466</v>
      </c>
      <c r="CT8" s="1154">
        <f t="shared" si="17"/>
        <v>5.1979120879121083</v>
      </c>
      <c r="CU8" s="1154">
        <f t="shared" si="17"/>
        <v>-8.0515384615384633</v>
      </c>
      <c r="CV8" s="1154">
        <f t="shared" ref="CV8:CW8" si="18">+CV6*3</f>
        <v>-4.3474450549450623</v>
      </c>
      <c r="CW8" s="1154">
        <f t="shared" si="18"/>
        <v>-5.166923076923041</v>
      </c>
      <c r="CX8" s="1154">
        <f t="shared" ref="CX8:CY8" si="19">+CX6*3</f>
        <v>9.2769230769230333</v>
      </c>
      <c r="CY8" s="1154">
        <f t="shared" si="19"/>
        <v>-4.2115384615384599</v>
      </c>
      <c r="CZ8" s="1154">
        <f t="shared" ref="CZ8:DA8" si="20">+CZ6*3</f>
        <v>-17.203846153846165</v>
      </c>
      <c r="DA8" s="1154">
        <f t="shared" si="20"/>
        <v>-4.326346153846174</v>
      </c>
      <c r="DB8" s="1154">
        <f t="shared" ref="DB8" si="21">+DB6*3</f>
        <v>-11.508461538461525</v>
      </c>
      <c r="DC8" s="1152"/>
      <c r="DD8" s="1152"/>
      <c r="DE8" s="1152"/>
      <c r="DF8" s="1153"/>
      <c r="DG8" s="1154"/>
      <c r="DH8" s="1152"/>
      <c r="DI8" s="1152"/>
      <c r="DJ8" s="1152"/>
      <c r="DK8" s="1153"/>
      <c r="DL8" s="1154"/>
      <c r="DM8" s="1152"/>
      <c r="DN8" s="1152"/>
      <c r="DO8" s="1152"/>
      <c r="DP8" s="1153"/>
    </row>
    <row r="9" spans="1:120" x14ac:dyDescent="0.2">
      <c r="A9" s="709">
        <f t="shared" si="0"/>
        <v>36526</v>
      </c>
      <c r="B9" s="709" t="str">
        <f t="shared" si="1"/>
        <v>1Q00</v>
      </c>
      <c r="C9" s="709" t="str">
        <f t="shared" si="2"/>
        <v>1Q00</v>
      </c>
      <c r="D9" s="710">
        <f t="shared" si="5"/>
        <v>36613</v>
      </c>
      <c r="E9" s="710">
        <f t="shared" si="5"/>
        <v>36553</v>
      </c>
      <c r="F9" s="712">
        <v>28.34</v>
      </c>
      <c r="G9" s="713">
        <f t="shared" si="3"/>
        <v>1.4900000000000011</v>
      </c>
      <c r="H9" s="713">
        <f t="shared" si="4"/>
        <v>1.4900000000000011</v>
      </c>
      <c r="I9" s="713">
        <f t="shared" si="8"/>
        <v>1.35</v>
      </c>
      <c r="J9" s="713">
        <f t="shared" si="6"/>
        <v>1.4000000000000001</v>
      </c>
      <c r="K9" s="713">
        <f t="shared" si="9"/>
        <v>0.05</v>
      </c>
      <c r="L9" s="697"/>
      <c r="M9" s="700" t="s">
        <v>113</v>
      </c>
      <c r="N9" s="697">
        <f t="shared" si="7"/>
        <v>6</v>
      </c>
      <c r="O9" s="697">
        <v>2</v>
      </c>
      <c r="P9" s="697"/>
      <c r="Q9" s="699"/>
      <c r="R9" s="699"/>
      <c r="S9" s="699"/>
      <c r="T9" s="717"/>
      <c r="U9" s="697"/>
      <c r="V9" s="699"/>
      <c r="W9" s="699"/>
      <c r="X9" s="699"/>
      <c r="Y9" s="717"/>
      <c r="Z9" s="697"/>
      <c r="AA9" s="699"/>
      <c r="AB9" s="699"/>
      <c r="AC9" s="699"/>
      <c r="AD9" s="717"/>
      <c r="AE9" s="697"/>
      <c r="AF9" s="699"/>
      <c r="AG9" s="699"/>
      <c r="AH9" s="699"/>
      <c r="AI9" s="717"/>
      <c r="AJ9" s="697"/>
      <c r="AK9" s="699"/>
      <c r="AL9" s="699"/>
      <c r="AM9" s="699"/>
      <c r="AN9" s="717"/>
      <c r="AO9" s="697"/>
      <c r="AP9" s="699"/>
      <c r="AQ9" s="699"/>
      <c r="AR9" s="699"/>
      <c r="AS9" s="717"/>
      <c r="AT9" s="697"/>
      <c r="AU9" s="699"/>
      <c r="AV9" s="699"/>
      <c r="AW9" s="699"/>
      <c r="AX9" s="717"/>
      <c r="AY9" s="697"/>
      <c r="AZ9" s="699"/>
      <c r="BA9" s="699"/>
      <c r="BB9" s="699"/>
      <c r="BC9" s="717"/>
      <c r="BD9" s="697"/>
      <c r="BE9" s="699"/>
      <c r="BF9" s="699"/>
      <c r="BG9" s="699"/>
      <c r="BH9" s="717"/>
      <c r="BI9" s="697"/>
      <c r="BJ9" s="699"/>
      <c r="BK9" s="699"/>
      <c r="BL9" s="699"/>
      <c r="BM9" s="717"/>
      <c r="BN9" s="697"/>
      <c r="BO9" s="699"/>
      <c r="BP9" s="699"/>
      <c r="BQ9" s="699"/>
      <c r="BR9" s="717"/>
      <c r="BS9" s="1159">
        <v>-40</v>
      </c>
      <c r="BT9" s="1160">
        <v>-11</v>
      </c>
      <c r="BU9" s="1160">
        <v>52</v>
      </c>
      <c r="BV9" s="1160">
        <v>-46</v>
      </c>
      <c r="BW9" s="1158"/>
      <c r="BX9" s="1159">
        <v>-26</v>
      </c>
      <c r="BY9" s="1160">
        <v>61</v>
      </c>
      <c r="BZ9" s="1160">
        <v>-21</v>
      </c>
      <c r="CA9" s="1160">
        <v>25</v>
      </c>
      <c r="CB9" s="1158"/>
      <c r="CC9" s="1160">
        <v>-23</v>
      </c>
      <c r="CD9" s="1160">
        <v>-4</v>
      </c>
      <c r="CE9" s="1160">
        <v>-41</v>
      </c>
      <c r="CF9" s="1283"/>
      <c r="CG9" s="1153"/>
      <c r="CH9" s="1153"/>
      <c r="CI9" s="1152"/>
      <c r="CJ9" s="1152"/>
      <c r="CK9" s="1152"/>
      <c r="CL9" s="1153"/>
      <c r="CM9" s="1153"/>
      <c r="CN9" s="1153"/>
      <c r="CO9" s="1153"/>
      <c r="CP9" s="1153"/>
      <c r="CQ9" s="1153"/>
      <c r="CR9" s="1153"/>
      <c r="CS9" s="1153"/>
      <c r="CT9" s="1153"/>
      <c r="CU9" s="1153"/>
      <c r="CV9" s="1153"/>
      <c r="CW9" s="1153"/>
      <c r="CX9" s="1153"/>
      <c r="CY9" s="1153"/>
      <c r="CZ9" s="1153"/>
      <c r="DA9" s="1153"/>
      <c r="DB9" s="1153"/>
      <c r="DC9" s="1152"/>
      <c r="DD9" s="1152"/>
      <c r="DE9" s="1152"/>
      <c r="DF9" s="1153"/>
      <c r="DG9" s="1154"/>
      <c r="DH9" s="1152"/>
      <c r="DI9" s="1152"/>
      <c r="DJ9" s="1152"/>
      <c r="DK9" s="1153"/>
      <c r="DL9" s="1154"/>
      <c r="DM9" s="1152"/>
      <c r="DN9" s="1152"/>
      <c r="DO9" s="1152"/>
      <c r="DP9" s="1153"/>
    </row>
    <row r="10" spans="1:120" x14ac:dyDescent="0.2">
      <c r="A10" s="709">
        <f t="shared" si="0"/>
        <v>36557</v>
      </c>
      <c r="B10" s="709" t="str">
        <f t="shared" si="1"/>
        <v>1Q00</v>
      </c>
      <c r="C10" s="709" t="str">
        <f t="shared" si="2"/>
        <v>2Q00</v>
      </c>
      <c r="D10" s="710">
        <f t="shared" si="5"/>
        <v>36620</v>
      </c>
      <c r="E10" s="710">
        <f t="shared" si="5"/>
        <v>36560</v>
      </c>
      <c r="F10" s="712">
        <v>28.08</v>
      </c>
      <c r="G10" s="713">
        <f t="shared" si="3"/>
        <v>1.4900000000000011</v>
      </c>
      <c r="H10" s="713">
        <f t="shared" si="4"/>
        <v>1.4900000000000011</v>
      </c>
      <c r="I10" s="713">
        <f t="shared" si="8"/>
        <v>1.4000000000000001</v>
      </c>
      <c r="J10" s="713">
        <f t="shared" si="6"/>
        <v>1.4500000000000002</v>
      </c>
      <c r="K10" s="713">
        <f t="shared" si="9"/>
        <v>6.0000000000000005E-2</v>
      </c>
      <c r="L10" s="697"/>
      <c r="M10" s="700" t="s">
        <v>112</v>
      </c>
      <c r="N10" s="697">
        <f t="shared" si="7"/>
        <v>7</v>
      </c>
      <c r="O10" s="697">
        <v>3</v>
      </c>
      <c r="P10" s="714"/>
      <c r="Q10" s="714"/>
      <c r="R10" s="714"/>
      <c r="S10" s="714"/>
      <c r="T10" s="715"/>
      <c r="U10" s="714"/>
      <c r="V10" s="714"/>
      <c r="W10" s="714"/>
      <c r="X10" s="714"/>
      <c r="Y10" s="715"/>
      <c r="Z10" s="714"/>
      <c r="AA10" s="714"/>
      <c r="AB10" s="714"/>
      <c r="AC10" s="714"/>
      <c r="AD10" s="715"/>
      <c r="AE10" s="714"/>
      <c r="AF10" s="714"/>
      <c r="AG10" s="714"/>
      <c r="AH10" s="714"/>
      <c r="AI10" s="715"/>
      <c r="AJ10" s="714"/>
      <c r="AK10" s="714"/>
      <c r="AL10" s="714"/>
      <c r="AM10" s="714"/>
      <c r="AN10" s="715"/>
      <c r="AO10" s="714"/>
      <c r="AP10" s="714"/>
      <c r="AQ10" s="714"/>
      <c r="AR10" s="714"/>
      <c r="AS10" s="715"/>
      <c r="AT10" s="714"/>
      <c r="AU10" s="714"/>
      <c r="AV10" s="714"/>
      <c r="AW10" s="714"/>
      <c r="AX10" s="715"/>
      <c r="AY10" s="714"/>
      <c r="AZ10" s="714"/>
      <c r="BA10" s="714"/>
      <c r="BB10" s="714"/>
      <c r="BC10" s="715"/>
      <c r="BD10" s="714"/>
      <c r="BE10" s="714"/>
      <c r="BF10" s="714"/>
      <c r="BG10" s="714"/>
      <c r="BH10" s="715"/>
      <c r="BI10" s="714"/>
      <c r="BJ10" s="714"/>
      <c r="BK10" s="714"/>
      <c r="BL10" s="714"/>
      <c r="BM10" s="715"/>
      <c r="BN10" s="714"/>
      <c r="BO10" s="714"/>
      <c r="BP10" s="714"/>
      <c r="BQ10" s="714"/>
      <c r="BR10" s="715"/>
      <c r="BS10" s="1159">
        <f>+BS8*2.0613-0.0927</f>
        <v>-36.35374182692312</v>
      </c>
      <c r="BT10" s="1159">
        <f>+BT8*2.0613-0.0927</f>
        <v>-14.068314000000122</v>
      </c>
      <c r="BU10" s="1159">
        <f>+BU8*2.0613-0.0927</f>
        <v>51.625430258241792</v>
      </c>
      <c r="BV10" s="1159">
        <f>+BV8*2.0613-0.0927</f>
        <v>-50.586621923076983</v>
      </c>
      <c r="BW10" s="1158"/>
      <c r="BX10" s="1159">
        <f>+BX8*2.0613-0.0927</f>
        <v>-27.097315615384765</v>
      </c>
      <c r="BY10" s="1159">
        <f>+BY8*2.0613-0.0927</f>
        <v>64.719328846153914</v>
      </c>
      <c r="BZ10" s="1159">
        <f>+BZ8*2.0613-0.0927</f>
        <v>-22.12641138461537</v>
      </c>
      <c r="CA10" s="1159">
        <f>+CA8*2.0613-0.0927</f>
        <v>30.056190923076855</v>
      </c>
      <c r="CB10" s="1158"/>
      <c r="CC10" s="1159">
        <f t="shared" ref="CC10:CH10" si="22">+CC8*2.0613-0.0927</f>
        <v>-31.668644769230674</v>
      </c>
      <c r="CD10" s="1159">
        <f t="shared" si="22"/>
        <v>-2.5662600000000353</v>
      </c>
      <c r="CE10" s="1159">
        <f t="shared" si="22"/>
        <v>-49.031133230769129</v>
      </c>
      <c r="CF10" s="1159">
        <f t="shared" si="22"/>
        <v>41.809678219780267</v>
      </c>
      <c r="CG10" s="1159">
        <f t="shared" si="22"/>
        <v>-10.364089945054872</v>
      </c>
      <c r="CH10" s="1159">
        <f t="shared" si="22"/>
        <v>-20.616905538461538</v>
      </c>
      <c r="CI10" s="1159">
        <f t="shared" ref="CI10:CO10" si="23">+CI8*2.0613-0.0927</f>
        <v>-14.163450923077066</v>
      </c>
      <c r="CJ10" s="1159">
        <f t="shared" si="23"/>
        <v>33.641154049450407</v>
      </c>
      <c r="CK10" s="1159">
        <f t="shared" si="23"/>
        <v>103.01669723076917</v>
      </c>
      <c r="CL10" s="1159">
        <f t="shared" si="23"/>
        <v>25.469373704670222</v>
      </c>
      <c r="CM10" s="1159">
        <f t="shared" si="23"/>
        <v>70.575006461538536</v>
      </c>
      <c r="CN10" s="1159">
        <f t="shared" si="23"/>
        <v>-39.479386153846193</v>
      </c>
      <c r="CO10" s="1159">
        <f t="shared" si="23"/>
        <v>58.587754153846042</v>
      </c>
      <c r="CP10" s="1159">
        <f t="shared" ref="CP10:CU10" si="24">+CP8*2.0613-0.0927</f>
        <v>16.075820076923115</v>
      </c>
      <c r="CQ10" s="1159">
        <f t="shared" si="24"/>
        <v>26.439798634615364</v>
      </c>
      <c r="CR10" s="1159">
        <f t="shared" si="24"/>
        <v>22.992274384615378</v>
      </c>
      <c r="CS10" s="1159">
        <f t="shared" si="24"/>
        <v>-53.141048307692408</v>
      </c>
      <c r="CT10" s="1159">
        <f t="shared" si="24"/>
        <v>10.621756186813229</v>
      </c>
      <c r="CU10" s="1159">
        <f t="shared" si="24"/>
        <v>-16.689336230769236</v>
      </c>
      <c r="CV10" s="1159">
        <f t="shared" ref="CV10:CW10" si="25">+CV8*2.0613-0.0927</f>
        <v>-9.0540884917582574</v>
      </c>
      <c r="CW10" s="1159">
        <f t="shared" si="25"/>
        <v>-10.743278538461466</v>
      </c>
      <c r="CX10" s="1159">
        <f t="shared" ref="CX10:CY10" si="26">+CX8*2.0613-0.0927</f>
        <v>19.029821538461448</v>
      </c>
      <c r="CY10" s="1159">
        <f t="shared" si="26"/>
        <v>-8.7739442307692279</v>
      </c>
      <c r="CZ10" s="1159">
        <f t="shared" ref="CZ10" si="27">+CZ8*2.0613-0.0927</f>
        <v>-35.554988076923102</v>
      </c>
      <c r="DA10" s="1159">
        <f>+DA8*1.9135 + 0.537</f>
        <v>-7.7414633653846545</v>
      </c>
      <c r="DB10" s="1159">
        <f>+DB8*1.9135 + 0.537</f>
        <v>-21.484441153846127</v>
      </c>
      <c r="DC10" s="714"/>
      <c r="DD10" s="714"/>
      <c r="DE10" s="714"/>
      <c r="DF10" s="715"/>
      <c r="DG10" s="714"/>
      <c r="DH10" s="714"/>
      <c r="DI10" s="714"/>
      <c r="DJ10" s="714"/>
      <c r="DK10" s="715"/>
      <c r="DL10" s="714"/>
      <c r="DM10" s="714"/>
      <c r="DN10" s="714"/>
      <c r="DO10" s="714"/>
      <c r="DP10" s="715"/>
    </row>
    <row r="11" spans="1:120" x14ac:dyDescent="0.2">
      <c r="A11" s="709">
        <f t="shared" si="0"/>
        <v>36557</v>
      </c>
      <c r="B11" s="709" t="str">
        <f t="shared" si="1"/>
        <v>1Q00</v>
      </c>
      <c r="C11" s="709" t="str">
        <f t="shared" si="2"/>
        <v>2Q00</v>
      </c>
      <c r="D11" s="710">
        <f t="shared" si="5"/>
        <v>36627</v>
      </c>
      <c r="E11" s="710">
        <f t="shared" si="5"/>
        <v>36567</v>
      </c>
      <c r="F11" s="712">
        <v>28.83</v>
      </c>
      <c r="G11" s="713">
        <f t="shared" si="3"/>
        <v>1.4900000000000011</v>
      </c>
      <c r="H11" s="713">
        <f t="shared" si="4"/>
        <v>1.4900000000000011</v>
      </c>
      <c r="I11" s="713">
        <f t="shared" si="8"/>
        <v>1.4500000000000002</v>
      </c>
      <c r="J11" s="713">
        <f t="shared" si="6"/>
        <v>1.5000000000000002</v>
      </c>
      <c r="K11" s="713">
        <f t="shared" si="9"/>
        <v>7.0000000000000007E-2</v>
      </c>
      <c r="L11" s="697"/>
      <c r="M11" s="700" t="s">
        <v>121</v>
      </c>
      <c r="N11" s="697">
        <f t="shared" si="7"/>
        <v>8</v>
      </c>
      <c r="O11" s="697">
        <v>3</v>
      </c>
      <c r="P11" s="716"/>
      <c r="Q11" s="714"/>
      <c r="R11" s="714"/>
      <c r="S11" s="714"/>
      <c r="T11" s="715"/>
      <c r="U11" s="716"/>
      <c r="V11" s="714"/>
      <c r="W11" s="714"/>
      <c r="X11" s="714"/>
      <c r="Y11" s="715"/>
      <c r="Z11" s="716"/>
      <c r="AA11" s="714"/>
      <c r="AB11" s="714"/>
      <c r="AC11" s="714"/>
      <c r="AD11" s="715"/>
      <c r="AE11" s="716"/>
      <c r="AF11" s="714"/>
      <c r="AG11" s="714"/>
      <c r="AH11" s="714"/>
      <c r="AI11" s="715"/>
      <c r="AJ11" s="716"/>
      <c r="AK11" s="714"/>
      <c r="AL11" s="714"/>
      <c r="AM11" s="714"/>
      <c r="AN11" s="715"/>
      <c r="AO11" s="716"/>
      <c r="AP11" s="714"/>
      <c r="AQ11" s="714"/>
      <c r="AR11" s="714"/>
      <c r="AS11" s="715"/>
      <c r="AT11" s="716"/>
      <c r="AU11" s="714"/>
      <c r="AV11" s="714"/>
      <c r="AW11" s="714"/>
      <c r="AX11" s="715"/>
      <c r="AY11" s="716"/>
      <c r="AZ11" s="714"/>
      <c r="BA11" s="714"/>
      <c r="BB11" s="714"/>
      <c r="BC11" s="715"/>
      <c r="BD11" s="716"/>
      <c r="BE11" s="714"/>
      <c r="BF11" s="714"/>
      <c r="BG11" s="714"/>
      <c r="BH11" s="715"/>
      <c r="BI11" s="716"/>
      <c r="BJ11" s="714"/>
      <c r="BK11" s="714"/>
      <c r="BL11" s="714"/>
      <c r="BM11" s="715"/>
      <c r="BN11" s="716"/>
      <c r="BO11" s="714"/>
      <c r="BP11" s="714"/>
      <c r="BQ11" s="714"/>
      <c r="BR11" s="715"/>
      <c r="BS11" s="1162">
        <f>Model!DH116</f>
        <v>-44.825999999999993</v>
      </c>
      <c r="BT11" s="1162">
        <f>Model!DI116</f>
        <v>8</v>
      </c>
      <c r="BU11" s="1162">
        <f>Model!DJ116</f>
        <v>53</v>
      </c>
      <c r="BV11" s="1162">
        <f>Model!DK116</f>
        <v>5</v>
      </c>
      <c r="BW11" s="1162">
        <f>Model!DL116</f>
        <v>21.173999999999978</v>
      </c>
      <c r="BX11" s="1162">
        <f>Model!DM116</f>
        <v>52</v>
      </c>
      <c r="BY11" s="1162">
        <f>Model!DN116</f>
        <v>25.538000000000011</v>
      </c>
      <c r="BZ11" s="1162">
        <f>Model!DO116</f>
        <v>-66</v>
      </c>
      <c r="CA11" s="1162">
        <f>Model!DP116</f>
        <v>23</v>
      </c>
      <c r="CB11" s="1162">
        <f>Model!DQ116</f>
        <v>34.538000000000011</v>
      </c>
      <c r="CC11" s="1162">
        <f>Model!DR116</f>
        <v>-67</v>
      </c>
      <c r="CD11" s="1162">
        <f>Model!DS116</f>
        <v>-60</v>
      </c>
      <c r="CE11" s="1162">
        <f>Model!DT116</f>
        <v>24</v>
      </c>
      <c r="CF11" s="1162">
        <f>Model!DU116</f>
        <v>43</v>
      </c>
      <c r="CG11" s="1162">
        <f>Model!DV116</f>
        <v>-60</v>
      </c>
      <c r="CH11" s="1162">
        <f>Model!DW116</f>
        <v>18</v>
      </c>
      <c r="CI11" s="1162">
        <f>Model!DX116</f>
        <v>35</v>
      </c>
      <c r="CJ11" s="1162">
        <f>Model!DY116</f>
        <v>50.5</v>
      </c>
      <c r="CK11" s="1162">
        <f>Model!DZ116</f>
        <v>11</v>
      </c>
      <c r="CL11" s="1162">
        <f>Model!EA116</f>
        <v>114.5</v>
      </c>
      <c r="CM11" s="1162">
        <f>Model!EB116</f>
        <v>36</v>
      </c>
      <c r="CN11" s="1162">
        <f>Model!EC116</f>
        <v>-86</v>
      </c>
      <c r="CO11" s="1162">
        <f>Model!ED116</f>
        <v>-89.5</v>
      </c>
      <c r="CP11" s="1162">
        <f>Model!EE116</f>
        <v>-73</v>
      </c>
      <c r="CQ11" s="1162">
        <f>Model!EF116</f>
        <v>-212.5</v>
      </c>
      <c r="CR11" s="1162">
        <f>Model!EG116</f>
        <v>1</v>
      </c>
      <c r="CS11" s="1162">
        <f>Model!EH116</f>
        <v>12</v>
      </c>
      <c r="CT11" s="1162">
        <f>Model!EI116</f>
        <v>-6</v>
      </c>
      <c r="CU11" s="1162">
        <f>Model!EJ116</f>
        <v>-12</v>
      </c>
      <c r="CV11" s="1162">
        <f>Model!EK116</f>
        <v>-5</v>
      </c>
      <c r="CW11" s="1162">
        <f>Model!EL116</f>
        <v>-33</v>
      </c>
      <c r="CX11" s="1162">
        <f>Model!EM116</f>
        <v>19</v>
      </c>
      <c r="CY11" s="1162">
        <f>Model!EN116</f>
        <v>0</v>
      </c>
      <c r="CZ11" s="1162">
        <f>Model!EO116</f>
        <v>-5</v>
      </c>
      <c r="DA11" s="1162">
        <f>Model!EP116</f>
        <v>-19</v>
      </c>
      <c r="DB11" s="1162">
        <f>Model!EQ116</f>
        <v>-2</v>
      </c>
      <c r="DC11" s="714"/>
      <c r="DD11" s="714"/>
      <c r="DE11" s="714"/>
      <c r="DF11" s="715"/>
      <c r="DG11" s="716"/>
      <c r="DH11" s="714"/>
      <c r="DI11" s="714"/>
      <c r="DJ11" s="714"/>
      <c r="DK11" s="715"/>
      <c r="DL11" s="716"/>
      <c r="DM11" s="714"/>
      <c r="DN11" s="714"/>
      <c r="DO11" s="714"/>
      <c r="DP11" s="715"/>
    </row>
    <row r="12" spans="1:120" x14ac:dyDescent="0.2">
      <c r="A12" s="709">
        <f t="shared" si="0"/>
        <v>36557</v>
      </c>
      <c r="B12" s="709" t="str">
        <f t="shared" si="1"/>
        <v>1Q00</v>
      </c>
      <c r="C12" s="709" t="str">
        <f t="shared" si="2"/>
        <v>2Q00</v>
      </c>
      <c r="D12" s="710">
        <f t="shared" si="5"/>
        <v>36634</v>
      </c>
      <c r="E12" s="710">
        <f t="shared" si="5"/>
        <v>36574</v>
      </c>
      <c r="F12" s="712">
        <v>29.87</v>
      </c>
      <c r="G12" s="713">
        <f t="shared" si="3"/>
        <v>1.4900000000000011</v>
      </c>
      <c r="H12" s="713">
        <f t="shared" si="4"/>
        <v>1.4900000000000011</v>
      </c>
      <c r="I12" s="713">
        <f t="shared" si="8"/>
        <v>1.5000000000000002</v>
      </c>
      <c r="J12" s="713">
        <f t="shared" si="6"/>
        <v>1.5500000000000003</v>
      </c>
      <c r="K12" s="713">
        <f t="shared" si="9"/>
        <v>0.08</v>
      </c>
      <c r="L12" s="697"/>
      <c r="M12" s="697"/>
      <c r="N12" s="697">
        <f t="shared" si="7"/>
        <v>9</v>
      </c>
      <c r="O12" s="697">
        <v>3</v>
      </c>
      <c r="P12" s="718"/>
      <c r="Q12" s="718"/>
      <c r="R12" s="718"/>
      <c r="S12" s="718"/>
      <c r="T12" s="718"/>
      <c r="U12" s="718"/>
      <c r="V12" s="718"/>
      <c r="W12" s="718"/>
      <c r="X12" s="718"/>
      <c r="Y12" s="718"/>
      <c r="Z12" s="718"/>
      <c r="AA12" s="718"/>
      <c r="AB12" s="718"/>
      <c r="AC12" s="718"/>
      <c r="AD12" s="718"/>
      <c r="AE12" s="718"/>
      <c r="AF12" s="718"/>
      <c r="AG12" s="718"/>
      <c r="AH12" s="718"/>
      <c r="AI12" s="718"/>
      <c r="AJ12" s="718"/>
      <c r="AK12" s="718"/>
      <c r="AL12" s="718"/>
      <c r="AM12" s="718"/>
      <c r="AN12" s="718"/>
      <c r="AO12" s="718"/>
      <c r="AP12" s="718"/>
      <c r="AQ12" s="718"/>
      <c r="AR12" s="718"/>
      <c r="AS12" s="718"/>
      <c r="AT12" s="718"/>
      <c r="AU12" s="718"/>
      <c r="AV12" s="718"/>
      <c r="AW12" s="718"/>
      <c r="AX12" s="718"/>
      <c r="AY12" s="718"/>
      <c r="AZ12" s="718"/>
      <c r="BA12" s="718"/>
      <c r="BB12" s="718"/>
      <c r="BC12" s="718"/>
      <c r="BD12" s="718"/>
      <c r="BE12" s="718"/>
      <c r="BF12" s="718"/>
      <c r="BG12" s="718"/>
      <c r="BH12" s="718"/>
      <c r="BI12" s="718"/>
      <c r="BJ12" s="718"/>
      <c r="BK12" s="718"/>
      <c r="BL12" s="718"/>
      <c r="BM12" s="718"/>
      <c r="BN12" s="718"/>
      <c r="BO12" s="718"/>
      <c r="BP12" s="718"/>
      <c r="BQ12" s="718"/>
      <c r="BR12" s="718"/>
      <c r="BS12" s="718"/>
      <c r="BT12" s="718"/>
      <c r="BU12" s="718"/>
      <c r="BV12" s="718"/>
      <c r="BW12" s="718"/>
      <c r="BX12" s="718"/>
      <c r="BY12" s="718"/>
      <c r="BZ12" s="718"/>
      <c r="CA12" s="718"/>
      <c r="CB12" s="718"/>
      <c r="CC12" s="718"/>
      <c r="CD12" s="718"/>
      <c r="CE12" s="718"/>
      <c r="CF12" s="718"/>
      <c r="CG12" s="718"/>
      <c r="CH12" s="718"/>
      <c r="CI12" s="718"/>
      <c r="CJ12" s="718"/>
      <c r="CK12" s="718"/>
      <c r="CL12" s="718"/>
      <c r="CM12" s="718"/>
      <c r="CN12" s="718"/>
      <c r="CO12" s="718"/>
      <c r="CP12" s="718"/>
      <c r="CQ12" s="718"/>
      <c r="CR12" s="718"/>
      <c r="CS12" s="718"/>
      <c r="CT12" s="718"/>
      <c r="CU12" s="718"/>
      <c r="CV12" s="718"/>
      <c r="CW12" s="718"/>
      <c r="CX12" s="718"/>
      <c r="CY12" s="718"/>
      <c r="CZ12" s="718"/>
      <c r="DA12" s="718"/>
      <c r="DB12" s="718"/>
      <c r="DC12" s="718"/>
      <c r="DD12" s="718"/>
      <c r="DE12" s="718"/>
      <c r="DF12" s="718"/>
      <c r="DG12" s="718"/>
      <c r="DH12" s="718"/>
      <c r="DI12" s="718"/>
      <c r="DJ12" s="718"/>
      <c r="DK12" s="718"/>
      <c r="DL12" s="718"/>
      <c r="DM12" s="718"/>
      <c r="DN12" s="718"/>
      <c r="DO12" s="718"/>
      <c r="DP12" s="718"/>
    </row>
    <row r="13" spans="1:120" x14ac:dyDescent="0.2">
      <c r="A13" s="709">
        <f t="shared" si="0"/>
        <v>36557</v>
      </c>
      <c r="B13" s="709" t="str">
        <f t="shared" si="1"/>
        <v>1Q00</v>
      </c>
      <c r="C13" s="709" t="str">
        <f t="shared" si="2"/>
        <v>2Q00</v>
      </c>
      <c r="D13" s="710">
        <f t="shared" si="5"/>
        <v>36641</v>
      </c>
      <c r="E13" s="710">
        <f t="shared" si="5"/>
        <v>36581</v>
      </c>
      <c r="F13" s="712">
        <v>30.1</v>
      </c>
      <c r="G13" s="713">
        <f t="shared" si="3"/>
        <v>1.4900000000000011</v>
      </c>
      <c r="H13" s="713">
        <f t="shared" si="4"/>
        <v>1.4900000000000011</v>
      </c>
      <c r="I13" s="713">
        <f t="shared" si="8"/>
        <v>1.5500000000000003</v>
      </c>
      <c r="J13" s="713">
        <f t="shared" si="6"/>
        <v>1.6000000000000003</v>
      </c>
      <c r="K13" s="713">
        <f t="shared" si="9"/>
        <v>0.09</v>
      </c>
      <c r="L13" s="697"/>
      <c r="M13" s="697" t="s">
        <v>111</v>
      </c>
      <c r="N13" s="697"/>
      <c r="O13" s="697"/>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f>Model!CI120</f>
        <v>6.537474003099368E-2</v>
      </c>
      <c r="AU13" s="2">
        <f>Model!CJ120</f>
        <v>7.4721143940095228E-2</v>
      </c>
      <c r="AV13" s="2">
        <f>Model!CK120</f>
        <v>0.10607537945295954</v>
      </c>
      <c r="AW13" s="2">
        <f>Model!CL120</f>
        <v>9.3417779789383787E-2</v>
      </c>
      <c r="AX13" s="2">
        <f>Model!CM120</f>
        <v>8.4786502932631971E-2</v>
      </c>
      <c r="AY13" s="2">
        <f>Model!CN120</f>
        <v>7.2408191650532402E-2</v>
      </c>
      <c r="AZ13" s="2">
        <f>Model!CO120</f>
        <v>8.1903723106607151E-2</v>
      </c>
      <c r="BA13" s="2">
        <f>Model!CP120</f>
        <v>9.8963699184296219E-2</v>
      </c>
      <c r="BB13" s="2">
        <f>Model!CQ120</f>
        <v>0.10976698963267797</v>
      </c>
      <c r="BC13" s="2">
        <f>Model!CR120</f>
        <v>9.0953916720258154E-2</v>
      </c>
      <c r="BD13" s="2">
        <f>Model!CS120</f>
        <v>0.14645346912233945</v>
      </c>
      <c r="BE13" s="2">
        <f>Model!CT120</f>
        <v>0.17437492673429481</v>
      </c>
      <c r="BF13" s="2">
        <f>Model!CU120</f>
        <v>0.22750024706941743</v>
      </c>
      <c r="BG13" s="2">
        <f>Model!CV120</f>
        <v>0.16842670083839986</v>
      </c>
      <c r="BH13" s="2">
        <f>Model!CW120</f>
        <v>0.18008957213036</v>
      </c>
      <c r="BI13" s="2">
        <f>Model!CX120</f>
        <v>5.0739411218197958E-2</v>
      </c>
      <c r="BJ13" s="2">
        <f>Model!CY120</f>
        <v>3.4806730200196374E-2</v>
      </c>
      <c r="BK13" s="2">
        <f>Model!CZ120</f>
        <v>5.0395031015420901E-2</v>
      </c>
      <c r="BL13" s="2">
        <f>Model!DA120</f>
        <v>5.8110142935305996E-2</v>
      </c>
      <c r="BM13" s="2">
        <f>Model!DB120</f>
        <v>4.8818148173300699E-2</v>
      </c>
      <c r="BN13" s="2">
        <f>Model!DC120</f>
        <v>7.6388989088936279E-2</v>
      </c>
      <c r="BO13" s="2">
        <f>Model!DD120</f>
        <v>8.9423269184385104E-2</v>
      </c>
      <c r="BP13" s="2">
        <f>Model!DE120</f>
        <v>7.8612209046991649E-2</v>
      </c>
      <c r="BQ13" s="2">
        <f>Model!DF120</f>
        <v>8.4812134343125511E-2</v>
      </c>
      <c r="BR13" s="2">
        <f>Model!DG120</f>
        <v>8.2384232821781728E-2</v>
      </c>
      <c r="BS13" s="2">
        <f>Model!DH120</f>
        <v>0.10501897933361451</v>
      </c>
      <c r="BT13" s="2">
        <f>Model!DI120</f>
        <v>0.144322825207683</v>
      </c>
      <c r="BU13" s="2">
        <f>Model!DJ120</f>
        <v>0.14144606874753063</v>
      </c>
      <c r="BV13" s="2">
        <f>Model!DK120</f>
        <v>0.11434262948207172</v>
      </c>
      <c r="BW13" s="2">
        <f>Model!DL120</f>
        <v>0.12660285272945054</v>
      </c>
      <c r="BX13" s="2">
        <f>Model!DM120</f>
        <v>0.13189935064935066</v>
      </c>
      <c r="BY13" s="2">
        <f>Model!DN120</f>
        <v>0.14547628537265844</v>
      </c>
      <c r="BZ13" s="2">
        <f>Model!DO120</f>
        <v>0.11882010801828001</v>
      </c>
      <c r="CA13" s="2">
        <f>Model!DP120</f>
        <v>0.12678421494542402</v>
      </c>
      <c r="CB13" s="2">
        <f>Model!DQ120</f>
        <v>0.13091579594345421</v>
      </c>
      <c r="CC13" s="2">
        <f>Model!DR120</f>
        <v>0.1112012987012987</v>
      </c>
      <c r="CD13" s="2">
        <f>Model!DS120</f>
        <v>0.12259615384615384</v>
      </c>
      <c r="CE13" s="2">
        <f>Model!DT120</f>
        <v>0.12824610467439074</v>
      </c>
      <c r="CF13" s="2">
        <f>Model!DU120</f>
        <v>0.13963607594936708</v>
      </c>
      <c r="CG13" s="2">
        <f>Model!DV120</f>
        <v>0.12551296166549894</v>
      </c>
      <c r="CH13" s="2">
        <f>Model!DW120</f>
        <v>0.12322472848788638</v>
      </c>
      <c r="CI13" s="2">
        <f>Model!DX120</f>
        <v>0.13338301043219075</v>
      </c>
      <c r="CJ13" s="2">
        <f>Model!DY120</f>
        <v>0.13860640301318267</v>
      </c>
      <c r="CK13" s="2">
        <f>Model!DZ120</f>
        <v>0.12021857923497267</v>
      </c>
      <c r="CL13" s="2">
        <f>Model!EA120</f>
        <v>0.12909179213210295</v>
      </c>
      <c r="CM13" s="2">
        <f>Model!EB120</f>
        <v>6.7803660565723789E-2</v>
      </c>
      <c r="CN13" s="2">
        <f>Model!EC120</f>
        <v>4.5875096376252894E-2</v>
      </c>
      <c r="CO13" s="2">
        <f>Model!ED120</f>
        <v>4.3461538461538461E-2</v>
      </c>
      <c r="CP13" s="2">
        <f>Model!EE120</f>
        <v>3.3661740558292283E-2</v>
      </c>
      <c r="CQ13" s="2">
        <f>Model!EF120</f>
        <v>4.7538369543551923E-2</v>
      </c>
      <c r="CR13" s="2">
        <f>Model!EG120</f>
        <v>2.0666385491353859E-2</v>
      </c>
      <c r="CS13" s="2">
        <f>Model!EH120</f>
        <v>2.0798668885191347E-2</v>
      </c>
      <c r="CT13" s="2">
        <f>Model!EI120</f>
        <v>2.726902726902727E-2</v>
      </c>
      <c r="CU13" s="2">
        <f>Model!EJ120</f>
        <v>2.8925619834710745E-2</v>
      </c>
      <c r="CV13" s="2">
        <f>Model!EK120</f>
        <v>2.4450891007045172E-2</v>
      </c>
      <c r="CW13" s="2">
        <f>Model!EL120</f>
        <v>3.2064128256513023E-2</v>
      </c>
      <c r="CX13" s="2">
        <f>Model!EM120</f>
        <v>3.3307210031347963E-2</v>
      </c>
      <c r="CY13" s="2">
        <f>Model!EN120</f>
        <v>3.248259860788863E-2</v>
      </c>
      <c r="CZ13" s="2">
        <f>Model!EO120</f>
        <v>4.2985541227041811E-2</v>
      </c>
      <c r="DA13" s="2">
        <f>Model!EP120</f>
        <v>3.5223704866562011E-2</v>
      </c>
      <c r="DB13" s="2">
        <f>Model!EQ120</f>
        <v>5.0657385924207272E-2</v>
      </c>
      <c r="DC13" s="1155">
        <f>DC5*0.0019 - 0.0571</f>
        <v>6.4007461538461541E-2</v>
      </c>
      <c r="DD13" s="1155">
        <f t="shared" ref="DD13:DP13" si="28">DD5*0.0019 - 0.0571</f>
        <v>7.1244999999999961E-2</v>
      </c>
      <c r="DE13" s="1155">
        <f t="shared" si="28"/>
        <v>7.1244999999999961E-2</v>
      </c>
      <c r="DF13" s="1155">
        <f t="shared" si="28"/>
        <v>6.5414557692307682E-2</v>
      </c>
      <c r="DG13" s="1155">
        <f t="shared" si="28"/>
        <v>7.1244999999999961E-2</v>
      </c>
      <c r="DH13" s="1155">
        <f t="shared" si="28"/>
        <v>7.1244999999999961E-2</v>
      </c>
      <c r="DI13" s="1155">
        <f t="shared" si="28"/>
        <v>7.1244999999999961E-2</v>
      </c>
      <c r="DJ13" s="1155">
        <f t="shared" si="28"/>
        <v>7.1244999999999961E-2</v>
      </c>
      <c r="DK13" s="1155">
        <f t="shared" si="28"/>
        <v>7.1244999999999961E-2</v>
      </c>
      <c r="DL13" s="1155">
        <f t="shared" si="28"/>
        <v>7.1244999999999961E-2</v>
      </c>
      <c r="DM13" s="1155">
        <f t="shared" si="28"/>
        <v>7.1244999999999961E-2</v>
      </c>
      <c r="DN13" s="1155">
        <f t="shared" si="28"/>
        <v>7.1244999999999961E-2</v>
      </c>
      <c r="DO13" s="1155">
        <f t="shared" si="28"/>
        <v>7.1244999999999961E-2</v>
      </c>
      <c r="DP13" s="1155">
        <f t="shared" si="28"/>
        <v>7.1244999999999961E-2</v>
      </c>
    </row>
    <row r="14" spans="1:120" x14ac:dyDescent="0.2">
      <c r="A14" s="709">
        <f t="shared" si="0"/>
        <v>36586</v>
      </c>
      <c r="B14" s="709" t="str">
        <f t="shared" si="1"/>
        <v>1Q00</v>
      </c>
      <c r="C14" s="709" t="str">
        <f t="shared" si="2"/>
        <v>2Q00</v>
      </c>
      <c r="D14" s="710">
        <f t="shared" si="5"/>
        <v>36648</v>
      </c>
      <c r="E14" s="710">
        <f t="shared" si="5"/>
        <v>36588</v>
      </c>
      <c r="F14" s="712">
        <v>31.07</v>
      </c>
      <c r="G14" s="713">
        <f t="shared" si="3"/>
        <v>1.4900000000000011</v>
      </c>
      <c r="H14" s="713">
        <f t="shared" si="4"/>
        <v>1.4900000000000011</v>
      </c>
      <c r="I14" s="713">
        <f t="shared" si="8"/>
        <v>1.6000000000000003</v>
      </c>
      <c r="J14" s="713">
        <f t="shared" si="6"/>
        <v>1.6500000000000004</v>
      </c>
      <c r="K14" s="713">
        <f t="shared" si="9"/>
        <v>9.9999999999999992E-2</v>
      </c>
      <c r="L14" s="697"/>
      <c r="M14" s="699" t="s">
        <v>108</v>
      </c>
      <c r="N14" s="697">
        <v>10</v>
      </c>
      <c r="O14" s="697">
        <v>4</v>
      </c>
      <c r="P14" s="720"/>
      <c r="Q14" s="720"/>
      <c r="R14" s="720"/>
      <c r="S14" s="720"/>
      <c r="T14" s="720"/>
      <c r="U14" s="720"/>
      <c r="V14" s="720"/>
      <c r="W14" s="720"/>
      <c r="X14" s="720"/>
      <c r="Y14" s="720"/>
      <c r="Z14" s="720"/>
      <c r="AA14" s="720"/>
      <c r="AB14" s="720"/>
      <c r="AC14" s="720"/>
      <c r="AD14" s="720"/>
      <c r="AE14" s="720"/>
      <c r="AF14" s="720"/>
      <c r="AG14" s="720"/>
      <c r="AH14" s="720"/>
      <c r="AI14" s="720"/>
      <c r="AJ14" s="720"/>
      <c r="AK14" s="720"/>
      <c r="AL14" s="720"/>
      <c r="AM14" s="720"/>
      <c r="AN14" s="720"/>
      <c r="AO14" s="720"/>
      <c r="AP14" s="720"/>
      <c r="AQ14" s="720"/>
      <c r="AR14" s="720"/>
      <c r="AS14" s="721"/>
      <c r="AT14" s="721">
        <f t="shared" ref="AT14:DA14" si="29">+AT5*0.0019 - 0.0571</f>
        <v>5.8468230769230772E-2</v>
      </c>
      <c r="AU14" s="721">
        <f t="shared" si="29"/>
        <v>6.5587384615384617E-2</v>
      </c>
      <c r="AV14" s="721">
        <f t="shared" si="29"/>
        <v>7.968684615384615E-2</v>
      </c>
      <c r="AW14" s="721">
        <f t="shared" si="29"/>
        <v>6.7906846153846165E-2</v>
      </c>
      <c r="AX14" s="720">
        <f t="shared" si="29"/>
        <v>6.7912326923076929E-2</v>
      </c>
      <c r="AY14" s="721">
        <f t="shared" si="29"/>
        <v>5.3914076923076912E-2</v>
      </c>
      <c r="AZ14" s="721">
        <f t="shared" si="29"/>
        <v>5.8751769230769246E-2</v>
      </c>
      <c r="BA14" s="721">
        <f t="shared" si="29"/>
        <v>7.1987461538461514E-2</v>
      </c>
      <c r="BB14" s="721">
        <f t="shared" si="29"/>
        <v>9.2238538461538469E-2</v>
      </c>
      <c r="BC14" s="720">
        <f t="shared" si="29"/>
        <v>6.9222961538461511E-2</v>
      </c>
      <c r="BD14" s="721">
        <f t="shared" si="29"/>
        <v>0.12029715384615387</v>
      </c>
      <c r="BE14" s="721">
        <f t="shared" si="29"/>
        <v>0.13924161538461538</v>
      </c>
      <c r="BF14" s="721">
        <f t="shared" si="29"/>
        <v>0.19052835714285721</v>
      </c>
      <c r="BG14" s="721">
        <f t="shared" si="29"/>
        <v>0.129442</v>
      </c>
      <c r="BH14" s="720">
        <f t="shared" si="29"/>
        <v>0.14487728159340663</v>
      </c>
      <c r="BI14" s="721">
        <f t="shared" si="29"/>
        <v>3.0552846153846167E-2</v>
      </c>
      <c r="BJ14" s="721">
        <f t="shared" si="29"/>
        <v>3.0000384615384623E-2</v>
      </c>
      <c r="BK14" s="721">
        <f t="shared" si="29"/>
        <v>6.5829999999999986E-2</v>
      </c>
      <c r="BL14" s="721">
        <f t="shared" si="29"/>
        <v>7.9881230769230774E-2</v>
      </c>
      <c r="BM14" s="720">
        <f t="shared" si="29"/>
        <v>5.1566115384615391E-2</v>
      </c>
      <c r="BN14" s="721">
        <f t="shared" si="29"/>
        <v>8.8846307692307683E-2</v>
      </c>
      <c r="BO14" s="721">
        <f t="shared" si="29"/>
        <v>9.6374692307692314E-2</v>
      </c>
      <c r="BP14" s="721">
        <f t="shared" si="29"/>
        <v>8.5614846153846139E-2</v>
      </c>
      <c r="BQ14" s="721">
        <f t="shared" si="29"/>
        <v>9.0803307692307669E-2</v>
      </c>
      <c r="BR14" s="720">
        <f t="shared" si="29"/>
        <v>9.0409788461538423E-2</v>
      </c>
      <c r="BS14" s="721">
        <f t="shared" si="29"/>
        <v>0.10906523076923073</v>
      </c>
      <c r="BT14" s="721">
        <f t="shared" si="29"/>
        <v>0.13391430769230767</v>
      </c>
      <c r="BU14" s="721">
        <f t="shared" si="29"/>
        <v>0.12941715384615388</v>
      </c>
      <c r="BV14" s="721">
        <f t="shared" si="29"/>
        <v>0.10626930769230768</v>
      </c>
      <c r="BW14" s="721">
        <f t="shared" si="29"/>
        <v>0.1196665</v>
      </c>
      <c r="BX14" s="721">
        <f t="shared" si="29"/>
        <v>0.13028969230769227</v>
      </c>
      <c r="BY14" s="721">
        <f t="shared" si="29"/>
        <v>0.14017700000000005</v>
      </c>
      <c r="BZ14" s="721">
        <f t="shared" si="29"/>
        <v>0.11116400000000003</v>
      </c>
      <c r="CA14" s="721">
        <f t="shared" si="29"/>
        <v>0.11931207692307692</v>
      </c>
      <c r="CB14" s="721">
        <f t="shared" si="29"/>
        <v>0.12523569230769233</v>
      </c>
      <c r="CC14" s="721">
        <f t="shared" si="29"/>
        <v>0.11238292307692312</v>
      </c>
      <c r="CD14" s="721">
        <f t="shared" si="29"/>
        <v>0.12081161538461539</v>
      </c>
      <c r="CE14" s="721">
        <f t="shared" si="29"/>
        <v>0.12897869230769232</v>
      </c>
      <c r="CF14" s="721">
        <f t="shared" si="29"/>
        <v>0.1410157142857143</v>
      </c>
      <c r="CG14" s="721">
        <f t="shared" si="29"/>
        <v>0.12579723626373629</v>
      </c>
      <c r="CH14" s="721">
        <f t="shared" si="29"/>
        <v>0.12397633333333331</v>
      </c>
      <c r="CI14" s="721">
        <f t="shared" si="29"/>
        <v>0.13483946153846149</v>
      </c>
      <c r="CJ14" s="721">
        <f t="shared" si="29"/>
        <v>0.13986078571428573</v>
      </c>
      <c r="CK14" s="721">
        <f t="shared" si="29"/>
        <v>0.11600315384615383</v>
      </c>
      <c r="CL14" s="721">
        <f t="shared" si="29"/>
        <v>0.12866993360805862</v>
      </c>
      <c r="CM14" s="721">
        <f t="shared" si="29"/>
        <v>5.7386692307692333E-2</v>
      </c>
      <c r="CN14" s="721">
        <f t="shared" si="29"/>
        <v>3.9843846153846146E-2</v>
      </c>
      <c r="CO14" s="721">
        <f t="shared" si="29"/>
        <v>5.0412230769230751E-2</v>
      </c>
      <c r="CP14" s="721">
        <f t="shared" si="29"/>
        <v>2.8177846153846164E-2</v>
      </c>
      <c r="CQ14" s="721">
        <f t="shared" si="29"/>
        <v>4.3955153846153852E-2</v>
      </c>
      <c r="CR14" s="721">
        <f t="shared" si="29"/>
        <v>1.3403153846153842E-2</v>
      </c>
      <c r="CS14" s="721">
        <f t="shared" si="29"/>
        <v>1.1820307692307686E-2</v>
      </c>
      <c r="CT14" s="721">
        <f t="shared" si="29"/>
        <v>3.1814153846153853E-2</v>
      </c>
      <c r="CU14" s="721">
        <f t="shared" si="29"/>
        <v>3.1232461538461542E-2</v>
      </c>
      <c r="CV14" s="721">
        <f t="shared" si="29"/>
        <v>2.2067519230769231E-2</v>
      </c>
      <c r="CW14" s="721">
        <f t="shared" si="29"/>
        <v>3.7834230769230787E-2</v>
      </c>
      <c r="CX14" s="721">
        <f t="shared" si="29"/>
        <v>4.0330538461538445E-2</v>
      </c>
      <c r="CY14" s="721">
        <f t="shared" si="29"/>
        <v>3.1603692307692305E-2</v>
      </c>
      <c r="CZ14" s="721">
        <f t="shared" si="29"/>
        <v>3.7208692307692304E-2</v>
      </c>
      <c r="DA14" s="721">
        <f t="shared" si="29"/>
        <v>3.6744288461538446E-2</v>
      </c>
      <c r="DB14" s="721">
        <f>+DB5*0.0019 - 0.0571</f>
        <v>5.5160769230769235E-2</v>
      </c>
    </row>
    <row r="15" spans="1:120" hidden="1" outlineLevel="1" x14ac:dyDescent="0.2">
      <c r="A15" s="709">
        <f t="shared" si="0"/>
        <v>36586</v>
      </c>
      <c r="B15" s="709" t="str">
        <f t="shared" si="1"/>
        <v>1Q00</v>
      </c>
      <c r="C15" s="709" t="str">
        <f t="shared" si="2"/>
        <v>2Q00</v>
      </c>
      <c r="D15" s="710">
        <f t="shared" si="5"/>
        <v>36655</v>
      </c>
      <c r="E15" s="710">
        <f t="shared" si="5"/>
        <v>36595</v>
      </c>
      <c r="F15" s="712">
        <v>32.14</v>
      </c>
      <c r="G15" s="713">
        <f t="shared" si="3"/>
        <v>1.4900000000000011</v>
      </c>
      <c r="H15" s="713">
        <f t="shared" si="4"/>
        <v>1.4900000000000011</v>
      </c>
      <c r="I15" s="713">
        <f t="shared" si="8"/>
        <v>1.6500000000000004</v>
      </c>
      <c r="J15" s="713">
        <f t="shared" si="6"/>
        <v>1.7000000000000004</v>
      </c>
      <c r="K15" s="713">
        <f t="shared" si="9"/>
        <v>0.10999999999999999</v>
      </c>
      <c r="L15" s="697"/>
      <c r="M15" s="700"/>
      <c r="N15" s="700">
        <f>N14+1</f>
        <v>11</v>
      </c>
      <c r="O15" s="700">
        <v>4</v>
      </c>
      <c r="P15" s="722"/>
      <c r="Q15" s="722"/>
      <c r="R15" s="722"/>
      <c r="S15" s="722"/>
      <c r="T15" s="722"/>
      <c r="U15" s="722"/>
      <c r="V15" s="722"/>
      <c r="W15" s="722"/>
      <c r="X15" s="722"/>
      <c r="Y15" s="722"/>
      <c r="Z15" s="722"/>
      <c r="AA15" s="722"/>
      <c r="AB15" s="722"/>
      <c r="AC15" s="722"/>
      <c r="AD15" s="722"/>
      <c r="AE15" s="722"/>
      <c r="AF15" s="722"/>
      <c r="AG15" s="722"/>
      <c r="AH15" s="722"/>
      <c r="AI15" s="722"/>
      <c r="AJ15" s="722"/>
      <c r="AK15" s="722"/>
      <c r="AL15" s="722"/>
      <c r="AM15" s="722"/>
      <c r="AN15" s="722"/>
      <c r="AO15" s="722"/>
      <c r="AP15" s="722"/>
      <c r="AQ15" s="722"/>
      <c r="AR15" s="722"/>
      <c r="AS15" s="722"/>
      <c r="AT15" s="722"/>
      <c r="AU15" s="722"/>
      <c r="AV15" s="722"/>
      <c r="AW15" s="722"/>
      <c r="AX15" s="722"/>
      <c r="AY15" s="722"/>
      <c r="AZ15" s="722"/>
      <c r="BA15" s="722"/>
      <c r="BB15" s="722"/>
      <c r="BC15" s="722"/>
      <c r="BD15" s="722"/>
      <c r="BE15" s="722"/>
      <c r="BF15" s="722"/>
      <c r="BG15" s="722"/>
      <c r="BH15" s="722"/>
      <c r="BI15" s="722"/>
      <c r="BJ15" s="722"/>
      <c r="BK15" s="722"/>
      <c r="BL15" s="722"/>
      <c r="BM15" s="722"/>
      <c r="BN15" s="722"/>
      <c r="BO15" s="722"/>
      <c r="BP15" s="722"/>
      <c r="BQ15" s="722"/>
      <c r="BR15" s="722"/>
      <c r="BS15" s="722"/>
      <c r="BT15" s="722"/>
      <c r="BU15" s="722"/>
      <c r="BV15" s="722"/>
      <c r="BW15" s="722"/>
      <c r="BX15" s="722"/>
      <c r="BY15" s="722"/>
      <c r="BZ15" s="722"/>
      <c r="CA15" s="722"/>
      <c r="CB15" s="722"/>
      <c r="CC15" s="722"/>
      <c r="CD15" s="722"/>
      <c r="CE15" s="722"/>
      <c r="CF15" s="722"/>
      <c r="CG15" s="722"/>
      <c r="CH15" s="722"/>
      <c r="CI15" s="722"/>
      <c r="CJ15" s="722"/>
      <c r="CK15" s="722"/>
      <c r="CL15" s="722"/>
      <c r="CM15" s="722"/>
      <c r="CN15" s="722"/>
      <c r="CO15" s="722"/>
      <c r="CP15" s="722"/>
      <c r="CQ15" s="722"/>
      <c r="CR15" s="722"/>
      <c r="CS15" s="722"/>
      <c r="CT15" s="722"/>
      <c r="CU15" s="722"/>
      <c r="CV15" s="722"/>
      <c r="CW15" s="722"/>
      <c r="CX15" s="722"/>
      <c r="CY15" s="722"/>
      <c r="CZ15" s="722"/>
      <c r="DA15" s="722"/>
      <c r="DB15" s="722"/>
    </row>
    <row r="16" spans="1:120" hidden="1" outlineLevel="1" x14ac:dyDescent="0.2">
      <c r="A16" s="709">
        <f t="shared" si="0"/>
        <v>36586</v>
      </c>
      <c r="B16" s="709" t="str">
        <f t="shared" si="1"/>
        <v>1Q00</v>
      </c>
      <c r="C16" s="709" t="str">
        <f t="shared" si="2"/>
        <v>2Q00</v>
      </c>
      <c r="D16" s="710">
        <f t="shared" si="5"/>
        <v>36662</v>
      </c>
      <c r="E16" s="710">
        <f t="shared" si="5"/>
        <v>36602</v>
      </c>
      <c r="F16" s="712">
        <v>31.29</v>
      </c>
      <c r="G16" s="713">
        <f t="shared" si="3"/>
        <v>1.4900000000000011</v>
      </c>
      <c r="H16" s="713">
        <f t="shared" si="4"/>
        <v>1.4900000000000011</v>
      </c>
      <c r="I16" s="713">
        <f t="shared" si="8"/>
        <v>1.7000000000000004</v>
      </c>
      <c r="J16" s="713">
        <f t="shared" si="6"/>
        <v>1.7500000000000004</v>
      </c>
      <c r="K16" s="713">
        <f t="shared" si="9"/>
        <v>0.11999999999999998</v>
      </c>
      <c r="L16" s="697"/>
      <c r="M16" s="697"/>
      <c r="N16" s="697">
        <f>N15+1</f>
        <v>12</v>
      </c>
      <c r="O16" s="697">
        <v>4</v>
      </c>
      <c r="P16" s="2"/>
      <c r="Q16" s="723"/>
      <c r="R16" s="723"/>
      <c r="S16" s="723"/>
      <c r="T16" s="723"/>
      <c r="U16" s="723"/>
      <c r="V16" s="723"/>
      <c r="W16" s="723"/>
      <c r="X16" s="723"/>
      <c r="Y16" s="723"/>
      <c r="Z16" s="723"/>
      <c r="AA16" s="723"/>
      <c r="AB16" s="723"/>
      <c r="AC16" s="723"/>
      <c r="AD16" s="723"/>
      <c r="AE16" s="723"/>
      <c r="AF16" s="723"/>
      <c r="AG16" s="723"/>
      <c r="AH16" s="723"/>
      <c r="AI16" s="723"/>
      <c r="AJ16" s="723"/>
      <c r="AK16" s="723"/>
      <c r="AL16" s="723"/>
      <c r="AM16" s="723"/>
      <c r="AN16" s="723"/>
      <c r="AO16" s="723"/>
      <c r="AP16" s="723"/>
      <c r="AQ16" s="723"/>
      <c r="AR16" s="723"/>
      <c r="AS16" s="723"/>
      <c r="AT16" s="723"/>
      <c r="AU16" s="723"/>
      <c r="AV16" s="723"/>
      <c r="AW16" s="723"/>
      <c r="AX16" s="723"/>
      <c r="AY16" s="723"/>
      <c r="AZ16" s="723"/>
      <c r="BA16" s="723"/>
      <c r="BB16" s="723"/>
      <c r="BC16" s="723"/>
      <c r="BD16" s="723"/>
      <c r="BE16" s="723"/>
      <c r="BF16" s="723"/>
      <c r="BG16" s="723"/>
      <c r="BH16" s="723"/>
      <c r="BI16" s="723"/>
      <c r="BJ16" s="723"/>
      <c r="BK16" s="723"/>
      <c r="BL16" s="723"/>
      <c r="BM16" s="723"/>
      <c r="BN16" s="723"/>
      <c r="BO16" s="723"/>
      <c r="BP16" s="723"/>
      <c r="BQ16" s="723"/>
      <c r="BR16" s="723"/>
      <c r="BS16" s="723"/>
      <c r="BT16" s="723"/>
      <c r="BU16" s="723"/>
      <c r="BV16" s="723"/>
      <c r="BW16" s="723"/>
      <c r="BX16" s="723"/>
      <c r="BY16" s="723"/>
      <c r="BZ16" s="723"/>
      <c r="CA16" s="723"/>
      <c r="CB16" s="723"/>
      <c r="CC16" s="723"/>
      <c r="CD16" s="723"/>
      <c r="CE16" s="723"/>
      <c r="CF16" s="723"/>
      <c r="CG16" s="723"/>
      <c r="CH16" s="723"/>
      <c r="CI16" s="723"/>
      <c r="CJ16" s="723"/>
      <c r="CK16" s="723"/>
      <c r="CL16" s="723"/>
      <c r="CM16" s="723"/>
      <c r="CN16" s="723"/>
      <c r="CO16" s="723"/>
      <c r="CP16" s="723"/>
      <c r="CQ16" s="723"/>
      <c r="CR16" s="723"/>
      <c r="CS16" s="723"/>
      <c r="CT16" s="723"/>
      <c r="CU16" s="723"/>
      <c r="CV16" s="723"/>
      <c r="CW16" s="723"/>
      <c r="CX16" s="723"/>
      <c r="CY16" s="723"/>
      <c r="CZ16" s="723"/>
      <c r="DA16" s="723"/>
      <c r="DB16" s="723"/>
    </row>
    <row r="17" spans="1:106" hidden="1" outlineLevel="1" x14ac:dyDescent="0.2">
      <c r="A17" s="709">
        <f t="shared" si="0"/>
        <v>36586</v>
      </c>
      <c r="B17" s="709" t="str">
        <f t="shared" si="1"/>
        <v>1Q00</v>
      </c>
      <c r="C17" s="709" t="str">
        <f t="shared" si="2"/>
        <v>2Q00</v>
      </c>
      <c r="D17" s="710">
        <f t="shared" si="5"/>
        <v>36669</v>
      </c>
      <c r="E17" s="710">
        <f t="shared" si="5"/>
        <v>36609</v>
      </c>
      <c r="F17" s="712">
        <v>27.99</v>
      </c>
      <c r="G17" s="713">
        <f t="shared" si="3"/>
        <v>1.4900000000000011</v>
      </c>
      <c r="H17" s="713">
        <f t="shared" si="4"/>
        <v>1.4900000000000011</v>
      </c>
      <c r="I17" s="713">
        <f t="shared" si="8"/>
        <v>1.7500000000000004</v>
      </c>
      <c r="J17" s="713">
        <f t="shared" si="6"/>
        <v>1.8000000000000005</v>
      </c>
      <c r="K17" s="713">
        <f t="shared" si="9"/>
        <v>0.12999999999999998</v>
      </c>
      <c r="L17" s="697"/>
      <c r="M17" s="700"/>
      <c r="N17" s="697"/>
      <c r="O17" s="697"/>
      <c r="P17" s="720"/>
      <c r="Q17" s="720"/>
      <c r="R17" s="720"/>
      <c r="S17" s="720"/>
      <c r="T17" s="720"/>
      <c r="U17" s="720"/>
      <c r="V17" s="720"/>
      <c r="W17" s="720"/>
      <c r="X17" s="720"/>
      <c r="Y17" s="720"/>
      <c r="Z17" s="720"/>
      <c r="AA17" s="720"/>
      <c r="AB17" s="720"/>
      <c r="AC17" s="720"/>
      <c r="AD17" s="720"/>
      <c r="AE17" s="720"/>
      <c r="AF17" s="720"/>
      <c r="AG17" s="720"/>
      <c r="AH17" s="720"/>
      <c r="AI17" s="720"/>
      <c r="AJ17" s="720"/>
      <c r="AK17" s="720"/>
      <c r="AL17" s="720"/>
      <c r="AM17" s="720"/>
      <c r="AN17" s="720"/>
      <c r="AO17" s="720"/>
      <c r="AP17" s="720"/>
      <c r="AQ17" s="720"/>
      <c r="AR17" s="720"/>
      <c r="AS17" s="697"/>
      <c r="AT17" s="697"/>
      <c r="AU17" s="697"/>
      <c r="AV17" s="697"/>
      <c r="AW17" s="697"/>
      <c r="AX17" s="720"/>
      <c r="AY17" s="697"/>
      <c r="AZ17" s="697"/>
      <c r="BA17" s="697"/>
      <c r="BB17" s="697"/>
      <c r="BC17" s="720"/>
      <c r="BD17" s="697"/>
      <c r="BE17" s="697"/>
      <c r="BF17" s="697"/>
      <c r="BG17" s="697"/>
      <c r="BH17" s="720"/>
      <c r="BI17" s="697"/>
      <c r="BJ17" s="697"/>
      <c r="BK17" s="697"/>
      <c r="BL17" s="697"/>
      <c r="BM17" s="720"/>
      <c r="BN17" s="697"/>
      <c r="BO17" s="697"/>
      <c r="BP17" s="697"/>
      <c r="BQ17" s="697"/>
      <c r="BR17" s="720"/>
      <c r="BS17" s="697"/>
      <c r="BT17" s="697"/>
      <c r="BU17" s="697"/>
      <c r="BV17" s="697"/>
      <c r="BW17" s="697"/>
      <c r="BX17" s="697"/>
      <c r="BY17" s="697"/>
      <c r="BZ17" s="697"/>
      <c r="CA17" s="697"/>
      <c r="CB17" s="697"/>
      <c r="CC17" s="697"/>
      <c r="CD17" s="697"/>
      <c r="CE17" s="697"/>
      <c r="CF17" s="697"/>
      <c r="CG17" s="697"/>
      <c r="CH17" s="697"/>
      <c r="CI17" s="697"/>
      <c r="CJ17" s="697"/>
      <c r="CK17" s="697"/>
      <c r="CL17" s="697"/>
      <c r="CM17" s="697"/>
      <c r="CN17" s="697"/>
      <c r="CO17" s="697"/>
      <c r="CP17" s="697"/>
      <c r="CQ17" s="697"/>
      <c r="CR17" s="697"/>
      <c r="CS17" s="697"/>
      <c r="CT17" s="697"/>
      <c r="CU17" s="697"/>
      <c r="CV17" s="697"/>
      <c r="CW17" s="697"/>
      <c r="CX17" s="697"/>
      <c r="CY17" s="697"/>
      <c r="CZ17" s="697"/>
      <c r="DA17" s="697"/>
      <c r="DB17" s="697"/>
    </row>
    <row r="18" spans="1:106" hidden="1" outlineLevel="1" x14ac:dyDescent="0.2">
      <c r="A18" s="709">
        <f t="shared" si="0"/>
        <v>36586</v>
      </c>
      <c r="B18" s="709" t="str">
        <f t="shared" si="1"/>
        <v>1Q00</v>
      </c>
      <c r="C18" s="709" t="str">
        <f t="shared" si="2"/>
        <v>2Q00</v>
      </c>
      <c r="D18" s="710">
        <f t="shared" si="5"/>
        <v>36676</v>
      </c>
      <c r="E18" s="710">
        <f t="shared" si="5"/>
        <v>36616</v>
      </c>
      <c r="F18" s="712">
        <v>26.92</v>
      </c>
      <c r="G18" s="713">
        <f t="shared" si="3"/>
        <v>1.4900000000000011</v>
      </c>
      <c r="H18" s="713">
        <f t="shared" si="4"/>
        <v>1.4900000000000011</v>
      </c>
      <c r="I18" s="713">
        <f t="shared" si="8"/>
        <v>1.8000000000000005</v>
      </c>
      <c r="J18" s="713">
        <f t="shared" si="6"/>
        <v>1.8500000000000005</v>
      </c>
      <c r="K18" s="713">
        <f t="shared" si="9"/>
        <v>0.13999999999999999</v>
      </c>
      <c r="L18" s="697"/>
      <c r="M18" s="719"/>
      <c r="N18" s="697"/>
      <c r="O18" s="697"/>
      <c r="P18" s="720"/>
      <c r="Q18" s="720"/>
      <c r="R18" s="720"/>
      <c r="S18" s="720"/>
      <c r="T18" s="720"/>
      <c r="U18" s="720"/>
      <c r="V18" s="720"/>
      <c r="W18" s="720"/>
      <c r="X18" s="720"/>
      <c r="Y18" s="720"/>
      <c r="Z18" s="720"/>
      <c r="AA18" s="720"/>
      <c r="AB18" s="720"/>
      <c r="AC18" s="720"/>
      <c r="AD18" s="720"/>
      <c r="AE18" s="720"/>
      <c r="AF18" s="720"/>
      <c r="AG18" s="720"/>
      <c r="AH18" s="720"/>
      <c r="AI18" s="720"/>
      <c r="AJ18" s="720"/>
      <c r="AK18" s="720"/>
      <c r="AL18" s="720"/>
      <c r="AM18" s="720"/>
      <c r="AN18" s="720"/>
      <c r="AO18" s="720"/>
      <c r="AP18" s="720"/>
      <c r="AQ18" s="720"/>
      <c r="AR18" s="720"/>
      <c r="AS18" s="697"/>
      <c r="AT18" s="697"/>
      <c r="AU18" s="697"/>
      <c r="AV18" s="697"/>
      <c r="AW18" s="697"/>
      <c r="AX18" s="720"/>
      <c r="AY18" s="697"/>
      <c r="AZ18" s="697"/>
      <c r="BA18" s="697"/>
      <c r="BB18" s="697"/>
      <c r="BC18" s="720"/>
      <c r="BD18" s="697"/>
      <c r="BE18" s="697"/>
      <c r="BF18" s="697"/>
      <c r="BG18" s="697"/>
      <c r="BH18" s="720"/>
      <c r="BI18" s="697"/>
      <c r="BJ18" s="697"/>
      <c r="BK18" s="697"/>
      <c r="BL18" s="697"/>
      <c r="BM18" s="720"/>
      <c r="BN18" s="697"/>
      <c r="BO18" s="697"/>
      <c r="BP18" s="697"/>
      <c r="BQ18" s="697"/>
      <c r="BR18" s="720"/>
      <c r="BS18" s="697"/>
      <c r="BT18" s="697"/>
      <c r="BU18" s="697"/>
      <c r="BV18" s="697"/>
      <c r="BW18" s="697"/>
      <c r="BX18" s="697"/>
      <c r="BY18" s="697"/>
      <c r="BZ18" s="697"/>
      <c r="CA18" s="697"/>
      <c r="CB18" s="697"/>
      <c r="CC18" s="697"/>
      <c r="CD18" s="697"/>
      <c r="CE18" s="697"/>
      <c r="CF18" s="697"/>
      <c r="CG18" s="697"/>
      <c r="CH18" s="697"/>
      <c r="CI18" s="697"/>
      <c r="CJ18" s="697"/>
      <c r="CK18" s="697"/>
      <c r="CL18" s="697"/>
      <c r="CM18" s="697"/>
      <c r="CN18" s="697"/>
      <c r="CO18" s="697"/>
      <c r="CP18" s="697"/>
      <c r="CQ18" s="697"/>
      <c r="CR18" s="697"/>
      <c r="CS18" s="697"/>
      <c r="CT18" s="697"/>
      <c r="CU18" s="697"/>
      <c r="CV18" s="697"/>
      <c r="CW18" s="697"/>
      <c r="CX18" s="697"/>
      <c r="CY18" s="697"/>
      <c r="CZ18" s="697"/>
      <c r="DA18" s="697"/>
      <c r="DB18" s="697"/>
    </row>
    <row r="19" spans="1:106" hidden="1" outlineLevel="1" x14ac:dyDescent="0.2">
      <c r="A19" s="709">
        <f t="shared" si="0"/>
        <v>36617</v>
      </c>
      <c r="B19" s="709" t="str">
        <f t="shared" si="1"/>
        <v>2Q00</v>
      </c>
      <c r="C19" s="709" t="str">
        <f t="shared" si="2"/>
        <v>2Q00</v>
      </c>
      <c r="D19" s="710">
        <f t="shared" si="5"/>
        <v>36683</v>
      </c>
      <c r="E19" s="710">
        <f t="shared" si="5"/>
        <v>36623</v>
      </c>
      <c r="F19" s="712">
        <v>25.6</v>
      </c>
      <c r="G19" s="713">
        <f t="shared" si="3"/>
        <v>1.4900000000000011</v>
      </c>
      <c r="H19" s="713">
        <f t="shared" si="4"/>
        <v>1.4900000000000011</v>
      </c>
      <c r="I19" s="713">
        <f t="shared" si="8"/>
        <v>1.8500000000000005</v>
      </c>
      <c r="J19" s="713">
        <f t="shared" si="6"/>
        <v>1.9000000000000006</v>
      </c>
      <c r="K19" s="713">
        <f t="shared" si="9"/>
        <v>0.15</v>
      </c>
      <c r="L19" s="697"/>
      <c r="AS19" s="697"/>
      <c r="AT19" s="697"/>
      <c r="AU19" s="697"/>
      <c r="AV19" s="697"/>
      <c r="AW19" s="697"/>
      <c r="AY19" s="697"/>
      <c r="AZ19" s="697"/>
      <c r="BA19" s="697"/>
      <c r="BB19" s="697"/>
      <c r="BD19" s="697"/>
      <c r="BE19" s="697"/>
      <c r="BF19" s="697"/>
      <c r="BG19" s="697"/>
      <c r="BI19" s="697"/>
      <c r="BJ19" s="697"/>
      <c r="BK19" s="697"/>
      <c r="BL19" s="697"/>
      <c r="BN19" s="697"/>
      <c r="BO19" s="697"/>
      <c r="BP19" s="697"/>
      <c r="BQ19" s="697"/>
      <c r="BS19" s="697"/>
      <c r="BT19" s="697"/>
      <c r="BU19" s="697"/>
      <c r="BV19" s="697"/>
      <c r="BW19" s="697"/>
      <c r="BX19" s="697"/>
      <c r="BY19" s="697"/>
      <c r="BZ19" s="697"/>
      <c r="CA19" s="697"/>
      <c r="CB19" s="697"/>
      <c r="CC19" s="697"/>
      <c r="CD19" s="697"/>
      <c r="CE19" s="697"/>
      <c r="CF19" s="697"/>
      <c r="CG19" s="697"/>
      <c r="CH19" s="697"/>
      <c r="CI19" s="697"/>
      <c r="CJ19" s="697"/>
      <c r="CK19" s="697"/>
      <c r="CL19" s="697"/>
      <c r="CM19" s="697"/>
      <c r="CN19" s="697"/>
      <c r="CO19" s="697"/>
      <c r="CP19" s="697"/>
      <c r="CQ19" s="697"/>
      <c r="CR19" s="697"/>
      <c r="CS19" s="697"/>
      <c r="CT19" s="697"/>
      <c r="CU19" s="697"/>
      <c r="CV19" s="697"/>
      <c r="CW19" s="697"/>
      <c r="CX19" s="697"/>
      <c r="CY19" s="697"/>
      <c r="CZ19" s="697"/>
      <c r="DA19" s="697"/>
      <c r="DB19" s="697"/>
    </row>
    <row r="20" spans="1:106" hidden="1" outlineLevel="1" x14ac:dyDescent="0.2">
      <c r="A20" s="709">
        <f t="shared" si="0"/>
        <v>36617</v>
      </c>
      <c r="B20" s="709" t="str">
        <f t="shared" si="1"/>
        <v>2Q00</v>
      </c>
      <c r="C20" s="709" t="str">
        <f t="shared" si="2"/>
        <v>2Q00</v>
      </c>
      <c r="D20" s="710">
        <f t="shared" si="5"/>
        <v>36690</v>
      </c>
      <c r="E20" s="710">
        <f t="shared" si="5"/>
        <v>36630</v>
      </c>
      <c r="F20" s="712">
        <v>24.87</v>
      </c>
      <c r="G20" s="713">
        <f t="shared" si="3"/>
        <v>1.4900000000000011</v>
      </c>
      <c r="H20" s="713">
        <f t="shared" si="4"/>
        <v>1.4900000000000011</v>
      </c>
      <c r="I20" s="713">
        <f t="shared" si="8"/>
        <v>1.9000000000000006</v>
      </c>
      <c r="J20" s="713">
        <f t="shared" si="6"/>
        <v>1.9500000000000006</v>
      </c>
      <c r="K20" s="713">
        <f t="shared" si="9"/>
        <v>0.16</v>
      </c>
      <c r="L20" s="697"/>
      <c r="M20" s="697"/>
      <c r="N20" s="697"/>
      <c r="O20" s="697"/>
      <c r="P20" s="697"/>
      <c r="Q20" s="697"/>
      <c r="R20" s="697"/>
      <c r="S20" s="697"/>
      <c r="T20" s="697"/>
      <c r="U20" s="697"/>
      <c r="V20" s="697"/>
      <c r="W20" s="697"/>
      <c r="X20" s="697"/>
      <c r="Y20" s="697"/>
      <c r="Z20" s="697"/>
      <c r="AA20" s="697"/>
      <c r="AB20" s="697"/>
      <c r="AC20" s="697"/>
      <c r="AD20" s="697"/>
      <c r="AE20" s="697"/>
      <c r="AF20" s="697"/>
      <c r="AG20" s="697"/>
      <c r="AH20" s="697"/>
      <c r="AI20" s="697"/>
      <c r="AJ20" s="697"/>
      <c r="AK20" s="697"/>
      <c r="AL20" s="697"/>
      <c r="AM20" s="697"/>
      <c r="AN20" s="697"/>
      <c r="AO20" s="697"/>
      <c r="AP20" s="697"/>
      <c r="AQ20" s="697"/>
      <c r="AR20" s="697"/>
      <c r="AS20" s="697"/>
      <c r="AT20" s="697"/>
      <c r="AU20" s="697"/>
      <c r="AV20" s="697"/>
      <c r="AW20" s="697"/>
      <c r="AX20" s="697"/>
      <c r="AY20" s="697"/>
      <c r="AZ20" s="697"/>
      <c r="BA20" s="697"/>
      <c r="BB20" s="697"/>
      <c r="BC20" s="697"/>
      <c r="BD20" s="697"/>
      <c r="BE20" s="697"/>
      <c r="BF20" s="697"/>
      <c r="BG20" s="697"/>
      <c r="BH20" s="697"/>
      <c r="BI20" s="697"/>
      <c r="BJ20" s="697"/>
      <c r="BK20" s="697"/>
      <c r="BL20" s="697"/>
      <c r="BM20" s="697"/>
      <c r="BN20" s="697"/>
      <c r="BO20" s="697"/>
      <c r="BP20" s="697"/>
      <c r="BQ20" s="697"/>
      <c r="BR20" s="697"/>
      <c r="BS20" s="697"/>
      <c r="BT20" s="697"/>
      <c r="BU20" s="697"/>
      <c r="BV20" s="697"/>
      <c r="BW20" s="697"/>
      <c r="BX20" s="697"/>
      <c r="BY20" s="697"/>
      <c r="BZ20" s="697"/>
      <c r="CA20" s="697"/>
      <c r="CB20" s="697"/>
      <c r="CC20" s="697"/>
      <c r="CD20" s="697"/>
      <c r="CE20" s="697"/>
      <c r="CF20" s="697"/>
      <c r="CG20" s="697"/>
      <c r="CH20" s="697"/>
      <c r="CI20" s="697"/>
      <c r="CJ20" s="697"/>
      <c r="CK20" s="697"/>
      <c r="CL20" s="697"/>
      <c r="CM20" s="697"/>
      <c r="CN20" s="697"/>
      <c r="CO20" s="697"/>
      <c r="CP20" s="697"/>
      <c r="CQ20" s="697"/>
      <c r="CR20" s="697"/>
      <c r="CS20" s="697"/>
      <c r="CT20" s="697"/>
      <c r="CU20" s="697"/>
      <c r="CV20" s="697"/>
      <c r="CW20" s="697"/>
      <c r="CX20" s="697"/>
      <c r="CY20" s="697"/>
      <c r="CZ20" s="697"/>
      <c r="DA20" s="697"/>
      <c r="DB20" s="697"/>
    </row>
    <row r="21" spans="1:106" hidden="1" outlineLevel="1" x14ac:dyDescent="0.2">
      <c r="A21" s="709">
        <f t="shared" si="0"/>
        <v>36617</v>
      </c>
      <c r="B21" s="709" t="str">
        <f t="shared" si="1"/>
        <v>2Q00</v>
      </c>
      <c r="C21" s="709" t="str">
        <f t="shared" si="2"/>
        <v>2Q00</v>
      </c>
      <c r="D21" s="710">
        <f t="shared" ref="D21:E36" si="30">D20+7</f>
        <v>36697</v>
      </c>
      <c r="E21" s="710">
        <f t="shared" si="30"/>
        <v>36637</v>
      </c>
      <c r="F21" s="712">
        <v>26.66</v>
      </c>
      <c r="G21" s="713">
        <f t="shared" si="3"/>
        <v>1.4900000000000011</v>
      </c>
      <c r="H21" s="713">
        <f t="shared" si="4"/>
        <v>1.4900000000000011</v>
      </c>
      <c r="I21" s="713">
        <f t="shared" si="8"/>
        <v>1.9500000000000006</v>
      </c>
      <c r="J21" s="713">
        <f t="shared" si="6"/>
        <v>2.0000000000000004</v>
      </c>
      <c r="K21" s="713">
        <f t="shared" si="9"/>
        <v>0.17</v>
      </c>
      <c r="L21" s="697"/>
      <c r="M21" s="697"/>
      <c r="N21" s="697"/>
      <c r="O21" s="697"/>
      <c r="P21" s="697"/>
      <c r="Q21" s="697"/>
      <c r="R21" s="697"/>
      <c r="S21" s="697"/>
      <c r="T21" s="697"/>
      <c r="U21" s="697"/>
      <c r="V21" s="697"/>
      <c r="W21" s="697"/>
      <c r="X21" s="697"/>
      <c r="Y21" s="697"/>
      <c r="Z21" s="697"/>
      <c r="AA21" s="697"/>
      <c r="AB21" s="697"/>
      <c r="AC21" s="697"/>
      <c r="AD21" s="697"/>
      <c r="AE21" s="697"/>
      <c r="AF21" s="697"/>
      <c r="AG21" s="697"/>
      <c r="AH21" s="697"/>
      <c r="AI21" s="697"/>
      <c r="AJ21" s="697"/>
      <c r="AK21" s="697"/>
      <c r="AL21" s="697"/>
      <c r="AM21" s="697"/>
      <c r="AN21" s="697"/>
      <c r="AO21" s="697"/>
      <c r="AP21" s="697"/>
      <c r="AQ21" s="697"/>
      <c r="AR21" s="697"/>
      <c r="AS21" s="697"/>
      <c r="AT21" s="697"/>
      <c r="AU21" s="697"/>
      <c r="AV21" s="697"/>
      <c r="AW21" s="697"/>
      <c r="AX21" s="697"/>
      <c r="AY21" s="697"/>
      <c r="AZ21" s="697"/>
      <c r="BA21" s="697"/>
      <c r="BB21" s="697"/>
      <c r="BC21" s="697"/>
      <c r="BD21" s="697"/>
      <c r="BE21" s="697"/>
      <c r="BF21" s="697"/>
      <c r="BG21" s="697"/>
      <c r="BH21" s="697"/>
      <c r="BI21" s="697"/>
      <c r="BJ21" s="697"/>
      <c r="BK21" s="697"/>
      <c r="BL21" s="697"/>
      <c r="BM21" s="697"/>
      <c r="BN21" s="697"/>
      <c r="BO21" s="697"/>
      <c r="BP21" s="697"/>
      <c r="BQ21" s="697"/>
      <c r="BR21" s="697"/>
      <c r="BS21" s="697"/>
      <c r="BT21" s="697"/>
      <c r="BU21" s="697"/>
      <c r="BV21" s="697"/>
      <c r="BW21" s="697"/>
      <c r="BX21" s="697"/>
      <c r="BY21" s="697"/>
      <c r="BZ21" s="697"/>
      <c r="CA21" s="697"/>
      <c r="CB21" s="697"/>
      <c r="CC21" s="697"/>
      <c r="CD21" s="697"/>
      <c r="CE21" s="697"/>
      <c r="CF21" s="697"/>
      <c r="CG21" s="697"/>
      <c r="CH21" s="697"/>
      <c r="CI21" s="697"/>
      <c r="CJ21" s="697"/>
      <c r="CK21" s="697"/>
      <c r="CL21" s="697"/>
      <c r="CM21" s="697"/>
      <c r="CN21" s="697"/>
      <c r="CO21" s="697"/>
      <c r="CP21" s="697"/>
      <c r="CQ21" s="697"/>
      <c r="CR21" s="697"/>
      <c r="CS21" s="697"/>
      <c r="CT21" s="697"/>
      <c r="CU21" s="697"/>
      <c r="CV21" s="697"/>
      <c r="CW21" s="697"/>
      <c r="CX21" s="697"/>
      <c r="CY21" s="697"/>
      <c r="CZ21" s="697"/>
      <c r="DA21" s="697"/>
      <c r="DB21" s="697"/>
    </row>
    <row r="22" spans="1:106" hidden="1" outlineLevel="1" x14ac:dyDescent="0.2">
      <c r="A22" s="709">
        <f t="shared" si="0"/>
        <v>36617</v>
      </c>
      <c r="B22" s="709" t="str">
        <f t="shared" si="1"/>
        <v>2Q00</v>
      </c>
      <c r="C22" s="709" t="str">
        <f t="shared" si="2"/>
        <v>2Q00</v>
      </c>
      <c r="D22" s="710">
        <f t="shared" si="30"/>
        <v>36704</v>
      </c>
      <c r="E22" s="710">
        <f t="shared" si="30"/>
        <v>36644</v>
      </c>
      <c r="F22" s="712">
        <v>25.95</v>
      </c>
      <c r="G22" s="713">
        <f t="shared" si="3"/>
        <v>1.4900000000000011</v>
      </c>
      <c r="H22" s="713">
        <f t="shared" si="4"/>
        <v>1.4900000000000011</v>
      </c>
      <c r="I22" s="713">
        <f t="shared" si="8"/>
        <v>2.0000000000000004</v>
      </c>
      <c r="J22" s="713">
        <f t="shared" si="6"/>
        <v>2.0500000000000003</v>
      </c>
      <c r="K22" s="713">
        <f t="shared" si="9"/>
        <v>0.18000000000000002</v>
      </c>
      <c r="L22" s="697"/>
      <c r="M22" s="697"/>
      <c r="N22" s="697"/>
      <c r="O22" s="697"/>
      <c r="P22" s="697"/>
      <c r="Q22" s="697"/>
      <c r="R22" s="697"/>
      <c r="S22" s="697"/>
      <c r="T22" s="697"/>
      <c r="U22" s="697"/>
      <c r="V22" s="697"/>
      <c r="W22" s="697"/>
      <c r="X22" s="697"/>
      <c r="Y22" s="697"/>
      <c r="Z22" s="697"/>
      <c r="AA22" s="697"/>
      <c r="AB22" s="697"/>
      <c r="AC22" s="697"/>
      <c r="AD22" s="697"/>
      <c r="AE22" s="697"/>
      <c r="AF22" s="697"/>
      <c r="AG22" s="697"/>
      <c r="AH22" s="697"/>
      <c r="AI22" s="697"/>
      <c r="AJ22" s="697"/>
      <c r="AK22" s="697"/>
      <c r="AL22" s="697"/>
      <c r="AM22" s="697"/>
      <c r="AN22" s="697"/>
      <c r="AO22" s="697"/>
      <c r="AP22" s="697"/>
      <c r="AQ22" s="697"/>
      <c r="AR22" s="697"/>
      <c r="AS22" s="697"/>
      <c r="AT22" s="697"/>
      <c r="AU22" s="697"/>
      <c r="AV22" s="697"/>
      <c r="AW22" s="697"/>
      <c r="AX22" s="697"/>
      <c r="AY22" s="697"/>
      <c r="AZ22" s="697"/>
      <c r="BA22" s="697"/>
      <c r="BB22" s="697"/>
      <c r="BC22" s="697"/>
      <c r="BD22" s="697"/>
      <c r="BE22" s="697"/>
      <c r="BF22" s="697"/>
      <c r="BG22" s="697"/>
      <c r="BH22" s="697"/>
      <c r="BI22" s="697"/>
      <c r="BJ22" s="697"/>
      <c r="BK22" s="697"/>
      <c r="BL22" s="697"/>
      <c r="BM22" s="697"/>
      <c r="BN22" s="697"/>
      <c r="BO22" s="697"/>
      <c r="BP22" s="697"/>
      <c r="BQ22" s="697"/>
      <c r="BR22" s="697"/>
      <c r="BS22" s="697"/>
      <c r="BT22" s="697"/>
      <c r="BU22" s="697"/>
      <c r="BV22" s="697"/>
      <c r="BW22" s="697"/>
      <c r="BX22" s="697"/>
      <c r="BY22" s="697"/>
      <c r="BZ22" s="697"/>
      <c r="CA22" s="697"/>
      <c r="CB22" s="697"/>
      <c r="CC22" s="697"/>
      <c r="CD22" s="697"/>
      <c r="CE22" s="697"/>
      <c r="CF22" s="697"/>
      <c r="CG22" s="697"/>
      <c r="CH22" s="697"/>
      <c r="CI22" s="697"/>
      <c r="CJ22" s="697"/>
      <c r="CK22" s="697"/>
      <c r="CL22" s="697"/>
      <c r="CM22" s="697"/>
      <c r="CN22" s="697"/>
      <c r="CO22" s="697"/>
      <c r="CP22" s="697"/>
      <c r="CQ22" s="697"/>
      <c r="CR22" s="697"/>
      <c r="CS22" s="697"/>
      <c r="CT22" s="697"/>
      <c r="CU22" s="697"/>
      <c r="CV22" s="697"/>
      <c r="CW22" s="697"/>
      <c r="CX22" s="697"/>
      <c r="CY22" s="697"/>
      <c r="CZ22" s="697"/>
      <c r="DA22" s="697"/>
      <c r="DB22" s="697"/>
    </row>
    <row r="23" spans="1:106" hidden="1" outlineLevel="1" x14ac:dyDescent="0.2">
      <c r="A23" s="709">
        <f t="shared" si="0"/>
        <v>36647</v>
      </c>
      <c r="B23" s="709" t="str">
        <f t="shared" si="1"/>
        <v>2Q00</v>
      </c>
      <c r="C23" s="709" t="str">
        <f t="shared" si="2"/>
        <v>3Q00</v>
      </c>
      <c r="D23" s="710">
        <f t="shared" si="30"/>
        <v>36711</v>
      </c>
      <c r="E23" s="710">
        <f t="shared" si="30"/>
        <v>36651</v>
      </c>
      <c r="F23" s="712">
        <v>26.75</v>
      </c>
      <c r="G23" s="713">
        <f t="shared" si="3"/>
        <v>1.4900000000000011</v>
      </c>
      <c r="H23" s="713">
        <f t="shared" si="4"/>
        <v>1.4900000000000011</v>
      </c>
      <c r="I23" s="713">
        <f t="shared" si="8"/>
        <v>2.0500000000000003</v>
      </c>
      <c r="J23" s="713">
        <f t="shared" si="6"/>
        <v>2.1</v>
      </c>
      <c r="K23" s="713">
        <f t="shared" si="9"/>
        <v>0.19000000000000003</v>
      </c>
      <c r="L23" s="697"/>
      <c r="M23" s="697"/>
      <c r="N23" s="697"/>
      <c r="O23" s="697"/>
      <c r="P23" s="697"/>
      <c r="Q23" s="697"/>
      <c r="R23" s="697"/>
      <c r="S23" s="697"/>
      <c r="T23" s="697"/>
      <c r="U23" s="697"/>
      <c r="V23" s="697"/>
      <c r="W23" s="697"/>
      <c r="X23" s="697"/>
      <c r="Y23" s="697"/>
      <c r="Z23" s="697"/>
      <c r="AA23" s="697"/>
      <c r="AB23" s="697"/>
      <c r="AC23" s="697"/>
      <c r="AD23" s="697"/>
      <c r="AE23" s="697"/>
      <c r="AF23" s="697"/>
      <c r="AG23" s="697"/>
      <c r="AH23" s="697"/>
      <c r="AI23" s="697"/>
      <c r="AJ23" s="697"/>
      <c r="AK23" s="697"/>
      <c r="AL23" s="697"/>
      <c r="AM23" s="697"/>
      <c r="AN23" s="697"/>
      <c r="AO23" s="697"/>
      <c r="AP23" s="697"/>
      <c r="AQ23" s="697"/>
      <c r="AR23" s="697"/>
      <c r="AS23" s="697"/>
      <c r="AT23" s="697"/>
      <c r="AU23" s="697"/>
      <c r="AV23" s="697"/>
      <c r="AW23" s="697"/>
      <c r="AX23" s="697"/>
      <c r="AY23" s="697"/>
      <c r="AZ23" s="697"/>
      <c r="BA23" s="697"/>
      <c r="BB23" s="697"/>
      <c r="BC23" s="697"/>
      <c r="BD23" s="697"/>
      <c r="BE23" s="697"/>
      <c r="BF23" s="697"/>
      <c r="BG23" s="697"/>
      <c r="BH23" s="697"/>
      <c r="BI23" s="697"/>
      <c r="BJ23" s="697"/>
      <c r="BK23" s="697"/>
      <c r="BL23" s="697"/>
      <c r="BM23" s="697"/>
      <c r="BN23" s="697"/>
      <c r="BO23" s="697"/>
      <c r="BP23" s="697"/>
      <c r="BQ23" s="697"/>
      <c r="BR23" s="697"/>
      <c r="BS23" s="697"/>
      <c r="BT23" s="697"/>
      <c r="BU23" s="697"/>
      <c r="BV23" s="697"/>
      <c r="BW23" s="697"/>
      <c r="BX23" s="697"/>
      <c r="BY23" s="697"/>
      <c r="BZ23" s="697"/>
      <c r="CA23" s="697"/>
      <c r="CB23" s="697"/>
      <c r="CC23" s="697"/>
      <c r="CD23" s="697"/>
      <c r="CE23" s="697"/>
      <c r="CF23" s="697"/>
      <c r="CG23" s="697"/>
      <c r="CH23" s="697"/>
      <c r="CI23" s="697"/>
      <c r="CJ23" s="697"/>
      <c r="CK23" s="697"/>
      <c r="CL23" s="697"/>
      <c r="CM23" s="697"/>
      <c r="CN23" s="697"/>
      <c r="CO23" s="697"/>
      <c r="CP23" s="697"/>
      <c r="CQ23" s="697"/>
      <c r="CR23" s="697"/>
      <c r="CS23" s="697"/>
      <c r="CT23" s="697"/>
      <c r="CU23" s="697"/>
      <c r="CV23" s="697"/>
      <c r="CW23" s="697"/>
      <c r="CX23" s="697"/>
      <c r="CY23" s="697"/>
      <c r="CZ23" s="697"/>
      <c r="DA23" s="697"/>
      <c r="DB23" s="697"/>
    </row>
    <row r="24" spans="1:106" hidden="1" outlineLevel="1" x14ac:dyDescent="0.2">
      <c r="A24" s="709">
        <f t="shared" si="0"/>
        <v>36647</v>
      </c>
      <c r="B24" s="709" t="str">
        <f t="shared" si="1"/>
        <v>2Q00</v>
      </c>
      <c r="C24" s="709" t="str">
        <f t="shared" si="2"/>
        <v>3Q00</v>
      </c>
      <c r="D24" s="710">
        <f t="shared" si="30"/>
        <v>36718</v>
      </c>
      <c r="E24" s="710">
        <f t="shared" si="30"/>
        <v>36658</v>
      </c>
      <c r="F24" s="712">
        <v>28.7</v>
      </c>
      <c r="G24" s="713">
        <f t="shared" si="3"/>
        <v>1.4900000000000011</v>
      </c>
      <c r="H24" s="713">
        <f t="shared" si="4"/>
        <v>1.4900000000000011</v>
      </c>
      <c r="I24" s="713">
        <f t="shared" si="8"/>
        <v>2.1</v>
      </c>
      <c r="J24" s="713">
        <f t="shared" si="6"/>
        <v>2.15</v>
      </c>
      <c r="K24" s="713">
        <f t="shared" si="9"/>
        <v>0.20000000000000004</v>
      </c>
      <c r="L24" s="697"/>
      <c r="M24" s="697"/>
      <c r="N24" s="697"/>
      <c r="O24" s="697"/>
      <c r="P24" s="697"/>
      <c r="Q24" s="697"/>
      <c r="R24" s="697"/>
      <c r="S24" s="697"/>
      <c r="T24" s="697"/>
      <c r="U24" s="697"/>
      <c r="V24" s="697"/>
      <c r="W24" s="697"/>
      <c r="X24" s="697"/>
      <c r="Y24" s="697"/>
      <c r="Z24" s="697"/>
      <c r="AA24" s="697"/>
      <c r="AB24" s="697"/>
      <c r="AC24" s="697"/>
      <c r="AD24" s="697"/>
      <c r="AE24" s="697"/>
      <c r="AF24" s="697"/>
      <c r="AG24" s="697"/>
      <c r="AH24" s="697"/>
      <c r="AI24" s="697"/>
      <c r="AJ24" s="697"/>
      <c r="AK24" s="697"/>
      <c r="AL24" s="697"/>
      <c r="AM24" s="697"/>
      <c r="AN24" s="697"/>
      <c r="AO24" s="697"/>
      <c r="AP24" s="697"/>
      <c r="AQ24" s="697"/>
      <c r="AR24" s="697"/>
      <c r="AS24" s="697"/>
      <c r="AT24" s="697"/>
      <c r="AU24" s="697"/>
      <c r="AV24" s="697"/>
      <c r="AW24" s="697"/>
      <c r="AX24" s="697"/>
      <c r="AY24" s="697"/>
      <c r="AZ24" s="697"/>
      <c r="BA24" s="697"/>
      <c r="BB24" s="697"/>
      <c r="BC24" s="697"/>
      <c r="BD24" s="697"/>
      <c r="BE24" s="697"/>
      <c r="BF24" s="697"/>
      <c r="BG24" s="697"/>
      <c r="BH24" s="697"/>
      <c r="BI24" s="697"/>
      <c r="BJ24" s="697"/>
      <c r="BK24" s="697"/>
      <c r="BL24" s="697"/>
      <c r="BM24" s="697"/>
      <c r="BN24" s="697"/>
      <c r="BO24" s="697"/>
      <c r="BP24" s="697"/>
      <c r="BQ24" s="697"/>
      <c r="BR24" s="697"/>
      <c r="BS24" s="697"/>
      <c r="BT24" s="697"/>
      <c r="BU24" s="697"/>
      <c r="BV24" s="697"/>
      <c r="BW24" s="697"/>
      <c r="BX24" s="697"/>
      <c r="BY24" s="697"/>
      <c r="BZ24" s="697"/>
      <c r="CA24" s="697"/>
      <c r="CB24" s="697"/>
      <c r="CC24" s="697"/>
      <c r="CD24" s="697"/>
      <c r="CE24" s="697"/>
      <c r="CF24" s="697"/>
      <c r="CG24" s="697"/>
      <c r="CH24" s="697"/>
      <c r="CI24" s="697"/>
      <c r="CJ24" s="697"/>
      <c r="CK24" s="697"/>
      <c r="CL24" s="697"/>
      <c r="CM24" s="697"/>
      <c r="CN24" s="697"/>
      <c r="CO24" s="697"/>
      <c r="CP24" s="697"/>
      <c r="CQ24" s="697"/>
      <c r="CR24" s="697"/>
      <c r="CS24" s="697"/>
      <c r="CT24" s="697"/>
      <c r="CU24" s="697"/>
      <c r="CV24" s="697"/>
      <c r="CW24" s="697"/>
      <c r="CX24" s="697"/>
      <c r="CY24" s="697"/>
      <c r="CZ24" s="697"/>
      <c r="DA24" s="697"/>
      <c r="DB24" s="697"/>
    </row>
    <row r="25" spans="1:106" hidden="1" outlineLevel="1" x14ac:dyDescent="0.2">
      <c r="A25" s="709">
        <f t="shared" si="0"/>
        <v>36647</v>
      </c>
      <c r="B25" s="709" t="str">
        <f t="shared" si="1"/>
        <v>2Q00</v>
      </c>
      <c r="C25" s="709" t="str">
        <f t="shared" si="2"/>
        <v>3Q00</v>
      </c>
      <c r="D25" s="710">
        <f t="shared" si="30"/>
        <v>36725</v>
      </c>
      <c r="E25" s="710">
        <f t="shared" si="30"/>
        <v>36665</v>
      </c>
      <c r="F25" s="712">
        <v>29.88</v>
      </c>
      <c r="G25" s="713">
        <f t="shared" si="3"/>
        <v>1.4900000000000011</v>
      </c>
      <c r="H25" s="713">
        <f t="shared" si="4"/>
        <v>1.4900000000000011</v>
      </c>
      <c r="I25" s="713">
        <f t="shared" si="8"/>
        <v>2.15</v>
      </c>
      <c r="J25" s="713">
        <f t="shared" si="6"/>
        <v>2.1999999999999997</v>
      </c>
      <c r="K25" s="713">
        <f t="shared" si="9"/>
        <v>0.21000000000000005</v>
      </c>
      <c r="L25" s="697"/>
      <c r="M25" s="697"/>
      <c r="N25" s="697"/>
      <c r="O25" s="697"/>
      <c r="P25" s="697"/>
      <c r="Q25" s="697"/>
      <c r="R25" s="697"/>
      <c r="S25" s="697"/>
      <c r="T25" s="697"/>
      <c r="U25" s="697"/>
      <c r="V25" s="697"/>
      <c r="W25" s="697"/>
      <c r="X25" s="697"/>
      <c r="Y25" s="697"/>
      <c r="Z25" s="697"/>
      <c r="AA25" s="697"/>
      <c r="AB25" s="697"/>
      <c r="AC25" s="697"/>
      <c r="AD25" s="697"/>
      <c r="AE25" s="697"/>
      <c r="AF25" s="697"/>
      <c r="AG25" s="697"/>
      <c r="AH25" s="697"/>
      <c r="AI25" s="697"/>
      <c r="AJ25" s="697"/>
      <c r="AK25" s="697"/>
      <c r="AL25" s="697"/>
      <c r="AM25" s="697"/>
      <c r="AN25" s="697"/>
      <c r="AO25" s="697"/>
      <c r="AP25" s="697"/>
      <c r="AQ25" s="697"/>
      <c r="AR25" s="697"/>
      <c r="AS25" s="697"/>
      <c r="AT25" s="697"/>
      <c r="AU25" s="697"/>
      <c r="AV25" s="697"/>
      <c r="AW25" s="697"/>
      <c r="AX25" s="697"/>
      <c r="AY25" s="697"/>
      <c r="AZ25" s="697"/>
      <c r="BA25" s="697"/>
      <c r="BB25" s="697"/>
      <c r="BC25" s="697"/>
      <c r="BD25" s="697"/>
      <c r="BE25" s="697"/>
      <c r="BF25" s="697"/>
      <c r="BG25" s="697"/>
      <c r="BH25" s="697"/>
      <c r="BI25" s="697"/>
      <c r="BJ25" s="697"/>
      <c r="BK25" s="697"/>
      <c r="BL25" s="697"/>
      <c r="BM25" s="697"/>
      <c r="BN25" s="697"/>
      <c r="BO25" s="697"/>
      <c r="BP25" s="697"/>
      <c r="BQ25" s="697"/>
      <c r="BR25" s="697"/>
      <c r="BS25" s="697"/>
      <c r="BT25" s="697"/>
      <c r="BU25" s="697"/>
      <c r="BV25" s="697"/>
      <c r="BW25" s="697"/>
      <c r="BX25" s="697"/>
      <c r="BY25" s="697"/>
      <c r="BZ25" s="697"/>
      <c r="CA25" s="697"/>
      <c r="CB25" s="697"/>
      <c r="CC25" s="697"/>
      <c r="CD25" s="697"/>
      <c r="CE25" s="697"/>
      <c r="CF25" s="697"/>
      <c r="CG25" s="697"/>
      <c r="CH25" s="697"/>
      <c r="CI25" s="697"/>
      <c r="CJ25" s="697"/>
      <c r="CK25" s="697"/>
      <c r="CL25" s="697"/>
      <c r="CM25" s="697"/>
      <c r="CN25" s="697"/>
      <c r="CO25" s="697"/>
      <c r="CP25" s="697"/>
      <c r="CQ25" s="697"/>
      <c r="CR25" s="697"/>
      <c r="CS25" s="697"/>
      <c r="CT25" s="697"/>
      <c r="CU25" s="697"/>
      <c r="CV25" s="697"/>
      <c r="CW25" s="697"/>
      <c r="CX25" s="697"/>
      <c r="CY25" s="697"/>
      <c r="CZ25" s="697"/>
      <c r="DA25" s="697"/>
      <c r="DB25" s="697"/>
    </row>
    <row r="26" spans="1:106" hidden="1" outlineLevel="1" x14ac:dyDescent="0.2">
      <c r="A26" s="709">
        <f t="shared" si="0"/>
        <v>36647</v>
      </c>
      <c r="B26" s="709" t="str">
        <f t="shared" si="1"/>
        <v>2Q00</v>
      </c>
      <c r="C26" s="709" t="str">
        <f t="shared" si="2"/>
        <v>3Q00</v>
      </c>
      <c r="D26" s="710">
        <f t="shared" si="30"/>
        <v>36732</v>
      </c>
      <c r="E26" s="710">
        <f t="shared" si="30"/>
        <v>36672</v>
      </c>
      <c r="F26" s="712">
        <v>29.46</v>
      </c>
      <c r="G26" s="713">
        <f t="shared" si="3"/>
        <v>1.4900000000000011</v>
      </c>
      <c r="H26" s="713">
        <f t="shared" si="4"/>
        <v>1.4900000000000011</v>
      </c>
      <c r="I26" s="713">
        <f t="shared" si="8"/>
        <v>2.1999999999999997</v>
      </c>
      <c r="J26" s="713">
        <f t="shared" si="6"/>
        <v>2.2499999999999996</v>
      </c>
      <c r="K26" s="713">
        <f t="shared" si="9"/>
        <v>0.22000000000000006</v>
      </c>
      <c r="L26" s="697"/>
      <c r="M26" s="697"/>
      <c r="N26" s="697"/>
      <c r="O26" s="697"/>
      <c r="P26" s="697"/>
      <c r="Q26" s="697"/>
      <c r="R26" s="697"/>
      <c r="S26" s="697"/>
      <c r="T26" s="697"/>
      <c r="U26" s="697"/>
      <c r="V26" s="697"/>
      <c r="W26" s="697"/>
      <c r="X26" s="697"/>
      <c r="Y26" s="697"/>
      <c r="Z26" s="697"/>
      <c r="AA26" s="697"/>
      <c r="AB26" s="697"/>
      <c r="AC26" s="697"/>
      <c r="AD26" s="697"/>
      <c r="AE26" s="697"/>
      <c r="AF26" s="697"/>
      <c r="AG26" s="697"/>
      <c r="AH26" s="697"/>
      <c r="AI26" s="697"/>
      <c r="AJ26" s="697"/>
      <c r="AK26" s="697"/>
      <c r="AL26" s="697"/>
      <c r="AM26" s="697"/>
      <c r="AN26" s="697"/>
      <c r="AO26" s="697"/>
      <c r="AP26" s="697"/>
      <c r="AQ26" s="697"/>
      <c r="AR26" s="697"/>
      <c r="AS26" s="697"/>
      <c r="AT26" s="697"/>
      <c r="AU26" s="697"/>
      <c r="AV26" s="697"/>
      <c r="AW26" s="697"/>
      <c r="AX26" s="697"/>
      <c r="AY26" s="697"/>
      <c r="AZ26" s="697"/>
      <c r="BA26" s="697"/>
      <c r="BB26" s="697"/>
      <c r="BC26" s="697"/>
      <c r="BD26" s="697"/>
      <c r="BE26" s="697"/>
      <c r="BF26" s="697"/>
      <c r="BG26" s="697"/>
      <c r="BH26" s="697"/>
      <c r="BI26" s="697"/>
      <c r="BJ26" s="697"/>
      <c r="BK26" s="697"/>
      <c r="BL26" s="697"/>
      <c r="BM26" s="697"/>
      <c r="BN26" s="697"/>
      <c r="BO26" s="697"/>
      <c r="BP26" s="697"/>
      <c r="BQ26" s="697"/>
      <c r="BR26" s="697"/>
      <c r="BS26" s="697"/>
      <c r="BT26" s="697"/>
      <c r="BU26" s="697"/>
      <c r="BV26" s="697"/>
      <c r="BW26" s="697"/>
      <c r="BX26" s="697"/>
      <c r="BY26" s="697"/>
      <c r="BZ26" s="697"/>
      <c r="CA26" s="697"/>
      <c r="CB26" s="697"/>
      <c r="CC26" s="697"/>
      <c r="CD26" s="697"/>
      <c r="CE26" s="697"/>
      <c r="CF26" s="697"/>
      <c r="CG26" s="697"/>
      <c r="CH26" s="697"/>
      <c r="CI26" s="697"/>
      <c r="CJ26" s="697"/>
      <c r="CK26" s="697"/>
      <c r="CL26" s="697"/>
      <c r="CM26" s="697"/>
      <c r="CN26" s="697"/>
      <c r="CO26" s="697"/>
      <c r="CP26" s="697"/>
      <c r="CQ26" s="697"/>
      <c r="CR26" s="697"/>
      <c r="CS26" s="697"/>
      <c r="CT26" s="697"/>
      <c r="CU26" s="697"/>
      <c r="CV26" s="697"/>
      <c r="CW26" s="697"/>
      <c r="CX26" s="697"/>
      <c r="CY26" s="697"/>
      <c r="CZ26" s="697"/>
      <c r="DA26" s="697"/>
      <c r="DB26" s="697"/>
    </row>
    <row r="27" spans="1:106" hidden="1" outlineLevel="1" x14ac:dyDescent="0.2">
      <c r="A27" s="709">
        <f t="shared" si="0"/>
        <v>36678</v>
      </c>
      <c r="B27" s="709" t="str">
        <f t="shared" si="1"/>
        <v>2Q00</v>
      </c>
      <c r="C27" s="709" t="str">
        <f t="shared" si="2"/>
        <v>3Q00</v>
      </c>
      <c r="D27" s="710">
        <f t="shared" si="30"/>
        <v>36739</v>
      </c>
      <c r="E27" s="710">
        <f t="shared" si="30"/>
        <v>36679</v>
      </c>
      <c r="F27" s="712">
        <v>29.98</v>
      </c>
      <c r="G27" s="713">
        <f t="shared" si="3"/>
        <v>1.4900000000000011</v>
      </c>
      <c r="H27" s="713">
        <f t="shared" si="4"/>
        <v>1.4900000000000011</v>
      </c>
      <c r="I27" s="713">
        <f t="shared" si="8"/>
        <v>2.2499999999999996</v>
      </c>
      <c r="J27" s="713">
        <f t="shared" si="6"/>
        <v>2.2999999999999994</v>
      </c>
      <c r="K27" s="713">
        <f t="shared" si="9"/>
        <v>0.23000000000000007</v>
      </c>
      <c r="L27" s="697"/>
      <c r="M27" s="697"/>
      <c r="N27" s="697"/>
      <c r="O27" s="697"/>
      <c r="P27" s="697"/>
      <c r="Q27" s="697"/>
      <c r="R27" s="697"/>
      <c r="S27" s="697"/>
      <c r="T27" s="697"/>
      <c r="U27" s="697"/>
      <c r="V27" s="697"/>
      <c r="W27" s="697"/>
      <c r="X27" s="697"/>
      <c r="Y27" s="697"/>
      <c r="Z27" s="697"/>
      <c r="AA27" s="697"/>
      <c r="AB27" s="697"/>
      <c r="AC27" s="697"/>
      <c r="AD27" s="697"/>
      <c r="AE27" s="697"/>
      <c r="AF27" s="697"/>
      <c r="AG27" s="697"/>
      <c r="AH27" s="697"/>
      <c r="AI27" s="697"/>
      <c r="AJ27" s="697"/>
      <c r="AK27" s="697"/>
      <c r="AL27" s="697"/>
      <c r="AM27" s="697"/>
      <c r="AN27" s="697"/>
      <c r="AO27" s="697"/>
      <c r="AP27" s="697"/>
      <c r="AQ27" s="697"/>
      <c r="AR27" s="697"/>
      <c r="AS27" s="697"/>
      <c r="AT27" s="697"/>
      <c r="AU27" s="697"/>
      <c r="AV27" s="697"/>
      <c r="AW27" s="697"/>
      <c r="AX27" s="697"/>
      <c r="AY27" s="697"/>
      <c r="AZ27" s="697"/>
      <c r="BA27" s="697"/>
      <c r="BB27" s="697"/>
      <c r="BC27" s="697"/>
      <c r="BD27" s="697"/>
      <c r="BE27" s="697"/>
      <c r="BF27" s="697"/>
      <c r="BG27" s="697"/>
      <c r="BH27" s="697"/>
      <c r="BI27" s="697"/>
      <c r="BJ27" s="697"/>
      <c r="BK27" s="697"/>
      <c r="BL27" s="697"/>
      <c r="BM27" s="697"/>
      <c r="BN27" s="697"/>
      <c r="BO27" s="697"/>
      <c r="BP27" s="697"/>
      <c r="BQ27" s="697"/>
      <c r="BR27" s="697"/>
      <c r="BS27" s="697"/>
      <c r="BT27" s="697"/>
      <c r="BU27" s="697"/>
      <c r="BV27" s="697"/>
      <c r="BW27" s="697"/>
      <c r="BX27" s="697"/>
      <c r="BY27" s="697"/>
      <c r="BZ27" s="697"/>
      <c r="CA27" s="697"/>
      <c r="CB27" s="697"/>
      <c r="CC27" s="697"/>
      <c r="CD27" s="697"/>
      <c r="CE27" s="697"/>
      <c r="CF27" s="697"/>
      <c r="CG27" s="697"/>
      <c r="CH27" s="697"/>
      <c r="CI27" s="697"/>
      <c r="CJ27" s="697"/>
      <c r="CK27" s="697"/>
      <c r="CL27" s="697"/>
      <c r="CM27" s="697"/>
      <c r="CN27" s="697"/>
      <c r="CO27" s="697"/>
      <c r="CP27" s="697"/>
      <c r="CQ27" s="697"/>
      <c r="CR27" s="697"/>
      <c r="CS27" s="697"/>
      <c r="CT27" s="697"/>
      <c r="CU27" s="697"/>
      <c r="CV27" s="697"/>
      <c r="CW27" s="697"/>
      <c r="CX27" s="697"/>
      <c r="CY27" s="697"/>
      <c r="CZ27" s="697"/>
      <c r="DA27" s="697"/>
      <c r="DB27" s="697"/>
    </row>
    <row r="28" spans="1:106" hidden="1" outlineLevel="1" x14ac:dyDescent="0.2">
      <c r="A28" s="709">
        <f t="shared" si="0"/>
        <v>36678</v>
      </c>
      <c r="B28" s="709" t="str">
        <f t="shared" si="1"/>
        <v>2Q00</v>
      </c>
      <c r="C28" s="709" t="str">
        <f t="shared" si="2"/>
        <v>3Q00</v>
      </c>
      <c r="D28" s="710">
        <f t="shared" si="30"/>
        <v>36746</v>
      </c>
      <c r="E28" s="710">
        <f t="shared" si="30"/>
        <v>36686</v>
      </c>
      <c r="F28" s="712">
        <v>29.79</v>
      </c>
      <c r="G28" s="713">
        <f t="shared" si="3"/>
        <v>1.4900000000000011</v>
      </c>
      <c r="H28" s="713">
        <f t="shared" si="4"/>
        <v>1.4900000000000011</v>
      </c>
      <c r="I28" s="713">
        <f t="shared" si="8"/>
        <v>2.2999999999999994</v>
      </c>
      <c r="J28" s="713">
        <f t="shared" si="6"/>
        <v>2.3499999999999992</v>
      </c>
      <c r="K28" s="713">
        <f t="shared" si="9"/>
        <v>0.24000000000000007</v>
      </c>
      <c r="L28" s="697"/>
      <c r="M28" s="697"/>
      <c r="N28" s="697"/>
      <c r="O28" s="697"/>
      <c r="P28" s="697"/>
      <c r="Q28" s="697"/>
      <c r="R28" s="697"/>
      <c r="S28" s="697"/>
      <c r="T28" s="697"/>
      <c r="U28" s="697"/>
      <c r="V28" s="697"/>
      <c r="W28" s="697"/>
      <c r="X28" s="697"/>
      <c r="Y28" s="697"/>
      <c r="Z28" s="697"/>
      <c r="AA28" s="697"/>
      <c r="AB28" s="697"/>
      <c r="AC28" s="697"/>
      <c r="AD28" s="697"/>
      <c r="AE28" s="697"/>
      <c r="AF28" s="697"/>
      <c r="AG28" s="697"/>
      <c r="AH28" s="697"/>
      <c r="AI28" s="697"/>
      <c r="AJ28" s="697"/>
      <c r="AK28" s="697"/>
      <c r="AL28" s="697"/>
      <c r="AM28" s="697"/>
      <c r="AN28" s="697"/>
      <c r="AO28" s="697"/>
      <c r="AP28" s="697"/>
      <c r="AQ28" s="697"/>
      <c r="AR28" s="697"/>
      <c r="AS28" s="697"/>
      <c r="AT28" s="697"/>
      <c r="AU28" s="697"/>
      <c r="AV28" s="697"/>
      <c r="AW28" s="697"/>
      <c r="AX28" s="697"/>
      <c r="AY28" s="697"/>
      <c r="AZ28" s="697"/>
      <c r="BA28" s="697"/>
      <c r="BB28" s="697"/>
      <c r="BC28" s="697"/>
      <c r="BD28" s="697"/>
      <c r="BE28" s="697"/>
      <c r="BF28" s="697"/>
      <c r="BG28" s="697"/>
      <c r="BH28" s="697"/>
      <c r="BI28" s="697"/>
      <c r="BJ28" s="697"/>
      <c r="BK28" s="697"/>
      <c r="BL28" s="697"/>
      <c r="BM28" s="697"/>
      <c r="BN28" s="697"/>
      <c r="BO28" s="697"/>
      <c r="BP28" s="697"/>
      <c r="BQ28" s="697"/>
      <c r="BR28" s="697"/>
      <c r="BS28" s="697"/>
      <c r="BT28" s="697"/>
      <c r="BU28" s="697"/>
      <c r="BV28" s="697"/>
      <c r="BW28" s="697"/>
      <c r="BX28" s="697"/>
      <c r="BY28" s="697"/>
      <c r="BZ28" s="697"/>
      <c r="CA28" s="697"/>
      <c r="CB28" s="697"/>
      <c r="CC28" s="697"/>
      <c r="CD28" s="697"/>
      <c r="CE28" s="697"/>
      <c r="CF28" s="697"/>
      <c r="CG28" s="697"/>
      <c r="CH28" s="697"/>
      <c r="CI28" s="697"/>
      <c r="CJ28" s="697"/>
      <c r="CK28" s="697"/>
      <c r="CL28" s="697"/>
      <c r="CM28" s="697"/>
      <c r="CN28" s="697"/>
      <c r="CO28" s="697"/>
      <c r="CP28" s="697"/>
      <c r="CQ28" s="697"/>
      <c r="CR28" s="697"/>
      <c r="CS28" s="697"/>
      <c r="CT28" s="697"/>
      <c r="CU28" s="697"/>
      <c r="CV28" s="697"/>
      <c r="CW28" s="697"/>
      <c r="CX28" s="697"/>
      <c r="CY28" s="697"/>
      <c r="CZ28" s="697"/>
      <c r="DA28" s="697"/>
      <c r="DB28" s="697"/>
    </row>
    <row r="29" spans="1:106" hidden="1" outlineLevel="1" x14ac:dyDescent="0.2">
      <c r="A29" s="709">
        <f t="shared" si="0"/>
        <v>36678</v>
      </c>
      <c r="B29" s="709" t="str">
        <f t="shared" si="1"/>
        <v>2Q00</v>
      </c>
      <c r="C29" s="709" t="str">
        <f t="shared" si="2"/>
        <v>3Q00</v>
      </c>
      <c r="D29" s="710">
        <f t="shared" si="30"/>
        <v>36753</v>
      </c>
      <c r="E29" s="710">
        <f t="shared" si="30"/>
        <v>36693</v>
      </c>
      <c r="F29" s="712">
        <v>32.450000000000003</v>
      </c>
      <c r="G29" s="713">
        <f t="shared" si="3"/>
        <v>1.4900000000000011</v>
      </c>
      <c r="H29" s="713">
        <f t="shared" si="4"/>
        <v>1.4900000000000011</v>
      </c>
      <c r="I29" s="713">
        <f t="shared" si="8"/>
        <v>2.3499999999999992</v>
      </c>
      <c r="J29" s="713">
        <f t="shared" si="6"/>
        <v>2.399999999999999</v>
      </c>
      <c r="K29" s="713">
        <f t="shared" si="9"/>
        <v>0.25000000000000006</v>
      </c>
      <c r="L29" s="697"/>
      <c r="M29" s="697"/>
      <c r="N29" s="697"/>
      <c r="O29" s="697"/>
      <c r="P29" s="697"/>
      <c r="Q29" s="697"/>
      <c r="R29" s="697"/>
      <c r="S29" s="697"/>
      <c r="T29" s="697"/>
      <c r="U29" s="697"/>
      <c r="V29" s="697"/>
      <c r="W29" s="697"/>
      <c r="X29" s="697"/>
      <c r="Y29" s="697"/>
      <c r="Z29" s="697"/>
      <c r="AA29" s="697"/>
      <c r="AB29" s="697"/>
      <c r="AC29" s="697"/>
      <c r="AD29" s="697"/>
      <c r="AE29" s="697"/>
      <c r="AF29" s="697"/>
      <c r="AG29" s="697"/>
      <c r="AH29" s="697"/>
      <c r="AI29" s="697"/>
      <c r="AJ29" s="697"/>
      <c r="AK29" s="697"/>
      <c r="AL29" s="697"/>
      <c r="AM29" s="697"/>
      <c r="AN29" s="697"/>
      <c r="AO29" s="697"/>
      <c r="AP29" s="697"/>
      <c r="AQ29" s="697"/>
      <c r="AR29" s="697"/>
      <c r="AS29" s="697"/>
      <c r="AT29" s="697"/>
      <c r="AU29" s="697"/>
      <c r="AV29" s="697"/>
      <c r="AW29" s="697"/>
      <c r="AX29" s="697"/>
      <c r="AY29" s="697"/>
      <c r="AZ29" s="697"/>
      <c r="BA29" s="697"/>
      <c r="BB29" s="697"/>
      <c r="BC29" s="697"/>
      <c r="BD29" s="697"/>
      <c r="BE29" s="697"/>
      <c r="BF29" s="697"/>
      <c r="BG29" s="697"/>
      <c r="BH29" s="697"/>
      <c r="BI29" s="697"/>
      <c r="BJ29" s="697"/>
      <c r="BK29" s="697"/>
      <c r="BL29" s="697"/>
      <c r="BM29" s="697"/>
      <c r="BN29" s="697"/>
      <c r="BO29" s="697"/>
      <c r="BP29" s="697"/>
      <c r="BQ29" s="697"/>
      <c r="BR29" s="697"/>
      <c r="BS29" s="697"/>
      <c r="BT29" s="697"/>
      <c r="BU29" s="697"/>
      <c r="BV29" s="697"/>
      <c r="BW29" s="697"/>
      <c r="BX29" s="697"/>
      <c r="BY29" s="697"/>
      <c r="BZ29" s="697"/>
      <c r="CA29" s="697"/>
      <c r="CB29" s="697"/>
      <c r="CC29" s="697"/>
      <c r="CD29" s="697"/>
      <c r="CE29" s="697"/>
      <c r="CF29" s="697"/>
      <c r="CG29" s="697"/>
      <c r="CH29" s="697"/>
      <c r="CI29" s="697"/>
      <c r="CJ29" s="697"/>
      <c r="CK29" s="697"/>
      <c r="CL29" s="697"/>
      <c r="CM29" s="697"/>
      <c r="CN29" s="697"/>
      <c r="CO29" s="697"/>
      <c r="CP29" s="697"/>
      <c r="CQ29" s="697"/>
      <c r="CR29" s="697"/>
      <c r="CS29" s="697"/>
      <c r="CT29" s="697"/>
      <c r="CU29" s="697"/>
      <c r="CV29" s="697"/>
      <c r="CW29" s="697"/>
      <c r="CX29" s="697"/>
      <c r="CY29" s="697"/>
      <c r="CZ29" s="697"/>
      <c r="DA29" s="697"/>
      <c r="DB29" s="697"/>
    </row>
    <row r="30" spans="1:106" hidden="1" outlineLevel="1" x14ac:dyDescent="0.2">
      <c r="A30" s="709">
        <f t="shared" si="0"/>
        <v>36678</v>
      </c>
      <c r="B30" s="709" t="str">
        <f t="shared" si="1"/>
        <v>2Q00</v>
      </c>
      <c r="C30" s="709" t="str">
        <f t="shared" si="2"/>
        <v>3Q00</v>
      </c>
      <c r="D30" s="710">
        <f t="shared" si="30"/>
        <v>36760</v>
      </c>
      <c r="E30" s="710">
        <f t="shared" si="30"/>
        <v>36700</v>
      </c>
      <c r="F30" s="712">
        <v>33.549999999999997</v>
      </c>
      <c r="G30" s="713">
        <f t="shared" si="3"/>
        <v>1.4900000000000011</v>
      </c>
      <c r="H30" s="713">
        <f t="shared" si="4"/>
        <v>1.4900000000000011</v>
      </c>
      <c r="I30" s="713">
        <f t="shared" si="8"/>
        <v>2.399999999999999</v>
      </c>
      <c r="J30" s="713">
        <f t="shared" si="6"/>
        <v>2.4499999999999988</v>
      </c>
      <c r="K30" s="713">
        <f t="shared" si="9"/>
        <v>0.26000000000000006</v>
      </c>
      <c r="L30" s="697"/>
      <c r="M30" s="697"/>
      <c r="N30" s="697"/>
      <c r="O30" s="697"/>
      <c r="P30" s="697"/>
      <c r="Q30" s="697"/>
      <c r="R30" s="697"/>
      <c r="S30" s="697"/>
      <c r="T30" s="697"/>
      <c r="U30" s="697"/>
      <c r="V30" s="697"/>
      <c r="W30" s="697"/>
      <c r="X30" s="697"/>
      <c r="Y30" s="697"/>
      <c r="Z30" s="697"/>
      <c r="AA30" s="697"/>
      <c r="AB30" s="697"/>
      <c r="AC30" s="697"/>
      <c r="AD30" s="697"/>
      <c r="AE30" s="697"/>
      <c r="AF30" s="697"/>
      <c r="AG30" s="697"/>
      <c r="AH30" s="697"/>
      <c r="AI30" s="697"/>
      <c r="AJ30" s="697"/>
      <c r="AK30" s="697"/>
      <c r="AL30" s="697"/>
      <c r="AM30" s="697"/>
      <c r="AN30" s="697"/>
      <c r="AO30" s="697"/>
      <c r="AP30" s="697"/>
      <c r="AQ30" s="697"/>
      <c r="AR30" s="697"/>
      <c r="AS30" s="697"/>
      <c r="AT30" s="697"/>
      <c r="AU30" s="697"/>
      <c r="AV30" s="697"/>
      <c r="AW30" s="697"/>
      <c r="AX30" s="697"/>
      <c r="AY30" s="697"/>
      <c r="AZ30" s="697"/>
      <c r="BA30" s="697"/>
      <c r="BB30" s="697"/>
      <c r="BC30" s="697"/>
      <c r="BD30" s="697"/>
      <c r="BE30" s="697"/>
      <c r="BF30" s="697"/>
      <c r="BG30" s="697"/>
      <c r="BH30" s="697"/>
      <c r="BI30" s="697"/>
      <c r="BJ30" s="697"/>
      <c r="BK30" s="697"/>
      <c r="BL30" s="697"/>
      <c r="BM30" s="697"/>
      <c r="BN30" s="697"/>
      <c r="BO30" s="697"/>
      <c r="BP30" s="697"/>
      <c r="BQ30" s="697"/>
      <c r="BR30" s="697"/>
      <c r="BS30" s="697"/>
      <c r="BT30" s="697"/>
      <c r="BU30" s="697"/>
      <c r="BV30" s="697"/>
      <c r="BW30" s="697"/>
      <c r="BX30" s="697"/>
      <c r="BY30" s="697"/>
      <c r="BZ30" s="697"/>
      <c r="CA30" s="697"/>
      <c r="CB30" s="697"/>
      <c r="CC30" s="697"/>
      <c r="CD30" s="697"/>
      <c r="CE30" s="697"/>
      <c r="CF30" s="697"/>
      <c r="CG30" s="697"/>
      <c r="CH30" s="697"/>
      <c r="CI30" s="697"/>
      <c r="CJ30" s="697"/>
      <c r="CK30" s="697"/>
      <c r="CL30" s="697"/>
      <c r="CM30" s="697"/>
      <c r="CN30" s="697"/>
      <c r="CO30" s="697"/>
      <c r="CP30" s="697"/>
      <c r="CQ30" s="697"/>
      <c r="CR30" s="697"/>
      <c r="CS30" s="697"/>
      <c r="CT30" s="697"/>
      <c r="CU30" s="697"/>
      <c r="CV30" s="697"/>
      <c r="CW30" s="697"/>
      <c r="CX30" s="697"/>
      <c r="CY30" s="697"/>
      <c r="CZ30" s="697"/>
      <c r="DA30" s="697"/>
      <c r="DB30" s="697"/>
    </row>
    <row r="31" spans="1:106" hidden="1" outlineLevel="1" x14ac:dyDescent="0.2">
      <c r="A31" s="709">
        <f t="shared" si="0"/>
        <v>36678</v>
      </c>
      <c r="B31" s="709" t="str">
        <f t="shared" si="1"/>
        <v>2Q00</v>
      </c>
      <c r="C31" s="709" t="str">
        <f t="shared" si="2"/>
        <v>3Q00</v>
      </c>
      <c r="D31" s="710">
        <f t="shared" si="30"/>
        <v>36767</v>
      </c>
      <c r="E31" s="710">
        <f t="shared" si="30"/>
        <v>36707</v>
      </c>
      <c r="F31" s="712">
        <v>32.119999999999997</v>
      </c>
      <c r="G31" s="713">
        <f t="shared" si="3"/>
        <v>1.4900000000000011</v>
      </c>
      <c r="H31" s="713">
        <f t="shared" si="4"/>
        <v>1.4900000000000011</v>
      </c>
      <c r="I31" s="713">
        <f t="shared" si="8"/>
        <v>2.4499999999999988</v>
      </c>
      <c r="J31" s="713">
        <f t="shared" si="6"/>
        <v>2.4999999999999987</v>
      </c>
      <c r="K31" s="713">
        <f t="shared" si="9"/>
        <v>0.27000000000000007</v>
      </c>
      <c r="L31" s="697"/>
      <c r="M31" s="697"/>
      <c r="N31" s="697"/>
      <c r="O31" s="697"/>
      <c r="P31" s="697"/>
      <c r="Q31" s="697"/>
      <c r="R31" s="697"/>
      <c r="S31" s="697"/>
      <c r="T31" s="697"/>
      <c r="U31" s="697"/>
      <c r="V31" s="697"/>
      <c r="W31" s="697"/>
      <c r="X31" s="697"/>
      <c r="Y31" s="697"/>
      <c r="Z31" s="697"/>
      <c r="AA31" s="697"/>
      <c r="AB31" s="697"/>
      <c r="AC31" s="697"/>
      <c r="AD31" s="697"/>
      <c r="AE31" s="697"/>
      <c r="AF31" s="697"/>
      <c r="AG31" s="697"/>
      <c r="AH31" s="697"/>
      <c r="AI31" s="697"/>
      <c r="AJ31" s="697"/>
      <c r="AK31" s="697"/>
      <c r="AL31" s="697"/>
      <c r="AM31" s="697"/>
      <c r="AN31" s="697"/>
      <c r="AO31" s="697"/>
      <c r="AP31" s="697"/>
      <c r="AQ31" s="697"/>
      <c r="AR31" s="697"/>
      <c r="AS31" s="697"/>
      <c r="AT31" s="697"/>
      <c r="AU31" s="697"/>
      <c r="AV31" s="697"/>
      <c r="AW31" s="697"/>
      <c r="AX31" s="697"/>
      <c r="AY31" s="697"/>
      <c r="AZ31" s="697"/>
      <c r="BA31" s="697"/>
      <c r="BB31" s="697"/>
      <c r="BC31" s="697"/>
      <c r="BD31" s="697"/>
      <c r="BE31" s="697"/>
      <c r="BF31" s="697"/>
      <c r="BG31" s="697"/>
      <c r="BH31" s="697"/>
      <c r="BI31" s="697"/>
      <c r="BJ31" s="697"/>
      <c r="BK31" s="697"/>
      <c r="BL31" s="697"/>
      <c r="BM31" s="697"/>
      <c r="BN31" s="697"/>
      <c r="BO31" s="697"/>
      <c r="BP31" s="697"/>
      <c r="BQ31" s="697"/>
      <c r="BR31" s="697"/>
      <c r="BS31" s="697"/>
      <c r="BT31" s="697"/>
      <c r="BU31" s="697"/>
      <c r="BV31" s="697"/>
      <c r="BW31" s="697"/>
      <c r="BX31" s="697"/>
      <c r="BY31" s="697"/>
      <c r="BZ31" s="697"/>
      <c r="CA31" s="697"/>
      <c r="CB31" s="697"/>
      <c r="CC31" s="697"/>
      <c r="CD31" s="697"/>
      <c r="CE31" s="697"/>
      <c r="CF31" s="697"/>
      <c r="CG31" s="697"/>
      <c r="CH31" s="697"/>
      <c r="CI31" s="697"/>
      <c r="CJ31" s="697"/>
      <c r="CK31" s="697"/>
      <c r="CL31" s="697"/>
      <c r="CM31" s="697"/>
      <c r="CN31" s="697"/>
      <c r="CO31" s="697"/>
      <c r="CP31" s="697"/>
      <c r="CQ31" s="697"/>
      <c r="CR31" s="697"/>
      <c r="CS31" s="697"/>
      <c r="CT31" s="697"/>
      <c r="CU31" s="697"/>
      <c r="CV31" s="697"/>
      <c r="CW31" s="697"/>
      <c r="CX31" s="697"/>
      <c r="CY31" s="697"/>
      <c r="CZ31" s="697"/>
      <c r="DA31" s="697"/>
      <c r="DB31" s="697"/>
    </row>
    <row r="32" spans="1:106" hidden="1" outlineLevel="1" x14ac:dyDescent="0.2">
      <c r="A32" s="709">
        <f t="shared" si="0"/>
        <v>36708</v>
      </c>
      <c r="B32" s="709" t="str">
        <f t="shared" si="1"/>
        <v>3Q00</v>
      </c>
      <c r="C32" s="709" t="str">
        <f t="shared" si="2"/>
        <v>3Q00</v>
      </c>
      <c r="D32" s="710">
        <f t="shared" si="30"/>
        <v>36774</v>
      </c>
      <c r="E32" s="710">
        <f t="shared" si="30"/>
        <v>36714</v>
      </c>
      <c r="F32" s="712">
        <v>30.4</v>
      </c>
      <c r="G32" s="713">
        <f t="shared" si="3"/>
        <v>1.4900000000000011</v>
      </c>
      <c r="H32" s="713">
        <f t="shared" si="4"/>
        <v>1.4900000000000011</v>
      </c>
      <c r="I32" s="713">
        <f t="shared" si="8"/>
        <v>2.4999999999999987</v>
      </c>
      <c r="J32" s="713">
        <f t="shared" si="6"/>
        <v>2.5499999999999985</v>
      </c>
      <c r="K32" s="713">
        <f t="shared" si="9"/>
        <v>0.28000000000000008</v>
      </c>
      <c r="L32" s="697"/>
      <c r="M32" s="697"/>
      <c r="N32" s="697"/>
      <c r="O32" s="697"/>
      <c r="P32" s="697"/>
      <c r="Q32" s="697"/>
      <c r="R32" s="697"/>
      <c r="S32" s="697"/>
      <c r="T32" s="697"/>
      <c r="U32" s="697"/>
      <c r="V32" s="697"/>
      <c r="W32" s="697"/>
      <c r="X32" s="697"/>
      <c r="Y32" s="697"/>
      <c r="Z32" s="697"/>
      <c r="AA32" s="697"/>
      <c r="AB32" s="697"/>
      <c r="AC32" s="697"/>
      <c r="AD32" s="697"/>
      <c r="AE32" s="697"/>
      <c r="AF32" s="697"/>
      <c r="AG32" s="697"/>
      <c r="AH32" s="697"/>
      <c r="AI32" s="697"/>
      <c r="AJ32" s="697"/>
      <c r="AK32" s="697"/>
      <c r="AL32" s="697"/>
      <c r="AM32" s="697"/>
      <c r="AN32" s="697"/>
      <c r="AO32" s="697"/>
      <c r="AP32" s="697"/>
      <c r="AQ32" s="697"/>
      <c r="AR32" s="697"/>
      <c r="AS32" s="697"/>
      <c r="AT32" s="697"/>
      <c r="AU32" s="697"/>
      <c r="AV32" s="697"/>
      <c r="AW32" s="697"/>
      <c r="AX32" s="697"/>
      <c r="AY32" s="697"/>
      <c r="AZ32" s="697"/>
      <c r="BA32" s="697"/>
      <c r="BB32" s="697"/>
      <c r="BC32" s="697"/>
      <c r="BD32" s="697"/>
      <c r="BE32" s="697"/>
      <c r="BF32" s="697"/>
      <c r="BG32" s="697"/>
      <c r="BH32" s="697"/>
      <c r="BI32" s="697"/>
      <c r="BJ32" s="697"/>
      <c r="BK32" s="697"/>
      <c r="BL32" s="697"/>
      <c r="BM32" s="697"/>
      <c r="BN32" s="697"/>
      <c r="BO32" s="697"/>
      <c r="BP32" s="697"/>
      <c r="BQ32" s="697"/>
      <c r="BR32" s="697"/>
      <c r="BS32" s="697"/>
      <c r="BT32" s="697"/>
      <c r="BU32" s="697"/>
      <c r="BV32" s="697"/>
      <c r="BW32" s="697"/>
      <c r="BX32" s="697"/>
      <c r="BY32" s="697"/>
      <c r="BZ32" s="697"/>
      <c r="CA32" s="697"/>
      <c r="CB32" s="697"/>
      <c r="CC32" s="697"/>
      <c r="CD32" s="697"/>
      <c r="CE32" s="697"/>
      <c r="CF32" s="697"/>
      <c r="CG32" s="697"/>
      <c r="CH32" s="697"/>
      <c r="CI32" s="697"/>
      <c r="CJ32" s="697"/>
      <c r="CK32" s="697"/>
      <c r="CL32" s="697"/>
      <c r="CM32" s="697"/>
      <c r="CN32" s="697"/>
      <c r="CO32" s="697"/>
      <c r="CP32" s="697"/>
      <c r="CQ32" s="697"/>
      <c r="CR32" s="697"/>
      <c r="CS32" s="697"/>
      <c r="CT32" s="697"/>
      <c r="CU32" s="697"/>
      <c r="CV32" s="697"/>
      <c r="CW32" s="697"/>
      <c r="CX32" s="697"/>
      <c r="CY32" s="697"/>
      <c r="CZ32" s="697"/>
      <c r="DA32" s="697"/>
      <c r="DB32" s="697"/>
    </row>
    <row r="33" spans="1:106" hidden="1" outlineLevel="1" x14ac:dyDescent="0.2">
      <c r="A33" s="709">
        <f t="shared" si="0"/>
        <v>36708</v>
      </c>
      <c r="B33" s="709" t="str">
        <f t="shared" si="1"/>
        <v>3Q00</v>
      </c>
      <c r="C33" s="709" t="str">
        <f t="shared" si="2"/>
        <v>3Q00</v>
      </c>
      <c r="D33" s="710">
        <f t="shared" si="30"/>
        <v>36781</v>
      </c>
      <c r="E33" s="710">
        <f t="shared" si="30"/>
        <v>36721</v>
      </c>
      <c r="F33" s="712">
        <v>30.44</v>
      </c>
      <c r="G33" s="713">
        <f t="shared" si="3"/>
        <v>1.4900000000000011</v>
      </c>
      <c r="H33" s="713">
        <f t="shared" si="4"/>
        <v>1.4900000000000011</v>
      </c>
      <c r="I33" s="713">
        <f t="shared" si="8"/>
        <v>2.5499999999999985</v>
      </c>
      <c r="J33" s="713">
        <f t="shared" si="6"/>
        <v>2.5999999999999983</v>
      </c>
      <c r="K33" s="713">
        <f t="shared" si="9"/>
        <v>0.29000000000000009</v>
      </c>
      <c r="L33" s="697"/>
      <c r="M33" s="697"/>
      <c r="N33" s="697"/>
      <c r="O33" s="697"/>
      <c r="P33" s="697"/>
      <c r="Q33" s="697"/>
      <c r="R33" s="697"/>
      <c r="S33" s="697"/>
      <c r="T33" s="697"/>
      <c r="U33" s="697"/>
      <c r="V33" s="697"/>
      <c r="W33" s="697"/>
      <c r="X33" s="697"/>
      <c r="Y33" s="697"/>
      <c r="Z33" s="697"/>
      <c r="AA33" s="697"/>
      <c r="AB33" s="697"/>
      <c r="AC33" s="697"/>
      <c r="AD33" s="697"/>
      <c r="AE33" s="697"/>
      <c r="AF33" s="697"/>
      <c r="AG33" s="697"/>
      <c r="AH33" s="697"/>
      <c r="AI33" s="697"/>
      <c r="AJ33" s="697"/>
      <c r="AK33" s="697"/>
      <c r="AL33" s="697"/>
      <c r="AM33" s="697"/>
      <c r="AN33" s="697"/>
      <c r="AO33" s="697"/>
      <c r="AP33" s="697"/>
      <c r="AQ33" s="697"/>
      <c r="AR33" s="697"/>
      <c r="AS33" s="697"/>
      <c r="AT33" s="697"/>
      <c r="AU33" s="697"/>
      <c r="AV33" s="697"/>
      <c r="AW33" s="697"/>
      <c r="AX33" s="697"/>
      <c r="AY33" s="697"/>
      <c r="AZ33" s="697"/>
      <c r="BA33" s="697"/>
      <c r="BB33" s="697"/>
      <c r="BC33" s="697"/>
      <c r="BD33" s="697"/>
      <c r="BE33" s="697"/>
      <c r="BF33" s="697"/>
      <c r="BG33" s="697"/>
      <c r="BH33" s="697"/>
      <c r="BI33" s="697"/>
      <c r="BJ33" s="697"/>
      <c r="BK33" s="697"/>
      <c r="BL33" s="697"/>
      <c r="BM33" s="697"/>
      <c r="BN33" s="697"/>
      <c r="BO33" s="697"/>
      <c r="BP33" s="697"/>
      <c r="BQ33" s="697"/>
      <c r="BR33" s="697"/>
      <c r="BS33" s="697"/>
      <c r="BT33" s="697"/>
      <c r="BU33" s="697"/>
      <c r="BV33" s="697"/>
      <c r="BW33" s="697"/>
      <c r="BX33" s="697"/>
      <c r="BY33" s="697"/>
      <c r="BZ33" s="697"/>
      <c r="CA33" s="697"/>
      <c r="CB33" s="697"/>
      <c r="CC33" s="697"/>
      <c r="CD33" s="697"/>
      <c r="CE33" s="697"/>
      <c r="CF33" s="697"/>
      <c r="CG33" s="697"/>
      <c r="CH33" s="697"/>
      <c r="CI33" s="697"/>
      <c r="CJ33" s="697"/>
      <c r="CK33" s="697"/>
      <c r="CL33" s="697"/>
      <c r="CM33" s="697"/>
      <c r="CN33" s="697"/>
      <c r="CO33" s="697"/>
      <c r="CP33" s="697"/>
      <c r="CQ33" s="697"/>
      <c r="CR33" s="697"/>
      <c r="CS33" s="697"/>
      <c r="CT33" s="697"/>
      <c r="CU33" s="697"/>
      <c r="CV33" s="697"/>
      <c r="CW33" s="697"/>
      <c r="CX33" s="697"/>
      <c r="CY33" s="697"/>
      <c r="CZ33" s="697"/>
      <c r="DA33" s="697"/>
      <c r="DB33" s="697"/>
    </row>
    <row r="34" spans="1:106" hidden="1" outlineLevel="1" x14ac:dyDescent="0.2">
      <c r="A34" s="709">
        <f t="shared" si="0"/>
        <v>36708</v>
      </c>
      <c r="B34" s="709" t="str">
        <f t="shared" si="1"/>
        <v>3Q00</v>
      </c>
      <c r="C34" s="709" t="str">
        <f t="shared" si="2"/>
        <v>3Q00</v>
      </c>
      <c r="D34" s="710">
        <f t="shared" si="30"/>
        <v>36788</v>
      </c>
      <c r="E34" s="710">
        <f t="shared" si="30"/>
        <v>36728</v>
      </c>
      <c r="F34" s="712">
        <v>30.65</v>
      </c>
      <c r="G34" s="713">
        <f t="shared" si="3"/>
        <v>1.4900000000000011</v>
      </c>
      <c r="H34" s="713">
        <f t="shared" si="4"/>
        <v>1.4900000000000011</v>
      </c>
      <c r="I34" s="713">
        <f t="shared" si="8"/>
        <v>2.5999999999999983</v>
      </c>
      <c r="J34" s="713">
        <f t="shared" si="6"/>
        <v>2.6499999999999981</v>
      </c>
      <c r="K34" s="713">
        <f t="shared" si="9"/>
        <v>0.3000000000000001</v>
      </c>
      <c r="L34" s="697"/>
      <c r="M34" s="697"/>
      <c r="N34" s="697"/>
      <c r="O34" s="697"/>
      <c r="P34" s="697"/>
      <c r="Q34" s="697"/>
      <c r="R34" s="697"/>
      <c r="S34" s="697"/>
      <c r="T34" s="697"/>
      <c r="U34" s="697"/>
      <c r="V34" s="697"/>
      <c r="W34" s="697"/>
      <c r="X34" s="697"/>
      <c r="Y34" s="697"/>
      <c r="Z34" s="697"/>
      <c r="AA34" s="697"/>
      <c r="AB34" s="697"/>
      <c r="AC34" s="697"/>
      <c r="AD34" s="697"/>
      <c r="AE34" s="697"/>
      <c r="AF34" s="697"/>
      <c r="AG34" s="697"/>
      <c r="AH34" s="697"/>
      <c r="AI34" s="697"/>
      <c r="AJ34" s="697"/>
      <c r="AK34" s="697"/>
      <c r="AL34" s="697"/>
      <c r="AM34" s="697"/>
      <c r="AN34" s="697"/>
      <c r="AO34" s="697"/>
      <c r="AP34" s="697"/>
      <c r="AQ34" s="697"/>
      <c r="AR34" s="697"/>
      <c r="AS34" s="697"/>
      <c r="AT34" s="697"/>
      <c r="AU34" s="697"/>
      <c r="AV34" s="697"/>
      <c r="AW34" s="697"/>
      <c r="AX34" s="697"/>
      <c r="AY34" s="697"/>
      <c r="AZ34" s="697"/>
      <c r="BA34" s="697"/>
      <c r="BB34" s="697"/>
      <c r="BC34" s="697"/>
      <c r="BD34" s="697"/>
      <c r="BE34" s="697"/>
      <c r="BF34" s="697"/>
      <c r="BG34" s="697"/>
      <c r="BH34" s="697"/>
      <c r="BI34" s="697"/>
      <c r="BJ34" s="697"/>
      <c r="BK34" s="697"/>
      <c r="BL34" s="697"/>
      <c r="BM34" s="697"/>
      <c r="BN34" s="697"/>
      <c r="BO34" s="697"/>
      <c r="BP34" s="697"/>
      <c r="BQ34" s="697"/>
      <c r="BR34" s="697"/>
      <c r="BS34" s="697"/>
      <c r="BT34" s="697"/>
      <c r="BU34" s="697"/>
      <c r="BV34" s="697"/>
      <c r="BW34" s="697"/>
      <c r="BX34" s="697"/>
      <c r="BY34" s="697"/>
      <c r="BZ34" s="697"/>
      <c r="CA34" s="697"/>
      <c r="CB34" s="697"/>
      <c r="CC34" s="697"/>
      <c r="CD34" s="697"/>
      <c r="CE34" s="697"/>
      <c r="CF34" s="697"/>
      <c r="CG34" s="697"/>
      <c r="CH34" s="697"/>
      <c r="CI34" s="697"/>
      <c r="CJ34" s="697"/>
      <c r="CK34" s="697"/>
      <c r="CL34" s="697"/>
      <c r="CM34" s="697"/>
      <c r="CN34" s="697"/>
      <c r="CO34" s="697"/>
      <c r="CP34" s="697"/>
      <c r="CQ34" s="697"/>
      <c r="CR34" s="697"/>
      <c r="CS34" s="697"/>
      <c r="CT34" s="697"/>
      <c r="CU34" s="697"/>
      <c r="CV34" s="697"/>
      <c r="CW34" s="697"/>
      <c r="CX34" s="697"/>
      <c r="CY34" s="697"/>
      <c r="CZ34" s="697"/>
      <c r="DA34" s="697"/>
      <c r="DB34" s="697"/>
    </row>
    <row r="35" spans="1:106" hidden="1" outlineLevel="1" x14ac:dyDescent="0.2">
      <c r="A35" s="709">
        <f t="shared" si="0"/>
        <v>36708</v>
      </c>
      <c r="B35" s="709" t="str">
        <f t="shared" si="1"/>
        <v>3Q00</v>
      </c>
      <c r="C35" s="709" t="str">
        <f t="shared" si="2"/>
        <v>3Q00</v>
      </c>
      <c r="D35" s="710">
        <f t="shared" si="30"/>
        <v>36795</v>
      </c>
      <c r="E35" s="710">
        <f t="shared" si="30"/>
        <v>36735</v>
      </c>
      <c r="F35" s="712">
        <v>28.02</v>
      </c>
      <c r="G35" s="713">
        <f t="shared" si="3"/>
        <v>1.4900000000000011</v>
      </c>
      <c r="H35" s="713">
        <f t="shared" si="4"/>
        <v>1.4900000000000011</v>
      </c>
      <c r="I35" s="713">
        <f t="shared" si="8"/>
        <v>2.6499999999999981</v>
      </c>
      <c r="J35" s="713">
        <f t="shared" si="6"/>
        <v>2.699999999999998</v>
      </c>
      <c r="K35" s="713">
        <f t="shared" si="9"/>
        <v>0.31000000000000011</v>
      </c>
      <c r="L35" s="697"/>
      <c r="M35" s="697"/>
      <c r="N35" s="697"/>
      <c r="O35" s="697"/>
      <c r="P35" s="697"/>
      <c r="Q35" s="697"/>
      <c r="R35" s="697"/>
      <c r="S35" s="697"/>
      <c r="T35" s="697"/>
      <c r="U35" s="697"/>
      <c r="V35" s="697"/>
      <c r="W35" s="697"/>
      <c r="X35" s="697"/>
      <c r="Y35" s="697"/>
      <c r="Z35" s="697"/>
      <c r="AA35" s="697"/>
      <c r="AB35" s="697"/>
      <c r="AC35" s="697"/>
      <c r="AD35" s="697"/>
      <c r="AE35" s="697"/>
      <c r="AF35" s="697"/>
      <c r="AG35" s="697"/>
      <c r="AH35" s="697"/>
      <c r="AI35" s="697"/>
      <c r="AJ35" s="697"/>
      <c r="AK35" s="697"/>
      <c r="AL35" s="697"/>
      <c r="AM35" s="697"/>
      <c r="AN35" s="697"/>
      <c r="AO35" s="697"/>
      <c r="AP35" s="697"/>
      <c r="AQ35" s="697"/>
      <c r="AR35" s="697"/>
      <c r="AS35" s="697"/>
      <c r="AT35" s="697"/>
      <c r="AU35" s="697"/>
      <c r="AV35" s="697"/>
      <c r="AW35" s="697"/>
      <c r="AX35" s="697"/>
      <c r="AY35" s="697"/>
      <c r="AZ35" s="697"/>
      <c r="BA35" s="697"/>
      <c r="BB35" s="697"/>
      <c r="BC35" s="697"/>
      <c r="BD35" s="697"/>
      <c r="BE35" s="697"/>
      <c r="BF35" s="697"/>
      <c r="BG35" s="697"/>
      <c r="BH35" s="697"/>
      <c r="BI35" s="697"/>
      <c r="BJ35" s="697"/>
      <c r="BK35" s="697"/>
      <c r="BL35" s="697"/>
      <c r="BM35" s="697"/>
      <c r="BN35" s="697"/>
      <c r="BO35" s="697"/>
      <c r="BP35" s="697"/>
      <c r="BQ35" s="697"/>
      <c r="BR35" s="697"/>
      <c r="BS35" s="697"/>
      <c r="BT35" s="697"/>
      <c r="BU35" s="697"/>
      <c r="BV35" s="697"/>
      <c r="BW35" s="697"/>
      <c r="BX35" s="697"/>
      <c r="BY35" s="697"/>
      <c r="BZ35" s="697"/>
      <c r="CA35" s="697"/>
      <c r="CB35" s="697"/>
      <c r="CC35" s="697"/>
      <c r="CD35" s="697"/>
      <c r="CE35" s="697"/>
      <c r="CF35" s="697"/>
      <c r="CG35" s="697"/>
      <c r="CH35" s="697"/>
      <c r="CI35" s="697"/>
      <c r="CJ35" s="697"/>
      <c r="CK35" s="697"/>
      <c r="CL35" s="697"/>
      <c r="CM35" s="697"/>
      <c r="CN35" s="697"/>
      <c r="CO35" s="697"/>
      <c r="CP35" s="697"/>
      <c r="CQ35" s="697"/>
      <c r="CR35" s="697"/>
      <c r="CS35" s="697"/>
      <c r="CT35" s="697"/>
      <c r="CU35" s="697"/>
      <c r="CV35" s="697"/>
      <c r="CW35" s="697"/>
      <c r="CX35" s="697"/>
      <c r="CY35" s="697"/>
      <c r="CZ35" s="697"/>
      <c r="DA35" s="697"/>
      <c r="DB35" s="697"/>
    </row>
    <row r="36" spans="1:106" hidden="1" outlineLevel="1" x14ac:dyDescent="0.2">
      <c r="A36" s="709">
        <f t="shared" si="0"/>
        <v>36739</v>
      </c>
      <c r="B36" s="709" t="str">
        <f t="shared" si="1"/>
        <v>3Q00</v>
      </c>
      <c r="C36" s="709" t="str">
        <f t="shared" si="2"/>
        <v>4Q00</v>
      </c>
      <c r="D36" s="710">
        <f t="shared" si="30"/>
        <v>36802</v>
      </c>
      <c r="E36" s="710">
        <f t="shared" si="30"/>
        <v>36742</v>
      </c>
      <c r="F36" s="712">
        <v>28.5</v>
      </c>
      <c r="G36" s="713">
        <f t="shared" si="3"/>
        <v>1.4900000000000011</v>
      </c>
      <c r="H36" s="713">
        <f t="shared" si="4"/>
        <v>1.4900000000000011</v>
      </c>
      <c r="I36" s="713">
        <f t="shared" si="8"/>
        <v>2.699999999999998</v>
      </c>
      <c r="J36" s="713">
        <f t="shared" si="6"/>
        <v>2.7499999999999978</v>
      </c>
      <c r="K36" s="713">
        <f t="shared" si="9"/>
        <v>0.32000000000000012</v>
      </c>
      <c r="L36" s="697"/>
      <c r="M36" s="697"/>
      <c r="N36" s="697"/>
      <c r="O36" s="697"/>
      <c r="P36" s="697"/>
      <c r="Q36" s="697"/>
      <c r="R36" s="697"/>
      <c r="S36" s="697"/>
      <c r="T36" s="697"/>
      <c r="U36" s="697"/>
      <c r="V36" s="697"/>
      <c r="W36" s="697"/>
      <c r="X36" s="697"/>
      <c r="Y36" s="697"/>
      <c r="Z36" s="697"/>
      <c r="AA36" s="697"/>
      <c r="AB36" s="697"/>
      <c r="AC36" s="697"/>
      <c r="AD36" s="697"/>
      <c r="AE36" s="697"/>
      <c r="AF36" s="697"/>
      <c r="AG36" s="697"/>
      <c r="AH36" s="697"/>
      <c r="AI36" s="697"/>
      <c r="AJ36" s="697"/>
      <c r="AK36" s="697"/>
      <c r="AL36" s="697"/>
      <c r="AM36" s="697"/>
      <c r="AN36" s="697"/>
      <c r="AO36" s="697"/>
      <c r="AP36" s="697"/>
      <c r="AQ36" s="697"/>
      <c r="AR36" s="697"/>
      <c r="AS36" s="697"/>
      <c r="AT36" s="697"/>
      <c r="AU36" s="697"/>
      <c r="AV36" s="697"/>
      <c r="AW36" s="697"/>
      <c r="AX36" s="697"/>
      <c r="AY36" s="697"/>
      <c r="AZ36" s="697"/>
      <c r="BA36" s="697"/>
      <c r="BB36" s="697"/>
      <c r="BC36" s="697"/>
      <c r="BD36" s="697"/>
      <c r="BE36" s="697"/>
      <c r="BF36" s="697"/>
      <c r="BG36" s="697"/>
      <c r="BH36" s="697"/>
      <c r="BI36" s="697"/>
      <c r="BJ36" s="697"/>
      <c r="BK36" s="697"/>
      <c r="BL36" s="697"/>
      <c r="BM36" s="697"/>
      <c r="BN36" s="697"/>
      <c r="BO36" s="697"/>
      <c r="BP36" s="697"/>
      <c r="BQ36" s="697"/>
      <c r="BR36" s="697"/>
      <c r="BS36" s="697"/>
      <c r="BT36" s="697"/>
      <c r="BU36" s="697"/>
      <c r="BV36" s="697"/>
      <c r="BW36" s="697"/>
      <c r="BX36" s="697"/>
      <c r="BY36" s="697"/>
      <c r="BZ36" s="697"/>
      <c r="CA36" s="697"/>
      <c r="CB36" s="697"/>
      <c r="CC36" s="697"/>
      <c r="CD36" s="697"/>
      <c r="CE36" s="697"/>
      <c r="CF36" s="697"/>
      <c r="CG36" s="697"/>
      <c r="CH36" s="697"/>
      <c r="CI36" s="697"/>
      <c r="CJ36" s="697"/>
      <c r="CK36" s="697"/>
      <c r="CL36" s="697"/>
      <c r="CM36" s="697"/>
      <c r="CN36" s="697"/>
      <c r="CO36" s="697"/>
      <c r="CP36" s="697"/>
      <c r="CQ36" s="697"/>
      <c r="CR36" s="697"/>
      <c r="CS36" s="697"/>
      <c r="CT36" s="697"/>
      <c r="CU36" s="697"/>
      <c r="CV36" s="697"/>
      <c r="CW36" s="697"/>
      <c r="CX36" s="697"/>
      <c r="CY36" s="697"/>
      <c r="CZ36" s="697"/>
      <c r="DA36" s="697"/>
      <c r="DB36" s="697"/>
    </row>
    <row r="37" spans="1:106" hidden="1" outlineLevel="1" x14ac:dyDescent="0.2">
      <c r="A37" s="709">
        <f t="shared" si="0"/>
        <v>36739</v>
      </c>
      <c r="B37" s="709" t="str">
        <f t="shared" si="1"/>
        <v>3Q00</v>
      </c>
      <c r="C37" s="709" t="str">
        <f t="shared" si="2"/>
        <v>4Q00</v>
      </c>
      <c r="D37" s="710">
        <f t="shared" ref="D37:E52" si="31">D36+7</f>
        <v>36809</v>
      </c>
      <c r="E37" s="710">
        <f t="shared" si="31"/>
        <v>36749</v>
      </c>
      <c r="F37" s="712">
        <v>30.14</v>
      </c>
      <c r="G37" s="713">
        <f t="shared" si="3"/>
        <v>1.4900000000000011</v>
      </c>
      <c r="H37" s="713">
        <f t="shared" si="4"/>
        <v>1.4900000000000011</v>
      </c>
      <c r="I37" s="713">
        <f t="shared" si="8"/>
        <v>2.7499999999999978</v>
      </c>
      <c r="J37" s="713">
        <f t="shared" si="6"/>
        <v>2.7999999999999976</v>
      </c>
      <c r="K37" s="713">
        <f t="shared" si="9"/>
        <v>0.33000000000000013</v>
      </c>
      <c r="L37" s="697"/>
      <c r="M37" s="697"/>
      <c r="N37" s="697"/>
      <c r="O37" s="697"/>
      <c r="P37" s="697"/>
      <c r="Q37" s="697"/>
      <c r="R37" s="697"/>
      <c r="S37" s="697"/>
      <c r="T37" s="697"/>
      <c r="U37" s="697"/>
      <c r="V37" s="697"/>
      <c r="W37" s="697"/>
      <c r="X37" s="697"/>
      <c r="Y37" s="697"/>
      <c r="Z37" s="697"/>
      <c r="AA37" s="697"/>
      <c r="AB37" s="697"/>
      <c r="AC37" s="697"/>
      <c r="AD37" s="697"/>
      <c r="AE37" s="697"/>
      <c r="AF37" s="697"/>
      <c r="AG37" s="697"/>
      <c r="AH37" s="697"/>
      <c r="AI37" s="697"/>
      <c r="AJ37" s="697"/>
      <c r="AK37" s="697"/>
      <c r="AL37" s="697"/>
      <c r="AM37" s="697"/>
      <c r="AN37" s="697"/>
      <c r="AO37" s="697"/>
      <c r="AP37" s="697"/>
      <c r="AQ37" s="697"/>
      <c r="AR37" s="697"/>
      <c r="AS37" s="697"/>
      <c r="AT37" s="697"/>
      <c r="AU37" s="697"/>
      <c r="AV37" s="697"/>
      <c r="AW37" s="697"/>
      <c r="AX37" s="697"/>
      <c r="AY37" s="697"/>
      <c r="AZ37" s="697"/>
      <c r="BA37" s="697"/>
      <c r="BB37" s="697"/>
      <c r="BC37" s="697"/>
      <c r="BD37" s="697"/>
      <c r="BE37" s="697"/>
      <c r="BF37" s="697"/>
      <c r="BG37" s="697"/>
      <c r="BH37" s="697"/>
      <c r="BI37" s="697"/>
      <c r="BJ37" s="697"/>
      <c r="BK37" s="697"/>
      <c r="BL37" s="697"/>
      <c r="BM37" s="697"/>
      <c r="BN37" s="697"/>
      <c r="BO37" s="697"/>
      <c r="BP37" s="697"/>
      <c r="BQ37" s="697"/>
      <c r="BR37" s="697"/>
      <c r="BS37" s="697"/>
      <c r="BT37" s="697"/>
      <c r="BU37" s="697"/>
      <c r="BV37" s="697"/>
      <c r="BW37" s="697"/>
      <c r="BX37" s="697"/>
      <c r="BY37" s="697"/>
      <c r="BZ37" s="697"/>
      <c r="CA37" s="697"/>
      <c r="CB37" s="697"/>
      <c r="CC37" s="697"/>
      <c r="CD37" s="697"/>
      <c r="CE37" s="697"/>
      <c r="CF37" s="697"/>
      <c r="CG37" s="697"/>
      <c r="CH37" s="697"/>
      <c r="CI37" s="697"/>
      <c r="CJ37" s="697"/>
      <c r="CK37" s="697"/>
      <c r="CL37" s="697"/>
      <c r="CM37" s="697"/>
      <c r="CN37" s="697"/>
      <c r="CO37" s="697"/>
      <c r="CP37" s="697"/>
      <c r="CQ37" s="697"/>
      <c r="CR37" s="697"/>
      <c r="CS37" s="697"/>
      <c r="CT37" s="697"/>
      <c r="CU37" s="697"/>
      <c r="CV37" s="697"/>
      <c r="CW37" s="697"/>
      <c r="CX37" s="697"/>
      <c r="CY37" s="697"/>
      <c r="CZ37" s="697"/>
      <c r="DA37" s="697"/>
      <c r="DB37" s="697"/>
    </row>
    <row r="38" spans="1:106" hidden="1" outlineLevel="1" x14ac:dyDescent="0.2">
      <c r="A38" s="709">
        <f t="shared" si="0"/>
        <v>36739</v>
      </c>
      <c r="B38" s="709" t="str">
        <f t="shared" si="1"/>
        <v>3Q00</v>
      </c>
      <c r="C38" s="709" t="str">
        <f t="shared" si="2"/>
        <v>4Q00</v>
      </c>
      <c r="D38" s="710">
        <f t="shared" si="31"/>
        <v>36816</v>
      </c>
      <c r="E38" s="710">
        <f t="shared" si="31"/>
        <v>36756</v>
      </c>
      <c r="F38" s="712">
        <v>31.82</v>
      </c>
      <c r="G38" s="713">
        <f t="shared" si="3"/>
        <v>1.4900000000000011</v>
      </c>
      <c r="H38" s="713">
        <f t="shared" si="4"/>
        <v>1.4900000000000011</v>
      </c>
      <c r="I38" s="713">
        <f t="shared" si="8"/>
        <v>2.7999999999999976</v>
      </c>
      <c r="J38" s="713">
        <f t="shared" si="6"/>
        <v>2.8499999999999974</v>
      </c>
      <c r="K38" s="713">
        <f t="shared" si="9"/>
        <v>0.34000000000000014</v>
      </c>
      <c r="L38" s="697"/>
      <c r="M38" s="697"/>
      <c r="N38" s="697"/>
      <c r="O38" s="697"/>
      <c r="P38" s="697"/>
      <c r="Q38" s="697"/>
      <c r="R38" s="697"/>
      <c r="S38" s="697"/>
      <c r="T38" s="697"/>
      <c r="U38" s="697"/>
      <c r="V38" s="697"/>
      <c r="W38" s="697"/>
      <c r="X38" s="697"/>
      <c r="Y38" s="697"/>
      <c r="Z38" s="697"/>
      <c r="AA38" s="697"/>
      <c r="AB38" s="697"/>
      <c r="AC38" s="697"/>
      <c r="AD38" s="697"/>
      <c r="AE38" s="697"/>
      <c r="AF38" s="697"/>
      <c r="AG38" s="697"/>
      <c r="AH38" s="697"/>
      <c r="AI38" s="697"/>
      <c r="AJ38" s="697"/>
      <c r="AK38" s="697"/>
      <c r="AL38" s="697"/>
      <c r="AM38" s="697"/>
      <c r="AN38" s="697"/>
      <c r="AO38" s="697"/>
      <c r="AP38" s="697"/>
      <c r="AQ38" s="697"/>
      <c r="AR38" s="697"/>
      <c r="AS38" s="697"/>
      <c r="AT38" s="697"/>
      <c r="AU38" s="697"/>
      <c r="AV38" s="697"/>
      <c r="AW38" s="697"/>
      <c r="AX38" s="697"/>
      <c r="AY38" s="697"/>
      <c r="AZ38" s="697"/>
      <c r="BA38" s="697"/>
      <c r="BB38" s="697"/>
      <c r="BC38" s="697"/>
      <c r="BD38" s="697"/>
      <c r="BE38" s="697"/>
      <c r="BF38" s="697"/>
      <c r="BG38" s="697"/>
      <c r="BH38" s="697"/>
      <c r="BI38" s="697"/>
      <c r="BJ38" s="697"/>
      <c r="BK38" s="697"/>
      <c r="BL38" s="697"/>
      <c r="BM38" s="697"/>
      <c r="BN38" s="697"/>
      <c r="BO38" s="697"/>
      <c r="BP38" s="697"/>
      <c r="BQ38" s="697"/>
      <c r="BR38" s="697"/>
      <c r="BS38" s="697"/>
      <c r="BT38" s="697"/>
      <c r="BU38" s="697"/>
      <c r="BV38" s="697"/>
      <c r="BW38" s="697"/>
      <c r="BX38" s="697"/>
      <c r="BY38" s="697"/>
      <c r="BZ38" s="697"/>
      <c r="CA38" s="697"/>
      <c r="CB38" s="697"/>
      <c r="CC38" s="697"/>
      <c r="CD38" s="697"/>
      <c r="CE38" s="697"/>
      <c r="CF38" s="697"/>
      <c r="CG38" s="697"/>
      <c r="CH38" s="697"/>
      <c r="CI38" s="697"/>
      <c r="CJ38" s="697"/>
      <c r="CK38" s="697"/>
      <c r="CL38" s="697"/>
      <c r="CM38" s="697"/>
      <c r="CN38" s="697"/>
      <c r="CO38" s="697"/>
      <c r="CP38" s="697"/>
      <c r="CQ38" s="697"/>
      <c r="CR38" s="697"/>
      <c r="CS38" s="697"/>
      <c r="CT38" s="697"/>
      <c r="CU38" s="697"/>
      <c r="CV38" s="697"/>
      <c r="CW38" s="697"/>
      <c r="CX38" s="697"/>
      <c r="CY38" s="697"/>
      <c r="CZ38" s="697"/>
      <c r="DA38" s="697"/>
      <c r="DB38" s="697"/>
    </row>
    <row r="39" spans="1:106" hidden="1" outlineLevel="1" x14ac:dyDescent="0.2">
      <c r="A39" s="709">
        <f t="shared" si="0"/>
        <v>36739</v>
      </c>
      <c r="B39" s="709" t="str">
        <f t="shared" si="1"/>
        <v>3Q00</v>
      </c>
      <c r="C39" s="709" t="str">
        <f t="shared" si="2"/>
        <v>4Q00</v>
      </c>
      <c r="D39" s="710">
        <f t="shared" si="31"/>
        <v>36823</v>
      </c>
      <c r="E39" s="710">
        <f t="shared" si="31"/>
        <v>36763</v>
      </c>
      <c r="F39" s="712">
        <v>32.46</v>
      </c>
      <c r="G39" s="713">
        <f t="shared" si="3"/>
        <v>1.4900000000000011</v>
      </c>
      <c r="H39" s="713">
        <f t="shared" si="4"/>
        <v>1.4900000000000011</v>
      </c>
      <c r="I39" s="713">
        <f t="shared" si="8"/>
        <v>2.8499999999999974</v>
      </c>
      <c r="J39" s="713">
        <f t="shared" si="6"/>
        <v>2.8999999999999972</v>
      </c>
      <c r="K39" s="713">
        <f t="shared" si="9"/>
        <v>0.35000000000000014</v>
      </c>
      <c r="L39" s="697"/>
      <c r="M39" s="697"/>
      <c r="N39" s="697"/>
      <c r="O39" s="697"/>
      <c r="P39" s="697"/>
      <c r="Q39" s="697"/>
      <c r="R39" s="697"/>
      <c r="S39" s="697"/>
      <c r="T39" s="697"/>
      <c r="U39" s="697"/>
      <c r="V39" s="697"/>
      <c r="W39" s="697"/>
      <c r="X39" s="697"/>
      <c r="Y39" s="697"/>
      <c r="Z39" s="697"/>
      <c r="AA39" s="697"/>
      <c r="AB39" s="697"/>
      <c r="AC39" s="697"/>
      <c r="AD39" s="697"/>
      <c r="AE39" s="697"/>
      <c r="AF39" s="697"/>
      <c r="AG39" s="697"/>
      <c r="AH39" s="697"/>
      <c r="AI39" s="697"/>
      <c r="AJ39" s="697"/>
      <c r="AK39" s="697"/>
      <c r="AL39" s="697"/>
      <c r="AM39" s="697"/>
      <c r="AN39" s="697"/>
      <c r="AO39" s="697"/>
      <c r="AP39" s="697"/>
      <c r="AQ39" s="697"/>
      <c r="AR39" s="697"/>
      <c r="AS39" s="697"/>
      <c r="AT39" s="697"/>
      <c r="AU39" s="697"/>
      <c r="AV39" s="697"/>
      <c r="AW39" s="697"/>
      <c r="AX39" s="697"/>
      <c r="AY39" s="697"/>
      <c r="AZ39" s="697"/>
      <c r="BA39" s="697"/>
      <c r="BB39" s="697"/>
      <c r="BC39" s="697"/>
      <c r="BD39" s="697"/>
      <c r="BE39" s="697"/>
      <c r="BF39" s="697"/>
      <c r="BG39" s="697"/>
      <c r="BH39" s="697"/>
      <c r="BI39" s="697"/>
      <c r="BJ39" s="697"/>
      <c r="BK39" s="697"/>
      <c r="BL39" s="697"/>
      <c r="BM39" s="697"/>
      <c r="BN39" s="697"/>
      <c r="BO39" s="697"/>
      <c r="BP39" s="697"/>
      <c r="BQ39" s="697"/>
      <c r="BR39" s="697"/>
      <c r="BS39" s="697"/>
      <c r="BT39" s="697"/>
      <c r="BU39" s="697"/>
      <c r="BV39" s="697"/>
      <c r="BW39" s="697"/>
      <c r="BX39" s="697"/>
      <c r="BY39" s="697"/>
      <c r="BZ39" s="697"/>
      <c r="CA39" s="697"/>
      <c r="CB39" s="697"/>
      <c r="CC39" s="697"/>
      <c r="CD39" s="697"/>
      <c r="CE39" s="697"/>
      <c r="CF39" s="697"/>
      <c r="CG39" s="697"/>
      <c r="CH39" s="697"/>
      <c r="CI39" s="697"/>
      <c r="CJ39" s="697"/>
      <c r="CK39" s="697"/>
      <c r="CL39" s="697"/>
      <c r="CM39" s="697"/>
      <c r="CN39" s="697"/>
      <c r="CO39" s="697"/>
      <c r="CP39" s="697"/>
      <c r="CQ39" s="697"/>
      <c r="CR39" s="697"/>
      <c r="CS39" s="697"/>
      <c r="CT39" s="697"/>
      <c r="CU39" s="697"/>
      <c r="CV39" s="697"/>
      <c r="CW39" s="697"/>
      <c r="CX39" s="697"/>
      <c r="CY39" s="697"/>
      <c r="CZ39" s="697"/>
      <c r="DA39" s="697"/>
      <c r="DB39" s="697"/>
    </row>
    <row r="40" spans="1:106" hidden="1" outlineLevel="1" x14ac:dyDescent="0.2">
      <c r="A40" s="709">
        <f t="shared" si="0"/>
        <v>36770</v>
      </c>
      <c r="B40" s="709" t="str">
        <f t="shared" si="1"/>
        <v>3Q00</v>
      </c>
      <c r="C40" s="709" t="str">
        <f t="shared" si="2"/>
        <v>4Q00</v>
      </c>
      <c r="D40" s="710">
        <f t="shared" si="31"/>
        <v>36830</v>
      </c>
      <c r="E40" s="710">
        <f t="shared" si="31"/>
        <v>36770</v>
      </c>
      <c r="F40" s="712">
        <v>33.08</v>
      </c>
      <c r="G40" s="713">
        <f t="shared" si="3"/>
        <v>1.4900000000000011</v>
      </c>
      <c r="H40" s="713">
        <f t="shared" si="4"/>
        <v>1.4900000000000011</v>
      </c>
      <c r="I40" s="713">
        <f t="shared" si="8"/>
        <v>2.8999999999999972</v>
      </c>
      <c r="J40" s="713">
        <f t="shared" si="6"/>
        <v>2.9499999999999971</v>
      </c>
      <c r="K40" s="713">
        <f t="shared" si="9"/>
        <v>0.36000000000000015</v>
      </c>
      <c r="L40" s="697"/>
      <c r="M40" s="697"/>
      <c r="N40" s="697"/>
      <c r="O40" s="697"/>
      <c r="P40" s="697"/>
      <c r="Q40" s="697"/>
      <c r="R40" s="697"/>
      <c r="S40" s="697"/>
      <c r="T40" s="697"/>
      <c r="U40" s="697"/>
      <c r="V40" s="697"/>
      <c r="W40" s="697"/>
      <c r="X40" s="697"/>
      <c r="Y40" s="697"/>
      <c r="Z40" s="697"/>
      <c r="AA40" s="697"/>
      <c r="AB40" s="697"/>
      <c r="AC40" s="697"/>
      <c r="AD40" s="697"/>
      <c r="AE40" s="697"/>
      <c r="AF40" s="697"/>
      <c r="AG40" s="697"/>
      <c r="AH40" s="697"/>
      <c r="AI40" s="697"/>
      <c r="AJ40" s="697"/>
      <c r="AK40" s="697"/>
      <c r="AL40" s="697"/>
      <c r="AM40" s="697"/>
      <c r="AN40" s="697"/>
      <c r="AO40" s="697"/>
      <c r="AP40" s="697"/>
      <c r="AQ40" s="697"/>
      <c r="AR40" s="697"/>
      <c r="AS40" s="697"/>
      <c r="AT40" s="697"/>
      <c r="AU40" s="697"/>
      <c r="AV40" s="697"/>
      <c r="AW40" s="697"/>
      <c r="AX40" s="697"/>
      <c r="AY40" s="697"/>
      <c r="AZ40" s="697"/>
      <c r="BA40" s="697"/>
      <c r="BB40" s="697"/>
      <c r="BC40" s="697"/>
      <c r="BD40" s="697"/>
      <c r="BE40" s="697"/>
      <c r="BF40" s="697"/>
      <c r="BG40" s="697"/>
      <c r="BH40" s="697"/>
      <c r="BI40" s="697"/>
      <c r="BJ40" s="697"/>
      <c r="BK40" s="697"/>
      <c r="BL40" s="697"/>
      <c r="BM40" s="697"/>
      <c r="BN40" s="697"/>
      <c r="BO40" s="697"/>
      <c r="BP40" s="697"/>
      <c r="BQ40" s="697"/>
      <c r="BR40" s="697"/>
      <c r="BS40" s="697"/>
      <c r="BT40" s="697"/>
      <c r="BU40" s="697"/>
      <c r="BV40" s="697"/>
      <c r="BW40" s="697"/>
      <c r="BX40" s="697"/>
      <c r="BY40" s="697"/>
      <c r="BZ40" s="697"/>
      <c r="CA40" s="697"/>
      <c r="CB40" s="697"/>
      <c r="CC40" s="697"/>
      <c r="CD40" s="697"/>
      <c r="CE40" s="697"/>
      <c r="CF40" s="697"/>
      <c r="CG40" s="697"/>
      <c r="CH40" s="697"/>
      <c r="CI40" s="697"/>
      <c r="CJ40" s="697"/>
      <c r="CK40" s="697"/>
      <c r="CL40" s="697"/>
      <c r="CM40" s="697"/>
      <c r="CN40" s="697"/>
      <c r="CO40" s="697"/>
      <c r="CP40" s="697"/>
      <c r="CQ40" s="697"/>
      <c r="CR40" s="697"/>
      <c r="CS40" s="697"/>
      <c r="CT40" s="697"/>
      <c r="CU40" s="697"/>
      <c r="CV40" s="697"/>
      <c r="CW40" s="697"/>
      <c r="CX40" s="697"/>
      <c r="CY40" s="697"/>
      <c r="CZ40" s="697"/>
      <c r="DA40" s="697"/>
      <c r="DB40" s="697"/>
    </row>
    <row r="41" spans="1:106" hidden="1" outlineLevel="1" x14ac:dyDescent="0.2">
      <c r="A41" s="709">
        <f t="shared" si="0"/>
        <v>36770</v>
      </c>
      <c r="B41" s="709" t="str">
        <f t="shared" si="1"/>
        <v>3Q00</v>
      </c>
      <c r="C41" s="709" t="str">
        <f t="shared" si="2"/>
        <v>4Q00</v>
      </c>
      <c r="D41" s="710">
        <f t="shared" si="31"/>
        <v>36837</v>
      </c>
      <c r="E41" s="710">
        <f t="shared" si="31"/>
        <v>36777</v>
      </c>
      <c r="F41" s="712">
        <v>34.42</v>
      </c>
      <c r="G41" s="713">
        <f t="shared" si="3"/>
        <v>1.4900000000000011</v>
      </c>
      <c r="H41" s="713">
        <f t="shared" si="4"/>
        <v>1.4900000000000011</v>
      </c>
      <c r="I41" s="713">
        <f t="shared" si="8"/>
        <v>2.9499999999999971</v>
      </c>
      <c r="J41" s="713">
        <f t="shared" si="6"/>
        <v>2.9999999999999969</v>
      </c>
      <c r="K41" s="713">
        <f t="shared" si="9"/>
        <v>0.37000000000000016</v>
      </c>
      <c r="L41" s="697"/>
      <c r="M41" s="697"/>
      <c r="N41" s="697"/>
      <c r="O41" s="697"/>
      <c r="P41" s="697"/>
      <c r="Q41" s="697"/>
      <c r="R41" s="697"/>
      <c r="S41" s="697"/>
      <c r="T41" s="697"/>
      <c r="U41" s="697"/>
      <c r="V41" s="697"/>
      <c r="W41" s="697"/>
      <c r="X41" s="697"/>
      <c r="Y41" s="697"/>
      <c r="Z41" s="697"/>
      <c r="AA41" s="697"/>
      <c r="AB41" s="697"/>
      <c r="AC41" s="697"/>
      <c r="AD41" s="697"/>
      <c r="AE41" s="697"/>
      <c r="AF41" s="697"/>
      <c r="AG41" s="697"/>
      <c r="AH41" s="697"/>
      <c r="AI41" s="697"/>
      <c r="AJ41" s="697"/>
      <c r="AK41" s="697"/>
      <c r="AL41" s="697"/>
      <c r="AM41" s="697"/>
      <c r="AN41" s="697"/>
      <c r="AO41" s="697"/>
      <c r="AP41" s="697"/>
      <c r="AQ41" s="697"/>
      <c r="AR41" s="697"/>
      <c r="AS41" s="697"/>
      <c r="AT41" s="697"/>
      <c r="AU41" s="697"/>
      <c r="AV41" s="697"/>
      <c r="AW41" s="697"/>
      <c r="AX41" s="697"/>
      <c r="AY41" s="697"/>
      <c r="AZ41" s="697"/>
      <c r="BA41" s="697"/>
      <c r="BB41" s="697"/>
      <c r="BC41" s="697"/>
      <c r="BD41" s="697"/>
      <c r="BE41" s="697"/>
      <c r="BF41" s="697"/>
      <c r="BG41" s="697"/>
      <c r="BH41" s="697"/>
      <c r="BI41" s="697"/>
      <c r="BJ41" s="697"/>
      <c r="BK41" s="697"/>
      <c r="BL41" s="697"/>
      <c r="BM41" s="697"/>
      <c r="BN41" s="697"/>
      <c r="BO41" s="697"/>
      <c r="BP41" s="697"/>
      <c r="BQ41" s="697"/>
      <c r="BR41" s="697"/>
      <c r="BS41" s="697"/>
      <c r="BT41" s="697"/>
      <c r="BU41" s="697"/>
      <c r="BV41" s="697"/>
      <c r="BW41" s="697"/>
      <c r="BX41" s="697"/>
      <c r="BY41" s="697"/>
      <c r="BZ41" s="697"/>
      <c r="CA41" s="697"/>
      <c r="CB41" s="697"/>
      <c r="CC41" s="697"/>
      <c r="CD41" s="697"/>
      <c r="CE41" s="697"/>
      <c r="CF41" s="697"/>
      <c r="CG41" s="697"/>
      <c r="CH41" s="697"/>
      <c r="CI41" s="697"/>
      <c r="CJ41" s="697"/>
      <c r="CK41" s="697"/>
      <c r="CL41" s="697"/>
      <c r="CM41" s="697"/>
      <c r="CN41" s="697"/>
      <c r="CO41" s="697"/>
      <c r="CP41" s="697"/>
      <c r="CQ41" s="697"/>
      <c r="CR41" s="697"/>
      <c r="CS41" s="697"/>
      <c r="CT41" s="697"/>
      <c r="CU41" s="697"/>
      <c r="CV41" s="697"/>
      <c r="CW41" s="697"/>
      <c r="CX41" s="697"/>
      <c r="CY41" s="697"/>
      <c r="CZ41" s="697"/>
      <c r="DA41" s="697"/>
      <c r="DB41" s="697"/>
    </row>
    <row r="42" spans="1:106" hidden="1" outlineLevel="1" x14ac:dyDescent="0.2">
      <c r="A42" s="709">
        <f t="shared" si="0"/>
        <v>36770</v>
      </c>
      <c r="B42" s="709" t="str">
        <f t="shared" si="1"/>
        <v>3Q00</v>
      </c>
      <c r="C42" s="709" t="str">
        <f t="shared" si="2"/>
        <v>4Q00</v>
      </c>
      <c r="D42" s="710">
        <f t="shared" si="31"/>
        <v>36844</v>
      </c>
      <c r="E42" s="710">
        <f t="shared" si="31"/>
        <v>36784</v>
      </c>
      <c r="F42" s="712">
        <v>34.700000000000003</v>
      </c>
      <c r="G42" s="713">
        <f t="shared" si="3"/>
        <v>1.4900000000000011</v>
      </c>
      <c r="H42" s="713">
        <f t="shared" si="4"/>
        <v>1.4900000000000011</v>
      </c>
      <c r="I42" s="713">
        <f t="shared" si="8"/>
        <v>2.9999999999999969</v>
      </c>
      <c r="J42" s="713">
        <f t="shared" si="6"/>
        <v>3.0499999999999967</v>
      </c>
      <c r="K42" s="713">
        <f t="shared" si="9"/>
        <v>0.38000000000000017</v>
      </c>
      <c r="L42" s="697"/>
      <c r="M42" s="697"/>
      <c r="N42" s="697"/>
      <c r="O42" s="697"/>
      <c r="P42" s="697"/>
      <c r="Q42" s="697"/>
      <c r="R42" s="697"/>
      <c r="S42" s="697"/>
      <c r="T42" s="697"/>
      <c r="U42" s="697"/>
      <c r="V42" s="697"/>
      <c r="W42" s="697"/>
      <c r="X42" s="697"/>
      <c r="Y42" s="697"/>
      <c r="Z42" s="697"/>
      <c r="AA42" s="697"/>
      <c r="AB42" s="697"/>
      <c r="AC42" s="697"/>
      <c r="AD42" s="697"/>
      <c r="AE42" s="697"/>
      <c r="AF42" s="697"/>
      <c r="AG42" s="697"/>
      <c r="AH42" s="697"/>
      <c r="AI42" s="697"/>
      <c r="AJ42" s="697"/>
      <c r="AK42" s="697"/>
      <c r="AL42" s="697"/>
      <c r="AM42" s="697"/>
      <c r="AN42" s="697"/>
      <c r="AO42" s="697"/>
      <c r="AP42" s="697"/>
      <c r="AQ42" s="697"/>
      <c r="AR42" s="697"/>
      <c r="AS42" s="697"/>
      <c r="AT42" s="697"/>
      <c r="AU42" s="697"/>
      <c r="AV42" s="697"/>
      <c r="AW42" s="697"/>
      <c r="AX42" s="697"/>
      <c r="AY42" s="697"/>
      <c r="AZ42" s="697"/>
      <c r="BA42" s="697"/>
      <c r="BB42" s="697"/>
      <c r="BC42" s="697"/>
      <c r="BD42" s="697"/>
      <c r="BE42" s="697"/>
      <c r="BF42" s="697"/>
      <c r="BG42" s="697"/>
      <c r="BH42" s="697"/>
      <c r="BI42" s="697"/>
      <c r="BJ42" s="697"/>
      <c r="BK42" s="697"/>
      <c r="BL42" s="697"/>
      <c r="BM42" s="697"/>
      <c r="BN42" s="697"/>
      <c r="BO42" s="697"/>
      <c r="BP42" s="697"/>
      <c r="BQ42" s="697"/>
      <c r="BR42" s="697"/>
      <c r="BS42" s="697"/>
      <c r="BT42" s="697"/>
      <c r="BU42" s="697"/>
      <c r="BV42" s="697"/>
      <c r="BW42" s="697"/>
      <c r="BX42" s="697"/>
      <c r="BY42" s="697"/>
      <c r="BZ42" s="697"/>
      <c r="CA42" s="697"/>
      <c r="CB42" s="697"/>
      <c r="CC42" s="697"/>
      <c r="CD42" s="697"/>
      <c r="CE42" s="697"/>
      <c r="CF42" s="697"/>
      <c r="CG42" s="697"/>
      <c r="CH42" s="697"/>
      <c r="CI42" s="697"/>
      <c r="CJ42" s="697"/>
      <c r="CK42" s="697"/>
      <c r="CL42" s="697"/>
      <c r="CM42" s="697"/>
      <c r="CN42" s="697"/>
      <c r="CO42" s="697"/>
      <c r="CP42" s="697"/>
      <c r="CQ42" s="697"/>
      <c r="CR42" s="697"/>
      <c r="CS42" s="697"/>
      <c r="CT42" s="697"/>
      <c r="CU42" s="697"/>
      <c r="CV42" s="697"/>
      <c r="CW42" s="697"/>
      <c r="CX42" s="697"/>
      <c r="CY42" s="697"/>
      <c r="CZ42" s="697"/>
      <c r="DA42" s="697"/>
      <c r="DB42" s="697"/>
    </row>
    <row r="43" spans="1:106" hidden="1" outlineLevel="1" x14ac:dyDescent="0.2">
      <c r="A43" s="709">
        <f t="shared" si="0"/>
        <v>36770</v>
      </c>
      <c r="B43" s="709" t="str">
        <f t="shared" si="1"/>
        <v>3Q00</v>
      </c>
      <c r="C43" s="709" t="str">
        <f t="shared" si="2"/>
        <v>4Q00</v>
      </c>
      <c r="D43" s="710">
        <f t="shared" si="31"/>
        <v>36851</v>
      </c>
      <c r="E43" s="710">
        <f t="shared" si="31"/>
        <v>36791</v>
      </c>
      <c r="F43" s="712">
        <v>35.49</v>
      </c>
      <c r="G43" s="713">
        <f t="shared" si="3"/>
        <v>1.4900000000000011</v>
      </c>
      <c r="H43" s="713">
        <f t="shared" si="4"/>
        <v>1.4900000000000011</v>
      </c>
      <c r="I43" s="713">
        <f t="shared" si="8"/>
        <v>3.0499999999999967</v>
      </c>
      <c r="J43" s="713">
        <f t="shared" si="6"/>
        <v>3.0999999999999965</v>
      </c>
      <c r="K43" s="713">
        <f t="shared" si="9"/>
        <v>0.39000000000000018</v>
      </c>
      <c r="L43" s="697"/>
      <c r="M43" s="697"/>
      <c r="N43" s="697"/>
      <c r="O43" s="697"/>
      <c r="P43" s="697"/>
      <c r="Q43" s="697"/>
      <c r="R43" s="697"/>
      <c r="S43" s="697"/>
      <c r="T43" s="697"/>
      <c r="U43" s="697"/>
      <c r="V43" s="697"/>
      <c r="W43" s="697"/>
      <c r="X43" s="697"/>
      <c r="Y43" s="697"/>
      <c r="Z43" s="697"/>
      <c r="AA43" s="697"/>
      <c r="AB43" s="697"/>
      <c r="AC43" s="697"/>
      <c r="AD43" s="697"/>
      <c r="AE43" s="697"/>
      <c r="AF43" s="697"/>
      <c r="AG43" s="697"/>
      <c r="AH43" s="697"/>
      <c r="AI43" s="697"/>
      <c r="AJ43" s="697"/>
      <c r="AK43" s="697"/>
      <c r="AL43" s="697"/>
      <c r="AM43" s="697"/>
      <c r="AN43" s="697"/>
      <c r="AO43" s="697"/>
      <c r="AP43" s="697"/>
      <c r="AQ43" s="697"/>
      <c r="AR43" s="697"/>
      <c r="AS43" s="697"/>
      <c r="AT43" s="697"/>
      <c r="AU43" s="697"/>
      <c r="AV43" s="697"/>
      <c r="AW43" s="697"/>
      <c r="AX43" s="697"/>
      <c r="AY43" s="697"/>
      <c r="AZ43" s="697"/>
      <c r="BA43" s="697"/>
      <c r="BB43" s="697"/>
      <c r="BC43" s="697"/>
      <c r="BD43" s="697"/>
      <c r="BE43" s="697"/>
      <c r="BF43" s="697"/>
      <c r="BG43" s="697"/>
      <c r="BH43" s="697"/>
      <c r="BI43" s="697"/>
      <c r="BJ43" s="697"/>
      <c r="BK43" s="697"/>
      <c r="BL43" s="697"/>
      <c r="BM43" s="697"/>
      <c r="BN43" s="697"/>
      <c r="BO43" s="697"/>
      <c r="BP43" s="697"/>
      <c r="BQ43" s="697"/>
      <c r="BR43" s="697"/>
      <c r="BS43" s="697"/>
      <c r="BT43" s="697"/>
      <c r="BU43" s="697"/>
      <c r="BV43" s="697"/>
      <c r="BW43" s="697"/>
      <c r="BX43" s="697"/>
      <c r="BY43" s="697"/>
      <c r="BZ43" s="697"/>
      <c r="CA43" s="697"/>
      <c r="CB43" s="697"/>
      <c r="CC43" s="697"/>
      <c r="CD43" s="697"/>
      <c r="CE43" s="697"/>
      <c r="CF43" s="697"/>
      <c r="CG43" s="697"/>
      <c r="CH43" s="697"/>
      <c r="CI43" s="697"/>
      <c r="CJ43" s="697"/>
      <c r="CK43" s="697"/>
      <c r="CL43" s="697"/>
      <c r="CM43" s="697"/>
      <c r="CN43" s="697"/>
      <c r="CO43" s="697"/>
      <c r="CP43" s="697"/>
      <c r="CQ43" s="697"/>
      <c r="CR43" s="697"/>
      <c r="CS43" s="697"/>
      <c r="CT43" s="697"/>
      <c r="CU43" s="697"/>
      <c r="CV43" s="697"/>
      <c r="CW43" s="697"/>
      <c r="CX43" s="697"/>
      <c r="CY43" s="697"/>
      <c r="CZ43" s="697"/>
      <c r="DA43" s="697"/>
      <c r="DB43" s="697"/>
    </row>
    <row r="44" spans="1:106" hidden="1" outlineLevel="1" x14ac:dyDescent="0.2">
      <c r="A44" s="709">
        <f t="shared" si="0"/>
        <v>36770</v>
      </c>
      <c r="B44" s="709" t="str">
        <f t="shared" si="1"/>
        <v>3Q00</v>
      </c>
      <c r="C44" s="709" t="str">
        <f t="shared" si="2"/>
        <v>4Q00</v>
      </c>
      <c r="D44" s="710">
        <f t="shared" si="31"/>
        <v>36858</v>
      </c>
      <c r="E44" s="710">
        <f t="shared" si="31"/>
        <v>36798</v>
      </c>
      <c r="F44" s="712">
        <v>31.13</v>
      </c>
      <c r="G44" s="713">
        <f t="shared" si="3"/>
        <v>1.4900000000000011</v>
      </c>
      <c r="H44" s="713">
        <f t="shared" si="4"/>
        <v>1.4900000000000011</v>
      </c>
      <c r="I44" s="713">
        <f t="shared" si="8"/>
        <v>3.0999999999999965</v>
      </c>
      <c r="J44" s="713">
        <f t="shared" si="6"/>
        <v>3.1499999999999964</v>
      </c>
      <c r="K44" s="713">
        <f t="shared" si="9"/>
        <v>0.40000000000000019</v>
      </c>
      <c r="L44" s="697"/>
      <c r="M44" s="697"/>
      <c r="N44" s="697"/>
      <c r="O44" s="697"/>
      <c r="P44" s="697"/>
      <c r="Q44" s="697"/>
      <c r="R44" s="697"/>
      <c r="S44" s="697"/>
      <c r="T44" s="697"/>
      <c r="U44" s="697"/>
      <c r="V44" s="697"/>
      <c r="W44" s="697"/>
      <c r="X44" s="697"/>
      <c r="Y44" s="697"/>
      <c r="Z44" s="697"/>
      <c r="AA44" s="697"/>
      <c r="AB44" s="697"/>
      <c r="AC44" s="697"/>
      <c r="AD44" s="697"/>
      <c r="AE44" s="697"/>
      <c r="AF44" s="697"/>
      <c r="AG44" s="697"/>
      <c r="AH44" s="697"/>
      <c r="AI44" s="697"/>
      <c r="AJ44" s="697"/>
      <c r="AK44" s="697"/>
      <c r="AL44" s="697"/>
      <c r="AM44" s="697"/>
      <c r="AN44" s="697"/>
      <c r="AO44" s="697"/>
      <c r="AP44" s="697"/>
      <c r="AQ44" s="697"/>
      <c r="AR44" s="697"/>
      <c r="AS44" s="697"/>
      <c r="AT44" s="697"/>
      <c r="AU44" s="697"/>
      <c r="AV44" s="697"/>
      <c r="AW44" s="697"/>
      <c r="AX44" s="697"/>
      <c r="AY44" s="697"/>
      <c r="AZ44" s="697"/>
      <c r="BA44" s="697"/>
      <c r="BB44" s="697"/>
      <c r="BC44" s="697"/>
      <c r="BD44" s="697"/>
      <c r="BE44" s="697"/>
      <c r="BF44" s="697"/>
      <c r="BG44" s="697"/>
      <c r="BH44" s="697"/>
      <c r="BI44" s="697"/>
      <c r="BJ44" s="697"/>
      <c r="BK44" s="697"/>
      <c r="BL44" s="697"/>
      <c r="BM44" s="697"/>
      <c r="BN44" s="697"/>
      <c r="BO44" s="697"/>
      <c r="BP44" s="697"/>
      <c r="BQ44" s="697"/>
      <c r="BR44" s="697"/>
      <c r="BS44" s="697"/>
      <c r="BT44" s="697"/>
      <c r="BU44" s="697"/>
      <c r="BV44" s="697"/>
      <c r="BW44" s="697"/>
      <c r="BX44" s="697"/>
      <c r="BY44" s="697"/>
      <c r="BZ44" s="697"/>
      <c r="CA44" s="697"/>
      <c r="CB44" s="697"/>
      <c r="CC44" s="697"/>
      <c r="CD44" s="697"/>
      <c r="CE44" s="697"/>
      <c r="CF44" s="697"/>
      <c r="CG44" s="697"/>
      <c r="CH44" s="697"/>
      <c r="CI44" s="697"/>
      <c r="CJ44" s="697"/>
      <c r="CK44" s="697"/>
      <c r="CL44" s="697"/>
      <c r="CM44" s="697"/>
      <c r="CN44" s="697"/>
      <c r="CO44" s="697"/>
      <c r="CP44" s="697"/>
      <c r="CQ44" s="697"/>
      <c r="CR44" s="697"/>
      <c r="CS44" s="697"/>
      <c r="CT44" s="697"/>
      <c r="CU44" s="697"/>
      <c r="CV44" s="697"/>
      <c r="CW44" s="697"/>
      <c r="CX44" s="697"/>
      <c r="CY44" s="697"/>
      <c r="CZ44" s="697"/>
      <c r="DA44" s="697"/>
      <c r="DB44" s="697"/>
    </row>
    <row r="45" spans="1:106" hidden="1" outlineLevel="1" x14ac:dyDescent="0.2">
      <c r="A45" s="709">
        <f t="shared" si="0"/>
        <v>36800</v>
      </c>
      <c r="B45" s="709" t="str">
        <f t="shared" si="1"/>
        <v>4Q00</v>
      </c>
      <c r="C45" s="709" t="str">
        <f t="shared" si="2"/>
        <v>4Q00</v>
      </c>
      <c r="D45" s="710">
        <f t="shared" si="31"/>
        <v>36865</v>
      </c>
      <c r="E45" s="710">
        <f t="shared" si="31"/>
        <v>36805</v>
      </c>
      <c r="F45" s="712">
        <v>31.27</v>
      </c>
      <c r="G45" s="713">
        <f t="shared" si="3"/>
        <v>1.4900000000000011</v>
      </c>
      <c r="H45" s="713">
        <f t="shared" si="4"/>
        <v>1.4900000000000011</v>
      </c>
      <c r="I45" s="713">
        <f t="shared" si="8"/>
        <v>3.1499999999999964</v>
      </c>
      <c r="J45" s="713">
        <f t="shared" si="6"/>
        <v>3.1999999999999962</v>
      </c>
      <c r="K45" s="713">
        <f t="shared" si="9"/>
        <v>0.4100000000000002</v>
      </c>
      <c r="L45" s="697"/>
      <c r="M45" s="697"/>
      <c r="N45" s="697"/>
      <c r="O45" s="697"/>
      <c r="P45" s="697"/>
      <c r="Q45" s="697"/>
      <c r="R45" s="697"/>
      <c r="S45" s="697"/>
      <c r="T45" s="697"/>
      <c r="U45" s="697"/>
      <c r="V45" s="697"/>
      <c r="W45" s="697"/>
      <c r="X45" s="697"/>
      <c r="Y45" s="697"/>
      <c r="Z45" s="697"/>
      <c r="AA45" s="697"/>
      <c r="AB45" s="697"/>
      <c r="AC45" s="697"/>
      <c r="AD45" s="697"/>
      <c r="AE45" s="697"/>
      <c r="AF45" s="697"/>
      <c r="AG45" s="697"/>
      <c r="AH45" s="697"/>
      <c r="AI45" s="697"/>
      <c r="AJ45" s="697"/>
      <c r="AK45" s="697"/>
      <c r="AL45" s="697"/>
      <c r="AM45" s="697"/>
      <c r="AN45" s="697"/>
      <c r="AO45" s="697"/>
      <c r="AP45" s="697"/>
      <c r="AQ45" s="697"/>
      <c r="AR45" s="697"/>
      <c r="AS45" s="697"/>
      <c r="AT45" s="697"/>
      <c r="AU45" s="697"/>
      <c r="AV45" s="697"/>
      <c r="AW45" s="697"/>
      <c r="AX45" s="697"/>
      <c r="AY45" s="697"/>
      <c r="AZ45" s="697"/>
      <c r="BA45" s="697"/>
      <c r="BB45" s="697"/>
      <c r="BC45" s="697"/>
      <c r="BD45" s="697"/>
      <c r="BE45" s="697"/>
      <c r="BF45" s="697"/>
      <c r="BG45" s="697"/>
      <c r="BH45" s="697"/>
      <c r="BI45" s="697"/>
      <c r="BJ45" s="697"/>
      <c r="BK45" s="697"/>
      <c r="BL45" s="697"/>
      <c r="BM45" s="697"/>
      <c r="BN45" s="697"/>
      <c r="BO45" s="697"/>
      <c r="BP45" s="697"/>
      <c r="BQ45" s="697"/>
      <c r="BR45" s="697"/>
      <c r="BS45" s="697"/>
      <c r="BT45" s="697"/>
      <c r="BU45" s="697"/>
      <c r="BV45" s="697"/>
      <c r="BW45" s="697"/>
      <c r="BX45" s="697"/>
      <c r="BY45" s="697"/>
      <c r="BZ45" s="697"/>
      <c r="CA45" s="697"/>
      <c r="CB45" s="697"/>
      <c r="CC45" s="697"/>
      <c r="CD45" s="697"/>
      <c r="CE45" s="697"/>
      <c r="CF45" s="697"/>
      <c r="CG45" s="697"/>
      <c r="CH45" s="697"/>
      <c r="CI45" s="697"/>
      <c r="CJ45" s="697"/>
      <c r="CK45" s="697"/>
      <c r="CL45" s="697"/>
      <c r="CM45" s="697"/>
      <c r="CN45" s="697"/>
      <c r="CO45" s="697"/>
      <c r="CP45" s="697"/>
      <c r="CQ45" s="697"/>
      <c r="CR45" s="697"/>
      <c r="CS45" s="697"/>
      <c r="CT45" s="697"/>
      <c r="CU45" s="697"/>
      <c r="CV45" s="697"/>
      <c r="CW45" s="697"/>
      <c r="CX45" s="697"/>
      <c r="CY45" s="697"/>
      <c r="CZ45" s="697"/>
      <c r="DA45" s="697"/>
      <c r="DB45" s="697"/>
    </row>
    <row r="46" spans="1:106" hidden="1" outlineLevel="1" x14ac:dyDescent="0.2">
      <c r="A46" s="709">
        <f t="shared" si="0"/>
        <v>36800</v>
      </c>
      <c r="B46" s="709" t="str">
        <f t="shared" si="1"/>
        <v>4Q00</v>
      </c>
      <c r="C46" s="709" t="str">
        <f t="shared" si="2"/>
        <v>4Q00</v>
      </c>
      <c r="D46" s="710">
        <f t="shared" si="31"/>
        <v>36872</v>
      </c>
      <c r="E46" s="710">
        <f t="shared" si="31"/>
        <v>36812</v>
      </c>
      <c r="F46" s="712">
        <v>33.9</v>
      </c>
      <c r="G46" s="713">
        <f t="shared" si="3"/>
        <v>1.4900000000000011</v>
      </c>
      <c r="H46" s="713">
        <f t="shared" si="4"/>
        <v>1.4900000000000011</v>
      </c>
      <c r="I46" s="713">
        <f t="shared" si="8"/>
        <v>3.1999999999999962</v>
      </c>
      <c r="J46" s="713">
        <f t="shared" si="6"/>
        <v>3.249999999999996</v>
      </c>
      <c r="K46" s="713">
        <f t="shared" si="9"/>
        <v>0.42000000000000021</v>
      </c>
      <c r="L46" s="697"/>
      <c r="M46" s="697"/>
      <c r="N46" s="697"/>
      <c r="O46" s="697"/>
      <c r="P46" s="697"/>
      <c r="Q46" s="697"/>
      <c r="R46" s="697"/>
      <c r="S46" s="697"/>
      <c r="T46" s="697"/>
      <c r="U46" s="697"/>
      <c r="V46" s="697"/>
      <c r="W46" s="697"/>
      <c r="X46" s="697"/>
      <c r="Y46" s="697"/>
      <c r="Z46" s="697"/>
      <c r="AA46" s="697"/>
      <c r="AB46" s="697"/>
      <c r="AC46" s="697"/>
      <c r="AD46" s="697"/>
      <c r="AE46" s="697"/>
      <c r="AF46" s="697"/>
      <c r="AG46" s="697"/>
      <c r="AH46" s="697"/>
      <c r="AI46" s="697"/>
      <c r="AJ46" s="697"/>
      <c r="AK46" s="697"/>
      <c r="AL46" s="697"/>
      <c r="AM46" s="697"/>
      <c r="AN46" s="697"/>
      <c r="AO46" s="697"/>
      <c r="AP46" s="697"/>
      <c r="AQ46" s="697"/>
      <c r="AR46" s="697"/>
      <c r="AS46" s="697"/>
      <c r="AT46" s="697"/>
      <c r="AU46" s="697"/>
      <c r="AV46" s="697"/>
      <c r="AW46" s="697"/>
      <c r="AX46" s="697"/>
      <c r="AY46" s="697"/>
      <c r="AZ46" s="697"/>
      <c r="BA46" s="697"/>
      <c r="BB46" s="697"/>
      <c r="BC46" s="697"/>
      <c r="BD46" s="697"/>
      <c r="BE46" s="697"/>
      <c r="BF46" s="697"/>
      <c r="BG46" s="697"/>
      <c r="BH46" s="697"/>
      <c r="BI46" s="697"/>
      <c r="BJ46" s="697"/>
      <c r="BK46" s="697"/>
      <c r="BL46" s="697"/>
      <c r="BM46" s="697"/>
      <c r="BN46" s="697"/>
      <c r="BO46" s="697"/>
      <c r="BP46" s="697"/>
      <c r="BQ46" s="697"/>
      <c r="BR46" s="697"/>
      <c r="BS46" s="697"/>
      <c r="BT46" s="697"/>
      <c r="BU46" s="697"/>
      <c r="BV46" s="697"/>
      <c r="BW46" s="697"/>
      <c r="BX46" s="697"/>
      <c r="BY46" s="697"/>
      <c r="BZ46" s="697"/>
      <c r="CA46" s="697"/>
      <c r="CB46" s="697"/>
      <c r="CC46" s="697"/>
      <c r="CD46" s="697"/>
      <c r="CE46" s="697"/>
      <c r="CF46" s="697"/>
      <c r="CG46" s="697"/>
      <c r="CH46" s="697"/>
      <c r="CI46" s="697"/>
      <c r="CJ46" s="697"/>
      <c r="CK46" s="697"/>
      <c r="CL46" s="697"/>
      <c r="CM46" s="697"/>
      <c r="CN46" s="697"/>
      <c r="CO46" s="697"/>
      <c r="CP46" s="697"/>
      <c r="CQ46" s="697"/>
      <c r="CR46" s="697"/>
      <c r="CS46" s="697"/>
      <c r="CT46" s="697"/>
      <c r="CU46" s="697"/>
      <c r="CV46" s="697"/>
      <c r="CW46" s="697"/>
      <c r="CX46" s="697"/>
      <c r="CY46" s="697"/>
      <c r="CZ46" s="697"/>
      <c r="DA46" s="697"/>
      <c r="DB46" s="697"/>
    </row>
    <row r="47" spans="1:106" hidden="1" outlineLevel="1" x14ac:dyDescent="0.2">
      <c r="A47" s="709">
        <f t="shared" si="0"/>
        <v>36800</v>
      </c>
      <c r="B47" s="709" t="str">
        <f t="shared" si="1"/>
        <v>4Q00</v>
      </c>
      <c r="C47" s="709" t="str">
        <f t="shared" si="2"/>
        <v>4Q00</v>
      </c>
      <c r="D47" s="710">
        <f t="shared" si="31"/>
        <v>36879</v>
      </c>
      <c r="E47" s="710">
        <f t="shared" si="31"/>
        <v>36819</v>
      </c>
      <c r="F47" s="712">
        <v>33.479999999999997</v>
      </c>
      <c r="G47" s="713">
        <f t="shared" si="3"/>
        <v>1.4900000000000011</v>
      </c>
      <c r="H47" s="713">
        <f t="shared" si="4"/>
        <v>1.4900000000000011</v>
      </c>
      <c r="I47" s="713">
        <f t="shared" si="8"/>
        <v>3.249999999999996</v>
      </c>
      <c r="J47" s="713">
        <f t="shared" si="6"/>
        <v>3.2999999999999958</v>
      </c>
      <c r="K47" s="713">
        <f t="shared" si="9"/>
        <v>0.43000000000000022</v>
      </c>
      <c r="L47" s="697"/>
      <c r="M47" s="697"/>
      <c r="N47" s="697"/>
      <c r="O47" s="697"/>
      <c r="P47" s="697"/>
      <c r="Q47" s="697"/>
      <c r="R47" s="697"/>
      <c r="S47" s="697"/>
      <c r="T47" s="697"/>
      <c r="U47" s="697"/>
      <c r="V47" s="697"/>
      <c r="W47" s="697"/>
      <c r="X47" s="697"/>
      <c r="Y47" s="697"/>
      <c r="Z47" s="697"/>
      <c r="AA47" s="697"/>
      <c r="AB47" s="697"/>
      <c r="AC47" s="697"/>
      <c r="AD47" s="697"/>
      <c r="AE47" s="697"/>
      <c r="AF47" s="697"/>
      <c r="AG47" s="697"/>
      <c r="AH47" s="697"/>
      <c r="AI47" s="697"/>
      <c r="AJ47" s="697"/>
      <c r="AK47" s="697"/>
      <c r="AL47" s="697"/>
      <c r="AM47" s="697"/>
      <c r="AN47" s="697"/>
      <c r="AO47" s="697"/>
      <c r="AP47" s="697"/>
      <c r="AQ47" s="697"/>
      <c r="AR47" s="697"/>
      <c r="AS47" s="697"/>
      <c r="AT47" s="697"/>
      <c r="AU47" s="697"/>
      <c r="AV47" s="697"/>
      <c r="AW47" s="697"/>
      <c r="AX47" s="697"/>
      <c r="AY47" s="697"/>
      <c r="AZ47" s="697"/>
      <c r="BA47" s="697"/>
      <c r="BB47" s="697"/>
      <c r="BC47" s="697"/>
      <c r="BD47" s="697"/>
      <c r="BE47" s="697"/>
      <c r="BF47" s="697"/>
      <c r="BG47" s="697"/>
      <c r="BH47" s="697"/>
      <c r="BI47" s="697"/>
      <c r="BJ47" s="697"/>
      <c r="BK47" s="697"/>
      <c r="BL47" s="697"/>
      <c r="BM47" s="697"/>
      <c r="BN47" s="697"/>
      <c r="BO47" s="697"/>
      <c r="BP47" s="697"/>
      <c r="BQ47" s="697"/>
      <c r="BR47" s="697"/>
      <c r="BS47" s="697"/>
      <c r="BT47" s="697"/>
      <c r="BU47" s="697"/>
      <c r="BV47" s="697"/>
      <c r="BW47" s="697"/>
      <c r="BX47" s="697"/>
      <c r="BY47" s="697"/>
      <c r="BZ47" s="697"/>
      <c r="CA47" s="697"/>
      <c r="CB47" s="697"/>
      <c r="CC47" s="697"/>
      <c r="CD47" s="697"/>
      <c r="CE47" s="697"/>
      <c r="CF47" s="697"/>
      <c r="CG47" s="697"/>
      <c r="CH47" s="697"/>
      <c r="CI47" s="697"/>
      <c r="CJ47" s="697"/>
      <c r="CK47" s="697"/>
      <c r="CL47" s="697"/>
      <c r="CM47" s="697"/>
      <c r="CN47" s="697"/>
      <c r="CO47" s="697"/>
      <c r="CP47" s="697"/>
      <c r="CQ47" s="697"/>
      <c r="CR47" s="697"/>
      <c r="CS47" s="697"/>
      <c r="CT47" s="697"/>
      <c r="CU47" s="697"/>
      <c r="CV47" s="697"/>
      <c r="CW47" s="697"/>
      <c r="CX47" s="697"/>
      <c r="CY47" s="697"/>
      <c r="CZ47" s="697"/>
      <c r="DA47" s="697"/>
      <c r="DB47" s="697"/>
    </row>
    <row r="48" spans="1:106" hidden="1" outlineLevel="1" x14ac:dyDescent="0.2">
      <c r="A48" s="709">
        <f t="shared" si="0"/>
        <v>36800</v>
      </c>
      <c r="B48" s="709" t="str">
        <f t="shared" si="1"/>
        <v>4Q00</v>
      </c>
      <c r="C48" s="709" t="str">
        <f t="shared" si="2"/>
        <v>4Q00</v>
      </c>
      <c r="D48" s="710">
        <f t="shared" si="31"/>
        <v>36886</v>
      </c>
      <c r="E48" s="710">
        <f t="shared" si="31"/>
        <v>36826</v>
      </c>
      <c r="F48" s="712">
        <v>33.92</v>
      </c>
      <c r="G48" s="713">
        <f t="shared" si="3"/>
        <v>1.4900000000000011</v>
      </c>
      <c r="H48" s="713">
        <f t="shared" si="4"/>
        <v>1.4900000000000011</v>
      </c>
      <c r="I48" s="713">
        <f t="shared" si="8"/>
        <v>3.2999999999999958</v>
      </c>
      <c r="J48" s="713">
        <f t="shared" si="6"/>
        <v>3.3499999999999956</v>
      </c>
      <c r="K48" s="713">
        <f t="shared" si="9"/>
        <v>0.44000000000000022</v>
      </c>
      <c r="L48" s="697"/>
      <c r="M48" s="697"/>
      <c r="N48" s="697"/>
      <c r="O48" s="697"/>
      <c r="P48" s="697"/>
      <c r="Q48" s="697"/>
      <c r="R48" s="697"/>
      <c r="S48" s="697"/>
      <c r="T48" s="697"/>
      <c r="U48" s="697"/>
      <c r="V48" s="697"/>
      <c r="W48" s="697"/>
      <c r="X48" s="697"/>
      <c r="Y48" s="697"/>
      <c r="Z48" s="697"/>
      <c r="AA48" s="697"/>
      <c r="AB48" s="697"/>
      <c r="AC48" s="697"/>
      <c r="AD48" s="697"/>
      <c r="AE48" s="697"/>
      <c r="AF48" s="697"/>
      <c r="AG48" s="697"/>
      <c r="AH48" s="697"/>
      <c r="AI48" s="697"/>
      <c r="AJ48" s="697"/>
      <c r="AK48" s="697"/>
      <c r="AL48" s="697"/>
      <c r="AM48" s="697"/>
      <c r="AN48" s="697"/>
      <c r="AO48" s="697"/>
      <c r="AP48" s="697"/>
      <c r="AQ48" s="697"/>
      <c r="AR48" s="697"/>
      <c r="AS48" s="697"/>
      <c r="AT48" s="697"/>
      <c r="AU48" s="697"/>
      <c r="AV48" s="697"/>
      <c r="AW48" s="697"/>
      <c r="AX48" s="697"/>
      <c r="AY48" s="697"/>
      <c r="AZ48" s="697"/>
      <c r="BA48" s="697"/>
      <c r="BB48" s="697"/>
      <c r="BC48" s="697"/>
      <c r="BD48" s="697"/>
      <c r="BE48" s="697"/>
      <c r="BF48" s="697"/>
      <c r="BG48" s="697"/>
      <c r="BH48" s="697"/>
      <c r="BI48" s="697"/>
      <c r="BJ48" s="697"/>
      <c r="BK48" s="697"/>
      <c r="BL48" s="697"/>
      <c r="BM48" s="697"/>
      <c r="BN48" s="697"/>
      <c r="BO48" s="697"/>
      <c r="BP48" s="697"/>
      <c r="BQ48" s="697"/>
      <c r="BR48" s="697"/>
      <c r="BS48" s="697"/>
      <c r="BT48" s="697"/>
      <c r="BU48" s="697"/>
      <c r="BV48" s="697"/>
      <c r="BW48" s="697"/>
      <c r="BX48" s="697"/>
      <c r="BY48" s="697"/>
      <c r="BZ48" s="697"/>
      <c r="CA48" s="697"/>
      <c r="CB48" s="697"/>
      <c r="CC48" s="697"/>
      <c r="CD48" s="697"/>
      <c r="CE48" s="697"/>
      <c r="CF48" s="697"/>
      <c r="CG48" s="697"/>
      <c r="CH48" s="697"/>
      <c r="CI48" s="697"/>
      <c r="CJ48" s="697"/>
      <c r="CK48" s="697"/>
      <c r="CL48" s="697"/>
      <c r="CM48" s="697"/>
      <c r="CN48" s="697"/>
      <c r="CO48" s="697"/>
      <c r="CP48" s="697"/>
      <c r="CQ48" s="697"/>
      <c r="CR48" s="697"/>
      <c r="CS48" s="697"/>
      <c r="CT48" s="697"/>
      <c r="CU48" s="697"/>
      <c r="CV48" s="697"/>
      <c r="CW48" s="697"/>
      <c r="CX48" s="697"/>
      <c r="CY48" s="697"/>
      <c r="CZ48" s="697"/>
      <c r="DA48" s="697"/>
      <c r="DB48" s="697"/>
    </row>
    <row r="49" spans="1:106" hidden="1" outlineLevel="1" x14ac:dyDescent="0.2">
      <c r="A49" s="709">
        <f t="shared" si="0"/>
        <v>36831</v>
      </c>
      <c r="B49" s="709" t="str">
        <f t="shared" si="1"/>
        <v>4Q00</v>
      </c>
      <c r="C49" s="709" t="str">
        <f t="shared" si="2"/>
        <v>1Q01</v>
      </c>
      <c r="D49" s="710">
        <f t="shared" si="31"/>
        <v>36893</v>
      </c>
      <c r="E49" s="710">
        <f t="shared" si="31"/>
        <v>36833</v>
      </c>
      <c r="F49" s="712">
        <v>32.78</v>
      </c>
      <c r="G49" s="713">
        <f t="shared" si="3"/>
        <v>1.4900000000000011</v>
      </c>
      <c r="H49" s="713">
        <f t="shared" si="4"/>
        <v>1.4900000000000011</v>
      </c>
      <c r="I49" s="713">
        <f t="shared" si="8"/>
        <v>3.3499999999999956</v>
      </c>
      <c r="J49" s="713">
        <f t="shared" si="6"/>
        <v>3.3999999999999955</v>
      </c>
      <c r="K49" s="713">
        <f t="shared" si="9"/>
        <v>0.45000000000000023</v>
      </c>
      <c r="L49" s="697"/>
      <c r="M49" s="697"/>
      <c r="N49" s="697"/>
      <c r="O49" s="697"/>
      <c r="P49" s="697"/>
      <c r="Q49" s="697"/>
      <c r="R49" s="697"/>
      <c r="S49" s="697"/>
      <c r="T49" s="697"/>
      <c r="U49" s="697"/>
      <c r="V49" s="697"/>
      <c r="W49" s="697"/>
      <c r="X49" s="697"/>
      <c r="Y49" s="697"/>
      <c r="Z49" s="697"/>
      <c r="AA49" s="697"/>
      <c r="AB49" s="697"/>
      <c r="AC49" s="697"/>
      <c r="AD49" s="697"/>
      <c r="AE49" s="697"/>
      <c r="AF49" s="697"/>
      <c r="AG49" s="697"/>
      <c r="AH49" s="697"/>
      <c r="AI49" s="697"/>
      <c r="AJ49" s="697"/>
      <c r="AK49" s="697"/>
      <c r="AL49" s="697"/>
      <c r="AM49" s="697"/>
      <c r="AN49" s="697"/>
      <c r="AO49" s="697"/>
      <c r="AP49" s="697"/>
      <c r="AQ49" s="697"/>
      <c r="AR49" s="697"/>
      <c r="AS49" s="697"/>
      <c r="AT49" s="697"/>
      <c r="AU49" s="697"/>
      <c r="AV49" s="697"/>
      <c r="AW49" s="697"/>
      <c r="AX49" s="697"/>
      <c r="AY49" s="697"/>
      <c r="AZ49" s="697"/>
      <c r="BA49" s="697"/>
      <c r="BB49" s="697"/>
      <c r="BC49" s="697"/>
      <c r="BD49" s="697"/>
      <c r="BE49" s="697"/>
      <c r="BF49" s="697"/>
      <c r="BG49" s="697"/>
      <c r="BH49" s="697"/>
      <c r="BI49" s="697"/>
      <c r="BJ49" s="697"/>
      <c r="BK49" s="697"/>
      <c r="BL49" s="697"/>
      <c r="BM49" s="697"/>
      <c r="BN49" s="697"/>
      <c r="BO49" s="697"/>
      <c r="BP49" s="697"/>
      <c r="BQ49" s="697"/>
      <c r="BR49" s="697"/>
      <c r="BS49" s="697"/>
      <c r="BT49" s="697"/>
      <c r="BU49" s="697"/>
      <c r="BV49" s="697"/>
      <c r="BW49" s="697"/>
      <c r="BX49" s="697"/>
      <c r="BY49" s="697"/>
      <c r="BZ49" s="697"/>
      <c r="CA49" s="697"/>
      <c r="CB49" s="697"/>
      <c r="CC49" s="697"/>
      <c r="CD49" s="697"/>
      <c r="CE49" s="697"/>
      <c r="CF49" s="697"/>
      <c r="CG49" s="697"/>
      <c r="CH49" s="697"/>
      <c r="CI49" s="697"/>
      <c r="CJ49" s="697"/>
      <c r="CK49" s="697"/>
      <c r="CL49" s="697"/>
      <c r="CM49" s="697"/>
      <c r="CN49" s="697"/>
      <c r="CO49" s="697"/>
      <c r="CP49" s="697"/>
      <c r="CQ49" s="697"/>
      <c r="CR49" s="697"/>
      <c r="CS49" s="697"/>
      <c r="CT49" s="697"/>
      <c r="CU49" s="697"/>
      <c r="CV49" s="697"/>
      <c r="CW49" s="697"/>
      <c r="CX49" s="697"/>
      <c r="CY49" s="697"/>
      <c r="CZ49" s="697"/>
      <c r="DA49" s="697"/>
      <c r="DB49" s="697"/>
    </row>
    <row r="50" spans="1:106" hidden="1" outlineLevel="1" x14ac:dyDescent="0.2">
      <c r="A50" s="709">
        <f t="shared" si="0"/>
        <v>36831</v>
      </c>
      <c r="B50" s="709" t="str">
        <f t="shared" si="1"/>
        <v>4Q00</v>
      </c>
      <c r="C50" s="709" t="str">
        <f t="shared" si="2"/>
        <v>1Q01</v>
      </c>
      <c r="D50" s="710">
        <f t="shared" si="31"/>
        <v>36900</v>
      </c>
      <c r="E50" s="710">
        <f t="shared" si="31"/>
        <v>36840</v>
      </c>
      <c r="F50" s="712">
        <v>33.46</v>
      </c>
      <c r="G50" s="713">
        <f t="shared" si="3"/>
        <v>1.4900000000000011</v>
      </c>
      <c r="H50" s="713">
        <f t="shared" si="4"/>
        <v>1.4900000000000011</v>
      </c>
      <c r="I50" s="713">
        <f t="shared" si="8"/>
        <v>3.3999999999999955</v>
      </c>
      <c r="J50" s="713">
        <f t="shared" si="6"/>
        <v>3.4499999999999953</v>
      </c>
      <c r="K50" s="713">
        <f t="shared" si="9"/>
        <v>0.46000000000000024</v>
      </c>
      <c r="L50" s="697"/>
      <c r="M50" s="697"/>
      <c r="N50" s="697"/>
      <c r="O50" s="697"/>
      <c r="P50" s="697"/>
      <c r="Q50" s="697"/>
      <c r="R50" s="697"/>
      <c r="S50" s="697"/>
      <c r="T50" s="697"/>
      <c r="U50" s="697"/>
      <c r="V50" s="697"/>
      <c r="W50" s="697"/>
      <c r="X50" s="697"/>
      <c r="Y50" s="697"/>
      <c r="Z50" s="697"/>
      <c r="AA50" s="697"/>
      <c r="AB50" s="697"/>
      <c r="AC50" s="697"/>
      <c r="AD50" s="697"/>
      <c r="AE50" s="697"/>
      <c r="AF50" s="697"/>
      <c r="AG50" s="697"/>
      <c r="AH50" s="697"/>
      <c r="AI50" s="697"/>
      <c r="AJ50" s="697"/>
      <c r="AK50" s="697"/>
      <c r="AL50" s="697"/>
      <c r="AM50" s="697"/>
      <c r="AN50" s="697"/>
      <c r="AO50" s="697"/>
      <c r="AP50" s="697"/>
      <c r="AQ50" s="697"/>
      <c r="AR50" s="697"/>
      <c r="AS50" s="697"/>
      <c r="AT50" s="697"/>
      <c r="AU50" s="697"/>
      <c r="AV50" s="697"/>
      <c r="AW50" s="697"/>
      <c r="AX50" s="697"/>
      <c r="AY50" s="697"/>
      <c r="AZ50" s="697"/>
      <c r="BA50" s="697"/>
      <c r="BB50" s="697"/>
      <c r="BC50" s="697"/>
      <c r="BD50" s="697"/>
      <c r="BE50" s="697"/>
      <c r="BF50" s="697"/>
      <c r="BG50" s="697"/>
      <c r="BH50" s="697"/>
      <c r="BI50" s="697"/>
      <c r="BJ50" s="697"/>
      <c r="BK50" s="697"/>
      <c r="BL50" s="697"/>
      <c r="BM50" s="697"/>
      <c r="BN50" s="697"/>
      <c r="BO50" s="697"/>
      <c r="BP50" s="697"/>
      <c r="BQ50" s="697"/>
      <c r="BR50" s="697"/>
      <c r="BS50" s="697"/>
      <c r="BT50" s="697"/>
      <c r="BU50" s="697"/>
      <c r="BV50" s="697"/>
      <c r="BW50" s="697"/>
      <c r="BX50" s="697"/>
      <c r="BY50" s="697"/>
      <c r="BZ50" s="697"/>
      <c r="CA50" s="697"/>
      <c r="CB50" s="697"/>
      <c r="CC50" s="697"/>
      <c r="CD50" s="697"/>
      <c r="CE50" s="697"/>
      <c r="CF50" s="697"/>
      <c r="CG50" s="697"/>
      <c r="CH50" s="697"/>
      <c r="CI50" s="697"/>
      <c r="CJ50" s="697"/>
      <c r="CK50" s="697"/>
      <c r="CL50" s="697"/>
      <c r="CM50" s="697"/>
      <c r="CN50" s="697"/>
      <c r="CO50" s="697"/>
      <c r="CP50" s="697"/>
      <c r="CQ50" s="697"/>
      <c r="CR50" s="697"/>
      <c r="CS50" s="697"/>
      <c r="CT50" s="697"/>
      <c r="CU50" s="697"/>
      <c r="CV50" s="697"/>
      <c r="CW50" s="697"/>
      <c r="CX50" s="697"/>
      <c r="CY50" s="697"/>
      <c r="CZ50" s="697"/>
      <c r="DA50" s="697"/>
      <c r="DB50" s="697"/>
    </row>
    <row r="51" spans="1:106" hidden="1" outlineLevel="1" x14ac:dyDescent="0.2">
      <c r="A51" s="709">
        <f t="shared" si="0"/>
        <v>36831</v>
      </c>
      <c r="B51" s="709" t="str">
        <f t="shared" si="1"/>
        <v>4Q00</v>
      </c>
      <c r="C51" s="709" t="str">
        <f t="shared" si="2"/>
        <v>1Q01</v>
      </c>
      <c r="D51" s="710">
        <f t="shared" si="31"/>
        <v>36907</v>
      </c>
      <c r="E51" s="710">
        <f t="shared" si="31"/>
        <v>36847</v>
      </c>
      <c r="F51" s="712">
        <v>35</v>
      </c>
      <c r="G51" s="713">
        <f t="shared" si="3"/>
        <v>1.4900000000000011</v>
      </c>
      <c r="H51" s="713">
        <f t="shared" si="4"/>
        <v>1.4900000000000011</v>
      </c>
      <c r="I51" s="713">
        <f t="shared" si="8"/>
        <v>3.4499999999999953</v>
      </c>
      <c r="J51" s="713">
        <f t="shared" si="6"/>
        <v>3.4999999999999951</v>
      </c>
      <c r="K51" s="713">
        <f t="shared" si="9"/>
        <v>0.47000000000000025</v>
      </c>
      <c r="L51" s="697"/>
      <c r="M51" s="697"/>
      <c r="N51" s="697"/>
      <c r="O51" s="697"/>
      <c r="P51" s="697"/>
      <c r="Q51" s="697"/>
      <c r="R51" s="697"/>
      <c r="S51" s="697"/>
      <c r="T51" s="697"/>
      <c r="U51" s="697"/>
      <c r="V51" s="697"/>
      <c r="W51" s="697"/>
      <c r="X51" s="697"/>
      <c r="Y51" s="697"/>
      <c r="Z51" s="697"/>
      <c r="AA51" s="697"/>
      <c r="AB51" s="697"/>
      <c r="AC51" s="697"/>
      <c r="AD51" s="697"/>
      <c r="AE51" s="697"/>
      <c r="AF51" s="697"/>
      <c r="AG51" s="697"/>
      <c r="AH51" s="697"/>
      <c r="AI51" s="697"/>
      <c r="AJ51" s="697"/>
      <c r="AK51" s="697"/>
      <c r="AL51" s="697"/>
      <c r="AM51" s="697"/>
      <c r="AN51" s="697"/>
      <c r="AO51" s="697"/>
      <c r="AP51" s="697"/>
      <c r="AQ51" s="697"/>
      <c r="AR51" s="697"/>
      <c r="AS51" s="697"/>
      <c r="AT51" s="697"/>
      <c r="AU51" s="697"/>
      <c r="AV51" s="697"/>
      <c r="AW51" s="697"/>
      <c r="AX51" s="697"/>
      <c r="AY51" s="697"/>
      <c r="AZ51" s="697"/>
      <c r="BA51" s="697"/>
      <c r="BB51" s="697"/>
      <c r="BC51" s="697"/>
      <c r="BD51" s="697"/>
      <c r="BE51" s="697"/>
      <c r="BF51" s="697"/>
      <c r="BG51" s="697"/>
      <c r="BH51" s="697"/>
      <c r="BI51" s="697"/>
      <c r="BJ51" s="697"/>
      <c r="BK51" s="697"/>
      <c r="BL51" s="697"/>
      <c r="BM51" s="697"/>
      <c r="BN51" s="697"/>
      <c r="BO51" s="697"/>
      <c r="BP51" s="697"/>
      <c r="BQ51" s="697"/>
      <c r="BR51" s="697"/>
      <c r="BS51" s="697"/>
      <c r="BT51" s="697"/>
      <c r="BU51" s="697"/>
      <c r="BV51" s="697"/>
      <c r="BW51" s="697"/>
      <c r="BX51" s="697"/>
      <c r="BY51" s="697"/>
      <c r="BZ51" s="697"/>
      <c r="CA51" s="697"/>
      <c r="CB51" s="697"/>
      <c r="CC51" s="697"/>
      <c r="CD51" s="697"/>
      <c r="CE51" s="697"/>
      <c r="CF51" s="697"/>
      <c r="CG51" s="697"/>
      <c r="CH51" s="697"/>
      <c r="CI51" s="697"/>
      <c r="CJ51" s="697"/>
      <c r="CK51" s="697"/>
      <c r="CL51" s="697"/>
      <c r="CM51" s="697"/>
      <c r="CN51" s="697"/>
      <c r="CO51" s="697"/>
      <c r="CP51" s="697"/>
      <c r="CQ51" s="697"/>
      <c r="CR51" s="697"/>
      <c r="CS51" s="697"/>
      <c r="CT51" s="697"/>
      <c r="CU51" s="697"/>
      <c r="CV51" s="697"/>
      <c r="CW51" s="697"/>
      <c r="CX51" s="697"/>
      <c r="CY51" s="697"/>
      <c r="CZ51" s="697"/>
      <c r="DA51" s="697"/>
      <c r="DB51" s="697"/>
    </row>
    <row r="52" spans="1:106" hidden="1" outlineLevel="1" x14ac:dyDescent="0.2">
      <c r="A52" s="709">
        <f t="shared" si="0"/>
        <v>36831</v>
      </c>
      <c r="B52" s="709" t="str">
        <f t="shared" si="1"/>
        <v>4Q00</v>
      </c>
      <c r="C52" s="709" t="str">
        <f t="shared" si="2"/>
        <v>1Q01</v>
      </c>
      <c r="D52" s="710">
        <f t="shared" si="31"/>
        <v>36914</v>
      </c>
      <c r="E52" s="710">
        <f t="shared" si="31"/>
        <v>36854</v>
      </c>
      <c r="F52" s="712">
        <v>35.909999999999997</v>
      </c>
      <c r="G52" s="713">
        <f t="shared" si="3"/>
        <v>1.4900000000000011</v>
      </c>
      <c r="H52" s="713">
        <f t="shared" si="4"/>
        <v>1.4900000000000011</v>
      </c>
      <c r="I52" s="713">
        <f t="shared" si="8"/>
        <v>3.4999999999999951</v>
      </c>
      <c r="J52" s="713">
        <f t="shared" si="6"/>
        <v>3.5499999999999949</v>
      </c>
      <c r="K52" s="713">
        <f t="shared" si="9"/>
        <v>0.48000000000000026</v>
      </c>
      <c r="L52" s="697"/>
      <c r="M52" s="697"/>
      <c r="N52" s="697"/>
      <c r="O52" s="697"/>
      <c r="P52" s="697"/>
      <c r="Q52" s="697"/>
      <c r="R52" s="697"/>
      <c r="S52" s="697"/>
      <c r="T52" s="697"/>
      <c r="U52" s="697"/>
      <c r="V52" s="697"/>
      <c r="W52" s="697"/>
      <c r="X52" s="697"/>
      <c r="Y52" s="697"/>
      <c r="Z52" s="697"/>
      <c r="AA52" s="697"/>
      <c r="AB52" s="697"/>
      <c r="AC52" s="697"/>
      <c r="AD52" s="697"/>
      <c r="AE52" s="697"/>
      <c r="AF52" s="697"/>
      <c r="AG52" s="697"/>
      <c r="AH52" s="697"/>
      <c r="AI52" s="697"/>
      <c r="AJ52" s="697"/>
      <c r="AK52" s="697"/>
      <c r="AL52" s="697"/>
      <c r="AM52" s="697"/>
      <c r="AN52" s="697"/>
      <c r="AO52" s="697"/>
      <c r="AP52" s="697"/>
      <c r="AQ52" s="697"/>
      <c r="AR52" s="697"/>
      <c r="AS52" s="697"/>
      <c r="AT52" s="697"/>
      <c r="AU52" s="697"/>
      <c r="AV52" s="697"/>
      <c r="AW52" s="697"/>
      <c r="AX52" s="697"/>
      <c r="AY52" s="697"/>
      <c r="AZ52" s="697"/>
      <c r="BA52" s="697"/>
      <c r="BB52" s="697"/>
      <c r="BC52" s="697"/>
      <c r="BD52" s="697"/>
      <c r="BE52" s="697"/>
      <c r="BF52" s="697"/>
      <c r="BG52" s="697"/>
      <c r="BH52" s="697"/>
      <c r="BI52" s="697"/>
      <c r="BJ52" s="697"/>
      <c r="BK52" s="697"/>
      <c r="BL52" s="697"/>
      <c r="BM52" s="697"/>
      <c r="BN52" s="697"/>
      <c r="BO52" s="697"/>
      <c r="BP52" s="697"/>
      <c r="BQ52" s="697"/>
      <c r="BR52" s="697"/>
      <c r="BS52" s="697"/>
      <c r="BT52" s="697"/>
      <c r="BU52" s="697"/>
      <c r="BV52" s="697"/>
      <c r="BW52" s="697"/>
      <c r="BX52" s="697"/>
      <c r="BY52" s="697"/>
      <c r="BZ52" s="697"/>
      <c r="CA52" s="697"/>
      <c r="CB52" s="697"/>
      <c r="CC52" s="697"/>
      <c r="CD52" s="697"/>
      <c r="CE52" s="697"/>
      <c r="CF52" s="697"/>
      <c r="CG52" s="697"/>
      <c r="CH52" s="697"/>
      <c r="CI52" s="697"/>
      <c r="CJ52" s="697"/>
      <c r="CK52" s="697"/>
      <c r="CL52" s="697"/>
      <c r="CM52" s="697"/>
      <c r="CN52" s="697"/>
      <c r="CO52" s="697"/>
      <c r="CP52" s="697"/>
      <c r="CQ52" s="697"/>
      <c r="CR52" s="697"/>
      <c r="CS52" s="697"/>
      <c r="CT52" s="697"/>
      <c r="CU52" s="697"/>
      <c r="CV52" s="697"/>
      <c r="CW52" s="697"/>
      <c r="CX52" s="697"/>
      <c r="CY52" s="697"/>
      <c r="CZ52" s="697"/>
      <c r="DA52" s="697"/>
      <c r="DB52" s="697"/>
    </row>
    <row r="53" spans="1:106" hidden="1" outlineLevel="1" x14ac:dyDescent="0.2">
      <c r="A53" s="709">
        <f t="shared" si="0"/>
        <v>36861</v>
      </c>
      <c r="B53" s="709" t="str">
        <f t="shared" si="1"/>
        <v>4Q00</v>
      </c>
      <c r="C53" s="709" t="str">
        <f t="shared" si="2"/>
        <v>1Q01</v>
      </c>
      <c r="D53" s="710">
        <f t="shared" ref="D53:E68" si="32">D52+7</f>
        <v>36921</v>
      </c>
      <c r="E53" s="710">
        <f t="shared" si="32"/>
        <v>36861</v>
      </c>
      <c r="F53" s="712">
        <v>34.1</v>
      </c>
      <c r="G53" s="713">
        <f t="shared" si="3"/>
        <v>1.4900000000000011</v>
      </c>
      <c r="H53" s="713">
        <f t="shared" si="4"/>
        <v>1.4900000000000011</v>
      </c>
      <c r="I53" s="713">
        <f t="shared" si="8"/>
        <v>3.5499999999999949</v>
      </c>
      <c r="J53" s="713">
        <f t="shared" si="6"/>
        <v>3.5999999999999948</v>
      </c>
      <c r="K53" s="713">
        <f t="shared" si="9"/>
        <v>0.49000000000000027</v>
      </c>
      <c r="L53" s="697"/>
      <c r="M53" s="697"/>
      <c r="N53" s="697"/>
      <c r="O53" s="697"/>
      <c r="P53" s="697"/>
      <c r="Q53" s="697"/>
      <c r="R53" s="697"/>
      <c r="S53" s="697"/>
      <c r="T53" s="697"/>
      <c r="U53" s="697"/>
      <c r="V53" s="697"/>
      <c r="W53" s="697"/>
      <c r="X53" s="697"/>
      <c r="Y53" s="697"/>
      <c r="Z53" s="697"/>
      <c r="AA53" s="697"/>
      <c r="AB53" s="697"/>
      <c r="AC53" s="697"/>
      <c r="AD53" s="697"/>
      <c r="AE53" s="697"/>
      <c r="AF53" s="697"/>
      <c r="AG53" s="697"/>
      <c r="AH53" s="697"/>
      <c r="AI53" s="697"/>
      <c r="AJ53" s="697"/>
      <c r="AK53" s="697"/>
      <c r="AL53" s="697"/>
      <c r="AM53" s="697"/>
      <c r="AN53" s="697"/>
      <c r="AO53" s="697"/>
      <c r="AP53" s="697"/>
      <c r="AQ53" s="697"/>
      <c r="AR53" s="697"/>
      <c r="AS53" s="697"/>
      <c r="AT53" s="697"/>
      <c r="AU53" s="697"/>
      <c r="AV53" s="697"/>
      <c r="AW53" s="697"/>
      <c r="AX53" s="697"/>
      <c r="AY53" s="697"/>
      <c r="AZ53" s="697"/>
      <c r="BA53" s="697"/>
      <c r="BB53" s="697"/>
      <c r="BC53" s="697"/>
      <c r="BD53" s="697"/>
      <c r="BE53" s="697"/>
      <c r="BF53" s="697"/>
      <c r="BG53" s="697"/>
      <c r="BH53" s="697"/>
      <c r="BI53" s="697"/>
      <c r="BJ53" s="697"/>
      <c r="BK53" s="697"/>
      <c r="BL53" s="697"/>
      <c r="BM53" s="697"/>
      <c r="BN53" s="697"/>
      <c r="BO53" s="697"/>
      <c r="BP53" s="697"/>
      <c r="BQ53" s="697"/>
      <c r="BR53" s="697"/>
      <c r="BS53" s="697"/>
      <c r="BT53" s="697"/>
      <c r="BU53" s="697"/>
      <c r="BV53" s="697"/>
      <c r="BW53" s="697"/>
      <c r="BX53" s="697"/>
      <c r="BY53" s="697"/>
      <c r="BZ53" s="697"/>
      <c r="CA53" s="697"/>
      <c r="CB53" s="697"/>
      <c r="CC53" s="697"/>
      <c r="CD53" s="697"/>
      <c r="CE53" s="697"/>
      <c r="CF53" s="697"/>
      <c r="CG53" s="697"/>
      <c r="CH53" s="697"/>
      <c r="CI53" s="697"/>
      <c r="CJ53" s="697"/>
      <c r="CK53" s="697"/>
      <c r="CL53" s="697"/>
      <c r="CM53" s="697"/>
      <c r="CN53" s="697"/>
      <c r="CO53" s="697"/>
      <c r="CP53" s="697"/>
      <c r="CQ53" s="697"/>
      <c r="CR53" s="697"/>
      <c r="CS53" s="697"/>
      <c r="CT53" s="697"/>
      <c r="CU53" s="697"/>
      <c r="CV53" s="697"/>
      <c r="CW53" s="697"/>
      <c r="CX53" s="697"/>
      <c r="CY53" s="697"/>
      <c r="CZ53" s="697"/>
      <c r="DA53" s="697"/>
      <c r="DB53" s="697"/>
    </row>
    <row r="54" spans="1:106" hidden="1" outlineLevel="1" x14ac:dyDescent="0.2">
      <c r="A54" s="709">
        <f t="shared" si="0"/>
        <v>36861</v>
      </c>
      <c r="B54" s="709" t="str">
        <f t="shared" si="1"/>
        <v>4Q00</v>
      </c>
      <c r="C54" s="709" t="str">
        <f t="shared" si="2"/>
        <v>1Q01</v>
      </c>
      <c r="D54" s="710">
        <f t="shared" si="32"/>
        <v>36928</v>
      </c>
      <c r="E54" s="710">
        <f t="shared" si="32"/>
        <v>36868</v>
      </c>
      <c r="F54" s="712">
        <v>29.69</v>
      </c>
      <c r="G54" s="713">
        <f t="shared" si="3"/>
        <v>1.4900000000000011</v>
      </c>
      <c r="H54" s="713">
        <f t="shared" si="4"/>
        <v>1.4900000000000011</v>
      </c>
      <c r="I54" s="713">
        <f t="shared" si="8"/>
        <v>3.5999999999999948</v>
      </c>
      <c r="J54" s="713">
        <f t="shared" si="6"/>
        <v>3.6499999999999946</v>
      </c>
      <c r="K54" s="713">
        <f t="shared" si="9"/>
        <v>0.50000000000000022</v>
      </c>
      <c r="L54" s="697"/>
      <c r="M54" s="697"/>
      <c r="N54" s="697"/>
      <c r="O54" s="697"/>
      <c r="P54" s="697"/>
      <c r="Q54" s="697"/>
      <c r="R54" s="697"/>
      <c r="S54" s="697"/>
      <c r="T54" s="697"/>
      <c r="U54" s="697"/>
      <c r="V54" s="697"/>
      <c r="W54" s="697"/>
      <c r="X54" s="697"/>
      <c r="Y54" s="697"/>
      <c r="Z54" s="697"/>
      <c r="AA54" s="697"/>
      <c r="AB54" s="697"/>
      <c r="AC54" s="697"/>
      <c r="AD54" s="697"/>
      <c r="AE54" s="697"/>
      <c r="AF54" s="697"/>
      <c r="AG54" s="697"/>
      <c r="AH54" s="697"/>
      <c r="AI54" s="697"/>
      <c r="AJ54" s="697"/>
      <c r="AK54" s="697"/>
      <c r="AL54" s="697"/>
      <c r="AM54" s="697"/>
      <c r="AN54" s="697"/>
      <c r="AO54" s="697"/>
      <c r="AP54" s="697"/>
      <c r="AQ54" s="697"/>
      <c r="AR54" s="697"/>
      <c r="AS54" s="697"/>
      <c r="AT54" s="697"/>
      <c r="AU54" s="697"/>
      <c r="AV54" s="697"/>
      <c r="AW54" s="697"/>
      <c r="AX54" s="697"/>
      <c r="AY54" s="697"/>
      <c r="AZ54" s="697"/>
      <c r="BA54" s="697"/>
      <c r="BB54" s="697"/>
      <c r="BC54" s="697"/>
      <c r="BD54" s="697"/>
      <c r="BE54" s="697"/>
      <c r="BF54" s="697"/>
      <c r="BG54" s="697"/>
      <c r="BH54" s="697"/>
      <c r="BI54" s="697"/>
      <c r="BJ54" s="697"/>
      <c r="BK54" s="697"/>
      <c r="BL54" s="697"/>
      <c r="BM54" s="697"/>
      <c r="BN54" s="697"/>
      <c r="BO54" s="697"/>
      <c r="BP54" s="697"/>
      <c r="BQ54" s="697"/>
      <c r="BR54" s="697"/>
      <c r="BS54" s="697"/>
      <c r="BT54" s="697"/>
      <c r="BU54" s="697"/>
      <c r="BV54" s="697"/>
      <c r="BW54" s="697"/>
      <c r="BX54" s="697"/>
      <c r="BY54" s="697"/>
      <c r="BZ54" s="697"/>
      <c r="CA54" s="697"/>
      <c r="CB54" s="697"/>
      <c r="CC54" s="697"/>
      <c r="CD54" s="697"/>
      <c r="CE54" s="697"/>
      <c r="CF54" s="697"/>
      <c r="CG54" s="697"/>
      <c r="CH54" s="697"/>
      <c r="CI54" s="697"/>
      <c r="CJ54" s="697"/>
      <c r="CK54" s="697"/>
      <c r="CL54" s="697"/>
      <c r="CM54" s="697"/>
      <c r="CN54" s="697"/>
      <c r="CO54" s="697"/>
      <c r="CP54" s="697"/>
      <c r="CQ54" s="697"/>
      <c r="CR54" s="697"/>
      <c r="CS54" s="697"/>
      <c r="CT54" s="697"/>
      <c r="CU54" s="697"/>
      <c r="CV54" s="697"/>
      <c r="CW54" s="697"/>
      <c r="CX54" s="697"/>
      <c r="CY54" s="697"/>
      <c r="CZ54" s="697"/>
      <c r="DA54" s="697"/>
      <c r="DB54" s="697"/>
    </row>
    <row r="55" spans="1:106" hidden="1" outlineLevel="1" x14ac:dyDescent="0.2">
      <c r="A55" s="709">
        <f t="shared" si="0"/>
        <v>36861</v>
      </c>
      <c r="B55" s="709" t="str">
        <f t="shared" si="1"/>
        <v>4Q00</v>
      </c>
      <c r="C55" s="709" t="str">
        <f t="shared" si="2"/>
        <v>1Q01</v>
      </c>
      <c r="D55" s="710">
        <f t="shared" si="32"/>
        <v>36935</v>
      </c>
      <c r="E55" s="710">
        <f t="shared" si="32"/>
        <v>36875</v>
      </c>
      <c r="F55" s="712">
        <v>29.05</v>
      </c>
      <c r="G55" s="713">
        <f t="shared" si="3"/>
        <v>1.4900000000000011</v>
      </c>
      <c r="H55" s="713">
        <f t="shared" si="4"/>
        <v>1.4900000000000011</v>
      </c>
      <c r="I55" s="713">
        <f t="shared" si="8"/>
        <v>3.6499999999999946</v>
      </c>
      <c r="J55" s="713">
        <f t="shared" si="6"/>
        <v>3.6999999999999944</v>
      </c>
      <c r="K55" s="713">
        <f t="shared" si="9"/>
        <v>0.51000000000000023</v>
      </c>
      <c r="L55" s="697"/>
      <c r="M55" s="697"/>
      <c r="N55" s="697"/>
      <c r="O55" s="697"/>
      <c r="P55" s="697"/>
      <c r="Q55" s="697"/>
      <c r="R55" s="697"/>
      <c r="S55" s="697"/>
      <c r="T55" s="697"/>
      <c r="U55" s="697"/>
      <c r="V55" s="697"/>
      <c r="W55" s="697"/>
      <c r="X55" s="697"/>
      <c r="Y55" s="697"/>
      <c r="Z55" s="697"/>
      <c r="AA55" s="697"/>
      <c r="AB55" s="697"/>
      <c r="AC55" s="697"/>
      <c r="AD55" s="697"/>
      <c r="AE55" s="697"/>
      <c r="AF55" s="697"/>
      <c r="AG55" s="697"/>
      <c r="AH55" s="697"/>
      <c r="AI55" s="697"/>
      <c r="AJ55" s="697"/>
      <c r="AK55" s="697"/>
      <c r="AL55" s="697"/>
      <c r="AM55" s="697"/>
      <c r="AN55" s="697"/>
      <c r="AO55" s="697"/>
      <c r="AP55" s="697"/>
      <c r="AQ55" s="697"/>
      <c r="AR55" s="697"/>
      <c r="AS55" s="697"/>
      <c r="AT55" s="697"/>
      <c r="AU55" s="697"/>
      <c r="AV55" s="697"/>
      <c r="AW55" s="697"/>
      <c r="AX55" s="697"/>
      <c r="AY55" s="697"/>
      <c r="AZ55" s="697"/>
      <c r="BA55" s="697"/>
      <c r="BB55" s="697"/>
      <c r="BC55" s="697"/>
      <c r="BD55" s="697"/>
      <c r="BE55" s="697"/>
      <c r="BF55" s="697"/>
      <c r="BG55" s="697"/>
      <c r="BH55" s="697"/>
      <c r="BI55" s="697"/>
      <c r="BJ55" s="697"/>
      <c r="BK55" s="697"/>
      <c r="BL55" s="697"/>
      <c r="BM55" s="697"/>
      <c r="BN55" s="697"/>
      <c r="BO55" s="697"/>
      <c r="BP55" s="697"/>
      <c r="BQ55" s="697"/>
      <c r="BR55" s="697"/>
      <c r="BS55" s="697"/>
      <c r="BT55" s="697"/>
      <c r="BU55" s="697"/>
      <c r="BV55" s="697"/>
      <c r="BW55" s="697"/>
      <c r="BX55" s="697"/>
      <c r="BY55" s="697"/>
      <c r="BZ55" s="697"/>
      <c r="CA55" s="697"/>
      <c r="CB55" s="697"/>
      <c r="CC55" s="697"/>
      <c r="CD55" s="697"/>
      <c r="CE55" s="697"/>
      <c r="CF55" s="697"/>
      <c r="CG55" s="697"/>
      <c r="CH55" s="697"/>
      <c r="CI55" s="697"/>
      <c r="CJ55" s="697"/>
      <c r="CK55" s="697"/>
      <c r="CL55" s="697"/>
      <c r="CM55" s="697"/>
      <c r="CN55" s="697"/>
      <c r="CO55" s="697"/>
      <c r="CP55" s="697"/>
      <c r="CQ55" s="697"/>
      <c r="CR55" s="697"/>
      <c r="CS55" s="697"/>
      <c r="CT55" s="697"/>
      <c r="CU55" s="697"/>
      <c r="CV55" s="697"/>
      <c r="CW55" s="697"/>
      <c r="CX55" s="697"/>
      <c r="CY55" s="697"/>
      <c r="CZ55" s="697"/>
      <c r="DA55" s="697"/>
      <c r="DB55" s="697"/>
    </row>
    <row r="56" spans="1:106" hidden="1" outlineLevel="1" x14ac:dyDescent="0.2">
      <c r="A56" s="709">
        <f t="shared" si="0"/>
        <v>36861</v>
      </c>
      <c r="B56" s="709" t="str">
        <f t="shared" si="1"/>
        <v>4Q00</v>
      </c>
      <c r="C56" s="709" t="str">
        <f t="shared" si="2"/>
        <v>1Q01</v>
      </c>
      <c r="D56" s="710">
        <f t="shared" si="32"/>
        <v>36942</v>
      </c>
      <c r="E56" s="710">
        <f t="shared" si="32"/>
        <v>36882</v>
      </c>
      <c r="F56" s="712">
        <v>27.38</v>
      </c>
      <c r="G56" s="713">
        <f t="shared" si="3"/>
        <v>1.4900000000000011</v>
      </c>
      <c r="H56" s="713">
        <f t="shared" si="4"/>
        <v>1.4900000000000011</v>
      </c>
      <c r="I56" s="713">
        <f t="shared" si="8"/>
        <v>3.6999999999999944</v>
      </c>
      <c r="J56" s="713">
        <f t="shared" si="6"/>
        <v>3.7499999999999942</v>
      </c>
      <c r="K56" s="713">
        <f t="shared" si="9"/>
        <v>0.52000000000000024</v>
      </c>
      <c r="L56" s="697"/>
      <c r="M56" s="697"/>
      <c r="N56" s="697"/>
      <c r="O56" s="697"/>
      <c r="P56" s="697"/>
      <c r="Q56" s="697"/>
      <c r="R56" s="697"/>
      <c r="S56" s="697"/>
      <c r="T56" s="697"/>
      <c r="U56" s="697"/>
      <c r="V56" s="697"/>
      <c r="W56" s="697"/>
      <c r="X56" s="697"/>
      <c r="Y56" s="697"/>
      <c r="Z56" s="697"/>
      <c r="AA56" s="697"/>
      <c r="AB56" s="697"/>
      <c r="AC56" s="697"/>
      <c r="AD56" s="697"/>
      <c r="AE56" s="697"/>
      <c r="AF56" s="697"/>
      <c r="AG56" s="697"/>
      <c r="AH56" s="697"/>
      <c r="AI56" s="697"/>
      <c r="AJ56" s="697"/>
      <c r="AK56" s="697"/>
      <c r="AL56" s="697"/>
      <c r="AM56" s="697"/>
      <c r="AN56" s="697"/>
      <c r="AO56" s="697"/>
      <c r="AP56" s="697"/>
      <c r="AQ56" s="697"/>
      <c r="AR56" s="697"/>
      <c r="AS56" s="697"/>
      <c r="AT56" s="697"/>
      <c r="AU56" s="697"/>
      <c r="AV56" s="697"/>
      <c r="AW56" s="697"/>
      <c r="AX56" s="697"/>
      <c r="AY56" s="697"/>
      <c r="AZ56" s="697"/>
      <c r="BA56" s="697"/>
      <c r="BB56" s="697"/>
      <c r="BC56" s="697"/>
      <c r="BD56" s="697"/>
      <c r="BE56" s="697"/>
      <c r="BF56" s="697"/>
      <c r="BG56" s="697"/>
      <c r="BH56" s="697"/>
      <c r="BI56" s="697"/>
      <c r="BJ56" s="697"/>
      <c r="BK56" s="697"/>
      <c r="BL56" s="697"/>
      <c r="BM56" s="697"/>
      <c r="BN56" s="697"/>
      <c r="BO56" s="697"/>
      <c r="BP56" s="697"/>
      <c r="BQ56" s="697"/>
      <c r="BR56" s="697"/>
      <c r="BS56" s="697"/>
      <c r="BT56" s="697"/>
      <c r="BU56" s="697"/>
      <c r="BV56" s="697"/>
      <c r="BW56" s="697"/>
      <c r="BX56" s="697"/>
      <c r="BY56" s="697"/>
      <c r="BZ56" s="697"/>
      <c r="CA56" s="697"/>
      <c r="CB56" s="697"/>
      <c r="CC56" s="697"/>
      <c r="CD56" s="697"/>
      <c r="CE56" s="697"/>
      <c r="CF56" s="697"/>
      <c r="CG56" s="697"/>
      <c r="CH56" s="697"/>
      <c r="CI56" s="697"/>
      <c r="CJ56" s="697"/>
      <c r="CK56" s="697"/>
      <c r="CL56" s="697"/>
      <c r="CM56" s="697"/>
      <c r="CN56" s="697"/>
      <c r="CO56" s="697"/>
      <c r="CP56" s="697"/>
      <c r="CQ56" s="697"/>
      <c r="CR56" s="697"/>
      <c r="CS56" s="697"/>
      <c r="CT56" s="697"/>
      <c r="CU56" s="697"/>
      <c r="CV56" s="697"/>
      <c r="CW56" s="697"/>
      <c r="CX56" s="697"/>
      <c r="CY56" s="697"/>
      <c r="CZ56" s="697"/>
      <c r="DA56" s="697"/>
      <c r="DB56" s="697"/>
    </row>
    <row r="57" spans="1:106" hidden="1" outlineLevel="1" x14ac:dyDescent="0.2">
      <c r="A57" s="709">
        <f t="shared" si="0"/>
        <v>36861</v>
      </c>
      <c r="B57" s="709" t="str">
        <f t="shared" si="1"/>
        <v>4Q00</v>
      </c>
      <c r="C57" s="709" t="str">
        <f t="shared" si="2"/>
        <v>1Q01</v>
      </c>
      <c r="D57" s="710">
        <f t="shared" si="32"/>
        <v>36949</v>
      </c>
      <c r="E57" s="710">
        <f t="shared" si="32"/>
        <v>36889</v>
      </c>
      <c r="F57" s="712">
        <v>26.52</v>
      </c>
      <c r="G57" s="713">
        <f t="shared" si="3"/>
        <v>1.4900000000000011</v>
      </c>
      <c r="H57" s="713">
        <f t="shared" si="4"/>
        <v>1.4900000000000011</v>
      </c>
      <c r="I57" s="713">
        <f t="shared" si="8"/>
        <v>3.7499999999999942</v>
      </c>
      <c r="J57" s="713">
        <f t="shared" si="6"/>
        <v>3.799999999999994</v>
      </c>
      <c r="K57" s="713">
        <f t="shared" si="9"/>
        <v>0.53000000000000025</v>
      </c>
      <c r="L57" s="697"/>
      <c r="M57" s="697"/>
      <c r="N57" s="697"/>
      <c r="O57" s="697"/>
      <c r="P57" s="697"/>
      <c r="Q57" s="697"/>
      <c r="R57" s="697"/>
      <c r="S57" s="697"/>
      <c r="T57" s="697"/>
      <c r="U57" s="697"/>
      <c r="V57" s="697"/>
      <c r="W57" s="697"/>
      <c r="X57" s="697"/>
      <c r="Y57" s="697"/>
      <c r="Z57" s="697"/>
      <c r="AA57" s="697"/>
      <c r="AB57" s="697"/>
      <c r="AC57" s="697"/>
      <c r="AD57" s="697"/>
      <c r="AE57" s="697"/>
      <c r="AF57" s="697"/>
      <c r="AG57" s="697"/>
      <c r="AH57" s="697"/>
      <c r="AI57" s="697"/>
      <c r="AJ57" s="697"/>
      <c r="AK57" s="697"/>
      <c r="AL57" s="697"/>
      <c r="AM57" s="697"/>
      <c r="AN57" s="697"/>
      <c r="AO57" s="697"/>
      <c r="AP57" s="697"/>
      <c r="AQ57" s="697"/>
      <c r="AR57" s="697"/>
      <c r="AS57" s="697"/>
      <c r="AT57" s="697"/>
      <c r="AU57" s="697"/>
      <c r="AV57" s="697"/>
      <c r="AW57" s="697"/>
      <c r="AX57" s="697"/>
      <c r="AY57" s="697"/>
      <c r="AZ57" s="697"/>
      <c r="BA57" s="697"/>
      <c r="BB57" s="697"/>
      <c r="BC57" s="697"/>
      <c r="BD57" s="697"/>
      <c r="BE57" s="697"/>
      <c r="BF57" s="697"/>
      <c r="BG57" s="697"/>
      <c r="BH57" s="697"/>
      <c r="BI57" s="697"/>
      <c r="BJ57" s="697"/>
      <c r="BK57" s="697"/>
      <c r="BL57" s="697"/>
      <c r="BM57" s="697"/>
      <c r="BN57" s="697"/>
      <c r="BO57" s="697"/>
      <c r="BP57" s="697"/>
      <c r="BQ57" s="697"/>
      <c r="BR57" s="697"/>
      <c r="BS57" s="697"/>
      <c r="BT57" s="697"/>
      <c r="BU57" s="697"/>
      <c r="BV57" s="697"/>
      <c r="BW57" s="697"/>
      <c r="BX57" s="697"/>
      <c r="BY57" s="697"/>
      <c r="BZ57" s="697"/>
      <c r="CA57" s="697"/>
      <c r="CB57" s="697"/>
      <c r="CC57" s="697"/>
      <c r="CD57" s="697"/>
      <c r="CE57" s="697"/>
      <c r="CF57" s="697"/>
      <c r="CG57" s="697"/>
      <c r="CH57" s="697"/>
      <c r="CI57" s="697"/>
      <c r="CJ57" s="697"/>
      <c r="CK57" s="697"/>
      <c r="CL57" s="697"/>
      <c r="CM57" s="697"/>
      <c r="CN57" s="697"/>
      <c r="CO57" s="697"/>
      <c r="CP57" s="697"/>
      <c r="CQ57" s="697"/>
      <c r="CR57" s="697"/>
      <c r="CS57" s="697"/>
      <c r="CT57" s="697"/>
      <c r="CU57" s="697"/>
      <c r="CV57" s="697"/>
      <c r="CW57" s="697"/>
      <c r="CX57" s="697"/>
      <c r="CY57" s="697"/>
      <c r="CZ57" s="697"/>
      <c r="DA57" s="697"/>
      <c r="DB57" s="697"/>
    </row>
    <row r="58" spans="1:106" hidden="1" outlineLevel="1" x14ac:dyDescent="0.2">
      <c r="A58" s="709">
        <f t="shared" si="0"/>
        <v>36892</v>
      </c>
      <c r="B58" s="709" t="str">
        <f t="shared" si="1"/>
        <v>1Q01</v>
      </c>
      <c r="C58" s="709" t="str">
        <f t="shared" si="2"/>
        <v>1Q01</v>
      </c>
      <c r="D58" s="710">
        <f t="shared" si="32"/>
        <v>36956</v>
      </c>
      <c r="E58" s="710">
        <f t="shared" si="32"/>
        <v>36896</v>
      </c>
      <c r="F58" s="712">
        <v>27.8</v>
      </c>
      <c r="G58" s="713">
        <f t="shared" si="3"/>
        <v>1.4900000000000011</v>
      </c>
      <c r="H58" s="713">
        <f t="shared" si="4"/>
        <v>1.4900000000000011</v>
      </c>
      <c r="I58" s="713">
        <f t="shared" si="8"/>
        <v>3.799999999999994</v>
      </c>
      <c r="J58" s="713">
        <f t="shared" si="6"/>
        <v>3.8499999999999939</v>
      </c>
      <c r="K58" s="713">
        <f t="shared" si="9"/>
        <v>0.54000000000000026</v>
      </c>
      <c r="L58" s="697"/>
      <c r="M58" s="697"/>
      <c r="N58" s="697"/>
      <c r="O58" s="697"/>
      <c r="P58" s="697"/>
      <c r="Q58" s="697"/>
      <c r="R58" s="697"/>
      <c r="S58" s="697"/>
      <c r="T58" s="697"/>
      <c r="U58" s="697"/>
      <c r="V58" s="697"/>
      <c r="W58" s="697"/>
      <c r="X58" s="697"/>
      <c r="Y58" s="697"/>
      <c r="Z58" s="697"/>
      <c r="AA58" s="697"/>
      <c r="AB58" s="697"/>
      <c r="AC58" s="697"/>
      <c r="AD58" s="697"/>
      <c r="AE58" s="697"/>
      <c r="AF58" s="697"/>
      <c r="AG58" s="697"/>
      <c r="AH58" s="697"/>
      <c r="AI58" s="697"/>
      <c r="AJ58" s="697"/>
      <c r="AK58" s="697"/>
      <c r="AL58" s="697"/>
      <c r="AM58" s="697"/>
      <c r="AN58" s="697"/>
      <c r="AO58" s="697"/>
      <c r="AP58" s="697"/>
      <c r="AQ58" s="697"/>
      <c r="AR58" s="697"/>
      <c r="AS58" s="697"/>
      <c r="AT58" s="697"/>
      <c r="AU58" s="697"/>
      <c r="AV58" s="697"/>
      <c r="AW58" s="697"/>
      <c r="AX58" s="697"/>
      <c r="AY58" s="697"/>
      <c r="AZ58" s="697"/>
      <c r="BA58" s="697"/>
      <c r="BB58" s="697"/>
      <c r="BC58" s="697"/>
      <c r="BD58" s="697"/>
      <c r="BE58" s="697"/>
      <c r="BF58" s="697"/>
      <c r="BG58" s="697"/>
      <c r="BH58" s="697"/>
      <c r="BI58" s="697"/>
      <c r="BJ58" s="697"/>
      <c r="BK58" s="697"/>
      <c r="BL58" s="697"/>
      <c r="BM58" s="697"/>
      <c r="BN58" s="697"/>
      <c r="BO58" s="697"/>
      <c r="BP58" s="697"/>
      <c r="BQ58" s="697"/>
      <c r="BR58" s="697"/>
      <c r="BS58" s="697"/>
      <c r="BT58" s="697"/>
      <c r="BU58" s="697"/>
      <c r="BV58" s="697"/>
      <c r="BW58" s="697"/>
      <c r="BX58" s="697"/>
      <c r="BY58" s="697"/>
      <c r="BZ58" s="697"/>
      <c r="CA58" s="697"/>
      <c r="CB58" s="697"/>
      <c r="CC58" s="697"/>
      <c r="CD58" s="697"/>
      <c r="CE58" s="697"/>
      <c r="CF58" s="697"/>
      <c r="CG58" s="697"/>
      <c r="CH58" s="697"/>
      <c r="CI58" s="697"/>
      <c r="CJ58" s="697"/>
      <c r="CK58" s="697"/>
      <c r="CL58" s="697"/>
      <c r="CM58" s="697"/>
      <c r="CN58" s="697"/>
      <c r="CO58" s="697"/>
      <c r="CP58" s="697"/>
      <c r="CQ58" s="697"/>
      <c r="CR58" s="697"/>
      <c r="CS58" s="697"/>
      <c r="CT58" s="697"/>
      <c r="CU58" s="697"/>
      <c r="CV58" s="697"/>
      <c r="CW58" s="697"/>
      <c r="CX58" s="697"/>
      <c r="CY58" s="697"/>
      <c r="CZ58" s="697"/>
      <c r="DA58" s="697"/>
      <c r="DB58" s="697"/>
    </row>
    <row r="59" spans="1:106" hidden="1" outlineLevel="1" x14ac:dyDescent="0.2">
      <c r="A59" s="709">
        <f t="shared" si="0"/>
        <v>36892</v>
      </c>
      <c r="B59" s="709" t="str">
        <f t="shared" si="1"/>
        <v>1Q01</v>
      </c>
      <c r="C59" s="709" t="str">
        <f t="shared" si="2"/>
        <v>1Q01</v>
      </c>
      <c r="D59" s="710">
        <f t="shared" si="32"/>
        <v>36963</v>
      </c>
      <c r="E59" s="710">
        <f t="shared" si="32"/>
        <v>36903</v>
      </c>
      <c r="F59" s="712">
        <v>28.81</v>
      </c>
      <c r="G59" s="713">
        <f t="shared" si="3"/>
        <v>1.4900000000000011</v>
      </c>
      <c r="H59" s="713">
        <f t="shared" si="4"/>
        <v>1.4900000000000011</v>
      </c>
      <c r="I59" s="713">
        <f t="shared" si="8"/>
        <v>3.8499999999999939</v>
      </c>
      <c r="J59" s="713">
        <f t="shared" si="6"/>
        <v>3.8999999999999937</v>
      </c>
      <c r="K59" s="713">
        <f t="shared" si="9"/>
        <v>0.55000000000000027</v>
      </c>
      <c r="L59" s="697"/>
      <c r="M59" s="697"/>
      <c r="N59" s="697"/>
      <c r="O59" s="697"/>
      <c r="P59" s="697"/>
      <c r="Q59" s="697"/>
      <c r="R59" s="697"/>
      <c r="S59" s="697"/>
      <c r="T59" s="697"/>
      <c r="U59" s="697"/>
      <c r="V59" s="697"/>
      <c r="W59" s="697"/>
      <c r="X59" s="697"/>
      <c r="Y59" s="697"/>
      <c r="Z59" s="697"/>
      <c r="AA59" s="697"/>
      <c r="AB59" s="697"/>
      <c r="AC59" s="697"/>
      <c r="AD59" s="697"/>
      <c r="AE59" s="697"/>
      <c r="AF59" s="697"/>
      <c r="AG59" s="697"/>
      <c r="AH59" s="697"/>
      <c r="AI59" s="697"/>
      <c r="AJ59" s="697"/>
      <c r="AK59" s="697"/>
      <c r="AL59" s="697"/>
      <c r="AM59" s="697"/>
      <c r="AN59" s="697"/>
      <c r="AO59" s="697"/>
      <c r="AP59" s="697"/>
      <c r="AQ59" s="697"/>
      <c r="AR59" s="697"/>
      <c r="AS59" s="697"/>
      <c r="AT59" s="697"/>
      <c r="AU59" s="697"/>
      <c r="AV59" s="697"/>
      <c r="AW59" s="697"/>
      <c r="AX59" s="697"/>
      <c r="AY59" s="697"/>
      <c r="AZ59" s="697"/>
      <c r="BA59" s="697"/>
      <c r="BB59" s="697"/>
      <c r="BC59" s="697"/>
      <c r="BD59" s="697"/>
      <c r="BE59" s="697"/>
      <c r="BF59" s="697"/>
      <c r="BG59" s="697"/>
      <c r="BH59" s="697"/>
      <c r="BI59" s="697"/>
      <c r="BJ59" s="697"/>
      <c r="BK59" s="697"/>
      <c r="BL59" s="697"/>
      <c r="BM59" s="697"/>
      <c r="BN59" s="697"/>
      <c r="BO59" s="697"/>
      <c r="BP59" s="697"/>
      <c r="BQ59" s="697"/>
      <c r="BR59" s="697"/>
      <c r="BS59" s="697"/>
      <c r="BT59" s="697"/>
      <c r="BU59" s="697"/>
      <c r="BV59" s="697"/>
      <c r="BW59" s="697"/>
      <c r="BX59" s="697"/>
      <c r="BY59" s="697"/>
      <c r="BZ59" s="697"/>
      <c r="CA59" s="697"/>
      <c r="CB59" s="697"/>
      <c r="CC59" s="697"/>
      <c r="CD59" s="697"/>
      <c r="CE59" s="697"/>
      <c r="CF59" s="697"/>
      <c r="CG59" s="697"/>
      <c r="CH59" s="697"/>
      <c r="CI59" s="697"/>
      <c r="CJ59" s="697"/>
      <c r="CK59" s="697"/>
      <c r="CL59" s="697"/>
      <c r="CM59" s="697"/>
      <c r="CN59" s="697"/>
      <c r="CO59" s="697"/>
      <c r="CP59" s="697"/>
      <c r="CQ59" s="697"/>
      <c r="CR59" s="697"/>
      <c r="CS59" s="697"/>
      <c r="CT59" s="697"/>
      <c r="CU59" s="697"/>
      <c r="CV59" s="697"/>
      <c r="CW59" s="697"/>
      <c r="CX59" s="697"/>
      <c r="CY59" s="697"/>
      <c r="CZ59" s="697"/>
      <c r="DA59" s="697"/>
      <c r="DB59" s="697"/>
    </row>
    <row r="60" spans="1:106" hidden="1" outlineLevel="1" x14ac:dyDescent="0.2">
      <c r="A60" s="709">
        <f t="shared" si="0"/>
        <v>36892</v>
      </c>
      <c r="B60" s="709" t="str">
        <f t="shared" si="1"/>
        <v>1Q01</v>
      </c>
      <c r="C60" s="709" t="str">
        <f t="shared" si="2"/>
        <v>1Q01</v>
      </c>
      <c r="D60" s="710">
        <f t="shared" si="32"/>
        <v>36970</v>
      </c>
      <c r="E60" s="710">
        <f t="shared" si="32"/>
        <v>36910</v>
      </c>
      <c r="F60" s="712">
        <v>30.63</v>
      </c>
      <c r="G60" s="713">
        <f t="shared" si="3"/>
        <v>1.4900000000000011</v>
      </c>
      <c r="H60" s="713">
        <f t="shared" si="4"/>
        <v>1.4900000000000011</v>
      </c>
      <c r="I60" s="713">
        <f t="shared" si="8"/>
        <v>3.8999999999999937</v>
      </c>
      <c r="J60" s="713">
        <f t="shared" si="6"/>
        <v>3.9499999999999935</v>
      </c>
      <c r="K60" s="713">
        <f t="shared" si="9"/>
        <v>0.56000000000000028</v>
      </c>
      <c r="L60" s="697"/>
      <c r="M60" s="697"/>
      <c r="N60" s="697"/>
      <c r="O60" s="697"/>
      <c r="P60" s="697"/>
      <c r="Q60" s="697"/>
      <c r="R60" s="697"/>
      <c r="S60" s="697"/>
      <c r="T60" s="697"/>
      <c r="U60" s="697"/>
      <c r="V60" s="697"/>
      <c r="W60" s="697"/>
      <c r="X60" s="697"/>
      <c r="Y60" s="697"/>
      <c r="Z60" s="697"/>
      <c r="AA60" s="697"/>
      <c r="AB60" s="697"/>
      <c r="AC60" s="697"/>
      <c r="AD60" s="697"/>
      <c r="AE60" s="697"/>
      <c r="AF60" s="697"/>
      <c r="AG60" s="697"/>
      <c r="AH60" s="697"/>
      <c r="AI60" s="697"/>
      <c r="AJ60" s="697"/>
      <c r="AK60" s="697"/>
      <c r="AL60" s="697"/>
      <c r="AM60" s="697"/>
      <c r="AN60" s="697"/>
      <c r="AO60" s="697"/>
      <c r="AP60" s="697"/>
      <c r="AQ60" s="697"/>
      <c r="AR60" s="697"/>
      <c r="AS60" s="697"/>
      <c r="AT60" s="697"/>
      <c r="AU60" s="697"/>
      <c r="AV60" s="697"/>
      <c r="AW60" s="697"/>
      <c r="AX60" s="697"/>
      <c r="AY60" s="697"/>
      <c r="AZ60" s="697"/>
      <c r="BA60" s="697"/>
      <c r="BB60" s="697"/>
      <c r="BC60" s="697"/>
      <c r="BD60" s="697"/>
      <c r="BE60" s="697"/>
      <c r="BF60" s="697"/>
      <c r="BG60" s="697"/>
      <c r="BH60" s="697"/>
      <c r="BI60" s="697"/>
      <c r="BJ60" s="697"/>
      <c r="BK60" s="697"/>
      <c r="BL60" s="697"/>
      <c r="BM60" s="697"/>
      <c r="BN60" s="697"/>
      <c r="BO60" s="697"/>
      <c r="BP60" s="697"/>
      <c r="BQ60" s="697"/>
      <c r="BR60" s="697"/>
      <c r="BS60" s="697"/>
      <c r="BT60" s="697"/>
      <c r="BU60" s="697"/>
      <c r="BV60" s="697"/>
      <c r="BW60" s="697"/>
      <c r="BX60" s="697"/>
      <c r="BY60" s="697"/>
      <c r="BZ60" s="697"/>
      <c r="CA60" s="697"/>
      <c r="CB60" s="697"/>
      <c r="CC60" s="697"/>
      <c r="CD60" s="697"/>
      <c r="CE60" s="697"/>
      <c r="CF60" s="697"/>
      <c r="CG60" s="697"/>
      <c r="CH60" s="697"/>
      <c r="CI60" s="697"/>
      <c r="CJ60" s="697"/>
      <c r="CK60" s="697"/>
      <c r="CL60" s="697"/>
      <c r="CM60" s="697"/>
      <c r="CN60" s="697"/>
      <c r="CO60" s="697"/>
      <c r="CP60" s="697"/>
      <c r="CQ60" s="697"/>
      <c r="CR60" s="697"/>
      <c r="CS60" s="697"/>
      <c r="CT60" s="697"/>
      <c r="CU60" s="697"/>
      <c r="CV60" s="697"/>
      <c r="CW60" s="697"/>
      <c r="CX60" s="697"/>
      <c r="CY60" s="697"/>
      <c r="CZ60" s="697"/>
      <c r="DA60" s="697"/>
      <c r="DB60" s="697"/>
    </row>
    <row r="61" spans="1:106" hidden="1" outlineLevel="1" x14ac:dyDescent="0.2">
      <c r="A61" s="709">
        <f t="shared" si="0"/>
        <v>36892</v>
      </c>
      <c r="B61" s="709" t="str">
        <f t="shared" si="1"/>
        <v>1Q01</v>
      </c>
      <c r="C61" s="709" t="str">
        <f t="shared" si="2"/>
        <v>1Q01</v>
      </c>
      <c r="D61" s="710">
        <f t="shared" si="32"/>
        <v>36977</v>
      </c>
      <c r="E61" s="710">
        <f t="shared" si="32"/>
        <v>36917</v>
      </c>
      <c r="F61" s="712">
        <v>31.35</v>
      </c>
      <c r="G61" s="713">
        <f t="shared" si="3"/>
        <v>1.4900000000000011</v>
      </c>
      <c r="H61" s="713">
        <f t="shared" si="4"/>
        <v>1.4900000000000011</v>
      </c>
      <c r="I61" s="713">
        <f t="shared" si="8"/>
        <v>3.9499999999999935</v>
      </c>
      <c r="J61" s="713">
        <f t="shared" si="6"/>
        <v>3.9999999999999933</v>
      </c>
      <c r="K61" s="713">
        <f t="shared" si="9"/>
        <v>0.57000000000000028</v>
      </c>
      <c r="L61" s="697"/>
      <c r="M61" s="697"/>
      <c r="N61" s="697"/>
      <c r="O61" s="697"/>
      <c r="P61" s="697"/>
      <c r="Q61" s="697"/>
      <c r="R61" s="697"/>
      <c r="S61" s="697"/>
      <c r="T61" s="697"/>
      <c r="U61" s="697"/>
      <c r="V61" s="697"/>
      <c r="W61" s="697"/>
      <c r="X61" s="697"/>
      <c r="Y61" s="697"/>
      <c r="Z61" s="697"/>
      <c r="AA61" s="697"/>
      <c r="AB61" s="697"/>
      <c r="AC61" s="697"/>
      <c r="AD61" s="697"/>
      <c r="AE61" s="697"/>
      <c r="AF61" s="697"/>
      <c r="AG61" s="697"/>
      <c r="AH61" s="697"/>
      <c r="AI61" s="697"/>
      <c r="AJ61" s="697"/>
      <c r="AK61" s="697"/>
      <c r="AL61" s="697"/>
      <c r="AM61" s="697"/>
      <c r="AN61" s="697"/>
      <c r="AO61" s="697"/>
      <c r="AP61" s="697"/>
      <c r="AQ61" s="697"/>
      <c r="AR61" s="697"/>
      <c r="AS61" s="697"/>
      <c r="AT61" s="697"/>
      <c r="AU61" s="697"/>
      <c r="AV61" s="697"/>
      <c r="AW61" s="697"/>
      <c r="AX61" s="697"/>
      <c r="AY61" s="697"/>
      <c r="AZ61" s="697"/>
      <c r="BA61" s="697"/>
      <c r="BB61" s="697"/>
      <c r="BC61" s="697"/>
      <c r="BD61" s="697"/>
      <c r="BE61" s="697"/>
      <c r="BF61" s="697"/>
      <c r="BG61" s="697"/>
      <c r="BH61" s="697"/>
      <c r="BI61" s="697"/>
      <c r="BJ61" s="697"/>
      <c r="BK61" s="697"/>
      <c r="BL61" s="697"/>
      <c r="BM61" s="697"/>
      <c r="BN61" s="697"/>
      <c r="BO61" s="697"/>
      <c r="BP61" s="697"/>
      <c r="BQ61" s="697"/>
      <c r="BR61" s="697"/>
      <c r="BS61" s="697"/>
      <c r="BT61" s="697"/>
      <c r="BU61" s="697"/>
      <c r="BV61" s="697"/>
      <c r="BW61" s="697"/>
      <c r="BX61" s="697"/>
      <c r="BY61" s="697"/>
      <c r="BZ61" s="697"/>
      <c r="CA61" s="697"/>
      <c r="CB61" s="697"/>
      <c r="CC61" s="697"/>
      <c r="CD61" s="697"/>
      <c r="CE61" s="697"/>
      <c r="CF61" s="697"/>
      <c r="CG61" s="697"/>
      <c r="CH61" s="697"/>
      <c r="CI61" s="697"/>
      <c r="CJ61" s="697"/>
      <c r="CK61" s="697"/>
      <c r="CL61" s="697"/>
      <c r="CM61" s="697"/>
      <c r="CN61" s="697"/>
      <c r="CO61" s="697"/>
      <c r="CP61" s="697"/>
      <c r="CQ61" s="697"/>
      <c r="CR61" s="697"/>
      <c r="CS61" s="697"/>
      <c r="CT61" s="697"/>
      <c r="CU61" s="697"/>
      <c r="CV61" s="697"/>
      <c r="CW61" s="697"/>
      <c r="CX61" s="697"/>
      <c r="CY61" s="697"/>
      <c r="CZ61" s="697"/>
      <c r="DA61" s="697"/>
      <c r="DB61" s="697"/>
    </row>
    <row r="62" spans="1:106" hidden="1" outlineLevel="1" x14ac:dyDescent="0.2">
      <c r="A62" s="709">
        <f t="shared" si="0"/>
        <v>36923</v>
      </c>
      <c r="B62" s="709" t="str">
        <f t="shared" si="1"/>
        <v>1Q01</v>
      </c>
      <c r="C62" s="709" t="str">
        <f t="shared" si="2"/>
        <v>2Q01</v>
      </c>
      <c r="D62" s="710">
        <f t="shared" si="32"/>
        <v>36984</v>
      </c>
      <c r="E62" s="710">
        <f t="shared" si="32"/>
        <v>36924</v>
      </c>
      <c r="F62" s="712">
        <v>29.59</v>
      </c>
      <c r="G62" s="713">
        <f t="shared" si="3"/>
        <v>1.4900000000000011</v>
      </c>
      <c r="H62" s="713">
        <f t="shared" si="4"/>
        <v>1.4900000000000011</v>
      </c>
      <c r="I62" s="713">
        <f t="shared" si="8"/>
        <v>3.9999999999999933</v>
      </c>
      <c r="J62" s="713">
        <f t="shared" si="6"/>
        <v>4.0499999999999936</v>
      </c>
      <c r="K62" s="713">
        <f t="shared" si="9"/>
        <v>0.58000000000000029</v>
      </c>
      <c r="L62" s="697"/>
      <c r="M62" s="697"/>
      <c r="N62" s="697"/>
      <c r="O62" s="697"/>
      <c r="P62" s="697"/>
      <c r="Q62" s="697"/>
      <c r="R62" s="697"/>
      <c r="S62" s="697"/>
      <c r="T62" s="697"/>
      <c r="U62" s="697"/>
      <c r="V62" s="697"/>
      <c r="W62" s="697"/>
      <c r="X62" s="697"/>
      <c r="Y62" s="697"/>
      <c r="Z62" s="697"/>
      <c r="AA62" s="697"/>
      <c r="AB62" s="697"/>
      <c r="AC62" s="697"/>
      <c r="AD62" s="697"/>
      <c r="AE62" s="697"/>
      <c r="AF62" s="697"/>
      <c r="AG62" s="697"/>
      <c r="AH62" s="697"/>
      <c r="AI62" s="697"/>
      <c r="AJ62" s="697"/>
      <c r="AK62" s="697"/>
      <c r="AL62" s="697"/>
      <c r="AM62" s="697"/>
      <c r="AN62" s="697"/>
      <c r="AO62" s="697"/>
      <c r="AP62" s="697"/>
      <c r="AQ62" s="697"/>
      <c r="AR62" s="697"/>
      <c r="AS62" s="697"/>
      <c r="AT62" s="697"/>
      <c r="AU62" s="697"/>
      <c r="AV62" s="697"/>
      <c r="AW62" s="697"/>
      <c r="AX62" s="697"/>
      <c r="AY62" s="697"/>
      <c r="AZ62" s="697"/>
      <c r="BA62" s="697"/>
      <c r="BB62" s="697"/>
      <c r="BC62" s="697"/>
      <c r="BD62" s="697"/>
      <c r="BE62" s="697"/>
      <c r="BF62" s="697"/>
      <c r="BG62" s="697"/>
      <c r="BH62" s="697"/>
      <c r="BI62" s="697"/>
      <c r="BJ62" s="697"/>
      <c r="BK62" s="697"/>
      <c r="BL62" s="697"/>
      <c r="BM62" s="697"/>
      <c r="BN62" s="697"/>
      <c r="BO62" s="697"/>
      <c r="BP62" s="697"/>
      <c r="BQ62" s="697"/>
      <c r="BR62" s="697"/>
      <c r="BS62" s="697"/>
      <c r="BT62" s="697"/>
      <c r="BU62" s="697"/>
      <c r="BV62" s="697"/>
      <c r="BW62" s="697"/>
      <c r="BX62" s="697"/>
      <c r="BY62" s="697"/>
      <c r="BZ62" s="697"/>
      <c r="CA62" s="697"/>
      <c r="CB62" s="697"/>
      <c r="CC62" s="697"/>
      <c r="CD62" s="697"/>
      <c r="CE62" s="697"/>
      <c r="CF62" s="697"/>
      <c r="CG62" s="697"/>
      <c r="CH62" s="697"/>
      <c r="CI62" s="697"/>
      <c r="CJ62" s="697"/>
      <c r="CK62" s="697"/>
      <c r="CL62" s="697"/>
      <c r="CM62" s="697"/>
      <c r="CN62" s="697"/>
      <c r="CO62" s="697"/>
      <c r="CP62" s="697"/>
      <c r="CQ62" s="697"/>
      <c r="CR62" s="697"/>
      <c r="CS62" s="697"/>
      <c r="CT62" s="697"/>
      <c r="CU62" s="697"/>
      <c r="CV62" s="697"/>
      <c r="CW62" s="697"/>
      <c r="CX62" s="697"/>
      <c r="CY62" s="697"/>
      <c r="CZ62" s="697"/>
      <c r="DA62" s="697"/>
      <c r="DB62" s="697"/>
    </row>
    <row r="63" spans="1:106" hidden="1" outlineLevel="1" x14ac:dyDescent="0.2">
      <c r="A63" s="709">
        <f t="shared" si="0"/>
        <v>36923</v>
      </c>
      <c r="B63" s="709" t="str">
        <f t="shared" si="1"/>
        <v>1Q01</v>
      </c>
      <c r="C63" s="709" t="str">
        <f t="shared" si="2"/>
        <v>2Q01</v>
      </c>
      <c r="D63" s="710">
        <f t="shared" si="32"/>
        <v>36991</v>
      </c>
      <c r="E63" s="710">
        <f t="shared" si="32"/>
        <v>36931</v>
      </c>
      <c r="F63" s="712">
        <v>30.92</v>
      </c>
      <c r="G63" s="713">
        <f t="shared" si="3"/>
        <v>1.4900000000000011</v>
      </c>
      <c r="H63" s="713">
        <f t="shared" si="4"/>
        <v>1.4900000000000011</v>
      </c>
      <c r="I63" s="713">
        <f t="shared" si="8"/>
        <v>4.0499999999999936</v>
      </c>
      <c r="J63" s="713">
        <f t="shared" si="6"/>
        <v>4.0999999999999934</v>
      </c>
      <c r="K63" s="713">
        <f t="shared" si="9"/>
        <v>0.5900000000000003</v>
      </c>
      <c r="L63" s="697"/>
      <c r="M63" s="697"/>
      <c r="N63" s="697"/>
      <c r="O63" s="697"/>
      <c r="P63" s="697"/>
      <c r="Q63" s="697"/>
      <c r="R63" s="697"/>
      <c r="S63" s="697"/>
      <c r="T63" s="697"/>
      <c r="U63" s="697"/>
      <c r="V63" s="697"/>
      <c r="W63" s="697"/>
      <c r="X63" s="697"/>
      <c r="Y63" s="697"/>
      <c r="Z63" s="697"/>
      <c r="AA63" s="697"/>
      <c r="AB63" s="697"/>
      <c r="AC63" s="697"/>
      <c r="AD63" s="697"/>
      <c r="AE63" s="697"/>
      <c r="AF63" s="697"/>
      <c r="AG63" s="697"/>
      <c r="AH63" s="697"/>
      <c r="AI63" s="697"/>
      <c r="AJ63" s="697"/>
      <c r="AK63" s="697"/>
      <c r="AL63" s="697"/>
      <c r="AM63" s="697"/>
      <c r="AN63" s="697"/>
      <c r="AO63" s="697"/>
      <c r="AP63" s="697"/>
      <c r="AQ63" s="697"/>
      <c r="AR63" s="697"/>
      <c r="AS63" s="697"/>
      <c r="AT63" s="697"/>
      <c r="AU63" s="697"/>
      <c r="AV63" s="697"/>
      <c r="AW63" s="697"/>
      <c r="AX63" s="697"/>
      <c r="AY63" s="697"/>
      <c r="AZ63" s="697"/>
      <c r="BA63" s="697"/>
      <c r="BB63" s="697"/>
      <c r="BC63" s="697"/>
      <c r="BD63" s="697"/>
      <c r="BE63" s="697"/>
      <c r="BF63" s="697"/>
      <c r="BG63" s="697"/>
      <c r="BH63" s="697"/>
      <c r="BI63" s="697"/>
      <c r="BJ63" s="697"/>
      <c r="BK63" s="697"/>
      <c r="BL63" s="697"/>
      <c r="BM63" s="697"/>
      <c r="BN63" s="697"/>
      <c r="BO63" s="697"/>
      <c r="BP63" s="697"/>
      <c r="BQ63" s="697"/>
      <c r="BR63" s="697"/>
      <c r="BS63" s="697"/>
      <c r="BT63" s="697"/>
      <c r="BU63" s="697"/>
      <c r="BV63" s="697"/>
      <c r="BW63" s="697"/>
      <c r="BX63" s="697"/>
      <c r="BY63" s="697"/>
      <c r="BZ63" s="697"/>
      <c r="CA63" s="697"/>
      <c r="CB63" s="697"/>
      <c r="CC63" s="697"/>
      <c r="CD63" s="697"/>
      <c r="CE63" s="697"/>
      <c r="CF63" s="697"/>
      <c r="CG63" s="697"/>
      <c r="CH63" s="697"/>
      <c r="CI63" s="697"/>
      <c r="CJ63" s="697"/>
      <c r="CK63" s="697"/>
      <c r="CL63" s="697"/>
      <c r="CM63" s="697"/>
      <c r="CN63" s="697"/>
      <c r="CO63" s="697"/>
      <c r="CP63" s="697"/>
      <c r="CQ63" s="697"/>
      <c r="CR63" s="697"/>
      <c r="CS63" s="697"/>
      <c r="CT63" s="697"/>
      <c r="CU63" s="697"/>
      <c r="CV63" s="697"/>
      <c r="CW63" s="697"/>
      <c r="CX63" s="697"/>
      <c r="CY63" s="697"/>
      <c r="CZ63" s="697"/>
      <c r="DA63" s="697"/>
      <c r="DB63" s="697"/>
    </row>
    <row r="64" spans="1:106" hidden="1" outlineLevel="1" x14ac:dyDescent="0.2">
      <c r="A64" s="709">
        <f t="shared" si="0"/>
        <v>36923</v>
      </c>
      <c r="B64" s="709" t="str">
        <f t="shared" si="1"/>
        <v>1Q01</v>
      </c>
      <c r="C64" s="709" t="str">
        <f t="shared" si="2"/>
        <v>2Q01</v>
      </c>
      <c r="D64" s="710">
        <f t="shared" si="32"/>
        <v>36998</v>
      </c>
      <c r="E64" s="710">
        <f t="shared" si="32"/>
        <v>36938</v>
      </c>
      <c r="F64" s="712">
        <v>29.67</v>
      </c>
      <c r="G64" s="713">
        <f t="shared" si="3"/>
        <v>1.4900000000000011</v>
      </c>
      <c r="H64" s="713">
        <f t="shared" si="4"/>
        <v>1.4900000000000011</v>
      </c>
      <c r="I64" s="713">
        <f t="shared" si="8"/>
        <v>4.0999999999999934</v>
      </c>
      <c r="J64" s="713">
        <f t="shared" si="6"/>
        <v>4.1499999999999932</v>
      </c>
      <c r="K64" s="713">
        <f t="shared" si="9"/>
        <v>0.60000000000000031</v>
      </c>
      <c r="L64" s="697"/>
      <c r="M64" s="697"/>
      <c r="N64" s="697"/>
      <c r="O64" s="697"/>
      <c r="P64" s="697"/>
      <c r="Q64" s="697"/>
      <c r="R64" s="697"/>
      <c r="S64" s="697"/>
      <c r="T64" s="697"/>
      <c r="U64" s="697"/>
      <c r="V64" s="697"/>
      <c r="W64" s="697"/>
      <c r="X64" s="697"/>
      <c r="Y64" s="697"/>
      <c r="Z64" s="697"/>
      <c r="AA64" s="697"/>
      <c r="AB64" s="697"/>
      <c r="AC64" s="697"/>
      <c r="AD64" s="697"/>
      <c r="AE64" s="697"/>
      <c r="AF64" s="697"/>
      <c r="AG64" s="697"/>
      <c r="AH64" s="697"/>
      <c r="AI64" s="697"/>
      <c r="AJ64" s="697"/>
      <c r="AK64" s="697"/>
      <c r="AL64" s="697"/>
      <c r="AM64" s="697"/>
      <c r="AN64" s="697"/>
      <c r="AO64" s="697"/>
      <c r="AP64" s="697"/>
      <c r="AQ64" s="697"/>
      <c r="AR64" s="697"/>
      <c r="AS64" s="697"/>
      <c r="AT64" s="697"/>
      <c r="AU64" s="697"/>
      <c r="AV64" s="697"/>
      <c r="AW64" s="697"/>
      <c r="AX64" s="697"/>
      <c r="AY64" s="697"/>
      <c r="AZ64" s="697"/>
      <c r="BA64" s="697"/>
      <c r="BB64" s="697"/>
      <c r="BC64" s="697"/>
      <c r="BD64" s="697"/>
      <c r="BE64" s="697"/>
      <c r="BF64" s="697"/>
      <c r="BG64" s="697"/>
      <c r="BH64" s="697"/>
      <c r="BI64" s="697"/>
      <c r="BJ64" s="697"/>
      <c r="BK64" s="697"/>
      <c r="BL64" s="697"/>
      <c r="BM64" s="697"/>
      <c r="BN64" s="697"/>
      <c r="BO64" s="697"/>
      <c r="BP64" s="697"/>
      <c r="BQ64" s="697"/>
      <c r="BR64" s="697"/>
      <c r="BS64" s="697"/>
      <c r="BT64" s="697"/>
      <c r="BU64" s="697"/>
      <c r="BV64" s="697"/>
      <c r="BW64" s="697"/>
      <c r="BX64" s="697"/>
      <c r="BY64" s="697"/>
      <c r="BZ64" s="697"/>
      <c r="CA64" s="697"/>
      <c r="CB64" s="697"/>
      <c r="CC64" s="697"/>
      <c r="CD64" s="697"/>
      <c r="CE64" s="697"/>
      <c r="CF64" s="697"/>
      <c r="CG64" s="697"/>
      <c r="CH64" s="697"/>
      <c r="CI64" s="697"/>
      <c r="CJ64" s="697"/>
      <c r="CK64" s="697"/>
      <c r="CL64" s="697"/>
      <c r="CM64" s="697"/>
      <c r="CN64" s="697"/>
      <c r="CO64" s="697"/>
      <c r="CP64" s="697"/>
      <c r="CQ64" s="697"/>
      <c r="CR64" s="697"/>
      <c r="CS64" s="697"/>
      <c r="CT64" s="697"/>
      <c r="CU64" s="697"/>
      <c r="CV64" s="697"/>
      <c r="CW64" s="697"/>
      <c r="CX64" s="697"/>
      <c r="CY64" s="697"/>
      <c r="CZ64" s="697"/>
      <c r="DA64" s="697"/>
      <c r="DB64" s="697"/>
    </row>
    <row r="65" spans="1:106" hidden="1" outlineLevel="1" x14ac:dyDescent="0.2">
      <c r="A65" s="709">
        <f t="shared" si="0"/>
        <v>36923</v>
      </c>
      <c r="B65" s="709" t="str">
        <f t="shared" si="1"/>
        <v>1Q01</v>
      </c>
      <c r="C65" s="709" t="str">
        <f t="shared" si="2"/>
        <v>2Q01</v>
      </c>
      <c r="D65" s="710">
        <f t="shared" si="32"/>
        <v>37005</v>
      </c>
      <c r="E65" s="710">
        <f t="shared" si="32"/>
        <v>36945</v>
      </c>
      <c r="F65" s="712">
        <v>28.65</v>
      </c>
      <c r="G65" s="713">
        <f t="shared" si="3"/>
        <v>1.4900000000000011</v>
      </c>
      <c r="H65" s="713">
        <f t="shared" si="4"/>
        <v>1.4900000000000011</v>
      </c>
      <c r="I65" s="713">
        <f t="shared" si="8"/>
        <v>4.1499999999999932</v>
      </c>
      <c r="J65" s="713">
        <f t="shared" si="6"/>
        <v>4.1999999999999931</v>
      </c>
      <c r="K65" s="713">
        <f t="shared" si="9"/>
        <v>0.61000000000000032</v>
      </c>
      <c r="L65" s="697"/>
      <c r="M65" s="697"/>
      <c r="N65" s="697"/>
      <c r="O65" s="697"/>
      <c r="P65" s="697"/>
      <c r="Q65" s="697"/>
      <c r="R65" s="697"/>
      <c r="S65" s="697"/>
      <c r="T65" s="697"/>
      <c r="U65" s="697"/>
      <c r="V65" s="697"/>
      <c r="W65" s="697"/>
      <c r="X65" s="697"/>
      <c r="Y65" s="697"/>
      <c r="Z65" s="697"/>
      <c r="AA65" s="697"/>
      <c r="AB65" s="697"/>
      <c r="AC65" s="697"/>
      <c r="AD65" s="697"/>
      <c r="AE65" s="697"/>
      <c r="AF65" s="697"/>
      <c r="AG65" s="697"/>
      <c r="AH65" s="697"/>
      <c r="AI65" s="697"/>
      <c r="AJ65" s="697"/>
      <c r="AK65" s="697"/>
      <c r="AL65" s="697"/>
      <c r="AM65" s="697"/>
      <c r="AN65" s="697"/>
      <c r="AO65" s="697"/>
      <c r="AP65" s="697"/>
      <c r="AQ65" s="697"/>
      <c r="AR65" s="697"/>
      <c r="AS65" s="697"/>
      <c r="AT65" s="697"/>
      <c r="AU65" s="697"/>
      <c r="AV65" s="697"/>
      <c r="AW65" s="697"/>
      <c r="AX65" s="697"/>
      <c r="AY65" s="697"/>
      <c r="AZ65" s="697"/>
      <c r="BA65" s="697"/>
      <c r="BB65" s="697"/>
      <c r="BC65" s="697"/>
      <c r="BD65" s="697"/>
      <c r="BE65" s="697"/>
      <c r="BF65" s="697"/>
      <c r="BG65" s="697"/>
      <c r="BH65" s="697"/>
      <c r="BI65" s="697"/>
      <c r="BJ65" s="697"/>
      <c r="BK65" s="697"/>
      <c r="BL65" s="697"/>
      <c r="BM65" s="697"/>
      <c r="BN65" s="697"/>
      <c r="BO65" s="697"/>
      <c r="BP65" s="697"/>
      <c r="BQ65" s="697"/>
      <c r="BR65" s="697"/>
      <c r="BS65" s="697"/>
      <c r="BT65" s="697"/>
      <c r="BU65" s="697"/>
      <c r="BV65" s="697"/>
      <c r="BW65" s="697"/>
      <c r="BX65" s="697"/>
      <c r="BY65" s="697"/>
      <c r="BZ65" s="697"/>
      <c r="CA65" s="697"/>
      <c r="CB65" s="697"/>
      <c r="CC65" s="697"/>
      <c r="CD65" s="697"/>
      <c r="CE65" s="697"/>
      <c r="CF65" s="697"/>
      <c r="CG65" s="697"/>
      <c r="CH65" s="697"/>
      <c r="CI65" s="697"/>
      <c r="CJ65" s="697"/>
      <c r="CK65" s="697"/>
      <c r="CL65" s="697"/>
      <c r="CM65" s="697"/>
      <c r="CN65" s="697"/>
      <c r="CO65" s="697"/>
      <c r="CP65" s="697"/>
      <c r="CQ65" s="697"/>
      <c r="CR65" s="697"/>
      <c r="CS65" s="697"/>
      <c r="CT65" s="697"/>
      <c r="CU65" s="697"/>
      <c r="CV65" s="697"/>
      <c r="CW65" s="697"/>
      <c r="CX65" s="697"/>
      <c r="CY65" s="697"/>
      <c r="CZ65" s="697"/>
      <c r="DA65" s="697"/>
      <c r="DB65" s="697"/>
    </row>
    <row r="66" spans="1:106" hidden="1" outlineLevel="1" x14ac:dyDescent="0.2">
      <c r="A66" s="709">
        <f t="shared" si="0"/>
        <v>36951</v>
      </c>
      <c r="B66" s="709" t="str">
        <f t="shared" si="1"/>
        <v>1Q01</v>
      </c>
      <c r="C66" s="709" t="str">
        <f t="shared" si="2"/>
        <v>2Q01</v>
      </c>
      <c r="D66" s="710">
        <f t="shared" si="32"/>
        <v>37012</v>
      </c>
      <c r="E66" s="710">
        <f t="shared" si="32"/>
        <v>36952</v>
      </c>
      <c r="F66" s="712">
        <v>27.91</v>
      </c>
      <c r="G66" s="713">
        <f t="shared" si="3"/>
        <v>1.4900000000000011</v>
      </c>
      <c r="H66" s="713">
        <f t="shared" si="4"/>
        <v>1.4900000000000011</v>
      </c>
      <c r="I66" s="713">
        <f t="shared" si="8"/>
        <v>4.1999999999999931</v>
      </c>
      <c r="J66" s="713">
        <f t="shared" si="6"/>
        <v>4.2499999999999929</v>
      </c>
      <c r="K66" s="713">
        <f t="shared" si="9"/>
        <v>0.62000000000000033</v>
      </c>
      <c r="L66" s="697"/>
      <c r="M66" s="697"/>
      <c r="N66" s="697"/>
      <c r="O66" s="697"/>
      <c r="P66" s="697"/>
      <c r="Q66" s="697"/>
      <c r="R66" s="697"/>
      <c r="S66" s="697"/>
      <c r="T66" s="697"/>
      <c r="U66" s="697"/>
      <c r="V66" s="697"/>
      <c r="W66" s="697"/>
      <c r="X66" s="697"/>
      <c r="Y66" s="697"/>
      <c r="Z66" s="697"/>
      <c r="AA66" s="697"/>
      <c r="AB66" s="697"/>
      <c r="AC66" s="697"/>
      <c r="AD66" s="697"/>
      <c r="AE66" s="697"/>
      <c r="AF66" s="697"/>
      <c r="AG66" s="697"/>
      <c r="AH66" s="697"/>
      <c r="AI66" s="697"/>
      <c r="AJ66" s="697"/>
      <c r="AK66" s="697"/>
      <c r="AL66" s="697"/>
      <c r="AM66" s="697"/>
      <c r="AN66" s="697"/>
      <c r="AO66" s="697"/>
      <c r="AP66" s="697"/>
      <c r="AQ66" s="697"/>
      <c r="AR66" s="697"/>
      <c r="AS66" s="697"/>
      <c r="AT66" s="697"/>
      <c r="AU66" s="697"/>
      <c r="AV66" s="697"/>
      <c r="AW66" s="697"/>
      <c r="AX66" s="697"/>
      <c r="AY66" s="697"/>
      <c r="AZ66" s="697"/>
      <c r="BA66" s="697"/>
      <c r="BB66" s="697"/>
      <c r="BC66" s="697"/>
      <c r="BD66" s="697"/>
      <c r="BE66" s="697"/>
      <c r="BF66" s="697"/>
      <c r="BG66" s="697"/>
      <c r="BH66" s="697"/>
      <c r="BI66" s="697"/>
      <c r="BJ66" s="697"/>
      <c r="BK66" s="697"/>
      <c r="BL66" s="697"/>
      <c r="BM66" s="697"/>
      <c r="BN66" s="697"/>
      <c r="BO66" s="697"/>
      <c r="BP66" s="697"/>
      <c r="BQ66" s="697"/>
      <c r="BR66" s="697"/>
      <c r="BS66" s="697"/>
      <c r="BT66" s="697"/>
      <c r="BU66" s="697"/>
      <c r="BV66" s="697"/>
      <c r="BW66" s="697"/>
      <c r="BX66" s="697"/>
      <c r="BY66" s="697"/>
      <c r="BZ66" s="697"/>
      <c r="CA66" s="697"/>
      <c r="CB66" s="697"/>
      <c r="CC66" s="697"/>
      <c r="CD66" s="697"/>
      <c r="CE66" s="697"/>
      <c r="CF66" s="697"/>
      <c r="CG66" s="697"/>
      <c r="CH66" s="697"/>
      <c r="CI66" s="697"/>
      <c r="CJ66" s="697"/>
      <c r="CK66" s="697"/>
      <c r="CL66" s="697"/>
      <c r="CM66" s="697"/>
      <c r="CN66" s="697"/>
      <c r="CO66" s="697"/>
      <c r="CP66" s="697"/>
      <c r="CQ66" s="697"/>
      <c r="CR66" s="697"/>
      <c r="CS66" s="697"/>
      <c r="CT66" s="697"/>
      <c r="CU66" s="697"/>
      <c r="CV66" s="697"/>
      <c r="CW66" s="697"/>
      <c r="CX66" s="697"/>
      <c r="CY66" s="697"/>
      <c r="CZ66" s="697"/>
      <c r="DA66" s="697"/>
      <c r="DB66" s="697"/>
    </row>
    <row r="67" spans="1:106" hidden="1" outlineLevel="1" x14ac:dyDescent="0.2">
      <c r="A67" s="709">
        <f t="shared" si="0"/>
        <v>36951</v>
      </c>
      <c r="B67" s="709" t="str">
        <f t="shared" si="1"/>
        <v>1Q01</v>
      </c>
      <c r="C67" s="709" t="str">
        <f t="shared" si="2"/>
        <v>2Q01</v>
      </c>
      <c r="D67" s="710">
        <f t="shared" si="32"/>
        <v>37019</v>
      </c>
      <c r="E67" s="710">
        <f t="shared" si="32"/>
        <v>36959</v>
      </c>
      <c r="F67" s="712">
        <v>28.45</v>
      </c>
      <c r="G67" s="713">
        <f t="shared" si="3"/>
        <v>1.4900000000000011</v>
      </c>
      <c r="H67" s="713">
        <f t="shared" si="4"/>
        <v>1.4900000000000011</v>
      </c>
      <c r="I67" s="713">
        <f t="shared" si="8"/>
        <v>4.2499999999999929</v>
      </c>
      <c r="J67" s="713">
        <f t="shared" si="6"/>
        <v>4.2999999999999927</v>
      </c>
      <c r="K67" s="713">
        <f t="shared" si="9"/>
        <v>0.63000000000000034</v>
      </c>
      <c r="L67" s="697"/>
      <c r="M67" s="697"/>
      <c r="N67" s="697"/>
      <c r="O67" s="697"/>
      <c r="P67" s="697"/>
      <c r="Q67" s="697"/>
      <c r="R67" s="697"/>
      <c r="S67" s="697"/>
      <c r="T67" s="697"/>
      <c r="U67" s="697"/>
      <c r="V67" s="697"/>
      <c r="W67" s="697"/>
      <c r="X67" s="697"/>
      <c r="Y67" s="697"/>
      <c r="Z67" s="697"/>
      <c r="AA67" s="697"/>
      <c r="AB67" s="697"/>
      <c r="AC67" s="697"/>
      <c r="AD67" s="697"/>
      <c r="AE67" s="697"/>
      <c r="AF67" s="697"/>
      <c r="AG67" s="697"/>
      <c r="AH67" s="697"/>
      <c r="AI67" s="697"/>
      <c r="AJ67" s="697"/>
      <c r="AK67" s="697"/>
      <c r="AL67" s="697"/>
      <c r="AM67" s="697"/>
      <c r="AN67" s="697"/>
      <c r="AO67" s="697"/>
      <c r="AP67" s="697"/>
      <c r="AQ67" s="697"/>
      <c r="AR67" s="697"/>
      <c r="AS67" s="697"/>
      <c r="AT67" s="697"/>
      <c r="AU67" s="697"/>
      <c r="AV67" s="697"/>
      <c r="AW67" s="697"/>
      <c r="AX67" s="697"/>
      <c r="AY67" s="697"/>
      <c r="AZ67" s="697"/>
      <c r="BA67" s="697"/>
      <c r="BB67" s="697"/>
      <c r="BC67" s="697"/>
      <c r="BD67" s="697"/>
      <c r="BE67" s="697"/>
      <c r="BF67" s="697"/>
      <c r="BG67" s="697"/>
      <c r="BH67" s="697"/>
      <c r="BI67" s="697"/>
      <c r="BJ67" s="697"/>
      <c r="BK67" s="697"/>
      <c r="BL67" s="697"/>
      <c r="BM67" s="697"/>
      <c r="BN67" s="697"/>
      <c r="BO67" s="697"/>
      <c r="BP67" s="697"/>
      <c r="BQ67" s="697"/>
      <c r="BR67" s="697"/>
      <c r="BS67" s="697"/>
      <c r="BT67" s="697"/>
      <c r="BU67" s="697"/>
      <c r="BV67" s="697"/>
      <c r="BW67" s="697"/>
      <c r="BX67" s="697"/>
      <c r="BY67" s="697"/>
      <c r="BZ67" s="697"/>
      <c r="CA67" s="697"/>
      <c r="CB67" s="697"/>
      <c r="CC67" s="697"/>
      <c r="CD67" s="697"/>
      <c r="CE67" s="697"/>
      <c r="CF67" s="697"/>
      <c r="CG67" s="697"/>
      <c r="CH67" s="697"/>
      <c r="CI67" s="697"/>
      <c r="CJ67" s="697"/>
      <c r="CK67" s="697"/>
      <c r="CL67" s="697"/>
      <c r="CM67" s="697"/>
      <c r="CN67" s="697"/>
      <c r="CO67" s="697"/>
      <c r="CP67" s="697"/>
      <c r="CQ67" s="697"/>
      <c r="CR67" s="697"/>
      <c r="CS67" s="697"/>
      <c r="CT67" s="697"/>
      <c r="CU67" s="697"/>
      <c r="CV67" s="697"/>
      <c r="CW67" s="697"/>
      <c r="CX67" s="697"/>
      <c r="CY67" s="697"/>
      <c r="CZ67" s="697"/>
      <c r="DA67" s="697"/>
      <c r="DB67" s="697"/>
    </row>
    <row r="68" spans="1:106" hidden="1" outlineLevel="1" x14ac:dyDescent="0.2">
      <c r="A68" s="709">
        <f t="shared" ref="A68:A131" si="33">DATE(YEAR(E68),MONTH(E68),1)</f>
        <v>36951</v>
      </c>
      <c r="B68" s="709" t="str">
        <f t="shared" ref="B68:B131" si="34">VLOOKUP(MONTH(A68),$N$4:$O$16,2,FALSE) &amp; "Q" &amp; RIGHT(YEAR(A68),2)</f>
        <v>1Q01</v>
      </c>
      <c r="C68" s="709" t="str">
        <f t="shared" ref="C68:C131" si="35">VLOOKUP(MONTH(D68),$N$4:$O$16,2,FALSE) &amp; "Q" &amp; RIGHT(YEAR(D68),2)</f>
        <v>2Q01</v>
      </c>
      <c r="D68" s="710">
        <f t="shared" si="32"/>
        <v>37026</v>
      </c>
      <c r="E68" s="710">
        <f t="shared" si="32"/>
        <v>36966</v>
      </c>
      <c r="F68" s="712">
        <v>27.02</v>
      </c>
      <c r="G68" s="713">
        <f t="shared" ref="G68:G131" si="36">INDEX($I$4:$K$153,MATCH(F68,$I$4:$I$153,1),3)</f>
        <v>1.4900000000000011</v>
      </c>
      <c r="H68" s="713">
        <f t="shared" ref="H68:H131" si="37">G69</f>
        <v>1.4900000000000011</v>
      </c>
      <c r="I68" s="713">
        <f t="shared" si="8"/>
        <v>4.2999999999999927</v>
      </c>
      <c r="J68" s="713">
        <f t="shared" si="6"/>
        <v>4.3499999999999925</v>
      </c>
      <c r="K68" s="713">
        <f t="shared" si="9"/>
        <v>0.64000000000000035</v>
      </c>
      <c r="L68" s="697"/>
      <c r="M68" s="697"/>
      <c r="N68" s="697"/>
      <c r="O68" s="697"/>
      <c r="P68" s="697"/>
      <c r="Q68" s="697"/>
      <c r="R68" s="697"/>
      <c r="S68" s="697"/>
      <c r="T68" s="697"/>
      <c r="U68" s="697"/>
      <c r="V68" s="697"/>
      <c r="W68" s="697"/>
      <c r="X68" s="697"/>
      <c r="Y68" s="697"/>
      <c r="Z68" s="697"/>
      <c r="AA68" s="697"/>
      <c r="AB68" s="697"/>
      <c r="AC68" s="697"/>
      <c r="AD68" s="697"/>
      <c r="AE68" s="697"/>
      <c r="AF68" s="697"/>
      <c r="AG68" s="697"/>
      <c r="AH68" s="697"/>
      <c r="AI68" s="697"/>
      <c r="AJ68" s="697"/>
      <c r="AK68" s="697"/>
      <c r="AL68" s="697"/>
      <c r="AM68" s="697"/>
      <c r="AN68" s="697"/>
      <c r="AO68" s="697"/>
      <c r="AP68" s="697"/>
      <c r="AQ68" s="697"/>
      <c r="AR68" s="697"/>
      <c r="AS68" s="697"/>
      <c r="AT68" s="697"/>
      <c r="AU68" s="697"/>
      <c r="AV68" s="697"/>
      <c r="AW68" s="697"/>
      <c r="AX68" s="697"/>
      <c r="AY68" s="697"/>
      <c r="AZ68" s="697"/>
      <c r="BA68" s="697"/>
      <c r="BB68" s="697"/>
      <c r="BC68" s="697"/>
      <c r="BD68" s="697"/>
      <c r="BE68" s="697"/>
      <c r="BF68" s="697"/>
      <c r="BG68" s="697"/>
      <c r="BH68" s="697"/>
      <c r="BI68" s="697"/>
      <c r="BJ68" s="697"/>
      <c r="BK68" s="697"/>
      <c r="BL68" s="697"/>
      <c r="BM68" s="697"/>
      <c r="BN68" s="697"/>
      <c r="BO68" s="697"/>
      <c r="BP68" s="697"/>
      <c r="BQ68" s="697"/>
      <c r="BR68" s="697"/>
      <c r="BS68" s="697"/>
      <c r="BT68" s="697"/>
      <c r="BU68" s="697"/>
      <c r="BV68" s="697"/>
      <c r="BW68" s="697"/>
      <c r="BX68" s="697"/>
      <c r="BY68" s="697"/>
      <c r="BZ68" s="697"/>
      <c r="CA68" s="697"/>
      <c r="CB68" s="697"/>
      <c r="CC68" s="697"/>
      <c r="CD68" s="697"/>
      <c r="CE68" s="697"/>
      <c r="CF68" s="697"/>
      <c r="CG68" s="697"/>
      <c r="CH68" s="697"/>
      <c r="CI68" s="697"/>
      <c r="CJ68" s="697"/>
      <c r="CK68" s="697"/>
      <c r="CL68" s="697"/>
      <c r="CM68" s="697"/>
      <c r="CN68" s="697"/>
      <c r="CO68" s="697"/>
      <c r="CP68" s="697"/>
      <c r="CQ68" s="697"/>
      <c r="CR68" s="697"/>
      <c r="CS68" s="697"/>
      <c r="CT68" s="697"/>
      <c r="CU68" s="697"/>
      <c r="CV68" s="697"/>
      <c r="CW68" s="697"/>
      <c r="CX68" s="697"/>
      <c r="CY68" s="697"/>
      <c r="CZ68" s="697"/>
      <c r="DA68" s="697"/>
      <c r="DB68" s="697"/>
    </row>
    <row r="69" spans="1:106" hidden="1" outlineLevel="1" x14ac:dyDescent="0.2">
      <c r="A69" s="709">
        <f t="shared" si="33"/>
        <v>36951</v>
      </c>
      <c r="B69" s="709" t="str">
        <f t="shared" si="34"/>
        <v>1Q01</v>
      </c>
      <c r="C69" s="709" t="str">
        <f t="shared" si="35"/>
        <v>2Q01</v>
      </c>
      <c r="D69" s="710">
        <f t="shared" ref="D69:E84" si="38">D68+7</f>
        <v>37033</v>
      </c>
      <c r="E69" s="710">
        <f t="shared" si="38"/>
        <v>36973</v>
      </c>
      <c r="F69" s="712">
        <v>26.42</v>
      </c>
      <c r="G69" s="713">
        <f t="shared" si="36"/>
        <v>1.4900000000000011</v>
      </c>
      <c r="H69" s="713">
        <f t="shared" si="37"/>
        <v>1.4900000000000011</v>
      </c>
      <c r="I69" s="713">
        <f t="shared" si="8"/>
        <v>4.3499999999999925</v>
      </c>
      <c r="J69" s="713">
        <f t="shared" si="8"/>
        <v>4.3999999999999924</v>
      </c>
      <c r="K69" s="713">
        <f t="shared" si="9"/>
        <v>0.65000000000000036</v>
      </c>
      <c r="L69" s="697"/>
      <c r="M69" s="697"/>
      <c r="N69" s="697"/>
      <c r="O69" s="697"/>
      <c r="P69" s="697"/>
      <c r="Q69" s="697"/>
      <c r="R69" s="697"/>
      <c r="S69" s="697"/>
      <c r="T69" s="697"/>
      <c r="U69" s="697"/>
      <c r="V69" s="697"/>
      <c r="W69" s="697"/>
      <c r="X69" s="697"/>
      <c r="Y69" s="697"/>
      <c r="Z69" s="697"/>
      <c r="AA69" s="697"/>
      <c r="AB69" s="697"/>
      <c r="AC69" s="697"/>
      <c r="AD69" s="697"/>
      <c r="AE69" s="697"/>
      <c r="AF69" s="697"/>
      <c r="AG69" s="697"/>
      <c r="AH69" s="697"/>
      <c r="AI69" s="697"/>
      <c r="AJ69" s="697"/>
      <c r="AK69" s="697"/>
      <c r="AL69" s="697"/>
      <c r="AM69" s="697"/>
      <c r="AN69" s="697"/>
      <c r="AO69" s="697"/>
      <c r="AP69" s="697"/>
      <c r="AQ69" s="697"/>
      <c r="AR69" s="697"/>
      <c r="AS69" s="697"/>
      <c r="AT69" s="697"/>
      <c r="AU69" s="697"/>
      <c r="AV69" s="697"/>
      <c r="AW69" s="697"/>
      <c r="AX69" s="697"/>
      <c r="AY69" s="697"/>
      <c r="AZ69" s="697"/>
      <c r="BA69" s="697"/>
      <c r="BB69" s="697"/>
      <c r="BC69" s="697"/>
      <c r="BD69" s="697"/>
      <c r="BE69" s="697"/>
      <c r="BF69" s="697"/>
      <c r="BG69" s="697"/>
      <c r="BH69" s="697"/>
      <c r="BI69" s="697"/>
      <c r="BJ69" s="697"/>
      <c r="BK69" s="697"/>
      <c r="BL69" s="697"/>
      <c r="BM69" s="697"/>
      <c r="BN69" s="697"/>
      <c r="BO69" s="697"/>
      <c r="BP69" s="697"/>
      <c r="BQ69" s="697"/>
      <c r="BR69" s="697"/>
      <c r="BS69" s="697"/>
      <c r="BT69" s="697"/>
      <c r="BU69" s="697"/>
      <c r="BV69" s="697"/>
      <c r="BW69" s="697"/>
      <c r="BX69" s="697"/>
      <c r="BY69" s="697"/>
      <c r="BZ69" s="697"/>
      <c r="CA69" s="697"/>
      <c r="CB69" s="697"/>
      <c r="CC69" s="697"/>
      <c r="CD69" s="697"/>
      <c r="CE69" s="697"/>
      <c r="CF69" s="697"/>
      <c r="CG69" s="697"/>
      <c r="CH69" s="697"/>
      <c r="CI69" s="697"/>
      <c r="CJ69" s="697"/>
      <c r="CK69" s="697"/>
      <c r="CL69" s="697"/>
      <c r="CM69" s="697"/>
      <c r="CN69" s="697"/>
      <c r="CO69" s="697"/>
      <c r="CP69" s="697"/>
      <c r="CQ69" s="697"/>
      <c r="CR69" s="697"/>
      <c r="CS69" s="697"/>
      <c r="CT69" s="697"/>
      <c r="CU69" s="697"/>
      <c r="CV69" s="697"/>
      <c r="CW69" s="697"/>
      <c r="CX69" s="697"/>
      <c r="CY69" s="697"/>
      <c r="CZ69" s="697"/>
      <c r="DA69" s="697"/>
      <c r="DB69" s="697"/>
    </row>
    <row r="70" spans="1:106" hidden="1" outlineLevel="1" x14ac:dyDescent="0.2">
      <c r="A70" s="709">
        <f t="shared" si="33"/>
        <v>36951</v>
      </c>
      <c r="B70" s="709" t="str">
        <f t="shared" si="34"/>
        <v>1Q01</v>
      </c>
      <c r="C70" s="709" t="str">
        <f t="shared" si="35"/>
        <v>2Q01</v>
      </c>
      <c r="D70" s="710">
        <f t="shared" si="38"/>
        <v>37040</v>
      </c>
      <c r="E70" s="710">
        <f t="shared" si="38"/>
        <v>36980</v>
      </c>
      <c r="F70" s="712">
        <v>26.86</v>
      </c>
      <c r="G70" s="713">
        <f t="shared" si="36"/>
        <v>1.4900000000000011</v>
      </c>
      <c r="H70" s="713">
        <f t="shared" si="37"/>
        <v>1.4900000000000011</v>
      </c>
      <c r="I70" s="713">
        <f t="shared" ref="I70:J85" si="39">I69+0.05</f>
        <v>4.3999999999999924</v>
      </c>
      <c r="J70" s="713">
        <f t="shared" si="39"/>
        <v>4.4499999999999922</v>
      </c>
      <c r="K70" s="713">
        <f t="shared" ref="K70:K133" si="40">K69+0.01</f>
        <v>0.66000000000000036</v>
      </c>
      <c r="L70" s="697"/>
      <c r="M70" s="697"/>
      <c r="N70" s="697"/>
      <c r="O70" s="697"/>
      <c r="P70" s="697"/>
      <c r="Q70" s="697"/>
      <c r="R70" s="697"/>
      <c r="S70" s="697"/>
      <c r="T70" s="697"/>
      <c r="U70" s="697"/>
      <c r="V70" s="697"/>
      <c r="W70" s="697"/>
      <c r="X70" s="697"/>
      <c r="Y70" s="697"/>
      <c r="Z70" s="697"/>
      <c r="AA70" s="697"/>
      <c r="AB70" s="697"/>
      <c r="AC70" s="697"/>
      <c r="AD70" s="697"/>
      <c r="AE70" s="697"/>
      <c r="AF70" s="697"/>
      <c r="AG70" s="697"/>
      <c r="AH70" s="697"/>
      <c r="AI70" s="697"/>
      <c r="AJ70" s="697"/>
      <c r="AK70" s="697"/>
      <c r="AL70" s="697"/>
      <c r="AM70" s="697"/>
      <c r="AN70" s="697"/>
      <c r="AO70" s="697"/>
      <c r="AP70" s="697"/>
      <c r="AQ70" s="697"/>
      <c r="AR70" s="697"/>
      <c r="AS70" s="697"/>
      <c r="AT70" s="697"/>
      <c r="AU70" s="697"/>
      <c r="AV70" s="697"/>
      <c r="AW70" s="697"/>
      <c r="AX70" s="697"/>
      <c r="AY70" s="697"/>
      <c r="AZ70" s="697"/>
      <c r="BA70" s="697"/>
      <c r="BB70" s="697"/>
      <c r="BC70" s="697"/>
      <c r="BD70" s="697"/>
      <c r="BE70" s="697"/>
      <c r="BF70" s="697"/>
      <c r="BG70" s="697"/>
      <c r="BH70" s="697"/>
      <c r="BI70" s="697"/>
      <c r="BJ70" s="697"/>
      <c r="BK70" s="697"/>
      <c r="BL70" s="697"/>
      <c r="BM70" s="697"/>
      <c r="BN70" s="697"/>
      <c r="BO70" s="697"/>
      <c r="BP70" s="697"/>
      <c r="BQ70" s="697"/>
      <c r="BR70" s="697"/>
      <c r="BS70" s="697"/>
      <c r="BT70" s="697"/>
      <c r="BU70" s="697"/>
      <c r="BV70" s="697"/>
      <c r="BW70" s="697"/>
      <c r="BX70" s="697"/>
      <c r="BY70" s="697"/>
      <c r="BZ70" s="697"/>
      <c r="CA70" s="697"/>
      <c r="CB70" s="697"/>
      <c r="CC70" s="697"/>
      <c r="CD70" s="697"/>
      <c r="CE70" s="697"/>
      <c r="CF70" s="697"/>
      <c r="CG70" s="697"/>
      <c r="CH70" s="697"/>
      <c r="CI70" s="697"/>
      <c r="CJ70" s="697"/>
      <c r="CK70" s="697"/>
      <c r="CL70" s="697"/>
      <c r="CM70" s="697"/>
      <c r="CN70" s="697"/>
      <c r="CO70" s="697"/>
      <c r="CP70" s="697"/>
      <c r="CQ70" s="697"/>
      <c r="CR70" s="697"/>
      <c r="CS70" s="697"/>
      <c r="CT70" s="697"/>
      <c r="CU70" s="697"/>
      <c r="CV70" s="697"/>
      <c r="CW70" s="697"/>
      <c r="CX70" s="697"/>
      <c r="CY70" s="697"/>
      <c r="CZ70" s="697"/>
      <c r="DA70" s="697"/>
      <c r="DB70" s="697"/>
    </row>
    <row r="71" spans="1:106" hidden="1" outlineLevel="1" x14ac:dyDescent="0.2">
      <c r="A71" s="709">
        <f t="shared" si="33"/>
        <v>36982</v>
      </c>
      <c r="B71" s="709" t="str">
        <f t="shared" si="34"/>
        <v>2Q01</v>
      </c>
      <c r="C71" s="709" t="str">
        <f t="shared" si="35"/>
        <v>2Q01</v>
      </c>
      <c r="D71" s="710">
        <f t="shared" si="38"/>
        <v>37047</v>
      </c>
      <c r="E71" s="710">
        <f t="shared" si="38"/>
        <v>36987</v>
      </c>
      <c r="F71" s="712">
        <v>26.76</v>
      </c>
      <c r="G71" s="713">
        <f t="shared" si="36"/>
        <v>1.4900000000000011</v>
      </c>
      <c r="H71" s="713">
        <f t="shared" si="37"/>
        <v>1.4900000000000011</v>
      </c>
      <c r="I71" s="713">
        <f t="shared" si="39"/>
        <v>4.4499999999999922</v>
      </c>
      <c r="J71" s="713">
        <f t="shared" si="39"/>
        <v>4.499999999999992</v>
      </c>
      <c r="K71" s="713">
        <f t="shared" si="40"/>
        <v>0.67000000000000037</v>
      </c>
      <c r="L71" s="697"/>
      <c r="M71" s="697"/>
      <c r="N71" s="697"/>
      <c r="O71" s="697"/>
      <c r="P71" s="697"/>
      <c r="Q71" s="697"/>
      <c r="R71" s="697"/>
      <c r="S71" s="697"/>
      <c r="T71" s="697"/>
      <c r="U71" s="697"/>
      <c r="V71" s="697"/>
      <c r="W71" s="697"/>
      <c r="X71" s="697"/>
      <c r="Y71" s="697"/>
      <c r="Z71" s="697"/>
      <c r="AA71" s="697"/>
      <c r="AB71" s="697"/>
      <c r="AC71" s="697"/>
      <c r="AD71" s="697"/>
      <c r="AE71" s="697"/>
      <c r="AF71" s="697"/>
      <c r="AG71" s="697"/>
      <c r="AH71" s="697"/>
      <c r="AI71" s="697"/>
      <c r="AJ71" s="697"/>
      <c r="AK71" s="697"/>
      <c r="AL71" s="697"/>
      <c r="AM71" s="697"/>
      <c r="AN71" s="697"/>
      <c r="AO71" s="697"/>
      <c r="AP71" s="697"/>
      <c r="AQ71" s="697"/>
      <c r="AR71" s="697"/>
      <c r="AS71" s="697"/>
      <c r="AT71" s="697"/>
      <c r="AU71" s="697"/>
      <c r="AV71" s="697"/>
      <c r="AW71" s="697"/>
      <c r="AX71" s="697"/>
      <c r="AY71" s="697"/>
      <c r="AZ71" s="697"/>
      <c r="BA71" s="697"/>
      <c r="BB71" s="697"/>
      <c r="BC71" s="697"/>
      <c r="BD71" s="697"/>
      <c r="BE71" s="697"/>
      <c r="BF71" s="697"/>
      <c r="BG71" s="697"/>
      <c r="BH71" s="697"/>
      <c r="BI71" s="697"/>
      <c r="BJ71" s="697"/>
      <c r="BK71" s="697"/>
      <c r="BL71" s="697"/>
      <c r="BM71" s="697"/>
      <c r="BN71" s="697"/>
      <c r="BO71" s="697"/>
      <c r="BP71" s="697"/>
      <c r="BQ71" s="697"/>
      <c r="BR71" s="697"/>
      <c r="BS71" s="697"/>
      <c r="BT71" s="697"/>
      <c r="BU71" s="697"/>
      <c r="BV71" s="697"/>
      <c r="BW71" s="697"/>
      <c r="BX71" s="697"/>
      <c r="BY71" s="697"/>
      <c r="BZ71" s="697"/>
      <c r="CA71" s="697"/>
      <c r="CB71" s="697"/>
      <c r="CC71" s="697"/>
      <c r="CD71" s="697"/>
      <c r="CE71" s="697"/>
      <c r="CF71" s="697"/>
      <c r="CG71" s="697"/>
      <c r="CH71" s="697"/>
      <c r="CI71" s="697"/>
      <c r="CJ71" s="697"/>
      <c r="CK71" s="697"/>
      <c r="CL71" s="697"/>
      <c r="CM71" s="697"/>
      <c r="CN71" s="697"/>
      <c r="CO71" s="697"/>
      <c r="CP71" s="697"/>
      <c r="CQ71" s="697"/>
      <c r="CR71" s="697"/>
      <c r="CS71" s="697"/>
      <c r="CT71" s="697"/>
      <c r="CU71" s="697"/>
      <c r="CV71" s="697"/>
      <c r="CW71" s="697"/>
      <c r="CX71" s="697"/>
      <c r="CY71" s="697"/>
      <c r="CZ71" s="697"/>
      <c r="DA71" s="697"/>
      <c r="DB71" s="697"/>
    </row>
    <row r="72" spans="1:106" hidden="1" outlineLevel="1" x14ac:dyDescent="0.2">
      <c r="A72" s="709">
        <f t="shared" si="33"/>
        <v>36982</v>
      </c>
      <c r="B72" s="709" t="str">
        <f t="shared" si="34"/>
        <v>2Q01</v>
      </c>
      <c r="C72" s="709" t="str">
        <f t="shared" si="35"/>
        <v>2Q01</v>
      </c>
      <c r="D72" s="710">
        <f t="shared" si="38"/>
        <v>37054</v>
      </c>
      <c r="E72" s="710">
        <f t="shared" si="38"/>
        <v>36994</v>
      </c>
      <c r="F72" s="712">
        <v>28.27</v>
      </c>
      <c r="G72" s="713">
        <f t="shared" si="36"/>
        <v>1.4900000000000011</v>
      </c>
      <c r="H72" s="713">
        <f t="shared" si="37"/>
        <v>1.4900000000000011</v>
      </c>
      <c r="I72" s="713">
        <f t="shared" si="39"/>
        <v>4.499999999999992</v>
      </c>
      <c r="J72" s="713">
        <f t="shared" si="39"/>
        <v>4.5499999999999918</v>
      </c>
      <c r="K72" s="713">
        <f t="shared" si="40"/>
        <v>0.68000000000000038</v>
      </c>
      <c r="L72" s="697"/>
      <c r="M72" s="697"/>
      <c r="N72" s="697"/>
      <c r="O72" s="697"/>
      <c r="P72" s="697"/>
      <c r="Q72" s="697"/>
      <c r="R72" s="697"/>
      <c r="S72" s="697"/>
      <c r="T72" s="697"/>
      <c r="U72" s="697"/>
      <c r="V72" s="697"/>
      <c r="W72" s="697"/>
      <c r="X72" s="697"/>
      <c r="Y72" s="697"/>
      <c r="Z72" s="697"/>
      <c r="AA72" s="697"/>
      <c r="AB72" s="697"/>
      <c r="AC72" s="697"/>
      <c r="AD72" s="697"/>
      <c r="AE72" s="697"/>
      <c r="AF72" s="697"/>
      <c r="AG72" s="697"/>
      <c r="AH72" s="697"/>
      <c r="AI72" s="697"/>
      <c r="AJ72" s="697"/>
      <c r="AK72" s="697"/>
      <c r="AL72" s="697"/>
      <c r="AM72" s="697"/>
      <c r="AN72" s="697"/>
      <c r="AO72" s="697"/>
      <c r="AP72" s="697"/>
      <c r="AQ72" s="697"/>
      <c r="AR72" s="697"/>
      <c r="AS72" s="697"/>
      <c r="AT72" s="697"/>
      <c r="AU72" s="697"/>
      <c r="AV72" s="697"/>
      <c r="AW72" s="697"/>
      <c r="AX72" s="697"/>
      <c r="AY72" s="697"/>
      <c r="AZ72" s="697"/>
      <c r="BA72" s="697"/>
      <c r="BB72" s="697"/>
      <c r="BC72" s="697"/>
      <c r="BD72" s="697"/>
      <c r="BE72" s="697"/>
      <c r="BF72" s="697"/>
      <c r="BG72" s="697"/>
      <c r="BH72" s="697"/>
      <c r="BI72" s="697"/>
      <c r="BJ72" s="697"/>
      <c r="BK72" s="697"/>
      <c r="BL72" s="697"/>
      <c r="BM72" s="697"/>
      <c r="BN72" s="697"/>
      <c r="BO72" s="697"/>
      <c r="BP72" s="697"/>
      <c r="BQ72" s="697"/>
      <c r="BR72" s="697"/>
      <c r="BS72" s="697"/>
      <c r="BT72" s="697"/>
      <c r="BU72" s="697"/>
      <c r="BV72" s="697"/>
      <c r="BW72" s="697"/>
      <c r="BX72" s="697"/>
      <c r="BY72" s="697"/>
      <c r="BZ72" s="697"/>
      <c r="CA72" s="697"/>
      <c r="CB72" s="697"/>
      <c r="CC72" s="697"/>
      <c r="CD72" s="697"/>
      <c r="CE72" s="697"/>
      <c r="CF72" s="697"/>
      <c r="CG72" s="697"/>
      <c r="CH72" s="697"/>
      <c r="CI72" s="697"/>
      <c r="CJ72" s="697"/>
      <c r="CK72" s="697"/>
      <c r="CL72" s="697"/>
      <c r="CM72" s="697"/>
      <c r="CN72" s="697"/>
      <c r="CO72" s="697"/>
      <c r="CP72" s="697"/>
      <c r="CQ72" s="697"/>
      <c r="CR72" s="697"/>
      <c r="CS72" s="697"/>
      <c r="CT72" s="697"/>
      <c r="CU72" s="697"/>
      <c r="CV72" s="697"/>
      <c r="CW72" s="697"/>
      <c r="CX72" s="697"/>
      <c r="CY72" s="697"/>
      <c r="CZ72" s="697"/>
      <c r="DA72" s="697"/>
      <c r="DB72" s="697"/>
    </row>
    <row r="73" spans="1:106" hidden="1" outlineLevel="1" x14ac:dyDescent="0.2">
      <c r="A73" s="709">
        <f t="shared" si="33"/>
        <v>36982</v>
      </c>
      <c r="B73" s="709" t="str">
        <f t="shared" si="34"/>
        <v>2Q01</v>
      </c>
      <c r="C73" s="709" t="str">
        <f t="shared" si="35"/>
        <v>2Q01</v>
      </c>
      <c r="D73" s="710">
        <f t="shared" si="38"/>
        <v>37061</v>
      </c>
      <c r="E73" s="710">
        <f t="shared" si="38"/>
        <v>37001</v>
      </c>
      <c r="F73" s="712">
        <v>27.89</v>
      </c>
      <c r="G73" s="713">
        <f t="shared" si="36"/>
        <v>1.4900000000000011</v>
      </c>
      <c r="H73" s="713">
        <f t="shared" si="37"/>
        <v>1.4900000000000011</v>
      </c>
      <c r="I73" s="713">
        <f t="shared" si="39"/>
        <v>4.5499999999999918</v>
      </c>
      <c r="J73" s="713">
        <f t="shared" si="39"/>
        <v>4.5999999999999917</v>
      </c>
      <c r="K73" s="713">
        <f t="shared" si="40"/>
        <v>0.69000000000000039</v>
      </c>
      <c r="L73" s="697"/>
      <c r="M73" s="697"/>
      <c r="N73" s="697"/>
      <c r="O73" s="697"/>
      <c r="P73" s="697"/>
      <c r="Q73" s="697"/>
      <c r="R73" s="697"/>
      <c r="S73" s="697"/>
      <c r="T73" s="697"/>
      <c r="U73" s="697"/>
      <c r="V73" s="697"/>
      <c r="W73" s="697"/>
      <c r="X73" s="697"/>
      <c r="Y73" s="697"/>
      <c r="Z73" s="697"/>
      <c r="AA73" s="697"/>
      <c r="AB73" s="697"/>
      <c r="AC73" s="697"/>
      <c r="AD73" s="697"/>
      <c r="AE73" s="697"/>
      <c r="AF73" s="697"/>
      <c r="AG73" s="697"/>
      <c r="AH73" s="697"/>
      <c r="AI73" s="697"/>
      <c r="AJ73" s="697"/>
      <c r="AK73" s="697"/>
      <c r="AL73" s="697"/>
      <c r="AM73" s="697"/>
      <c r="AN73" s="697"/>
      <c r="AO73" s="697"/>
      <c r="AP73" s="697"/>
      <c r="AQ73" s="697"/>
      <c r="AR73" s="697"/>
      <c r="AS73" s="697"/>
      <c r="AT73" s="697"/>
      <c r="AU73" s="697"/>
      <c r="AV73" s="697"/>
      <c r="AW73" s="697"/>
      <c r="AX73" s="697"/>
      <c r="AY73" s="697"/>
      <c r="AZ73" s="697"/>
      <c r="BA73" s="697"/>
      <c r="BB73" s="697"/>
      <c r="BC73" s="697"/>
      <c r="BD73" s="697"/>
      <c r="BE73" s="697"/>
      <c r="BF73" s="697"/>
      <c r="BG73" s="697"/>
      <c r="BH73" s="697"/>
      <c r="BI73" s="697"/>
      <c r="BJ73" s="697"/>
      <c r="BK73" s="697"/>
      <c r="BL73" s="697"/>
      <c r="BM73" s="697"/>
      <c r="BN73" s="697"/>
      <c r="BO73" s="697"/>
      <c r="BP73" s="697"/>
      <c r="BQ73" s="697"/>
      <c r="BR73" s="697"/>
      <c r="BS73" s="697"/>
      <c r="BT73" s="697"/>
      <c r="BU73" s="697"/>
      <c r="BV73" s="697"/>
      <c r="BW73" s="697"/>
      <c r="BX73" s="697"/>
      <c r="BY73" s="697"/>
      <c r="BZ73" s="697"/>
      <c r="CA73" s="697"/>
      <c r="CB73" s="697"/>
      <c r="CC73" s="697"/>
      <c r="CD73" s="697"/>
      <c r="CE73" s="697"/>
      <c r="CF73" s="697"/>
      <c r="CG73" s="697"/>
      <c r="CH73" s="697"/>
      <c r="CI73" s="697"/>
      <c r="CJ73" s="697"/>
      <c r="CK73" s="697"/>
      <c r="CL73" s="697"/>
      <c r="CM73" s="697"/>
      <c r="CN73" s="697"/>
      <c r="CO73" s="697"/>
      <c r="CP73" s="697"/>
      <c r="CQ73" s="697"/>
      <c r="CR73" s="697"/>
      <c r="CS73" s="697"/>
      <c r="CT73" s="697"/>
      <c r="CU73" s="697"/>
      <c r="CV73" s="697"/>
      <c r="CW73" s="697"/>
      <c r="CX73" s="697"/>
      <c r="CY73" s="697"/>
      <c r="CZ73" s="697"/>
      <c r="DA73" s="697"/>
      <c r="DB73" s="697"/>
    </row>
    <row r="74" spans="1:106" hidden="1" outlineLevel="1" x14ac:dyDescent="0.2">
      <c r="A74" s="709">
        <f t="shared" si="33"/>
        <v>36982</v>
      </c>
      <c r="B74" s="709" t="str">
        <f t="shared" si="34"/>
        <v>2Q01</v>
      </c>
      <c r="C74" s="709" t="str">
        <f t="shared" si="35"/>
        <v>2Q01</v>
      </c>
      <c r="D74" s="710">
        <f t="shared" si="38"/>
        <v>37068</v>
      </c>
      <c r="E74" s="710">
        <f t="shared" si="38"/>
        <v>37008</v>
      </c>
      <c r="F74" s="712">
        <v>26.99</v>
      </c>
      <c r="G74" s="713">
        <f t="shared" si="36"/>
        <v>1.4900000000000011</v>
      </c>
      <c r="H74" s="713">
        <f t="shared" si="37"/>
        <v>1.4900000000000011</v>
      </c>
      <c r="I74" s="713">
        <f t="shared" si="39"/>
        <v>4.5999999999999917</v>
      </c>
      <c r="J74" s="713">
        <f t="shared" si="39"/>
        <v>4.6499999999999915</v>
      </c>
      <c r="K74" s="713">
        <f t="shared" si="40"/>
        <v>0.7000000000000004</v>
      </c>
      <c r="L74" s="697"/>
      <c r="M74" s="697"/>
      <c r="N74" s="697"/>
      <c r="O74" s="697"/>
      <c r="P74" s="697"/>
      <c r="Q74" s="697"/>
      <c r="R74" s="697"/>
      <c r="S74" s="697"/>
      <c r="T74" s="697"/>
      <c r="U74" s="697"/>
      <c r="V74" s="697"/>
      <c r="W74" s="697"/>
      <c r="X74" s="697"/>
      <c r="Y74" s="697"/>
      <c r="Z74" s="697"/>
      <c r="AA74" s="697"/>
      <c r="AB74" s="697"/>
      <c r="AC74" s="697"/>
      <c r="AD74" s="697"/>
      <c r="AE74" s="697"/>
      <c r="AF74" s="697"/>
      <c r="AG74" s="697"/>
      <c r="AH74" s="697"/>
      <c r="AI74" s="697"/>
      <c r="AJ74" s="697"/>
      <c r="AK74" s="697"/>
      <c r="AL74" s="697"/>
      <c r="AM74" s="697"/>
      <c r="AN74" s="697"/>
      <c r="AO74" s="697"/>
      <c r="AP74" s="697"/>
      <c r="AQ74" s="697"/>
      <c r="AR74" s="697"/>
      <c r="AS74" s="697"/>
      <c r="AT74" s="697"/>
      <c r="AU74" s="697"/>
      <c r="AV74" s="697"/>
      <c r="AW74" s="697"/>
      <c r="AX74" s="697"/>
      <c r="AY74" s="697"/>
      <c r="AZ74" s="697"/>
      <c r="BA74" s="697"/>
      <c r="BB74" s="697"/>
      <c r="BC74" s="697"/>
      <c r="BD74" s="697"/>
      <c r="BE74" s="697"/>
      <c r="BF74" s="697"/>
      <c r="BG74" s="697"/>
      <c r="BH74" s="697"/>
      <c r="BI74" s="697"/>
      <c r="BJ74" s="697"/>
      <c r="BK74" s="697"/>
      <c r="BL74" s="697"/>
      <c r="BM74" s="697"/>
      <c r="BN74" s="697"/>
      <c r="BO74" s="697"/>
      <c r="BP74" s="697"/>
      <c r="BQ74" s="697"/>
      <c r="BR74" s="697"/>
      <c r="BS74" s="697"/>
      <c r="BT74" s="697"/>
      <c r="BU74" s="697"/>
      <c r="BV74" s="697"/>
      <c r="BW74" s="697"/>
      <c r="BX74" s="697"/>
      <c r="BY74" s="697"/>
      <c r="BZ74" s="697"/>
      <c r="CA74" s="697"/>
      <c r="CB74" s="697"/>
      <c r="CC74" s="697"/>
      <c r="CD74" s="697"/>
      <c r="CE74" s="697"/>
      <c r="CF74" s="697"/>
      <c r="CG74" s="697"/>
      <c r="CH74" s="697"/>
      <c r="CI74" s="697"/>
      <c r="CJ74" s="697"/>
      <c r="CK74" s="697"/>
      <c r="CL74" s="697"/>
      <c r="CM74" s="697"/>
      <c r="CN74" s="697"/>
      <c r="CO74" s="697"/>
      <c r="CP74" s="697"/>
      <c r="CQ74" s="697"/>
      <c r="CR74" s="697"/>
      <c r="CS74" s="697"/>
      <c r="CT74" s="697"/>
      <c r="CU74" s="697"/>
      <c r="CV74" s="697"/>
      <c r="CW74" s="697"/>
      <c r="CX74" s="697"/>
      <c r="CY74" s="697"/>
      <c r="CZ74" s="697"/>
      <c r="DA74" s="697"/>
      <c r="DB74" s="697"/>
    </row>
    <row r="75" spans="1:106" hidden="1" outlineLevel="1" x14ac:dyDescent="0.2">
      <c r="A75" s="709">
        <f t="shared" si="33"/>
        <v>37012</v>
      </c>
      <c r="B75" s="709" t="str">
        <f t="shared" si="34"/>
        <v>2Q01</v>
      </c>
      <c r="C75" s="709" t="str">
        <f t="shared" si="35"/>
        <v>3Q01</v>
      </c>
      <c r="D75" s="710">
        <f t="shared" si="38"/>
        <v>37075</v>
      </c>
      <c r="E75" s="710">
        <f t="shared" si="38"/>
        <v>37015</v>
      </c>
      <c r="F75" s="712">
        <v>28.36</v>
      </c>
      <c r="G75" s="713">
        <f t="shared" si="36"/>
        <v>1.4900000000000011</v>
      </c>
      <c r="H75" s="713">
        <f t="shared" si="37"/>
        <v>1.4900000000000011</v>
      </c>
      <c r="I75" s="713">
        <f t="shared" si="39"/>
        <v>4.6499999999999915</v>
      </c>
      <c r="J75" s="713">
        <f t="shared" si="39"/>
        <v>4.6999999999999913</v>
      </c>
      <c r="K75" s="713">
        <f t="shared" si="40"/>
        <v>0.71000000000000041</v>
      </c>
      <c r="L75" s="697"/>
      <c r="M75" s="697"/>
      <c r="N75" s="697"/>
      <c r="O75" s="697"/>
      <c r="P75" s="697"/>
      <c r="Q75" s="697"/>
      <c r="R75" s="697"/>
      <c r="S75" s="697"/>
      <c r="T75" s="697"/>
      <c r="U75" s="697"/>
      <c r="V75" s="697"/>
      <c r="W75" s="697"/>
      <c r="X75" s="697"/>
      <c r="Y75" s="697"/>
      <c r="Z75" s="697"/>
      <c r="AA75" s="697"/>
      <c r="AB75" s="697"/>
      <c r="AC75" s="697"/>
      <c r="AD75" s="697"/>
      <c r="AE75" s="697"/>
      <c r="AF75" s="697"/>
      <c r="AG75" s="697"/>
      <c r="AH75" s="697"/>
      <c r="AI75" s="697"/>
      <c r="AJ75" s="697"/>
      <c r="AK75" s="697"/>
      <c r="AL75" s="697"/>
      <c r="AM75" s="697"/>
      <c r="AN75" s="697"/>
      <c r="AO75" s="697"/>
      <c r="AP75" s="697"/>
      <c r="AQ75" s="697"/>
      <c r="AR75" s="697"/>
      <c r="AS75" s="697"/>
      <c r="AT75" s="697"/>
      <c r="AU75" s="697"/>
      <c r="AV75" s="697"/>
      <c r="AW75" s="697"/>
      <c r="AX75" s="697"/>
      <c r="AY75" s="697"/>
      <c r="AZ75" s="697"/>
      <c r="BA75" s="697"/>
      <c r="BB75" s="697"/>
      <c r="BC75" s="697"/>
      <c r="BD75" s="697"/>
      <c r="BE75" s="697"/>
      <c r="BF75" s="697"/>
      <c r="BG75" s="697"/>
      <c r="BH75" s="697"/>
      <c r="BI75" s="697"/>
      <c r="BJ75" s="697"/>
      <c r="BK75" s="697"/>
      <c r="BL75" s="697"/>
      <c r="BM75" s="697"/>
      <c r="BN75" s="697"/>
      <c r="BO75" s="697"/>
      <c r="BP75" s="697"/>
      <c r="BQ75" s="697"/>
      <c r="BR75" s="697"/>
      <c r="BS75" s="697"/>
      <c r="BT75" s="697"/>
      <c r="BU75" s="697"/>
      <c r="BV75" s="697"/>
      <c r="BW75" s="697"/>
      <c r="BX75" s="697"/>
      <c r="BY75" s="697"/>
      <c r="BZ75" s="697"/>
      <c r="CA75" s="697"/>
      <c r="CB75" s="697"/>
      <c r="CC75" s="697"/>
      <c r="CD75" s="697"/>
      <c r="CE75" s="697"/>
      <c r="CF75" s="697"/>
      <c r="CG75" s="697"/>
      <c r="CH75" s="697"/>
      <c r="CI75" s="697"/>
      <c r="CJ75" s="697"/>
      <c r="CK75" s="697"/>
      <c r="CL75" s="697"/>
      <c r="CM75" s="697"/>
      <c r="CN75" s="697"/>
      <c r="CO75" s="697"/>
      <c r="CP75" s="697"/>
      <c r="CQ75" s="697"/>
      <c r="CR75" s="697"/>
      <c r="CS75" s="697"/>
      <c r="CT75" s="697"/>
      <c r="CU75" s="697"/>
      <c r="CV75" s="697"/>
      <c r="CW75" s="697"/>
      <c r="CX75" s="697"/>
      <c r="CY75" s="697"/>
      <c r="CZ75" s="697"/>
      <c r="DA75" s="697"/>
      <c r="DB75" s="697"/>
    </row>
    <row r="76" spans="1:106" hidden="1" outlineLevel="1" x14ac:dyDescent="0.2">
      <c r="A76" s="709">
        <f t="shared" si="33"/>
        <v>37012</v>
      </c>
      <c r="B76" s="709" t="str">
        <f t="shared" si="34"/>
        <v>2Q01</v>
      </c>
      <c r="C76" s="709" t="str">
        <f t="shared" si="35"/>
        <v>3Q01</v>
      </c>
      <c r="D76" s="710">
        <f t="shared" si="38"/>
        <v>37082</v>
      </c>
      <c r="E76" s="710">
        <f t="shared" si="38"/>
        <v>37022</v>
      </c>
      <c r="F76" s="712">
        <v>28.12</v>
      </c>
      <c r="G76" s="713">
        <f t="shared" si="36"/>
        <v>1.4900000000000011</v>
      </c>
      <c r="H76" s="713">
        <f t="shared" si="37"/>
        <v>1.4900000000000011</v>
      </c>
      <c r="I76" s="713">
        <f t="shared" si="39"/>
        <v>4.6999999999999913</v>
      </c>
      <c r="J76" s="713">
        <f t="shared" si="39"/>
        <v>4.7499999999999911</v>
      </c>
      <c r="K76" s="713">
        <f t="shared" si="40"/>
        <v>0.72000000000000042</v>
      </c>
      <c r="L76" s="697"/>
      <c r="M76" s="697"/>
      <c r="N76" s="697"/>
      <c r="O76" s="697"/>
      <c r="P76" s="697"/>
      <c r="Q76" s="697"/>
      <c r="R76" s="697"/>
      <c r="S76" s="697"/>
      <c r="T76" s="697"/>
      <c r="U76" s="697"/>
      <c r="V76" s="697"/>
      <c r="W76" s="697"/>
      <c r="X76" s="697"/>
      <c r="Y76" s="697"/>
      <c r="Z76" s="697"/>
      <c r="AA76" s="697"/>
      <c r="AB76" s="697"/>
      <c r="AC76" s="697"/>
      <c r="AD76" s="697"/>
      <c r="AE76" s="697"/>
      <c r="AF76" s="697"/>
      <c r="AG76" s="697"/>
      <c r="AH76" s="697"/>
      <c r="AI76" s="697"/>
      <c r="AJ76" s="697"/>
      <c r="AK76" s="697"/>
      <c r="AL76" s="697"/>
      <c r="AM76" s="697"/>
      <c r="AN76" s="697"/>
      <c r="AO76" s="697"/>
      <c r="AP76" s="697"/>
      <c r="AQ76" s="697"/>
      <c r="AR76" s="697"/>
      <c r="AS76" s="697"/>
      <c r="AT76" s="697"/>
      <c r="AU76" s="697"/>
      <c r="AV76" s="697"/>
      <c r="AW76" s="697"/>
      <c r="AX76" s="697"/>
      <c r="AY76" s="697"/>
      <c r="AZ76" s="697"/>
      <c r="BA76" s="697"/>
      <c r="BB76" s="697"/>
      <c r="BC76" s="697"/>
      <c r="BD76" s="697"/>
      <c r="BE76" s="697"/>
      <c r="BF76" s="697"/>
      <c r="BG76" s="697"/>
      <c r="BH76" s="697"/>
      <c r="BI76" s="697"/>
      <c r="BJ76" s="697"/>
      <c r="BK76" s="697"/>
      <c r="BL76" s="697"/>
      <c r="BM76" s="697"/>
      <c r="BN76" s="697"/>
      <c r="BO76" s="697"/>
      <c r="BP76" s="697"/>
      <c r="BQ76" s="697"/>
      <c r="BR76" s="697"/>
      <c r="BS76" s="697"/>
      <c r="BT76" s="697"/>
      <c r="BU76" s="697"/>
      <c r="BV76" s="697"/>
      <c r="BW76" s="697"/>
      <c r="BX76" s="697"/>
      <c r="BY76" s="697"/>
      <c r="BZ76" s="697"/>
      <c r="CA76" s="697"/>
      <c r="CB76" s="697"/>
      <c r="CC76" s="697"/>
      <c r="CD76" s="697"/>
      <c r="CE76" s="697"/>
      <c r="CF76" s="697"/>
      <c r="CG76" s="697"/>
      <c r="CH76" s="697"/>
      <c r="CI76" s="697"/>
      <c r="CJ76" s="697"/>
      <c r="CK76" s="697"/>
      <c r="CL76" s="697"/>
      <c r="CM76" s="697"/>
      <c r="CN76" s="697"/>
      <c r="CO76" s="697"/>
      <c r="CP76" s="697"/>
      <c r="CQ76" s="697"/>
      <c r="CR76" s="697"/>
      <c r="CS76" s="697"/>
      <c r="CT76" s="697"/>
      <c r="CU76" s="697"/>
      <c r="CV76" s="697"/>
      <c r="CW76" s="697"/>
      <c r="CX76" s="697"/>
      <c r="CY76" s="697"/>
      <c r="CZ76" s="697"/>
      <c r="DA76" s="697"/>
      <c r="DB76" s="697"/>
    </row>
    <row r="77" spans="1:106" hidden="1" outlineLevel="1" x14ac:dyDescent="0.2">
      <c r="A77" s="709">
        <f t="shared" si="33"/>
        <v>37012</v>
      </c>
      <c r="B77" s="709" t="str">
        <f t="shared" si="34"/>
        <v>2Q01</v>
      </c>
      <c r="C77" s="709" t="str">
        <f t="shared" si="35"/>
        <v>3Q01</v>
      </c>
      <c r="D77" s="710">
        <f t="shared" si="38"/>
        <v>37089</v>
      </c>
      <c r="E77" s="710">
        <f t="shared" si="38"/>
        <v>37029</v>
      </c>
      <c r="F77" s="712">
        <v>29.08</v>
      </c>
      <c r="G77" s="713">
        <f t="shared" si="36"/>
        <v>1.4900000000000011</v>
      </c>
      <c r="H77" s="713">
        <f t="shared" si="37"/>
        <v>1.4900000000000011</v>
      </c>
      <c r="I77" s="713">
        <f t="shared" si="39"/>
        <v>4.7499999999999911</v>
      </c>
      <c r="J77" s="713">
        <f t="shared" si="39"/>
        <v>4.7999999999999909</v>
      </c>
      <c r="K77" s="713">
        <f t="shared" si="40"/>
        <v>0.73000000000000043</v>
      </c>
      <c r="L77" s="697"/>
      <c r="M77" s="697"/>
      <c r="N77" s="697"/>
      <c r="O77" s="697"/>
      <c r="P77" s="697"/>
      <c r="Q77" s="697"/>
      <c r="R77" s="697"/>
      <c r="S77" s="697"/>
      <c r="T77" s="697"/>
      <c r="U77" s="697"/>
      <c r="V77" s="697"/>
      <c r="W77" s="697"/>
      <c r="X77" s="697"/>
      <c r="Y77" s="697"/>
      <c r="Z77" s="697"/>
      <c r="AA77" s="697"/>
      <c r="AB77" s="697"/>
      <c r="AC77" s="697"/>
      <c r="AD77" s="697"/>
      <c r="AE77" s="697"/>
      <c r="AF77" s="697"/>
      <c r="AG77" s="697"/>
      <c r="AH77" s="697"/>
      <c r="AI77" s="697"/>
      <c r="AJ77" s="697"/>
      <c r="AK77" s="697"/>
      <c r="AL77" s="697"/>
      <c r="AM77" s="697"/>
      <c r="AN77" s="697"/>
      <c r="AO77" s="697"/>
      <c r="AP77" s="697"/>
      <c r="AQ77" s="697"/>
      <c r="AR77" s="697"/>
      <c r="AS77" s="697"/>
      <c r="AT77" s="697"/>
      <c r="AU77" s="697"/>
      <c r="AV77" s="697"/>
      <c r="AW77" s="697"/>
      <c r="AX77" s="697"/>
      <c r="AY77" s="697"/>
      <c r="AZ77" s="697"/>
      <c r="BA77" s="697"/>
      <c r="BB77" s="697"/>
      <c r="BC77" s="697"/>
      <c r="BD77" s="697"/>
      <c r="BE77" s="697"/>
      <c r="BF77" s="697"/>
      <c r="BG77" s="697"/>
      <c r="BH77" s="697"/>
      <c r="BI77" s="697"/>
      <c r="BJ77" s="697"/>
      <c r="BK77" s="697"/>
      <c r="BL77" s="697"/>
      <c r="BM77" s="697"/>
      <c r="BN77" s="697"/>
      <c r="BO77" s="697"/>
      <c r="BP77" s="697"/>
      <c r="BQ77" s="697"/>
      <c r="BR77" s="697"/>
      <c r="BS77" s="697"/>
      <c r="BT77" s="697"/>
      <c r="BU77" s="697"/>
      <c r="BV77" s="697"/>
      <c r="BW77" s="697"/>
      <c r="BX77" s="697"/>
      <c r="BY77" s="697"/>
      <c r="BZ77" s="697"/>
      <c r="CA77" s="697"/>
      <c r="CB77" s="697"/>
      <c r="CC77" s="697"/>
      <c r="CD77" s="697"/>
      <c r="CE77" s="697"/>
      <c r="CF77" s="697"/>
      <c r="CG77" s="697"/>
      <c r="CH77" s="697"/>
      <c r="CI77" s="697"/>
      <c r="CJ77" s="697"/>
      <c r="CK77" s="697"/>
      <c r="CL77" s="697"/>
      <c r="CM77" s="697"/>
      <c r="CN77" s="697"/>
      <c r="CO77" s="697"/>
      <c r="CP77" s="697"/>
      <c r="CQ77" s="697"/>
      <c r="CR77" s="697"/>
      <c r="CS77" s="697"/>
      <c r="CT77" s="697"/>
      <c r="CU77" s="697"/>
      <c r="CV77" s="697"/>
      <c r="CW77" s="697"/>
      <c r="CX77" s="697"/>
      <c r="CY77" s="697"/>
      <c r="CZ77" s="697"/>
      <c r="DA77" s="697"/>
      <c r="DB77" s="697"/>
    </row>
    <row r="78" spans="1:106" hidden="1" outlineLevel="1" x14ac:dyDescent="0.2">
      <c r="A78" s="709">
        <f t="shared" si="33"/>
        <v>37012</v>
      </c>
      <c r="B78" s="709" t="str">
        <f t="shared" si="34"/>
        <v>2Q01</v>
      </c>
      <c r="C78" s="709" t="str">
        <f t="shared" si="35"/>
        <v>3Q01</v>
      </c>
      <c r="D78" s="710">
        <f t="shared" si="38"/>
        <v>37096</v>
      </c>
      <c r="E78" s="710">
        <f t="shared" si="38"/>
        <v>37036</v>
      </c>
      <c r="F78" s="712">
        <v>28.92</v>
      </c>
      <c r="G78" s="713">
        <f t="shared" si="36"/>
        <v>1.4900000000000011</v>
      </c>
      <c r="H78" s="713">
        <f t="shared" si="37"/>
        <v>1.4900000000000011</v>
      </c>
      <c r="I78" s="713">
        <f t="shared" si="39"/>
        <v>4.7999999999999909</v>
      </c>
      <c r="J78" s="713">
        <f t="shared" si="39"/>
        <v>4.8499999999999908</v>
      </c>
      <c r="K78" s="713">
        <f t="shared" si="40"/>
        <v>0.74000000000000044</v>
      </c>
      <c r="L78" s="697"/>
      <c r="M78" s="697"/>
      <c r="N78" s="697"/>
      <c r="O78" s="697"/>
      <c r="P78" s="697"/>
      <c r="Q78" s="697"/>
      <c r="R78" s="697"/>
      <c r="S78" s="697"/>
      <c r="T78" s="697"/>
      <c r="U78" s="697"/>
      <c r="V78" s="697"/>
      <c r="W78" s="697"/>
      <c r="X78" s="697"/>
      <c r="Y78" s="697"/>
      <c r="Z78" s="697"/>
      <c r="AA78" s="697"/>
      <c r="AB78" s="697"/>
      <c r="AC78" s="697"/>
      <c r="AD78" s="697"/>
      <c r="AE78" s="697"/>
      <c r="AF78" s="697"/>
      <c r="AG78" s="697"/>
      <c r="AH78" s="697"/>
      <c r="AI78" s="697"/>
      <c r="AJ78" s="697"/>
      <c r="AK78" s="697"/>
      <c r="AL78" s="697"/>
      <c r="AM78" s="697"/>
      <c r="AN78" s="697"/>
      <c r="AO78" s="697"/>
      <c r="AP78" s="697"/>
      <c r="AQ78" s="697"/>
      <c r="AR78" s="697"/>
      <c r="AS78" s="697"/>
      <c r="AT78" s="697"/>
      <c r="AU78" s="697"/>
      <c r="AV78" s="697"/>
      <c r="AW78" s="697"/>
      <c r="AX78" s="697"/>
      <c r="AY78" s="697"/>
      <c r="AZ78" s="697"/>
      <c r="BA78" s="697"/>
      <c r="BB78" s="697"/>
      <c r="BC78" s="697"/>
      <c r="BD78" s="697"/>
      <c r="BE78" s="697"/>
      <c r="BF78" s="697"/>
      <c r="BG78" s="697"/>
      <c r="BH78" s="697"/>
      <c r="BI78" s="697"/>
      <c r="BJ78" s="697"/>
      <c r="BK78" s="697"/>
      <c r="BL78" s="697"/>
      <c r="BM78" s="697"/>
      <c r="BN78" s="697"/>
      <c r="BO78" s="697"/>
      <c r="BP78" s="697"/>
      <c r="BQ78" s="697"/>
      <c r="BR78" s="697"/>
      <c r="BS78" s="697"/>
      <c r="BT78" s="697"/>
      <c r="BU78" s="697"/>
      <c r="BV78" s="697"/>
      <c r="BW78" s="697"/>
      <c r="BX78" s="697"/>
      <c r="BY78" s="697"/>
      <c r="BZ78" s="697"/>
      <c r="CA78" s="697"/>
      <c r="CB78" s="697"/>
      <c r="CC78" s="697"/>
      <c r="CD78" s="697"/>
      <c r="CE78" s="697"/>
      <c r="CF78" s="697"/>
      <c r="CG78" s="697"/>
      <c r="CH78" s="697"/>
      <c r="CI78" s="697"/>
      <c r="CJ78" s="697"/>
      <c r="CK78" s="697"/>
      <c r="CL78" s="697"/>
      <c r="CM78" s="697"/>
      <c r="CN78" s="697"/>
      <c r="CO78" s="697"/>
      <c r="CP78" s="697"/>
      <c r="CQ78" s="697"/>
      <c r="CR78" s="697"/>
      <c r="CS78" s="697"/>
      <c r="CT78" s="697"/>
      <c r="CU78" s="697"/>
      <c r="CV78" s="697"/>
      <c r="CW78" s="697"/>
      <c r="CX78" s="697"/>
      <c r="CY78" s="697"/>
      <c r="CZ78" s="697"/>
      <c r="DA78" s="697"/>
      <c r="DB78" s="697"/>
    </row>
    <row r="79" spans="1:106" hidden="1" outlineLevel="1" x14ac:dyDescent="0.2">
      <c r="A79" s="709">
        <f t="shared" si="33"/>
        <v>37043</v>
      </c>
      <c r="B79" s="709" t="str">
        <f t="shared" si="34"/>
        <v>2Q01</v>
      </c>
      <c r="C79" s="709" t="str">
        <f t="shared" si="35"/>
        <v>3Q01</v>
      </c>
      <c r="D79" s="710">
        <f t="shared" si="38"/>
        <v>37103</v>
      </c>
      <c r="E79" s="710">
        <f t="shared" si="38"/>
        <v>37043</v>
      </c>
      <c r="F79" s="712">
        <v>28.44</v>
      </c>
      <c r="G79" s="713">
        <f t="shared" si="36"/>
        <v>1.4900000000000011</v>
      </c>
      <c r="H79" s="713">
        <f t="shared" si="37"/>
        <v>1.4900000000000011</v>
      </c>
      <c r="I79" s="713">
        <f t="shared" si="39"/>
        <v>4.8499999999999908</v>
      </c>
      <c r="J79" s="713">
        <f t="shared" si="39"/>
        <v>4.8999999999999906</v>
      </c>
      <c r="K79" s="713">
        <f t="shared" si="40"/>
        <v>0.75000000000000044</v>
      </c>
      <c r="L79" s="697"/>
      <c r="M79" s="697"/>
      <c r="N79" s="697"/>
      <c r="O79" s="697"/>
      <c r="P79" s="697"/>
      <c r="Q79" s="697"/>
      <c r="R79" s="697"/>
      <c r="S79" s="697"/>
      <c r="T79" s="697"/>
      <c r="U79" s="697"/>
      <c r="V79" s="697"/>
      <c r="W79" s="697"/>
      <c r="X79" s="697"/>
      <c r="Y79" s="697"/>
      <c r="Z79" s="697"/>
      <c r="AA79" s="697"/>
      <c r="AB79" s="697"/>
      <c r="AC79" s="697"/>
      <c r="AD79" s="697"/>
      <c r="AE79" s="697"/>
      <c r="AF79" s="697"/>
      <c r="AG79" s="697"/>
      <c r="AH79" s="697"/>
      <c r="AI79" s="697"/>
      <c r="AJ79" s="697"/>
      <c r="AK79" s="697"/>
      <c r="AL79" s="697"/>
      <c r="AM79" s="697"/>
      <c r="AN79" s="697"/>
      <c r="AO79" s="697"/>
      <c r="AP79" s="697"/>
      <c r="AQ79" s="697"/>
      <c r="AR79" s="697"/>
      <c r="AS79" s="697"/>
      <c r="AT79" s="697"/>
      <c r="AU79" s="697"/>
      <c r="AV79" s="697"/>
      <c r="AW79" s="697"/>
      <c r="AX79" s="697"/>
      <c r="AY79" s="697"/>
      <c r="AZ79" s="697"/>
      <c r="BA79" s="697"/>
      <c r="BB79" s="697"/>
      <c r="BC79" s="697"/>
      <c r="BD79" s="697"/>
      <c r="BE79" s="697"/>
      <c r="BF79" s="697"/>
      <c r="BG79" s="697"/>
      <c r="BH79" s="697"/>
      <c r="BI79" s="697"/>
      <c r="BJ79" s="697"/>
      <c r="BK79" s="697"/>
      <c r="BL79" s="697"/>
      <c r="BM79" s="697"/>
      <c r="BN79" s="697"/>
      <c r="BO79" s="697"/>
      <c r="BP79" s="697"/>
      <c r="BQ79" s="697"/>
      <c r="BR79" s="697"/>
      <c r="BS79" s="697"/>
      <c r="BT79" s="697"/>
      <c r="BU79" s="697"/>
      <c r="BV79" s="697"/>
      <c r="BW79" s="697"/>
      <c r="BX79" s="697"/>
      <c r="BY79" s="697"/>
      <c r="BZ79" s="697"/>
      <c r="CA79" s="697"/>
      <c r="CB79" s="697"/>
      <c r="CC79" s="697"/>
      <c r="CD79" s="697"/>
      <c r="CE79" s="697"/>
      <c r="CF79" s="697"/>
      <c r="CG79" s="697"/>
      <c r="CH79" s="697"/>
      <c r="CI79" s="697"/>
      <c r="CJ79" s="697"/>
      <c r="CK79" s="697"/>
      <c r="CL79" s="697"/>
      <c r="CM79" s="697"/>
      <c r="CN79" s="697"/>
      <c r="CO79" s="697"/>
      <c r="CP79" s="697"/>
      <c r="CQ79" s="697"/>
      <c r="CR79" s="697"/>
      <c r="CS79" s="697"/>
      <c r="CT79" s="697"/>
      <c r="CU79" s="697"/>
      <c r="CV79" s="697"/>
      <c r="CW79" s="697"/>
      <c r="CX79" s="697"/>
      <c r="CY79" s="697"/>
      <c r="CZ79" s="697"/>
      <c r="DA79" s="697"/>
      <c r="DB79" s="697"/>
    </row>
    <row r="80" spans="1:106" hidden="1" outlineLevel="1" x14ac:dyDescent="0.2">
      <c r="A80" s="709">
        <f t="shared" si="33"/>
        <v>37043</v>
      </c>
      <c r="B80" s="709" t="str">
        <f t="shared" si="34"/>
        <v>2Q01</v>
      </c>
      <c r="C80" s="709" t="str">
        <f t="shared" si="35"/>
        <v>3Q01</v>
      </c>
      <c r="D80" s="710">
        <f t="shared" si="38"/>
        <v>37110</v>
      </c>
      <c r="E80" s="710">
        <f t="shared" si="38"/>
        <v>37050</v>
      </c>
      <c r="F80" s="712">
        <v>27.98</v>
      </c>
      <c r="G80" s="713">
        <f t="shared" si="36"/>
        <v>1.4900000000000011</v>
      </c>
      <c r="H80" s="713">
        <f t="shared" si="37"/>
        <v>1.4900000000000011</v>
      </c>
      <c r="I80" s="713">
        <f t="shared" si="39"/>
        <v>4.8999999999999906</v>
      </c>
      <c r="J80" s="713">
        <f t="shared" si="39"/>
        <v>4.9499999999999904</v>
      </c>
      <c r="K80" s="713">
        <f t="shared" si="40"/>
        <v>0.76000000000000045</v>
      </c>
      <c r="L80" s="697"/>
      <c r="M80" s="697"/>
      <c r="N80" s="697"/>
      <c r="O80" s="697"/>
      <c r="P80" s="697"/>
      <c r="Q80" s="697"/>
      <c r="R80" s="697"/>
      <c r="S80" s="697"/>
      <c r="T80" s="697"/>
      <c r="U80" s="697"/>
      <c r="V80" s="697"/>
      <c r="W80" s="697"/>
      <c r="X80" s="697"/>
      <c r="Y80" s="697"/>
      <c r="Z80" s="697"/>
      <c r="AA80" s="697"/>
      <c r="AB80" s="697"/>
      <c r="AC80" s="697"/>
      <c r="AD80" s="697"/>
      <c r="AE80" s="697"/>
      <c r="AF80" s="697"/>
      <c r="AG80" s="697"/>
      <c r="AH80" s="697"/>
      <c r="AI80" s="697"/>
      <c r="AJ80" s="697"/>
      <c r="AK80" s="697"/>
      <c r="AL80" s="697"/>
      <c r="AM80" s="697"/>
      <c r="AN80" s="697"/>
      <c r="AO80" s="697"/>
      <c r="AP80" s="697"/>
      <c r="AQ80" s="697"/>
      <c r="AR80" s="697"/>
      <c r="AS80" s="697"/>
      <c r="AT80" s="697"/>
      <c r="AU80" s="697"/>
      <c r="AV80" s="697"/>
      <c r="AW80" s="697"/>
      <c r="AX80" s="697"/>
      <c r="AY80" s="697"/>
      <c r="AZ80" s="697"/>
      <c r="BA80" s="697"/>
      <c r="BB80" s="697"/>
      <c r="BC80" s="697"/>
      <c r="BD80" s="697"/>
      <c r="BE80" s="697"/>
      <c r="BF80" s="697"/>
      <c r="BG80" s="697"/>
      <c r="BH80" s="697"/>
      <c r="BI80" s="697"/>
      <c r="BJ80" s="697"/>
      <c r="BK80" s="697"/>
      <c r="BL80" s="697"/>
      <c r="BM80" s="697"/>
      <c r="BN80" s="697"/>
      <c r="BO80" s="697"/>
      <c r="BP80" s="697"/>
      <c r="BQ80" s="697"/>
      <c r="BR80" s="697"/>
      <c r="BS80" s="697"/>
      <c r="BT80" s="697"/>
      <c r="BU80" s="697"/>
      <c r="BV80" s="697"/>
      <c r="BW80" s="697"/>
      <c r="BX80" s="697"/>
      <c r="BY80" s="697"/>
      <c r="BZ80" s="697"/>
      <c r="CA80" s="697"/>
      <c r="CB80" s="697"/>
      <c r="CC80" s="697"/>
      <c r="CD80" s="697"/>
      <c r="CE80" s="697"/>
      <c r="CF80" s="697"/>
      <c r="CG80" s="697"/>
      <c r="CH80" s="697"/>
      <c r="CI80" s="697"/>
      <c r="CJ80" s="697"/>
      <c r="CK80" s="697"/>
      <c r="CL80" s="697"/>
      <c r="CM80" s="697"/>
      <c r="CN80" s="697"/>
      <c r="CO80" s="697"/>
      <c r="CP80" s="697"/>
      <c r="CQ80" s="697"/>
      <c r="CR80" s="697"/>
      <c r="CS80" s="697"/>
      <c r="CT80" s="697"/>
      <c r="CU80" s="697"/>
      <c r="CV80" s="697"/>
      <c r="CW80" s="697"/>
      <c r="CX80" s="697"/>
      <c r="CY80" s="697"/>
      <c r="CZ80" s="697"/>
      <c r="DA80" s="697"/>
      <c r="DB80" s="697"/>
    </row>
    <row r="81" spans="1:106" hidden="1" outlineLevel="1" x14ac:dyDescent="0.2">
      <c r="A81" s="709">
        <f t="shared" si="33"/>
        <v>37043</v>
      </c>
      <c r="B81" s="709" t="str">
        <f t="shared" si="34"/>
        <v>2Q01</v>
      </c>
      <c r="C81" s="709" t="str">
        <f t="shared" si="35"/>
        <v>3Q01</v>
      </c>
      <c r="D81" s="710">
        <f t="shared" si="38"/>
        <v>37117</v>
      </c>
      <c r="E81" s="710">
        <f t="shared" si="38"/>
        <v>37057</v>
      </c>
      <c r="F81" s="712">
        <v>28.9</v>
      </c>
      <c r="G81" s="713">
        <f t="shared" si="36"/>
        <v>1.4900000000000011</v>
      </c>
      <c r="H81" s="713">
        <f t="shared" si="37"/>
        <v>1.4900000000000011</v>
      </c>
      <c r="I81" s="713">
        <f t="shared" si="39"/>
        <v>4.9499999999999904</v>
      </c>
      <c r="J81" s="713">
        <f t="shared" si="39"/>
        <v>4.9999999999999902</v>
      </c>
      <c r="K81" s="713">
        <f t="shared" si="40"/>
        <v>0.77000000000000046</v>
      </c>
      <c r="L81" s="697"/>
      <c r="M81" s="697"/>
      <c r="N81" s="697"/>
      <c r="O81" s="697"/>
      <c r="P81" s="697"/>
      <c r="Q81" s="697"/>
      <c r="R81" s="697"/>
      <c r="S81" s="697"/>
      <c r="T81" s="697"/>
      <c r="U81" s="697"/>
      <c r="V81" s="697"/>
      <c r="W81" s="697"/>
      <c r="X81" s="697"/>
      <c r="Y81" s="697"/>
      <c r="Z81" s="697"/>
      <c r="AA81" s="697"/>
      <c r="AB81" s="697"/>
      <c r="AC81" s="697"/>
      <c r="AD81" s="697"/>
      <c r="AE81" s="697"/>
      <c r="AF81" s="697"/>
      <c r="AG81" s="697"/>
      <c r="AH81" s="697"/>
      <c r="AI81" s="697"/>
      <c r="AJ81" s="697"/>
      <c r="AK81" s="697"/>
      <c r="AL81" s="697"/>
      <c r="AM81" s="697"/>
      <c r="AN81" s="697"/>
      <c r="AO81" s="697"/>
      <c r="AP81" s="697"/>
      <c r="AQ81" s="697"/>
      <c r="AR81" s="697"/>
      <c r="AS81" s="697"/>
      <c r="AT81" s="697"/>
      <c r="AU81" s="697"/>
      <c r="AV81" s="697"/>
      <c r="AW81" s="697"/>
      <c r="AX81" s="697"/>
      <c r="AY81" s="697"/>
      <c r="AZ81" s="697"/>
      <c r="BA81" s="697"/>
      <c r="BB81" s="697"/>
      <c r="BC81" s="697"/>
      <c r="BD81" s="697"/>
      <c r="BE81" s="697"/>
      <c r="BF81" s="697"/>
      <c r="BG81" s="697"/>
      <c r="BH81" s="697"/>
      <c r="BI81" s="697"/>
      <c r="BJ81" s="697"/>
      <c r="BK81" s="697"/>
      <c r="BL81" s="697"/>
      <c r="BM81" s="697"/>
      <c r="BN81" s="697"/>
      <c r="BO81" s="697"/>
      <c r="BP81" s="697"/>
      <c r="BQ81" s="697"/>
      <c r="BR81" s="697"/>
      <c r="BS81" s="697"/>
      <c r="BT81" s="697"/>
      <c r="BU81" s="697"/>
      <c r="BV81" s="697"/>
      <c r="BW81" s="697"/>
      <c r="BX81" s="697"/>
      <c r="BY81" s="697"/>
      <c r="BZ81" s="697"/>
      <c r="CA81" s="697"/>
      <c r="CB81" s="697"/>
      <c r="CC81" s="697"/>
      <c r="CD81" s="697"/>
      <c r="CE81" s="697"/>
      <c r="CF81" s="697"/>
      <c r="CG81" s="697"/>
      <c r="CH81" s="697"/>
      <c r="CI81" s="697"/>
      <c r="CJ81" s="697"/>
      <c r="CK81" s="697"/>
      <c r="CL81" s="697"/>
      <c r="CM81" s="697"/>
      <c r="CN81" s="697"/>
      <c r="CO81" s="697"/>
      <c r="CP81" s="697"/>
      <c r="CQ81" s="697"/>
      <c r="CR81" s="697"/>
      <c r="CS81" s="697"/>
      <c r="CT81" s="697"/>
      <c r="CU81" s="697"/>
      <c r="CV81" s="697"/>
      <c r="CW81" s="697"/>
      <c r="CX81" s="697"/>
      <c r="CY81" s="697"/>
      <c r="CZ81" s="697"/>
      <c r="DA81" s="697"/>
      <c r="DB81" s="697"/>
    </row>
    <row r="82" spans="1:106" hidden="1" outlineLevel="1" x14ac:dyDescent="0.2">
      <c r="A82" s="709">
        <f t="shared" si="33"/>
        <v>37043</v>
      </c>
      <c r="B82" s="709" t="str">
        <f t="shared" si="34"/>
        <v>2Q01</v>
      </c>
      <c r="C82" s="709" t="str">
        <f t="shared" si="35"/>
        <v>3Q01</v>
      </c>
      <c r="D82" s="710">
        <f t="shared" si="38"/>
        <v>37124</v>
      </c>
      <c r="E82" s="710">
        <f t="shared" si="38"/>
        <v>37064</v>
      </c>
      <c r="F82" s="712">
        <v>27.09</v>
      </c>
      <c r="G82" s="713">
        <f t="shared" si="36"/>
        <v>1.4900000000000011</v>
      </c>
      <c r="H82" s="713">
        <f t="shared" si="37"/>
        <v>1.4900000000000011</v>
      </c>
      <c r="I82" s="713">
        <f t="shared" si="39"/>
        <v>4.9999999999999902</v>
      </c>
      <c r="J82" s="713">
        <f t="shared" si="39"/>
        <v>5.0499999999999901</v>
      </c>
      <c r="K82" s="713">
        <f t="shared" si="40"/>
        <v>0.78000000000000047</v>
      </c>
      <c r="L82" s="697"/>
      <c r="M82" s="697"/>
      <c r="N82" s="697"/>
      <c r="O82" s="697"/>
      <c r="P82" s="697"/>
      <c r="Q82" s="697"/>
      <c r="R82" s="697"/>
      <c r="S82" s="697"/>
      <c r="T82" s="697"/>
      <c r="U82" s="697"/>
      <c r="V82" s="697"/>
      <c r="W82" s="697"/>
      <c r="X82" s="697"/>
      <c r="Y82" s="697"/>
      <c r="Z82" s="697"/>
      <c r="AA82" s="697"/>
      <c r="AB82" s="697"/>
      <c r="AC82" s="697"/>
      <c r="AD82" s="697"/>
      <c r="AE82" s="697"/>
      <c r="AF82" s="697"/>
      <c r="AG82" s="697"/>
      <c r="AH82" s="697"/>
      <c r="AI82" s="697"/>
      <c r="AJ82" s="697"/>
      <c r="AK82" s="697"/>
      <c r="AL82" s="697"/>
      <c r="AM82" s="697"/>
      <c r="AN82" s="697"/>
      <c r="AO82" s="697"/>
      <c r="AP82" s="697"/>
      <c r="AQ82" s="697"/>
      <c r="AR82" s="697"/>
      <c r="AS82" s="697"/>
      <c r="AT82" s="697"/>
      <c r="AU82" s="697"/>
      <c r="AV82" s="697"/>
      <c r="AW82" s="697"/>
      <c r="AX82" s="697"/>
      <c r="AY82" s="697"/>
      <c r="AZ82" s="697"/>
      <c r="BA82" s="697"/>
      <c r="BB82" s="697"/>
      <c r="BC82" s="697"/>
      <c r="BD82" s="697"/>
      <c r="BE82" s="697"/>
      <c r="BF82" s="697"/>
      <c r="BG82" s="697"/>
      <c r="BH82" s="697"/>
      <c r="BI82" s="697"/>
      <c r="BJ82" s="697"/>
      <c r="BK82" s="697"/>
      <c r="BL82" s="697"/>
      <c r="BM82" s="697"/>
      <c r="BN82" s="697"/>
      <c r="BO82" s="697"/>
      <c r="BP82" s="697"/>
      <c r="BQ82" s="697"/>
      <c r="BR82" s="697"/>
      <c r="BS82" s="697"/>
      <c r="BT82" s="697"/>
      <c r="BU82" s="697"/>
      <c r="BV82" s="697"/>
      <c r="BW82" s="697"/>
      <c r="BX82" s="697"/>
      <c r="BY82" s="697"/>
      <c r="BZ82" s="697"/>
      <c r="CA82" s="697"/>
      <c r="CB82" s="697"/>
      <c r="CC82" s="697"/>
      <c r="CD82" s="697"/>
      <c r="CE82" s="697"/>
      <c r="CF82" s="697"/>
      <c r="CG82" s="697"/>
      <c r="CH82" s="697"/>
      <c r="CI82" s="697"/>
      <c r="CJ82" s="697"/>
      <c r="CK82" s="697"/>
      <c r="CL82" s="697"/>
      <c r="CM82" s="697"/>
      <c r="CN82" s="697"/>
      <c r="CO82" s="697"/>
      <c r="CP82" s="697"/>
      <c r="CQ82" s="697"/>
      <c r="CR82" s="697"/>
      <c r="CS82" s="697"/>
      <c r="CT82" s="697"/>
      <c r="CU82" s="697"/>
      <c r="CV82" s="697"/>
      <c r="CW82" s="697"/>
      <c r="CX82" s="697"/>
      <c r="CY82" s="697"/>
      <c r="CZ82" s="697"/>
      <c r="DA82" s="697"/>
      <c r="DB82" s="697"/>
    </row>
    <row r="83" spans="1:106" hidden="1" outlineLevel="1" x14ac:dyDescent="0.2">
      <c r="A83" s="709">
        <f t="shared" si="33"/>
        <v>37043</v>
      </c>
      <c r="B83" s="709" t="str">
        <f t="shared" si="34"/>
        <v>2Q01</v>
      </c>
      <c r="C83" s="709" t="str">
        <f t="shared" si="35"/>
        <v>3Q01</v>
      </c>
      <c r="D83" s="710">
        <f t="shared" si="38"/>
        <v>37131</v>
      </c>
      <c r="E83" s="710">
        <f t="shared" si="38"/>
        <v>37071</v>
      </c>
      <c r="F83" s="712">
        <v>26.37</v>
      </c>
      <c r="G83" s="713">
        <f t="shared" si="36"/>
        <v>1.4900000000000011</v>
      </c>
      <c r="H83" s="713">
        <f t="shared" si="37"/>
        <v>1.4900000000000011</v>
      </c>
      <c r="I83" s="713">
        <f t="shared" si="39"/>
        <v>5.0499999999999901</v>
      </c>
      <c r="J83" s="713">
        <f t="shared" si="39"/>
        <v>5.0999999999999899</v>
      </c>
      <c r="K83" s="713">
        <f t="shared" si="40"/>
        <v>0.79000000000000048</v>
      </c>
      <c r="L83" s="697"/>
      <c r="M83" s="697"/>
      <c r="N83" s="697"/>
      <c r="O83" s="697"/>
      <c r="P83" s="697"/>
      <c r="Q83" s="697"/>
      <c r="R83" s="697"/>
      <c r="S83" s="697"/>
      <c r="T83" s="697"/>
      <c r="U83" s="697"/>
      <c r="V83" s="697"/>
      <c r="W83" s="697"/>
      <c r="X83" s="697"/>
      <c r="Y83" s="697"/>
      <c r="Z83" s="697"/>
      <c r="AA83" s="697"/>
      <c r="AB83" s="697"/>
      <c r="AC83" s="697"/>
      <c r="AD83" s="697"/>
      <c r="AE83" s="697"/>
      <c r="AF83" s="697"/>
      <c r="AG83" s="697"/>
      <c r="AH83" s="697"/>
      <c r="AI83" s="697"/>
      <c r="AJ83" s="697"/>
      <c r="AK83" s="697"/>
      <c r="AL83" s="697"/>
      <c r="AM83" s="697"/>
      <c r="AN83" s="697"/>
      <c r="AO83" s="697"/>
      <c r="AP83" s="697"/>
      <c r="AQ83" s="697"/>
      <c r="AR83" s="697"/>
      <c r="AS83" s="697"/>
      <c r="AT83" s="697"/>
      <c r="AU83" s="697"/>
      <c r="AV83" s="697"/>
      <c r="AW83" s="697"/>
      <c r="AX83" s="697"/>
      <c r="AY83" s="697"/>
      <c r="AZ83" s="697"/>
      <c r="BA83" s="697"/>
      <c r="BB83" s="697"/>
      <c r="BC83" s="697"/>
      <c r="BD83" s="697"/>
      <c r="BE83" s="697"/>
      <c r="BF83" s="697"/>
      <c r="BG83" s="697"/>
      <c r="BH83" s="697"/>
      <c r="BI83" s="697"/>
      <c r="BJ83" s="697"/>
      <c r="BK83" s="697"/>
      <c r="BL83" s="697"/>
      <c r="BM83" s="697"/>
      <c r="BN83" s="697"/>
      <c r="BO83" s="697"/>
      <c r="BP83" s="697"/>
      <c r="BQ83" s="697"/>
      <c r="BR83" s="697"/>
      <c r="BS83" s="697"/>
      <c r="BT83" s="697"/>
      <c r="BU83" s="697"/>
      <c r="BV83" s="697"/>
      <c r="BW83" s="697"/>
      <c r="BX83" s="697"/>
      <c r="BY83" s="697"/>
      <c r="BZ83" s="697"/>
      <c r="CA83" s="697"/>
      <c r="CB83" s="697"/>
      <c r="CC83" s="697"/>
      <c r="CD83" s="697"/>
      <c r="CE83" s="697"/>
      <c r="CF83" s="697"/>
      <c r="CG83" s="697"/>
      <c r="CH83" s="697"/>
      <c r="CI83" s="697"/>
      <c r="CJ83" s="697"/>
      <c r="CK83" s="697"/>
      <c r="CL83" s="697"/>
      <c r="CM83" s="697"/>
      <c r="CN83" s="697"/>
      <c r="CO83" s="697"/>
      <c r="CP83" s="697"/>
      <c r="CQ83" s="697"/>
      <c r="CR83" s="697"/>
      <c r="CS83" s="697"/>
      <c r="CT83" s="697"/>
      <c r="CU83" s="697"/>
      <c r="CV83" s="697"/>
      <c r="CW83" s="697"/>
      <c r="CX83" s="697"/>
      <c r="CY83" s="697"/>
      <c r="CZ83" s="697"/>
      <c r="DA83" s="697"/>
      <c r="DB83" s="697"/>
    </row>
    <row r="84" spans="1:106" hidden="1" outlineLevel="1" x14ac:dyDescent="0.2">
      <c r="A84" s="709">
        <f t="shared" si="33"/>
        <v>37073</v>
      </c>
      <c r="B84" s="709" t="str">
        <f t="shared" si="34"/>
        <v>3Q01</v>
      </c>
      <c r="C84" s="709" t="str">
        <f t="shared" si="35"/>
        <v>3Q01</v>
      </c>
      <c r="D84" s="710">
        <f t="shared" si="38"/>
        <v>37138</v>
      </c>
      <c r="E84" s="710">
        <f t="shared" si="38"/>
        <v>37078</v>
      </c>
      <c r="F84" s="712">
        <v>26.87</v>
      </c>
      <c r="G84" s="713">
        <f t="shared" si="36"/>
        <v>1.4900000000000011</v>
      </c>
      <c r="H84" s="713">
        <f t="shared" si="37"/>
        <v>1.4900000000000011</v>
      </c>
      <c r="I84" s="713">
        <f t="shared" si="39"/>
        <v>5.0999999999999899</v>
      </c>
      <c r="J84" s="713">
        <f t="shared" si="39"/>
        <v>5.1499999999999897</v>
      </c>
      <c r="K84" s="713">
        <f t="shared" si="40"/>
        <v>0.80000000000000049</v>
      </c>
      <c r="L84" s="697"/>
      <c r="M84" s="697"/>
      <c r="N84" s="697"/>
      <c r="O84" s="697"/>
      <c r="P84" s="697"/>
      <c r="Q84" s="697"/>
      <c r="R84" s="697"/>
      <c r="S84" s="697"/>
      <c r="T84" s="697"/>
      <c r="U84" s="697"/>
      <c r="V84" s="697"/>
      <c r="W84" s="697"/>
      <c r="X84" s="697"/>
      <c r="Y84" s="697"/>
      <c r="Z84" s="697"/>
      <c r="AA84" s="697"/>
      <c r="AB84" s="697"/>
      <c r="AC84" s="697"/>
      <c r="AD84" s="697"/>
      <c r="AE84" s="697"/>
      <c r="AF84" s="697"/>
      <c r="AG84" s="697"/>
      <c r="AH84" s="697"/>
      <c r="AI84" s="697"/>
      <c r="AJ84" s="697"/>
      <c r="AK84" s="697"/>
      <c r="AL84" s="697"/>
      <c r="AM84" s="697"/>
      <c r="AN84" s="697"/>
      <c r="AO84" s="697"/>
      <c r="AP84" s="697"/>
      <c r="AQ84" s="697"/>
      <c r="AR84" s="697"/>
      <c r="AS84" s="697"/>
      <c r="AT84" s="697"/>
      <c r="AU84" s="697"/>
      <c r="AV84" s="697"/>
      <c r="AW84" s="697"/>
      <c r="AX84" s="697"/>
      <c r="AY84" s="697"/>
      <c r="AZ84" s="697"/>
      <c r="BA84" s="697"/>
      <c r="BB84" s="697"/>
      <c r="BC84" s="697"/>
      <c r="BD84" s="697"/>
      <c r="BE84" s="697"/>
      <c r="BF84" s="697"/>
      <c r="BG84" s="697"/>
      <c r="BH84" s="697"/>
      <c r="BI84" s="697"/>
      <c r="BJ84" s="697"/>
      <c r="BK84" s="697"/>
      <c r="BL84" s="697"/>
      <c r="BM84" s="697"/>
      <c r="BN84" s="697"/>
      <c r="BO84" s="697"/>
      <c r="BP84" s="697"/>
      <c r="BQ84" s="697"/>
      <c r="BR84" s="697"/>
      <c r="BS84" s="697"/>
      <c r="BT84" s="697"/>
      <c r="BU84" s="697"/>
      <c r="BV84" s="697"/>
      <c r="BW84" s="697"/>
      <c r="BX84" s="697"/>
      <c r="BY84" s="697"/>
      <c r="BZ84" s="697"/>
      <c r="CA84" s="697"/>
      <c r="CB84" s="697"/>
      <c r="CC84" s="697"/>
      <c r="CD84" s="697"/>
      <c r="CE84" s="697"/>
      <c r="CF84" s="697"/>
      <c r="CG84" s="697"/>
      <c r="CH84" s="697"/>
      <c r="CI84" s="697"/>
      <c r="CJ84" s="697"/>
      <c r="CK84" s="697"/>
      <c r="CL84" s="697"/>
      <c r="CM84" s="697"/>
      <c r="CN84" s="697"/>
      <c r="CO84" s="697"/>
      <c r="CP84" s="697"/>
      <c r="CQ84" s="697"/>
      <c r="CR84" s="697"/>
      <c r="CS84" s="697"/>
      <c r="CT84" s="697"/>
      <c r="CU84" s="697"/>
      <c r="CV84" s="697"/>
      <c r="CW84" s="697"/>
      <c r="CX84" s="697"/>
      <c r="CY84" s="697"/>
      <c r="CZ84" s="697"/>
      <c r="DA84" s="697"/>
      <c r="DB84" s="697"/>
    </row>
    <row r="85" spans="1:106" hidden="1" outlineLevel="1" x14ac:dyDescent="0.2">
      <c r="A85" s="709">
        <f t="shared" si="33"/>
        <v>37073</v>
      </c>
      <c r="B85" s="709" t="str">
        <f t="shared" si="34"/>
        <v>3Q01</v>
      </c>
      <c r="C85" s="709" t="str">
        <f t="shared" si="35"/>
        <v>3Q01</v>
      </c>
      <c r="D85" s="710">
        <f t="shared" ref="D85:E100" si="41">D84+7</f>
        <v>37145</v>
      </c>
      <c r="E85" s="710">
        <f t="shared" si="41"/>
        <v>37085</v>
      </c>
      <c r="F85" s="712">
        <v>27.07</v>
      </c>
      <c r="G85" s="713">
        <f t="shared" si="36"/>
        <v>1.4900000000000011</v>
      </c>
      <c r="H85" s="713">
        <f t="shared" si="37"/>
        <v>1.4900000000000011</v>
      </c>
      <c r="I85" s="713">
        <f t="shared" si="39"/>
        <v>5.1499999999999897</v>
      </c>
      <c r="J85" s="713">
        <f t="shared" si="39"/>
        <v>5.1999999999999895</v>
      </c>
      <c r="K85" s="713">
        <f t="shared" si="40"/>
        <v>0.8100000000000005</v>
      </c>
      <c r="L85" s="697"/>
      <c r="M85" s="697"/>
      <c r="N85" s="697"/>
      <c r="O85" s="697"/>
      <c r="P85" s="697"/>
      <c r="Q85" s="697"/>
      <c r="R85" s="697"/>
      <c r="S85" s="697"/>
      <c r="T85" s="697"/>
      <c r="U85" s="697"/>
      <c r="V85" s="697"/>
      <c r="W85" s="697"/>
      <c r="X85" s="697"/>
      <c r="Y85" s="697"/>
      <c r="Z85" s="697"/>
      <c r="AA85" s="697"/>
      <c r="AB85" s="697"/>
      <c r="AC85" s="697"/>
      <c r="AD85" s="697"/>
      <c r="AE85" s="697"/>
      <c r="AF85" s="697"/>
      <c r="AG85" s="697"/>
      <c r="AH85" s="697"/>
      <c r="AI85" s="697"/>
      <c r="AJ85" s="697"/>
      <c r="AK85" s="697"/>
      <c r="AL85" s="697"/>
      <c r="AM85" s="697"/>
      <c r="AN85" s="697"/>
      <c r="AO85" s="697"/>
      <c r="AP85" s="697"/>
      <c r="AQ85" s="697"/>
      <c r="AR85" s="697"/>
      <c r="AS85" s="697"/>
      <c r="AT85" s="697"/>
      <c r="AU85" s="697"/>
      <c r="AV85" s="697"/>
      <c r="AW85" s="697"/>
      <c r="AX85" s="697"/>
      <c r="AY85" s="697"/>
      <c r="AZ85" s="697"/>
      <c r="BA85" s="697"/>
      <c r="BB85" s="697"/>
      <c r="BC85" s="697"/>
      <c r="BD85" s="697"/>
      <c r="BE85" s="697"/>
      <c r="BF85" s="697"/>
      <c r="BG85" s="697"/>
      <c r="BH85" s="697"/>
      <c r="BI85" s="697"/>
      <c r="BJ85" s="697"/>
      <c r="BK85" s="697"/>
      <c r="BL85" s="697"/>
      <c r="BM85" s="697"/>
      <c r="BN85" s="697"/>
      <c r="BO85" s="697"/>
      <c r="BP85" s="697"/>
      <c r="BQ85" s="697"/>
      <c r="BR85" s="697"/>
      <c r="BS85" s="697"/>
      <c r="BT85" s="697"/>
      <c r="BU85" s="697"/>
      <c r="BV85" s="697"/>
      <c r="BW85" s="697"/>
      <c r="BX85" s="697"/>
      <c r="BY85" s="697"/>
      <c r="BZ85" s="697"/>
      <c r="CA85" s="697"/>
      <c r="CB85" s="697"/>
      <c r="CC85" s="697"/>
      <c r="CD85" s="697"/>
      <c r="CE85" s="697"/>
      <c r="CF85" s="697"/>
      <c r="CG85" s="697"/>
      <c r="CH85" s="697"/>
      <c r="CI85" s="697"/>
      <c r="CJ85" s="697"/>
      <c r="CK85" s="697"/>
      <c r="CL85" s="697"/>
      <c r="CM85" s="697"/>
      <c r="CN85" s="697"/>
      <c r="CO85" s="697"/>
      <c r="CP85" s="697"/>
      <c r="CQ85" s="697"/>
      <c r="CR85" s="697"/>
      <c r="CS85" s="697"/>
      <c r="CT85" s="697"/>
      <c r="CU85" s="697"/>
      <c r="CV85" s="697"/>
      <c r="CW85" s="697"/>
      <c r="CX85" s="697"/>
      <c r="CY85" s="697"/>
      <c r="CZ85" s="697"/>
      <c r="DA85" s="697"/>
      <c r="DB85" s="697"/>
    </row>
    <row r="86" spans="1:106" hidden="1" outlineLevel="1" x14ac:dyDescent="0.2">
      <c r="A86" s="709">
        <f t="shared" si="33"/>
        <v>37073</v>
      </c>
      <c r="B86" s="709" t="str">
        <f t="shared" si="34"/>
        <v>3Q01</v>
      </c>
      <c r="C86" s="709" t="str">
        <f t="shared" si="35"/>
        <v>3Q01</v>
      </c>
      <c r="D86" s="710">
        <f t="shared" si="41"/>
        <v>37152</v>
      </c>
      <c r="E86" s="710">
        <f t="shared" si="41"/>
        <v>37092</v>
      </c>
      <c r="F86" s="712">
        <v>25.26</v>
      </c>
      <c r="G86" s="713">
        <f t="shared" si="36"/>
        <v>1.4900000000000011</v>
      </c>
      <c r="H86" s="713">
        <f t="shared" si="37"/>
        <v>1.4900000000000011</v>
      </c>
      <c r="I86" s="713">
        <f t="shared" ref="I86:J101" si="42">I85+0.05</f>
        <v>5.1999999999999895</v>
      </c>
      <c r="J86" s="713">
        <f t="shared" si="42"/>
        <v>5.2499999999999893</v>
      </c>
      <c r="K86" s="713">
        <f t="shared" si="40"/>
        <v>0.82000000000000051</v>
      </c>
      <c r="L86" s="697"/>
      <c r="M86" s="697"/>
      <c r="N86" s="697"/>
      <c r="O86" s="697"/>
      <c r="P86" s="697"/>
      <c r="Q86" s="697"/>
      <c r="R86" s="697"/>
      <c r="S86" s="697"/>
      <c r="T86" s="697"/>
      <c r="U86" s="697"/>
      <c r="V86" s="697"/>
      <c r="W86" s="697"/>
      <c r="X86" s="697"/>
      <c r="Y86" s="697"/>
      <c r="Z86" s="697"/>
      <c r="AA86" s="697"/>
      <c r="AB86" s="697"/>
      <c r="AC86" s="697"/>
      <c r="AD86" s="697"/>
      <c r="AE86" s="697"/>
      <c r="AF86" s="697"/>
      <c r="AG86" s="697"/>
      <c r="AH86" s="697"/>
      <c r="AI86" s="697"/>
      <c r="AJ86" s="697"/>
      <c r="AK86" s="697"/>
      <c r="AL86" s="697"/>
      <c r="AM86" s="697"/>
      <c r="AN86" s="697"/>
      <c r="AO86" s="697"/>
      <c r="AP86" s="697"/>
      <c r="AQ86" s="697"/>
      <c r="AR86" s="697"/>
      <c r="AS86" s="697"/>
      <c r="AT86" s="697"/>
      <c r="AU86" s="697"/>
      <c r="AV86" s="697"/>
      <c r="AW86" s="697"/>
      <c r="AX86" s="697"/>
      <c r="AY86" s="697"/>
      <c r="AZ86" s="697"/>
      <c r="BA86" s="697"/>
      <c r="BB86" s="697"/>
      <c r="BC86" s="697"/>
      <c r="BD86" s="697"/>
      <c r="BE86" s="697"/>
      <c r="BF86" s="697"/>
      <c r="BG86" s="697"/>
      <c r="BH86" s="697"/>
      <c r="BI86" s="697"/>
      <c r="BJ86" s="697"/>
      <c r="BK86" s="697"/>
      <c r="BL86" s="697"/>
      <c r="BM86" s="697"/>
      <c r="BN86" s="697"/>
      <c r="BO86" s="697"/>
      <c r="BP86" s="697"/>
      <c r="BQ86" s="697"/>
      <c r="BR86" s="697"/>
      <c r="BS86" s="697"/>
      <c r="BT86" s="697"/>
      <c r="BU86" s="697"/>
      <c r="BV86" s="697"/>
      <c r="BW86" s="697"/>
      <c r="BX86" s="697"/>
      <c r="BY86" s="697"/>
      <c r="BZ86" s="697"/>
      <c r="CA86" s="697"/>
      <c r="CB86" s="697"/>
      <c r="CC86" s="697"/>
      <c r="CD86" s="697"/>
      <c r="CE86" s="697"/>
      <c r="CF86" s="697"/>
      <c r="CG86" s="697"/>
      <c r="CH86" s="697"/>
      <c r="CI86" s="697"/>
      <c r="CJ86" s="697"/>
      <c r="CK86" s="697"/>
      <c r="CL86" s="697"/>
      <c r="CM86" s="697"/>
      <c r="CN86" s="697"/>
      <c r="CO86" s="697"/>
      <c r="CP86" s="697"/>
      <c r="CQ86" s="697"/>
      <c r="CR86" s="697"/>
      <c r="CS86" s="697"/>
      <c r="CT86" s="697"/>
      <c r="CU86" s="697"/>
      <c r="CV86" s="697"/>
      <c r="CW86" s="697"/>
      <c r="CX86" s="697"/>
      <c r="CY86" s="697"/>
      <c r="CZ86" s="697"/>
      <c r="DA86" s="697"/>
      <c r="DB86" s="697"/>
    </row>
    <row r="87" spans="1:106" hidden="1" outlineLevel="1" x14ac:dyDescent="0.2">
      <c r="A87" s="709">
        <f t="shared" si="33"/>
        <v>37073</v>
      </c>
      <c r="B87" s="709" t="str">
        <f t="shared" si="34"/>
        <v>3Q01</v>
      </c>
      <c r="C87" s="709" t="str">
        <f t="shared" si="35"/>
        <v>3Q01</v>
      </c>
      <c r="D87" s="710">
        <f t="shared" si="41"/>
        <v>37159</v>
      </c>
      <c r="E87" s="710">
        <f t="shared" si="41"/>
        <v>37099</v>
      </c>
      <c r="F87" s="712">
        <v>26.5</v>
      </c>
      <c r="G87" s="713">
        <f t="shared" si="36"/>
        <v>1.4900000000000011</v>
      </c>
      <c r="H87" s="713">
        <f t="shared" si="37"/>
        <v>1.4900000000000011</v>
      </c>
      <c r="I87" s="713">
        <f t="shared" si="42"/>
        <v>5.2499999999999893</v>
      </c>
      <c r="J87" s="713">
        <f t="shared" si="42"/>
        <v>5.2999999999999892</v>
      </c>
      <c r="K87" s="713">
        <f t="shared" si="40"/>
        <v>0.83000000000000052</v>
      </c>
      <c r="L87" s="697"/>
      <c r="M87" s="697"/>
      <c r="N87" s="697"/>
      <c r="O87" s="697"/>
      <c r="P87" s="697"/>
      <c r="Q87" s="697"/>
      <c r="R87" s="697"/>
      <c r="S87" s="697"/>
      <c r="T87" s="697"/>
      <c r="U87" s="697"/>
      <c r="V87" s="697"/>
      <c r="W87" s="697"/>
      <c r="X87" s="697"/>
      <c r="Y87" s="697"/>
      <c r="Z87" s="697"/>
      <c r="AA87" s="697"/>
      <c r="AB87" s="697"/>
      <c r="AC87" s="697"/>
      <c r="AD87" s="697"/>
      <c r="AE87" s="697"/>
      <c r="AF87" s="697"/>
      <c r="AG87" s="697"/>
      <c r="AH87" s="697"/>
      <c r="AI87" s="697"/>
      <c r="AJ87" s="697"/>
      <c r="AK87" s="697"/>
      <c r="AL87" s="697"/>
      <c r="AM87" s="697"/>
      <c r="AN87" s="697"/>
      <c r="AO87" s="697"/>
      <c r="AP87" s="697"/>
      <c r="AQ87" s="697"/>
      <c r="AR87" s="697"/>
      <c r="AS87" s="697"/>
      <c r="AT87" s="697"/>
      <c r="AU87" s="697"/>
      <c r="AV87" s="697"/>
      <c r="AW87" s="697"/>
      <c r="AX87" s="697"/>
      <c r="AY87" s="697"/>
      <c r="AZ87" s="697"/>
      <c r="BA87" s="697"/>
      <c r="BB87" s="697"/>
      <c r="BC87" s="697"/>
      <c r="BD87" s="697"/>
      <c r="BE87" s="697"/>
      <c r="BF87" s="697"/>
      <c r="BG87" s="697"/>
      <c r="BH87" s="697"/>
      <c r="BI87" s="697"/>
      <c r="BJ87" s="697"/>
      <c r="BK87" s="697"/>
      <c r="BL87" s="697"/>
      <c r="BM87" s="697"/>
      <c r="BN87" s="697"/>
      <c r="BO87" s="697"/>
      <c r="BP87" s="697"/>
      <c r="BQ87" s="697"/>
      <c r="BR87" s="697"/>
      <c r="BS87" s="697"/>
      <c r="BT87" s="697"/>
      <c r="BU87" s="697"/>
      <c r="BV87" s="697"/>
      <c r="BW87" s="697"/>
      <c r="BX87" s="697"/>
      <c r="BY87" s="697"/>
      <c r="BZ87" s="697"/>
      <c r="CA87" s="697"/>
      <c r="CB87" s="697"/>
      <c r="CC87" s="697"/>
      <c r="CD87" s="697"/>
      <c r="CE87" s="697"/>
      <c r="CF87" s="697"/>
      <c r="CG87" s="697"/>
      <c r="CH87" s="697"/>
      <c r="CI87" s="697"/>
      <c r="CJ87" s="697"/>
      <c r="CK87" s="697"/>
      <c r="CL87" s="697"/>
      <c r="CM87" s="697"/>
      <c r="CN87" s="697"/>
      <c r="CO87" s="697"/>
      <c r="CP87" s="697"/>
      <c r="CQ87" s="697"/>
      <c r="CR87" s="697"/>
      <c r="CS87" s="697"/>
      <c r="CT87" s="697"/>
      <c r="CU87" s="697"/>
      <c r="CV87" s="697"/>
      <c r="CW87" s="697"/>
      <c r="CX87" s="697"/>
      <c r="CY87" s="697"/>
      <c r="CZ87" s="697"/>
      <c r="DA87" s="697"/>
      <c r="DB87" s="697"/>
    </row>
    <row r="88" spans="1:106" hidden="1" outlineLevel="1" x14ac:dyDescent="0.2">
      <c r="A88" s="709">
        <f t="shared" si="33"/>
        <v>37104</v>
      </c>
      <c r="B88" s="709" t="str">
        <f t="shared" si="34"/>
        <v>3Q01</v>
      </c>
      <c r="C88" s="709" t="str">
        <f t="shared" si="35"/>
        <v>4Q01</v>
      </c>
      <c r="D88" s="710">
        <f t="shared" si="41"/>
        <v>37166</v>
      </c>
      <c r="E88" s="710">
        <f t="shared" si="41"/>
        <v>37106</v>
      </c>
      <c r="F88" s="712">
        <v>27.1</v>
      </c>
      <c r="G88" s="713">
        <f t="shared" si="36"/>
        <v>1.4900000000000011</v>
      </c>
      <c r="H88" s="713">
        <f t="shared" si="37"/>
        <v>1.4900000000000011</v>
      </c>
      <c r="I88" s="713">
        <f t="shared" si="42"/>
        <v>5.2999999999999892</v>
      </c>
      <c r="J88" s="713">
        <f t="shared" si="42"/>
        <v>5.349999999999989</v>
      </c>
      <c r="K88" s="713">
        <f t="shared" si="40"/>
        <v>0.84000000000000052</v>
      </c>
      <c r="L88" s="697"/>
      <c r="M88" s="697"/>
      <c r="N88" s="697"/>
      <c r="O88" s="697"/>
      <c r="P88" s="697"/>
      <c r="Q88" s="697"/>
      <c r="R88" s="697"/>
      <c r="S88" s="697"/>
      <c r="T88" s="697"/>
      <c r="U88" s="697"/>
      <c r="V88" s="697"/>
      <c r="W88" s="697"/>
      <c r="X88" s="697"/>
      <c r="Y88" s="697"/>
      <c r="Z88" s="697"/>
      <c r="AA88" s="697"/>
      <c r="AB88" s="697"/>
      <c r="AC88" s="697"/>
      <c r="AD88" s="697"/>
      <c r="AE88" s="697"/>
      <c r="AF88" s="697"/>
      <c r="AG88" s="697"/>
      <c r="AH88" s="697"/>
      <c r="AI88" s="697"/>
      <c r="AJ88" s="697"/>
      <c r="AK88" s="697"/>
      <c r="AL88" s="697"/>
      <c r="AM88" s="697"/>
      <c r="AN88" s="697"/>
      <c r="AO88" s="697"/>
      <c r="AP88" s="697"/>
      <c r="AQ88" s="697"/>
      <c r="AR88" s="697"/>
      <c r="AS88" s="697"/>
      <c r="AT88" s="697"/>
      <c r="AU88" s="697"/>
      <c r="AV88" s="697"/>
      <c r="AW88" s="697"/>
      <c r="AX88" s="697"/>
      <c r="AY88" s="697"/>
      <c r="AZ88" s="697"/>
      <c r="BA88" s="697"/>
      <c r="BB88" s="697"/>
      <c r="BC88" s="697"/>
      <c r="BD88" s="697"/>
      <c r="BE88" s="697"/>
      <c r="BF88" s="697"/>
      <c r="BG88" s="697"/>
      <c r="BH88" s="697"/>
      <c r="BI88" s="697"/>
      <c r="BJ88" s="697"/>
      <c r="BK88" s="697"/>
      <c r="BL88" s="697"/>
      <c r="BM88" s="697"/>
      <c r="BN88" s="697"/>
      <c r="BO88" s="697"/>
      <c r="BP88" s="697"/>
      <c r="BQ88" s="697"/>
      <c r="BR88" s="697"/>
      <c r="BS88" s="697"/>
      <c r="BT88" s="697"/>
      <c r="BU88" s="697"/>
      <c r="BV88" s="697"/>
      <c r="BW88" s="697"/>
      <c r="BX88" s="697"/>
      <c r="BY88" s="697"/>
      <c r="BZ88" s="697"/>
      <c r="CA88" s="697"/>
      <c r="CB88" s="697"/>
      <c r="CC88" s="697"/>
      <c r="CD88" s="697"/>
      <c r="CE88" s="697"/>
      <c r="CF88" s="697"/>
      <c r="CG88" s="697"/>
      <c r="CH88" s="697"/>
      <c r="CI88" s="697"/>
      <c r="CJ88" s="697"/>
      <c r="CK88" s="697"/>
      <c r="CL88" s="697"/>
      <c r="CM88" s="697"/>
      <c r="CN88" s="697"/>
      <c r="CO88" s="697"/>
      <c r="CP88" s="697"/>
      <c r="CQ88" s="697"/>
      <c r="CR88" s="697"/>
      <c r="CS88" s="697"/>
      <c r="CT88" s="697"/>
      <c r="CU88" s="697"/>
      <c r="CV88" s="697"/>
      <c r="CW88" s="697"/>
      <c r="CX88" s="697"/>
      <c r="CY88" s="697"/>
      <c r="CZ88" s="697"/>
      <c r="DA88" s="697"/>
      <c r="DB88" s="697"/>
    </row>
    <row r="89" spans="1:106" hidden="1" outlineLevel="1" x14ac:dyDescent="0.2">
      <c r="A89" s="709">
        <f t="shared" si="33"/>
        <v>37104</v>
      </c>
      <c r="B89" s="709" t="str">
        <f t="shared" si="34"/>
        <v>3Q01</v>
      </c>
      <c r="C89" s="709" t="str">
        <f t="shared" si="35"/>
        <v>4Q01</v>
      </c>
      <c r="D89" s="710">
        <f t="shared" si="41"/>
        <v>37173</v>
      </c>
      <c r="E89" s="710">
        <f t="shared" si="41"/>
        <v>37113</v>
      </c>
      <c r="F89" s="712">
        <v>27.87</v>
      </c>
      <c r="G89" s="713">
        <f t="shared" si="36"/>
        <v>1.4900000000000011</v>
      </c>
      <c r="H89" s="713">
        <f t="shared" si="37"/>
        <v>1.4900000000000011</v>
      </c>
      <c r="I89" s="713">
        <f t="shared" si="42"/>
        <v>5.349999999999989</v>
      </c>
      <c r="J89" s="713">
        <f t="shared" si="42"/>
        <v>5.3999999999999888</v>
      </c>
      <c r="K89" s="713">
        <f t="shared" si="40"/>
        <v>0.85000000000000053</v>
      </c>
      <c r="L89" s="697"/>
      <c r="M89" s="697"/>
      <c r="N89" s="697"/>
      <c r="O89" s="697"/>
      <c r="P89" s="697"/>
      <c r="Q89" s="697"/>
      <c r="R89" s="697"/>
      <c r="S89" s="697"/>
      <c r="T89" s="697"/>
      <c r="U89" s="697"/>
      <c r="V89" s="697"/>
      <c r="W89" s="697"/>
      <c r="X89" s="697"/>
      <c r="Y89" s="697"/>
      <c r="Z89" s="697"/>
      <c r="AA89" s="697"/>
      <c r="AB89" s="697"/>
      <c r="AC89" s="697"/>
      <c r="AD89" s="697"/>
      <c r="AE89" s="697"/>
      <c r="AF89" s="697"/>
      <c r="AG89" s="697"/>
      <c r="AH89" s="697"/>
      <c r="AI89" s="697"/>
      <c r="AJ89" s="697"/>
      <c r="AK89" s="697"/>
      <c r="AL89" s="697"/>
      <c r="AM89" s="697"/>
      <c r="AN89" s="697"/>
      <c r="AO89" s="697"/>
      <c r="AP89" s="697"/>
      <c r="AQ89" s="697"/>
      <c r="AR89" s="697"/>
      <c r="AS89" s="697"/>
      <c r="AT89" s="697"/>
      <c r="AU89" s="697"/>
      <c r="AV89" s="697"/>
      <c r="AW89" s="697"/>
      <c r="AX89" s="697"/>
      <c r="AY89" s="697"/>
      <c r="AZ89" s="697"/>
      <c r="BA89" s="697"/>
      <c r="BB89" s="697"/>
      <c r="BC89" s="697"/>
      <c r="BD89" s="697"/>
      <c r="BE89" s="697"/>
      <c r="BF89" s="697"/>
      <c r="BG89" s="697"/>
      <c r="BH89" s="697"/>
      <c r="BI89" s="697"/>
      <c r="BJ89" s="697"/>
      <c r="BK89" s="697"/>
      <c r="BL89" s="697"/>
      <c r="BM89" s="697"/>
      <c r="BN89" s="697"/>
      <c r="BO89" s="697"/>
      <c r="BP89" s="697"/>
      <c r="BQ89" s="697"/>
      <c r="BR89" s="697"/>
      <c r="BS89" s="697"/>
      <c r="BT89" s="697"/>
      <c r="BU89" s="697"/>
      <c r="BV89" s="697"/>
      <c r="BW89" s="697"/>
      <c r="BX89" s="697"/>
      <c r="BY89" s="697"/>
      <c r="BZ89" s="697"/>
      <c r="CA89" s="697"/>
      <c r="CB89" s="697"/>
      <c r="CC89" s="697"/>
      <c r="CD89" s="697"/>
      <c r="CE89" s="697"/>
      <c r="CF89" s="697"/>
      <c r="CG89" s="697"/>
      <c r="CH89" s="697"/>
      <c r="CI89" s="697"/>
      <c r="CJ89" s="697"/>
      <c r="CK89" s="697"/>
      <c r="CL89" s="697"/>
      <c r="CM89" s="697"/>
      <c r="CN89" s="697"/>
      <c r="CO89" s="697"/>
      <c r="CP89" s="697"/>
      <c r="CQ89" s="697"/>
      <c r="CR89" s="697"/>
      <c r="CS89" s="697"/>
      <c r="CT89" s="697"/>
      <c r="CU89" s="697"/>
      <c r="CV89" s="697"/>
      <c r="CW89" s="697"/>
      <c r="CX89" s="697"/>
      <c r="CY89" s="697"/>
      <c r="CZ89" s="697"/>
      <c r="DA89" s="697"/>
      <c r="DB89" s="697"/>
    </row>
    <row r="90" spans="1:106" hidden="1" outlineLevel="1" x14ac:dyDescent="0.2">
      <c r="A90" s="709">
        <f t="shared" si="33"/>
        <v>37104</v>
      </c>
      <c r="B90" s="709" t="str">
        <f t="shared" si="34"/>
        <v>3Q01</v>
      </c>
      <c r="C90" s="709" t="str">
        <f t="shared" si="35"/>
        <v>4Q01</v>
      </c>
      <c r="D90" s="710">
        <f t="shared" si="41"/>
        <v>37180</v>
      </c>
      <c r="E90" s="710">
        <f t="shared" si="41"/>
        <v>37120</v>
      </c>
      <c r="F90" s="712">
        <v>27.52</v>
      </c>
      <c r="G90" s="713">
        <f t="shared" si="36"/>
        <v>1.4900000000000011</v>
      </c>
      <c r="H90" s="713">
        <f t="shared" si="37"/>
        <v>1.4900000000000011</v>
      </c>
      <c r="I90" s="713">
        <f t="shared" si="42"/>
        <v>5.3999999999999888</v>
      </c>
      <c r="J90" s="713">
        <f t="shared" si="42"/>
        <v>5.4499999999999886</v>
      </c>
      <c r="K90" s="713">
        <f t="shared" si="40"/>
        <v>0.86000000000000054</v>
      </c>
      <c r="L90" s="697"/>
      <c r="M90" s="697"/>
      <c r="N90" s="697"/>
      <c r="O90" s="697"/>
      <c r="P90" s="697"/>
      <c r="Q90" s="697"/>
      <c r="R90" s="697"/>
      <c r="S90" s="697"/>
      <c r="T90" s="697"/>
      <c r="U90" s="697"/>
      <c r="V90" s="697"/>
      <c r="W90" s="697"/>
      <c r="X90" s="697"/>
      <c r="Y90" s="697"/>
      <c r="Z90" s="697"/>
      <c r="AA90" s="697"/>
      <c r="AB90" s="697"/>
      <c r="AC90" s="697"/>
      <c r="AD90" s="697"/>
      <c r="AE90" s="697"/>
      <c r="AF90" s="697"/>
      <c r="AG90" s="697"/>
      <c r="AH90" s="697"/>
      <c r="AI90" s="697"/>
      <c r="AJ90" s="697"/>
      <c r="AK90" s="697"/>
      <c r="AL90" s="697"/>
      <c r="AM90" s="697"/>
      <c r="AN90" s="697"/>
      <c r="AO90" s="697"/>
      <c r="AP90" s="697"/>
      <c r="AQ90" s="697"/>
      <c r="AR90" s="697"/>
      <c r="AS90" s="697"/>
      <c r="AT90" s="697"/>
      <c r="AU90" s="697"/>
      <c r="AV90" s="697"/>
      <c r="AW90" s="697"/>
      <c r="AX90" s="697"/>
      <c r="AY90" s="697"/>
      <c r="AZ90" s="697"/>
      <c r="BA90" s="697"/>
      <c r="BB90" s="697"/>
      <c r="BC90" s="697"/>
      <c r="BD90" s="697"/>
      <c r="BE90" s="697"/>
      <c r="BF90" s="697"/>
      <c r="BG90" s="697"/>
      <c r="BH90" s="697"/>
      <c r="BI90" s="697"/>
      <c r="BJ90" s="697"/>
      <c r="BK90" s="697"/>
      <c r="BL90" s="697"/>
      <c r="BM90" s="697"/>
      <c r="BN90" s="697"/>
      <c r="BO90" s="697"/>
      <c r="BP90" s="697"/>
      <c r="BQ90" s="697"/>
      <c r="BR90" s="697"/>
      <c r="BS90" s="697"/>
      <c r="BT90" s="697"/>
      <c r="BU90" s="697"/>
      <c r="BV90" s="697"/>
      <c r="BW90" s="697"/>
      <c r="BX90" s="697"/>
      <c r="BY90" s="697"/>
      <c r="BZ90" s="697"/>
      <c r="CA90" s="697"/>
      <c r="CB90" s="697"/>
      <c r="CC90" s="697"/>
      <c r="CD90" s="697"/>
      <c r="CE90" s="697"/>
      <c r="CF90" s="697"/>
      <c r="CG90" s="697"/>
      <c r="CH90" s="697"/>
      <c r="CI90" s="697"/>
      <c r="CJ90" s="697"/>
      <c r="CK90" s="697"/>
      <c r="CL90" s="697"/>
      <c r="CM90" s="697"/>
      <c r="CN90" s="697"/>
      <c r="CO90" s="697"/>
      <c r="CP90" s="697"/>
      <c r="CQ90" s="697"/>
      <c r="CR90" s="697"/>
      <c r="CS90" s="697"/>
      <c r="CT90" s="697"/>
      <c r="CU90" s="697"/>
      <c r="CV90" s="697"/>
      <c r="CW90" s="697"/>
      <c r="CX90" s="697"/>
      <c r="CY90" s="697"/>
      <c r="CZ90" s="697"/>
      <c r="DA90" s="697"/>
      <c r="DB90" s="697"/>
    </row>
    <row r="91" spans="1:106" hidden="1" outlineLevel="1" x14ac:dyDescent="0.2">
      <c r="A91" s="709">
        <f t="shared" si="33"/>
        <v>37104</v>
      </c>
      <c r="B91" s="709" t="str">
        <f t="shared" si="34"/>
        <v>3Q01</v>
      </c>
      <c r="C91" s="709" t="str">
        <f t="shared" si="35"/>
        <v>4Q01</v>
      </c>
      <c r="D91" s="710">
        <f t="shared" si="41"/>
        <v>37187</v>
      </c>
      <c r="E91" s="710">
        <f t="shared" si="41"/>
        <v>37127</v>
      </c>
      <c r="F91" s="712">
        <v>27.25</v>
      </c>
      <c r="G91" s="713">
        <f t="shared" si="36"/>
        <v>1.4900000000000011</v>
      </c>
      <c r="H91" s="713">
        <f t="shared" si="37"/>
        <v>1.4900000000000011</v>
      </c>
      <c r="I91" s="713">
        <f t="shared" si="42"/>
        <v>5.4499999999999886</v>
      </c>
      <c r="J91" s="713">
        <f t="shared" si="42"/>
        <v>5.4999999999999885</v>
      </c>
      <c r="K91" s="713">
        <f t="shared" si="40"/>
        <v>0.87000000000000055</v>
      </c>
      <c r="L91" s="697"/>
      <c r="M91" s="697"/>
      <c r="N91" s="697"/>
      <c r="O91" s="697"/>
      <c r="P91" s="697"/>
      <c r="Q91" s="697"/>
      <c r="R91" s="697"/>
      <c r="S91" s="697"/>
      <c r="T91" s="697"/>
      <c r="U91" s="697"/>
      <c r="V91" s="697"/>
      <c r="W91" s="697"/>
      <c r="X91" s="697"/>
      <c r="Y91" s="697"/>
      <c r="Z91" s="697"/>
      <c r="AA91" s="697"/>
      <c r="AB91" s="697"/>
      <c r="AC91" s="697"/>
      <c r="AD91" s="697"/>
      <c r="AE91" s="697"/>
      <c r="AF91" s="697"/>
      <c r="AG91" s="697"/>
      <c r="AH91" s="697"/>
      <c r="AI91" s="697"/>
      <c r="AJ91" s="697"/>
      <c r="AK91" s="697"/>
      <c r="AL91" s="697"/>
      <c r="AM91" s="697"/>
      <c r="AN91" s="697"/>
      <c r="AO91" s="697"/>
      <c r="AP91" s="697"/>
      <c r="AQ91" s="697"/>
      <c r="AR91" s="697"/>
      <c r="AS91" s="697"/>
      <c r="AT91" s="697"/>
      <c r="AU91" s="697"/>
      <c r="AV91" s="697"/>
      <c r="AW91" s="697"/>
      <c r="AX91" s="697"/>
      <c r="AY91" s="697"/>
      <c r="AZ91" s="697"/>
      <c r="BA91" s="697"/>
      <c r="BB91" s="697"/>
      <c r="BC91" s="697"/>
      <c r="BD91" s="697"/>
      <c r="BE91" s="697"/>
      <c r="BF91" s="697"/>
      <c r="BG91" s="697"/>
      <c r="BH91" s="697"/>
      <c r="BI91" s="697"/>
      <c r="BJ91" s="697"/>
      <c r="BK91" s="697"/>
      <c r="BL91" s="697"/>
      <c r="BM91" s="697"/>
      <c r="BN91" s="697"/>
      <c r="BO91" s="697"/>
      <c r="BP91" s="697"/>
      <c r="BQ91" s="697"/>
      <c r="BR91" s="697"/>
      <c r="BS91" s="697"/>
      <c r="BT91" s="697"/>
      <c r="BU91" s="697"/>
      <c r="BV91" s="697"/>
      <c r="BW91" s="697"/>
      <c r="BX91" s="697"/>
      <c r="BY91" s="697"/>
      <c r="BZ91" s="697"/>
      <c r="CA91" s="697"/>
      <c r="CB91" s="697"/>
      <c r="CC91" s="697"/>
      <c r="CD91" s="697"/>
      <c r="CE91" s="697"/>
      <c r="CF91" s="697"/>
      <c r="CG91" s="697"/>
      <c r="CH91" s="697"/>
      <c r="CI91" s="697"/>
      <c r="CJ91" s="697"/>
      <c r="CK91" s="697"/>
      <c r="CL91" s="697"/>
      <c r="CM91" s="697"/>
      <c r="CN91" s="697"/>
      <c r="CO91" s="697"/>
      <c r="CP91" s="697"/>
      <c r="CQ91" s="697"/>
      <c r="CR91" s="697"/>
      <c r="CS91" s="697"/>
      <c r="CT91" s="697"/>
      <c r="CU91" s="697"/>
      <c r="CV91" s="697"/>
      <c r="CW91" s="697"/>
      <c r="CX91" s="697"/>
      <c r="CY91" s="697"/>
      <c r="CZ91" s="697"/>
      <c r="DA91" s="697"/>
      <c r="DB91" s="697"/>
    </row>
    <row r="92" spans="1:106" hidden="1" outlineLevel="1" x14ac:dyDescent="0.2">
      <c r="A92" s="709">
        <f t="shared" si="33"/>
        <v>37104</v>
      </c>
      <c r="B92" s="709" t="str">
        <f t="shared" si="34"/>
        <v>3Q01</v>
      </c>
      <c r="C92" s="709" t="str">
        <f t="shared" si="35"/>
        <v>4Q01</v>
      </c>
      <c r="D92" s="710">
        <f t="shared" si="41"/>
        <v>37194</v>
      </c>
      <c r="E92" s="710">
        <f t="shared" si="41"/>
        <v>37134</v>
      </c>
      <c r="F92" s="712">
        <v>26.84</v>
      </c>
      <c r="G92" s="713">
        <f t="shared" si="36"/>
        <v>1.4900000000000011</v>
      </c>
      <c r="H92" s="713">
        <f t="shared" si="37"/>
        <v>1.4900000000000011</v>
      </c>
      <c r="I92" s="713">
        <f t="shared" si="42"/>
        <v>5.4999999999999885</v>
      </c>
      <c r="J92" s="713">
        <f t="shared" si="42"/>
        <v>5.5499999999999883</v>
      </c>
      <c r="K92" s="713">
        <f t="shared" si="40"/>
        <v>0.88000000000000056</v>
      </c>
      <c r="L92" s="697"/>
      <c r="M92" s="697"/>
      <c r="N92" s="697"/>
      <c r="O92" s="697"/>
      <c r="P92" s="697"/>
      <c r="Q92" s="697"/>
      <c r="R92" s="697"/>
      <c r="S92" s="697"/>
      <c r="T92" s="697"/>
      <c r="U92" s="697"/>
      <c r="V92" s="697"/>
      <c r="W92" s="697"/>
      <c r="X92" s="697"/>
      <c r="Y92" s="697"/>
      <c r="Z92" s="697"/>
      <c r="AA92" s="697"/>
      <c r="AB92" s="697"/>
      <c r="AC92" s="697"/>
      <c r="AD92" s="697"/>
      <c r="AE92" s="697"/>
      <c r="AF92" s="697"/>
      <c r="AG92" s="697"/>
      <c r="AH92" s="697"/>
      <c r="AI92" s="697"/>
      <c r="AJ92" s="697"/>
      <c r="AK92" s="697"/>
      <c r="AL92" s="697"/>
      <c r="AM92" s="697"/>
      <c r="AN92" s="697"/>
      <c r="AO92" s="697"/>
      <c r="AP92" s="697"/>
      <c r="AQ92" s="697"/>
      <c r="AR92" s="697"/>
      <c r="AS92" s="697"/>
      <c r="AT92" s="697"/>
      <c r="AU92" s="697"/>
      <c r="AV92" s="697"/>
      <c r="AW92" s="697"/>
      <c r="AX92" s="697"/>
      <c r="AY92" s="697"/>
      <c r="AZ92" s="697"/>
      <c r="BA92" s="697"/>
      <c r="BB92" s="697"/>
      <c r="BC92" s="697"/>
      <c r="BD92" s="697"/>
      <c r="BE92" s="697"/>
      <c r="BF92" s="697"/>
      <c r="BG92" s="697"/>
      <c r="BH92" s="697"/>
      <c r="BI92" s="697"/>
      <c r="BJ92" s="697"/>
      <c r="BK92" s="697"/>
      <c r="BL92" s="697"/>
      <c r="BM92" s="697"/>
      <c r="BN92" s="697"/>
      <c r="BO92" s="697"/>
      <c r="BP92" s="697"/>
      <c r="BQ92" s="697"/>
      <c r="BR92" s="697"/>
      <c r="BS92" s="697"/>
      <c r="BT92" s="697"/>
      <c r="BU92" s="697"/>
      <c r="BV92" s="697"/>
      <c r="BW92" s="697"/>
      <c r="BX92" s="697"/>
      <c r="BY92" s="697"/>
      <c r="BZ92" s="697"/>
      <c r="CA92" s="697"/>
      <c r="CB92" s="697"/>
      <c r="CC92" s="697"/>
      <c r="CD92" s="697"/>
      <c r="CE92" s="697"/>
      <c r="CF92" s="697"/>
      <c r="CG92" s="697"/>
      <c r="CH92" s="697"/>
      <c r="CI92" s="697"/>
      <c r="CJ92" s="697"/>
      <c r="CK92" s="697"/>
      <c r="CL92" s="697"/>
      <c r="CM92" s="697"/>
      <c r="CN92" s="697"/>
      <c r="CO92" s="697"/>
      <c r="CP92" s="697"/>
      <c r="CQ92" s="697"/>
      <c r="CR92" s="697"/>
      <c r="CS92" s="697"/>
      <c r="CT92" s="697"/>
      <c r="CU92" s="697"/>
      <c r="CV92" s="697"/>
      <c r="CW92" s="697"/>
      <c r="CX92" s="697"/>
      <c r="CY92" s="697"/>
      <c r="CZ92" s="697"/>
      <c r="DA92" s="697"/>
      <c r="DB92" s="697"/>
    </row>
    <row r="93" spans="1:106" hidden="1" outlineLevel="1" x14ac:dyDescent="0.2">
      <c r="A93" s="709">
        <f t="shared" si="33"/>
        <v>37135</v>
      </c>
      <c r="B93" s="709" t="str">
        <f t="shared" si="34"/>
        <v>3Q01</v>
      </c>
      <c r="C93" s="709" t="str">
        <f t="shared" si="35"/>
        <v>4Q01</v>
      </c>
      <c r="D93" s="710">
        <f t="shared" si="41"/>
        <v>37201</v>
      </c>
      <c r="E93" s="710">
        <f t="shared" si="41"/>
        <v>37141</v>
      </c>
      <c r="F93" s="712">
        <v>27.38</v>
      </c>
      <c r="G93" s="713">
        <f t="shared" si="36"/>
        <v>1.4900000000000011</v>
      </c>
      <c r="H93" s="713">
        <f t="shared" si="37"/>
        <v>1.4900000000000011</v>
      </c>
      <c r="I93" s="713">
        <f t="shared" si="42"/>
        <v>5.5499999999999883</v>
      </c>
      <c r="J93" s="713">
        <f t="shared" si="42"/>
        <v>5.5999999999999881</v>
      </c>
      <c r="K93" s="713">
        <f t="shared" si="40"/>
        <v>0.89000000000000057</v>
      </c>
      <c r="L93" s="697"/>
      <c r="M93" s="697"/>
      <c r="N93" s="697"/>
      <c r="O93" s="697"/>
      <c r="P93" s="697"/>
      <c r="Q93" s="697"/>
      <c r="R93" s="697"/>
      <c r="S93" s="697"/>
      <c r="T93" s="697"/>
      <c r="U93" s="697"/>
      <c r="V93" s="697"/>
      <c r="W93" s="697"/>
      <c r="X93" s="697"/>
      <c r="Y93" s="697"/>
      <c r="Z93" s="697"/>
      <c r="AA93" s="697"/>
      <c r="AB93" s="697"/>
      <c r="AC93" s="697"/>
      <c r="AD93" s="697"/>
      <c r="AE93" s="697"/>
      <c r="AF93" s="697"/>
      <c r="AG93" s="697"/>
      <c r="AH93" s="697"/>
      <c r="AI93" s="697"/>
      <c r="AJ93" s="697"/>
      <c r="AK93" s="697"/>
      <c r="AL93" s="697"/>
      <c r="AM93" s="697"/>
      <c r="AN93" s="697"/>
      <c r="AO93" s="697"/>
      <c r="AP93" s="697"/>
      <c r="AQ93" s="697"/>
      <c r="AR93" s="697"/>
      <c r="AS93" s="697"/>
      <c r="AT93" s="697"/>
      <c r="AU93" s="697"/>
      <c r="AV93" s="697"/>
      <c r="AW93" s="697"/>
      <c r="AX93" s="697"/>
      <c r="AY93" s="697"/>
      <c r="AZ93" s="697"/>
      <c r="BA93" s="697"/>
      <c r="BB93" s="697"/>
      <c r="BC93" s="697"/>
      <c r="BD93" s="697"/>
      <c r="BE93" s="697"/>
      <c r="BF93" s="697"/>
      <c r="BG93" s="697"/>
      <c r="BH93" s="697"/>
      <c r="BI93" s="697"/>
      <c r="BJ93" s="697"/>
      <c r="BK93" s="697"/>
      <c r="BL93" s="697"/>
      <c r="BM93" s="697"/>
      <c r="BN93" s="697"/>
      <c r="BO93" s="697"/>
      <c r="BP93" s="697"/>
      <c r="BQ93" s="697"/>
      <c r="BR93" s="697"/>
      <c r="BS93" s="697"/>
      <c r="BT93" s="697"/>
      <c r="BU93" s="697"/>
      <c r="BV93" s="697"/>
      <c r="BW93" s="697"/>
      <c r="BX93" s="697"/>
      <c r="BY93" s="697"/>
      <c r="BZ93" s="697"/>
      <c r="CA93" s="697"/>
      <c r="CB93" s="697"/>
      <c r="CC93" s="697"/>
      <c r="CD93" s="697"/>
      <c r="CE93" s="697"/>
      <c r="CF93" s="697"/>
      <c r="CG93" s="697"/>
      <c r="CH93" s="697"/>
      <c r="CI93" s="697"/>
      <c r="CJ93" s="697"/>
      <c r="CK93" s="697"/>
      <c r="CL93" s="697"/>
      <c r="CM93" s="697"/>
      <c r="CN93" s="697"/>
      <c r="CO93" s="697"/>
      <c r="CP93" s="697"/>
      <c r="CQ93" s="697"/>
      <c r="CR93" s="697"/>
      <c r="CS93" s="697"/>
      <c r="CT93" s="697"/>
      <c r="CU93" s="697"/>
      <c r="CV93" s="697"/>
      <c r="CW93" s="697"/>
      <c r="CX93" s="697"/>
      <c r="CY93" s="697"/>
      <c r="CZ93" s="697"/>
      <c r="DA93" s="697"/>
      <c r="DB93" s="697"/>
    </row>
    <row r="94" spans="1:106" hidden="1" outlineLevel="1" x14ac:dyDescent="0.2">
      <c r="A94" s="709">
        <f t="shared" si="33"/>
        <v>37135</v>
      </c>
      <c r="B94" s="709" t="str">
        <f t="shared" si="34"/>
        <v>3Q01</v>
      </c>
      <c r="C94" s="709" t="str">
        <f t="shared" si="35"/>
        <v>4Q01</v>
      </c>
      <c r="D94" s="710">
        <f t="shared" si="41"/>
        <v>37208</v>
      </c>
      <c r="E94" s="710">
        <f t="shared" si="41"/>
        <v>37148</v>
      </c>
      <c r="F94" s="712">
        <v>28.22</v>
      </c>
      <c r="G94" s="713">
        <f t="shared" si="36"/>
        <v>1.4900000000000011</v>
      </c>
      <c r="H94" s="713">
        <f t="shared" si="37"/>
        <v>1.4900000000000011</v>
      </c>
      <c r="I94" s="713">
        <f t="shared" si="42"/>
        <v>5.5999999999999881</v>
      </c>
      <c r="J94" s="713">
        <f t="shared" si="42"/>
        <v>5.6499999999999879</v>
      </c>
      <c r="K94" s="713">
        <f t="shared" si="40"/>
        <v>0.90000000000000058</v>
      </c>
      <c r="L94" s="697"/>
      <c r="M94" s="697"/>
      <c r="N94" s="697"/>
      <c r="O94" s="697"/>
      <c r="P94" s="697"/>
      <c r="Q94" s="697"/>
      <c r="R94" s="697"/>
      <c r="S94" s="697"/>
      <c r="T94" s="697"/>
      <c r="U94" s="697"/>
      <c r="V94" s="697"/>
      <c r="W94" s="697"/>
      <c r="X94" s="697"/>
      <c r="Y94" s="697"/>
      <c r="Z94" s="697"/>
      <c r="AA94" s="697"/>
      <c r="AB94" s="697"/>
      <c r="AC94" s="697"/>
      <c r="AD94" s="697"/>
      <c r="AE94" s="697"/>
      <c r="AF94" s="697"/>
      <c r="AG94" s="697"/>
      <c r="AH94" s="697"/>
      <c r="AI94" s="697"/>
      <c r="AJ94" s="697"/>
      <c r="AK94" s="697"/>
      <c r="AL94" s="697"/>
      <c r="AM94" s="697"/>
      <c r="AN94" s="697"/>
      <c r="AO94" s="697"/>
      <c r="AP94" s="697"/>
      <c r="AQ94" s="697"/>
      <c r="AR94" s="697"/>
      <c r="AS94" s="697"/>
      <c r="AT94" s="697"/>
      <c r="AU94" s="697"/>
      <c r="AV94" s="697"/>
      <c r="AW94" s="697"/>
      <c r="AX94" s="697"/>
      <c r="AY94" s="697"/>
      <c r="AZ94" s="697"/>
      <c r="BA94" s="697"/>
      <c r="BB94" s="697"/>
      <c r="BC94" s="697"/>
      <c r="BD94" s="697"/>
      <c r="BE94" s="697"/>
      <c r="BF94" s="697"/>
      <c r="BG94" s="697"/>
      <c r="BH94" s="697"/>
      <c r="BI94" s="697"/>
      <c r="BJ94" s="697"/>
      <c r="BK94" s="697"/>
      <c r="BL94" s="697"/>
      <c r="BM94" s="697"/>
      <c r="BN94" s="697"/>
      <c r="BO94" s="697"/>
      <c r="BP94" s="697"/>
      <c r="BQ94" s="697"/>
      <c r="BR94" s="697"/>
      <c r="BS94" s="697"/>
      <c r="BT94" s="697"/>
      <c r="BU94" s="697"/>
      <c r="BV94" s="697"/>
      <c r="BW94" s="697"/>
      <c r="BX94" s="697"/>
      <c r="BY94" s="697"/>
      <c r="BZ94" s="697"/>
      <c r="CA94" s="697"/>
      <c r="CB94" s="697"/>
      <c r="CC94" s="697"/>
      <c r="CD94" s="697"/>
      <c r="CE94" s="697"/>
      <c r="CF94" s="697"/>
      <c r="CG94" s="697"/>
      <c r="CH94" s="697"/>
      <c r="CI94" s="697"/>
      <c r="CJ94" s="697"/>
      <c r="CK94" s="697"/>
      <c r="CL94" s="697"/>
      <c r="CM94" s="697"/>
      <c r="CN94" s="697"/>
      <c r="CO94" s="697"/>
      <c r="CP94" s="697"/>
      <c r="CQ94" s="697"/>
      <c r="CR94" s="697"/>
      <c r="CS94" s="697"/>
      <c r="CT94" s="697"/>
      <c r="CU94" s="697"/>
      <c r="CV94" s="697"/>
      <c r="CW94" s="697"/>
      <c r="CX94" s="697"/>
      <c r="CY94" s="697"/>
      <c r="CZ94" s="697"/>
      <c r="DA94" s="697"/>
      <c r="DB94" s="697"/>
    </row>
    <row r="95" spans="1:106" hidden="1" outlineLevel="1" x14ac:dyDescent="0.2">
      <c r="A95" s="709">
        <f t="shared" si="33"/>
        <v>37135</v>
      </c>
      <c r="B95" s="709" t="str">
        <f t="shared" si="34"/>
        <v>3Q01</v>
      </c>
      <c r="C95" s="709" t="str">
        <f t="shared" si="35"/>
        <v>4Q01</v>
      </c>
      <c r="D95" s="710">
        <f t="shared" si="41"/>
        <v>37215</v>
      </c>
      <c r="E95" s="710">
        <f t="shared" si="41"/>
        <v>37155</v>
      </c>
      <c r="F95" s="712">
        <v>27.09</v>
      </c>
      <c r="G95" s="713">
        <f t="shared" si="36"/>
        <v>1.4900000000000011</v>
      </c>
      <c r="H95" s="713">
        <f t="shared" si="37"/>
        <v>1.4900000000000011</v>
      </c>
      <c r="I95" s="713">
        <f t="shared" si="42"/>
        <v>5.6499999999999879</v>
      </c>
      <c r="J95" s="713">
        <f t="shared" si="42"/>
        <v>5.6999999999999877</v>
      </c>
      <c r="K95" s="713">
        <f t="shared" si="40"/>
        <v>0.91000000000000059</v>
      </c>
      <c r="L95" s="697"/>
      <c r="M95" s="697"/>
      <c r="N95" s="697"/>
      <c r="O95" s="697"/>
      <c r="P95" s="697"/>
      <c r="Q95" s="697"/>
      <c r="R95" s="697"/>
      <c r="S95" s="697"/>
      <c r="T95" s="697"/>
      <c r="U95" s="697"/>
      <c r="V95" s="697"/>
      <c r="W95" s="697"/>
      <c r="X95" s="697"/>
      <c r="Y95" s="697"/>
      <c r="Z95" s="697"/>
      <c r="AA95" s="697"/>
      <c r="AB95" s="697"/>
      <c r="AC95" s="697"/>
      <c r="AD95" s="697"/>
      <c r="AE95" s="697"/>
      <c r="AF95" s="697"/>
      <c r="AG95" s="697"/>
      <c r="AH95" s="697"/>
      <c r="AI95" s="697"/>
      <c r="AJ95" s="697"/>
      <c r="AK95" s="697"/>
      <c r="AL95" s="697"/>
      <c r="AM95" s="697"/>
      <c r="AN95" s="697"/>
      <c r="AO95" s="697"/>
      <c r="AP95" s="697"/>
      <c r="AQ95" s="697"/>
      <c r="AR95" s="697"/>
      <c r="AS95" s="697"/>
      <c r="AT95" s="697"/>
      <c r="AU95" s="697"/>
      <c r="AV95" s="697"/>
      <c r="AW95" s="697"/>
      <c r="AX95" s="697"/>
      <c r="AY95" s="697"/>
      <c r="AZ95" s="697"/>
      <c r="BA95" s="697"/>
      <c r="BB95" s="697"/>
      <c r="BC95" s="697"/>
      <c r="BD95" s="697"/>
      <c r="BE95" s="697"/>
      <c r="BF95" s="697"/>
      <c r="BG95" s="697"/>
      <c r="BH95" s="697"/>
      <c r="BI95" s="697"/>
      <c r="BJ95" s="697"/>
      <c r="BK95" s="697"/>
      <c r="BL95" s="697"/>
      <c r="BM95" s="697"/>
      <c r="BN95" s="697"/>
      <c r="BO95" s="697"/>
      <c r="BP95" s="697"/>
      <c r="BQ95" s="697"/>
      <c r="BR95" s="697"/>
      <c r="BS95" s="697"/>
      <c r="BT95" s="697"/>
      <c r="BU95" s="697"/>
      <c r="BV95" s="697"/>
      <c r="BW95" s="697"/>
      <c r="BX95" s="697"/>
      <c r="BY95" s="697"/>
      <c r="BZ95" s="697"/>
      <c r="CA95" s="697"/>
      <c r="CB95" s="697"/>
      <c r="CC95" s="697"/>
      <c r="CD95" s="697"/>
      <c r="CE95" s="697"/>
      <c r="CF95" s="697"/>
      <c r="CG95" s="697"/>
      <c r="CH95" s="697"/>
      <c r="CI95" s="697"/>
      <c r="CJ95" s="697"/>
      <c r="CK95" s="697"/>
      <c r="CL95" s="697"/>
      <c r="CM95" s="697"/>
      <c r="CN95" s="697"/>
      <c r="CO95" s="697"/>
      <c r="CP95" s="697"/>
      <c r="CQ95" s="697"/>
      <c r="CR95" s="697"/>
      <c r="CS95" s="697"/>
      <c r="CT95" s="697"/>
      <c r="CU95" s="697"/>
      <c r="CV95" s="697"/>
      <c r="CW95" s="697"/>
      <c r="CX95" s="697"/>
      <c r="CY95" s="697"/>
      <c r="CZ95" s="697"/>
      <c r="DA95" s="697"/>
      <c r="DB95" s="697"/>
    </row>
    <row r="96" spans="1:106" hidden="1" outlineLevel="1" x14ac:dyDescent="0.2">
      <c r="A96" s="709">
        <f t="shared" si="33"/>
        <v>37135</v>
      </c>
      <c r="B96" s="709" t="str">
        <f t="shared" si="34"/>
        <v>3Q01</v>
      </c>
      <c r="C96" s="709" t="str">
        <f t="shared" si="35"/>
        <v>4Q01</v>
      </c>
      <c r="D96" s="710">
        <f t="shared" si="41"/>
        <v>37222</v>
      </c>
      <c r="E96" s="710">
        <f t="shared" si="41"/>
        <v>37162</v>
      </c>
      <c r="F96" s="712">
        <v>22.35</v>
      </c>
      <c r="G96" s="713">
        <f t="shared" si="36"/>
        <v>1.4900000000000011</v>
      </c>
      <c r="H96" s="713">
        <f t="shared" si="37"/>
        <v>1.4900000000000011</v>
      </c>
      <c r="I96" s="713">
        <f t="shared" si="42"/>
        <v>5.6999999999999877</v>
      </c>
      <c r="J96" s="713">
        <f t="shared" si="42"/>
        <v>5.7499999999999876</v>
      </c>
      <c r="K96" s="713">
        <f t="shared" si="40"/>
        <v>0.9200000000000006</v>
      </c>
      <c r="L96" s="697"/>
      <c r="M96" s="697"/>
      <c r="N96" s="697"/>
      <c r="O96" s="697"/>
      <c r="P96" s="697"/>
      <c r="Q96" s="697"/>
      <c r="R96" s="697"/>
      <c r="S96" s="697"/>
      <c r="T96" s="697"/>
      <c r="U96" s="697"/>
      <c r="V96" s="697"/>
      <c r="W96" s="697"/>
      <c r="X96" s="697"/>
      <c r="Y96" s="697"/>
      <c r="Z96" s="697"/>
      <c r="AA96" s="697"/>
      <c r="AB96" s="697"/>
      <c r="AC96" s="697"/>
      <c r="AD96" s="697"/>
      <c r="AE96" s="697"/>
      <c r="AF96" s="697"/>
      <c r="AG96" s="697"/>
      <c r="AH96" s="697"/>
      <c r="AI96" s="697"/>
      <c r="AJ96" s="697"/>
      <c r="AK96" s="697"/>
      <c r="AL96" s="697"/>
      <c r="AM96" s="697"/>
      <c r="AN96" s="697"/>
      <c r="AO96" s="697"/>
      <c r="AP96" s="697"/>
      <c r="AQ96" s="697"/>
      <c r="AR96" s="697"/>
      <c r="AS96" s="697"/>
      <c r="AT96" s="697"/>
      <c r="AU96" s="697"/>
      <c r="AV96" s="697"/>
      <c r="AW96" s="697"/>
      <c r="AX96" s="697"/>
      <c r="AY96" s="697"/>
      <c r="AZ96" s="697"/>
      <c r="BA96" s="697"/>
      <c r="BB96" s="697"/>
      <c r="BC96" s="697"/>
      <c r="BD96" s="697"/>
      <c r="BE96" s="697"/>
      <c r="BF96" s="697"/>
      <c r="BG96" s="697"/>
      <c r="BH96" s="697"/>
      <c r="BI96" s="697"/>
      <c r="BJ96" s="697"/>
      <c r="BK96" s="697"/>
      <c r="BL96" s="697"/>
      <c r="BM96" s="697"/>
      <c r="BN96" s="697"/>
      <c r="BO96" s="697"/>
      <c r="BP96" s="697"/>
      <c r="BQ96" s="697"/>
      <c r="BR96" s="697"/>
      <c r="BS96" s="697"/>
      <c r="BT96" s="697"/>
      <c r="BU96" s="697"/>
      <c r="BV96" s="697"/>
      <c r="BW96" s="697"/>
      <c r="BX96" s="697"/>
      <c r="BY96" s="697"/>
      <c r="BZ96" s="697"/>
      <c r="CA96" s="697"/>
      <c r="CB96" s="697"/>
      <c r="CC96" s="697"/>
      <c r="CD96" s="697"/>
      <c r="CE96" s="697"/>
      <c r="CF96" s="697"/>
      <c r="CG96" s="697"/>
      <c r="CH96" s="697"/>
      <c r="CI96" s="697"/>
      <c r="CJ96" s="697"/>
      <c r="CK96" s="697"/>
      <c r="CL96" s="697"/>
      <c r="CM96" s="697"/>
      <c r="CN96" s="697"/>
      <c r="CO96" s="697"/>
      <c r="CP96" s="697"/>
      <c r="CQ96" s="697"/>
      <c r="CR96" s="697"/>
      <c r="CS96" s="697"/>
      <c r="CT96" s="697"/>
      <c r="CU96" s="697"/>
      <c r="CV96" s="697"/>
      <c r="CW96" s="697"/>
      <c r="CX96" s="697"/>
      <c r="CY96" s="697"/>
      <c r="CZ96" s="697"/>
      <c r="DA96" s="697"/>
      <c r="DB96" s="697"/>
    </row>
    <row r="97" spans="1:106" hidden="1" outlineLevel="1" x14ac:dyDescent="0.2">
      <c r="A97" s="709">
        <f t="shared" si="33"/>
        <v>37165</v>
      </c>
      <c r="B97" s="709" t="str">
        <f t="shared" si="34"/>
        <v>4Q01</v>
      </c>
      <c r="C97" s="709" t="str">
        <f t="shared" si="35"/>
        <v>4Q01</v>
      </c>
      <c r="D97" s="710">
        <f t="shared" si="41"/>
        <v>37229</v>
      </c>
      <c r="E97" s="710">
        <f t="shared" si="41"/>
        <v>37169</v>
      </c>
      <c r="F97" s="712">
        <v>22.6</v>
      </c>
      <c r="G97" s="713">
        <f t="shared" si="36"/>
        <v>1.4900000000000011</v>
      </c>
      <c r="H97" s="713">
        <f t="shared" si="37"/>
        <v>1.4900000000000011</v>
      </c>
      <c r="I97" s="713">
        <f t="shared" si="42"/>
        <v>5.7499999999999876</v>
      </c>
      <c r="J97" s="713">
        <f t="shared" si="42"/>
        <v>5.7999999999999874</v>
      </c>
      <c r="K97" s="713">
        <f t="shared" si="40"/>
        <v>0.9300000000000006</v>
      </c>
      <c r="L97" s="697"/>
      <c r="M97" s="697"/>
      <c r="N97" s="697"/>
      <c r="O97" s="697"/>
      <c r="P97" s="697"/>
      <c r="Q97" s="697"/>
      <c r="R97" s="697"/>
      <c r="S97" s="697"/>
      <c r="T97" s="697"/>
      <c r="U97" s="697"/>
      <c r="V97" s="697"/>
      <c r="W97" s="697"/>
      <c r="X97" s="697"/>
      <c r="Y97" s="697"/>
      <c r="Z97" s="697"/>
      <c r="AA97" s="697"/>
      <c r="AB97" s="697"/>
      <c r="AC97" s="697"/>
      <c r="AD97" s="697"/>
      <c r="AE97" s="697"/>
      <c r="AF97" s="697"/>
      <c r="AG97" s="697"/>
      <c r="AH97" s="697"/>
      <c r="AI97" s="697"/>
      <c r="AJ97" s="697"/>
      <c r="AK97" s="697"/>
      <c r="AL97" s="697"/>
      <c r="AM97" s="697"/>
      <c r="AN97" s="697"/>
      <c r="AO97" s="697"/>
      <c r="AP97" s="697"/>
      <c r="AQ97" s="697"/>
      <c r="AR97" s="697"/>
      <c r="AS97" s="697"/>
      <c r="AT97" s="697"/>
      <c r="AU97" s="697"/>
      <c r="AV97" s="697"/>
      <c r="AW97" s="697"/>
      <c r="AX97" s="697"/>
      <c r="AY97" s="697"/>
      <c r="AZ97" s="697"/>
      <c r="BA97" s="697"/>
      <c r="BB97" s="697"/>
      <c r="BC97" s="697"/>
      <c r="BD97" s="697"/>
      <c r="BE97" s="697"/>
      <c r="BF97" s="697"/>
      <c r="BG97" s="697"/>
      <c r="BH97" s="697"/>
      <c r="BI97" s="697"/>
      <c r="BJ97" s="697"/>
      <c r="BK97" s="697"/>
      <c r="BL97" s="697"/>
      <c r="BM97" s="697"/>
      <c r="BN97" s="697"/>
      <c r="BO97" s="697"/>
      <c r="BP97" s="697"/>
      <c r="BQ97" s="697"/>
      <c r="BR97" s="697"/>
      <c r="BS97" s="697"/>
      <c r="BT97" s="697"/>
      <c r="BU97" s="697"/>
      <c r="BV97" s="697"/>
      <c r="BW97" s="697"/>
      <c r="BX97" s="697"/>
      <c r="BY97" s="697"/>
      <c r="BZ97" s="697"/>
      <c r="CA97" s="697"/>
      <c r="CB97" s="697"/>
      <c r="CC97" s="697"/>
      <c r="CD97" s="697"/>
      <c r="CE97" s="697"/>
      <c r="CF97" s="697"/>
      <c r="CG97" s="697"/>
      <c r="CH97" s="697"/>
      <c r="CI97" s="697"/>
      <c r="CJ97" s="697"/>
      <c r="CK97" s="697"/>
      <c r="CL97" s="697"/>
      <c r="CM97" s="697"/>
      <c r="CN97" s="697"/>
      <c r="CO97" s="697"/>
      <c r="CP97" s="697"/>
      <c r="CQ97" s="697"/>
      <c r="CR97" s="697"/>
      <c r="CS97" s="697"/>
      <c r="CT97" s="697"/>
      <c r="CU97" s="697"/>
      <c r="CV97" s="697"/>
      <c r="CW97" s="697"/>
      <c r="CX97" s="697"/>
      <c r="CY97" s="697"/>
      <c r="CZ97" s="697"/>
      <c r="DA97" s="697"/>
      <c r="DB97" s="697"/>
    </row>
    <row r="98" spans="1:106" hidden="1" outlineLevel="1" x14ac:dyDescent="0.2">
      <c r="A98" s="709">
        <f t="shared" si="33"/>
        <v>37165</v>
      </c>
      <c r="B98" s="709" t="str">
        <f t="shared" si="34"/>
        <v>4Q01</v>
      </c>
      <c r="C98" s="709" t="str">
        <f t="shared" si="35"/>
        <v>4Q01</v>
      </c>
      <c r="D98" s="710">
        <f t="shared" si="41"/>
        <v>37236</v>
      </c>
      <c r="E98" s="710">
        <f t="shared" si="41"/>
        <v>37176</v>
      </c>
      <c r="F98" s="712">
        <v>22.66</v>
      </c>
      <c r="G98" s="713">
        <f t="shared" si="36"/>
        <v>1.4900000000000011</v>
      </c>
      <c r="H98" s="713">
        <f t="shared" si="37"/>
        <v>1.4900000000000011</v>
      </c>
      <c r="I98" s="713">
        <f t="shared" si="42"/>
        <v>5.7999999999999874</v>
      </c>
      <c r="J98" s="713">
        <f t="shared" si="42"/>
        <v>5.8499999999999872</v>
      </c>
      <c r="K98" s="713">
        <f t="shared" si="40"/>
        <v>0.94000000000000061</v>
      </c>
      <c r="L98" s="697"/>
      <c r="M98" s="697"/>
      <c r="N98" s="697"/>
      <c r="O98" s="697"/>
      <c r="P98" s="697"/>
      <c r="Q98" s="697"/>
      <c r="R98" s="697"/>
      <c r="S98" s="697"/>
      <c r="T98" s="697"/>
      <c r="U98" s="697"/>
      <c r="V98" s="697"/>
      <c r="W98" s="697"/>
      <c r="X98" s="697"/>
      <c r="Y98" s="697"/>
      <c r="Z98" s="697"/>
      <c r="AA98" s="697"/>
      <c r="AB98" s="697"/>
      <c r="AC98" s="697"/>
      <c r="AD98" s="697"/>
      <c r="AE98" s="697"/>
      <c r="AF98" s="697"/>
      <c r="AG98" s="697"/>
      <c r="AH98" s="697"/>
      <c r="AI98" s="697"/>
      <c r="AJ98" s="697"/>
      <c r="AK98" s="697"/>
      <c r="AL98" s="697"/>
      <c r="AM98" s="697"/>
      <c r="AN98" s="697"/>
      <c r="AO98" s="697"/>
      <c r="AP98" s="697"/>
      <c r="AQ98" s="697"/>
      <c r="AR98" s="697"/>
      <c r="AS98" s="697"/>
      <c r="AT98" s="697"/>
      <c r="AU98" s="697"/>
      <c r="AV98" s="697"/>
      <c r="AW98" s="697"/>
      <c r="AX98" s="697"/>
      <c r="AY98" s="697"/>
      <c r="AZ98" s="697"/>
      <c r="BA98" s="697"/>
      <c r="BB98" s="697"/>
      <c r="BC98" s="697"/>
      <c r="BD98" s="697"/>
      <c r="BE98" s="697"/>
      <c r="BF98" s="697"/>
      <c r="BG98" s="697"/>
      <c r="BH98" s="697"/>
      <c r="BI98" s="697"/>
      <c r="BJ98" s="697"/>
      <c r="BK98" s="697"/>
      <c r="BL98" s="697"/>
      <c r="BM98" s="697"/>
      <c r="BN98" s="697"/>
      <c r="BO98" s="697"/>
      <c r="BP98" s="697"/>
      <c r="BQ98" s="697"/>
      <c r="BR98" s="697"/>
      <c r="BS98" s="697"/>
      <c r="BT98" s="697"/>
      <c r="BU98" s="697"/>
      <c r="BV98" s="697"/>
      <c r="BW98" s="697"/>
      <c r="BX98" s="697"/>
      <c r="BY98" s="697"/>
      <c r="BZ98" s="697"/>
      <c r="CA98" s="697"/>
      <c r="CB98" s="697"/>
      <c r="CC98" s="697"/>
      <c r="CD98" s="697"/>
      <c r="CE98" s="697"/>
      <c r="CF98" s="697"/>
      <c r="CG98" s="697"/>
      <c r="CH98" s="697"/>
      <c r="CI98" s="697"/>
      <c r="CJ98" s="697"/>
      <c r="CK98" s="697"/>
      <c r="CL98" s="697"/>
      <c r="CM98" s="697"/>
      <c r="CN98" s="697"/>
      <c r="CO98" s="697"/>
      <c r="CP98" s="697"/>
      <c r="CQ98" s="697"/>
      <c r="CR98" s="697"/>
      <c r="CS98" s="697"/>
      <c r="CT98" s="697"/>
      <c r="CU98" s="697"/>
      <c r="CV98" s="697"/>
      <c r="CW98" s="697"/>
      <c r="CX98" s="697"/>
      <c r="CY98" s="697"/>
      <c r="CZ98" s="697"/>
      <c r="DA98" s="697"/>
      <c r="DB98" s="697"/>
    </row>
    <row r="99" spans="1:106" hidden="1" outlineLevel="1" x14ac:dyDescent="0.2">
      <c r="A99" s="709">
        <f t="shared" si="33"/>
        <v>37165</v>
      </c>
      <c r="B99" s="709" t="str">
        <f t="shared" si="34"/>
        <v>4Q01</v>
      </c>
      <c r="C99" s="709" t="str">
        <f t="shared" si="35"/>
        <v>4Q01</v>
      </c>
      <c r="D99" s="710">
        <f t="shared" si="41"/>
        <v>37243</v>
      </c>
      <c r="E99" s="710">
        <f t="shared" si="41"/>
        <v>37183</v>
      </c>
      <c r="F99" s="712">
        <v>21.92</v>
      </c>
      <c r="G99" s="713">
        <f t="shared" si="36"/>
        <v>1.4900000000000011</v>
      </c>
      <c r="H99" s="713">
        <f t="shared" si="37"/>
        <v>1.4900000000000011</v>
      </c>
      <c r="I99" s="713">
        <f t="shared" si="42"/>
        <v>5.8499999999999872</v>
      </c>
      <c r="J99" s="713">
        <f t="shared" si="42"/>
        <v>5.899999999999987</v>
      </c>
      <c r="K99" s="713">
        <f t="shared" si="40"/>
        <v>0.95000000000000062</v>
      </c>
      <c r="L99" s="697"/>
      <c r="M99" s="697"/>
      <c r="N99" s="697"/>
      <c r="O99" s="697"/>
      <c r="P99" s="697"/>
      <c r="Q99" s="697"/>
      <c r="R99" s="697"/>
      <c r="S99" s="697"/>
      <c r="T99" s="697"/>
      <c r="U99" s="697"/>
      <c r="V99" s="697"/>
      <c r="W99" s="697"/>
      <c r="X99" s="697"/>
      <c r="Y99" s="697"/>
      <c r="Z99" s="697"/>
      <c r="AA99" s="697"/>
      <c r="AB99" s="697"/>
      <c r="AC99" s="697"/>
      <c r="AD99" s="697"/>
      <c r="AE99" s="697"/>
      <c r="AF99" s="697"/>
      <c r="AG99" s="697"/>
      <c r="AH99" s="697"/>
      <c r="AI99" s="697"/>
      <c r="AJ99" s="697"/>
      <c r="AK99" s="697"/>
      <c r="AL99" s="697"/>
      <c r="AM99" s="697"/>
      <c r="AN99" s="697"/>
      <c r="AO99" s="697"/>
      <c r="AP99" s="697"/>
      <c r="AQ99" s="697"/>
      <c r="AR99" s="697"/>
      <c r="AS99" s="697"/>
      <c r="AT99" s="697"/>
      <c r="AU99" s="697"/>
      <c r="AV99" s="697"/>
      <c r="AW99" s="697"/>
      <c r="AX99" s="697"/>
      <c r="AY99" s="697"/>
      <c r="AZ99" s="697"/>
      <c r="BA99" s="697"/>
      <c r="BB99" s="697"/>
      <c r="BC99" s="697"/>
      <c r="BD99" s="697"/>
      <c r="BE99" s="697"/>
      <c r="BF99" s="697"/>
      <c r="BG99" s="697"/>
      <c r="BH99" s="697"/>
      <c r="BI99" s="697"/>
      <c r="BJ99" s="697"/>
      <c r="BK99" s="697"/>
      <c r="BL99" s="697"/>
      <c r="BM99" s="697"/>
      <c r="BN99" s="697"/>
      <c r="BO99" s="697"/>
      <c r="BP99" s="697"/>
      <c r="BQ99" s="697"/>
      <c r="BR99" s="697"/>
      <c r="BS99" s="697"/>
      <c r="BT99" s="697"/>
      <c r="BU99" s="697"/>
      <c r="BV99" s="697"/>
      <c r="BW99" s="697"/>
      <c r="BX99" s="697"/>
      <c r="BY99" s="697"/>
      <c r="BZ99" s="697"/>
      <c r="CA99" s="697"/>
      <c r="CB99" s="697"/>
      <c r="CC99" s="697"/>
      <c r="CD99" s="697"/>
      <c r="CE99" s="697"/>
      <c r="CF99" s="697"/>
      <c r="CG99" s="697"/>
      <c r="CH99" s="697"/>
      <c r="CI99" s="697"/>
      <c r="CJ99" s="697"/>
      <c r="CK99" s="697"/>
      <c r="CL99" s="697"/>
      <c r="CM99" s="697"/>
      <c r="CN99" s="697"/>
      <c r="CO99" s="697"/>
      <c r="CP99" s="697"/>
      <c r="CQ99" s="697"/>
      <c r="CR99" s="697"/>
      <c r="CS99" s="697"/>
      <c r="CT99" s="697"/>
      <c r="CU99" s="697"/>
      <c r="CV99" s="697"/>
      <c r="CW99" s="697"/>
      <c r="CX99" s="697"/>
      <c r="CY99" s="697"/>
      <c r="CZ99" s="697"/>
      <c r="DA99" s="697"/>
      <c r="DB99" s="697"/>
    </row>
    <row r="100" spans="1:106" hidden="1" outlineLevel="1" x14ac:dyDescent="0.2">
      <c r="A100" s="709">
        <f t="shared" si="33"/>
        <v>37165</v>
      </c>
      <c r="B100" s="709" t="str">
        <f t="shared" si="34"/>
        <v>4Q01</v>
      </c>
      <c r="C100" s="709" t="str">
        <f t="shared" si="35"/>
        <v>4Q01</v>
      </c>
      <c r="D100" s="710">
        <f t="shared" si="41"/>
        <v>37250</v>
      </c>
      <c r="E100" s="710">
        <f t="shared" si="41"/>
        <v>37190</v>
      </c>
      <c r="F100" s="712">
        <v>21.78</v>
      </c>
      <c r="G100" s="713">
        <f t="shared" si="36"/>
        <v>1.4900000000000011</v>
      </c>
      <c r="H100" s="713">
        <f t="shared" si="37"/>
        <v>1.4900000000000011</v>
      </c>
      <c r="I100" s="713">
        <f t="shared" si="42"/>
        <v>5.899999999999987</v>
      </c>
      <c r="J100" s="713">
        <f t="shared" si="42"/>
        <v>5.9499999999999869</v>
      </c>
      <c r="K100" s="713">
        <f t="shared" si="40"/>
        <v>0.96000000000000063</v>
      </c>
      <c r="L100" s="697"/>
      <c r="M100" s="697"/>
      <c r="N100" s="697"/>
      <c r="O100" s="697"/>
      <c r="P100" s="697"/>
      <c r="Q100" s="697"/>
      <c r="R100" s="697"/>
      <c r="S100" s="697"/>
      <c r="T100" s="697"/>
      <c r="U100" s="697"/>
      <c r="V100" s="697"/>
      <c r="W100" s="697"/>
      <c r="X100" s="697"/>
      <c r="Y100" s="697"/>
      <c r="Z100" s="697"/>
      <c r="AA100" s="697"/>
      <c r="AB100" s="697"/>
      <c r="AC100" s="697"/>
      <c r="AD100" s="697"/>
      <c r="AE100" s="697"/>
      <c r="AF100" s="697"/>
      <c r="AG100" s="697"/>
      <c r="AH100" s="697"/>
      <c r="AI100" s="697"/>
      <c r="AJ100" s="697"/>
      <c r="AK100" s="697"/>
      <c r="AL100" s="697"/>
      <c r="AM100" s="697"/>
      <c r="AN100" s="697"/>
      <c r="AO100" s="697"/>
      <c r="AP100" s="697"/>
      <c r="AQ100" s="697"/>
      <c r="AR100" s="697"/>
      <c r="AS100" s="697"/>
      <c r="AT100" s="697"/>
      <c r="AU100" s="697"/>
      <c r="AV100" s="697"/>
      <c r="AW100" s="697"/>
      <c r="AX100" s="697"/>
      <c r="AY100" s="697"/>
      <c r="AZ100" s="697"/>
      <c r="BA100" s="697"/>
      <c r="BB100" s="697"/>
      <c r="BC100" s="697"/>
      <c r="BD100" s="697"/>
      <c r="BE100" s="697"/>
      <c r="BF100" s="697"/>
      <c r="BG100" s="697"/>
      <c r="BH100" s="697"/>
      <c r="BI100" s="697"/>
      <c r="BJ100" s="697"/>
      <c r="BK100" s="697"/>
      <c r="BL100" s="697"/>
      <c r="BM100" s="697"/>
      <c r="BN100" s="697"/>
      <c r="BO100" s="697"/>
      <c r="BP100" s="697"/>
      <c r="BQ100" s="697"/>
      <c r="BR100" s="697"/>
      <c r="BS100" s="697"/>
      <c r="BT100" s="697"/>
      <c r="BU100" s="697"/>
      <c r="BV100" s="697"/>
      <c r="BW100" s="697"/>
      <c r="BX100" s="697"/>
      <c r="BY100" s="697"/>
      <c r="BZ100" s="697"/>
      <c r="CA100" s="697"/>
      <c r="CB100" s="697"/>
      <c r="CC100" s="697"/>
      <c r="CD100" s="697"/>
      <c r="CE100" s="697"/>
      <c r="CF100" s="697"/>
      <c r="CG100" s="697"/>
      <c r="CH100" s="697"/>
      <c r="CI100" s="697"/>
      <c r="CJ100" s="697"/>
      <c r="CK100" s="697"/>
      <c r="CL100" s="697"/>
      <c r="CM100" s="697"/>
      <c r="CN100" s="697"/>
      <c r="CO100" s="697"/>
      <c r="CP100" s="697"/>
      <c r="CQ100" s="697"/>
      <c r="CR100" s="697"/>
      <c r="CS100" s="697"/>
      <c r="CT100" s="697"/>
      <c r="CU100" s="697"/>
      <c r="CV100" s="697"/>
      <c r="CW100" s="697"/>
      <c r="CX100" s="697"/>
      <c r="CY100" s="697"/>
      <c r="CZ100" s="697"/>
      <c r="DA100" s="697"/>
      <c r="DB100" s="697"/>
    </row>
    <row r="101" spans="1:106" hidden="1" outlineLevel="1" x14ac:dyDescent="0.2">
      <c r="A101" s="709">
        <f t="shared" si="33"/>
        <v>37196</v>
      </c>
      <c r="B101" s="709" t="str">
        <f t="shared" si="34"/>
        <v>4Q01</v>
      </c>
      <c r="C101" s="709" t="str">
        <f t="shared" si="35"/>
        <v>1Q02</v>
      </c>
      <c r="D101" s="710">
        <f t="shared" ref="D101:E116" si="43">D100+7</f>
        <v>37257</v>
      </c>
      <c r="E101" s="710">
        <f t="shared" si="43"/>
        <v>37197</v>
      </c>
      <c r="F101" s="712">
        <v>21.17</v>
      </c>
      <c r="G101" s="713">
        <f t="shared" si="36"/>
        <v>1.4900000000000011</v>
      </c>
      <c r="H101" s="713">
        <f t="shared" si="37"/>
        <v>1.4900000000000011</v>
      </c>
      <c r="I101" s="713">
        <f t="shared" si="42"/>
        <v>5.9499999999999869</v>
      </c>
      <c r="J101" s="713">
        <f t="shared" si="42"/>
        <v>5.9999999999999867</v>
      </c>
      <c r="K101" s="713">
        <f t="shared" si="40"/>
        <v>0.97000000000000064</v>
      </c>
      <c r="L101" s="697"/>
      <c r="M101" s="697"/>
      <c r="N101" s="697"/>
      <c r="O101" s="697"/>
      <c r="P101" s="697"/>
      <c r="Q101" s="697"/>
      <c r="R101" s="697"/>
      <c r="S101" s="697"/>
      <c r="T101" s="697"/>
      <c r="U101" s="697"/>
      <c r="V101" s="697"/>
      <c r="W101" s="697"/>
      <c r="X101" s="697"/>
      <c r="Y101" s="697"/>
      <c r="Z101" s="697"/>
      <c r="AA101" s="697"/>
      <c r="AB101" s="697"/>
      <c r="AC101" s="697"/>
      <c r="AD101" s="697"/>
      <c r="AE101" s="697"/>
      <c r="AF101" s="697"/>
      <c r="AG101" s="697"/>
      <c r="AH101" s="697"/>
      <c r="AI101" s="697"/>
      <c r="AJ101" s="697"/>
      <c r="AK101" s="697"/>
      <c r="AL101" s="697"/>
      <c r="AM101" s="697"/>
      <c r="AN101" s="697"/>
      <c r="AO101" s="697"/>
      <c r="AP101" s="697"/>
      <c r="AQ101" s="697"/>
      <c r="AR101" s="697"/>
      <c r="AS101" s="697"/>
      <c r="AT101" s="697"/>
      <c r="AU101" s="697"/>
      <c r="AV101" s="697"/>
      <c r="AW101" s="697"/>
      <c r="AX101" s="697"/>
      <c r="AY101" s="697"/>
      <c r="AZ101" s="697"/>
      <c r="BA101" s="697"/>
      <c r="BB101" s="697"/>
      <c r="BC101" s="697"/>
      <c r="BD101" s="697"/>
      <c r="BE101" s="697"/>
      <c r="BF101" s="697"/>
      <c r="BG101" s="697"/>
      <c r="BH101" s="697"/>
      <c r="BI101" s="697"/>
      <c r="BJ101" s="697"/>
      <c r="BK101" s="697"/>
      <c r="BL101" s="697"/>
      <c r="BM101" s="697"/>
      <c r="BN101" s="697"/>
      <c r="BO101" s="697"/>
      <c r="BP101" s="697"/>
      <c r="BQ101" s="697"/>
      <c r="BR101" s="697"/>
      <c r="BS101" s="697"/>
      <c r="BT101" s="697"/>
      <c r="BU101" s="697"/>
      <c r="BV101" s="697"/>
      <c r="BW101" s="697"/>
      <c r="BX101" s="697"/>
      <c r="BY101" s="697"/>
      <c r="BZ101" s="697"/>
      <c r="CA101" s="697"/>
      <c r="CB101" s="697"/>
      <c r="CC101" s="697"/>
      <c r="CD101" s="697"/>
      <c r="CE101" s="697"/>
      <c r="CF101" s="697"/>
      <c r="CG101" s="697"/>
      <c r="CH101" s="697"/>
      <c r="CI101" s="697"/>
      <c r="CJ101" s="697"/>
      <c r="CK101" s="697"/>
      <c r="CL101" s="697"/>
      <c r="CM101" s="697"/>
      <c r="CN101" s="697"/>
      <c r="CO101" s="697"/>
      <c r="CP101" s="697"/>
      <c r="CQ101" s="697"/>
      <c r="CR101" s="697"/>
      <c r="CS101" s="697"/>
      <c r="CT101" s="697"/>
      <c r="CU101" s="697"/>
      <c r="CV101" s="697"/>
      <c r="CW101" s="697"/>
      <c r="CX101" s="697"/>
      <c r="CY101" s="697"/>
      <c r="CZ101" s="697"/>
      <c r="DA101" s="697"/>
      <c r="DB101" s="697"/>
    </row>
    <row r="102" spans="1:106" hidden="1" outlineLevel="1" x14ac:dyDescent="0.2">
      <c r="A102" s="709">
        <f t="shared" si="33"/>
        <v>37196</v>
      </c>
      <c r="B102" s="709" t="str">
        <f t="shared" si="34"/>
        <v>4Q01</v>
      </c>
      <c r="C102" s="709" t="str">
        <f t="shared" si="35"/>
        <v>1Q02</v>
      </c>
      <c r="D102" s="710">
        <f t="shared" si="43"/>
        <v>37264</v>
      </c>
      <c r="E102" s="710">
        <f t="shared" si="43"/>
        <v>37204</v>
      </c>
      <c r="F102" s="712">
        <v>20.7</v>
      </c>
      <c r="G102" s="713">
        <f t="shared" si="36"/>
        <v>1.4900000000000011</v>
      </c>
      <c r="H102" s="713">
        <f t="shared" si="37"/>
        <v>1.4900000000000011</v>
      </c>
      <c r="I102" s="713">
        <f t="shared" ref="I102:J117" si="44">I101+0.05</f>
        <v>5.9999999999999867</v>
      </c>
      <c r="J102" s="713">
        <f t="shared" si="44"/>
        <v>6.0499999999999865</v>
      </c>
      <c r="K102" s="713">
        <f t="shared" si="40"/>
        <v>0.98000000000000065</v>
      </c>
      <c r="L102" s="697"/>
      <c r="M102" s="697"/>
      <c r="N102" s="697"/>
      <c r="O102" s="697"/>
      <c r="P102" s="697"/>
      <c r="Q102" s="697"/>
      <c r="R102" s="697"/>
      <c r="S102" s="697"/>
      <c r="T102" s="697"/>
      <c r="U102" s="697"/>
      <c r="V102" s="697"/>
      <c r="W102" s="697"/>
      <c r="X102" s="697"/>
      <c r="Y102" s="697"/>
      <c r="Z102" s="697"/>
      <c r="AA102" s="697"/>
      <c r="AB102" s="697"/>
      <c r="AC102" s="697"/>
      <c r="AD102" s="697"/>
      <c r="AE102" s="697"/>
      <c r="AF102" s="697"/>
      <c r="AG102" s="697"/>
      <c r="AH102" s="697"/>
      <c r="AI102" s="697"/>
      <c r="AJ102" s="697"/>
      <c r="AK102" s="697"/>
      <c r="AL102" s="697"/>
      <c r="AM102" s="697"/>
      <c r="AN102" s="697"/>
      <c r="AO102" s="697"/>
      <c r="AP102" s="697"/>
      <c r="AQ102" s="697"/>
      <c r="AR102" s="697"/>
      <c r="AS102" s="697"/>
      <c r="AT102" s="697"/>
      <c r="AU102" s="697"/>
      <c r="AV102" s="697"/>
      <c r="AW102" s="697"/>
      <c r="AX102" s="697"/>
      <c r="AY102" s="697"/>
      <c r="AZ102" s="697"/>
      <c r="BA102" s="697"/>
      <c r="BB102" s="697"/>
      <c r="BC102" s="697"/>
      <c r="BD102" s="697"/>
      <c r="BE102" s="697"/>
      <c r="BF102" s="697"/>
      <c r="BG102" s="697"/>
      <c r="BH102" s="697"/>
      <c r="BI102" s="697"/>
      <c r="BJ102" s="697"/>
      <c r="BK102" s="697"/>
      <c r="BL102" s="697"/>
      <c r="BM102" s="697"/>
      <c r="BN102" s="697"/>
      <c r="BO102" s="697"/>
      <c r="BP102" s="697"/>
      <c r="BQ102" s="697"/>
      <c r="BR102" s="697"/>
      <c r="BS102" s="697"/>
      <c r="BT102" s="697"/>
      <c r="BU102" s="697"/>
      <c r="BV102" s="697"/>
      <c r="BW102" s="697"/>
      <c r="BX102" s="697"/>
      <c r="BY102" s="697"/>
      <c r="BZ102" s="697"/>
      <c r="CA102" s="697"/>
      <c r="CB102" s="697"/>
      <c r="CC102" s="697"/>
      <c r="CD102" s="697"/>
      <c r="CE102" s="697"/>
      <c r="CF102" s="697"/>
      <c r="CG102" s="697"/>
      <c r="CH102" s="697"/>
      <c r="CI102" s="697"/>
      <c r="CJ102" s="697"/>
      <c r="CK102" s="697"/>
      <c r="CL102" s="697"/>
      <c r="CM102" s="697"/>
      <c r="CN102" s="697"/>
      <c r="CO102" s="697"/>
      <c r="CP102" s="697"/>
      <c r="CQ102" s="697"/>
      <c r="CR102" s="697"/>
      <c r="CS102" s="697"/>
      <c r="CT102" s="697"/>
      <c r="CU102" s="697"/>
      <c r="CV102" s="697"/>
      <c r="CW102" s="697"/>
      <c r="CX102" s="697"/>
      <c r="CY102" s="697"/>
      <c r="CZ102" s="697"/>
      <c r="DA102" s="697"/>
      <c r="DB102" s="697"/>
    </row>
    <row r="103" spans="1:106" hidden="1" outlineLevel="1" x14ac:dyDescent="0.2">
      <c r="A103" s="709">
        <f t="shared" si="33"/>
        <v>37196</v>
      </c>
      <c r="B103" s="709" t="str">
        <f t="shared" si="34"/>
        <v>4Q01</v>
      </c>
      <c r="C103" s="709" t="str">
        <f t="shared" si="35"/>
        <v>1Q02</v>
      </c>
      <c r="D103" s="710">
        <f t="shared" si="43"/>
        <v>37271</v>
      </c>
      <c r="E103" s="710">
        <f t="shared" si="43"/>
        <v>37211</v>
      </c>
      <c r="F103" s="712">
        <v>19.61</v>
      </c>
      <c r="G103" s="713">
        <f t="shared" si="36"/>
        <v>1.4900000000000011</v>
      </c>
      <c r="H103" s="713">
        <f t="shared" si="37"/>
        <v>1.4900000000000011</v>
      </c>
      <c r="I103" s="713">
        <f t="shared" si="44"/>
        <v>6.0499999999999865</v>
      </c>
      <c r="J103" s="713">
        <f t="shared" si="44"/>
        <v>6.0999999999999863</v>
      </c>
      <c r="K103" s="713">
        <f t="shared" si="40"/>
        <v>0.99000000000000066</v>
      </c>
      <c r="L103" s="697"/>
      <c r="M103" s="697"/>
      <c r="N103" s="697"/>
      <c r="O103" s="697"/>
      <c r="P103" s="697"/>
      <c r="Q103" s="697"/>
      <c r="R103" s="697"/>
      <c r="S103" s="697"/>
      <c r="T103" s="697"/>
      <c r="U103" s="697"/>
      <c r="V103" s="697"/>
      <c r="W103" s="697"/>
      <c r="X103" s="697"/>
      <c r="Y103" s="697"/>
      <c r="Z103" s="697"/>
      <c r="AA103" s="697"/>
      <c r="AB103" s="697"/>
      <c r="AC103" s="697"/>
      <c r="AD103" s="697"/>
      <c r="AE103" s="697"/>
      <c r="AF103" s="697"/>
      <c r="AG103" s="697"/>
      <c r="AH103" s="697"/>
      <c r="AI103" s="697"/>
      <c r="AJ103" s="697"/>
      <c r="AK103" s="697"/>
      <c r="AL103" s="697"/>
      <c r="AM103" s="697"/>
      <c r="AN103" s="697"/>
      <c r="AO103" s="697"/>
      <c r="AP103" s="697"/>
      <c r="AQ103" s="697"/>
      <c r="AR103" s="697"/>
      <c r="AS103" s="697"/>
      <c r="AT103" s="697"/>
      <c r="AU103" s="697"/>
      <c r="AV103" s="697"/>
      <c r="AW103" s="697"/>
      <c r="AX103" s="697"/>
      <c r="AY103" s="697"/>
      <c r="AZ103" s="697"/>
      <c r="BA103" s="697"/>
      <c r="BB103" s="697"/>
      <c r="BC103" s="697"/>
      <c r="BD103" s="697"/>
      <c r="BE103" s="697"/>
      <c r="BF103" s="697"/>
      <c r="BG103" s="697"/>
      <c r="BH103" s="697"/>
      <c r="BI103" s="697"/>
      <c r="BJ103" s="697"/>
      <c r="BK103" s="697"/>
      <c r="BL103" s="697"/>
      <c r="BM103" s="697"/>
      <c r="BN103" s="697"/>
      <c r="BO103" s="697"/>
      <c r="BP103" s="697"/>
      <c r="BQ103" s="697"/>
      <c r="BR103" s="697"/>
      <c r="BS103" s="697"/>
      <c r="BT103" s="697"/>
      <c r="BU103" s="697"/>
      <c r="BV103" s="697"/>
      <c r="BW103" s="697"/>
      <c r="BX103" s="697"/>
      <c r="BY103" s="697"/>
      <c r="BZ103" s="697"/>
      <c r="CA103" s="697"/>
      <c r="CB103" s="697"/>
      <c r="CC103" s="697"/>
      <c r="CD103" s="697"/>
      <c r="CE103" s="697"/>
      <c r="CF103" s="697"/>
      <c r="CG103" s="697"/>
      <c r="CH103" s="697"/>
      <c r="CI103" s="697"/>
      <c r="CJ103" s="697"/>
      <c r="CK103" s="697"/>
      <c r="CL103" s="697"/>
      <c r="CM103" s="697"/>
      <c r="CN103" s="697"/>
      <c r="CO103" s="697"/>
      <c r="CP103" s="697"/>
      <c r="CQ103" s="697"/>
      <c r="CR103" s="697"/>
      <c r="CS103" s="697"/>
      <c r="CT103" s="697"/>
      <c r="CU103" s="697"/>
      <c r="CV103" s="697"/>
      <c r="CW103" s="697"/>
      <c r="CX103" s="697"/>
      <c r="CY103" s="697"/>
      <c r="CZ103" s="697"/>
      <c r="DA103" s="697"/>
      <c r="DB103" s="697"/>
    </row>
    <row r="104" spans="1:106" hidden="1" outlineLevel="1" x14ac:dyDescent="0.2">
      <c r="A104" s="709">
        <f t="shared" si="33"/>
        <v>37196</v>
      </c>
      <c r="B104" s="709" t="str">
        <f t="shared" si="34"/>
        <v>4Q01</v>
      </c>
      <c r="C104" s="709" t="str">
        <f t="shared" si="35"/>
        <v>1Q02</v>
      </c>
      <c r="D104" s="710">
        <f t="shared" si="43"/>
        <v>37278</v>
      </c>
      <c r="E104" s="710">
        <f t="shared" si="43"/>
        <v>37218</v>
      </c>
      <c r="F104" s="712">
        <v>18.28</v>
      </c>
      <c r="G104" s="713">
        <f t="shared" si="36"/>
        <v>1.4900000000000011</v>
      </c>
      <c r="H104" s="713">
        <f t="shared" si="37"/>
        <v>1.4900000000000011</v>
      </c>
      <c r="I104" s="713">
        <f t="shared" si="44"/>
        <v>6.0999999999999863</v>
      </c>
      <c r="J104" s="713">
        <f t="shared" si="44"/>
        <v>6.1499999999999861</v>
      </c>
      <c r="K104" s="713">
        <f t="shared" si="40"/>
        <v>1.0000000000000007</v>
      </c>
      <c r="L104" s="697"/>
      <c r="M104" s="697"/>
      <c r="N104" s="697"/>
      <c r="O104" s="697"/>
      <c r="P104" s="697"/>
      <c r="Q104" s="697"/>
      <c r="R104" s="697"/>
      <c r="S104" s="697"/>
      <c r="T104" s="697"/>
      <c r="U104" s="697"/>
      <c r="V104" s="697"/>
      <c r="W104" s="697"/>
      <c r="X104" s="697"/>
      <c r="Y104" s="697"/>
      <c r="Z104" s="697"/>
      <c r="AA104" s="697"/>
      <c r="AB104" s="697"/>
      <c r="AC104" s="697"/>
      <c r="AD104" s="697"/>
      <c r="AE104" s="697"/>
      <c r="AF104" s="697"/>
      <c r="AG104" s="697"/>
      <c r="AH104" s="697"/>
      <c r="AI104" s="697"/>
      <c r="AJ104" s="697"/>
      <c r="AK104" s="697"/>
      <c r="AL104" s="697"/>
      <c r="AM104" s="697"/>
      <c r="AN104" s="697"/>
      <c r="AO104" s="697"/>
      <c r="AP104" s="697"/>
      <c r="AQ104" s="697"/>
      <c r="AR104" s="697"/>
      <c r="AS104" s="697"/>
      <c r="AT104" s="697"/>
      <c r="AU104" s="697"/>
      <c r="AV104" s="697"/>
      <c r="AW104" s="697"/>
      <c r="AX104" s="697"/>
      <c r="AY104" s="697"/>
      <c r="AZ104" s="697"/>
      <c r="BA104" s="697"/>
      <c r="BB104" s="697"/>
      <c r="BC104" s="697"/>
      <c r="BD104" s="697"/>
      <c r="BE104" s="697"/>
      <c r="BF104" s="697"/>
      <c r="BG104" s="697"/>
      <c r="BH104" s="697"/>
      <c r="BI104" s="697"/>
      <c r="BJ104" s="697"/>
      <c r="BK104" s="697"/>
      <c r="BL104" s="697"/>
      <c r="BM104" s="697"/>
      <c r="BN104" s="697"/>
      <c r="BO104" s="697"/>
      <c r="BP104" s="697"/>
      <c r="BQ104" s="697"/>
      <c r="BR104" s="697"/>
      <c r="BS104" s="697"/>
      <c r="BT104" s="697"/>
      <c r="BU104" s="697"/>
      <c r="BV104" s="697"/>
      <c r="BW104" s="697"/>
      <c r="BX104" s="697"/>
      <c r="BY104" s="697"/>
      <c r="BZ104" s="697"/>
      <c r="CA104" s="697"/>
      <c r="CB104" s="697"/>
      <c r="CC104" s="697"/>
      <c r="CD104" s="697"/>
      <c r="CE104" s="697"/>
      <c r="CF104" s="697"/>
      <c r="CG104" s="697"/>
      <c r="CH104" s="697"/>
      <c r="CI104" s="697"/>
      <c r="CJ104" s="697"/>
      <c r="CK104" s="697"/>
      <c r="CL104" s="697"/>
      <c r="CM104" s="697"/>
      <c r="CN104" s="697"/>
      <c r="CO104" s="697"/>
      <c r="CP104" s="697"/>
      <c r="CQ104" s="697"/>
      <c r="CR104" s="697"/>
      <c r="CS104" s="697"/>
      <c r="CT104" s="697"/>
      <c r="CU104" s="697"/>
      <c r="CV104" s="697"/>
      <c r="CW104" s="697"/>
      <c r="CX104" s="697"/>
      <c r="CY104" s="697"/>
      <c r="CZ104" s="697"/>
      <c r="DA104" s="697"/>
      <c r="DB104" s="697"/>
    </row>
    <row r="105" spans="1:106" hidden="1" outlineLevel="1" x14ac:dyDescent="0.2">
      <c r="A105" s="709">
        <f t="shared" si="33"/>
        <v>37196</v>
      </c>
      <c r="B105" s="709" t="str">
        <f t="shared" si="34"/>
        <v>4Q01</v>
      </c>
      <c r="C105" s="709" t="str">
        <f t="shared" si="35"/>
        <v>1Q02</v>
      </c>
      <c r="D105" s="710">
        <f t="shared" si="43"/>
        <v>37285</v>
      </c>
      <c r="E105" s="710">
        <f t="shared" si="43"/>
        <v>37225</v>
      </c>
      <c r="F105" s="712">
        <v>19.13</v>
      </c>
      <c r="G105" s="713">
        <f t="shared" si="36"/>
        <v>1.4900000000000011</v>
      </c>
      <c r="H105" s="713">
        <f t="shared" si="37"/>
        <v>1.4900000000000011</v>
      </c>
      <c r="I105" s="713">
        <f t="shared" si="44"/>
        <v>6.1499999999999861</v>
      </c>
      <c r="J105" s="713">
        <f t="shared" si="44"/>
        <v>6.199999999999986</v>
      </c>
      <c r="K105" s="713">
        <f t="shared" si="40"/>
        <v>1.0100000000000007</v>
      </c>
      <c r="L105" s="697"/>
      <c r="M105" s="697"/>
      <c r="N105" s="697"/>
      <c r="O105" s="697"/>
      <c r="P105" s="697"/>
      <c r="Q105" s="697"/>
      <c r="R105" s="697"/>
      <c r="S105" s="697"/>
      <c r="T105" s="697"/>
      <c r="U105" s="697"/>
      <c r="V105" s="697"/>
      <c r="W105" s="697"/>
      <c r="X105" s="697"/>
      <c r="Y105" s="697"/>
      <c r="Z105" s="697"/>
      <c r="AA105" s="697"/>
      <c r="AB105" s="697"/>
      <c r="AC105" s="697"/>
      <c r="AD105" s="697"/>
      <c r="AE105" s="697"/>
      <c r="AF105" s="697"/>
      <c r="AG105" s="697"/>
      <c r="AH105" s="697"/>
      <c r="AI105" s="697"/>
      <c r="AJ105" s="697"/>
      <c r="AK105" s="697"/>
      <c r="AL105" s="697"/>
      <c r="AM105" s="697"/>
      <c r="AN105" s="697"/>
      <c r="AO105" s="697"/>
      <c r="AP105" s="697"/>
      <c r="AQ105" s="697"/>
      <c r="AR105" s="697"/>
      <c r="AS105" s="697"/>
      <c r="AT105" s="697"/>
      <c r="AU105" s="697"/>
      <c r="AV105" s="697"/>
      <c r="AW105" s="697"/>
      <c r="AX105" s="697"/>
      <c r="AY105" s="697"/>
      <c r="AZ105" s="697"/>
      <c r="BA105" s="697"/>
      <c r="BB105" s="697"/>
      <c r="BC105" s="697"/>
      <c r="BD105" s="697"/>
      <c r="BE105" s="697"/>
      <c r="BF105" s="697"/>
      <c r="BG105" s="697"/>
      <c r="BH105" s="697"/>
      <c r="BI105" s="697"/>
      <c r="BJ105" s="697"/>
      <c r="BK105" s="697"/>
      <c r="BL105" s="697"/>
      <c r="BM105" s="697"/>
      <c r="BN105" s="697"/>
      <c r="BO105" s="697"/>
      <c r="BP105" s="697"/>
      <c r="BQ105" s="697"/>
      <c r="BR105" s="697"/>
      <c r="BS105" s="697"/>
      <c r="BT105" s="697"/>
      <c r="BU105" s="697"/>
      <c r="BV105" s="697"/>
      <c r="BW105" s="697"/>
      <c r="BX105" s="697"/>
      <c r="BY105" s="697"/>
      <c r="BZ105" s="697"/>
      <c r="CA105" s="697"/>
      <c r="CB105" s="697"/>
      <c r="CC105" s="697"/>
      <c r="CD105" s="697"/>
      <c r="CE105" s="697"/>
      <c r="CF105" s="697"/>
      <c r="CG105" s="697"/>
      <c r="CH105" s="697"/>
      <c r="CI105" s="697"/>
      <c r="CJ105" s="697"/>
      <c r="CK105" s="697"/>
      <c r="CL105" s="697"/>
      <c r="CM105" s="697"/>
      <c r="CN105" s="697"/>
      <c r="CO105" s="697"/>
      <c r="CP105" s="697"/>
      <c r="CQ105" s="697"/>
      <c r="CR105" s="697"/>
      <c r="CS105" s="697"/>
      <c r="CT105" s="697"/>
      <c r="CU105" s="697"/>
      <c r="CV105" s="697"/>
      <c r="CW105" s="697"/>
      <c r="CX105" s="697"/>
      <c r="CY105" s="697"/>
      <c r="CZ105" s="697"/>
      <c r="DA105" s="697"/>
      <c r="DB105" s="697"/>
    </row>
    <row r="106" spans="1:106" hidden="1" outlineLevel="1" x14ac:dyDescent="0.2">
      <c r="A106" s="709">
        <f t="shared" si="33"/>
        <v>37226</v>
      </c>
      <c r="B106" s="709" t="str">
        <f t="shared" si="34"/>
        <v>4Q01</v>
      </c>
      <c r="C106" s="709" t="str">
        <f t="shared" si="35"/>
        <v>1Q02</v>
      </c>
      <c r="D106" s="710">
        <f t="shared" si="43"/>
        <v>37292</v>
      </c>
      <c r="E106" s="710">
        <f t="shared" si="43"/>
        <v>37232</v>
      </c>
      <c r="F106" s="712">
        <v>19.47</v>
      </c>
      <c r="G106" s="713">
        <f t="shared" si="36"/>
        <v>1.4900000000000011</v>
      </c>
      <c r="H106" s="713">
        <f t="shared" si="37"/>
        <v>1.4900000000000011</v>
      </c>
      <c r="I106" s="713">
        <f t="shared" si="44"/>
        <v>6.199999999999986</v>
      </c>
      <c r="J106" s="713">
        <f t="shared" si="44"/>
        <v>6.2499999999999858</v>
      </c>
      <c r="K106" s="713">
        <f t="shared" si="40"/>
        <v>1.0200000000000007</v>
      </c>
      <c r="L106" s="697"/>
      <c r="M106" s="697"/>
      <c r="N106" s="697"/>
      <c r="O106" s="697"/>
      <c r="P106" s="697"/>
      <c r="Q106" s="697"/>
      <c r="R106" s="697"/>
      <c r="S106" s="697"/>
      <c r="T106" s="697"/>
      <c r="U106" s="697"/>
      <c r="V106" s="697"/>
      <c r="W106" s="697"/>
      <c r="X106" s="697"/>
      <c r="Y106" s="697"/>
      <c r="Z106" s="697"/>
      <c r="AA106" s="697"/>
      <c r="AB106" s="697"/>
      <c r="AC106" s="697"/>
      <c r="AD106" s="697"/>
      <c r="AE106" s="697"/>
      <c r="AF106" s="697"/>
      <c r="AG106" s="697"/>
      <c r="AH106" s="697"/>
      <c r="AI106" s="697"/>
      <c r="AJ106" s="697"/>
      <c r="AK106" s="697"/>
      <c r="AL106" s="697"/>
      <c r="AM106" s="697"/>
      <c r="AN106" s="697"/>
      <c r="AO106" s="697"/>
      <c r="AP106" s="697"/>
      <c r="AQ106" s="697"/>
      <c r="AR106" s="697"/>
      <c r="AS106" s="697"/>
      <c r="AT106" s="697"/>
      <c r="AU106" s="697"/>
      <c r="AV106" s="697"/>
      <c r="AW106" s="697"/>
      <c r="AX106" s="697"/>
      <c r="AY106" s="697"/>
      <c r="AZ106" s="697"/>
      <c r="BA106" s="697"/>
      <c r="BB106" s="697"/>
      <c r="BC106" s="697"/>
      <c r="BD106" s="697"/>
      <c r="BE106" s="697"/>
      <c r="BF106" s="697"/>
      <c r="BG106" s="697"/>
      <c r="BH106" s="697"/>
      <c r="BI106" s="697"/>
      <c r="BJ106" s="697"/>
      <c r="BK106" s="697"/>
      <c r="BL106" s="697"/>
      <c r="BM106" s="697"/>
      <c r="BN106" s="697"/>
      <c r="BO106" s="697"/>
      <c r="BP106" s="697"/>
      <c r="BQ106" s="697"/>
      <c r="BR106" s="697"/>
      <c r="BS106" s="697"/>
      <c r="BT106" s="697"/>
      <c r="BU106" s="697"/>
      <c r="BV106" s="697"/>
      <c r="BW106" s="697"/>
      <c r="BX106" s="697"/>
      <c r="BY106" s="697"/>
      <c r="BZ106" s="697"/>
      <c r="CA106" s="697"/>
      <c r="CB106" s="697"/>
      <c r="CC106" s="697"/>
      <c r="CD106" s="697"/>
      <c r="CE106" s="697"/>
      <c r="CF106" s="697"/>
      <c r="CG106" s="697"/>
      <c r="CH106" s="697"/>
      <c r="CI106" s="697"/>
      <c r="CJ106" s="697"/>
      <c r="CK106" s="697"/>
      <c r="CL106" s="697"/>
      <c r="CM106" s="697"/>
      <c r="CN106" s="697"/>
      <c r="CO106" s="697"/>
      <c r="CP106" s="697"/>
      <c r="CQ106" s="697"/>
      <c r="CR106" s="697"/>
      <c r="CS106" s="697"/>
      <c r="CT106" s="697"/>
      <c r="CU106" s="697"/>
      <c r="CV106" s="697"/>
      <c r="CW106" s="697"/>
      <c r="CX106" s="697"/>
      <c r="CY106" s="697"/>
      <c r="CZ106" s="697"/>
      <c r="DA106" s="697"/>
      <c r="DB106" s="697"/>
    </row>
    <row r="107" spans="1:106" hidden="1" outlineLevel="1" x14ac:dyDescent="0.2">
      <c r="A107" s="709">
        <f t="shared" si="33"/>
        <v>37226</v>
      </c>
      <c r="B107" s="709" t="str">
        <f t="shared" si="34"/>
        <v>4Q01</v>
      </c>
      <c r="C107" s="709" t="str">
        <f t="shared" si="35"/>
        <v>1Q02</v>
      </c>
      <c r="D107" s="710">
        <f t="shared" si="43"/>
        <v>37299</v>
      </c>
      <c r="E107" s="710">
        <f t="shared" si="43"/>
        <v>37239</v>
      </c>
      <c r="F107" s="712">
        <v>18.45</v>
      </c>
      <c r="G107" s="713">
        <f t="shared" si="36"/>
        <v>1.4900000000000011</v>
      </c>
      <c r="H107" s="713">
        <f t="shared" si="37"/>
        <v>1.4900000000000011</v>
      </c>
      <c r="I107" s="713">
        <f t="shared" si="44"/>
        <v>6.2499999999999858</v>
      </c>
      <c r="J107" s="713">
        <f t="shared" si="44"/>
        <v>6.2999999999999856</v>
      </c>
      <c r="K107" s="713">
        <f t="shared" si="40"/>
        <v>1.0300000000000007</v>
      </c>
      <c r="L107" s="697"/>
      <c r="M107" s="697"/>
      <c r="N107" s="697"/>
      <c r="O107" s="697"/>
      <c r="P107" s="697"/>
      <c r="Q107" s="697"/>
      <c r="R107" s="697"/>
      <c r="S107" s="697"/>
      <c r="T107" s="697"/>
      <c r="U107" s="697"/>
      <c r="V107" s="697"/>
      <c r="W107" s="697"/>
      <c r="X107" s="697"/>
      <c r="Y107" s="697"/>
      <c r="Z107" s="697"/>
      <c r="AA107" s="697"/>
      <c r="AB107" s="697"/>
      <c r="AC107" s="697"/>
      <c r="AD107" s="697"/>
      <c r="AE107" s="697"/>
      <c r="AF107" s="697"/>
      <c r="AG107" s="697"/>
      <c r="AH107" s="697"/>
      <c r="AI107" s="697"/>
      <c r="AJ107" s="697"/>
      <c r="AK107" s="697"/>
      <c r="AL107" s="697"/>
      <c r="AM107" s="697"/>
      <c r="AN107" s="697"/>
      <c r="AO107" s="697"/>
      <c r="AP107" s="697"/>
      <c r="AQ107" s="697"/>
      <c r="AR107" s="697"/>
      <c r="AS107" s="697"/>
      <c r="AT107" s="697"/>
      <c r="AU107" s="697"/>
      <c r="AV107" s="697"/>
      <c r="AW107" s="697"/>
      <c r="AX107" s="697"/>
      <c r="AY107" s="697"/>
      <c r="AZ107" s="697"/>
      <c r="BA107" s="697"/>
      <c r="BB107" s="697"/>
      <c r="BC107" s="697"/>
      <c r="BD107" s="697"/>
      <c r="BE107" s="697"/>
      <c r="BF107" s="697"/>
      <c r="BG107" s="697"/>
      <c r="BH107" s="697"/>
      <c r="BI107" s="697"/>
      <c r="BJ107" s="697"/>
      <c r="BK107" s="697"/>
      <c r="BL107" s="697"/>
      <c r="BM107" s="697"/>
      <c r="BN107" s="697"/>
      <c r="BO107" s="697"/>
      <c r="BP107" s="697"/>
      <c r="BQ107" s="697"/>
      <c r="BR107" s="697"/>
      <c r="BS107" s="697"/>
      <c r="BT107" s="697"/>
      <c r="BU107" s="697"/>
      <c r="BV107" s="697"/>
      <c r="BW107" s="697"/>
      <c r="BX107" s="697"/>
      <c r="BY107" s="697"/>
      <c r="BZ107" s="697"/>
      <c r="CA107" s="697"/>
      <c r="CB107" s="697"/>
      <c r="CC107" s="697"/>
      <c r="CD107" s="697"/>
      <c r="CE107" s="697"/>
      <c r="CF107" s="697"/>
      <c r="CG107" s="697"/>
      <c r="CH107" s="697"/>
      <c r="CI107" s="697"/>
      <c r="CJ107" s="697"/>
      <c r="CK107" s="697"/>
      <c r="CL107" s="697"/>
      <c r="CM107" s="697"/>
      <c r="CN107" s="697"/>
      <c r="CO107" s="697"/>
      <c r="CP107" s="697"/>
      <c r="CQ107" s="697"/>
      <c r="CR107" s="697"/>
      <c r="CS107" s="697"/>
      <c r="CT107" s="697"/>
      <c r="CU107" s="697"/>
      <c r="CV107" s="697"/>
      <c r="CW107" s="697"/>
      <c r="CX107" s="697"/>
      <c r="CY107" s="697"/>
      <c r="CZ107" s="697"/>
      <c r="DA107" s="697"/>
      <c r="DB107" s="697"/>
    </row>
    <row r="108" spans="1:106" hidden="1" outlineLevel="1" x14ac:dyDescent="0.2">
      <c r="A108" s="709">
        <f t="shared" si="33"/>
        <v>37226</v>
      </c>
      <c r="B108" s="709" t="str">
        <f t="shared" si="34"/>
        <v>4Q01</v>
      </c>
      <c r="C108" s="709" t="str">
        <f t="shared" si="35"/>
        <v>1Q02</v>
      </c>
      <c r="D108" s="710">
        <f t="shared" si="43"/>
        <v>37306</v>
      </c>
      <c r="E108" s="710">
        <f t="shared" si="43"/>
        <v>37246</v>
      </c>
      <c r="F108" s="712">
        <v>19.2</v>
      </c>
      <c r="G108" s="713">
        <f t="shared" si="36"/>
        <v>1.4900000000000011</v>
      </c>
      <c r="H108" s="713">
        <f t="shared" si="37"/>
        <v>1.4900000000000011</v>
      </c>
      <c r="I108" s="713">
        <f t="shared" si="44"/>
        <v>6.2999999999999856</v>
      </c>
      <c r="J108" s="713">
        <f t="shared" si="44"/>
        <v>6.3499999999999854</v>
      </c>
      <c r="K108" s="713">
        <f t="shared" si="40"/>
        <v>1.0400000000000007</v>
      </c>
      <c r="L108" s="697"/>
      <c r="M108" s="697"/>
      <c r="N108" s="697"/>
      <c r="O108" s="697"/>
      <c r="P108" s="697"/>
      <c r="Q108" s="697"/>
      <c r="R108" s="697"/>
      <c r="S108" s="697"/>
      <c r="T108" s="697"/>
      <c r="U108" s="697"/>
      <c r="V108" s="697"/>
      <c r="W108" s="697"/>
      <c r="X108" s="697"/>
      <c r="Y108" s="697"/>
      <c r="Z108" s="697"/>
      <c r="AA108" s="697"/>
      <c r="AB108" s="697"/>
      <c r="AC108" s="697"/>
      <c r="AD108" s="697"/>
      <c r="AE108" s="697"/>
      <c r="AF108" s="697"/>
      <c r="AG108" s="697"/>
      <c r="AH108" s="697"/>
      <c r="AI108" s="697"/>
      <c r="AJ108" s="697"/>
      <c r="AK108" s="697"/>
      <c r="AL108" s="697"/>
      <c r="AM108" s="697"/>
      <c r="AN108" s="697"/>
      <c r="AO108" s="697"/>
      <c r="AP108" s="697"/>
      <c r="AQ108" s="697"/>
      <c r="AR108" s="697"/>
      <c r="AS108" s="697"/>
      <c r="AT108" s="697"/>
      <c r="AU108" s="697"/>
      <c r="AV108" s="697"/>
      <c r="AW108" s="697"/>
      <c r="AX108" s="697"/>
      <c r="AY108" s="697"/>
      <c r="AZ108" s="697"/>
      <c r="BA108" s="697"/>
      <c r="BB108" s="697"/>
      <c r="BC108" s="697"/>
      <c r="BD108" s="697"/>
      <c r="BE108" s="697"/>
      <c r="BF108" s="697"/>
      <c r="BG108" s="697"/>
      <c r="BH108" s="697"/>
      <c r="BI108" s="697"/>
      <c r="BJ108" s="697"/>
      <c r="BK108" s="697"/>
      <c r="BL108" s="697"/>
      <c r="BM108" s="697"/>
      <c r="BN108" s="697"/>
      <c r="BO108" s="697"/>
      <c r="BP108" s="697"/>
      <c r="BQ108" s="697"/>
      <c r="BR108" s="697"/>
      <c r="BS108" s="697"/>
      <c r="BT108" s="697"/>
      <c r="BU108" s="697"/>
      <c r="BV108" s="697"/>
      <c r="BW108" s="697"/>
      <c r="BX108" s="697"/>
      <c r="BY108" s="697"/>
      <c r="BZ108" s="697"/>
      <c r="CA108" s="697"/>
      <c r="CB108" s="697"/>
      <c r="CC108" s="697"/>
      <c r="CD108" s="697"/>
      <c r="CE108" s="697"/>
      <c r="CF108" s="697"/>
      <c r="CG108" s="697"/>
      <c r="CH108" s="697"/>
      <c r="CI108" s="697"/>
      <c r="CJ108" s="697"/>
      <c r="CK108" s="697"/>
      <c r="CL108" s="697"/>
      <c r="CM108" s="697"/>
      <c r="CN108" s="697"/>
      <c r="CO108" s="697"/>
      <c r="CP108" s="697"/>
      <c r="CQ108" s="697"/>
      <c r="CR108" s="697"/>
      <c r="CS108" s="697"/>
      <c r="CT108" s="697"/>
      <c r="CU108" s="697"/>
      <c r="CV108" s="697"/>
      <c r="CW108" s="697"/>
      <c r="CX108" s="697"/>
      <c r="CY108" s="697"/>
      <c r="CZ108" s="697"/>
      <c r="DA108" s="697"/>
      <c r="DB108" s="697"/>
    </row>
    <row r="109" spans="1:106" hidden="1" outlineLevel="1" x14ac:dyDescent="0.2">
      <c r="A109" s="709">
        <f t="shared" si="33"/>
        <v>37226</v>
      </c>
      <c r="B109" s="709" t="str">
        <f t="shared" si="34"/>
        <v>4Q01</v>
      </c>
      <c r="C109" s="709" t="str">
        <f t="shared" si="35"/>
        <v>1Q02</v>
      </c>
      <c r="D109" s="710">
        <f t="shared" si="43"/>
        <v>37313</v>
      </c>
      <c r="E109" s="710">
        <f t="shared" si="43"/>
        <v>37253</v>
      </c>
      <c r="F109" s="712">
        <v>20.94</v>
      </c>
      <c r="G109" s="713">
        <f t="shared" si="36"/>
        <v>1.4900000000000011</v>
      </c>
      <c r="H109" s="713">
        <f t="shared" si="37"/>
        <v>1.4900000000000011</v>
      </c>
      <c r="I109" s="713">
        <f t="shared" si="44"/>
        <v>6.3499999999999854</v>
      </c>
      <c r="J109" s="713">
        <f t="shared" si="44"/>
        <v>6.3999999999999853</v>
      </c>
      <c r="K109" s="713">
        <f t="shared" si="40"/>
        <v>1.0500000000000007</v>
      </c>
      <c r="L109" s="697"/>
      <c r="M109" s="697"/>
      <c r="N109" s="697"/>
      <c r="O109" s="697"/>
      <c r="P109" s="697"/>
      <c r="Q109" s="697"/>
      <c r="R109" s="697"/>
      <c r="S109" s="697"/>
      <c r="T109" s="697"/>
      <c r="U109" s="697"/>
      <c r="V109" s="697"/>
      <c r="W109" s="697"/>
      <c r="X109" s="697"/>
      <c r="Y109" s="697"/>
      <c r="Z109" s="697"/>
      <c r="AA109" s="697"/>
      <c r="AB109" s="697"/>
      <c r="AC109" s="697"/>
      <c r="AD109" s="697"/>
      <c r="AE109" s="697"/>
      <c r="AF109" s="697"/>
      <c r="AG109" s="697"/>
      <c r="AH109" s="697"/>
      <c r="AI109" s="697"/>
      <c r="AJ109" s="697"/>
      <c r="AK109" s="697"/>
      <c r="AL109" s="697"/>
      <c r="AM109" s="697"/>
      <c r="AN109" s="697"/>
      <c r="AO109" s="697"/>
      <c r="AP109" s="697"/>
      <c r="AQ109" s="697"/>
      <c r="AR109" s="697"/>
      <c r="AS109" s="697"/>
      <c r="AT109" s="697"/>
      <c r="AU109" s="697"/>
      <c r="AV109" s="697"/>
      <c r="AW109" s="697"/>
      <c r="AX109" s="697"/>
      <c r="AY109" s="697"/>
      <c r="AZ109" s="697"/>
      <c r="BA109" s="697"/>
      <c r="BB109" s="697"/>
      <c r="BC109" s="697"/>
      <c r="BD109" s="697"/>
      <c r="BE109" s="697"/>
      <c r="BF109" s="697"/>
      <c r="BG109" s="697"/>
      <c r="BH109" s="697"/>
      <c r="BI109" s="697"/>
      <c r="BJ109" s="697"/>
      <c r="BK109" s="697"/>
      <c r="BL109" s="697"/>
      <c r="BM109" s="697"/>
      <c r="BN109" s="697"/>
      <c r="BO109" s="697"/>
      <c r="BP109" s="697"/>
      <c r="BQ109" s="697"/>
      <c r="BR109" s="697"/>
      <c r="BS109" s="697"/>
      <c r="BT109" s="697"/>
      <c r="BU109" s="697"/>
      <c r="BV109" s="697"/>
      <c r="BW109" s="697"/>
      <c r="BX109" s="697"/>
      <c r="BY109" s="697"/>
      <c r="BZ109" s="697"/>
      <c r="CA109" s="697"/>
      <c r="CB109" s="697"/>
      <c r="CC109" s="697"/>
      <c r="CD109" s="697"/>
      <c r="CE109" s="697"/>
      <c r="CF109" s="697"/>
      <c r="CG109" s="697"/>
      <c r="CH109" s="697"/>
      <c r="CI109" s="697"/>
      <c r="CJ109" s="697"/>
      <c r="CK109" s="697"/>
      <c r="CL109" s="697"/>
      <c r="CM109" s="697"/>
      <c r="CN109" s="697"/>
      <c r="CO109" s="697"/>
      <c r="CP109" s="697"/>
      <c r="CQ109" s="697"/>
      <c r="CR109" s="697"/>
      <c r="CS109" s="697"/>
      <c r="CT109" s="697"/>
      <c r="CU109" s="697"/>
      <c r="CV109" s="697"/>
      <c r="CW109" s="697"/>
      <c r="CX109" s="697"/>
      <c r="CY109" s="697"/>
      <c r="CZ109" s="697"/>
      <c r="DA109" s="697"/>
      <c r="DB109" s="697"/>
    </row>
    <row r="110" spans="1:106" hidden="1" outlineLevel="1" x14ac:dyDescent="0.2">
      <c r="A110" s="709">
        <f t="shared" si="33"/>
        <v>37257</v>
      </c>
      <c r="B110" s="709" t="str">
        <f t="shared" si="34"/>
        <v>1Q02</v>
      </c>
      <c r="C110" s="709" t="str">
        <f t="shared" si="35"/>
        <v>1Q02</v>
      </c>
      <c r="D110" s="710">
        <f t="shared" si="43"/>
        <v>37320</v>
      </c>
      <c r="E110" s="710">
        <f t="shared" si="43"/>
        <v>37260</v>
      </c>
      <c r="F110" s="712">
        <v>20.8</v>
      </c>
      <c r="G110" s="713">
        <f t="shared" si="36"/>
        <v>1.4900000000000011</v>
      </c>
      <c r="H110" s="713">
        <f t="shared" si="37"/>
        <v>1.4900000000000011</v>
      </c>
      <c r="I110" s="713">
        <f t="shared" si="44"/>
        <v>6.3999999999999853</v>
      </c>
      <c r="J110" s="713">
        <f t="shared" si="44"/>
        <v>6.4499999999999851</v>
      </c>
      <c r="K110" s="713">
        <f t="shared" si="40"/>
        <v>1.0600000000000007</v>
      </c>
      <c r="L110" s="697"/>
      <c r="M110" s="697"/>
      <c r="N110" s="697"/>
      <c r="O110" s="697"/>
      <c r="P110" s="697"/>
      <c r="Q110" s="697"/>
      <c r="R110" s="697"/>
      <c r="S110" s="697"/>
      <c r="T110" s="697"/>
      <c r="U110" s="697"/>
      <c r="V110" s="697"/>
      <c r="W110" s="697"/>
      <c r="X110" s="697"/>
      <c r="Y110" s="697"/>
      <c r="Z110" s="697"/>
      <c r="AA110" s="697"/>
      <c r="AB110" s="697"/>
      <c r="AC110" s="697"/>
      <c r="AD110" s="697"/>
      <c r="AE110" s="697"/>
      <c r="AF110" s="697"/>
      <c r="AG110" s="697"/>
      <c r="AH110" s="697"/>
      <c r="AI110" s="697"/>
      <c r="AJ110" s="697"/>
      <c r="AK110" s="697"/>
      <c r="AL110" s="697"/>
      <c r="AM110" s="697"/>
      <c r="AN110" s="697"/>
      <c r="AO110" s="697"/>
      <c r="AP110" s="697"/>
      <c r="AQ110" s="697"/>
      <c r="AR110" s="697"/>
      <c r="AS110" s="697"/>
      <c r="AT110" s="697"/>
      <c r="AU110" s="697"/>
      <c r="AV110" s="697"/>
      <c r="AW110" s="697"/>
      <c r="AX110" s="697"/>
      <c r="AY110" s="697"/>
      <c r="AZ110" s="697"/>
      <c r="BA110" s="697"/>
      <c r="BB110" s="697"/>
      <c r="BC110" s="697"/>
      <c r="BD110" s="697"/>
      <c r="BE110" s="697"/>
      <c r="BF110" s="697"/>
      <c r="BG110" s="697"/>
      <c r="BH110" s="697"/>
      <c r="BI110" s="697"/>
      <c r="BJ110" s="697"/>
      <c r="BK110" s="697"/>
      <c r="BL110" s="697"/>
      <c r="BM110" s="697"/>
      <c r="BN110" s="697"/>
      <c r="BO110" s="697"/>
      <c r="BP110" s="697"/>
      <c r="BQ110" s="697"/>
      <c r="BR110" s="697"/>
      <c r="BS110" s="697"/>
      <c r="BT110" s="697"/>
      <c r="BU110" s="697"/>
      <c r="BV110" s="697"/>
      <c r="BW110" s="697"/>
      <c r="BX110" s="697"/>
      <c r="BY110" s="697"/>
      <c r="BZ110" s="697"/>
      <c r="CA110" s="697"/>
      <c r="CB110" s="697"/>
      <c r="CC110" s="697"/>
      <c r="CD110" s="697"/>
      <c r="CE110" s="697"/>
      <c r="CF110" s="697"/>
      <c r="CG110" s="697"/>
      <c r="CH110" s="697"/>
      <c r="CI110" s="697"/>
      <c r="CJ110" s="697"/>
      <c r="CK110" s="697"/>
      <c r="CL110" s="697"/>
      <c r="CM110" s="697"/>
      <c r="CN110" s="697"/>
      <c r="CO110" s="697"/>
      <c r="CP110" s="697"/>
      <c r="CQ110" s="697"/>
      <c r="CR110" s="697"/>
      <c r="CS110" s="697"/>
      <c r="CT110" s="697"/>
      <c r="CU110" s="697"/>
      <c r="CV110" s="697"/>
      <c r="CW110" s="697"/>
      <c r="CX110" s="697"/>
      <c r="CY110" s="697"/>
      <c r="CZ110" s="697"/>
      <c r="DA110" s="697"/>
      <c r="DB110" s="697"/>
    </row>
    <row r="111" spans="1:106" hidden="1" outlineLevel="1" x14ac:dyDescent="0.2">
      <c r="A111" s="709">
        <f t="shared" si="33"/>
        <v>37257</v>
      </c>
      <c r="B111" s="709" t="str">
        <f t="shared" si="34"/>
        <v>1Q02</v>
      </c>
      <c r="C111" s="709" t="str">
        <f t="shared" si="35"/>
        <v>1Q02</v>
      </c>
      <c r="D111" s="710">
        <f t="shared" si="43"/>
        <v>37327</v>
      </c>
      <c r="E111" s="710">
        <f t="shared" si="43"/>
        <v>37267</v>
      </c>
      <c r="F111" s="712">
        <v>20.54</v>
      </c>
      <c r="G111" s="713">
        <f t="shared" si="36"/>
        <v>1.4900000000000011</v>
      </c>
      <c r="H111" s="713">
        <f t="shared" si="37"/>
        <v>1.4900000000000011</v>
      </c>
      <c r="I111" s="713">
        <f t="shared" si="44"/>
        <v>6.4499999999999851</v>
      </c>
      <c r="J111" s="713">
        <f t="shared" si="44"/>
        <v>6.4999999999999849</v>
      </c>
      <c r="K111" s="713">
        <f t="shared" si="40"/>
        <v>1.0700000000000007</v>
      </c>
      <c r="L111" s="697"/>
      <c r="M111" s="697"/>
      <c r="N111" s="697"/>
      <c r="O111" s="697"/>
      <c r="P111" s="697"/>
      <c r="Q111" s="697"/>
      <c r="R111" s="697"/>
      <c r="S111" s="697"/>
      <c r="T111" s="697"/>
      <c r="U111" s="697"/>
      <c r="V111" s="697"/>
      <c r="W111" s="697"/>
      <c r="X111" s="697"/>
      <c r="Y111" s="697"/>
      <c r="Z111" s="697"/>
      <c r="AA111" s="697"/>
      <c r="AB111" s="697"/>
      <c r="AC111" s="697"/>
      <c r="AD111" s="697"/>
      <c r="AE111" s="697"/>
      <c r="AF111" s="697"/>
      <c r="AG111" s="697"/>
      <c r="AH111" s="697"/>
      <c r="AI111" s="697"/>
      <c r="AJ111" s="697"/>
      <c r="AK111" s="697"/>
      <c r="AL111" s="697"/>
      <c r="AM111" s="697"/>
      <c r="AN111" s="697"/>
      <c r="AO111" s="697"/>
      <c r="AP111" s="697"/>
      <c r="AQ111" s="697"/>
      <c r="AR111" s="697"/>
      <c r="AS111" s="697"/>
      <c r="AT111" s="697"/>
      <c r="AU111" s="697"/>
      <c r="AV111" s="697"/>
      <c r="AW111" s="697"/>
      <c r="AX111" s="697"/>
      <c r="AY111" s="697"/>
      <c r="AZ111" s="697"/>
      <c r="BA111" s="697"/>
      <c r="BB111" s="697"/>
      <c r="BC111" s="697"/>
      <c r="BD111" s="697"/>
      <c r="BE111" s="697"/>
      <c r="BF111" s="697"/>
      <c r="BG111" s="697"/>
      <c r="BH111" s="697"/>
      <c r="BI111" s="697"/>
      <c r="BJ111" s="697"/>
      <c r="BK111" s="697"/>
      <c r="BL111" s="697"/>
      <c r="BM111" s="697"/>
      <c r="BN111" s="697"/>
      <c r="BO111" s="697"/>
      <c r="BP111" s="697"/>
      <c r="BQ111" s="697"/>
      <c r="BR111" s="697"/>
      <c r="BS111" s="697"/>
      <c r="BT111" s="697"/>
      <c r="BU111" s="697"/>
      <c r="BV111" s="697"/>
      <c r="BW111" s="697"/>
      <c r="BX111" s="697"/>
      <c r="BY111" s="697"/>
      <c r="BZ111" s="697"/>
      <c r="CA111" s="697"/>
      <c r="CB111" s="697"/>
      <c r="CC111" s="697"/>
      <c r="CD111" s="697"/>
      <c r="CE111" s="697"/>
      <c r="CF111" s="697"/>
      <c r="CG111" s="697"/>
      <c r="CH111" s="697"/>
      <c r="CI111" s="697"/>
      <c r="CJ111" s="697"/>
      <c r="CK111" s="697"/>
      <c r="CL111" s="697"/>
      <c r="CM111" s="697"/>
      <c r="CN111" s="697"/>
      <c r="CO111" s="697"/>
      <c r="CP111" s="697"/>
      <c r="CQ111" s="697"/>
      <c r="CR111" s="697"/>
      <c r="CS111" s="697"/>
      <c r="CT111" s="697"/>
      <c r="CU111" s="697"/>
      <c r="CV111" s="697"/>
      <c r="CW111" s="697"/>
      <c r="CX111" s="697"/>
      <c r="CY111" s="697"/>
      <c r="CZ111" s="697"/>
      <c r="DA111" s="697"/>
      <c r="DB111" s="697"/>
    </row>
    <row r="112" spans="1:106" hidden="1" outlineLevel="1" x14ac:dyDescent="0.2">
      <c r="A112" s="709">
        <f t="shared" si="33"/>
        <v>37257</v>
      </c>
      <c r="B112" s="709" t="str">
        <f t="shared" si="34"/>
        <v>1Q02</v>
      </c>
      <c r="C112" s="709" t="str">
        <f t="shared" si="35"/>
        <v>1Q02</v>
      </c>
      <c r="D112" s="710">
        <f t="shared" si="43"/>
        <v>37334</v>
      </c>
      <c r="E112" s="710">
        <f t="shared" si="43"/>
        <v>37274</v>
      </c>
      <c r="F112" s="712">
        <v>18.61</v>
      </c>
      <c r="G112" s="713">
        <f t="shared" si="36"/>
        <v>1.4900000000000011</v>
      </c>
      <c r="H112" s="713">
        <f t="shared" si="37"/>
        <v>1.4900000000000011</v>
      </c>
      <c r="I112" s="713">
        <f t="shared" si="44"/>
        <v>6.4999999999999849</v>
      </c>
      <c r="J112" s="713">
        <f t="shared" si="44"/>
        <v>6.5499999999999847</v>
      </c>
      <c r="K112" s="713">
        <f t="shared" si="40"/>
        <v>1.0800000000000007</v>
      </c>
      <c r="L112" s="697"/>
      <c r="M112" s="697"/>
      <c r="N112" s="697"/>
      <c r="O112" s="697"/>
      <c r="P112" s="697"/>
      <c r="Q112" s="697"/>
      <c r="R112" s="697"/>
      <c r="S112" s="697"/>
      <c r="T112" s="697"/>
      <c r="U112" s="697"/>
      <c r="V112" s="697"/>
      <c r="W112" s="697"/>
      <c r="X112" s="697"/>
      <c r="Y112" s="697"/>
      <c r="Z112" s="697"/>
      <c r="AA112" s="697"/>
      <c r="AB112" s="697"/>
      <c r="AC112" s="697"/>
      <c r="AD112" s="697"/>
      <c r="AE112" s="697"/>
      <c r="AF112" s="697"/>
      <c r="AG112" s="697"/>
      <c r="AH112" s="697"/>
      <c r="AI112" s="697"/>
      <c r="AJ112" s="697"/>
      <c r="AK112" s="697"/>
      <c r="AL112" s="697"/>
      <c r="AM112" s="697"/>
      <c r="AN112" s="697"/>
      <c r="AO112" s="697"/>
      <c r="AP112" s="697"/>
      <c r="AQ112" s="697"/>
      <c r="AR112" s="697"/>
      <c r="AS112" s="697"/>
      <c r="AT112" s="697"/>
      <c r="AU112" s="697"/>
      <c r="AV112" s="697"/>
      <c r="AW112" s="697"/>
      <c r="AX112" s="697"/>
      <c r="AY112" s="697"/>
      <c r="AZ112" s="697"/>
      <c r="BA112" s="697"/>
      <c r="BB112" s="697"/>
      <c r="BC112" s="697"/>
      <c r="BD112" s="697"/>
      <c r="BE112" s="697"/>
      <c r="BF112" s="697"/>
      <c r="BG112" s="697"/>
      <c r="BH112" s="697"/>
      <c r="BI112" s="697"/>
      <c r="BJ112" s="697"/>
      <c r="BK112" s="697"/>
      <c r="BL112" s="697"/>
      <c r="BM112" s="697"/>
      <c r="BN112" s="697"/>
      <c r="BO112" s="697"/>
      <c r="BP112" s="697"/>
      <c r="BQ112" s="697"/>
      <c r="BR112" s="697"/>
      <c r="BS112" s="697"/>
      <c r="BT112" s="697"/>
      <c r="BU112" s="697"/>
      <c r="BV112" s="697"/>
      <c r="BW112" s="697"/>
      <c r="BX112" s="697"/>
      <c r="BY112" s="697"/>
      <c r="BZ112" s="697"/>
      <c r="CA112" s="697"/>
      <c r="CB112" s="697"/>
      <c r="CC112" s="697"/>
      <c r="CD112" s="697"/>
      <c r="CE112" s="697"/>
      <c r="CF112" s="697"/>
      <c r="CG112" s="697"/>
      <c r="CH112" s="697"/>
      <c r="CI112" s="697"/>
      <c r="CJ112" s="697"/>
      <c r="CK112" s="697"/>
      <c r="CL112" s="697"/>
      <c r="CM112" s="697"/>
      <c r="CN112" s="697"/>
      <c r="CO112" s="697"/>
      <c r="CP112" s="697"/>
      <c r="CQ112" s="697"/>
      <c r="CR112" s="697"/>
      <c r="CS112" s="697"/>
      <c r="CT112" s="697"/>
      <c r="CU112" s="697"/>
      <c r="CV112" s="697"/>
      <c r="CW112" s="697"/>
      <c r="CX112" s="697"/>
      <c r="CY112" s="697"/>
      <c r="CZ112" s="697"/>
      <c r="DA112" s="697"/>
      <c r="DB112" s="697"/>
    </row>
    <row r="113" spans="1:106" hidden="1" outlineLevel="1" x14ac:dyDescent="0.2">
      <c r="A113" s="709">
        <f t="shared" si="33"/>
        <v>37257</v>
      </c>
      <c r="B113" s="709" t="str">
        <f t="shared" si="34"/>
        <v>1Q02</v>
      </c>
      <c r="C113" s="709" t="str">
        <f t="shared" si="35"/>
        <v>1Q02</v>
      </c>
      <c r="D113" s="710">
        <f t="shared" si="43"/>
        <v>37341</v>
      </c>
      <c r="E113" s="710">
        <f t="shared" si="43"/>
        <v>37281</v>
      </c>
      <c r="F113" s="712">
        <v>19.21</v>
      </c>
      <c r="G113" s="713">
        <f t="shared" si="36"/>
        <v>1.4900000000000011</v>
      </c>
      <c r="H113" s="713">
        <f t="shared" si="37"/>
        <v>1.4900000000000011</v>
      </c>
      <c r="I113" s="713">
        <f t="shared" si="44"/>
        <v>6.5499999999999847</v>
      </c>
      <c r="J113" s="713">
        <f t="shared" si="44"/>
        <v>6.5999999999999845</v>
      </c>
      <c r="K113" s="713">
        <f t="shared" si="40"/>
        <v>1.0900000000000007</v>
      </c>
      <c r="L113" s="697"/>
      <c r="M113" s="697"/>
      <c r="N113" s="697"/>
      <c r="O113" s="697"/>
      <c r="P113" s="697"/>
      <c r="Q113" s="697"/>
      <c r="R113" s="697"/>
      <c r="S113" s="697"/>
      <c r="T113" s="697"/>
      <c r="U113" s="697"/>
      <c r="V113" s="697"/>
      <c r="W113" s="697"/>
      <c r="X113" s="697"/>
      <c r="Y113" s="697"/>
      <c r="Z113" s="697"/>
      <c r="AA113" s="697"/>
      <c r="AB113" s="697"/>
      <c r="AC113" s="697"/>
      <c r="AD113" s="697"/>
      <c r="AE113" s="697"/>
      <c r="AF113" s="697"/>
      <c r="AG113" s="697"/>
      <c r="AH113" s="697"/>
      <c r="AI113" s="697"/>
      <c r="AJ113" s="697"/>
      <c r="AK113" s="697"/>
      <c r="AL113" s="697"/>
      <c r="AM113" s="697"/>
      <c r="AN113" s="697"/>
      <c r="AO113" s="697"/>
      <c r="AP113" s="697"/>
      <c r="AQ113" s="697"/>
      <c r="AR113" s="697"/>
      <c r="AS113" s="697"/>
      <c r="AT113" s="697"/>
      <c r="AU113" s="697"/>
      <c r="AV113" s="697"/>
      <c r="AW113" s="697"/>
      <c r="AX113" s="697"/>
      <c r="AY113" s="697"/>
      <c r="AZ113" s="697"/>
      <c r="BA113" s="697"/>
      <c r="BB113" s="697"/>
      <c r="BC113" s="697"/>
      <c r="BD113" s="697"/>
      <c r="BE113" s="697"/>
      <c r="BF113" s="697"/>
      <c r="BG113" s="697"/>
      <c r="BH113" s="697"/>
      <c r="BI113" s="697"/>
      <c r="BJ113" s="697"/>
      <c r="BK113" s="697"/>
      <c r="BL113" s="697"/>
      <c r="BM113" s="697"/>
      <c r="BN113" s="697"/>
      <c r="BO113" s="697"/>
      <c r="BP113" s="697"/>
      <c r="BQ113" s="697"/>
      <c r="BR113" s="697"/>
      <c r="BS113" s="697"/>
      <c r="BT113" s="697"/>
      <c r="BU113" s="697"/>
      <c r="BV113" s="697"/>
      <c r="BW113" s="697"/>
      <c r="BX113" s="697"/>
      <c r="BY113" s="697"/>
      <c r="BZ113" s="697"/>
      <c r="CA113" s="697"/>
      <c r="CB113" s="697"/>
      <c r="CC113" s="697"/>
      <c r="CD113" s="697"/>
      <c r="CE113" s="697"/>
      <c r="CF113" s="697"/>
      <c r="CG113" s="697"/>
      <c r="CH113" s="697"/>
      <c r="CI113" s="697"/>
      <c r="CJ113" s="697"/>
      <c r="CK113" s="697"/>
      <c r="CL113" s="697"/>
      <c r="CM113" s="697"/>
      <c r="CN113" s="697"/>
      <c r="CO113" s="697"/>
      <c r="CP113" s="697"/>
      <c r="CQ113" s="697"/>
      <c r="CR113" s="697"/>
      <c r="CS113" s="697"/>
      <c r="CT113" s="697"/>
      <c r="CU113" s="697"/>
      <c r="CV113" s="697"/>
      <c r="CW113" s="697"/>
      <c r="CX113" s="697"/>
      <c r="CY113" s="697"/>
      <c r="CZ113" s="697"/>
      <c r="DA113" s="697"/>
      <c r="DB113" s="697"/>
    </row>
    <row r="114" spans="1:106" hidden="1" outlineLevel="1" x14ac:dyDescent="0.2">
      <c r="A114" s="709">
        <f t="shared" si="33"/>
        <v>37288</v>
      </c>
      <c r="B114" s="709" t="str">
        <f t="shared" si="34"/>
        <v>1Q02</v>
      </c>
      <c r="C114" s="709" t="str">
        <f t="shared" si="35"/>
        <v>2Q02</v>
      </c>
      <c r="D114" s="710">
        <f t="shared" si="43"/>
        <v>37348</v>
      </c>
      <c r="E114" s="710">
        <f t="shared" si="43"/>
        <v>37288</v>
      </c>
      <c r="F114" s="712">
        <v>19.71</v>
      </c>
      <c r="G114" s="713">
        <f t="shared" si="36"/>
        <v>1.4900000000000011</v>
      </c>
      <c r="H114" s="713">
        <f t="shared" si="37"/>
        <v>1.4900000000000011</v>
      </c>
      <c r="I114" s="713">
        <f t="shared" si="44"/>
        <v>6.5999999999999845</v>
      </c>
      <c r="J114" s="713">
        <f t="shared" si="44"/>
        <v>6.6499999999999844</v>
      </c>
      <c r="K114" s="713">
        <f t="shared" si="40"/>
        <v>1.1000000000000008</v>
      </c>
      <c r="L114" s="697"/>
      <c r="M114" s="697"/>
      <c r="N114" s="697"/>
      <c r="O114" s="697"/>
      <c r="P114" s="697"/>
      <c r="Q114" s="697"/>
      <c r="R114" s="697"/>
      <c r="S114" s="697"/>
      <c r="T114" s="697"/>
      <c r="U114" s="697"/>
      <c r="V114" s="697"/>
      <c r="W114" s="697"/>
      <c r="X114" s="697"/>
      <c r="Y114" s="697"/>
      <c r="Z114" s="697"/>
      <c r="AA114" s="697"/>
      <c r="AB114" s="697"/>
      <c r="AC114" s="697"/>
      <c r="AD114" s="697"/>
      <c r="AE114" s="697"/>
      <c r="AF114" s="697"/>
      <c r="AG114" s="697"/>
      <c r="AH114" s="697"/>
      <c r="AI114" s="697"/>
      <c r="AJ114" s="697"/>
      <c r="AK114" s="697"/>
      <c r="AL114" s="697"/>
      <c r="AM114" s="697"/>
      <c r="AN114" s="697"/>
      <c r="AO114" s="697"/>
      <c r="AP114" s="697"/>
      <c r="AQ114" s="697"/>
      <c r="AR114" s="697"/>
      <c r="AS114" s="697"/>
      <c r="AT114" s="697"/>
      <c r="AU114" s="697"/>
      <c r="AV114" s="697"/>
      <c r="AW114" s="697"/>
      <c r="AX114" s="697"/>
      <c r="AY114" s="697"/>
      <c r="AZ114" s="697"/>
      <c r="BA114" s="697"/>
      <c r="BB114" s="697"/>
      <c r="BC114" s="697"/>
      <c r="BD114" s="697"/>
      <c r="BE114" s="697"/>
      <c r="BF114" s="697"/>
      <c r="BG114" s="697"/>
      <c r="BH114" s="697"/>
      <c r="BI114" s="697"/>
      <c r="BJ114" s="697"/>
      <c r="BK114" s="697"/>
      <c r="BL114" s="697"/>
      <c r="BM114" s="697"/>
      <c r="BN114" s="697"/>
      <c r="BO114" s="697"/>
      <c r="BP114" s="697"/>
      <c r="BQ114" s="697"/>
      <c r="BR114" s="697"/>
      <c r="BS114" s="697"/>
      <c r="BT114" s="697"/>
      <c r="BU114" s="697"/>
      <c r="BV114" s="697"/>
      <c r="BW114" s="697"/>
      <c r="BX114" s="697"/>
      <c r="BY114" s="697"/>
      <c r="BZ114" s="697"/>
      <c r="CA114" s="697"/>
      <c r="CB114" s="697"/>
      <c r="CC114" s="697"/>
      <c r="CD114" s="697"/>
      <c r="CE114" s="697"/>
      <c r="CF114" s="697"/>
      <c r="CG114" s="697"/>
      <c r="CH114" s="697"/>
      <c r="CI114" s="697"/>
      <c r="CJ114" s="697"/>
      <c r="CK114" s="697"/>
      <c r="CL114" s="697"/>
      <c r="CM114" s="697"/>
      <c r="CN114" s="697"/>
      <c r="CO114" s="697"/>
      <c r="CP114" s="697"/>
      <c r="CQ114" s="697"/>
      <c r="CR114" s="697"/>
      <c r="CS114" s="697"/>
      <c r="CT114" s="697"/>
      <c r="CU114" s="697"/>
      <c r="CV114" s="697"/>
      <c r="CW114" s="697"/>
      <c r="CX114" s="697"/>
      <c r="CY114" s="697"/>
      <c r="CZ114" s="697"/>
      <c r="DA114" s="697"/>
      <c r="DB114" s="697"/>
    </row>
    <row r="115" spans="1:106" hidden="1" outlineLevel="1" x14ac:dyDescent="0.2">
      <c r="A115" s="709">
        <f t="shared" si="33"/>
        <v>37288</v>
      </c>
      <c r="B115" s="709" t="str">
        <f t="shared" si="34"/>
        <v>1Q02</v>
      </c>
      <c r="C115" s="709" t="str">
        <f t="shared" si="35"/>
        <v>2Q02</v>
      </c>
      <c r="D115" s="710">
        <f t="shared" si="43"/>
        <v>37355</v>
      </c>
      <c r="E115" s="710">
        <f t="shared" si="43"/>
        <v>37295</v>
      </c>
      <c r="F115" s="712">
        <v>19.97</v>
      </c>
      <c r="G115" s="713">
        <f t="shared" si="36"/>
        <v>1.4900000000000011</v>
      </c>
      <c r="H115" s="713">
        <f t="shared" si="37"/>
        <v>1.4900000000000011</v>
      </c>
      <c r="I115" s="713">
        <f t="shared" si="44"/>
        <v>6.6499999999999844</v>
      </c>
      <c r="J115" s="713">
        <f t="shared" si="44"/>
        <v>6.6999999999999842</v>
      </c>
      <c r="K115" s="713">
        <f t="shared" si="40"/>
        <v>1.1100000000000008</v>
      </c>
      <c r="L115" s="697"/>
      <c r="M115" s="697"/>
      <c r="N115" s="697"/>
      <c r="O115" s="697"/>
      <c r="P115" s="697"/>
      <c r="Q115" s="697"/>
      <c r="R115" s="697"/>
      <c r="S115" s="697"/>
      <c r="T115" s="697"/>
      <c r="U115" s="697"/>
      <c r="V115" s="697"/>
      <c r="W115" s="697"/>
      <c r="X115" s="697"/>
      <c r="Y115" s="697"/>
      <c r="Z115" s="697"/>
      <c r="AA115" s="697"/>
      <c r="AB115" s="697"/>
      <c r="AC115" s="697"/>
      <c r="AD115" s="697"/>
      <c r="AE115" s="697"/>
      <c r="AF115" s="697"/>
      <c r="AG115" s="697"/>
      <c r="AH115" s="697"/>
      <c r="AI115" s="697"/>
      <c r="AJ115" s="697"/>
      <c r="AK115" s="697"/>
      <c r="AL115" s="697"/>
      <c r="AM115" s="697"/>
      <c r="AN115" s="697"/>
      <c r="AO115" s="697"/>
      <c r="AP115" s="697"/>
      <c r="AQ115" s="697"/>
      <c r="AR115" s="697"/>
      <c r="AS115" s="697"/>
      <c r="AT115" s="697"/>
      <c r="AU115" s="697"/>
      <c r="AV115" s="697"/>
      <c r="AW115" s="697"/>
      <c r="AX115" s="697"/>
      <c r="AY115" s="697"/>
      <c r="AZ115" s="697"/>
      <c r="BA115" s="697"/>
      <c r="BB115" s="697"/>
      <c r="BC115" s="697"/>
      <c r="BD115" s="697"/>
      <c r="BE115" s="697"/>
      <c r="BF115" s="697"/>
      <c r="BG115" s="697"/>
      <c r="BH115" s="697"/>
      <c r="BI115" s="697"/>
      <c r="BJ115" s="697"/>
      <c r="BK115" s="697"/>
      <c r="BL115" s="697"/>
      <c r="BM115" s="697"/>
      <c r="BN115" s="697"/>
      <c r="BO115" s="697"/>
      <c r="BP115" s="697"/>
      <c r="BQ115" s="697"/>
      <c r="BR115" s="697"/>
      <c r="BS115" s="697"/>
      <c r="BT115" s="697"/>
      <c r="BU115" s="697"/>
      <c r="BV115" s="697"/>
      <c r="BW115" s="697"/>
      <c r="BX115" s="697"/>
      <c r="BY115" s="697"/>
      <c r="BZ115" s="697"/>
      <c r="CA115" s="697"/>
      <c r="CB115" s="697"/>
      <c r="CC115" s="697"/>
      <c r="CD115" s="697"/>
      <c r="CE115" s="697"/>
      <c r="CF115" s="697"/>
      <c r="CG115" s="697"/>
      <c r="CH115" s="697"/>
      <c r="CI115" s="697"/>
      <c r="CJ115" s="697"/>
      <c r="CK115" s="697"/>
      <c r="CL115" s="697"/>
      <c r="CM115" s="697"/>
      <c r="CN115" s="697"/>
      <c r="CO115" s="697"/>
      <c r="CP115" s="697"/>
      <c r="CQ115" s="697"/>
      <c r="CR115" s="697"/>
      <c r="CS115" s="697"/>
      <c r="CT115" s="697"/>
      <c r="CU115" s="697"/>
      <c r="CV115" s="697"/>
      <c r="CW115" s="697"/>
      <c r="CX115" s="697"/>
      <c r="CY115" s="697"/>
      <c r="CZ115" s="697"/>
      <c r="DA115" s="697"/>
      <c r="DB115" s="697"/>
    </row>
    <row r="116" spans="1:106" hidden="1" outlineLevel="1" x14ac:dyDescent="0.2">
      <c r="A116" s="709">
        <f t="shared" si="33"/>
        <v>37288</v>
      </c>
      <c r="B116" s="709" t="str">
        <f t="shared" si="34"/>
        <v>1Q02</v>
      </c>
      <c r="C116" s="709" t="str">
        <f t="shared" si="35"/>
        <v>2Q02</v>
      </c>
      <c r="D116" s="710">
        <f t="shared" si="43"/>
        <v>37362</v>
      </c>
      <c r="E116" s="710">
        <f t="shared" si="43"/>
        <v>37302</v>
      </c>
      <c r="F116" s="712">
        <v>21.18</v>
      </c>
      <c r="G116" s="713">
        <f t="shared" si="36"/>
        <v>1.4900000000000011</v>
      </c>
      <c r="H116" s="713">
        <f t="shared" si="37"/>
        <v>1.4900000000000011</v>
      </c>
      <c r="I116" s="713">
        <f t="shared" si="44"/>
        <v>6.6999999999999842</v>
      </c>
      <c r="J116" s="713">
        <f t="shared" si="44"/>
        <v>6.749999999999984</v>
      </c>
      <c r="K116" s="713">
        <f t="shared" si="40"/>
        <v>1.1200000000000008</v>
      </c>
      <c r="L116" s="697"/>
      <c r="M116" s="697"/>
      <c r="N116" s="697"/>
      <c r="O116" s="697"/>
      <c r="P116" s="697"/>
      <c r="Q116" s="697"/>
      <c r="R116" s="697"/>
      <c r="S116" s="697"/>
      <c r="T116" s="697"/>
      <c r="U116" s="697"/>
      <c r="V116" s="697"/>
      <c r="W116" s="697"/>
      <c r="X116" s="697"/>
      <c r="Y116" s="697"/>
      <c r="Z116" s="697"/>
      <c r="AA116" s="697"/>
      <c r="AB116" s="697"/>
      <c r="AC116" s="697"/>
      <c r="AD116" s="697"/>
      <c r="AE116" s="697"/>
      <c r="AF116" s="697"/>
      <c r="AG116" s="697"/>
      <c r="AH116" s="697"/>
      <c r="AI116" s="697"/>
      <c r="AJ116" s="697"/>
      <c r="AK116" s="697"/>
      <c r="AL116" s="697"/>
      <c r="AM116" s="697"/>
      <c r="AN116" s="697"/>
      <c r="AO116" s="697"/>
      <c r="AP116" s="697"/>
      <c r="AQ116" s="697"/>
      <c r="AR116" s="697"/>
      <c r="AS116" s="697"/>
      <c r="AT116" s="697"/>
      <c r="AU116" s="697"/>
      <c r="AV116" s="697"/>
      <c r="AW116" s="697"/>
      <c r="AX116" s="697"/>
      <c r="AY116" s="697"/>
      <c r="AZ116" s="697"/>
      <c r="BA116" s="697"/>
      <c r="BB116" s="697"/>
      <c r="BC116" s="697"/>
      <c r="BD116" s="697"/>
      <c r="BE116" s="697"/>
      <c r="BF116" s="697"/>
      <c r="BG116" s="697"/>
      <c r="BH116" s="697"/>
      <c r="BI116" s="697"/>
      <c r="BJ116" s="697"/>
      <c r="BK116" s="697"/>
      <c r="BL116" s="697"/>
      <c r="BM116" s="697"/>
      <c r="BN116" s="697"/>
      <c r="BO116" s="697"/>
      <c r="BP116" s="697"/>
      <c r="BQ116" s="697"/>
      <c r="BR116" s="697"/>
      <c r="BS116" s="697"/>
      <c r="BT116" s="697"/>
      <c r="BU116" s="697"/>
      <c r="BV116" s="697"/>
      <c r="BW116" s="697"/>
      <c r="BX116" s="697"/>
      <c r="BY116" s="697"/>
      <c r="BZ116" s="697"/>
      <c r="CA116" s="697"/>
      <c r="CB116" s="697"/>
      <c r="CC116" s="697"/>
      <c r="CD116" s="697"/>
      <c r="CE116" s="697"/>
      <c r="CF116" s="697"/>
      <c r="CG116" s="697"/>
      <c r="CH116" s="697"/>
      <c r="CI116" s="697"/>
      <c r="CJ116" s="697"/>
      <c r="CK116" s="697"/>
      <c r="CL116" s="697"/>
      <c r="CM116" s="697"/>
      <c r="CN116" s="697"/>
      <c r="CO116" s="697"/>
      <c r="CP116" s="697"/>
      <c r="CQ116" s="697"/>
      <c r="CR116" s="697"/>
      <c r="CS116" s="697"/>
      <c r="CT116" s="697"/>
      <c r="CU116" s="697"/>
      <c r="CV116" s="697"/>
      <c r="CW116" s="697"/>
      <c r="CX116" s="697"/>
      <c r="CY116" s="697"/>
      <c r="CZ116" s="697"/>
      <c r="DA116" s="697"/>
      <c r="DB116" s="697"/>
    </row>
    <row r="117" spans="1:106" hidden="1" outlineLevel="1" x14ac:dyDescent="0.2">
      <c r="A117" s="709">
        <f t="shared" si="33"/>
        <v>37288</v>
      </c>
      <c r="B117" s="709" t="str">
        <f t="shared" si="34"/>
        <v>1Q02</v>
      </c>
      <c r="C117" s="709" t="str">
        <f t="shared" si="35"/>
        <v>2Q02</v>
      </c>
      <c r="D117" s="710">
        <f t="shared" ref="D117:E132" si="45">D116+7</f>
        <v>37369</v>
      </c>
      <c r="E117" s="710">
        <f t="shared" si="45"/>
        <v>37309</v>
      </c>
      <c r="F117" s="712">
        <v>20.7</v>
      </c>
      <c r="G117" s="713">
        <f t="shared" si="36"/>
        <v>1.4900000000000011</v>
      </c>
      <c r="H117" s="713">
        <f t="shared" si="37"/>
        <v>1.4900000000000011</v>
      </c>
      <c r="I117" s="713">
        <f t="shared" si="44"/>
        <v>6.749999999999984</v>
      </c>
      <c r="J117" s="713">
        <f t="shared" si="44"/>
        <v>6.7999999999999838</v>
      </c>
      <c r="K117" s="713">
        <f t="shared" si="40"/>
        <v>1.1300000000000008</v>
      </c>
      <c r="L117" s="697"/>
      <c r="M117" s="697"/>
      <c r="N117" s="697"/>
      <c r="O117" s="697"/>
      <c r="P117" s="697"/>
      <c r="Q117" s="697"/>
      <c r="R117" s="697"/>
      <c r="S117" s="697"/>
      <c r="T117" s="697"/>
      <c r="U117" s="697"/>
      <c r="V117" s="697"/>
      <c r="W117" s="697"/>
      <c r="X117" s="697"/>
      <c r="Y117" s="697"/>
      <c r="Z117" s="697"/>
      <c r="AA117" s="697"/>
      <c r="AB117" s="697"/>
      <c r="AC117" s="697"/>
      <c r="AD117" s="697"/>
      <c r="AE117" s="697"/>
      <c r="AF117" s="697"/>
      <c r="AG117" s="697"/>
      <c r="AH117" s="697"/>
      <c r="AI117" s="697"/>
      <c r="AJ117" s="697"/>
      <c r="AK117" s="697"/>
      <c r="AL117" s="697"/>
      <c r="AM117" s="697"/>
      <c r="AN117" s="697"/>
      <c r="AO117" s="697"/>
      <c r="AP117" s="697"/>
      <c r="AQ117" s="697"/>
      <c r="AR117" s="697"/>
      <c r="AS117" s="697"/>
      <c r="AT117" s="697"/>
      <c r="AU117" s="697"/>
      <c r="AV117" s="697"/>
      <c r="AW117" s="697"/>
      <c r="AX117" s="697"/>
      <c r="AY117" s="697"/>
      <c r="AZ117" s="697"/>
      <c r="BA117" s="697"/>
      <c r="BB117" s="697"/>
      <c r="BC117" s="697"/>
      <c r="BD117" s="697"/>
      <c r="BE117" s="697"/>
      <c r="BF117" s="697"/>
      <c r="BG117" s="697"/>
      <c r="BH117" s="697"/>
      <c r="BI117" s="697"/>
      <c r="BJ117" s="697"/>
      <c r="BK117" s="697"/>
      <c r="BL117" s="697"/>
      <c r="BM117" s="697"/>
      <c r="BN117" s="697"/>
      <c r="BO117" s="697"/>
      <c r="BP117" s="697"/>
      <c r="BQ117" s="697"/>
      <c r="BR117" s="697"/>
      <c r="BS117" s="697"/>
      <c r="BT117" s="697"/>
      <c r="BU117" s="697"/>
      <c r="BV117" s="697"/>
      <c r="BW117" s="697"/>
      <c r="BX117" s="697"/>
      <c r="BY117" s="697"/>
      <c r="BZ117" s="697"/>
      <c r="CA117" s="697"/>
      <c r="CB117" s="697"/>
      <c r="CC117" s="697"/>
      <c r="CD117" s="697"/>
      <c r="CE117" s="697"/>
      <c r="CF117" s="697"/>
      <c r="CG117" s="697"/>
      <c r="CH117" s="697"/>
      <c r="CI117" s="697"/>
      <c r="CJ117" s="697"/>
      <c r="CK117" s="697"/>
      <c r="CL117" s="697"/>
      <c r="CM117" s="697"/>
      <c r="CN117" s="697"/>
      <c r="CO117" s="697"/>
      <c r="CP117" s="697"/>
      <c r="CQ117" s="697"/>
      <c r="CR117" s="697"/>
      <c r="CS117" s="697"/>
      <c r="CT117" s="697"/>
      <c r="CU117" s="697"/>
      <c r="CV117" s="697"/>
      <c r="CW117" s="697"/>
      <c r="CX117" s="697"/>
      <c r="CY117" s="697"/>
      <c r="CZ117" s="697"/>
      <c r="DA117" s="697"/>
      <c r="DB117" s="697"/>
    </row>
    <row r="118" spans="1:106" hidden="1" outlineLevel="1" x14ac:dyDescent="0.2">
      <c r="A118" s="709">
        <f t="shared" si="33"/>
        <v>37316</v>
      </c>
      <c r="B118" s="709" t="str">
        <f t="shared" si="34"/>
        <v>1Q02</v>
      </c>
      <c r="C118" s="709" t="str">
        <f t="shared" si="35"/>
        <v>2Q02</v>
      </c>
      <c r="D118" s="710">
        <f t="shared" si="45"/>
        <v>37376</v>
      </c>
      <c r="E118" s="710">
        <f t="shared" si="45"/>
        <v>37316</v>
      </c>
      <c r="F118" s="712">
        <v>21.43</v>
      </c>
      <c r="G118" s="713">
        <f t="shared" si="36"/>
        <v>1.4900000000000011</v>
      </c>
      <c r="H118" s="713">
        <f t="shared" si="37"/>
        <v>1.4900000000000011</v>
      </c>
      <c r="I118" s="713">
        <f t="shared" ref="I118:J133" si="46">I117+0.05</f>
        <v>6.7999999999999838</v>
      </c>
      <c r="J118" s="713">
        <f t="shared" si="46"/>
        <v>6.8499999999999837</v>
      </c>
      <c r="K118" s="713">
        <f t="shared" si="40"/>
        <v>1.1400000000000008</v>
      </c>
      <c r="L118" s="697"/>
      <c r="M118" s="697"/>
      <c r="N118" s="697"/>
      <c r="O118" s="697"/>
      <c r="P118" s="697"/>
      <c r="Q118" s="697"/>
      <c r="R118" s="697"/>
      <c r="S118" s="697"/>
      <c r="T118" s="697"/>
      <c r="U118" s="697"/>
      <c r="V118" s="697"/>
      <c r="W118" s="697"/>
      <c r="X118" s="697"/>
      <c r="Y118" s="697"/>
      <c r="Z118" s="697"/>
      <c r="AA118" s="697"/>
      <c r="AB118" s="697"/>
      <c r="AC118" s="697"/>
      <c r="AD118" s="697"/>
      <c r="AE118" s="697"/>
      <c r="AF118" s="697"/>
      <c r="AG118" s="697"/>
      <c r="AH118" s="697"/>
      <c r="AI118" s="697"/>
      <c r="AJ118" s="697"/>
      <c r="AK118" s="697"/>
      <c r="AL118" s="697"/>
      <c r="AM118" s="697"/>
      <c r="AN118" s="697"/>
      <c r="AO118" s="697"/>
      <c r="AP118" s="697"/>
      <c r="AQ118" s="697"/>
      <c r="AR118" s="697"/>
      <c r="AS118" s="697"/>
      <c r="AT118" s="697"/>
      <c r="AU118" s="697"/>
      <c r="AV118" s="697"/>
      <c r="AW118" s="697"/>
      <c r="AX118" s="697"/>
      <c r="AY118" s="697"/>
      <c r="AZ118" s="697"/>
      <c r="BA118" s="697"/>
      <c r="BB118" s="697"/>
      <c r="BC118" s="697"/>
      <c r="BD118" s="697"/>
      <c r="BE118" s="697"/>
      <c r="BF118" s="697"/>
      <c r="BG118" s="697"/>
      <c r="BH118" s="697"/>
      <c r="BI118" s="697"/>
      <c r="BJ118" s="697"/>
      <c r="BK118" s="697"/>
      <c r="BL118" s="697"/>
      <c r="BM118" s="697"/>
      <c r="BN118" s="697"/>
      <c r="BO118" s="697"/>
      <c r="BP118" s="697"/>
      <c r="BQ118" s="697"/>
      <c r="BR118" s="697"/>
      <c r="BS118" s="697"/>
      <c r="BT118" s="697"/>
      <c r="BU118" s="697"/>
      <c r="BV118" s="697"/>
      <c r="BW118" s="697"/>
      <c r="BX118" s="697"/>
      <c r="BY118" s="697"/>
      <c r="BZ118" s="697"/>
      <c r="CA118" s="697"/>
      <c r="CB118" s="697"/>
      <c r="CC118" s="697"/>
      <c r="CD118" s="697"/>
      <c r="CE118" s="697"/>
      <c r="CF118" s="697"/>
      <c r="CG118" s="697"/>
      <c r="CH118" s="697"/>
      <c r="CI118" s="697"/>
      <c r="CJ118" s="697"/>
      <c r="CK118" s="697"/>
      <c r="CL118" s="697"/>
      <c r="CM118" s="697"/>
      <c r="CN118" s="697"/>
      <c r="CO118" s="697"/>
      <c r="CP118" s="697"/>
      <c r="CQ118" s="697"/>
      <c r="CR118" s="697"/>
      <c r="CS118" s="697"/>
      <c r="CT118" s="697"/>
      <c r="CU118" s="697"/>
      <c r="CV118" s="697"/>
      <c r="CW118" s="697"/>
      <c r="CX118" s="697"/>
      <c r="CY118" s="697"/>
      <c r="CZ118" s="697"/>
      <c r="DA118" s="697"/>
      <c r="DB118" s="697"/>
    </row>
    <row r="119" spans="1:106" hidden="1" outlineLevel="1" x14ac:dyDescent="0.2">
      <c r="A119" s="709">
        <f t="shared" si="33"/>
        <v>37316</v>
      </c>
      <c r="B119" s="709" t="str">
        <f t="shared" si="34"/>
        <v>1Q02</v>
      </c>
      <c r="C119" s="709" t="str">
        <f t="shared" si="35"/>
        <v>2Q02</v>
      </c>
      <c r="D119" s="710">
        <f t="shared" si="45"/>
        <v>37383</v>
      </c>
      <c r="E119" s="710">
        <f t="shared" si="45"/>
        <v>37323</v>
      </c>
      <c r="F119" s="712">
        <v>23.31</v>
      </c>
      <c r="G119" s="713">
        <f t="shared" si="36"/>
        <v>1.4900000000000011</v>
      </c>
      <c r="H119" s="713">
        <f t="shared" si="37"/>
        <v>1.4900000000000011</v>
      </c>
      <c r="I119" s="713">
        <f t="shared" si="46"/>
        <v>6.8499999999999837</v>
      </c>
      <c r="J119" s="713">
        <f t="shared" si="46"/>
        <v>6.8999999999999835</v>
      </c>
      <c r="K119" s="713">
        <f t="shared" si="40"/>
        <v>1.1500000000000008</v>
      </c>
      <c r="L119" s="697"/>
      <c r="M119" s="697"/>
      <c r="N119" s="697"/>
      <c r="O119" s="697"/>
      <c r="P119" s="697"/>
      <c r="Q119" s="697"/>
      <c r="R119" s="697"/>
      <c r="S119" s="697"/>
      <c r="T119" s="697"/>
      <c r="U119" s="697"/>
      <c r="V119" s="697"/>
      <c r="W119" s="697"/>
      <c r="X119" s="697"/>
      <c r="Y119" s="697"/>
      <c r="Z119" s="697"/>
      <c r="AA119" s="697"/>
      <c r="AB119" s="697"/>
      <c r="AC119" s="697"/>
      <c r="AD119" s="697"/>
      <c r="AE119" s="697"/>
      <c r="AF119" s="697"/>
      <c r="AG119" s="697"/>
      <c r="AH119" s="697"/>
      <c r="AI119" s="697"/>
      <c r="AJ119" s="697"/>
      <c r="AK119" s="697"/>
      <c r="AL119" s="697"/>
      <c r="AM119" s="697"/>
      <c r="AN119" s="697"/>
      <c r="AO119" s="697"/>
      <c r="AP119" s="697"/>
      <c r="AQ119" s="697"/>
      <c r="AR119" s="697"/>
      <c r="AS119" s="697"/>
      <c r="AT119" s="697"/>
      <c r="AU119" s="697"/>
      <c r="AV119" s="697"/>
      <c r="AW119" s="697"/>
      <c r="AX119" s="697"/>
      <c r="AY119" s="697"/>
      <c r="AZ119" s="697"/>
      <c r="BA119" s="697"/>
      <c r="BB119" s="697"/>
      <c r="BC119" s="697"/>
      <c r="BD119" s="697"/>
      <c r="BE119" s="697"/>
      <c r="BF119" s="697"/>
      <c r="BG119" s="697"/>
      <c r="BH119" s="697"/>
      <c r="BI119" s="697"/>
      <c r="BJ119" s="697"/>
      <c r="BK119" s="697"/>
      <c r="BL119" s="697"/>
      <c r="BM119" s="697"/>
      <c r="BN119" s="697"/>
      <c r="BO119" s="697"/>
      <c r="BP119" s="697"/>
      <c r="BQ119" s="697"/>
      <c r="BR119" s="697"/>
      <c r="BS119" s="697"/>
      <c r="BT119" s="697"/>
      <c r="BU119" s="697"/>
      <c r="BV119" s="697"/>
      <c r="BW119" s="697"/>
      <c r="BX119" s="697"/>
      <c r="BY119" s="697"/>
      <c r="BZ119" s="697"/>
      <c r="CA119" s="697"/>
      <c r="CB119" s="697"/>
      <c r="CC119" s="697"/>
      <c r="CD119" s="697"/>
      <c r="CE119" s="697"/>
      <c r="CF119" s="697"/>
      <c r="CG119" s="697"/>
      <c r="CH119" s="697"/>
      <c r="CI119" s="697"/>
      <c r="CJ119" s="697"/>
      <c r="CK119" s="697"/>
      <c r="CL119" s="697"/>
      <c r="CM119" s="697"/>
      <c r="CN119" s="697"/>
      <c r="CO119" s="697"/>
      <c r="CP119" s="697"/>
      <c r="CQ119" s="697"/>
      <c r="CR119" s="697"/>
      <c r="CS119" s="697"/>
      <c r="CT119" s="697"/>
      <c r="CU119" s="697"/>
      <c r="CV119" s="697"/>
      <c r="CW119" s="697"/>
      <c r="CX119" s="697"/>
      <c r="CY119" s="697"/>
      <c r="CZ119" s="697"/>
      <c r="DA119" s="697"/>
      <c r="DB119" s="697"/>
    </row>
    <row r="120" spans="1:106" hidden="1" outlineLevel="1" x14ac:dyDescent="0.2">
      <c r="A120" s="709">
        <f t="shared" si="33"/>
        <v>37316</v>
      </c>
      <c r="B120" s="709" t="str">
        <f t="shared" si="34"/>
        <v>1Q02</v>
      </c>
      <c r="C120" s="709" t="str">
        <f t="shared" si="35"/>
        <v>2Q02</v>
      </c>
      <c r="D120" s="710">
        <f t="shared" si="45"/>
        <v>37390</v>
      </c>
      <c r="E120" s="710">
        <f t="shared" si="45"/>
        <v>37330</v>
      </c>
      <c r="F120" s="712">
        <v>24.4</v>
      </c>
      <c r="G120" s="713">
        <f t="shared" si="36"/>
        <v>1.4900000000000011</v>
      </c>
      <c r="H120" s="713">
        <f t="shared" si="37"/>
        <v>1.4900000000000011</v>
      </c>
      <c r="I120" s="713">
        <f t="shared" si="46"/>
        <v>6.8999999999999835</v>
      </c>
      <c r="J120" s="713">
        <f t="shared" si="46"/>
        <v>6.9499999999999833</v>
      </c>
      <c r="K120" s="713">
        <f t="shared" si="40"/>
        <v>1.1600000000000008</v>
      </c>
      <c r="L120" s="697"/>
      <c r="M120" s="697"/>
      <c r="N120" s="697"/>
      <c r="O120" s="697"/>
      <c r="P120" s="697"/>
      <c r="Q120" s="697"/>
      <c r="R120" s="697"/>
      <c r="S120" s="697"/>
      <c r="T120" s="697"/>
      <c r="U120" s="697"/>
      <c r="V120" s="697"/>
      <c r="W120" s="697"/>
      <c r="X120" s="697"/>
      <c r="Y120" s="697"/>
      <c r="Z120" s="697"/>
      <c r="AA120" s="697"/>
      <c r="AB120" s="697"/>
      <c r="AC120" s="697"/>
      <c r="AD120" s="697"/>
      <c r="AE120" s="697"/>
      <c r="AF120" s="697"/>
      <c r="AG120" s="697"/>
      <c r="AH120" s="697"/>
      <c r="AI120" s="697"/>
      <c r="AJ120" s="697"/>
      <c r="AK120" s="697"/>
      <c r="AL120" s="697"/>
      <c r="AM120" s="697"/>
      <c r="AN120" s="697"/>
      <c r="AO120" s="697"/>
      <c r="AP120" s="697"/>
      <c r="AQ120" s="697"/>
      <c r="AR120" s="697"/>
      <c r="AS120" s="697"/>
      <c r="AT120" s="697"/>
      <c r="AU120" s="697"/>
      <c r="AV120" s="697"/>
      <c r="AW120" s="697"/>
      <c r="AX120" s="697"/>
      <c r="AY120" s="697"/>
      <c r="AZ120" s="697"/>
      <c r="BA120" s="697"/>
      <c r="BB120" s="697"/>
      <c r="BC120" s="697"/>
      <c r="BD120" s="697"/>
      <c r="BE120" s="697"/>
      <c r="BF120" s="697"/>
      <c r="BG120" s="697"/>
      <c r="BH120" s="697"/>
      <c r="BI120" s="697"/>
      <c r="BJ120" s="697"/>
      <c r="BK120" s="697"/>
      <c r="BL120" s="697"/>
      <c r="BM120" s="697"/>
      <c r="BN120" s="697"/>
      <c r="BO120" s="697"/>
      <c r="BP120" s="697"/>
      <c r="BQ120" s="697"/>
      <c r="BR120" s="697"/>
      <c r="BS120" s="697"/>
      <c r="BT120" s="697"/>
      <c r="BU120" s="697"/>
      <c r="BV120" s="697"/>
      <c r="BW120" s="697"/>
      <c r="BX120" s="697"/>
      <c r="BY120" s="697"/>
      <c r="BZ120" s="697"/>
      <c r="CA120" s="697"/>
      <c r="CB120" s="697"/>
      <c r="CC120" s="697"/>
      <c r="CD120" s="697"/>
      <c r="CE120" s="697"/>
      <c r="CF120" s="697"/>
      <c r="CG120" s="697"/>
      <c r="CH120" s="697"/>
      <c r="CI120" s="697"/>
      <c r="CJ120" s="697"/>
      <c r="CK120" s="697"/>
      <c r="CL120" s="697"/>
      <c r="CM120" s="697"/>
      <c r="CN120" s="697"/>
      <c r="CO120" s="697"/>
      <c r="CP120" s="697"/>
      <c r="CQ120" s="697"/>
      <c r="CR120" s="697"/>
      <c r="CS120" s="697"/>
      <c r="CT120" s="697"/>
      <c r="CU120" s="697"/>
      <c r="CV120" s="697"/>
      <c r="CW120" s="697"/>
      <c r="CX120" s="697"/>
      <c r="CY120" s="697"/>
      <c r="CZ120" s="697"/>
      <c r="DA120" s="697"/>
      <c r="DB120" s="697"/>
    </row>
    <row r="121" spans="1:106" hidden="1" outlineLevel="1" x14ac:dyDescent="0.2">
      <c r="A121" s="709">
        <f t="shared" si="33"/>
        <v>37316</v>
      </c>
      <c r="B121" s="709" t="str">
        <f t="shared" si="34"/>
        <v>1Q02</v>
      </c>
      <c r="C121" s="709" t="str">
        <f t="shared" si="35"/>
        <v>2Q02</v>
      </c>
      <c r="D121" s="710">
        <f t="shared" si="45"/>
        <v>37397</v>
      </c>
      <c r="E121" s="710">
        <f t="shared" si="45"/>
        <v>37337</v>
      </c>
      <c r="F121" s="712">
        <v>25.25</v>
      </c>
      <c r="G121" s="713">
        <f t="shared" si="36"/>
        <v>1.4900000000000011</v>
      </c>
      <c r="H121" s="713">
        <f t="shared" si="37"/>
        <v>1.4900000000000011</v>
      </c>
      <c r="I121" s="713">
        <f t="shared" si="46"/>
        <v>6.9499999999999833</v>
      </c>
      <c r="J121" s="713">
        <f t="shared" si="46"/>
        <v>6.9999999999999831</v>
      </c>
      <c r="K121" s="713">
        <f t="shared" si="40"/>
        <v>1.1700000000000008</v>
      </c>
      <c r="L121" s="697"/>
      <c r="M121" s="697"/>
      <c r="N121" s="697"/>
      <c r="O121" s="697"/>
      <c r="P121" s="697"/>
      <c r="Q121" s="697"/>
      <c r="R121" s="697"/>
      <c r="S121" s="697"/>
      <c r="T121" s="697"/>
      <c r="U121" s="697"/>
      <c r="V121" s="697"/>
      <c r="W121" s="697"/>
      <c r="X121" s="697"/>
      <c r="Y121" s="697"/>
      <c r="Z121" s="697"/>
      <c r="AA121" s="697"/>
      <c r="AB121" s="697"/>
      <c r="AC121" s="697"/>
      <c r="AD121" s="697"/>
      <c r="AE121" s="697"/>
      <c r="AF121" s="697"/>
      <c r="AG121" s="697"/>
      <c r="AH121" s="697"/>
      <c r="AI121" s="697"/>
      <c r="AJ121" s="697"/>
      <c r="AK121" s="697"/>
      <c r="AL121" s="697"/>
      <c r="AM121" s="697"/>
      <c r="AN121" s="697"/>
      <c r="AO121" s="697"/>
      <c r="AP121" s="697"/>
      <c r="AQ121" s="697"/>
      <c r="AR121" s="697"/>
      <c r="AS121" s="697"/>
      <c r="AT121" s="697"/>
      <c r="AU121" s="697"/>
      <c r="AV121" s="697"/>
      <c r="AW121" s="697"/>
      <c r="AX121" s="697"/>
      <c r="AY121" s="697"/>
      <c r="AZ121" s="697"/>
      <c r="BA121" s="697"/>
      <c r="BB121" s="697"/>
      <c r="BC121" s="697"/>
      <c r="BD121" s="697"/>
      <c r="BE121" s="697"/>
      <c r="BF121" s="697"/>
      <c r="BG121" s="697"/>
      <c r="BH121" s="697"/>
      <c r="BI121" s="697"/>
      <c r="BJ121" s="697"/>
      <c r="BK121" s="697"/>
      <c r="BL121" s="697"/>
      <c r="BM121" s="697"/>
      <c r="BN121" s="697"/>
      <c r="BO121" s="697"/>
      <c r="BP121" s="697"/>
      <c r="BQ121" s="697"/>
      <c r="BR121" s="697"/>
      <c r="BS121" s="697"/>
      <c r="BT121" s="697"/>
      <c r="BU121" s="697"/>
      <c r="BV121" s="697"/>
      <c r="BW121" s="697"/>
      <c r="BX121" s="697"/>
      <c r="BY121" s="697"/>
      <c r="BZ121" s="697"/>
      <c r="CA121" s="697"/>
      <c r="CB121" s="697"/>
      <c r="CC121" s="697"/>
      <c r="CD121" s="697"/>
      <c r="CE121" s="697"/>
      <c r="CF121" s="697"/>
      <c r="CG121" s="697"/>
      <c r="CH121" s="697"/>
      <c r="CI121" s="697"/>
      <c r="CJ121" s="697"/>
      <c r="CK121" s="697"/>
      <c r="CL121" s="697"/>
      <c r="CM121" s="697"/>
      <c r="CN121" s="697"/>
      <c r="CO121" s="697"/>
      <c r="CP121" s="697"/>
      <c r="CQ121" s="697"/>
      <c r="CR121" s="697"/>
      <c r="CS121" s="697"/>
      <c r="CT121" s="697"/>
      <c r="CU121" s="697"/>
      <c r="CV121" s="697"/>
      <c r="CW121" s="697"/>
      <c r="CX121" s="697"/>
      <c r="CY121" s="697"/>
      <c r="CZ121" s="697"/>
      <c r="DA121" s="697"/>
      <c r="DB121" s="697"/>
    </row>
    <row r="122" spans="1:106" hidden="1" outlineLevel="1" x14ac:dyDescent="0.2">
      <c r="A122" s="709">
        <f t="shared" si="33"/>
        <v>37316</v>
      </c>
      <c r="B122" s="709" t="str">
        <f t="shared" si="34"/>
        <v>1Q02</v>
      </c>
      <c r="C122" s="709" t="str">
        <f t="shared" si="35"/>
        <v>2Q02</v>
      </c>
      <c r="D122" s="710">
        <f t="shared" si="45"/>
        <v>37404</v>
      </c>
      <c r="E122" s="710">
        <f t="shared" si="45"/>
        <v>37344</v>
      </c>
      <c r="F122" s="712">
        <v>25.86</v>
      </c>
      <c r="G122" s="713">
        <f t="shared" si="36"/>
        <v>1.4900000000000011</v>
      </c>
      <c r="H122" s="713">
        <f t="shared" si="37"/>
        <v>1.4900000000000011</v>
      </c>
      <c r="I122" s="713">
        <f t="shared" si="46"/>
        <v>6.9999999999999831</v>
      </c>
      <c r="J122" s="713">
        <f t="shared" si="46"/>
        <v>7.0499999999999829</v>
      </c>
      <c r="K122" s="713">
        <f t="shared" si="40"/>
        <v>1.1800000000000008</v>
      </c>
      <c r="L122" s="697"/>
      <c r="M122" s="697"/>
      <c r="N122" s="697"/>
      <c r="O122" s="697"/>
      <c r="P122" s="697"/>
      <c r="Q122" s="697"/>
      <c r="R122" s="697"/>
      <c r="S122" s="697"/>
      <c r="T122" s="697"/>
      <c r="U122" s="697"/>
      <c r="V122" s="697"/>
      <c r="W122" s="697"/>
      <c r="X122" s="697"/>
      <c r="Y122" s="697"/>
      <c r="Z122" s="697"/>
      <c r="AA122" s="697"/>
      <c r="AB122" s="697"/>
      <c r="AC122" s="697"/>
      <c r="AD122" s="697"/>
      <c r="AE122" s="697"/>
      <c r="AF122" s="697"/>
      <c r="AG122" s="697"/>
      <c r="AH122" s="697"/>
      <c r="AI122" s="697"/>
      <c r="AJ122" s="697"/>
      <c r="AK122" s="697"/>
      <c r="AL122" s="697"/>
      <c r="AM122" s="697"/>
      <c r="AN122" s="697"/>
      <c r="AO122" s="697"/>
      <c r="AP122" s="697"/>
      <c r="AQ122" s="697"/>
      <c r="AR122" s="697"/>
      <c r="AS122" s="697"/>
      <c r="AT122" s="697"/>
      <c r="AU122" s="697"/>
      <c r="AV122" s="697"/>
      <c r="AW122" s="697"/>
      <c r="AX122" s="697"/>
      <c r="AY122" s="697"/>
      <c r="AZ122" s="697"/>
      <c r="BA122" s="697"/>
      <c r="BB122" s="697"/>
      <c r="BC122" s="697"/>
      <c r="BD122" s="697"/>
      <c r="BE122" s="697"/>
      <c r="BF122" s="697"/>
      <c r="BG122" s="697"/>
      <c r="BH122" s="697"/>
      <c r="BI122" s="697"/>
      <c r="BJ122" s="697"/>
      <c r="BK122" s="697"/>
      <c r="BL122" s="697"/>
      <c r="BM122" s="697"/>
      <c r="BN122" s="697"/>
      <c r="BO122" s="697"/>
      <c r="BP122" s="697"/>
      <c r="BQ122" s="697"/>
      <c r="BR122" s="697"/>
      <c r="BS122" s="697"/>
      <c r="BT122" s="697"/>
      <c r="BU122" s="697"/>
      <c r="BV122" s="697"/>
      <c r="BW122" s="697"/>
      <c r="BX122" s="697"/>
      <c r="BY122" s="697"/>
      <c r="BZ122" s="697"/>
      <c r="CA122" s="697"/>
      <c r="CB122" s="697"/>
      <c r="CC122" s="697"/>
      <c r="CD122" s="697"/>
      <c r="CE122" s="697"/>
      <c r="CF122" s="697"/>
      <c r="CG122" s="697"/>
      <c r="CH122" s="697"/>
      <c r="CI122" s="697"/>
      <c r="CJ122" s="697"/>
      <c r="CK122" s="697"/>
      <c r="CL122" s="697"/>
      <c r="CM122" s="697"/>
      <c r="CN122" s="697"/>
      <c r="CO122" s="697"/>
      <c r="CP122" s="697"/>
      <c r="CQ122" s="697"/>
      <c r="CR122" s="697"/>
      <c r="CS122" s="697"/>
      <c r="CT122" s="697"/>
      <c r="CU122" s="697"/>
      <c r="CV122" s="697"/>
      <c r="CW122" s="697"/>
      <c r="CX122" s="697"/>
      <c r="CY122" s="697"/>
      <c r="CZ122" s="697"/>
      <c r="DA122" s="697"/>
      <c r="DB122" s="697"/>
    </row>
    <row r="123" spans="1:106" hidden="1" outlineLevel="1" x14ac:dyDescent="0.2">
      <c r="A123" s="709">
        <f t="shared" si="33"/>
        <v>37347</v>
      </c>
      <c r="B123" s="709" t="str">
        <f t="shared" si="34"/>
        <v>2Q02</v>
      </c>
      <c r="C123" s="709" t="str">
        <f t="shared" si="35"/>
        <v>2Q02</v>
      </c>
      <c r="D123" s="710">
        <f t="shared" si="45"/>
        <v>37411</v>
      </c>
      <c r="E123" s="710">
        <f t="shared" si="45"/>
        <v>37351</v>
      </c>
      <c r="F123" s="712">
        <v>26.99</v>
      </c>
      <c r="G123" s="713">
        <f t="shared" si="36"/>
        <v>1.4900000000000011</v>
      </c>
      <c r="H123" s="713">
        <f t="shared" si="37"/>
        <v>1.4900000000000011</v>
      </c>
      <c r="I123" s="713">
        <f t="shared" si="46"/>
        <v>7.0499999999999829</v>
      </c>
      <c r="J123" s="713">
        <f t="shared" si="46"/>
        <v>7.0999999999999828</v>
      </c>
      <c r="K123" s="713">
        <f t="shared" si="40"/>
        <v>1.1900000000000008</v>
      </c>
      <c r="L123" s="697"/>
      <c r="M123" s="697"/>
      <c r="N123" s="697"/>
      <c r="O123" s="697"/>
      <c r="P123" s="697"/>
      <c r="Q123" s="697"/>
      <c r="R123" s="697"/>
      <c r="S123" s="697"/>
      <c r="T123" s="697"/>
      <c r="U123" s="697"/>
      <c r="V123" s="697"/>
      <c r="W123" s="697"/>
      <c r="X123" s="697"/>
      <c r="Y123" s="697"/>
      <c r="Z123" s="697"/>
      <c r="AA123" s="697"/>
      <c r="AB123" s="697"/>
      <c r="AC123" s="697"/>
      <c r="AD123" s="697"/>
      <c r="AE123" s="697"/>
      <c r="AF123" s="697"/>
      <c r="AG123" s="697"/>
      <c r="AH123" s="697"/>
      <c r="AI123" s="697"/>
      <c r="AJ123" s="697"/>
      <c r="AK123" s="697"/>
      <c r="AL123" s="697"/>
      <c r="AM123" s="697"/>
      <c r="AN123" s="697"/>
      <c r="AO123" s="697"/>
      <c r="AP123" s="697"/>
      <c r="AQ123" s="697"/>
      <c r="AR123" s="697"/>
      <c r="AS123" s="697"/>
      <c r="AT123" s="697"/>
      <c r="AU123" s="697"/>
      <c r="AV123" s="697"/>
      <c r="AW123" s="697"/>
      <c r="AX123" s="697"/>
      <c r="AY123" s="697"/>
      <c r="AZ123" s="697"/>
      <c r="BA123" s="697"/>
      <c r="BB123" s="697"/>
      <c r="BC123" s="697"/>
      <c r="BD123" s="697"/>
      <c r="BE123" s="697"/>
      <c r="BF123" s="697"/>
      <c r="BG123" s="697"/>
      <c r="BH123" s="697"/>
      <c r="BI123" s="697"/>
      <c r="BJ123" s="697"/>
      <c r="BK123" s="697"/>
      <c r="BL123" s="697"/>
      <c r="BM123" s="697"/>
      <c r="BN123" s="697"/>
      <c r="BO123" s="697"/>
      <c r="BP123" s="697"/>
      <c r="BQ123" s="697"/>
      <c r="BR123" s="697"/>
      <c r="BS123" s="697"/>
      <c r="BT123" s="697"/>
      <c r="BU123" s="697"/>
      <c r="BV123" s="697"/>
      <c r="BW123" s="697"/>
      <c r="BX123" s="697"/>
      <c r="BY123" s="697"/>
      <c r="BZ123" s="697"/>
      <c r="CA123" s="697"/>
      <c r="CB123" s="697"/>
      <c r="CC123" s="697"/>
      <c r="CD123" s="697"/>
      <c r="CE123" s="697"/>
      <c r="CF123" s="697"/>
      <c r="CG123" s="697"/>
      <c r="CH123" s="697"/>
      <c r="CI123" s="697"/>
      <c r="CJ123" s="697"/>
      <c r="CK123" s="697"/>
      <c r="CL123" s="697"/>
      <c r="CM123" s="697"/>
      <c r="CN123" s="697"/>
      <c r="CO123" s="697"/>
      <c r="CP123" s="697"/>
      <c r="CQ123" s="697"/>
      <c r="CR123" s="697"/>
      <c r="CS123" s="697"/>
      <c r="CT123" s="697"/>
      <c r="CU123" s="697"/>
      <c r="CV123" s="697"/>
      <c r="CW123" s="697"/>
      <c r="CX123" s="697"/>
      <c r="CY123" s="697"/>
      <c r="CZ123" s="697"/>
      <c r="DA123" s="697"/>
      <c r="DB123" s="697"/>
    </row>
    <row r="124" spans="1:106" hidden="1" outlineLevel="1" x14ac:dyDescent="0.2">
      <c r="A124" s="709">
        <f t="shared" si="33"/>
        <v>37347</v>
      </c>
      <c r="B124" s="709" t="str">
        <f t="shared" si="34"/>
        <v>2Q02</v>
      </c>
      <c r="C124" s="709" t="str">
        <f t="shared" si="35"/>
        <v>2Q02</v>
      </c>
      <c r="D124" s="710">
        <f t="shared" si="45"/>
        <v>37418</v>
      </c>
      <c r="E124" s="710">
        <f t="shared" si="45"/>
        <v>37358</v>
      </c>
      <c r="F124" s="712">
        <v>25.24</v>
      </c>
      <c r="G124" s="713">
        <f t="shared" si="36"/>
        <v>1.4900000000000011</v>
      </c>
      <c r="H124" s="713">
        <f t="shared" si="37"/>
        <v>1.4900000000000011</v>
      </c>
      <c r="I124" s="713">
        <f t="shared" si="46"/>
        <v>7.0999999999999828</v>
      </c>
      <c r="J124" s="713">
        <f t="shared" si="46"/>
        <v>7.1499999999999826</v>
      </c>
      <c r="K124" s="713">
        <f t="shared" si="40"/>
        <v>1.2000000000000008</v>
      </c>
      <c r="L124" s="697"/>
      <c r="M124" s="697"/>
      <c r="N124" s="697"/>
      <c r="O124" s="697"/>
      <c r="P124" s="697"/>
      <c r="Q124" s="697"/>
      <c r="R124" s="697"/>
      <c r="S124" s="697"/>
      <c r="T124" s="697"/>
      <c r="U124" s="697"/>
      <c r="V124" s="697"/>
      <c r="W124" s="697"/>
      <c r="X124" s="697"/>
      <c r="Y124" s="697"/>
      <c r="Z124" s="697"/>
      <c r="AA124" s="697"/>
      <c r="AB124" s="697"/>
      <c r="AC124" s="697"/>
      <c r="AD124" s="697"/>
      <c r="AE124" s="697"/>
      <c r="AF124" s="697"/>
      <c r="AG124" s="697"/>
      <c r="AH124" s="697"/>
      <c r="AI124" s="697"/>
      <c r="AJ124" s="697"/>
      <c r="AK124" s="697"/>
      <c r="AL124" s="697"/>
      <c r="AM124" s="697"/>
      <c r="AN124" s="697"/>
      <c r="AO124" s="697"/>
      <c r="AP124" s="697"/>
      <c r="AQ124" s="697"/>
      <c r="AR124" s="697"/>
      <c r="AS124" s="697"/>
      <c r="AT124" s="697"/>
      <c r="AU124" s="697"/>
      <c r="AV124" s="697"/>
      <c r="AW124" s="697"/>
      <c r="AX124" s="697"/>
      <c r="AY124" s="697"/>
      <c r="AZ124" s="697"/>
      <c r="BA124" s="697"/>
      <c r="BB124" s="697"/>
      <c r="BC124" s="697"/>
      <c r="BD124" s="697"/>
      <c r="BE124" s="697"/>
      <c r="BF124" s="697"/>
      <c r="BG124" s="697"/>
      <c r="BH124" s="697"/>
      <c r="BI124" s="697"/>
      <c r="BJ124" s="697"/>
      <c r="BK124" s="697"/>
      <c r="BL124" s="697"/>
      <c r="BM124" s="697"/>
      <c r="BN124" s="697"/>
      <c r="BO124" s="697"/>
      <c r="BP124" s="697"/>
      <c r="BQ124" s="697"/>
      <c r="BR124" s="697"/>
      <c r="BS124" s="697"/>
      <c r="BT124" s="697"/>
      <c r="BU124" s="697"/>
      <c r="BV124" s="697"/>
      <c r="BW124" s="697"/>
      <c r="BX124" s="697"/>
      <c r="BY124" s="697"/>
      <c r="BZ124" s="697"/>
      <c r="CA124" s="697"/>
      <c r="CB124" s="697"/>
      <c r="CC124" s="697"/>
      <c r="CD124" s="697"/>
      <c r="CE124" s="697"/>
      <c r="CF124" s="697"/>
      <c r="CG124" s="697"/>
      <c r="CH124" s="697"/>
      <c r="CI124" s="697"/>
      <c r="CJ124" s="697"/>
      <c r="CK124" s="697"/>
      <c r="CL124" s="697"/>
      <c r="CM124" s="697"/>
      <c r="CN124" s="697"/>
      <c r="CO124" s="697"/>
      <c r="CP124" s="697"/>
      <c r="CQ124" s="697"/>
      <c r="CR124" s="697"/>
      <c r="CS124" s="697"/>
      <c r="CT124" s="697"/>
      <c r="CU124" s="697"/>
      <c r="CV124" s="697"/>
      <c r="CW124" s="697"/>
      <c r="CX124" s="697"/>
      <c r="CY124" s="697"/>
      <c r="CZ124" s="697"/>
      <c r="DA124" s="697"/>
      <c r="DB124" s="697"/>
    </row>
    <row r="125" spans="1:106" hidden="1" outlineLevel="1" x14ac:dyDescent="0.2">
      <c r="A125" s="709">
        <f t="shared" si="33"/>
        <v>37347</v>
      </c>
      <c r="B125" s="709" t="str">
        <f t="shared" si="34"/>
        <v>2Q02</v>
      </c>
      <c r="C125" s="709" t="str">
        <f t="shared" si="35"/>
        <v>2Q02</v>
      </c>
      <c r="D125" s="710">
        <f t="shared" si="45"/>
        <v>37425</v>
      </c>
      <c r="E125" s="710">
        <f t="shared" si="45"/>
        <v>37365</v>
      </c>
      <c r="F125" s="712">
        <v>25.54</v>
      </c>
      <c r="G125" s="713">
        <f t="shared" si="36"/>
        <v>1.4900000000000011</v>
      </c>
      <c r="H125" s="713">
        <f t="shared" si="37"/>
        <v>1.4900000000000011</v>
      </c>
      <c r="I125" s="713">
        <f t="shared" si="46"/>
        <v>7.1499999999999826</v>
      </c>
      <c r="J125" s="713">
        <f t="shared" si="46"/>
        <v>7.1999999999999824</v>
      </c>
      <c r="K125" s="713">
        <f t="shared" si="40"/>
        <v>1.2100000000000009</v>
      </c>
      <c r="L125" s="697"/>
      <c r="M125" s="697"/>
      <c r="N125" s="697"/>
      <c r="O125" s="697"/>
      <c r="P125" s="697"/>
      <c r="Q125" s="697"/>
      <c r="R125" s="697"/>
      <c r="S125" s="697"/>
      <c r="T125" s="697"/>
      <c r="U125" s="697"/>
      <c r="V125" s="697"/>
      <c r="W125" s="697"/>
      <c r="X125" s="697"/>
      <c r="Y125" s="697"/>
      <c r="Z125" s="697"/>
      <c r="AA125" s="697"/>
      <c r="AB125" s="697"/>
      <c r="AC125" s="697"/>
      <c r="AD125" s="697"/>
      <c r="AE125" s="697"/>
      <c r="AF125" s="697"/>
      <c r="AG125" s="697"/>
      <c r="AH125" s="697"/>
      <c r="AI125" s="697"/>
      <c r="AJ125" s="697"/>
      <c r="AK125" s="697"/>
      <c r="AL125" s="697"/>
      <c r="AM125" s="697"/>
      <c r="AN125" s="697"/>
      <c r="AO125" s="697"/>
      <c r="AP125" s="697"/>
      <c r="AQ125" s="697"/>
      <c r="AR125" s="697"/>
      <c r="AS125" s="697"/>
      <c r="AT125" s="697"/>
      <c r="AU125" s="697"/>
      <c r="AV125" s="697"/>
      <c r="AW125" s="697"/>
      <c r="AX125" s="697"/>
      <c r="AY125" s="697"/>
      <c r="AZ125" s="697"/>
      <c r="BA125" s="697"/>
      <c r="BB125" s="697"/>
      <c r="BC125" s="697"/>
      <c r="BD125" s="697"/>
      <c r="BE125" s="697"/>
      <c r="BF125" s="697"/>
      <c r="BG125" s="697"/>
      <c r="BH125" s="697"/>
      <c r="BI125" s="697"/>
      <c r="BJ125" s="697"/>
      <c r="BK125" s="697"/>
      <c r="BL125" s="697"/>
      <c r="BM125" s="697"/>
      <c r="BN125" s="697"/>
      <c r="BO125" s="697"/>
      <c r="BP125" s="697"/>
      <c r="BQ125" s="697"/>
      <c r="BR125" s="697"/>
      <c r="BS125" s="697"/>
      <c r="BT125" s="697"/>
      <c r="BU125" s="697"/>
      <c r="BV125" s="697"/>
      <c r="BW125" s="697"/>
      <c r="BX125" s="697"/>
      <c r="BY125" s="697"/>
      <c r="BZ125" s="697"/>
      <c r="CA125" s="697"/>
      <c r="CB125" s="697"/>
      <c r="CC125" s="697"/>
      <c r="CD125" s="697"/>
      <c r="CE125" s="697"/>
      <c r="CF125" s="697"/>
      <c r="CG125" s="697"/>
      <c r="CH125" s="697"/>
      <c r="CI125" s="697"/>
      <c r="CJ125" s="697"/>
      <c r="CK125" s="697"/>
      <c r="CL125" s="697"/>
      <c r="CM125" s="697"/>
      <c r="CN125" s="697"/>
      <c r="CO125" s="697"/>
      <c r="CP125" s="697"/>
      <c r="CQ125" s="697"/>
      <c r="CR125" s="697"/>
      <c r="CS125" s="697"/>
      <c r="CT125" s="697"/>
      <c r="CU125" s="697"/>
      <c r="CV125" s="697"/>
      <c r="CW125" s="697"/>
      <c r="CX125" s="697"/>
      <c r="CY125" s="697"/>
      <c r="CZ125" s="697"/>
      <c r="DA125" s="697"/>
      <c r="DB125" s="697"/>
    </row>
    <row r="126" spans="1:106" hidden="1" outlineLevel="1" x14ac:dyDescent="0.2">
      <c r="A126" s="709">
        <f t="shared" si="33"/>
        <v>37347</v>
      </c>
      <c r="B126" s="709" t="str">
        <f t="shared" si="34"/>
        <v>2Q02</v>
      </c>
      <c r="C126" s="709" t="str">
        <f t="shared" si="35"/>
        <v>2Q02</v>
      </c>
      <c r="D126" s="710">
        <f t="shared" si="45"/>
        <v>37432</v>
      </c>
      <c r="E126" s="710">
        <f t="shared" si="45"/>
        <v>37372</v>
      </c>
      <c r="F126" s="712">
        <v>26.46</v>
      </c>
      <c r="G126" s="713">
        <f t="shared" si="36"/>
        <v>1.4900000000000011</v>
      </c>
      <c r="H126" s="713">
        <f t="shared" si="37"/>
        <v>1.4900000000000011</v>
      </c>
      <c r="I126" s="713">
        <f t="shared" si="46"/>
        <v>7.1999999999999824</v>
      </c>
      <c r="J126" s="713">
        <f t="shared" si="46"/>
        <v>7.2499999999999822</v>
      </c>
      <c r="K126" s="713">
        <f t="shared" si="40"/>
        <v>1.2200000000000009</v>
      </c>
      <c r="L126" s="697"/>
      <c r="M126" s="697"/>
      <c r="N126" s="697"/>
      <c r="O126" s="697"/>
      <c r="P126" s="697"/>
      <c r="Q126" s="697"/>
      <c r="R126" s="697"/>
      <c r="S126" s="697"/>
      <c r="T126" s="697"/>
      <c r="U126" s="697"/>
      <c r="V126" s="697"/>
      <c r="W126" s="697"/>
      <c r="X126" s="697"/>
      <c r="Y126" s="697"/>
      <c r="Z126" s="697"/>
      <c r="AA126" s="697"/>
      <c r="AB126" s="697"/>
      <c r="AC126" s="697"/>
      <c r="AD126" s="697"/>
      <c r="AE126" s="697"/>
      <c r="AF126" s="697"/>
      <c r="AG126" s="697"/>
      <c r="AH126" s="697"/>
      <c r="AI126" s="697"/>
      <c r="AJ126" s="697"/>
      <c r="AK126" s="697"/>
      <c r="AL126" s="697"/>
      <c r="AM126" s="697"/>
      <c r="AN126" s="697"/>
      <c r="AO126" s="697"/>
      <c r="AP126" s="697"/>
      <c r="AQ126" s="697"/>
      <c r="AR126" s="697"/>
      <c r="AS126" s="697"/>
      <c r="AT126" s="697"/>
      <c r="AU126" s="697"/>
      <c r="AV126" s="697"/>
      <c r="AW126" s="697"/>
      <c r="AX126" s="697"/>
      <c r="AY126" s="697"/>
      <c r="AZ126" s="697"/>
      <c r="BA126" s="697"/>
      <c r="BB126" s="697"/>
      <c r="BC126" s="697"/>
      <c r="BD126" s="697"/>
      <c r="BE126" s="697"/>
      <c r="BF126" s="697"/>
      <c r="BG126" s="697"/>
      <c r="BH126" s="697"/>
      <c r="BI126" s="697"/>
      <c r="BJ126" s="697"/>
      <c r="BK126" s="697"/>
      <c r="BL126" s="697"/>
      <c r="BM126" s="697"/>
      <c r="BN126" s="697"/>
      <c r="BO126" s="697"/>
      <c r="BP126" s="697"/>
      <c r="BQ126" s="697"/>
      <c r="BR126" s="697"/>
      <c r="BS126" s="697"/>
      <c r="BT126" s="697"/>
      <c r="BU126" s="697"/>
      <c r="BV126" s="697"/>
      <c r="BW126" s="697"/>
      <c r="BX126" s="697"/>
      <c r="BY126" s="697"/>
      <c r="BZ126" s="697"/>
      <c r="CA126" s="697"/>
      <c r="CB126" s="697"/>
      <c r="CC126" s="697"/>
      <c r="CD126" s="697"/>
      <c r="CE126" s="697"/>
      <c r="CF126" s="697"/>
      <c r="CG126" s="697"/>
      <c r="CH126" s="697"/>
      <c r="CI126" s="697"/>
      <c r="CJ126" s="697"/>
      <c r="CK126" s="697"/>
      <c r="CL126" s="697"/>
      <c r="CM126" s="697"/>
      <c r="CN126" s="697"/>
      <c r="CO126" s="697"/>
      <c r="CP126" s="697"/>
      <c r="CQ126" s="697"/>
      <c r="CR126" s="697"/>
      <c r="CS126" s="697"/>
      <c r="CT126" s="697"/>
      <c r="CU126" s="697"/>
      <c r="CV126" s="697"/>
      <c r="CW126" s="697"/>
      <c r="CX126" s="697"/>
      <c r="CY126" s="697"/>
      <c r="CZ126" s="697"/>
      <c r="DA126" s="697"/>
      <c r="DB126" s="697"/>
    </row>
    <row r="127" spans="1:106" hidden="1" outlineLevel="1" x14ac:dyDescent="0.2">
      <c r="A127" s="709">
        <f t="shared" si="33"/>
        <v>37377</v>
      </c>
      <c r="B127" s="709" t="str">
        <f t="shared" si="34"/>
        <v>2Q02</v>
      </c>
      <c r="C127" s="709" t="str">
        <f t="shared" si="35"/>
        <v>3Q02</v>
      </c>
      <c r="D127" s="710">
        <f t="shared" si="45"/>
        <v>37439</v>
      </c>
      <c r="E127" s="710">
        <f t="shared" si="45"/>
        <v>37379</v>
      </c>
      <c r="F127" s="712">
        <v>26.88</v>
      </c>
      <c r="G127" s="713">
        <f t="shared" si="36"/>
        <v>1.4900000000000011</v>
      </c>
      <c r="H127" s="713">
        <f t="shared" si="37"/>
        <v>1.4900000000000011</v>
      </c>
      <c r="I127" s="713">
        <f t="shared" si="46"/>
        <v>7.2499999999999822</v>
      </c>
      <c r="J127" s="713">
        <f t="shared" si="46"/>
        <v>7.2999999999999821</v>
      </c>
      <c r="K127" s="713">
        <f t="shared" si="40"/>
        <v>1.2300000000000009</v>
      </c>
      <c r="L127" s="697"/>
      <c r="M127" s="697"/>
      <c r="N127" s="697"/>
      <c r="O127" s="697"/>
      <c r="P127" s="697"/>
      <c r="Q127" s="697"/>
      <c r="R127" s="697"/>
      <c r="S127" s="697"/>
      <c r="T127" s="697"/>
      <c r="U127" s="697"/>
      <c r="V127" s="697"/>
      <c r="W127" s="697"/>
      <c r="X127" s="697"/>
      <c r="Y127" s="697"/>
      <c r="Z127" s="697"/>
      <c r="AA127" s="697"/>
      <c r="AB127" s="697"/>
      <c r="AC127" s="697"/>
      <c r="AD127" s="697"/>
      <c r="AE127" s="697"/>
      <c r="AF127" s="697"/>
      <c r="AG127" s="697"/>
      <c r="AH127" s="697"/>
      <c r="AI127" s="697"/>
      <c r="AJ127" s="697"/>
      <c r="AK127" s="697"/>
      <c r="AL127" s="697"/>
      <c r="AM127" s="697"/>
      <c r="AN127" s="697"/>
      <c r="AO127" s="697"/>
      <c r="AP127" s="697"/>
      <c r="AQ127" s="697"/>
      <c r="AR127" s="697"/>
      <c r="AS127" s="697"/>
      <c r="AT127" s="697"/>
      <c r="AU127" s="697"/>
      <c r="AV127" s="697"/>
      <c r="AW127" s="697"/>
      <c r="AX127" s="697"/>
      <c r="AY127" s="697"/>
      <c r="AZ127" s="697"/>
      <c r="BA127" s="697"/>
      <c r="BB127" s="697"/>
      <c r="BC127" s="697"/>
      <c r="BD127" s="697"/>
      <c r="BE127" s="697"/>
      <c r="BF127" s="697"/>
      <c r="BG127" s="697"/>
      <c r="BH127" s="697"/>
      <c r="BI127" s="697"/>
      <c r="BJ127" s="697"/>
      <c r="BK127" s="697"/>
      <c r="BL127" s="697"/>
      <c r="BM127" s="697"/>
      <c r="BN127" s="697"/>
      <c r="BO127" s="697"/>
      <c r="BP127" s="697"/>
      <c r="BQ127" s="697"/>
      <c r="BR127" s="697"/>
      <c r="BS127" s="697"/>
      <c r="BT127" s="697"/>
      <c r="BU127" s="697"/>
      <c r="BV127" s="697"/>
      <c r="BW127" s="697"/>
      <c r="BX127" s="697"/>
      <c r="BY127" s="697"/>
      <c r="BZ127" s="697"/>
      <c r="CA127" s="697"/>
      <c r="CB127" s="697"/>
      <c r="CC127" s="697"/>
      <c r="CD127" s="697"/>
      <c r="CE127" s="697"/>
      <c r="CF127" s="697"/>
      <c r="CG127" s="697"/>
      <c r="CH127" s="697"/>
      <c r="CI127" s="697"/>
      <c r="CJ127" s="697"/>
      <c r="CK127" s="697"/>
      <c r="CL127" s="697"/>
      <c r="CM127" s="697"/>
      <c r="CN127" s="697"/>
      <c r="CO127" s="697"/>
      <c r="CP127" s="697"/>
      <c r="CQ127" s="697"/>
      <c r="CR127" s="697"/>
      <c r="CS127" s="697"/>
      <c r="CT127" s="697"/>
      <c r="CU127" s="697"/>
      <c r="CV127" s="697"/>
      <c r="CW127" s="697"/>
      <c r="CX127" s="697"/>
      <c r="CY127" s="697"/>
      <c r="CZ127" s="697"/>
      <c r="DA127" s="697"/>
      <c r="DB127" s="697"/>
    </row>
    <row r="128" spans="1:106" hidden="1" outlineLevel="1" x14ac:dyDescent="0.2">
      <c r="A128" s="709">
        <f t="shared" si="33"/>
        <v>37377</v>
      </c>
      <c r="B128" s="709" t="str">
        <f t="shared" si="34"/>
        <v>2Q02</v>
      </c>
      <c r="C128" s="709" t="str">
        <f t="shared" si="35"/>
        <v>3Q02</v>
      </c>
      <c r="D128" s="710">
        <f t="shared" si="45"/>
        <v>37446</v>
      </c>
      <c r="E128" s="710">
        <f t="shared" si="45"/>
        <v>37386</v>
      </c>
      <c r="F128" s="712">
        <v>27.27</v>
      </c>
      <c r="G128" s="713">
        <f t="shared" si="36"/>
        <v>1.4900000000000011</v>
      </c>
      <c r="H128" s="713">
        <f t="shared" si="37"/>
        <v>1.4900000000000011</v>
      </c>
      <c r="I128" s="713">
        <f t="shared" si="46"/>
        <v>7.2999999999999821</v>
      </c>
      <c r="J128" s="713">
        <f t="shared" si="46"/>
        <v>7.3499999999999819</v>
      </c>
      <c r="K128" s="713">
        <f t="shared" si="40"/>
        <v>1.2400000000000009</v>
      </c>
      <c r="L128" s="697"/>
      <c r="M128" s="697"/>
      <c r="N128" s="697"/>
      <c r="O128" s="697"/>
      <c r="P128" s="697"/>
      <c r="Q128" s="697"/>
      <c r="R128" s="697"/>
      <c r="S128" s="697"/>
      <c r="T128" s="697"/>
      <c r="U128" s="697"/>
      <c r="V128" s="697"/>
      <c r="W128" s="697"/>
      <c r="X128" s="697"/>
      <c r="Y128" s="697"/>
      <c r="Z128" s="697"/>
      <c r="AA128" s="697"/>
      <c r="AB128" s="697"/>
      <c r="AC128" s="697"/>
      <c r="AD128" s="697"/>
      <c r="AE128" s="697"/>
      <c r="AF128" s="697"/>
      <c r="AG128" s="697"/>
      <c r="AH128" s="697"/>
      <c r="AI128" s="697"/>
      <c r="AJ128" s="697"/>
      <c r="AK128" s="697"/>
      <c r="AL128" s="697"/>
      <c r="AM128" s="697"/>
      <c r="AN128" s="697"/>
      <c r="AO128" s="697"/>
      <c r="AP128" s="697"/>
      <c r="AQ128" s="697"/>
      <c r="AR128" s="697"/>
      <c r="AS128" s="697"/>
      <c r="AT128" s="697"/>
      <c r="AU128" s="697"/>
      <c r="AV128" s="697"/>
      <c r="AW128" s="697"/>
      <c r="AX128" s="697"/>
      <c r="AY128" s="697"/>
      <c r="AZ128" s="697"/>
      <c r="BA128" s="697"/>
      <c r="BB128" s="697"/>
      <c r="BC128" s="697"/>
      <c r="BD128" s="697"/>
      <c r="BE128" s="697"/>
      <c r="BF128" s="697"/>
      <c r="BG128" s="697"/>
      <c r="BH128" s="697"/>
      <c r="BI128" s="697"/>
      <c r="BJ128" s="697"/>
      <c r="BK128" s="697"/>
      <c r="BL128" s="697"/>
      <c r="BM128" s="697"/>
      <c r="BN128" s="697"/>
      <c r="BO128" s="697"/>
      <c r="BP128" s="697"/>
      <c r="BQ128" s="697"/>
      <c r="BR128" s="697"/>
      <c r="BS128" s="697"/>
      <c r="BT128" s="697"/>
      <c r="BU128" s="697"/>
      <c r="BV128" s="697"/>
      <c r="BW128" s="697"/>
      <c r="BX128" s="697"/>
      <c r="BY128" s="697"/>
      <c r="BZ128" s="697"/>
      <c r="CA128" s="697"/>
      <c r="CB128" s="697"/>
      <c r="CC128" s="697"/>
      <c r="CD128" s="697"/>
      <c r="CE128" s="697"/>
      <c r="CF128" s="697"/>
      <c r="CG128" s="697"/>
      <c r="CH128" s="697"/>
      <c r="CI128" s="697"/>
      <c r="CJ128" s="697"/>
      <c r="CK128" s="697"/>
      <c r="CL128" s="697"/>
      <c r="CM128" s="697"/>
      <c r="CN128" s="697"/>
      <c r="CO128" s="697"/>
      <c r="CP128" s="697"/>
      <c r="CQ128" s="697"/>
      <c r="CR128" s="697"/>
      <c r="CS128" s="697"/>
      <c r="CT128" s="697"/>
      <c r="CU128" s="697"/>
      <c r="CV128" s="697"/>
      <c r="CW128" s="697"/>
      <c r="CX128" s="697"/>
      <c r="CY128" s="697"/>
      <c r="CZ128" s="697"/>
      <c r="DA128" s="697"/>
      <c r="DB128" s="697"/>
    </row>
    <row r="129" spans="1:106" hidden="1" outlineLevel="1" x14ac:dyDescent="0.2">
      <c r="A129" s="709">
        <f t="shared" si="33"/>
        <v>37377</v>
      </c>
      <c r="B129" s="709" t="str">
        <f t="shared" si="34"/>
        <v>2Q02</v>
      </c>
      <c r="C129" s="709" t="str">
        <f t="shared" si="35"/>
        <v>3Q02</v>
      </c>
      <c r="D129" s="710">
        <f t="shared" si="45"/>
        <v>37453</v>
      </c>
      <c r="E129" s="710">
        <f t="shared" si="45"/>
        <v>37393</v>
      </c>
      <c r="F129" s="712">
        <v>28.43</v>
      </c>
      <c r="G129" s="713">
        <f t="shared" si="36"/>
        <v>1.4900000000000011</v>
      </c>
      <c r="H129" s="713">
        <f t="shared" si="37"/>
        <v>1.4900000000000011</v>
      </c>
      <c r="I129" s="713">
        <f t="shared" si="46"/>
        <v>7.3499999999999819</v>
      </c>
      <c r="J129" s="713">
        <f t="shared" si="46"/>
        <v>7.3999999999999817</v>
      </c>
      <c r="K129" s="713">
        <f t="shared" si="40"/>
        <v>1.2500000000000009</v>
      </c>
      <c r="L129" s="697"/>
      <c r="M129" s="697"/>
      <c r="N129" s="697"/>
      <c r="O129" s="697"/>
      <c r="P129" s="697"/>
      <c r="Q129" s="697"/>
      <c r="R129" s="697"/>
      <c r="S129" s="697"/>
      <c r="T129" s="697"/>
      <c r="U129" s="697"/>
      <c r="V129" s="697"/>
      <c r="W129" s="697"/>
      <c r="X129" s="697"/>
      <c r="Y129" s="697"/>
      <c r="Z129" s="697"/>
      <c r="AA129" s="697"/>
      <c r="AB129" s="697"/>
      <c r="AC129" s="697"/>
      <c r="AD129" s="697"/>
      <c r="AE129" s="697"/>
      <c r="AF129" s="697"/>
      <c r="AG129" s="697"/>
      <c r="AH129" s="697"/>
      <c r="AI129" s="697"/>
      <c r="AJ129" s="697"/>
      <c r="AK129" s="697"/>
      <c r="AL129" s="697"/>
      <c r="AM129" s="697"/>
      <c r="AN129" s="697"/>
      <c r="AO129" s="697"/>
      <c r="AP129" s="697"/>
      <c r="AQ129" s="697"/>
      <c r="AR129" s="697"/>
      <c r="AS129" s="697"/>
      <c r="AT129" s="697"/>
      <c r="AU129" s="697"/>
      <c r="AV129" s="697"/>
      <c r="AW129" s="697"/>
      <c r="AX129" s="697"/>
      <c r="AY129" s="697"/>
      <c r="AZ129" s="697"/>
      <c r="BA129" s="697"/>
      <c r="BB129" s="697"/>
      <c r="BC129" s="697"/>
      <c r="BD129" s="697"/>
      <c r="BE129" s="697"/>
      <c r="BF129" s="697"/>
      <c r="BG129" s="697"/>
      <c r="BH129" s="697"/>
      <c r="BI129" s="697"/>
      <c r="BJ129" s="697"/>
      <c r="BK129" s="697"/>
      <c r="BL129" s="697"/>
      <c r="BM129" s="697"/>
      <c r="BN129" s="697"/>
      <c r="BO129" s="697"/>
      <c r="BP129" s="697"/>
      <c r="BQ129" s="697"/>
      <c r="BR129" s="697"/>
      <c r="BS129" s="697"/>
      <c r="BT129" s="697"/>
      <c r="BU129" s="697"/>
      <c r="BV129" s="697"/>
      <c r="BW129" s="697"/>
      <c r="BX129" s="697"/>
      <c r="BY129" s="697"/>
      <c r="BZ129" s="697"/>
      <c r="CA129" s="697"/>
      <c r="CB129" s="697"/>
      <c r="CC129" s="697"/>
      <c r="CD129" s="697"/>
      <c r="CE129" s="697"/>
      <c r="CF129" s="697"/>
      <c r="CG129" s="697"/>
      <c r="CH129" s="697"/>
      <c r="CI129" s="697"/>
      <c r="CJ129" s="697"/>
      <c r="CK129" s="697"/>
      <c r="CL129" s="697"/>
      <c r="CM129" s="697"/>
      <c r="CN129" s="697"/>
      <c r="CO129" s="697"/>
      <c r="CP129" s="697"/>
      <c r="CQ129" s="697"/>
      <c r="CR129" s="697"/>
      <c r="CS129" s="697"/>
      <c r="CT129" s="697"/>
      <c r="CU129" s="697"/>
      <c r="CV129" s="697"/>
      <c r="CW129" s="697"/>
      <c r="CX129" s="697"/>
      <c r="CY129" s="697"/>
      <c r="CZ129" s="697"/>
      <c r="DA129" s="697"/>
      <c r="DB129" s="697"/>
    </row>
    <row r="130" spans="1:106" hidden="1" outlineLevel="1" x14ac:dyDescent="0.2">
      <c r="A130" s="709">
        <f t="shared" si="33"/>
        <v>37377</v>
      </c>
      <c r="B130" s="709" t="str">
        <f t="shared" si="34"/>
        <v>2Q02</v>
      </c>
      <c r="C130" s="709" t="str">
        <f t="shared" si="35"/>
        <v>3Q02</v>
      </c>
      <c r="D130" s="710">
        <f t="shared" si="45"/>
        <v>37460</v>
      </c>
      <c r="E130" s="710">
        <f t="shared" si="45"/>
        <v>37400</v>
      </c>
      <c r="F130" s="712">
        <v>27.18</v>
      </c>
      <c r="G130" s="713">
        <f t="shared" si="36"/>
        <v>1.4900000000000011</v>
      </c>
      <c r="H130" s="713">
        <f t="shared" si="37"/>
        <v>1.4900000000000011</v>
      </c>
      <c r="I130" s="713">
        <f t="shared" si="46"/>
        <v>7.3999999999999817</v>
      </c>
      <c r="J130" s="713">
        <f t="shared" si="46"/>
        <v>7.4499999999999815</v>
      </c>
      <c r="K130" s="713">
        <f t="shared" si="40"/>
        <v>1.2600000000000009</v>
      </c>
      <c r="L130" s="697"/>
      <c r="M130" s="697"/>
      <c r="N130" s="697"/>
      <c r="O130" s="697"/>
      <c r="P130" s="697"/>
      <c r="Q130" s="697"/>
      <c r="R130" s="697"/>
      <c r="S130" s="697"/>
      <c r="T130" s="697"/>
      <c r="U130" s="697"/>
      <c r="V130" s="697"/>
      <c r="W130" s="697"/>
      <c r="X130" s="697"/>
      <c r="Y130" s="697"/>
      <c r="Z130" s="697"/>
      <c r="AA130" s="697"/>
      <c r="AB130" s="697"/>
      <c r="AC130" s="697"/>
      <c r="AD130" s="697"/>
      <c r="AE130" s="697"/>
      <c r="AF130" s="697"/>
      <c r="AG130" s="697"/>
      <c r="AH130" s="697"/>
      <c r="AI130" s="697"/>
      <c r="AJ130" s="697"/>
      <c r="AK130" s="697"/>
      <c r="AL130" s="697"/>
      <c r="AM130" s="697"/>
      <c r="AN130" s="697"/>
      <c r="AO130" s="697"/>
      <c r="AP130" s="697"/>
      <c r="AQ130" s="697"/>
      <c r="AR130" s="697"/>
      <c r="AS130" s="697"/>
      <c r="AT130" s="697"/>
      <c r="AU130" s="697"/>
      <c r="AV130" s="697"/>
      <c r="AW130" s="697"/>
      <c r="AX130" s="697"/>
      <c r="AY130" s="697"/>
      <c r="AZ130" s="697"/>
      <c r="BA130" s="697"/>
      <c r="BB130" s="697"/>
      <c r="BC130" s="697"/>
      <c r="BD130" s="697"/>
      <c r="BE130" s="697"/>
      <c r="BF130" s="697"/>
      <c r="BG130" s="697"/>
      <c r="BH130" s="697"/>
      <c r="BI130" s="697"/>
      <c r="BJ130" s="697"/>
      <c r="BK130" s="697"/>
      <c r="BL130" s="697"/>
      <c r="BM130" s="697"/>
      <c r="BN130" s="697"/>
      <c r="BO130" s="697"/>
      <c r="BP130" s="697"/>
      <c r="BQ130" s="697"/>
      <c r="BR130" s="697"/>
      <c r="BS130" s="697"/>
      <c r="BT130" s="697"/>
      <c r="BU130" s="697"/>
      <c r="BV130" s="697"/>
      <c r="BW130" s="697"/>
      <c r="BX130" s="697"/>
      <c r="BY130" s="697"/>
      <c r="BZ130" s="697"/>
      <c r="CA130" s="697"/>
      <c r="CB130" s="697"/>
      <c r="CC130" s="697"/>
      <c r="CD130" s="697"/>
      <c r="CE130" s="697"/>
      <c r="CF130" s="697"/>
      <c r="CG130" s="697"/>
      <c r="CH130" s="697"/>
      <c r="CI130" s="697"/>
      <c r="CJ130" s="697"/>
      <c r="CK130" s="697"/>
      <c r="CL130" s="697"/>
      <c r="CM130" s="697"/>
      <c r="CN130" s="697"/>
      <c r="CO130" s="697"/>
      <c r="CP130" s="697"/>
      <c r="CQ130" s="697"/>
      <c r="CR130" s="697"/>
      <c r="CS130" s="697"/>
      <c r="CT130" s="697"/>
      <c r="CU130" s="697"/>
      <c r="CV130" s="697"/>
      <c r="CW130" s="697"/>
      <c r="CX130" s="697"/>
      <c r="CY130" s="697"/>
      <c r="CZ130" s="697"/>
      <c r="DA130" s="697"/>
      <c r="DB130" s="697"/>
    </row>
    <row r="131" spans="1:106" hidden="1" outlineLevel="1" x14ac:dyDescent="0.2">
      <c r="A131" s="709">
        <f t="shared" si="33"/>
        <v>37377</v>
      </c>
      <c r="B131" s="709" t="str">
        <f t="shared" si="34"/>
        <v>2Q02</v>
      </c>
      <c r="C131" s="709" t="str">
        <f t="shared" si="35"/>
        <v>3Q02</v>
      </c>
      <c r="D131" s="710">
        <f t="shared" si="45"/>
        <v>37467</v>
      </c>
      <c r="E131" s="710">
        <f t="shared" si="45"/>
        <v>37407</v>
      </c>
      <c r="F131" s="712">
        <v>25.22</v>
      </c>
      <c r="G131" s="713">
        <f t="shared" si="36"/>
        <v>1.4900000000000011</v>
      </c>
      <c r="H131" s="713">
        <f t="shared" si="37"/>
        <v>1.4900000000000011</v>
      </c>
      <c r="I131" s="713">
        <f t="shared" si="46"/>
        <v>7.4499999999999815</v>
      </c>
      <c r="J131" s="713">
        <f t="shared" si="46"/>
        <v>7.4999999999999813</v>
      </c>
      <c r="K131" s="713">
        <f t="shared" si="40"/>
        <v>1.2700000000000009</v>
      </c>
      <c r="L131" s="697"/>
      <c r="M131" s="697"/>
      <c r="N131" s="697"/>
      <c r="O131" s="697"/>
      <c r="P131" s="697"/>
      <c r="Q131" s="697"/>
      <c r="R131" s="697"/>
      <c r="S131" s="697"/>
      <c r="T131" s="697"/>
      <c r="U131" s="697"/>
      <c r="V131" s="697"/>
      <c r="W131" s="697"/>
      <c r="X131" s="697"/>
      <c r="Y131" s="697"/>
      <c r="Z131" s="697"/>
      <c r="AA131" s="697"/>
      <c r="AB131" s="697"/>
      <c r="AC131" s="697"/>
      <c r="AD131" s="697"/>
      <c r="AE131" s="697"/>
      <c r="AF131" s="697"/>
      <c r="AG131" s="697"/>
      <c r="AH131" s="697"/>
      <c r="AI131" s="697"/>
      <c r="AJ131" s="697"/>
      <c r="AK131" s="697"/>
      <c r="AL131" s="697"/>
      <c r="AM131" s="697"/>
      <c r="AN131" s="697"/>
      <c r="AO131" s="697"/>
      <c r="AP131" s="697"/>
      <c r="AQ131" s="697"/>
      <c r="AR131" s="697"/>
      <c r="AS131" s="697"/>
      <c r="AT131" s="697"/>
      <c r="AU131" s="697"/>
      <c r="AV131" s="697"/>
      <c r="AW131" s="697"/>
      <c r="AX131" s="697"/>
      <c r="AY131" s="697"/>
      <c r="AZ131" s="697"/>
      <c r="BA131" s="697"/>
      <c r="BB131" s="697"/>
      <c r="BC131" s="697"/>
      <c r="BD131" s="697"/>
      <c r="BE131" s="697"/>
      <c r="BF131" s="697"/>
      <c r="BG131" s="697"/>
      <c r="BH131" s="697"/>
      <c r="BI131" s="697"/>
      <c r="BJ131" s="697"/>
      <c r="BK131" s="697"/>
      <c r="BL131" s="697"/>
      <c r="BM131" s="697"/>
      <c r="BN131" s="697"/>
      <c r="BO131" s="697"/>
      <c r="BP131" s="697"/>
      <c r="BQ131" s="697"/>
      <c r="BR131" s="697"/>
      <c r="BS131" s="697"/>
      <c r="BT131" s="697"/>
      <c r="BU131" s="697"/>
      <c r="BV131" s="697"/>
      <c r="BW131" s="697"/>
      <c r="BX131" s="697"/>
      <c r="BY131" s="697"/>
      <c r="BZ131" s="697"/>
      <c r="CA131" s="697"/>
      <c r="CB131" s="697"/>
      <c r="CC131" s="697"/>
      <c r="CD131" s="697"/>
      <c r="CE131" s="697"/>
      <c r="CF131" s="697"/>
      <c r="CG131" s="697"/>
      <c r="CH131" s="697"/>
      <c r="CI131" s="697"/>
      <c r="CJ131" s="697"/>
      <c r="CK131" s="697"/>
      <c r="CL131" s="697"/>
      <c r="CM131" s="697"/>
      <c r="CN131" s="697"/>
      <c r="CO131" s="697"/>
      <c r="CP131" s="697"/>
      <c r="CQ131" s="697"/>
      <c r="CR131" s="697"/>
      <c r="CS131" s="697"/>
      <c r="CT131" s="697"/>
      <c r="CU131" s="697"/>
      <c r="CV131" s="697"/>
      <c r="CW131" s="697"/>
      <c r="CX131" s="697"/>
      <c r="CY131" s="697"/>
      <c r="CZ131" s="697"/>
      <c r="DA131" s="697"/>
      <c r="DB131" s="697"/>
    </row>
    <row r="132" spans="1:106" hidden="1" outlineLevel="1" x14ac:dyDescent="0.2">
      <c r="A132" s="709">
        <f t="shared" ref="A132:A195" si="47">DATE(YEAR(E132),MONTH(E132),1)</f>
        <v>37408</v>
      </c>
      <c r="B132" s="709" t="str">
        <f t="shared" ref="B132:B195" si="48">VLOOKUP(MONTH(A132),$N$4:$O$16,2,FALSE) &amp; "Q" &amp; RIGHT(YEAR(A132),2)</f>
        <v>2Q02</v>
      </c>
      <c r="C132" s="709" t="str">
        <f t="shared" ref="C132:C195" si="49">VLOOKUP(MONTH(D132),$N$4:$O$16,2,FALSE) &amp; "Q" &amp; RIGHT(YEAR(D132),2)</f>
        <v>3Q02</v>
      </c>
      <c r="D132" s="710">
        <f t="shared" si="45"/>
        <v>37474</v>
      </c>
      <c r="E132" s="710">
        <f t="shared" si="45"/>
        <v>37414</v>
      </c>
      <c r="F132" s="712">
        <v>25.01</v>
      </c>
      <c r="G132" s="713">
        <f t="shared" ref="G132:G195" si="50">INDEX($I$4:$K$153,MATCH(F132,$I$4:$I$153,1),3)</f>
        <v>1.4900000000000011</v>
      </c>
      <c r="H132" s="713">
        <f t="shared" ref="H132:H195" si="51">G133</f>
        <v>1.4900000000000011</v>
      </c>
      <c r="I132" s="713">
        <f t="shared" si="46"/>
        <v>7.4999999999999813</v>
      </c>
      <c r="J132" s="713">
        <f t="shared" si="46"/>
        <v>7.5499999999999812</v>
      </c>
      <c r="K132" s="713">
        <f t="shared" si="40"/>
        <v>1.2800000000000009</v>
      </c>
      <c r="L132" s="697"/>
      <c r="M132" s="697"/>
      <c r="N132" s="697"/>
      <c r="O132" s="697"/>
      <c r="P132" s="697"/>
      <c r="Q132" s="697"/>
      <c r="R132" s="697"/>
      <c r="S132" s="697"/>
      <c r="T132" s="697"/>
      <c r="U132" s="697"/>
      <c r="V132" s="697"/>
      <c r="W132" s="697"/>
      <c r="X132" s="697"/>
      <c r="Y132" s="697"/>
      <c r="Z132" s="697"/>
      <c r="AA132" s="697"/>
      <c r="AB132" s="697"/>
      <c r="AC132" s="697"/>
      <c r="AD132" s="697"/>
      <c r="AE132" s="697"/>
      <c r="AF132" s="697"/>
      <c r="AG132" s="697"/>
      <c r="AH132" s="697"/>
      <c r="AI132" s="697"/>
      <c r="AJ132" s="697"/>
      <c r="AK132" s="697"/>
      <c r="AL132" s="697"/>
      <c r="AM132" s="697"/>
      <c r="AN132" s="697"/>
      <c r="AO132" s="697"/>
      <c r="AP132" s="697"/>
      <c r="AQ132" s="697"/>
      <c r="AR132" s="697"/>
      <c r="AS132" s="697"/>
      <c r="AT132" s="697"/>
      <c r="AU132" s="697"/>
      <c r="AV132" s="697"/>
      <c r="AW132" s="697"/>
      <c r="AX132" s="697"/>
      <c r="AY132" s="697"/>
      <c r="AZ132" s="697"/>
      <c r="BA132" s="697"/>
      <c r="BB132" s="697"/>
      <c r="BC132" s="697"/>
      <c r="BD132" s="697"/>
      <c r="BE132" s="697"/>
      <c r="BF132" s="697"/>
      <c r="BG132" s="697"/>
      <c r="BH132" s="697"/>
      <c r="BI132" s="697"/>
      <c r="BJ132" s="697"/>
      <c r="BK132" s="697"/>
      <c r="BL132" s="697"/>
      <c r="BM132" s="697"/>
      <c r="BN132" s="697"/>
      <c r="BO132" s="697"/>
      <c r="BP132" s="697"/>
      <c r="BQ132" s="697"/>
      <c r="BR132" s="697"/>
      <c r="BS132" s="697"/>
      <c r="BT132" s="697"/>
      <c r="BU132" s="697"/>
      <c r="BV132" s="697"/>
      <c r="BW132" s="697"/>
      <c r="BX132" s="697"/>
      <c r="BY132" s="697"/>
      <c r="BZ132" s="697"/>
      <c r="CA132" s="697"/>
      <c r="CB132" s="697"/>
      <c r="CC132" s="697"/>
      <c r="CD132" s="697"/>
      <c r="CE132" s="697"/>
      <c r="CF132" s="697"/>
      <c r="CG132" s="697"/>
      <c r="CH132" s="697"/>
      <c r="CI132" s="697"/>
      <c r="CJ132" s="697"/>
      <c r="CK132" s="697"/>
      <c r="CL132" s="697"/>
      <c r="CM132" s="697"/>
      <c r="CN132" s="697"/>
      <c r="CO132" s="697"/>
      <c r="CP132" s="697"/>
      <c r="CQ132" s="697"/>
      <c r="CR132" s="697"/>
      <c r="CS132" s="697"/>
      <c r="CT132" s="697"/>
      <c r="CU132" s="697"/>
      <c r="CV132" s="697"/>
      <c r="CW132" s="697"/>
      <c r="CX132" s="697"/>
      <c r="CY132" s="697"/>
      <c r="CZ132" s="697"/>
      <c r="DA132" s="697"/>
      <c r="DB132" s="697"/>
    </row>
    <row r="133" spans="1:106" hidden="1" outlineLevel="1" x14ac:dyDescent="0.2">
      <c r="A133" s="709">
        <f t="shared" si="47"/>
        <v>37408</v>
      </c>
      <c r="B133" s="709" t="str">
        <f t="shared" si="48"/>
        <v>2Q02</v>
      </c>
      <c r="C133" s="709" t="str">
        <f t="shared" si="49"/>
        <v>3Q02</v>
      </c>
      <c r="D133" s="710">
        <f t="shared" ref="D133:E148" si="52">D132+7</f>
        <v>37481</v>
      </c>
      <c r="E133" s="710">
        <f t="shared" si="52"/>
        <v>37421</v>
      </c>
      <c r="F133" s="712">
        <v>24.94</v>
      </c>
      <c r="G133" s="713">
        <f t="shared" si="50"/>
        <v>1.4900000000000011</v>
      </c>
      <c r="H133" s="713">
        <f t="shared" si="51"/>
        <v>1.4900000000000011</v>
      </c>
      <c r="I133" s="713">
        <f t="shared" si="46"/>
        <v>7.5499999999999812</v>
      </c>
      <c r="J133" s="713">
        <f t="shared" si="46"/>
        <v>7.599999999999981</v>
      </c>
      <c r="K133" s="713">
        <f t="shared" si="40"/>
        <v>1.2900000000000009</v>
      </c>
      <c r="L133" s="697"/>
      <c r="M133" s="697"/>
      <c r="N133" s="697"/>
      <c r="O133" s="697"/>
      <c r="P133" s="697"/>
      <c r="Q133" s="697"/>
      <c r="R133" s="697"/>
      <c r="S133" s="697"/>
      <c r="T133" s="697"/>
      <c r="U133" s="697"/>
      <c r="V133" s="697"/>
      <c r="W133" s="697"/>
      <c r="X133" s="697"/>
      <c r="Y133" s="697"/>
      <c r="Z133" s="697"/>
      <c r="AA133" s="697"/>
      <c r="AB133" s="697"/>
      <c r="AC133" s="697"/>
      <c r="AD133" s="697"/>
      <c r="AE133" s="697"/>
      <c r="AF133" s="697"/>
      <c r="AG133" s="697"/>
      <c r="AH133" s="697"/>
      <c r="AI133" s="697"/>
      <c r="AJ133" s="697"/>
      <c r="AK133" s="697"/>
      <c r="AL133" s="697"/>
      <c r="AM133" s="697"/>
      <c r="AN133" s="697"/>
      <c r="AO133" s="697"/>
      <c r="AP133" s="697"/>
      <c r="AQ133" s="697"/>
      <c r="AR133" s="697"/>
      <c r="AS133" s="697"/>
      <c r="AT133" s="697"/>
      <c r="AU133" s="697"/>
      <c r="AV133" s="697"/>
      <c r="AW133" s="697"/>
      <c r="AX133" s="697"/>
      <c r="AY133" s="697"/>
      <c r="AZ133" s="697"/>
      <c r="BA133" s="697"/>
      <c r="BB133" s="697"/>
      <c r="BC133" s="697"/>
      <c r="BD133" s="697"/>
      <c r="BE133" s="697"/>
      <c r="BF133" s="697"/>
      <c r="BG133" s="697"/>
      <c r="BH133" s="697"/>
      <c r="BI133" s="697"/>
      <c r="BJ133" s="697"/>
      <c r="BK133" s="697"/>
      <c r="BL133" s="697"/>
      <c r="BM133" s="697"/>
      <c r="BN133" s="697"/>
      <c r="BO133" s="697"/>
      <c r="BP133" s="697"/>
      <c r="BQ133" s="697"/>
      <c r="BR133" s="697"/>
      <c r="BS133" s="697"/>
      <c r="BT133" s="697"/>
      <c r="BU133" s="697"/>
      <c r="BV133" s="697"/>
      <c r="BW133" s="697"/>
      <c r="BX133" s="697"/>
      <c r="BY133" s="697"/>
      <c r="BZ133" s="697"/>
      <c r="CA133" s="697"/>
      <c r="CB133" s="697"/>
      <c r="CC133" s="697"/>
      <c r="CD133" s="697"/>
      <c r="CE133" s="697"/>
      <c r="CF133" s="697"/>
      <c r="CG133" s="697"/>
      <c r="CH133" s="697"/>
      <c r="CI133" s="697"/>
      <c r="CJ133" s="697"/>
      <c r="CK133" s="697"/>
      <c r="CL133" s="697"/>
      <c r="CM133" s="697"/>
      <c r="CN133" s="697"/>
      <c r="CO133" s="697"/>
      <c r="CP133" s="697"/>
      <c r="CQ133" s="697"/>
      <c r="CR133" s="697"/>
      <c r="CS133" s="697"/>
      <c r="CT133" s="697"/>
      <c r="CU133" s="697"/>
      <c r="CV133" s="697"/>
      <c r="CW133" s="697"/>
      <c r="CX133" s="697"/>
      <c r="CY133" s="697"/>
      <c r="CZ133" s="697"/>
      <c r="DA133" s="697"/>
      <c r="DB133" s="697"/>
    </row>
    <row r="134" spans="1:106" hidden="1" outlineLevel="1" x14ac:dyDescent="0.2">
      <c r="A134" s="709">
        <f t="shared" si="47"/>
        <v>37408</v>
      </c>
      <c r="B134" s="709" t="str">
        <f t="shared" si="48"/>
        <v>2Q02</v>
      </c>
      <c r="C134" s="709" t="str">
        <f t="shared" si="49"/>
        <v>3Q02</v>
      </c>
      <c r="D134" s="710">
        <f t="shared" si="52"/>
        <v>37488</v>
      </c>
      <c r="E134" s="710">
        <f t="shared" si="52"/>
        <v>37428</v>
      </c>
      <c r="F134" s="712">
        <v>25.61</v>
      </c>
      <c r="G134" s="713">
        <f t="shared" si="50"/>
        <v>1.4900000000000011</v>
      </c>
      <c r="H134" s="713">
        <f t="shared" si="51"/>
        <v>1.4900000000000011</v>
      </c>
      <c r="I134" s="713">
        <f t="shared" ref="I134:J149" si="53">I133+0.05</f>
        <v>7.599999999999981</v>
      </c>
      <c r="J134" s="713">
        <f t="shared" si="53"/>
        <v>7.6499999999999808</v>
      </c>
      <c r="K134" s="713">
        <f t="shared" ref="K134:K153" si="54">K133+0.01</f>
        <v>1.3000000000000009</v>
      </c>
      <c r="L134" s="697"/>
      <c r="M134" s="697"/>
      <c r="N134" s="697"/>
      <c r="O134" s="697"/>
      <c r="P134" s="697"/>
      <c r="Q134" s="697"/>
      <c r="R134" s="697"/>
      <c r="S134" s="697"/>
      <c r="T134" s="697"/>
      <c r="U134" s="697"/>
      <c r="V134" s="697"/>
      <c r="W134" s="697"/>
      <c r="X134" s="697"/>
      <c r="Y134" s="697"/>
      <c r="Z134" s="697"/>
      <c r="AA134" s="697"/>
      <c r="AB134" s="697"/>
      <c r="AC134" s="697"/>
      <c r="AD134" s="697"/>
      <c r="AE134" s="697"/>
      <c r="AF134" s="697"/>
      <c r="AG134" s="697"/>
      <c r="AH134" s="697"/>
      <c r="AI134" s="697"/>
      <c r="AJ134" s="697"/>
      <c r="AK134" s="697"/>
      <c r="AL134" s="697"/>
      <c r="AM134" s="697"/>
      <c r="AN134" s="697"/>
      <c r="AO134" s="697"/>
      <c r="AP134" s="697"/>
      <c r="AQ134" s="697"/>
      <c r="AR134" s="697"/>
      <c r="AS134" s="697"/>
      <c r="AT134" s="697"/>
      <c r="AU134" s="697"/>
      <c r="AV134" s="697"/>
      <c r="AW134" s="697"/>
      <c r="AX134" s="697"/>
      <c r="AY134" s="697"/>
      <c r="AZ134" s="697"/>
      <c r="BA134" s="697"/>
      <c r="BB134" s="697"/>
      <c r="BC134" s="697"/>
      <c r="BD134" s="697"/>
      <c r="BE134" s="697"/>
      <c r="BF134" s="697"/>
      <c r="BG134" s="697"/>
      <c r="BH134" s="697"/>
      <c r="BI134" s="697"/>
      <c r="BJ134" s="697"/>
      <c r="BK134" s="697"/>
      <c r="BL134" s="697"/>
      <c r="BM134" s="697"/>
      <c r="BN134" s="697"/>
      <c r="BO134" s="697"/>
      <c r="BP134" s="697"/>
      <c r="BQ134" s="697"/>
      <c r="BR134" s="697"/>
      <c r="BS134" s="697"/>
      <c r="BT134" s="697"/>
      <c r="BU134" s="697"/>
      <c r="BV134" s="697"/>
      <c r="BW134" s="697"/>
      <c r="BX134" s="697"/>
      <c r="BY134" s="697"/>
      <c r="BZ134" s="697"/>
      <c r="CA134" s="697"/>
      <c r="CB134" s="697"/>
      <c r="CC134" s="697"/>
      <c r="CD134" s="697"/>
      <c r="CE134" s="697"/>
      <c r="CF134" s="697"/>
      <c r="CG134" s="697"/>
      <c r="CH134" s="697"/>
      <c r="CI134" s="697"/>
      <c r="CJ134" s="697"/>
      <c r="CK134" s="697"/>
      <c r="CL134" s="697"/>
      <c r="CM134" s="697"/>
      <c r="CN134" s="697"/>
      <c r="CO134" s="697"/>
      <c r="CP134" s="697"/>
      <c r="CQ134" s="697"/>
      <c r="CR134" s="697"/>
      <c r="CS134" s="697"/>
      <c r="CT134" s="697"/>
      <c r="CU134" s="697"/>
      <c r="CV134" s="697"/>
      <c r="CW134" s="697"/>
      <c r="CX134" s="697"/>
      <c r="CY134" s="697"/>
      <c r="CZ134" s="697"/>
      <c r="DA134" s="697"/>
      <c r="DB134" s="697"/>
    </row>
    <row r="135" spans="1:106" hidden="1" outlineLevel="1" x14ac:dyDescent="0.2">
      <c r="A135" s="709">
        <f t="shared" si="47"/>
        <v>37408</v>
      </c>
      <c r="B135" s="709" t="str">
        <f t="shared" si="48"/>
        <v>2Q02</v>
      </c>
      <c r="C135" s="709" t="str">
        <f t="shared" si="49"/>
        <v>3Q02</v>
      </c>
      <c r="D135" s="710">
        <f t="shared" si="52"/>
        <v>37495</v>
      </c>
      <c r="E135" s="710">
        <f t="shared" si="52"/>
        <v>37435</v>
      </c>
      <c r="F135" s="712">
        <v>26.52</v>
      </c>
      <c r="G135" s="713">
        <f t="shared" si="50"/>
        <v>1.4900000000000011</v>
      </c>
      <c r="H135" s="713">
        <f t="shared" si="51"/>
        <v>1.4900000000000011</v>
      </c>
      <c r="I135" s="713">
        <f t="shared" si="53"/>
        <v>7.6499999999999808</v>
      </c>
      <c r="J135" s="713">
        <f t="shared" si="53"/>
        <v>7.6999999999999806</v>
      </c>
      <c r="K135" s="713">
        <f t="shared" si="54"/>
        <v>1.3100000000000009</v>
      </c>
      <c r="L135" s="697"/>
      <c r="M135" s="697"/>
      <c r="N135" s="697"/>
      <c r="O135" s="697"/>
      <c r="P135" s="697"/>
      <c r="Q135" s="697"/>
      <c r="R135" s="697"/>
      <c r="S135" s="697"/>
      <c r="T135" s="697"/>
      <c r="U135" s="697"/>
      <c r="V135" s="697"/>
      <c r="W135" s="697"/>
      <c r="X135" s="697"/>
      <c r="Y135" s="697"/>
      <c r="Z135" s="697"/>
      <c r="AA135" s="697"/>
      <c r="AB135" s="697"/>
      <c r="AC135" s="697"/>
      <c r="AD135" s="697"/>
      <c r="AE135" s="697"/>
      <c r="AF135" s="697"/>
      <c r="AG135" s="697"/>
      <c r="AH135" s="697"/>
      <c r="AI135" s="697"/>
      <c r="AJ135" s="697"/>
      <c r="AK135" s="697"/>
      <c r="AL135" s="697"/>
      <c r="AM135" s="697"/>
      <c r="AN135" s="697"/>
      <c r="AO135" s="697"/>
      <c r="AP135" s="697"/>
      <c r="AQ135" s="697"/>
      <c r="AR135" s="697"/>
      <c r="AS135" s="697"/>
      <c r="AT135" s="697"/>
      <c r="AU135" s="697"/>
      <c r="AV135" s="697"/>
      <c r="AW135" s="697"/>
      <c r="AX135" s="697"/>
      <c r="AY135" s="697"/>
      <c r="AZ135" s="697"/>
      <c r="BA135" s="697"/>
      <c r="BB135" s="697"/>
      <c r="BC135" s="697"/>
      <c r="BD135" s="697"/>
      <c r="BE135" s="697"/>
      <c r="BF135" s="697"/>
      <c r="BG135" s="697"/>
      <c r="BH135" s="697"/>
      <c r="BI135" s="697"/>
      <c r="BJ135" s="697"/>
      <c r="BK135" s="697"/>
      <c r="BL135" s="697"/>
      <c r="BM135" s="697"/>
      <c r="BN135" s="697"/>
      <c r="BO135" s="697"/>
      <c r="BP135" s="697"/>
      <c r="BQ135" s="697"/>
      <c r="BR135" s="697"/>
      <c r="BS135" s="697"/>
      <c r="BT135" s="697"/>
      <c r="BU135" s="697"/>
      <c r="BV135" s="697"/>
      <c r="BW135" s="697"/>
      <c r="BX135" s="697"/>
      <c r="BY135" s="697"/>
      <c r="BZ135" s="697"/>
      <c r="CA135" s="697"/>
      <c r="CB135" s="697"/>
      <c r="CC135" s="697"/>
      <c r="CD135" s="697"/>
      <c r="CE135" s="697"/>
      <c r="CF135" s="697"/>
      <c r="CG135" s="697"/>
      <c r="CH135" s="697"/>
      <c r="CI135" s="697"/>
      <c r="CJ135" s="697"/>
      <c r="CK135" s="697"/>
      <c r="CL135" s="697"/>
      <c r="CM135" s="697"/>
      <c r="CN135" s="697"/>
      <c r="CO135" s="697"/>
      <c r="CP135" s="697"/>
      <c r="CQ135" s="697"/>
      <c r="CR135" s="697"/>
      <c r="CS135" s="697"/>
      <c r="CT135" s="697"/>
      <c r="CU135" s="697"/>
      <c r="CV135" s="697"/>
      <c r="CW135" s="697"/>
      <c r="CX135" s="697"/>
      <c r="CY135" s="697"/>
      <c r="CZ135" s="697"/>
      <c r="DA135" s="697"/>
      <c r="DB135" s="697"/>
    </row>
    <row r="136" spans="1:106" hidden="1" outlineLevel="1" x14ac:dyDescent="0.2">
      <c r="A136" s="709">
        <f t="shared" si="47"/>
        <v>37438</v>
      </c>
      <c r="B136" s="709" t="str">
        <f t="shared" si="48"/>
        <v>3Q02</v>
      </c>
      <c r="C136" s="709" t="str">
        <f t="shared" si="49"/>
        <v>3Q02</v>
      </c>
      <c r="D136" s="710">
        <f t="shared" si="52"/>
        <v>37502</v>
      </c>
      <c r="E136" s="710">
        <f t="shared" si="52"/>
        <v>37442</v>
      </c>
      <c r="F136" s="712">
        <v>26.81</v>
      </c>
      <c r="G136" s="713">
        <f t="shared" si="50"/>
        <v>1.4900000000000011</v>
      </c>
      <c r="H136" s="713">
        <f t="shared" si="51"/>
        <v>1.4900000000000011</v>
      </c>
      <c r="I136" s="713">
        <f t="shared" si="53"/>
        <v>7.6999999999999806</v>
      </c>
      <c r="J136" s="713">
        <f t="shared" si="53"/>
        <v>7.7499999999999805</v>
      </c>
      <c r="K136" s="713">
        <f t="shared" si="54"/>
        <v>1.320000000000001</v>
      </c>
      <c r="L136" s="697"/>
      <c r="M136" s="697"/>
      <c r="N136" s="697"/>
      <c r="O136" s="697"/>
      <c r="P136" s="697"/>
      <c r="Q136" s="697"/>
      <c r="R136" s="697"/>
      <c r="S136" s="697"/>
      <c r="T136" s="697"/>
      <c r="U136" s="697"/>
      <c r="V136" s="697"/>
      <c r="W136" s="697"/>
      <c r="X136" s="697"/>
      <c r="Y136" s="697"/>
      <c r="Z136" s="697"/>
      <c r="AA136" s="697"/>
      <c r="AB136" s="697"/>
      <c r="AC136" s="697"/>
      <c r="AD136" s="697"/>
      <c r="AE136" s="697"/>
      <c r="AF136" s="697"/>
      <c r="AG136" s="697"/>
      <c r="AH136" s="697"/>
      <c r="AI136" s="697"/>
      <c r="AJ136" s="697"/>
      <c r="AK136" s="697"/>
      <c r="AL136" s="697"/>
      <c r="AM136" s="697"/>
      <c r="AN136" s="697"/>
      <c r="AO136" s="697"/>
      <c r="AP136" s="697"/>
      <c r="AQ136" s="697"/>
      <c r="AR136" s="697"/>
      <c r="AS136" s="697"/>
      <c r="AT136" s="697"/>
      <c r="AU136" s="697"/>
      <c r="AV136" s="697"/>
      <c r="AW136" s="697"/>
      <c r="AX136" s="697"/>
      <c r="AY136" s="697"/>
      <c r="AZ136" s="697"/>
      <c r="BA136" s="697"/>
      <c r="BB136" s="697"/>
      <c r="BC136" s="697"/>
      <c r="BD136" s="697"/>
      <c r="BE136" s="697"/>
      <c r="BF136" s="697"/>
      <c r="BG136" s="697"/>
      <c r="BH136" s="697"/>
      <c r="BI136" s="697"/>
      <c r="BJ136" s="697"/>
      <c r="BK136" s="697"/>
      <c r="BL136" s="697"/>
      <c r="BM136" s="697"/>
      <c r="BN136" s="697"/>
      <c r="BO136" s="697"/>
      <c r="BP136" s="697"/>
      <c r="BQ136" s="697"/>
      <c r="BR136" s="697"/>
      <c r="BS136" s="697"/>
      <c r="BT136" s="697"/>
      <c r="BU136" s="697"/>
      <c r="BV136" s="697"/>
      <c r="BW136" s="697"/>
      <c r="BX136" s="697"/>
      <c r="BY136" s="697"/>
      <c r="BZ136" s="697"/>
      <c r="CA136" s="697"/>
      <c r="CB136" s="697"/>
      <c r="CC136" s="697"/>
      <c r="CD136" s="697"/>
      <c r="CE136" s="697"/>
      <c r="CF136" s="697"/>
      <c r="CG136" s="697"/>
      <c r="CH136" s="697"/>
      <c r="CI136" s="697"/>
      <c r="CJ136" s="697"/>
      <c r="CK136" s="697"/>
      <c r="CL136" s="697"/>
      <c r="CM136" s="697"/>
      <c r="CN136" s="697"/>
      <c r="CO136" s="697"/>
      <c r="CP136" s="697"/>
      <c r="CQ136" s="697"/>
      <c r="CR136" s="697"/>
      <c r="CS136" s="697"/>
      <c r="CT136" s="697"/>
      <c r="CU136" s="697"/>
      <c r="CV136" s="697"/>
      <c r="CW136" s="697"/>
      <c r="CX136" s="697"/>
      <c r="CY136" s="697"/>
      <c r="CZ136" s="697"/>
      <c r="DA136" s="697"/>
      <c r="DB136" s="697"/>
    </row>
    <row r="137" spans="1:106" hidden="1" outlineLevel="1" x14ac:dyDescent="0.2">
      <c r="A137" s="709">
        <f t="shared" si="47"/>
        <v>37438</v>
      </c>
      <c r="B137" s="709" t="str">
        <f t="shared" si="48"/>
        <v>3Q02</v>
      </c>
      <c r="C137" s="709" t="str">
        <f t="shared" si="49"/>
        <v>3Q02</v>
      </c>
      <c r="D137" s="710">
        <f t="shared" si="52"/>
        <v>37509</v>
      </c>
      <c r="E137" s="710">
        <f t="shared" si="52"/>
        <v>37449</v>
      </c>
      <c r="F137" s="712">
        <v>26.7</v>
      </c>
      <c r="G137" s="713">
        <f t="shared" si="50"/>
        <v>1.4900000000000011</v>
      </c>
      <c r="H137" s="713">
        <f t="shared" si="51"/>
        <v>1.4900000000000011</v>
      </c>
      <c r="I137" s="713">
        <f t="shared" si="53"/>
        <v>7.7499999999999805</v>
      </c>
      <c r="J137" s="713">
        <f t="shared" si="53"/>
        <v>7.7999999999999803</v>
      </c>
      <c r="K137" s="713">
        <f t="shared" si="54"/>
        <v>1.330000000000001</v>
      </c>
      <c r="L137" s="697"/>
      <c r="M137" s="697"/>
      <c r="N137" s="697"/>
      <c r="O137" s="697"/>
      <c r="P137" s="697"/>
      <c r="Q137" s="697"/>
      <c r="R137" s="697"/>
      <c r="S137" s="697"/>
      <c r="T137" s="697"/>
      <c r="U137" s="697"/>
      <c r="V137" s="697"/>
      <c r="W137" s="697"/>
      <c r="X137" s="697"/>
      <c r="Y137" s="697"/>
      <c r="Z137" s="697"/>
      <c r="AA137" s="697"/>
      <c r="AB137" s="697"/>
      <c r="AC137" s="697"/>
      <c r="AD137" s="697"/>
      <c r="AE137" s="697"/>
      <c r="AF137" s="697"/>
      <c r="AG137" s="697"/>
      <c r="AH137" s="697"/>
      <c r="AI137" s="697"/>
      <c r="AJ137" s="697"/>
      <c r="AK137" s="697"/>
      <c r="AL137" s="697"/>
      <c r="AM137" s="697"/>
      <c r="AN137" s="697"/>
      <c r="AO137" s="697"/>
      <c r="AP137" s="697"/>
      <c r="AQ137" s="697"/>
      <c r="AR137" s="697"/>
      <c r="AS137" s="697"/>
      <c r="AT137" s="697"/>
      <c r="AU137" s="697"/>
      <c r="AV137" s="697"/>
      <c r="AW137" s="697"/>
      <c r="AX137" s="697"/>
      <c r="AY137" s="697"/>
      <c r="AZ137" s="697"/>
      <c r="BA137" s="697"/>
      <c r="BB137" s="697"/>
      <c r="BC137" s="697"/>
      <c r="BD137" s="697"/>
      <c r="BE137" s="697"/>
      <c r="BF137" s="697"/>
      <c r="BG137" s="697"/>
      <c r="BH137" s="697"/>
      <c r="BI137" s="697"/>
      <c r="BJ137" s="697"/>
      <c r="BK137" s="697"/>
      <c r="BL137" s="697"/>
      <c r="BM137" s="697"/>
      <c r="BN137" s="697"/>
      <c r="BO137" s="697"/>
      <c r="BP137" s="697"/>
      <c r="BQ137" s="697"/>
      <c r="BR137" s="697"/>
      <c r="BS137" s="697"/>
      <c r="BT137" s="697"/>
      <c r="BU137" s="697"/>
      <c r="BV137" s="697"/>
      <c r="BW137" s="697"/>
      <c r="BX137" s="697"/>
      <c r="BY137" s="697"/>
      <c r="BZ137" s="697"/>
      <c r="CA137" s="697"/>
      <c r="CB137" s="697"/>
      <c r="CC137" s="697"/>
      <c r="CD137" s="697"/>
      <c r="CE137" s="697"/>
      <c r="CF137" s="697"/>
      <c r="CG137" s="697"/>
      <c r="CH137" s="697"/>
      <c r="CI137" s="697"/>
      <c r="CJ137" s="697"/>
      <c r="CK137" s="697"/>
      <c r="CL137" s="697"/>
      <c r="CM137" s="697"/>
      <c r="CN137" s="697"/>
      <c r="CO137" s="697"/>
      <c r="CP137" s="697"/>
      <c r="CQ137" s="697"/>
      <c r="CR137" s="697"/>
      <c r="CS137" s="697"/>
      <c r="CT137" s="697"/>
      <c r="CU137" s="697"/>
      <c r="CV137" s="697"/>
      <c r="CW137" s="697"/>
      <c r="CX137" s="697"/>
      <c r="CY137" s="697"/>
      <c r="CZ137" s="697"/>
      <c r="DA137" s="697"/>
      <c r="DB137" s="697"/>
    </row>
    <row r="138" spans="1:106" hidden="1" outlineLevel="1" x14ac:dyDescent="0.2">
      <c r="A138" s="709">
        <f t="shared" si="47"/>
        <v>37438</v>
      </c>
      <c r="B138" s="709" t="str">
        <f t="shared" si="48"/>
        <v>3Q02</v>
      </c>
      <c r="C138" s="709" t="str">
        <f t="shared" si="49"/>
        <v>3Q02</v>
      </c>
      <c r="D138" s="710">
        <f t="shared" si="52"/>
        <v>37516</v>
      </c>
      <c r="E138" s="710">
        <f t="shared" si="52"/>
        <v>37456</v>
      </c>
      <c r="F138" s="712">
        <v>27.62</v>
      </c>
      <c r="G138" s="713">
        <f t="shared" si="50"/>
        <v>1.4900000000000011</v>
      </c>
      <c r="H138" s="713">
        <f t="shared" si="51"/>
        <v>1.4900000000000011</v>
      </c>
      <c r="I138" s="713">
        <f t="shared" si="53"/>
        <v>7.7999999999999803</v>
      </c>
      <c r="J138" s="713">
        <f t="shared" si="53"/>
        <v>7.8499999999999801</v>
      </c>
      <c r="K138" s="713">
        <f t="shared" si="54"/>
        <v>1.340000000000001</v>
      </c>
      <c r="L138" s="697"/>
      <c r="M138" s="697"/>
      <c r="N138" s="697"/>
      <c r="O138" s="697"/>
      <c r="P138" s="697"/>
      <c r="Q138" s="697"/>
      <c r="R138" s="697"/>
      <c r="S138" s="697"/>
      <c r="T138" s="697"/>
      <c r="U138" s="697"/>
      <c r="V138" s="697"/>
      <c r="W138" s="697"/>
      <c r="X138" s="697"/>
      <c r="Y138" s="697"/>
      <c r="Z138" s="697"/>
      <c r="AA138" s="697"/>
      <c r="AB138" s="697"/>
      <c r="AC138" s="697"/>
      <c r="AD138" s="697"/>
      <c r="AE138" s="697"/>
      <c r="AF138" s="697"/>
      <c r="AG138" s="697"/>
      <c r="AH138" s="697"/>
      <c r="AI138" s="697"/>
      <c r="AJ138" s="697"/>
      <c r="AK138" s="697"/>
      <c r="AL138" s="697"/>
      <c r="AM138" s="697"/>
      <c r="AN138" s="697"/>
      <c r="AO138" s="697"/>
      <c r="AP138" s="697"/>
      <c r="AQ138" s="697"/>
      <c r="AR138" s="697"/>
      <c r="AS138" s="697"/>
      <c r="AT138" s="697"/>
      <c r="AU138" s="697"/>
      <c r="AV138" s="697"/>
      <c r="AW138" s="697"/>
      <c r="AX138" s="697"/>
      <c r="AY138" s="697"/>
      <c r="AZ138" s="697"/>
      <c r="BA138" s="697"/>
      <c r="BB138" s="697"/>
      <c r="BC138" s="697"/>
      <c r="BD138" s="697"/>
      <c r="BE138" s="697"/>
      <c r="BF138" s="697"/>
      <c r="BG138" s="697"/>
      <c r="BH138" s="697"/>
      <c r="BI138" s="697"/>
      <c r="BJ138" s="697"/>
      <c r="BK138" s="697"/>
      <c r="BL138" s="697"/>
      <c r="BM138" s="697"/>
      <c r="BN138" s="697"/>
      <c r="BO138" s="697"/>
      <c r="BP138" s="697"/>
      <c r="BQ138" s="697"/>
      <c r="BR138" s="697"/>
      <c r="BS138" s="697"/>
      <c r="BT138" s="697"/>
      <c r="BU138" s="697"/>
      <c r="BV138" s="697"/>
      <c r="BW138" s="697"/>
      <c r="BX138" s="697"/>
      <c r="BY138" s="697"/>
      <c r="BZ138" s="697"/>
      <c r="CA138" s="697"/>
      <c r="CB138" s="697"/>
      <c r="CC138" s="697"/>
      <c r="CD138" s="697"/>
      <c r="CE138" s="697"/>
      <c r="CF138" s="697"/>
      <c r="CG138" s="697"/>
      <c r="CH138" s="697"/>
      <c r="CI138" s="697"/>
      <c r="CJ138" s="697"/>
      <c r="CK138" s="697"/>
      <c r="CL138" s="697"/>
      <c r="CM138" s="697"/>
      <c r="CN138" s="697"/>
      <c r="CO138" s="697"/>
      <c r="CP138" s="697"/>
      <c r="CQ138" s="697"/>
      <c r="CR138" s="697"/>
      <c r="CS138" s="697"/>
      <c r="CT138" s="697"/>
      <c r="CU138" s="697"/>
      <c r="CV138" s="697"/>
      <c r="CW138" s="697"/>
      <c r="CX138" s="697"/>
      <c r="CY138" s="697"/>
      <c r="CZ138" s="697"/>
      <c r="DA138" s="697"/>
      <c r="DB138" s="697"/>
    </row>
    <row r="139" spans="1:106" hidden="1" outlineLevel="1" x14ac:dyDescent="0.2">
      <c r="A139" s="709">
        <f t="shared" si="47"/>
        <v>37438</v>
      </c>
      <c r="B139" s="709" t="str">
        <f t="shared" si="48"/>
        <v>3Q02</v>
      </c>
      <c r="C139" s="709" t="str">
        <f t="shared" si="49"/>
        <v>3Q02</v>
      </c>
      <c r="D139" s="710">
        <f t="shared" si="52"/>
        <v>37523</v>
      </c>
      <c r="E139" s="710">
        <f t="shared" si="52"/>
        <v>37463</v>
      </c>
      <c r="F139" s="712">
        <v>26.64</v>
      </c>
      <c r="G139" s="713">
        <f t="shared" si="50"/>
        <v>1.4900000000000011</v>
      </c>
      <c r="H139" s="713">
        <f t="shared" si="51"/>
        <v>1.4900000000000011</v>
      </c>
      <c r="I139" s="713">
        <f t="shared" si="53"/>
        <v>7.8499999999999801</v>
      </c>
      <c r="J139" s="713">
        <f t="shared" si="53"/>
        <v>7.8999999999999799</v>
      </c>
      <c r="K139" s="713">
        <f t="shared" si="54"/>
        <v>1.350000000000001</v>
      </c>
      <c r="L139" s="697"/>
      <c r="M139" s="697"/>
      <c r="N139" s="697"/>
      <c r="O139" s="697"/>
      <c r="P139" s="697"/>
      <c r="Q139" s="697"/>
      <c r="R139" s="697"/>
      <c r="S139" s="697"/>
      <c r="T139" s="697"/>
      <c r="U139" s="697"/>
      <c r="V139" s="697"/>
      <c r="W139" s="697"/>
      <c r="X139" s="697"/>
      <c r="Y139" s="697"/>
      <c r="Z139" s="697"/>
      <c r="AA139" s="697"/>
      <c r="AB139" s="697"/>
      <c r="AC139" s="697"/>
      <c r="AD139" s="697"/>
      <c r="AE139" s="697"/>
      <c r="AF139" s="697"/>
      <c r="AG139" s="697"/>
      <c r="AH139" s="697"/>
      <c r="AI139" s="697"/>
      <c r="AJ139" s="697"/>
      <c r="AK139" s="697"/>
      <c r="AL139" s="697"/>
      <c r="AM139" s="697"/>
      <c r="AN139" s="697"/>
      <c r="AO139" s="697"/>
      <c r="AP139" s="697"/>
      <c r="AQ139" s="697"/>
      <c r="AR139" s="697"/>
      <c r="AS139" s="697"/>
      <c r="AT139" s="697"/>
      <c r="AU139" s="697"/>
      <c r="AV139" s="697"/>
      <c r="AW139" s="697"/>
      <c r="AX139" s="697"/>
      <c r="AY139" s="697"/>
      <c r="AZ139" s="697"/>
      <c r="BA139" s="697"/>
      <c r="BB139" s="697"/>
      <c r="BC139" s="697"/>
      <c r="BD139" s="697"/>
      <c r="BE139" s="697"/>
      <c r="BF139" s="697"/>
      <c r="BG139" s="697"/>
      <c r="BH139" s="697"/>
      <c r="BI139" s="697"/>
      <c r="BJ139" s="697"/>
      <c r="BK139" s="697"/>
      <c r="BL139" s="697"/>
      <c r="BM139" s="697"/>
      <c r="BN139" s="697"/>
      <c r="BO139" s="697"/>
      <c r="BP139" s="697"/>
      <c r="BQ139" s="697"/>
      <c r="BR139" s="697"/>
      <c r="BS139" s="697"/>
      <c r="BT139" s="697"/>
      <c r="BU139" s="697"/>
      <c r="BV139" s="697"/>
      <c r="BW139" s="697"/>
      <c r="BX139" s="697"/>
      <c r="BY139" s="697"/>
      <c r="BZ139" s="697"/>
      <c r="CA139" s="697"/>
      <c r="CB139" s="697"/>
      <c r="CC139" s="697"/>
      <c r="CD139" s="697"/>
      <c r="CE139" s="697"/>
      <c r="CF139" s="697"/>
      <c r="CG139" s="697"/>
      <c r="CH139" s="697"/>
      <c r="CI139" s="697"/>
      <c r="CJ139" s="697"/>
      <c r="CK139" s="697"/>
      <c r="CL139" s="697"/>
      <c r="CM139" s="697"/>
      <c r="CN139" s="697"/>
      <c r="CO139" s="697"/>
      <c r="CP139" s="697"/>
      <c r="CQ139" s="697"/>
      <c r="CR139" s="697"/>
      <c r="CS139" s="697"/>
      <c r="CT139" s="697"/>
      <c r="CU139" s="697"/>
      <c r="CV139" s="697"/>
      <c r="CW139" s="697"/>
      <c r="CX139" s="697"/>
      <c r="CY139" s="697"/>
      <c r="CZ139" s="697"/>
      <c r="DA139" s="697"/>
      <c r="DB139" s="697"/>
    </row>
    <row r="140" spans="1:106" hidden="1" outlineLevel="1" x14ac:dyDescent="0.2">
      <c r="A140" s="709">
        <f t="shared" si="47"/>
        <v>37469</v>
      </c>
      <c r="B140" s="709" t="str">
        <f t="shared" si="48"/>
        <v>3Q02</v>
      </c>
      <c r="C140" s="709" t="str">
        <f t="shared" si="49"/>
        <v>4Q02</v>
      </c>
      <c r="D140" s="710">
        <f t="shared" si="52"/>
        <v>37530</v>
      </c>
      <c r="E140" s="710">
        <f t="shared" si="52"/>
        <v>37470</v>
      </c>
      <c r="F140" s="712">
        <v>26.87</v>
      </c>
      <c r="G140" s="713">
        <f t="shared" si="50"/>
        <v>1.4900000000000011</v>
      </c>
      <c r="H140" s="713">
        <f t="shared" si="51"/>
        <v>1.4900000000000011</v>
      </c>
      <c r="I140" s="713">
        <f t="shared" si="53"/>
        <v>7.8999999999999799</v>
      </c>
      <c r="J140" s="713">
        <f t="shared" si="53"/>
        <v>7.9499999999999797</v>
      </c>
      <c r="K140" s="713">
        <f t="shared" si="54"/>
        <v>1.360000000000001</v>
      </c>
      <c r="L140" s="697"/>
      <c r="M140" s="697"/>
      <c r="N140" s="697"/>
      <c r="O140" s="697"/>
      <c r="P140" s="697"/>
      <c r="Q140" s="697"/>
      <c r="R140" s="697"/>
      <c r="S140" s="697"/>
      <c r="T140" s="697"/>
      <c r="U140" s="697"/>
      <c r="V140" s="697"/>
      <c r="W140" s="697"/>
      <c r="X140" s="697"/>
      <c r="Y140" s="697"/>
      <c r="Z140" s="697"/>
      <c r="AA140" s="697"/>
      <c r="AB140" s="697"/>
      <c r="AC140" s="697"/>
      <c r="AD140" s="697"/>
      <c r="AE140" s="697"/>
      <c r="AF140" s="697"/>
      <c r="AG140" s="697"/>
      <c r="AH140" s="697"/>
      <c r="AI140" s="697"/>
      <c r="AJ140" s="697"/>
      <c r="AK140" s="697"/>
      <c r="AL140" s="697"/>
      <c r="AM140" s="697"/>
      <c r="AN140" s="697"/>
      <c r="AO140" s="697"/>
      <c r="AP140" s="697"/>
      <c r="AQ140" s="697"/>
      <c r="AR140" s="697"/>
      <c r="AS140" s="697"/>
      <c r="AT140" s="697"/>
      <c r="AU140" s="697"/>
      <c r="AV140" s="697"/>
      <c r="AW140" s="697"/>
      <c r="AX140" s="697"/>
      <c r="AY140" s="697"/>
      <c r="AZ140" s="697"/>
      <c r="BA140" s="697"/>
      <c r="BB140" s="697"/>
      <c r="BC140" s="697"/>
      <c r="BD140" s="697"/>
      <c r="BE140" s="697"/>
      <c r="BF140" s="697"/>
      <c r="BG140" s="697"/>
      <c r="BH140" s="697"/>
      <c r="BI140" s="697"/>
      <c r="BJ140" s="697"/>
      <c r="BK140" s="697"/>
      <c r="BL140" s="697"/>
      <c r="BM140" s="697"/>
      <c r="BN140" s="697"/>
      <c r="BO140" s="697"/>
      <c r="BP140" s="697"/>
      <c r="BQ140" s="697"/>
      <c r="BR140" s="697"/>
      <c r="BS140" s="697"/>
      <c r="BT140" s="697"/>
      <c r="BU140" s="697"/>
      <c r="BV140" s="697"/>
      <c r="BW140" s="697"/>
      <c r="BX140" s="697"/>
      <c r="BY140" s="697"/>
      <c r="BZ140" s="697"/>
      <c r="CA140" s="697"/>
      <c r="CB140" s="697"/>
      <c r="CC140" s="697"/>
      <c r="CD140" s="697"/>
      <c r="CE140" s="697"/>
      <c r="CF140" s="697"/>
      <c r="CG140" s="697"/>
      <c r="CH140" s="697"/>
      <c r="CI140" s="697"/>
      <c r="CJ140" s="697"/>
      <c r="CK140" s="697"/>
      <c r="CL140" s="697"/>
      <c r="CM140" s="697"/>
      <c r="CN140" s="697"/>
      <c r="CO140" s="697"/>
      <c r="CP140" s="697"/>
      <c r="CQ140" s="697"/>
      <c r="CR140" s="697"/>
      <c r="CS140" s="697"/>
      <c r="CT140" s="697"/>
      <c r="CU140" s="697"/>
      <c r="CV140" s="697"/>
      <c r="CW140" s="697"/>
      <c r="CX140" s="697"/>
      <c r="CY140" s="697"/>
      <c r="CZ140" s="697"/>
      <c r="DA140" s="697"/>
      <c r="DB140" s="697"/>
    </row>
    <row r="141" spans="1:106" hidden="1" outlineLevel="1" x14ac:dyDescent="0.2">
      <c r="A141" s="709">
        <f t="shared" si="47"/>
        <v>37469</v>
      </c>
      <c r="B141" s="709" t="str">
        <f t="shared" si="48"/>
        <v>3Q02</v>
      </c>
      <c r="C141" s="709" t="str">
        <f t="shared" si="49"/>
        <v>4Q02</v>
      </c>
      <c r="D141" s="710">
        <f t="shared" si="52"/>
        <v>37537</v>
      </c>
      <c r="E141" s="710">
        <f t="shared" si="52"/>
        <v>37477</v>
      </c>
      <c r="F141" s="712">
        <v>26.77</v>
      </c>
      <c r="G141" s="713">
        <f t="shared" si="50"/>
        <v>1.4900000000000011</v>
      </c>
      <c r="H141" s="713">
        <f t="shared" si="51"/>
        <v>1.4900000000000011</v>
      </c>
      <c r="I141" s="713">
        <f t="shared" si="53"/>
        <v>7.9499999999999797</v>
      </c>
      <c r="J141" s="713">
        <f t="shared" si="53"/>
        <v>7.9999999999999796</v>
      </c>
      <c r="K141" s="713">
        <f t="shared" si="54"/>
        <v>1.370000000000001</v>
      </c>
      <c r="L141" s="697"/>
      <c r="M141" s="697"/>
      <c r="N141" s="697"/>
      <c r="O141" s="697"/>
      <c r="P141" s="697"/>
      <c r="Q141" s="697"/>
      <c r="R141" s="697"/>
      <c r="S141" s="697"/>
      <c r="T141" s="697"/>
      <c r="U141" s="697"/>
      <c r="V141" s="697"/>
      <c r="W141" s="697"/>
      <c r="X141" s="697"/>
      <c r="Y141" s="697"/>
      <c r="Z141" s="697"/>
      <c r="AA141" s="697"/>
      <c r="AB141" s="697"/>
      <c r="AC141" s="697"/>
      <c r="AD141" s="697"/>
      <c r="AE141" s="697"/>
      <c r="AF141" s="697"/>
      <c r="AG141" s="697"/>
      <c r="AH141" s="697"/>
      <c r="AI141" s="697"/>
      <c r="AJ141" s="697"/>
      <c r="AK141" s="697"/>
      <c r="AL141" s="697"/>
      <c r="AM141" s="697"/>
      <c r="AN141" s="697"/>
      <c r="AO141" s="697"/>
      <c r="AP141" s="697"/>
      <c r="AQ141" s="697"/>
      <c r="AR141" s="697"/>
      <c r="AS141" s="697"/>
      <c r="AT141" s="697"/>
      <c r="AU141" s="697"/>
      <c r="AV141" s="697"/>
      <c r="AW141" s="697"/>
      <c r="AX141" s="697"/>
      <c r="AY141" s="697"/>
      <c r="AZ141" s="697"/>
      <c r="BA141" s="697"/>
      <c r="BB141" s="697"/>
      <c r="BC141" s="697"/>
      <c r="BD141" s="697"/>
      <c r="BE141" s="697"/>
      <c r="BF141" s="697"/>
      <c r="BG141" s="697"/>
      <c r="BH141" s="697"/>
      <c r="BI141" s="697"/>
      <c r="BJ141" s="697"/>
      <c r="BK141" s="697"/>
      <c r="BL141" s="697"/>
      <c r="BM141" s="697"/>
      <c r="BN141" s="697"/>
      <c r="BO141" s="697"/>
      <c r="BP141" s="697"/>
      <c r="BQ141" s="697"/>
      <c r="BR141" s="697"/>
      <c r="BS141" s="697"/>
      <c r="BT141" s="697"/>
      <c r="BU141" s="697"/>
      <c r="BV141" s="697"/>
      <c r="BW141" s="697"/>
      <c r="BX141" s="697"/>
      <c r="BY141" s="697"/>
      <c r="BZ141" s="697"/>
      <c r="CA141" s="697"/>
      <c r="CB141" s="697"/>
      <c r="CC141" s="697"/>
      <c r="CD141" s="697"/>
      <c r="CE141" s="697"/>
      <c r="CF141" s="697"/>
      <c r="CG141" s="697"/>
      <c r="CH141" s="697"/>
      <c r="CI141" s="697"/>
      <c r="CJ141" s="697"/>
      <c r="CK141" s="697"/>
      <c r="CL141" s="697"/>
      <c r="CM141" s="697"/>
      <c r="CN141" s="697"/>
      <c r="CO141" s="697"/>
      <c r="CP141" s="697"/>
      <c r="CQ141" s="697"/>
      <c r="CR141" s="697"/>
      <c r="CS141" s="697"/>
      <c r="CT141" s="697"/>
      <c r="CU141" s="697"/>
      <c r="CV141" s="697"/>
      <c r="CW141" s="697"/>
      <c r="CX141" s="697"/>
      <c r="CY141" s="697"/>
      <c r="CZ141" s="697"/>
      <c r="DA141" s="697"/>
      <c r="DB141" s="697"/>
    </row>
    <row r="142" spans="1:106" hidden="1" outlineLevel="1" x14ac:dyDescent="0.2">
      <c r="A142" s="709">
        <f t="shared" si="47"/>
        <v>37469</v>
      </c>
      <c r="B142" s="709" t="str">
        <f t="shared" si="48"/>
        <v>3Q02</v>
      </c>
      <c r="C142" s="709" t="str">
        <f t="shared" si="49"/>
        <v>4Q02</v>
      </c>
      <c r="D142" s="710">
        <f t="shared" si="52"/>
        <v>37544</v>
      </c>
      <c r="E142" s="710">
        <f t="shared" si="52"/>
        <v>37484</v>
      </c>
      <c r="F142" s="712">
        <v>28.52</v>
      </c>
      <c r="G142" s="713">
        <f t="shared" si="50"/>
        <v>1.4900000000000011</v>
      </c>
      <c r="H142" s="713">
        <f t="shared" si="51"/>
        <v>1.4900000000000011</v>
      </c>
      <c r="I142" s="713">
        <f t="shared" si="53"/>
        <v>7.9999999999999796</v>
      </c>
      <c r="J142" s="713">
        <f t="shared" si="53"/>
        <v>8.0499999999999794</v>
      </c>
      <c r="K142" s="713">
        <f t="shared" si="54"/>
        <v>1.380000000000001</v>
      </c>
      <c r="L142" s="697"/>
      <c r="M142" s="697"/>
      <c r="N142" s="697"/>
      <c r="O142" s="697"/>
      <c r="P142" s="697"/>
      <c r="Q142" s="697"/>
      <c r="R142" s="697"/>
      <c r="S142" s="697"/>
      <c r="T142" s="697"/>
      <c r="U142" s="697"/>
      <c r="V142" s="697"/>
      <c r="W142" s="697"/>
      <c r="X142" s="697"/>
      <c r="Y142" s="697"/>
      <c r="Z142" s="697"/>
      <c r="AA142" s="697"/>
      <c r="AB142" s="697"/>
      <c r="AC142" s="697"/>
      <c r="AD142" s="697"/>
      <c r="AE142" s="697"/>
      <c r="AF142" s="697"/>
      <c r="AG142" s="697"/>
      <c r="AH142" s="697"/>
      <c r="AI142" s="697"/>
      <c r="AJ142" s="697"/>
      <c r="AK142" s="697"/>
      <c r="AL142" s="697"/>
      <c r="AM142" s="697"/>
      <c r="AN142" s="697"/>
      <c r="AO142" s="697"/>
      <c r="AP142" s="697"/>
      <c r="AQ142" s="697"/>
      <c r="AR142" s="697"/>
      <c r="AS142" s="697"/>
      <c r="AT142" s="697"/>
      <c r="AU142" s="697"/>
      <c r="AV142" s="697"/>
      <c r="AW142" s="697"/>
      <c r="AX142" s="697"/>
      <c r="AY142" s="697"/>
      <c r="AZ142" s="697"/>
      <c r="BA142" s="697"/>
      <c r="BB142" s="697"/>
      <c r="BC142" s="697"/>
      <c r="BD142" s="697"/>
      <c r="BE142" s="697"/>
      <c r="BF142" s="697"/>
      <c r="BG142" s="697"/>
      <c r="BH142" s="697"/>
      <c r="BI142" s="697"/>
      <c r="BJ142" s="697"/>
      <c r="BK142" s="697"/>
      <c r="BL142" s="697"/>
      <c r="BM142" s="697"/>
      <c r="BN142" s="697"/>
      <c r="BO142" s="697"/>
      <c r="BP142" s="697"/>
      <c r="BQ142" s="697"/>
      <c r="BR142" s="697"/>
      <c r="BS142" s="697"/>
      <c r="BT142" s="697"/>
      <c r="BU142" s="697"/>
      <c r="BV142" s="697"/>
      <c r="BW142" s="697"/>
      <c r="BX142" s="697"/>
      <c r="BY142" s="697"/>
      <c r="BZ142" s="697"/>
      <c r="CA142" s="697"/>
      <c r="CB142" s="697"/>
      <c r="CC142" s="697"/>
      <c r="CD142" s="697"/>
      <c r="CE142" s="697"/>
      <c r="CF142" s="697"/>
      <c r="CG142" s="697"/>
      <c r="CH142" s="697"/>
      <c r="CI142" s="697"/>
      <c r="CJ142" s="697"/>
      <c r="CK142" s="697"/>
      <c r="CL142" s="697"/>
      <c r="CM142" s="697"/>
      <c r="CN142" s="697"/>
      <c r="CO142" s="697"/>
      <c r="CP142" s="697"/>
      <c r="CQ142" s="697"/>
      <c r="CR142" s="697"/>
      <c r="CS142" s="697"/>
      <c r="CT142" s="697"/>
      <c r="CU142" s="697"/>
      <c r="CV142" s="697"/>
      <c r="CW142" s="697"/>
      <c r="CX142" s="697"/>
      <c r="CY142" s="697"/>
      <c r="CZ142" s="697"/>
      <c r="DA142" s="697"/>
      <c r="DB142" s="697"/>
    </row>
    <row r="143" spans="1:106" hidden="1" outlineLevel="1" x14ac:dyDescent="0.2">
      <c r="A143" s="709">
        <f t="shared" si="47"/>
        <v>37469</v>
      </c>
      <c r="B143" s="709" t="str">
        <f t="shared" si="48"/>
        <v>3Q02</v>
      </c>
      <c r="C143" s="709" t="str">
        <f t="shared" si="49"/>
        <v>4Q02</v>
      </c>
      <c r="D143" s="710">
        <f t="shared" si="52"/>
        <v>37551</v>
      </c>
      <c r="E143" s="710">
        <f t="shared" si="52"/>
        <v>37491</v>
      </c>
      <c r="F143" s="712">
        <v>30.09</v>
      </c>
      <c r="G143" s="713">
        <f t="shared" si="50"/>
        <v>1.4900000000000011</v>
      </c>
      <c r="H143" s="713">
        <f t="shared" si="51"/>
        <v>1.4900000000000011</v>
      </c>
      <c r="I143" s="713">
        <f t="shared" si="53"/>
        <v>8.0499999999999794</v>
      </c>
      <c r="J143" s="713">
        <f t="shared" si="53"/>
        <v>8.0999999999999801</v>
      </c>
      <c r="K143" s="713">
        <f t="shared" si="54"/>
        <v>1.390000000000001</v>
      </c>
      <c r="L143" s="697"/>
      <c r="M143" s="697"/>
      <c r="N143" s="697"/>
      <c r="O143" s="697"/>
      <c r="P143" s="697"/>
      <c r="Q143" s="697"/>
      <c r="R143" s="697"/>
      <c r="S143" s="697"/>
      <c r="T143" s="697"/>
      <c r="U143" s="697"/>
      <c r="V143" s="697"/>
      <c r="W143" s="697"/>
      <c r="X143" s="697"/>
      <c r="Y143" s="697"/>
      <c r="Z143" s="697"/>
      <c r="AA143" s="697"/>
      <c r="AB143" s="697"/>
      <c r="AC143" s="697"/>
      <c r="AD143" s="697"/>
      <c r="AE143" s="697"/>
      <c r="AF143" s="697"/>
      <c r="AG143" s="697"/>
      <c r="AH143" s="697"/>
      <c r="AI143" s="697"/>
      <c r="AJ143" s="697"/>
      <c r="AK143" s="697"/>
      <c r="AL143" s="697"/>
      <c r="AM143" s="697"/>
      <c r="AN143" s="697"/>
      <c r="AO143" s="697"/>
      <c r="AP143" s="697"/>
      <c r="AQ143" s="697"/>
      <c r="AR143" s="697"/>
      <c r="AS143" s="697"/>
      <c r="AT143" s="697"/>
      <c r="AU143" s="697"/>
      <c r="AV143" s="697"/>
      <c r="AW143" s="697"/>
      <c r="AX143" s="697"/>
      <c r="AY143" s="697"/>
      <c r="AZ143" s="697"/>
      <c r="BA143" s="697"/>
      <c r="BB143" s="697"/>
      <c r="BC143" s="697"/>
      <c r="BD143" s="697"/>
      <c r="BE143" s="697"/>
      <c r="BF143" s="697"/>
      <c r="BG143" s="697"/>
      <c r="BH143" s="697"/>
      <c r="BI143" s="697"/>
      <c r="BJ143" s="697"/>
      <c r="BK143" s="697"/>
      <c r="BL143" s="697"/>
      <c r="BM143" s="697"/>
      <c r="BN143" s="697"/>
      <c r="BO143" s="697"/>
      <c r="BP143" s="697"/>
      <c r="BQ143" s="697"/>
      <c r="BR143" s="697"/>
      <c r="BS143" s="697"/>
      <c r="BT143" s="697"/>
      <c r="BU143" s="697"/>
      <c r="BV143" s="697"/>
      <c r="BW143" s="697"/>
      <c r="BX143" s="697"/>
      <c r="BY143" s="697"/>
      <c r="BZ143" s="697"/>
      <c r="CA143" s="697"/>
      <c r="CB143" s="697"/>
      <c r="CC143" s="697"/>
      <c r="CD143" s="697"/>
      <c r="CE143" s="697"/>
      <c r="CF143" s="697"/>
      <c r="CG143" s="697"/>
      <c r="CH143" s="697"/>
      <c r="CI143" s="697"/>
      <c r="CJ143" s="697"/>
      <c r="CK143" s="697"/>
      <c r="CL143" s="697"/>
      <c r="CM143" s="697"/>
      <c r="CN143" s="697"/>
      <c r="CO143" s="697"/>
      <c r="CP143" s="697"/>
      <c r="CQ143" s="697"/>
      <c r="CR143" s="697"/>
      <c r="CS143" s="697"/>
      <c r="CT143" s="697"/>
      <c r="CU143" s="697"/>
      <c r="CV143" s="697"/>
      <c r="CW143" s="697"/>
      <c r="CX143" s="697"/>
      <c r="CY143" s="697"/>
      <c r="CZ143" s="697"/>
      <c r="DA143" s="697"/>
      <c r="DB143" s="697"/>
    </row>
    <row r="144" spans="1:106" hidden="1" outlineLevel="1" x14ac:dyDescent="0.2">
      <c r="A144" s="709">
        <f t="shared" si="47"/>
        <v>37469</v>
      </c>
      <c r="B144" s="709" t="str">
        <f t="shared" si="48"/>
        <v>3Q02</v>
      </c>
      <c r="C144" s="709" t="str">
        <f t="shared" si="49"/>
        <v>4Q02</v>
      </c>
      <c r="D144" s="710">
        <f t="shared" si="52"/>
        <v>37558</v>
      </c>
      <c r="E144" s="710">
        <f t="shared" si="52"/>
        <v>37498</v>
      </c>
      <c r="F144" s="712">
        <v>28.84</v>
      </c>
      <c r="G144" s="713">
        <f t="shared" si="50"/>
        <v>1.4900000000000011</v>
      </c>
      <c r="H144" s="713">
        <f t="shared" si="51"/>
        <v>1.4900000000000011</v>
      </c>
      <c r="I144" s="713">
        <f t="shared" si="53"/>
        <v>8.0999999999999801</v>
      </c>
      <c r="J144" s="713">
        <f t="shared" si="53"/>
        <v>8.1499999999999808</v>
      </c>
      <c r="K144" s="713">
        <f t="shared" si="54"/>
        <v>1.400000000000001</v>
      </c>
      <c r="L144" s="697"/>
      <c r="M144" s="697"/>
      <c r="N144" s="697"/>
      <c r="O144" s="697"/>
      <c r="P144" s="697"/>
      <c r="Q144" s="697"/>
      <c r="R144" s="697"/>
      <c r="S144" s="697"/>
      <c r="T144" s="697"/>
      <c r="U144" s="697"/>
      <c r="V144" s="697"/>
      <c r="W144" s="697"/>
      <c r="X144" s="697"/>
      <c r="Y144" s="697"/>
      <c r="Z144" s="697"/>
      <c r="AA144" s="697"/>
      <c r="AB144" s="697"/>
      <c r="AC144" s="697"/>
      <c r="AD144" s="697"/>
      <c r="AE144" s="697"/>
      <c r="AF144" s="697"/>
      <c r="AG144" s="697"/>
      <c r="AH144" s="697"/>
      <c r="AI144" s="697"/>
      <c r="AJ144" s="697"/>
      <c r="AK144" s="697"/>
      <c r="AL144" s="697"/>
      <c r="AM144" s="697"/>
      <c r="AN144" s="697"/>
      <c r="AO144" s="697"/>
      <c r="AP144" s="697"/>
      <c r="AQ144" s="697"/>
      <c r="AR144" s="697"/>
      <c r="AS144" s="697"/>
      <c r="AT144" s="697"/>
      <c r="AU144" s="697"/>
      <c r="AV144" s="697"/>
      <c r="AW144" s="697"/>
      <c r="AX144" s="697"/>
      <c r="AY144" s="697"/>
      <c r="AZ144" s="697"/>
      <c r="BA144" s="697"/>
      <c r="BB144" s="697"/>
      <c r="BC144" s="697"/>
      <c r="BD144" s="697"/>
      <c r="BE144" s="697"/>
      <c r="BF144" s="697"/>
      <c r="BG144" s="697"/>
      <c r="BH144" s="697"/>
      <c r="BI144" s="697"/>
      <c r="BJ144" s="697"/>
      <c r="BK144" s="697"/>
      <c r="BL144" s="697"/>
      <c r="BM144" s="697"/>
      <c r="BN144" s="697"/>
      <c r="BO144" s="697"/>
      <c r="BP144" s="697"/>
      <c r="BQ144" s="697"/>
      <c r="BR144" s="697"/>
      <c r="BS144" s="697"/>
      <c r="BT144" s="697"/>
      <c r="BU144" s="697"/>
      <c r="BV144" s="697"/>
      <c r="BW144" s="697"/>
      <c r="BX144" s="697"/>
      <c r="BY144" s="697"/>
      <c r="BZ144" s="697"/>
      <c r="CA144" s="697"/>
      <c r="CB144" s="697"/>
      <c r="CC144" s="697"/>
      <c r="CD144" s="697"/>
      <c r="CE144" s="697"/>
      <c r="CF144" s="697"/>
      <c r="CG144" s="697"/>
      <c r="CH144" s="697"/>
      <c r="CI144" s="697"/>
      <c r="CJ144" s="697"/>
      <c r="CK144" s="697"/>
      <c r="CL144" s="697"/>
      <c r="CM144" s="697"/>
      <c r="CN144" s="697"/>
      <c r="CO144" s="697"/>
      <c r="CP144" s="697"/>
      <c r="CQ144" s="697"/>
      <c r="CR144" s="697"/>
      <c r="CS144" s="697"/>
      <c r="CT144" s="697"/>
      <c r="CU144" s="697"/>
      <c r="CV144" s="697"/>
      <c r="CW144" s="697"/>
      <c r="CX144" s="697"/>
      <c r="CY144" s="697"/>
      <c r="CZ144" s="697"/>
      <c r="DA144" s="697"/>
      <c r="DB144" s="697"/>
    </row>
    <row r="145" spans="1:106" hidden="1" outlineLevel="1" x14ac:dyDescent="0.2">
      <c r="A145" s="709">
        <f t="shared" si="47"/>
        <v>37500</v>
      </c>
      <c r="B145" s="709" t="str">
        <f t="shared" si="48"/>
        <v>3Q02</v>
      </c>
      <c r="C145" s="709" t="str">
        <f t="shared" si="49"/>
        <v>4Q02</v>
      </c>
      <c r="D145" s="710">
        <f t="shared" si="52"/>
        <v>37565</v>
      </c>
      <c r="E145" s="710">
        <f t="shared" si="52"/>
        <v>37505</v>
      </c>
      <c r="F145" s="712">
        <v>28.65</v>
      </c>
      <c r="G145" s="713">
        <f t="shared" si="50"/>
        <v>1.4900000000000011</v>
      </c>
      <c r="H145" s="713">
        <f t="shared" si="51"/>
        <v>1.4900000000000011</v>
      </c>
      <c r="I145" s="713">
        <f t="shared" si="53"/>
        <v>8.1499999999999808</v>
      </c>
      <c r="J145" s="713">
        <f t="shared" si="53"/>
        <v>8.1999999999999815</v>
      </c>
      <c r="K145" s="713">
        <f t="shared" si="54"/>
        <v>1.410000000000001</v>
      </c>
      <c r="L145" s="697"/>
      <c r="M145" s="697"/>
      <c r="N145" s="697"/>
      <c r="O145" s="697"/>
      <c r="P145" s="697"/>
      <c r="Q145" s="697"/>
      <c r="R145" s="697"/>
      <c r="S145" s="697"/>
      <c r="T145" s="697"/>
      <c r="U145" s="697"/>
      <c r="V145" s="697"/>
      <c r="W145" s="697"/>
      <c r="X145" s="697"/>
      <c r="Y145" s="697"/>
      <c r="Z145" s="697"/>
      <c r="AA145" s="697"/>
      <c r="AB145" s="697"/>
      <c r="AC145" s="697"/>
      <c r="AD145" s="697"/>
      <c r="AE145" s="697"/>
      <c r="AF145" s="697"/>
      <c r="AG145" s="697"/>
      <c r="AH145" s="697"/>
      <c r="AI145" s="697"/>
      <c r="AJ145" s="697"/>
      <c r="AK145" s="697"/>
      <c r="AL145" s="697"/>
      <c r="AM145" s="697"/>
      <c r="AN145" s="697"/>
      <c r="AO145" s="697"/>
      <c r="AP145" s="697"/>
      <c r="AQ145" s="697"/>
      <c r="AR145" s="697"/>
      <c r="AS145" s="697"/>
      <c r="AT145" s="697"/>
      <c r="AU145" s="697"/>
      <c r="AV145" s="697"/>
      <c r="AW145" s="697"/>
      <c r="AX145" s="697"/>
      <c r="AY145" s="697"/>
      <c r="AZ145" s="697"/>
      <c r="BA145" s="697"/>
      <c r="BB145" s="697"/>
      <c r="BC145" s="697"/>
      <c r="BD145" s="697"/>
      <c r="BE145" s="697"/>
      <c r="BF145" s="697"/>
      <c r="BG145" s="697"/>
      <c r="BH145" s="697"/>
      <c r="BI145" s="697"/>
      <c r="BJ145" s="697"/>
      <c r="BK145" s="697"/>
      <c r="BL145" s="697"/>
      <c r="BM145" s="697"/>
      <c r="BN145" s="697"/>
      <c r="BO145" s="697"/>
      <c r="BP145" s="697"/>
      <c r="BQ145" s="697"/>
      <c r="BR145" s="697"/>
      <c r="BS145" s="697"/>
      <c r="BT145" s="697"/>
      <c r="BU145" s="697"/>
      <c r="BV145" s="697"/>
      <c r="BW145" s="697"/>
      <c r="BX145" s="697"/>
      <c r="BY145" s="697"/>
      <c r="BZ145" s="697"/>
      <c r="CA145" s="697"/>
      <c r="CB145" s="697"/>
      <c r="CC145" s="697"/>
      <c r="CD145" s="697"/>
      <c r="CE145" s="697"/>
      <c r="CF145" s="697"/>
      <c r="CG145" s="697"/>
      <c r="CH145" s="697"/>
      <c r="CI145" s="697"/>
      <c r="CJ145" s="697"/>
      <c r="CK145" s="697"/>
      <c r="CL145" s="697"/>
      <c r="CM145" s="697"/>
      <c r="CN145" s="697"/>
      <c r="CO145" s="697"/>
      <c r="CP145" s="697"/>
      <c r="CQ145" s="697"/>
      <c r="CR145" s="697"/>
      <c r="CS145" s="697"/>
      <c r="CT145" s="697"/>
      <c r="CU145" s="697"/>
      <c r="CV145" s="697"/>
      <c r="CW145" s="697"/>
      <c r="CX145" s="697"/>
      <c r="CY145" s="697"/>
      <c r="CZ145" s="697"/>
      <c r="DA145" s="697"/>
      <c r="DB145" s="697"/>
    </row>
    <row r="146" spans="1:106" hidden="1" outlineLevel="1" x14ac:dyDescent="0.2">
      <c r="A146" s="709">
        <f t="shared" si="47"/>
        <v>37500</v>
      </c>
      <c r="B146" s="709" t="str">
        <f t="shared" si="48"/>
        <v>3Q02</v>
      </c>
      <c r="C146" s="709" t="str">
        <f t="shared" si="49"/>
        <v>4Q02</v>
      </c>
      <c r="D146" s="710">
        <f t="shared" si="52"/>
        <v>37572</v>
      </c>
      <c r="E146" s="710">
        <f t="shared" si="52"/>
        <v>37512</v>
      </c>
      <c r="F146" s="712">
        <v>29.59</v>
      </c>
      <c r="G146" s="713">
        <f t="shared" si="50"/>
        <v>1.4900000000000011</v>
      </c>
      <c r="H146" s="713">
        <f t="shared" si="51"/>
        <v>1.4900000000000011</v>
      </c>
      <c r="I146" s="713">
        <f t="shared" si="53"/>
        <v>8.1999999999999815</v>
      </c>
      <c r="J146" s="713">
        <f t="shared" si="53"/>
        <v>8.2499999999999822</v>
      </c>
      <c r="K146" s="713">
        <f t="shared" si="54"/>
        <v>1.420000000000001</v>
      </c>
      <c r="L146" s="697"/>
      <c r="M146" s="697"/>
      <c r="N146" s="697"/>
      <c r="O146" s="697"/>
      <c r="P146" s="697"/>
      <c r="Q146" s="697"/>
      <c r="R146" s="697"/>
      <c r="S146" s="697"/>
      <c r="T146" s="697"/>
      <c r="U146" s="697"/>
      <c r="V146" s="697"/>
      <c r="W146" s="697"/>
      <c r="X146" s="697"/>
      <c r="Y146" s="697"/>
      <c r="Z146" s="697"/>
      <c r="AA146" s="697"/>
      <c r="AB146" s="697"/>
      <c r="AC146" s="697"/>
      <c r="AD146" s="697"/>
      <c r="AE146" s="697"/>
      <c r="AF146" s="697"/>
      <c r="AG146" s="697"/>
      <c r="AH146" s="697"/>
      <c r="AI146" s="697"/>
      <c r="AJ146" s="697"/>
      <c r="AK146" s="697"/>
      <c r="AL146" s="697"/>
      <c r="AM146" s="697"/>
      <c r="AN146" s="697"/>
      <c r="AO146" s="697"/>
      <c r="AP146" s="697"/>
      <c r="AQ146" s="697"/>
      <c r="AR146" s="697"/>
      <c r="AS146" s="697"/>
      <c r="AT146" s="697"/>
      <c r="AU146" s="697"/>
      <c r="AV146" s="697"/>
      <c r="AW146" s="697"/>
      <c r="AX146" s="697"/>
      <c r="AY146" s="697"/>
      <c r="AZ146" s="697"/>
      <c r="BA146" s="697"/>
      <c r="BB146" s="697"/>
      <c r="BC146" s="697"/>
      <c r="BD146" s="697"/>
      <c r="BE146" s="697"/>
      <c r="BF146" s="697"/>
      <c r="BG146" s="697"/>
      <c r="BH146" s="697"/>
      <c r="BI146" s="697"/>
      <c r="BJ146" s="697"/>
      <c r="BK146" s="697"/>
      <c r="BL146" s="697"/>
      <c r="BM146" s="697"/>
      <c r="BN146" s="697"/>
      <c r="BO146" s="697"/>
      <c r="BP146" s="697"/>
      <c r="BQ146" s="697"/>
      <c r="BR146" s="697"/>
      <c r="BS146" s="697"/>
      <c r="BT146" s="697"/>
      <c r="BU146" s="697"/>
      <c r="BV146" s="697"/>
      <c r="BW146" s="697"/>
      <c r="BX146" s="697"/>
      <c r="BY146" s="697"/>
      <c r="BZ146" s="697"/>
      <c r="CA146" s="697"/>
      <c r="CB146" s="697"/>
      <c r="CC146" s="697"/>
      <c r="CD146" s="697"/>
      <c r="CE146" s="697"/>
      <c r="CF146" s="697"/>
      <c r="CG146" s="697"/>
      <c r="CH146" s="697"/>
      <c r="CI146" s="697"/>
      <c r="CJ146" s="697"/>
      <c r="CK146" s="697"/>
      <c r="CL146" s="697"/>
      <c r="CM146" s="697"/>
      <c r="CN146" s="697"/>
      <c r="CO146" s="697"/>
      <c r="CP146" s="697"/>
      <c r="CQ146" s="697"/>
      <c r="CR146" s="697"/>
      <c r="CS146" s="697"/>
      <c r="CT146" s="697"/>
      <c r="CU146" s="697"/>
      <c r="CV146" s="697"/>
      <c r="CW146" s="697"/>
      <c r="CX146" s="697"/>
      <c r="CY146" s="697"/>
      <c r="CZ146" s="697"/>
      <c r="DA146" s="697"/>
      <c r="DB146" s="697"/>
    </row>
    <row r="147" spans="1:106" hidden="1" outlineLevel="1" x14ac:dyDescent="0.2">
      <c r="A147" s="709">
        <f t="shared" si="47"/>
        <v>37500</v>
      </c>
      <c r="B147" s="709" t="str">
        <f t="shared" si="48"/>
        <v>3Q02</v>
      </c>
      <c r="C147" s="709" t="str">
        <f t="shared" si="49"/>
        <v>4Q02</v>
      </c>
      <c r="D147" s="710">
        <f t="shared" si="52"/>
        <v>37579</v>
      </c>
      <c r="E147" s="710">
        <f t="shared" si="52"/>
        <v>37519</v>
      </c>
      <c r="F147" s="712">
        <v>29.39</v>
      </c>
      <c r="G147" s="713">
        <f t="shared" si="50"/>
        <v>1.4900000000000011</v>
      </c>
      <c r="H147" s="713">
        <f t="shared" si="51"/>
        <v>1.4900000000000011</v>
      </c>
      <c r="I147" s="713">
        <f t="shared" si="53"/>
        <v>8.2499999999999822</v>
      </c>
      <c r="J147" s="713">
        <f t="shared" si="53"/>
        <v>8.2999999999999829</v>
      </c>
      <c r="K147" s="713">
        <f t="shared" si="54"/>
        <v>1.430000000000001</v>
      </c>
      <c r="L147" s="697"/>
      <c r="M147" s="697"/>
      <c r="N147" s="697"/>
      <c r="O147" s="697"/>
      <c r="P147" s="697"/>
      <c r="Q147" s="697"/>
      <c r="R147" s="697"/>
      <c r="S147" s="697"/>
      <c r="T147" s="697"/>
      <c r="U147" s="697"/>
      <c r="V147" s="697"/>
      <c r="W147" s="697"/>
      <c r="X147" s="697"/>
      <c r="Y147" s="697"/>
      <c r="Z147" s="697"/>
      <c r="AA147" s="697"/>
      <c r="AB147" s="697"/>
      <c r="AC147" s="697"/>
      <c r="AD147" s="697"/>
      <c r="AE147" s="697"/>
      <c r="AF147" s="697"/>
      <c r="AG147" s="697"/>
      <c r="AH147" s="697"/>
      <c r="AI147" s="697"/>
      <c r="AJ147" s="697"/>
      <c r="AK147" s="697"/>
      <c r="AL147" s="697"/>
      <c r="AM147" s="697"/>
      <c r="AN147" s="697"/>
      <c r="AO147" s="697"/>
      <c r="AP147" s="697"/>
      <c r="AQ147" s="697"/>
      <c r="AR147" s="697"/>
      <c r="AS147" s="697"/>
      <c r="AT147" s="697"/>
      <c r="AU147" s="697"/>
      <c r="AV147" s="697"/>
      <c r="AW147" s="697"/>
      <c r="AX147" s="697"/>
      <c r="AY147" s="697"/>
      <c r="AZ147" s="697"/>
      <c r="BA147" s="697"/>
      <c r="BB147" s="697"/>
      <c r="BC147" s="697"/>
      <c r="BD147" s="697"/>
      <c r="BE147" s="697"/>
      <c r="BF147" s="697"/>
      <c r="BG147" s="697"/>
      <c r="BH147" s="697"/>
      <c r="BI147" s="697"/>
      <c r="BJ147" s="697"/>
      <c r="BK147" s="697"/>
      <c r="BL147" s="697"/>
      <c r="BM147" s="697"/>
      <c r="BN147" s="697"/>
      <c r="BO147" s="697"/>
      <c r="BP147" s="697"/>
      <c r="BQ147" s="697"/>
      <c r="BR147" s="697"/>
      <c r="BS147" s="697"/>
      <c r="BT147" s="697"/>
      <c r="BU147" s="697"/>
      <c r="BV147" s="697"/>
      <c r="BW147" s="697"/>
      <c r="BX147" s="697"/>
      <c r="BY147" s="697"/>
      <c r="BZ147" s="697"/>
      <c r="CA147" s="697"/>
      <c r="CB147" s="697"/>
      <c r="CC147" s="697"/>
      <c r="CD147" s="697"/>
      <c r="CE147" s="697"/>
      <c r="CF147" s="697"/>
      <c r="CG147" s="697"/>
      <c r="CH147" s="697"/>
      <c r="CI147" s="697"/>
      <c r="CJ147" s="697"/>
      <c r="CK147" s="697"/>
      <c r="CL147" s="697"/>
      <c r="CM147" s="697"/>
      <c r="CN147" s="697"/>
      <c r="CO147" s="697"/>
      <c r="CP147" s="697"/>
      <c r="CQ147" s="697"/>
      <c r="CR147" s="697"/>
      <c r="CS147" s="697"/>
      <c r="CT147" s="697"/>
      <c r="CU147" s="697"/>
      <c r="CV147" s="697"/>
      <c r="CW147" s="697"/>
      <c r="CX147" s="697"/>
      <c r="CY147" s="697"/>
      <c r="CZ147" s="697"/>
      <c r="DA147" s="697"/>
      <c r="DB147" s="697"/>
    </row>
    <row r="148" spans="1:106" hidden="1" outlineLevel="1" x14ac:dyDescent="0.2">
      <c r="A148" s="709">
        <f t="shared" si="47"/>
        <v>37500</v>
      </c>
      <c r="B148" s="709" t="str">
        <f t="shared" si="48"/>
        <v>3Q02</v>
      </c>
      <c r="C148" s="709" t="str">
        <f t="shared" si="49"/>
        <v>4Q02</v>
      </c>
      <c r="D148" s="710">
        <f t="shared" si="52"/>
        <v>37586</v>
      </c>
      <c r="E148" s="710">
        <f t="shared" si="52"/>
        <v>37526</v>
      </c>
      <c r="F148" s="712">
        <v>30.63</v>
      </c>
      <c r="G148" s="713">
        <f t="shared" si="50"/>
        <v>1.4900000000000011</v>
      </c>
      <c r="H148" s="713">
        <f t="shared" si="51"/>
        <v>1.4900000000000011</v>
      </c>
      <c r="I148" s="713">
        <f t="shared" si="53"/>
        <v>8.2999999999999829</v>
      </c>
      <c r="J148" s="713">
        <f t="shared" si="53"/>
        <v>8.3499999999999837</v>
      </c>
      <c r="K148" s="713">
        <f t="shared" si="54"/>
        <v>1.4400000000000011</v>
      </c>
      <c r="L148" s="697"/>
      <c r="M148" s="697"/>
      <c r="N148" s="697"/>
      <c r="O148" s="697"/>
      <c r="P148" s="697"/>
      <c r="Q148" s="697"/>
      <c r="R148" s="697"/>
      <c r="S148" s="697"/>
      <c r="T148" s="697"/>
      <c r="U148" s="697"/>
      <c r="V148" s="697"/>
      <c r="W148" s="697"/>
      <c r="X148" s="697"/>
      <c r="Y148" s="697"/>
      <c r="Z148" s="697"/>
      <c r="AA148" s="697"/>
      <c r="AB148" s="697"/>
      <c r="AC148" s="697"/>
      <c r="AD148" s="697"/>
      <c r="AE148" s="697"/>
      <c r="AF148" s="697"/>
      <c r="AG148" s="697"/>
      <c r="AH148" s="697"/>
      <c r="AI148" s="697"/>
      <c r="AJ148" s="697"/>
      <c r="AK148" s="697"/>
      <c r="AL148" s="697"/>
      <c r="AM148" s="697"/>
      <c r="AN148" s="697"/>
      <c r="AO148" s="697"/>
      <c r="AP148" s="697"/>
      <c r="AQ148" s="697"/>
      <c r="AR148" s="697"/>
      <c r="AS148" s="697"/>
      <c r="AT148" s="697"/>
      <c r="AU148" s="697"/>
      <c r="AV148" s="697"/>
      <c r="AW148" s="697"/>
      <c r="AX148" s="697"/>
      <c r="AY148" s="697"/>
      <c r="AZ148" s="697"/>
      <c r="BA148" s="697"/>
      <c r="BB148" s="697"/>
      <c r="BC148" s="697"/>
      <c r="BD148" s="697"/>
      <c r="BE148" s="697"/>
      <c r="BF148" s="697"/>
      <c r="BG148" s="697"/>
      <c r="BH148" s="697"/>
      <c r="BI148" s="697"/>
      <c r="BJ148" s="697"/>
      <c r="BK148" s="697"/>
      <c r="BL148" s="697"/>
      <c r="BM148" s="697"/>
      <c r="BN148" s="697"/>
      <c r="BO148" s="697"/>
      <c r="BP148" s="697"/>
      <c r="BQ148" s="697"/>
      <c r="BR148" s="697"/>
      <c r="BS148" s="697"/>
      <c r="BT148" s="697"/>
      <c r="BU148" s="697"/>
      <c r="BV148" s="697"/>
      <c r="BW148" s="697"/>
      <c r="BX148" s="697"/>
      <c r="BY148" s="697"/>
      <c r="BZ148" s="697"/>
      <c r="CA148" s="697"/>
      <c r="CB148" s="697"/>
      <c r="CC148" s="697"/>
      <c r="CD148" s="697"/>
      <c r="CE148" s="697"/>
      <c r="CF148" s="697"/>
      <c r="CG148" s="697"/>
      <c r="CH148" s="697"/>
      <c r="CI148" s="697"/>
      <c r="CJ148" s="697"/>
      <c r="CK148" s="697"/>
      <c r="CL148" s="697"/>
      <c r="CM148" s="697"/>
      <c r="CN148" s="697"/>
      <c r="CO148" s="697"/>
      <c r="CP148" s="697"/>
      <c r="CQ148" s="697"/>
      <c r="CR148" s="697"/>
      <c r="CS148" s="697"/>
      <c r="CT148" s="697"/>
      <c r="CU148" s="697"/>
      <c r="CV148" s="697"/>
      <c r="CW148" s="697"/>
      <c r="CX148" s="697"/>
      <c r="CY148" s="697"/>
      <c r="CZ148" s="697"/>
      <c r="DA148" s="697"/>
      <c r="DB148" s="697"/>
    </row>
    <row r="149" spans="1:106" hidden="1" outlineLevel="1" x14ac:dyDescent="0.2">
      <c r="A149" s="709">
        <f t="shared" si="47"/>
        <v>37530</v>
      </c>
      <c r="B149" s="709" t="str">
        <f t="shared" si="48"/>
        <v>4Q02</v>
      </c>
      <c r="C149" s="709" t="str">
        <f t="shared" si="49"/>
        <v>4Q02</v>
      </c>
      <c r="D149" s="710">
        <f t="shared" ref="D149:E164" si="55">D148+7</f>
        <v>37593</v>
      </c>
      <c r="E149" s="710">
        <f t="shared" si="55"/>
        <v>37533</v>
      </c>
      <c r="F149" s="712">
        <v>30.25</v>
      </c>
      <c r="G149" s="713">
        <f t="shared" si="50"/>
        <v>1.4900000000000011</v>
      </c>
      <c r="H149" s="713">
        <f t="shared" si="51"/>
        <v>1.4900000000000011</v>
      </c>
      <c r="I149" s="713">
        <f t="shared" si="53"/>
        <v>8.3499999999999837</v>
      </c>
      <c r="J149" s="713">
        <f t="shared" si="53"/>
        <v>8.3999999999999844</v>
      </c>
      <c r="K149" s="713">
        <f t="shared" si="54"/>
        <v>1.4500000000000011</v>
      </c>
      <c r="L149" s="697"/>
      <c r="M149" s="697"/>
      <c r="N149" s="697"/>
      <c r="O149" s="697"/>
      <c r="P149" s="697"/>
      <c r="Q149" s="697"/>
      <c r="R149" s="697"/>
      <c r="S149" s="697"/>
      <c r="T149" s="697"/>
      <c r="U149" s="697"/>
      <c r="V149" s="697"/>
      <c r="W149" s="697"/>
      <c r="X149" s="697"/>
      <c r="Y149" s="697"/>
      <c r="Z149" s="697"/>
      <c r="AA149" s="697"/>
      <c r="AB149" s="697"/>
      <c r="AC149" s="697"/>
      <c r="AD149" s="697"/>
      <c r="AE149" s="697"/>
      <c r="AF149" s="697"/>
      <c r="AG149" s="697"/>
      <c r="AH149" s="697"/>
      <c r="AI149" s="697"/>
      <c r="AJ149" s="697"/>
      <c r="AK149" s="697"/>
      <c r="AL149" s="697"/>
      <c r="AM149" s="697"/>
      <c r="AN149" s="697"/>
      <c r="AO149" s="697"/>
      <c r="AP149" s="697"/>
      <c r="AQ149" s="697"/>
      <c r="AR149" s="697"/>
      <c r="AS149" s="697"/>
      <c r="AT149" s="697"/>
      <c r="AU149" s="697"/>
      <c r="AV149" s="697"/>
      <c r="AW149" s="697"/>
      <c r="AX149" s="697"/>
      <c r="AY149" s="697"/>
      <c r="AZ149" s="697"/>
      <c r="BA149" s="697"/>
      <c r="BB149" s="697"/>
      <c r="BC149" s="697"/>
      <c r="BD149" s="697"/>
      <c r="BE149" s="697"/>
      <c r="BF149" s="697"/>
      <c r="BG149" s="697"/>
      <c r="BH149" s="697"/>
      <c r="BI149" s="697"/>
      <c r="BJ149" s="697"/>
      <c r="BK149" s="697"/>
      <c r="BL149" s="697"/>
      <c r="BM149" s="697"/>
      <c r="BN149" s="697"/>
      <c r="BO149" s="697"/>
      <c r="BP149" s="697"/>
      <c r="BQ149" s="697"/>
      <c r="BR149" s="697"/>
      <c r="BS149" s="697"/>
      <c r="BT149" s="697"/>
      <c r="BU149" s="697"/>
      <c r="BV149" s="697"/>
      <c r="BW149" s="697"/>
      <c r="BX149" s="697"/>
      <c r="BY149" s="697"/>
      <c r="BZ149" s="697"/>
      <c r="CA149" s="697"/>
      <c r="CB149" s="697"/>
      <c r="CC149" s="697"/>
      <c r="CD149" s="697"/>
      <c r="CE149" s="697"/>
      <c r="CF149" s="697"/>
      <c r="CG149" s="697"/>
      <c r="CH149" s="697"/>
      <c r="CI149" s="697"/>
      <c r="CJ149" s="697"/>
      <c r="CK149" s="697"/>
      <c r="CL149" s="697"/>
      <c r="CM149" s="697"/>
      <c r="CN149" s="697"/>
      <c r="CO149" s="697"/>
      <c r="CP149" s="697"/>
      <c r="CQ149" s="697"/>
      <c r="CR149" s="697"/>
      <c r="CS149" s="697"/>
      <c r="CT149" s="697"/>
      <c r="CU149" s="697"/>
      <c r="CV149" s="697"/>
      <c r="CW149" s="697"/>
      <c r="CX149" s="697"/>
      <c r="CY149" s="697"/>
      <c r="CZ149" s="697"/>
      <c r="DA149" s="697"/>
      <c r="DB149" s="697"/>
    </row>
    <row r="150" spans="1:106" hidden="1" outlineLevel="1" x14ac:dyDescent="0.2">
      <c r="A150" s="709">
        <f t="shared" si="47"/>
        <v>37530</v>
      </c>
      <c r="B150" s="709" t="str">
        <f t="shared" si="48"/>
        <v>4Q02</v>
      </c>
      <c r="C150" s="709" t="str">
        <f t="shared" si="49"/>
        <v>4Q02</v>
      </c>
      <c r="D150" s="710">
        <f t="shared" si="55"/>
        <v>37600</v>
      </c>
      <c r="E150" s="710">
        <f t="shared" si="55"/>
        <v>37540</v>
      </c>
      <c r="F150" s="712">
        <v>29.37</v>
      </c>
      <c r="G150" s="713">
        <f t="shared" si="50"/>
        <v>1.4900000000000011</v>
      </c>
      <c r="H150" s="713">
        <f t="shared" si="51"/>
        <v>1.4900000000000011</v>
      </c>
      <c r="I150" s="713">
        <f t="shared" ref="I150:J153" si="56">I149+0.05</f>
        <v>8.3999999999999844</v>
      </c>
      <c r="J150" s="713">
        <f t="shared" si="56"/>
        <v>8.4499999999999851</v>
      </c>
      <c r="K150" s="713">
        <f t="shared" si="54"/>
        <v>1.4600000000000011</v>
      </c>
      <c r="L150" s="697"/>
      <c r="M150" s="697"/>
      <c r="N150" s="697"/>
      <c r="O150" s="697"/>
      <c r="P150" s="697"/>
      <c r="Q150" s="697"/>
      <c r="R150" s="697"/>
      <c r="S150" s="697"/>
      <c r="T150" s="697"/>
      <c r="U150" s="697"/>
      <c r="V150" s="697"/>
      <c r="W150" s="697"/>
      <c r="X150" s="697"/>
      <c r="Y150" s="697"/>
      <c r="Z150" s="697"/>
      <c r="AA150" s="697"/>
      <c r="AB150" s="697"/>
      <c r="AC150" s="697"/>
      <c r="AD150" s="697"/>
      <c r="AE150" s="697"/>
      <c r="AF150" s="697"/>
      <c r="AG150" s="697"/>
      <c r="AH150" s="697"/>
      <c r="AI150" s="697"/>
      <c r="AJ150" s="697"/>
      <c r="AK150" s="697"/>
      <c r="AL150" s="697"/>
      <c r="AM150" s="697"/>
      <c r="AN150" s="697"/>
      <c r="AO150" s="697"/>
      <c r="AP150" s="697"/>
      <c r="AQ150" s="697"/>
      <c r="AR150" s="697"/>
      <c r="AS150" s="697"/>
      <c r="AT150" s="697"/>
      <c r="AU150" s="697"/>
      <c r="AV150" s="697"/>
      <c r="AW150" s="697"/>
      <c r="AX150" s="697"/>
      <c r="AY150" s="697"/>
      <c r="AZ150" s="697"/>
      <c r="BA150" s="697"/>
      <c r="BB150" s="697"/>
      <c r="BC150" s="697"/>
      <c r="BD150" s="697"/>
      <c r="BE150" s="697"/>
      <c r="BF150" s="697"/>
      <c r="BG150" s="697"/>
      <c r="BH150" s="697"/>
      <c r="BI150" s="697"/>
      <c r="BJ150" s="697"/>
      <c r="BK150" s="697"/>
      <c r="BL150" s="697"/>
      <c r="BM150" s="697"/>
      <c r="BN150" s="697"/>
      <c r="BO150" s="697"/>
      <c r="BP150" s="697"/>
      <c r="BQ150" s="697"/>
      <c r="BR150" s="697"/>
      <c r="BS150" s="697"/>
      <c r="BT150" s="697"/>
      <c r="BU150" s="697"/>
      <c r="BV150" s="697"/>
      <c r="BW150" s="697"/>
      <c r="BX150" s="697"/>
      <c r="BY150" s="697"/>
      <c r="BZ150" s="697"/>
      <c r="CA150" s="697"/>
      <c r="CB150" s="697"/>
      <c r="CC150" s="697"/>
      <c r="CD150" s="697"/>
      <c r="CE150" s="697"/>
      <c r="CF150" s="697"/>
      <c r="CG150" s="697"/>
      <c r="CH150" s="697"/>
      <c r="CI150" s="697"/>
      <c r="CJ150" s="697"/>
      <c r="CK150" s="697"/>
      <c r="CL150" s="697"/>
      <c r="CM150" s="697"/>
      <c r="CN150" s="697"/>
      <c r="CO150" s="697"/>
      <c r="CP150" s="697"/>
      <c r="CQ150" s="697"/>
      <c r="CR150" s="697"/>
      <c r="CS150" s="697"/>
      <c r="CT150" s="697"/>
      <c r="CU150" s="697"/>
      <c r="CV150" s="697"/>
      <c r="CW150" s="697"/>
      <c r="CX150" s="697"/>
      <c r="CY150" s="697"/>
      <c r="CZ150" s="697"/>
      <c r="DA150" s="697"/>
      <c r="DB150" s="697"/>
    </row>
    <row r="151" spans="1:106" hidden="1" outlineLevel="1" x14ac:dyDescent="0.2">
      <c r="A151" s="709">
        <f t="shared" si="47"/>
        <v>37530</v>
      </c>
      <c r="B151" s="709" t="str">
        <f t="shared" si="48"/>
        <v>4Q02</v>
      </c>
      <c r="C151" s="709" t="str">
        <f t="shared" si="49"/>
        <v>4Q02</v>
      </c>
      <c r="D151" s="710">
        <f t="shared" si="55"/>
        <v>37607</v>
      </c>
      <c r="E151" s="710">
        <f t="shared" si="55"/>
        <v>37547</v>
      </c>
      <c r="F151" s="712">
        <v>29.65</v>
      </c>
      <c r="G151" s="713">
        <f t="shared" si="50"/>
        <v>1.4900000000000011</v>
      </c>
      <c r="H151" s="713">
        <f t="shared" si="51"/>
        <v>1.4900000000000011</v>
      </c>
      <c r="I151" s="713">
        <f t="shared" si="56"/>
        <v>8.4499999999999851</v>
      </c>
      <c r="J151" s="713">
        <f t="shared" si="56"/>
        <v>8.4999999999999858</v>
      </c>
      <c r="K151" s="713">
        <f t="shared" si="54"/>
        <v>1.4700000000000011</v>
      </c>
      <c r="L151" s="697"/>
      <c r="M151" s="697"/>
      <c r="N151" s="697"/>
      <c r="O151" s="697"/>
      <c r="P151" s="697"/>
      <c r="Q151" s="697"/>
      <c r="R151" s="697"/>
      <c r="S151" s="697"/>
      <c r="T151" s="697"/>
      <c r="U151" s="697"/>
      <c r="V151" s="697"/>
      <c r="W151" s="697"/>
      <c r="X151" s="697"/>
      <c r="Y151" s="697"/>
      <c r="Z151" s="697"/>
      <c r="AA151" s="697"/>
      <c r="AB151" s="697"/>
      <c r="AC151" s="697"/>
      <c r="AD151" s="697"/>
      <c r="AE151" s="697"/>
      <c r="AF151" s="697"/>
      <c r="AG151" s="697"/>
      <c r="AH151" s="697"/>
      <c r="AI151" s="697"/>
      <c r="AJ151" s="697"/>
      <c r="AK151" s="697"/>
      <c r="AL151" s="697"/>
      <c r="AM151" s="697"/>
      <c r="AN151" s="697"/>
      <c r="AO151" s="697"/>
      <c r="AP151" s="697"/>
      <c r="AQ151" s="697"/>
      <c r="AR151" s="697"/>
      <c r="AS151" s="697"/>
      <c r="AT151" s="697"/>
      <c r="AU151" s="697"/>
      <c r="AV151" s="697"/>
      <c r="AW151" s="697"/>
      <c r="AX151" s="697"/>
      <c r="AY151" s="697"/>
      <c r="AZ151" s="697"/>
      <c r="BA151" s="697"/>
      <c r="BB151" s="697"/>
      <c r="BC151" s="697"/>
      <c r="BD151" s="697"/>
      <c r="BE151" s="697"/>
      <c r="BF151" s="697"/>
      <c r="BG151" s="697"/>
      <c r="BH151" s="697"/>
      <c r="BI151" s="697"/>
      <c r="BJ151" s="697"/>
      <c r="BK151" s="697"/>
      <c r="BL151" s="697"/>
      <c r="BM151" s="697"/>
      <c r="BN151" s="697"/>
      <c r="BO151" s="697"/>
      <c r="BP151" s="697"/>
      <c r="BQ151" s="697"/>
      <c r="BR151" s="697"/>
      <c r="BS151" s="697"/>
      <c r="BT151" s="697"/>
      <c r="BU151" s="697"/>
      <c r="BV151" s="697"/>
      <c r="BW151" s="697"/>
      <c r="BX151" s="697"/>
      <c r="BY151" s="697"/>
      <c r="BZ151" s="697"/>
      <c r="CA151" s="697"/>
      <c r="CB151" s="697"/>
      <c r="CC151" s="697"/>
      <c r="CD151" s="697"/>
      <c r="CE151" s="697"/>
      <c r="CF151" s="697"/>
      <c r="CG151" s="697"/>
      <c r="CH151" s="697"/>
      <c r="CI151" s="697"/>
      <c r="CJ151" s="697"/>
      <c r="CK151" s="697"/>
      <c r="CL151" s="697"/>
      <c r="CM151" s="697"/>
      <c r="CN151" s="697"/>
      <c r="CO151" s="697"/>
      <c r="CP151" s="697"/>
      <c r="CQ151" s="697"/>
      <c r="CR151" s="697"/>
      <c r="CS151" s="697"/>
      <c r="CT151" s="697"/>
      <c r="CU151" s="697"/>
      <c r="CV151" s="697"/>
      <c r="CW151" s="697"/>
      <c r="CX151" s="697"/>
      <c r="CY151" s="697"/>
      <c r="CZ151" s="697"/>
      <c r="DA151" s="697"/>
      <c r="DB151" s="697"/>
    </row>
    <row r="152" spans="1:106" hidden="1" outlineLevel="1" x14ac:dyDescent="0.2">
      <c r="A152" s="709">
        <f t="shared" si="47"/>
        <v>37530</v>
      </c>
      <c r="B152" s="709" t="str">
        <f t="shared" si="48"/>
        <v>4Q02</v>
      </c>
      <c r="C152" s="709" t="str">
        <f t="shared" si="49"/>
        <v>4Q02</v>
      </c>
      <c r="D152" s="710">
        <f t="shared" si="55"/>
        <v>37614</v>
      </c>
      <c r="E152" s="710">
        <f t="shared" si="55"/>
        <v>37554</v>
      </c>
      <c r="F152" s="712">
        <v>27.88</v>
      </c>
      <c r="G152" s="713">
        <f t="shared" si="50"/>
        <v>1.4900000000000011</v>
      </c>
      <c r="H152" s="713">
        <f t="shared" si="51"/>
        <v>1.4900000000000011</v>
      </c>
      <c r="I152" s="713">
        <f t="shared" si="56"/>
        <v>8.4999999999999858</v>
      </c>
      <c r="J152" s="713">
        <f t="shared" si="56"/>
        <v>8.5499999999999865</v>
      </c>
      <c r="K152" s="713">
        <f t="shared" si="54"/>
        <v>1.4800000000000011</v>
      </c>
      <c r="L152" s="697"/>
      <c r="M152" s="697"/>
      <c r="N152" s="697"/>
      <c r="O152" s="697"/>
      <c r="P152" s="697"/>
      <c r="Q152" s="697"/>
      <c r="R152" s="697"/>
      <c r="S152" s="697"/>
      <c r="T152" s="697"/>
      <c r="U152" s="697"/>
      <c r="V152" s="697"/>
      <c r="W152" s="697"/>
      <c r="X152" s="697"/>
      <c r="Y152" s="697"/>
      <c r="Z152" s="697"/>
      <c r="AA152" s="697"/>
      <c r="AB152" s="697"/>
      <c r="AC152" s="697"/>
      <c r="AD152" s="697"/>
      <c r="AE152" s="697"/>
      <c r="AF152" s="697"/>
      <c r="AG152" s="697"/>
      <c r="AH152" s="697"/>
      <c r="AI152" s="697"/>
      <c r="AJ152" s="697"/>
      <c r="AK152" s="697"/>
      <c r="AL152" s="697"/>
      <c r="AM152" s="697"/>
      <c r="AN152" s="697"/>
      <c r="AO152" s="697"/>
      <c r="AP152" s="697"/>
      <c r="AQ152" s="697"/>
      <c r="AR152" s="697"/>
      <c r="AS152" s="697"/>
      <c r="AT152" s="697"/>
      <c r="AU152" s="697"/>
      <c r="AV152" s="697"/>
      <c r="AW152" s="697"/>
      <c r="AX152" s="697"/>
      <c r="AY152" s="697"/>
      <c r="AZ152" s="697"/>
      <c r="BA152" s="697"/>
      <c r="BB152" s="697"/>
      <c r="BC152" s="697"/>
      <c r="BD152" s="697"/>
      <c r="BE152" s="697"/>
      <c r="BF152" s="697"/>
      <c r="BG152" s="697"/>
      <c r="BH152" s="697"/>
      <c r="BI152" s="697"/>
      <c r="BJ152" s="697"/>
      <c r="BK152" s="697"/>
      <c r="BL152" s="697"/>
      <c r="BM152" s="697"/>
      <c r="BN152" s="697"/>
      <c r="BO152" s="697"/>
      <c r="BP152" s="697"/>
      <c r="BQ152" s="697"/>
      <c r="BR152" s="697"/>
      <c r="BS152" s="697"/>
      <c r="BT152" s="697"/>
      <c r="BU152" s="697"/>
      <c r="BV152" s="697"/>
      <c r="BW152" s="697"/>
      <c r="BX152" s="697"/>
      <c r="BY152" s="697"/>
      <c r="BZ152" s="697"/>
      <c r="CA152" s="697"/>
      <c r="CB152" s="697"/>
      <c r="CC152" s="697"/>
      <c r="CD152" s="697"/>
      <c r="CE152" s="697"/>
      <c r="CF152" s="697"/>
      <c r="CG152" s="697"/>
      <c r="CH152" s="697"/>
      <c r="CI152" s="697"/>
      <c r="CJ152" s="697"/>
      <c r="CK152" s="697"/>
      <c r="CL152" s="697"/>
      <c r="CM152" s="697"/>
      <c r="CN152" s="697"/>
      <c r="CO152" s="697"/>
      <c r="CP152" s="697"/>
      <c r="CQ152" s="697"/>
      <c r="CR152" s="697"/>
      <c r="CS152" s="697"/>
      <c r="CT152" s="697"/>
      <c r="CU152" s="697"/>
      <c r="CV152" s="697"/>
      <c r="CW152" s="697"/>
      <c r="CX152" s="697"/>
      <c r="CY152" s="697"/>
      <c r="CZ152" s="697"/>
      <c r="DA152" s="697"/>
      <c r="DB152" s="697"/>
    </row>
    <row r="153" spans="1:106" hidden="1" outlineLevel="1" x14ac:dyDescent="0.2">
      <c r="A153" s="709">
        <f t="shared" si="47"/>
        <v>37561</v>
      </c>
      <c r="B153" s="709" t="str">
        <f t="shared" si="48"/>
        <v>4Q02</v>
      </c>
      <c r="C153" s="709" t="str">
        <f t="shared" si="49"/>
        <v>4Q02</v>
      </c>
      <c r="D153" s="710">
        <f t="shared" si="55"/>
        <v>37621</v>
      </c>
      <c r="E153" s="710">
        <f t="shared" si="55"/>
        <v>37561</v>
      </c>
      <c r="F153" s="712">
        <v>27.03</v>
      </c>
      <c r="G153" s="713">
        <f t="shared" si="50"/>
        <v>1.4900000000000011</v>
      </c>
      <c r="H153" s="713">
        <f t="shared" si="51"/>
        <v>1.4900000000000011</v>
      </c>
      <c r="I153" s="713">
        <f t="shared" si="56"/>
        <v>8.5499999999999865</v>
      </c>
      <c r="J153" s="713">
        <f t="shared" si="56"/>
        <v>8.5999999999999872</v>
      </c>
      <c r="K153" s="713">
        <f t="shared" si="54"/>
        <v>1.4900000000000011</v>
      </c>
      <c r="L153" s="697"/>
      <c r="M153" s="697"/>
      <c r="N153" s="697"/>
      <c r="O153" s="697"/>
      <c r="P153" s="697"/>
      <c r="Q153" s="697"/>
      <c r="R153" s="697"/>
      <c r="S153" s="697"/>
      <c r="T153" s="697"/>
      <c r="U153" s="697"/>
      <c r="V153" s="697"/>
      <c r="W153" s="697"/>
      <c r="X153" s="697"/>
      <c r="Y153" s="697"/>
      <c r="Z153" s="697"/>
      <c r="AA153" s="697"/>
      <c r="AB153" s="697"/>
      <c r="AC153" s="697"/>
      <c r="AD153" s="697"/>
      <c r="AE153" s="697"/>
      <c r="AF153" s="697"/>
      <c r="AG153" s="697"/>
      <c r="AH153" s="697"/>
      <c r="AI153" s="697"/>
      <c r="AJ153" s="697"/>
      <c r="AK153" s="697"/>
      <c r="AL153" s="697"/>
      <c r="AM153" s="697"/>
      <c r="AN153" s="697"/>
      <c r="AO153" s="697"/>
      <c r="AP153" s="697"/>
      <c r="AQ153" s="697"/>
      <c r="AR153" s="697"/>
      <c r="AS153" s="697"/>
      <c r="AT153" s="697"/>
      <c r="AU153" s="697"/>
      <c r="AV153" s="697"/>
      <c r="AW153" s="697"/>
      <c r="AX153" s="697"/>
      <c r="AY153" s="697"/>
      <c r="AZ153" s="697"/>
      <c r="BA153" s="697"/>
      <c r="BB153" s="697"/>
      <c r="BC153" s="697"/>
      <c r="BD153" s="697"/>
      <c r="BE153" s="697"/>
      <c r="BF153" s="697"/>
      <c r="BG153" s="697"/>
      <c r="BH153" s="697"/>
      <c r="BI153" s="697"/>
      <c r="BJ153" s="697"/>
      <c r="BK153" s="697"/>
      <c r="BL153" s="697"/>
      <c r="BM153" s="697"/>
      <c r="BN153" s="697"/>
      <c r="BO153" s="697"/>
      <c r="BP153" s="697"/>
      <c r="BQ153" s="697"/>
      <c r="BR153" s="697"/>
      <c r="BS153" s="697"/>
      <c r="BT153" s="697"/>
      <c r="BU153" s="697"/>
      <c r="BV153" s="697"/>
      <c r="BW153" s="697"/>
      <c r="BX153" s="697"/>
      <c r="BY153" s="697"/>
      <c r="BZ153" s="697"/>
      <c r="CA153" s="697"/>
      <c r="CB153" s="697"/>
      <c r="CC153" s="697"/>
      <c r="CD153" s="697"/>
      <c r="CE153" s="697"/>
      <c r="CF153" s="697"/>
      <c r="CG153" s="697"/>
      <c r="CH153" s="697"/>
      <c r="CI153" s="697"/>
      <c r="CJ153" s="697"/>
      <c r="CK153" s="697"/>
      <c r="CL153" s="697"/>
      <c r="CM153" s="697"/>
      <c r="CN153" s="697"/>
      <c r="CO153" s="697"/>
      <c r="CP153" s="697"/>
      <c r="CQ153" s="697"/>
      <c r="CR153" s="697"/>
      <c r="CS153" s="697"/>
      <c r="CT153" s="697"/>
      <c r="CU153" s="697"/>
      <c r="CV153" s="697"/>
      <c r="CW153" s="697"/>
      <c r="CX153" s="697"/>
      <c r="CY153" s="697"/>
      <c r="CZ153" s="697"/>
      <c r="DA153" s="697"/>
      <c r="DB153" s="697"/>
    </row>
    <row r="154" spans="1:106" hidden="1" outlineLevel="1" x14ac:dyDescent="0.2">
      <c r="A154" s="709">
        <f t="shared" si="47"/>
        <v>37561</v>
      </c>
      <c r="B154" s="709" t="str">
        <f t="shared" si="48"/>
        <v>4Q02</v>
      </c>
      <c r="C154" s="709" t="str">
        <f t="shared" si="49"/>
        <v>1Q03</v>
      </c>
      <c r="D154" s="710">
        <f t="shared" si="55"/>
        <v>37628</v>
      </c>
      <c r="E154" s="710">
        <f t="shared" si="55"/>
        <v>37568</v>
      </c>
      <c r="F154" s="712">
        <v>25.97</v>
      </c>
      <c r="G154" s="713">
        <f t="shared" si="50"/>
        <v>1.4900000000000011</v>
      </c>
      <c r="H154" s="713">
        <f t="shared" si="51"/>
        <v>1.4900000000000011</v>
      </c>
      <c r="I154" s="713"/>
      <c r="J154" s="713"/>
      <c r="K154" s="713"/>
      <c r="L154" s="697"/>
      <c r="M154" s="697"/>
      <c r="N154" s="697"/>
      <c r="O154" s="697"/>
      <c r="P154" s="697"/>
      <c r="Q154" s="697"/>
      <c r="R154" s="697"/>
      <c r="S154" s="697"/>
      <c r="T154" s="697"/>
      <c r="U154" s="697"/>
      <c r="V154" s="697"/>
      <c r="W154" s="697"/>
      <c r="X154" s="697"/>
      <c r="Y154" s="697"/>
      <c r="Z154" s="697"/>
      <c r="AA154" s="697"/>
      <c r="AB154" s="697"/>
      <c r="AC154" s="697"/>
      <c r="AD154" s="697"/>
      <c r="AE154" s="697"/>
      <c r="AF154" s="697"/>
      <c r="AG154" s="697"/>
      <c r="AH154" s="697"/>
      <c r="AI154" s="697"/>
      <c r="AJ154" s="697"/>
      <c r="AK154" s="697"/>
      <c r="AL154" s="697"/>
      <c r="AM154" s="697"/>
      <c r="AN154" s="697"/>
      <c r="AO154" s="697"/>
      <c r="AP154" s="697"/>
      <c r="AQ154" s="697"/>
      <c r="AR154" s="697"/>
      <c r="AS154" s="697"/>
      <c r="AT154" s="697"/>
      <c r="AU154" s="697"/>
      <c r="AV154" s="697"/>
      <c r="AW154" s="697"/>
      <c r="AX154" s="697"/>
      <c r="AY154" s="697"/>
      <c r="AZ154" s="697"/>
      <c r="BA154" s="697"/>
      <c r="BB154" s="697"/>
      <c r="BC154" s="697"/>
      <c r="BD154" s="697"/>
      <c r="BE154" s="697"/>
      <c r="BF154" s="697"/>
      <c r="BG154" s="697"/>
      <c r="BH154" s="697"/>
      <c r="BI154" s="697"/>
      <c r="BJ154" s="697"/>
      <c r="BK154" s="697"/>
      <c r="BL154" s="697"/>
      <c r="BM154" s="697"/>
      <c r="BN154" s="697"/>
      <c r="BO154" s="697"/>
      <c r="BP154" s="697"/>
      <c r="BQ154" s="697"/>
      <c r="BR154" s="697"/>
      <c r="BS154" s="697"/>
      <c r="BT154" s="697"/>
      <c r="BU154" s="697"/>
      <c r="BV154" s="697"/>
      <c r="BW154" s="697"/>
      <c r="BX154" s="697"/>
      <c r="BY154" s="697"/>
      <c r="BZ154" s="697"/>
      <c r="CA154" s="697"/>
      <c r="CB154" s="697"/>
      <c r="CC154" s="697"/>
      <c r="CD154" s="697"/>
      <c r="CE154" s="697"/>
      <c r="CF154" s="697"/>
      <c r="CG154" s="697"/>
      <c r="CH154" s="697"/>
      <c r="CI154" s="697"/>
      <c r="CJ154" s="697"/>
      <c r="CK154" s="697"/>
      <c r="CL154" s="697"/>
      <c r="CM154" s="697"/>
      <c r="CN154" s="697"/>
      <c r="CO154" s="697"/>
      <c r="CP154" s="697"/>
      <c r="CQ154" s="697"/>
      <c r="CR154" s="697"/>
      <c r="CS154" s="697"/>
      <c r="CT154" s="697"/>
      <c r="CU154" s="697"/>
      <c r="CV154" s="697"/>
      <c r="CW154" s="697"/>
      <c r="CX154" s="697"/>
      <c r="CY154" s="697"/>
      <c r="CZ154" s="697"/>
      <c r="DA154" s="697"/>
      <c r="DB154" s="697"/>
    </row>
    <row r="155" spans="1:106" hidden="1" outlineLevel="1" x14ac:dyDescent="0.2">
      <c r="A155" s="709">
        <f t="shared" si="47"/>
        <v>37561</v>
      </c>
      <c r="B155" s="709" t="str">
        <f t="shared" si="48"/>
        <v>4Q02</v>
      </c>
      <c r="C155" s="709" t="str">
        <f t="shared" si="49"/>
        <v>1Q03</v>
      </c>
      <c r="D155" s="710">
        <f t="shared" si="55"/>
        <v>37635</v>
      </c>
      <c r="E155" s="710">
        <f t="shared" si="55"/>
        <v>37575</v>
      </c>
      <c r="F155" s="712">
        <v>25.68</v>
      </c>
      <c r="G155" s="713">
        <f t="shared" si="50"/>
        <v>1.4900000000000011</v>
      </c>
      <c r="H155" s="713">
        <f t="shared" si="51"/>
        <v>1.4900000000000011</v>
      </c>
      <c r="I155" s="713"/>
      <c r="J155" s="713"/>
      <c r="K155" s="713"/>
      <c r="L155" s="697"/>
      <c r="M155" s="697"/>
      <c r="N155" s="697"/>
      <c r="O155" s="697"/>
      <c r="P155" s="697"/>
      <c r="Q155" s="697"/>
      <c r="R155" s="697"/>
      <c r="S155" s="697"/>
      <c r="T155" s="697"/>
      <c r="U155" s="697"/>
      <c r="V155" s="697"/>
      <c r="W155" s="697"/>
      <c r="X155" s="697"/>
      <c r="Y155" s="697"/>
      <c r="Z155" s="697"/>
      <c r="AA155" s="697"/>
      <c r="AB155" s="697"/>
      <c r="AC155" s="697"/>
      <c r="AD155" s="697"/>
      <c r="AE155" s="697"/>
      <c r="AF155" s="697"/>
      <c r="AG155" s="697"/>
      <c r="AH155" s="697"/>
      <c r="AI155" s="697"/>
      <c r="AJ155" s="697"/>
      <c r="AK155" s="697"/>
      <c r="AL155" s="697"/>
      <c r="AM155" s="697"/>
      <c r="AN155" s="697"/>
      <c r="AO155" s="697"/>
      <c r="AP155" s="697"/>
      <c r="AQ155" s="697"/>
      <c r="AR155" s="697"/>
      <c r="AS155" s="697"/>
      <c r="AT155" s="697"/>
      <c r="AU155" s="697"/>
      <c r="AV155" s="697"/>
      <c r="AW155" s="697"/>
      <c r="AX155" s="697"/>
      <c r="AY155" s="697"/>
      <c r="AZ155" s="697"/>
      <c r="BA155" s="697"/>
      <c r="BB155" s="697"/>
      <c r="BC155" s="697"/>
      <c r="BD155" s="697"/>
      <c r="BE155" s="697"/>
      <c r="BF155" s="697"/>
      <c r="BG155" s="697"/>
      <c r="BH155" s="697"/>
      <c r="BI155" s="697"/>
      <c r="BJ155" s="697"/>
      <c r="BK155" s="697"/>
      <c r="BL155" s="697"/>
      <c r="BM155" s="697"/>
      <c r="BN155" s="697"/>
      <c r="BO155" s="697"/>
      <c r="BP155" s="697"/>
      <c r="BQ155" s="697"/>
      <c r="BR155" s="697"/>
      <c r="BS155" s="697"/>
      <c r="BT155" s="697"/>
      <c r="BU155" s="697"/>
      <c r="BV155" s="697"/>
      <c r="BW155" s="697"/>
      <c r="BX155" s="697"/>
      <c r="BY155" s="697"/>
      <c r="BZ155" s="697"/>
      <c r="CA155" s="697"/>
      <c r="CB155" s="697"/>
      <c r="CC155" s="697"/>
      <c r="CD155" s="697"/>
      <c r="CE155" s="697"/>
      <c r="CF155" s="697"/>
      <c r="CG155" s="697"/>
      <c r="CH155" s="697"/>
      <c r="CI155" s="697"/>
      <c r="CJ155" s="697"/>
      <c r="CK155" s="697"/>
      <c r="CL155" s="697"/>
      <c r="CM155" s="697"/>
      <c r="CN155" s="697"/>
      <c r="CO155" s="697"/>
      <c r="CP155" s="697"/>
      <c r="CQ155" s="697"/>
      <c r="CR155" s="697"/>
      <c r="CS155" s="697"/>
      <c r="CT155" s="697"/>
      <c r="CU155" s="697"/>
      <c r="CV155" s="697"/>
      <c r="CW155" s="697"/>
      <c r="CX155" s="697"/>
      <c r="CY155" s="697"/>
      <c r="CZ155" s="697"/>
      <c r="DA155" s="697"/>
      <c r="DB155" s="697"/>
    </row>
    <row r="156" spans="1:106" hidden="1" outlineLevel="1" x14ac:dyDescent="0.2">
      <c r="A156" s="709">
        <f t="shared" si="47"/>
        <v>37561</v>
      </c>
      <c r="B156" s="709" t="str">
        <f t="shared" si="48"/>
        <v>4Q02</v>
      </c>
      <c r="C156" s="709" t="str">
        <f t="shared" si="49"/>
        <v>1Q03</v>
      </c>
      <c r="D156" s="710">
        <f t="shared" si="55"/>
        <v>37642</v>
      </c>
      <c r="E156" s="710">
        <f t="shared" si="55"/>
        <v>37582</v>
      </c>
      <c r="F156" s="712">
        <v>26.98</v>
      </c>
      <c r="G156" s="713">
        <f t="shared" si="50"/>
        <v>1.4900000000000011</v>
      </c>
      <c r="H156" s="713">
        <f t="shared" si="51"/>
        <v>1.4900000000000011</v>
      </c>
      <c r="I156" s="713"/>
      <c r="J156" s="713"/>
      <c r="K156" s="713"/>
      <c r="L156" s="697"/>
      <c r="M156" s="697"/>
      <c r="N156" s="697"/>
      <c r="O156" s="697"/>
      <c r="P156" s="697"/>
      <c r="Q156" s="697"/>
      <c r="R156" s="697"/>
      <c r="S156" s="697"/>
      <c r="T156" s="697"/>
      <c r="U156" s="697"/>
      <c r="V156" s="697"/>
      <c r="W156" s="697"/>
      <c r="X156" s="697"/>
      <c r="Y156" s="697"/>
      <c r="Z156" s="697"/>
      <c r="AA156" s="697"/>
      <c r="AB156" s="697"/>
      <c r="AC156" s="697"/>
      <c r="AD156" s="697"/>
      <c r="AE156" s="697"/>
      <c r="AF156" s="697"/>
      <c r="AG156" s="697"/>
      <c r="AH156" s="697"/>
      <c r="AI156" s="697"/>
      <c r="AJ156" s="697"/>
      <c r="AK156" s="697"/>
      <c r="AL156" s="697"/>
      <c r="AM156" s="697"/>
      <c r="AN156" s="697"/>
      <c r="AO156" s="697"/>
      <c r="AP156" s="697"/>
      <c r="AQ156" s="697"/>
      <c r="AR156" s="697"/>
      <c r="AS156" s="697"/>
      <c r="AT156" s="697"/>
      <c r="AU156" s="697"/>
      <c r="AV156" s="697"/>
      <c r="AW156" s="697"/>
      <c r="AX156" s="697"/>
      <c r="AY156" s="697"/>
      <c r="AZ156" s="697"/>
      <c r="BA156" s="697"/>
      <c r="BB156" s="697"/>
      <c r="BC156" s="697"/>
      <c r="BD156" s="697"/>
      <c r="BE156" s="697"/>
      <c r="BF156" s="697"/>
      <c r="BG156" s="697"/>
      <c r="BH156" s="697"/>
      <c r="BI156" s="697"/>
      <c r="BJ156" s="697"/>
      <c r="BK156" s="697"/>
      <c r="BL156" s="697"/>
      <c r="BM156" s="697"/>
      <c r="BN156" s="697"/>
      <c r="BO156" s="697"/>
      <c r="BP156" s="697"/>
      <c r="BQ156" s="697"/>
      <c r="BR156" s="697"/>
      <c r="BS156" s="697"/>
      <c r="BT156" s="697"/>
      <c r="BU156" s="697"/>
      <c r="BV156" s="697"/>
      <c r="BW156" s="697"/>
      <c r="BX156" s="697"/>
      <c r="BY156" s="697"/>
      <c r="BZ156" s="697"/>
      <c r="CA156" s="697"/>
      <c r="CB156" s="697"/>
      <c r="CC156" s="697"/>
      <c r="CD156" s="697"/>
      <c r="CE156" s="697"/>
      <c r="CF156" s="697"/>
      <c r="CG156" s="697"/>
      <c r="CH156" s="697"/>
      <c r="CI156" s="697"/>
      <c r="CJ156" s="697"/>
      <c r="CK156" s="697"/>
      <c r="CL156" s="697"/>
      <c r="CM156" s="697"/>
      <c r="CN156" s="697"/>
      <c r="CO156" s="697"/>
      <c r="CP156" s="697"/>
      <c r="CQ156" s="697"/>
      <c r="CR156" s="697"/>
      <c r="CS156" s="697"/>
      <c r="CT156" s="697"/>
      <c r="CU156" s="697"/>
      <c r="CV156" s="697"/>
      <c r="CW156" s="697"/>
      <c r="CX156" s="697"/>
      <c r="CY156" s="697"/>
      <c r="CZ156" s="697"/>
      <c r="DA156" s="697"/>
      <c r="DB156" s="697"/>
    </row>
    <row r="157" spans="1:106" hidden="1" outlineLevel="1" x14ac:dyDescent="0.2">
      <c r="A157" s="709">
        <f t="shared" si="47"/>
        <v>37561</v>
      </c>
      <c r="B157" s="709" t="str">
        <f t="shared" si="48"/>
        <v>4Q02</v>
      </c>
      <c r="C157" s="709" t="str">
        <f t="shared" si="49"/>
        <v>1Q03</v>
      </c>
      <c r="D157" s="710">
        <f t="shared" si="55"/>
        <v>37649</v>
      </c>
      <c r="E157" s="710">
        <f t="shared" si="55"/>
        <v>37589</v>
      </c>
      <c r="F157" s="712">
        <v>26.83</v>
      </c>
      <c r="G157" s="713">
        <f t="shared" si="50"/>
        <v>1.4900000000000011</v>
      </c>
      <c r="H157" s="713">
        <f t="shared" si="51"/>
        <v>1.4900000000000011</v>
      </c>
      <c r="I157" s="713"/>
      <c r="J157" s="713"/>
      <c r="K157" s="713"/>
      <c r="L157" s="697"/>
      <c r="M157" s="697"/>
      <c r="N157" s="697"/>
      <c r="O157" s="697"/>
      <c r="P157" s="697"/>
      <c r="Q157" s="697"/>
      <c r="R157" s="697"/>
      <c r="S157" s="697"/>
      <c r="T157" s="697"/>
      <c r="U157" s="697"/>
      <c r="V157" s="697"/>
      <c r="W157" s="697"/>
      <c r="X157" s="697"/>
      <c r="Y157" s="697"/>
      <c r="Z157" s="697"/>
      <c r="AA157" s="697"/>
      <c r="AB157" s="697"/>
      <c r="AC157" s="697"/>
      <c r="AD157" s="697"/>
      <c r="AE157" s="697"/>
      <c r="AF157" s="697"/>
      <c r="AG157" s="697"/>
      <c r="AH157" s="697"/>
      <c r="AI157" s="697"/>
      <c r="AJ157" s="697"/>
      <c r="AK157" s="697"/>
      <c r="AL157" s="697"/>
      <c r="AM157" s="697"/>
      <c r="AN157" s="697"/>
      <c r="AO157" s="697"/>
      <c r="AP157" s="697"/>
      <c r="AQ157" s="697"/>
      <c r="AR157" s="697"/>
      <c r="AS157" s="697"/>
      <c r="AT157" s="697"/>
      <c r="AU157" s="697"/>
      <c r="AV157" s="697"/>
      <c r="AW157" s="697"/>
      <c r="AX157" s="697"/>
      <c r="AY157" s="697"/>
      <c r="AZ157" s="697"/>
      <c r="BA157" s="697"/>
      <c r="BB157" s="697"/>
      <c r="BC157" s="697"/>
      <c r="BD157" s="697"/>
      <c r="BE157" s="697"/>
      <c r="BF157" s="697"/>
      <c r="BG157" s="697"/>
      <c r="BH157" s="697"/>
      <c r="BI157" s="697"/>
      <c r="BJ157" s="697"/>
      <c r="BK157" s="697"/>
      <c r="BL157" s="697"/>
      <c r="BM157" s="697"/>
      <c r="BN157" s="697"/>
      <c r="BO157" s="697"/>
      <c r="BP157" s="697"/>
      <c r="BQ157" s="697"/>
      <c r="BR157" s="697"/>
      <c r="BS157" s="697"/>
      <c r="BT157" s="697"/>
      <c r="BU157" s="697"/>
      <c r="BV157" s="697"/>
      <c r="BW157" s="697"/>
      <c r="BX157" s="697"/>
      <c r="BY157" s="697"/>
      <c r="BZ157" s="697"/>
      <c r="CA157" s="697"/>
      <c r="CB157" s="697"/>
      <c r="CC157" s="697"/>
      <c r="CD157" s="697"/>
      <c r="CE157" s="697"/>
      <c r="CF157" s="697"/>
      <c r="CG157" s="697"/>
      <c r="CH157" s="697"/>
      <c r="CI157" s="697"/>
      <c r="CJ157" s="697"/>
      <c r="CK157" s="697"/>
      <c r="CL157" s="697"/>
      <c r="CM157" s="697"/>
      <c r="CN157" s="697"/>
      <c r="CO157" s="697"/>
      <c r="CP157" s="697"/>
      <c r="CQ157" s="697"/>
      <c r="CR157" s="697"/>
      <c r="CS157" s="697"/>
      <c r="CT157" s="697"/>
      <c r="CU157" s="697"/>
      <c r="CV157" s="697"/>
      <c r="CW157" s="697"/>
      <c r="CX157" s="697"/>
      <c r="CY157" s="697"/>
      <c r="CZ157" s="697"/>
      <c r="DA157" s="697"/>
      <c r="DB157" s="697"/>
    </row>
    <row r="158" spans="1:106" hidden="1" outlineLevel="1" x14ac:dyDescent="0.2">
      <c r="A158" s="709">
        <f t="shared" si="47"/>
        <v>37591</v>
      </c>
      <c r="B158" s="709" t="str">
        <f t="shared" si="48"/>
        <v>4Q02</v>
      </c>
      <c r="C158" s="709" t="str">
        <f t="shared" si="49"/>
        <v>1Q03</v>
      </c>
      <c r="D158" s="710">
        <f t="shared" si="55"/>
        <v>37656</v>
      </c>
      <c r="E158" s="710">
        <f t="shared" si="55"/>
        <v>37596</v>
      </c>
      <c r="F158" s="712">
        <v>27.14</v>
      </c>
      <c r="G158" s="713">
        <f t="shared" si="50"/>
        <v>1.4900000000000011</v>
      </c>
      <c r="H158" s="713">
        <f t="shared" si="51"/>
        <v>1.4900000000000011</v>
      </c>
      <c r="I158" s="713"/>
      <c r="J158" s="713"/>
      <c r="K158" s="713"/>
      <c r="L158" s="697"/>
      <c r="M158" s="697"/>
      <c r="N158" s="697"/>
      <c r="O158" s="697"/>
      <c r="P158" s="697"/>
      <c r="Q158" s="697"/>
      <c r="R158" s="697"/>
      <c r="S158" s="697"/>
      <c r="T158" s="697"/>
      <c r="U158" s="697"/>
      <c r="V158" s="697"/>
      <c r="W158" s="697"/>
      <c r="X158" s="697"/>
      <c r="Y158" s="697"/>
      <c r="Z158" s="697"/>
      <c r="AA158" s="697"/>
      <c r="AB158" s="697"/>
      <c r="AC158" s="697"/>
      <c r="AD158" s="697"/>
      <c r="AE158" s="697"/>
      <c r="AF158" s="697"/>
      <c r="AG158" s="697"/>
      <c r="AH158" s="697"/>
      <c r="AI158" s="697"/>
      <c r="AJ158" s="697"/>
      <c r="AK158" s="697"/>
      <c r="AL158" s="697"/>
      <c r="AM158" s="697"/>
      <c r="AN158" s="697"/>
      <c r="AO158" s="697"/>
      <c r="AP158" s="697"/>
      <c r="AQ158" s="697"/>
      <c r="AR158" s="697"/>
      <c r="AS158" s="697"/>
      <c r="AT158" s="697"/>
      <c r="AU158" s="697"/>
      <c r="AV158" s="697"/>
      <c r="AW158" s="697"/>
      <c r="AX158" s="697"/>
      <c r="AY158" s="697"/>
      <c r="AZ158" s="697"/>
      <c r="BA158" s="697"/>
      <c r="BB158" s="697"/>
      <c r="BC158" s="697"/>
      <c r="BD158" s="697"/>
      <c r="BE158" s="697"/>
      <c r="BF158" s="697"/>
      <c r="BG158" s="697"/>
      <c r="BH158" s="697"/>
      <c r="BI158" s="697"/>
      <c r="BJ158" s="697"/>
      <c r="BK158" s="697"/>
      <c r="BL158" s="697"/>
      <c r="BM158" s="697"/>
      <c r="BN158" s="697"/>
      <c r="BO158" s="697"/>
      <c r="BP158" s="697"/>
      <c r="BQ158" s="697"/>
      <c r="BR158" s="697"/>
      <c r="BS158" s="697"/>
      <c r="BT158" s="697"/>
      <c r="BU158" s="697"/>
      <c r="BV158" s="697"/>
      <c r="BW158" s="697"/>
      <c r="BX158" s="697"/>
      <c r="BY158" s="697"/>
      <c r="BZ158" s="697"/>
      <c r="CA158" s="697"/>
      <c r="CB158" s="697"/>
      <c r="CC158" s="697"/>
      <c r="CD158" s="697"/>
      <c r="CE158" s="697"/>
      <c r="CF158" s="697"/>
      <c r="CG158" s="697"/>
      <c r="CH158" s="697"/>
      <c r="CI158" s="697"/>
      <c r="CJ158" s="697"/>
      <c r="CK158" s="697"/>
      <c r="CL158" s="697"/>
      <c r="CM158" s="697"/>
      <c r="CN158" s="697"/>
      <c r="CO158" s="697"/>
      <c r="CP158" s="697"/>
      <c r="CQ158" s="697"/>
      <c r="CR158" s="697"/>
      <c r="CS158" s="697"/>
      <c r="CT158" s="697"/>
      <c r="CU158" s="697"/>
      <c r="CV158" s="697"/>
      <c r="CW158" s="697"/>
      <c r="CX158" s="697"/>
      <c r="CY158" s="697"/>
      <c r="CZ158" s="697"/>
      <c r="DA158" s="697"/>
      <c r="DB158" s="697"/>
    </row>
    <row r="159" spans="1:106" hidden="1" outlineLevel="1" x14ac:dyDescent="0.2">
      <c r="A159" s="709">
        <f t="shared" si="47"/>
        <v>37591</v>
      </c>
      <c r="B159" s="709" t="str">
        <f t="shared" si="48"/>
        <v>4Q02</v>
      </c>
      <c r="C159" s="709" t="str">
        <f t="shared" si="49"/>
        <v>1Q03</v>
      </c>
      <c r="D159" s="710">
        <f t="shared" si="55"/>
        <v>37663</v>
      </c>
      <c r="E159" s="710">
        <f t="shared" si="55"/>
        <v>37603</v>
      </c>
      <c r="F159" s="712">
        <v>27.82</v>
      </c>
      <c r="G159" s="713">
        <f t="shared" si="50"/>
        <v>1.4900000000000011</v>
      </c>
      <c r="H159" s="713">
        <f t="shared" si="51"/>
        <v>1.4900000000000011</v>
      </c>
      <c r="I159" s="713"/>
      <c r="J159" s="713"/>
      <c r="K159" s="713"/>
      <c r="L159" s="697"/>
      <c r="M159" s="697"/>
      <c r="N159" s="697"/>
      <c r="O159" s="697"/>
      <c r="P159" s="697"/>
      <c r="Q159" s="697"/>
      <c r="R159" s="697"/>
      <c r="S159" s="697"/>
      <c r="T159" s="697"/>
      <c r="U159" s="697"/>
      <c r="V159" s="697"/>
      <c r="W159" s="697"/>
      <c r="X159" s="697"/>
      <c r="Y159" s="697"/>
      <c r="Z159" s="697"/>
      <c r="AA159" s="697"/>
      <c r="AB159" s="697"/>
      <c r="AC159" s="697"/>
      <c r="AD159" s="697"/>
      <c r="AE159" s="697"/>
      <c r="AF159" s="697"/>
      <c r="AG159" s="697"/>
      <c r="AH159" s="697"/>
      <c r="AI159" s="697"/>
      <c r="AJ159" s="697"/>
      <c r="AK159" s="697"/>
      <c r="AL159" s="697"/>
      <c r="AM159" s="697"/>
      <c r="AN159" s="697"/>
      <c r="AO159" s="697"/>
      <c r="AP159" s="697"/>
      <c r="AQ159" s="697"/>
      <c r="AR159" s="697"/>
      <c r="AS159" s="697"/>
      <c r="AT159" s="697"/>
      <c r="AU159" s="697"/>
      <c r="AV159" s="697"/>
      <c r="AW159" s="697"/>
      <c r="AX159" s="697"/>
      <c r="AY159" s="697"/>
      <c r="AZ159" s="697"/>
      <c r="BA159" s="697"/>
      <c r="BB159" s="697"/>
      <c r="BC159" s="697"/>
      <c r="BD159" s="697"/>
      <c r="BE159" s="697"/>
      <c r="BF159" s="697"/>
      <c r="BG159" s="697"/>
      <c r="BH159" s="697"/>
      <c r="BI159" s="697"/>
      <c r="BJ159" s="697"/>
      <c r="BK159" s="697"/>
      <c r="BL159" s="697"/>
      <c r="BM159" s="697"/>
      <c r="BN159" s="697"/>
      <c r="BO159" s="697"/>
      <c r="BP159" s="697"/>
      <c r="BQ159" s="697"/>
      <c r="BR159" s="697"/>
      <c r="BS159" s="697"/>
      <c r="BT159" s="697"/>
      <c r="BU159" s="697"/>
      <c r="BV159" s="697"/>
      <c r="BW159" s="697"/>
      <c r="BX159" s="697"/>
      <c r="BY159" s="697"/>
      <c r="BZ159" s="697"/>
      <c r="CA159" s="697"/>
      <c r="CB159" s="697"/>
      <c r="CC159" s="697"/>
      <c r="CD159" s="697"/>
      <c r="CE159" s="697"/>
      <c r="CF159" s="697"/>
      <c r="CG159" s="697"/>
      <c r="CH159" s="697"/>
      <c r="CI159" s="697"/>
      <c r="CJ159" s="697"/>
      <c r="CK159" s="697"/>
      <c r="CL159" s="697"/>
      <c r="CM159" s="697"/>
      <c r="CN159" s="697"/>
      <c r="CO159" s="697"/>
      <c r="CP159" s="697"/>
      <c r="CQ159" s="697"/>
      <c r="CR159" s="697"/>
      <c r="CS159" s="697"/>
      <c r="CT159" s="697"/>
      <c r="CU159" s="697"/>
      <c r="CV159" s="697"/>
      <c r="CW159" s="697"/>
      <c r="CX159" s="697"/>
      <c r="CY159" s="697"/>
      <c r="CZ159" s="697"/>
      <c r="DA159" s="697"/>
      <c r="DB159" s="697"/>
    </row>
    <row r="160" spans="1:106" hidden="1" outlineLevel="1" x14ac:dyDescent="0.2">
      <c r="A160" s="709">
        <f t="shared" si="47"/>
        <v>37591</v>
      </c>
      <c r="B160" s="709" t="str">
        <f t="shared" si="48"/>
        <v>4Q02</v>
      </c>
      <c r="C160" s="709" t="str">
        <f t="shared" si="49"/>
        <v>1Q03</v>
      </c>
      <c r="D160" s="710">
        <f t="shared" si="55"/>
        <v>37670</v>
      </c>
      <c r="E160" s="710">
        <f t="shared" si="55"/>
        <v>37610</v>
      </c>
      <c r="F160" s="712">
        <v>30.35</v>
      </c>
      <c r="G160" s="713">
        <f t="shared" si="50"/>
        <v>1.4900000000000011</v>
      </c>
      <c r="H160" s="713">
        <f t="shared" si="51"/>
        <v>1.4900000000000011</v>
      </c>
      <c r="I160" s="713"/>
      <c r="J160" s="713"/>
      <c r="K160" s="713"/>
      <c r="L160" s="697"/>
      <c r="M160" s="697"/>
      <c r="N160" s="697"/>
      <c r="O160" s="697"/>
      <c r="P160" s="697"/>
      <c r="Q160" s="697"/>
      <c r="R160" s="697"/>
      <c r="S160" s="697"/>
      <c r="T160" s="697"/>
      <c r="U160" s="697"/>
      <c r="V160" s="697"/>
      <c r="W160" s="697"/>
      <c r="X160" s="697"/>
      <c r="Y160" s="697"/>
      <c r="Z160" s="697"/>
      <c r="AA160" s="697"/>
      <c r="AB160" s="697"/>
      <c r="AC160" s="697"/>
      <c r="AD160" s="697"/>
      <c r="AE160" s="697"/>
      <c r="AF160" s="697"/>
      <c r="AG160" s="697"/>
      <c r="AH160" s="697"/>
      <c r="AI160" s="697"/>
      <c r="AJ160" s="697"/>
      <c r="AK160" s="697"/>
      <c r="AL160" s="697"/>
      <c r="AM160" s="697"/>
      <c r="AN160" s="697"/>
      <c r="AO160" s="697"/>
      <c r="AP160" s="697"/>
      <c r="AQ160" s="697"/>
      <c r="AR160" s="697"/>
      <c r="AS160" s="697"/>
      <c r="AT160" s="697"/>
      <c r="AU160" s="697"/>
      <c r="AV160" s="697"/>
      <c r="AW160" s="697"/>
      <c r="AX160" s="697"/>
      <c r="AY160" s="697"/>
      <c r="AZ160" s="697"/>
      <c r="BA160" s="697"/>
      <c r="BB160" s="697"/>
      <c r="BC160" s="697"/>
      <c r="BD160" s="697"/>
      <c r="BE160" s="697"/>
      <c r="BF160" s="697"/>
      <c r="BG160" s="697"/>
      <c r="BH160" s="697"/>
      <c r="BI160" s="697"/>
      <c r="BJ160" s="697"/>
      <c r="BK160" s="697"/>
      <c r="BL160" s="697"/>
      <c r="BM160" s="697"/>
      <c r="BN160" s="697"/>
      <c r="BO160" s="697"/>
      <c r="BP160" s="697"/>
      <c r="BQ160" s="697"/>
      <c r="BR160" s="697"/>
      <c r="BS160" s="697"/>
      <c r="BT160" s="697"/>
      <c r="BU160" s="697"/>
      <c r="BV160" s="697"/>
      <c r="BW160" s="697"/>
      <c r="BX160" s="697"/>
      <c r="BY160" s="697"/>
      <c r="BZ160" s="697"/>
      <c r="CA160" s="697"/>
      <c r="CB160" s="697"/>
      <c r="CC160" s="697"/>
      <c r="CD160" s="697"/>
      <c r="CE160" s="697"/>
      <c r="CF160" s="697"/>
      <c r="CG160" s="697"/>
      <c r="CH160" s="697"/>
      <c r="CI160" s="697"/>
      <c r="CJ160" s="697"/>
      <c r="CK160" s="697"/>
      <c r="CL160" s="697"/>
      <c r="CM160" s="697"/>
      <c r="CN160" s="697"/>
      <c r="CO160" s="697"/>
      <c r="CP160" s="697"/>
      <c r="CQ160" s="697"/>
      <c r="CR160" s="697"/>
      <c r="CS160" s="697"/>
      <c r="CT160" s="697"/>
      <c r="CU160" s="697"/>
      <c r="CV160" s="697"/>
      <c r="CW160" s="697"/>
      <c r="CX160" s="697"/>
      <c r="CY160" s="697"/>
      <c r="CZ160" s="697"/>
      <c r="DA160" s="697"/>
      <c r="DB160" s="697"/>
    </row>
    <row r="161" spans="1:106" hidden="1" outlineLevel="1" x14ac:dyDescent="0.2">
      <c r="A161" s="709">
        <f t="shared" si="47"/>
        <v>37591</v>
      </c>
      <c r="B161" s="709" t="str">
        <f t="shared" si="48"/>
        <v>4Q02</v>
      </c>
      <c r="C161" s="709" t="str">
        <f t="shared" si="49"/>
        <v>1Q03</v>
      </c>
      <c r="D161" s="710">
        <f t="shared" si="55"/>
        <v>37677</v>
      </c>
      <c r="E161" s="710">
        <f t="shared" si="55"/>
        <v>37617</v>
      </c>
      <c r="F161" s="712">
        <v>32.380000000000003</v>
      </c>
      <c r="G161" s="713">
        <f t="shared" si="50"/>
        <v>1.4900000000000011</v>
      </c>
      <c r="H161" s="713">
        <f t="shared" si="51"/>
        <v>1.4900000000000011</v>
      </c>
      <c r="I161" s="713"/>
      <c r="J161" s="713"/>
      <c r="K161" s="713"/>
      <c r="L161" s="697"/>
      <c r="M161" s="697"/>
      <c r="N161" s="697"/>
      <c r="O161" s="697"/>
      <c r="P161" s="697"/>
      <c r="Q161" s="697"/>
      <c r="R161" s="697"/>
      <c r="S161" s="697"/>
      <c r="T161" s="697"/>
      <c r="U161" s="697"/>
      <c r="V161" s="697"/>
      <c r="W161" s="697"/>
      <c r="X161" s="697"/>
      <c r="Y161" s="697"/>
      <c r="Z161" s="697"/>
      <c r="AA161" s="697"/>
      <c r="AB161" s="697"/>
      <c r="AC161" s="697"/>
      <c r="AD161" s="697"/>
      <c r="AE161" s="697"/>
      <c r="AF161" s="697"/>
      <c r="AG161" s="697"/>
      <c r="AH161" s="697"/>
      <c r="AI161" s="697"/>
      <c r="AJ161" s="697"/>
      <c r="AK161" s="697"/>
      <c r="AL161" s="697"/>
      <c r="AM161" s="697"/>
      <c r="AN161" s="697"/>
      <c r="AO161" s="697"/>
      <c r="AP161" s="697"/>
      <c r="AQ161" s="697"/>
      <c r="AR161" s="697"/>
      <c r="AS161" s="697"/>
      <c r="AT161" s="697"/>
      <c r="AU161" s="697"/>
      <c r="AV161" s="697"/>
      <c r="AW161" s="697"/>
      <c r="AX161" s="697"/>
      <c r="AY161" s="697"/>
      <c r="AZ161" s="697"/>
      <c r="BA161" s="697"/>
      <c r="BB161" s="697"/>
      <c r="BC161" s="697"/>
      <c r="BD161" s="697"/>
      <c r="BE161" s="697"/>
      <c r="BF161" s="697"/>
      <c r="BG161" s="697"/>
      <c r="BH161" s="697"/>
      <c r="BI161" s="697"/>
      <c r="BJ161" s="697"/>
      <c r="BK161" s="697"/>
      <c r="BL161" s="697"/>
      <c r="BM161" s="697"/>
      <c r="BN161" s="697"/>
      <c r="BO161" s="697"/>
      <c r="BP161" s="697"/>
      <c r="BQ161" s="697"/>
      <c r="BR161" s="697"/>
      <c r="BS161" s="697"/>
      <c r="BT161" s="697"/>
      <c r="BU161" s="697"/>
      <c r="BV161" s="697"/>
      <c r="BW161" s="697"/>
      <c r="BX161" s="697"/>
      <c r="BY161" s="697"/>
      <c r="BZ161" s="697"/>
      <c r="CA161" s="697"/>
      <c r="CB161" s="697"/>
      <c r="CC161" s="697"/>
      <c r="CD161" s="697"/>
      <c r="CE161" s="697"/>
      <c r="CF161" s="697"/>
      <c r="CG161" s="697"/>
      <c r="CH161" s="697"/>
      <c r="CI161" s="697"/>
      <c r="CJ161" s="697"/>
      <c r="CK161" s="697"/>
      <c r="CL161" s="697"/>
      <c r="CM161" s="697"/>
      <c r="CN161" s="697"/>
      <c r="CO161" s="697"/>
      <c r="CP161" s="697"/>
      <c r="CQ161" s="697"/>
      <c r="CR161" s="697"/>
      <c r="CS161" s="697"/>
      <c r="CT161" s="697"/>
      <c r="CU161" s="697"/>
      <c r="CV161" s="697"/>
      <c r="CW161" s="697"/>
      <c r="CX161" s="697"/>
      <c r="CY161" s="697"/>
      <c r="CZ161" s="697"/>
      <c r="DA161" s="697"/>
      <c r="DB161" s="697"/>
    </row>
    <row r="162" spans="1:106" hidden="1" outlineLevel="1" x14ac:dyDescent="0.2">
      <c r="A162" s="709">
        <f t="shared" si="47"/>
        <v>37622</v>
      </c>
      <c r="B162" s="709" t="str">
        <f t="shared" si="48"/>
        <v>1Q03</v>
      </c>
      <c r="C162" s="709" t="str">
        <f t="shared" si="49"/>
        <v>1Q03</v>
      </c>
      <c r="D162" s="710">
        <f t="shared" si="55"/>
        <v>37684</v>
      </c>
      <c r="E162" s="710">
        <f t="shared" si="55"/>
        <v>37624</v>
      </c>
      <c r="F162" s="712">
        <v>31.96</v>
      </c>
      <c r="G162" s="713">
        <f t="shared" si="50"/>
        <v>1.4900000000000011</v>
      </c>
      <c r="H162" s="713">
        <f t="shared" si="51"/>
        <v>1.4900000000000011</v>
      </c>
      <c r="I162" s="713"/>
      <c r="J162" s="713"/>
      <c r="K162" s="713"/>
      <c r="L162" s="697"/>
      <c r="M162" s="697"/>
      <c r="N162" s="697"/>
      <c r="O162" s="697"/>
      <c r="P162" s="697"/>
      <c r="Q162" s="697"/>
      <c r="R162" s="697"/>
      <c r="S162" s="697"/>
      <c r="T162" s="697"/>
      <c r="U162" s="697"/>
      <c r="V162" s="697"/>
      <c r="W162" s="697"/>
      <c r="X162" s="697"/>
      <c r="Y162" s="697"/>
      <c r="Z162" s="697"/>
      <c r="AA162" s="697"/>
      <c r="AB162" s="697"/>
      <c r="AC162" s="697"/>
      <c r="AD162" s="697"/>
      <c r="AE162" s="697"/>
      <c r="AF162" s="697"/>
      <c r="AG162" s="697"/>
      <c r="AH162" s="697"/>
      <c r="AI162" s="697"/>
      <c r="AJ162" s="697"/>
      <c r="AK162" s="697"/>
      <c r="AL162" s="697"/>
      <c r="AM162" s="697"/>
      <c r="AN162" s="697"/>
      <c r="AO162" s="697"/>
      <c r="AP162" s="697"/>
      <c r="AQ162" s="697"/>
      <c r="AR162" s="697"/>
      <c r="AS162" s="697"/>
      <c r="AT162" s="697"/>
      <c r="AU162" s="697"/>
      <c r="AV162" s="697"/>
      <c r="AW162" s="697"/>
      <c r="AX162" s="697"/>
      <c r="AY162" s="697"/>
      <c r="AZ162" s="697"/>
      <c r="BA162" s="697"/>
      <c r="BB162" s="697"/>
      <c r="BC162" s="697"/>
      <c r="BD162" s="697"/>
      <c r="BE162" s="697"/>
      <c r="BF162" s="697"/>
      <c r="BG162" s="697"/>
      <c r="BH162" s="697"/>
      <c r="BI162" s="697"/>
      <c r="BJ162" s="697"/>
      <c r="BK162" s="697"/>
      <c r="BL162" s="697"/>
      <c r="BM162" s="697"/>
      <c r="BN162" s="697"/>
      <c r="BO162" s="697"/>
      <c r="BP162" s="697"/>
      <c r="BQ162" s="697"/>
      <c r="BR162" s="697"/>
      <c r="BS162" s="697"/>
      <c r="BT162" s="697"/>
      <c r="BU162" s="697"/>
      <c r="BV162" s="697"/>
      <c r="BW162" s="697"/>
      <c r="BX162" s="697"/>
      <c r="BY162" s="697"/>
      <c r="BZ162" s="697"/>
      <c r="CA162" s="697"/>
      <c r="CB162" s="697"/>
      <c r="CC162" s="697"/>
      <c r="CD162" s="697"/>
      <c r="CE162" s="697"/>
      <c r="CF162" s="697"/>
      <c r="CG162" s="697"/>
      <c r="CH162" s="697"/>
      <c r="CI162" s="697"/>
      <c r="CJ162" s="697"/>
      <c r="CK162" s="697"/>
      <c r="CL162" s="697"/>
      <c r="CM162" s="697"/>
      <c r="CN162" s="697"/>
      <c r="CO162" s="697"/>
      <c r="CP162" s="697"/>
      <c r="CQ162" s="697"/>
      <c r="CR162" s="697"/>
      <c r="CS162" s="697"/>
      <c r="CT162" s="697"/>
      <c r="CU162" s="697"/>
      <c r="CV162" s="697"/>
      <c r="CW162" s="697"/>
      <c r="CX162" s="697"/>
      <c r="CY162" s="697"/>
      <c r="CZ162" s="697"/>
      <c r="DA162" s="697"/>
      <c r="DB162" s="697"/>
    </row>
    <row r="163" spans="1:106" hidden="1" outlineLevel="1" x14ac:dyDescent="0.2">
      <c r="A163" s="709">
        <f t="shared" si="47"/>
        <v>37622</v>
      </c>
      <c r="B163" s="709" t="str">
        <f t="shared" si="48"/>
        <v>1Q03</v>
      </c>
      <c r="C163" s="709" t="str">
        <f t="shared" si="49"/>
        <v>1Q03</v>
      </c>
      <c r="D163" s="710">
        <f t="shared" si="55"/>
        <v>37691</v>
      </c>
      <c r="E163" s="710">
        <f t="shared" si="55"/>
        <v>37631</v>
      </c>
      <c r="F163" s="712">
        <v>31.54</v>
      </c>
      <c r="G163" s="713">
        <f t="shared" si="50"/>
        <v>1.4900000000000011</v>
      </c>
      <c r="H163" s="713">
        <f t="shared" si="51"/>
        <v>1.4900000000000011</v>
      </c>
      <c r="I163" s="713"/>
      <c r="J163" s="713"/>
      <c r="K163" s="713"/>
      <c r="L163" s="697"/>
      <c r="M163" s="697"/>
      <c r="N163" s="697"/>
      <c r="O163" s="697"/>
      <c r="P163" s="697"/>
      <c r="Q163" s="697"/>
      <c r="R163" s="697"/>
      <c r="S163" s="697"/>
      <c r="T163" s="697"/>
      <c r="U163" s="697"/>
      <c r="V163" s="697"/>
      <c r="W163" s="697"/>
      <c r="X163" s="697"/>
      <c r="Y163" s="697"/>
      <c r="Z163" s="697"/>
      <c r="AA163" s="697"/>
      <c r="AB163" s="697"/>
      <c r="AC163" s="697"/>
      <c r="AD163" s="697"/>
      <c r="AE163" s="697"/>
      <c r="AF163" s="697"/>
      <c r="AG163" s="697"/>
      <c r="AH163" s="697"/>
      <c r="AI163" s="697"/>
      <c r="AJ163" s="697"/>
      <c r="AK163" s="697"/>
      <c r="AL163" s="697"/>
      <c r="AM163" s="697"/>
      <c r="AN163" s="697"/>
      <c r="AO163" s="697"/>
      <c r="AP163" s="697"/>
      <c r="AQ163" s="697"/>
      <c r="AR163" s="697"/>
      <c r="AS163" s="697"/>
      <c r="AT163" s="697"/>
      <c r="AU163" s="697"/>
      <c r="AV163" s="697"/>
      <c r="AW163" s="697"/>
      <c r="AX163" s="697"/>
      <c r="AY163" s="697"/>
      <c r="AZ163" s="697"/>
      <c r="BA163" s="697"/>
      <c r="BB163" s="697"/>
      <c r="BC163" s="697"/>
      <c r="BD163" s="697"/>
      <c r="BE163" s="697"/>
      <c r="BF163" s="697"/>
      <c r="BG163" s="697"/>
      <c r="BH163" s="697"/>
      <c r="BI163" s="697"/>
      <c r="BJ163" s="697"/>
      <c r="BK163" s="697"/>
      <c r="BL163" s="697"/>
      <c r="BM163" s="697"/>
      <c r="BN163" s="697"/>
      <c r="BO163" s="697"/>
      <c r="BP163" s="697"/>
      <c r="BQ163" s="697"/>
      <c r="BR163" s="697"/>
      <c r="BS163" s="697"/>
      <c r="BT163" s="697"/>
      <c r="BU163" s="697"/>
      <c r="BV163" s="697"/>
      <c r="BW163" s="697"/>
      <c r="BX163" s="697"/>
      <c r="BY163" s="697"/>
      <c r="BZ163" s="697"/>
      <c r="CA163" s="697"/>
      <c r="CB163" s="697"/>
      <c r="CC163" s="697"/>
      <c r="CD163" s="697"/>
      <c r="CE163" s="697"/>
      <c r="CF163" s="697"/>
      <c r="CG163" s="697"/>
      <c r="CH163" s="697"/>
      <c r="CI163" s="697"/>
      <c r="CJ163" s="697"/>
      <c r="CK163" s="697"/>
      <c r="CL163" s="697"/>
      <c r="CM163" s="697"/>
      <c r="CN163" s="697"/>
      <c r="CO163" s="697"/>
      <c r="CP163" s="697"/>
      <c r="CQ163" s="697"/>
      <c r="CR163" s="697"/>
      <c r="CS163" s="697"/>
      <c r="CT163" s="697"/>
      <c r="CU163" s="697"/>
      <c r="CV163" s="697"/>
      <c r="CW163" s="697"/>
      <c r="CX163" s="697"/>
      <c r="CY163" s="697"/>
      <c r="CZ163" s="697"/>
      <c r="DA163" s="697"/>
      <c r="DB163" s="697"/>
    </row>
    <row r="164" spans="1:106" hidden="1" outlineLevel="1" x14ac:dyDescent="0.2">
      <c r="A164" s="709">
        <f t="shared" si="47"/>
        <v>37622</v>
      </c>
      <c r="B164" s="709" t="str">
        <f t="shared" si="48"/>
        <v>1Q03</v>
      </c>
      <c r="C164" s="709" t="str">
        <f t="shared" si="49"/>
        <v>1Q03</v>
      </c>
      <c r="D164" s="710">
        <f t="shared" si="55"/>
        <v>37698</v>
      </c>
      <c r="E164" s="710">
        <f t="shared" si="55"/>
        <v>37638</v>
      </c>
      <c r="F164" s="712">
        <v>33.04</v>
      </c>
      <c r="G164" s="713">
        <f t="shared" si="50"/>
        <v>1.4900000000000011</v>
      </c>
      <c r="H164" s="713">
        <f t="shared" si="51"/>
        <v>1.4900000000000011</v>
      </c>
      <c r="I164" s="713"/>
      <c r="J164" s="713"/>
      <c r="K164" s="713"/>
      <c r="L164" s="697"/>
      <c r="M164" s="697"/>
      <c r="N164" s="697"/>
      <c r="O164" s="697"/>
      <c r="P164" s="697"/>
      <c r="Q164" s="697"/>
      <c r="R164" s="697"/>
      <c r="S164" s="697"/>
      <c r="T164" s="697"/>
      <c r="U164" s="697"/>
      <c r="V164" s="697"/>
      <c r="W164" s="697"/>
      <c r="X164" s="697"/>
      <c r="Y164" s="697"/>
      <c r="Z164" s="697"/>
      <c r="AA164" s="697"/>
      <c r="AB164" s="697"/>
      <c r="AC164" s="697"/>
      <c r="AD164" s="697"/>
      <c r="AE164" s="697"/>
      <c r="AF164" s="697"/>
      <c r="AG164" s="697"/>
      <c r="AH164" s="697"/>
      <c r="AI164" s="697"/>
      <c r="AJ164" s="697"/>
      <c r="AK164" s="697"/>
      <c r="AL164" s="697"/>
      <c r="AM164" s="697"/>
      <c r="AN164" s="697"/>
      <c r="AO164" s="697"/>
      <c r="AP164" s="697"/>
      <c r="AQ164" s="697"/>
      <c r="AR164" s="697"/>
      <c r="AS164" s="697"/>
      <c r="AT164" s="697"/>
      <c r="AU164" s="697"/>
      <c r="AV164" s="697"/>
      <c r="AW164" s="697"/>
      <c r="AX164" s="697"/>
      <c r="AY164" s="697"/>
      <c r="AZ164" s="697"/>
      <c r="BA164" s="697"/>
      <c r="BB164" s="697"/>
      <c r="BC164" s="697"/>
      <c r="BD164" s="697"/>
      <c r="BE164" s="697"/>
      <c r="BF164" s="697"/>
      <c r="BG164" s="697"/>
      <c r="BH164" s="697"/>
      <c r="BI164" s="697"/>
      <c r="BJ164" s="697"/>
      <c r="BK164" s="697"/>
      <c r="BL164" s="697"/>
      <c r="BM164" s="697"/>
      <c r="BN164" s="697"/>
      <c r="BO164" s="697"/>
      <c r="BP164" s="697"/>
      <c r="BQ164" s="697"/>
      <c r="BR164" s="697"/>
      <c r="BS164" s="697"/>
      <c r="BT164" s="697"/>
      <c r="BU164" s="697"/>
      <c r="BV164" s="697"/>
      <c r="BW164" s="697"/>
      <c r="BX164" s="697"/>
      <c r="BY164" s="697"/>
      <c r="BZ164" s="697"/>
      <c r="CA164" s="697"/>
      <c r="CB164" s="697"/>
      <c r="CC164" s="697"/>
      <c r="CD164" s="697"/>
      <c r="CE164" s="697"/>
      <c r="CF164" s="697"/>
      <c r="CG164" s="697"/>
      <c r="CH164" s="697"/>
      <c r="CI164" s="697"/>
      <c r="CJ164" s="697"/>
      <c r="CK164" s="697"/>
      <c r="CL164" s="697"/>
      <c r="CM164" s="697"/>
      <c r="CN164" s="697"/>
      <c r="CO164" s="697"/>
      <c r="CP164" s="697"/>
      <c r="CQ164" s="697"/>
      <c r="CR164" s="697"/>
      <c r="CS164" s="697"/>
      <c r="CT164" s="697"/>
      <c r="CU164" s="697"/>
      <c r="CV164" s="697"/>
      <c r="CW164" s="697"/>
      <c r="CX164" s="697"/>
      <c r="CY164" s="697"/>
      <c r="CZ164" s="697"/>
      <c r="DA164" s="697"/>
      <c r="DB164" s="697"/>
    </row>
    <row r="165" spans="1:106" hidden="1" outlineLevel="1" x14ac:dyDescent="0.2">
      <c r="A165" s="709">
        <f t="shared" si="47"/>
        <v>37622</v>
      </c>
      <c r="B165" s="709" t="str">
        <f t="shared" si="48"/>
        <v>1Q03</v>
      </c>
      <c r="C165" s="709" t="str">
        <f t="shared" si="49"/>
        <v>1Q03</v>
      </c>
      <c r="D165" s="710">
        <f t="shared" ref="D165:E180" si="57">D164+7</f>
        <v>37705</v>
      </c>
      <c r="E165" s="710">
        <f t="shared" si="57"/>
        <v>37645</v>
      </c>
      <c r="F165" s="712">
        <v>34.46</v>
      </c>
      <c r="G165" s="713">
        <f t="shared" si="50"/>
        <v>1.4900000000000011</v>
      </c>
      <c r="H165" s="713">
        <f t="shared" si="51"/>
        <v>1.4900000000000011</v>
      </c>
      <c r="I165" s="713"/>
      <c r="J165" s="713"/>
      <c r="K165" s="713"/>
      <c r="L165" s="697"/>
      <c r="M165" s="697"/>
      <c r="N165" s="697"/>
      <c r="O165" s="697"/>
      <c r="P165" s="697"/>
      <c r="Q165" s="697"/>
      <c r="R165" s="697"/>
      <c r="S165" s="697"/>
      <c r="T165" s="697"/>
      <c r="U165" s="697"/>
      <c r="V165" s="697"/>
      <c r="W165" s="697"/>
      <c r="X165" s="697"/>
      <c r="Y165" s="697"/>
      <c r="Z165" s="697"/>
      <c r="AA165" s="697"/>
      <c r="AB165" s="697"/>
      <c r="AC165" s="697"/>
      <c r="AD165" s="697"/>
      <c r="AE165" s="697"/>
      <c r="AF165" s="697"/>
      <c r="AG165" s="697"/>
      <c r="AH165" s="697"/>
      <c r="AI165" s="697"/>
      <c r="AJ165" s="697"/>
      <c r="AK165" s="697"/>
      <c r="AL165" s="697"/>
      <c r="AM165" s="697"/>
      <c r="AN165" s="697"/>
      <c r="AO165" s="697"/>
      <c r="AP165" s="697"/>
      <c r="AQ165" s="697"/>
      <c r="AR165" s="697"/>
      <c r="AS165" s="697"/>
      <c r="AT165" s="697"/>
      <c r="AU165" s="697"/>
      <c r="AV165" s="697"/>
      <c r="AW165" s="697"/>
      <c r="AX165" s="697"/>
      <c r="AY165" s="697"/>
      <c r="AZ165" s="697"/>
      <c r="BA165" s="697"/>
      <c r="BB165" s="697"/>
      <c r="BC165" s="697"/>
      <c r="BD165" s="697"/>
      <c r="BE165" s="697"/>
      <c r="BF165" s="697"/>
      <c r="BG165" s="697"/>
      <c r="BH165" s="697"/>
      <c r="BI165" s="697"/>
      <c r="BJ165" s="697"/>
      <c r="BK165" s="697"/>
      <c r="BL165" s="697"/>
      <c r="BM165" s="697"/>
      <c r="BN165" s="697"/>
      <c r="BO165" s="697"/>
      <c r="BP165" s="697"/>
      <c r="BQ165" s="697"/>
      <c r="BR165" s="697"/>
      <c r="BS165" s="697"/>
      <c r="BT165" s="697"/>
      <c r="BU165" s="697"/>
      <c r="BV165" s="697"/>
      <c r="BW165" s="697"/>
      <c r="BX165" s="697"/>
      <c r="BY165" s="697"/>
      <c r="BZ165" s="697"/>
      <c r="CA165" s="697"/>
      <c r="CB165" s="697"/>
      <c r="CC165" s="697"/>
      <c r="CD165" s="697"/>
      <c r="CE165" s="697"/>
      <c r="CF165" s="697"/>
      <c r="CG165" s="697"/>
      <c r="CH165" s="697"/>
      <c r="CI165" s="697"/>
      <c r="CJ165" s="697"/>
      <c r="CK165" s="697"/>
      <c r="CL165" s="697"/>
      <c r="CM165" s="697"/>
      <c r="CN165" s="697"/>
      <c r="CO165" s="697"/>
      <c r="CP165" s="697"/>
      <c r="CQ165" s="697"/>
      <c r="CR165" s="697"/>
      <c r="CS165" s="697"/>
      <c r="CT165" s="697"/>
      <c r="CU165" s="697"/>
      <c r="CV165" s="697"/>
      <c r="CW165" s="697"/>
      <c r="CX165" s="697"/>
      <c r="CY165" s="697"/>
      <c r="CZ165" s="697"/>
      <c r="DA165" s="697"/>
      <c r="DB165" s="697"/>
    </row>
    <row r="166" spans="1:106" hidden="1" outlineLevel="1" x14ac:dyDescent="0.2">
      <c r="A166" s="709">
        <f t="shared" si="47"/>
        <v>37622</v>
      </c>
      <c r="B166" s="709" t="str">
        <f t="shared" si="48"/>
        <v>1Q03</v>
      </c>
      <c r="C166" s="709" t="str">
        <f t="shared" si="49"/>
        <v>2Q03</v>
      </c>
      <c r="D166" s="710">
        <f t="shared" si="57"/>
        <v>37712</v>
      </c>
      <c r="E166" s="710">
        <f t="shared" si="57"/>
        <v>37652</v>
      </c>
      <c r="F166" s="712">
        <v>33.19</v>
      </c>
      <c r="G166" s="713">
        <f t="shared" si="50"/>
        <v>1.4900000000000011</v>
      </c>
      <c r="H166" s="713">
        <f t="shared" si="51"/>
        <v>1.4900000000000011</v>
      </c>
      <c r="I166" s="713"/>
      <c r="J166" s="713"/>
      <c r="K166" s="713"/>
      <c r="L166" s="697"/>
      <c r="M166" s="697"/>
      <c r="N166" s="697"/>
      <c r="O166" s="697"/>
      <c r="P166" s="697"/>
      <c r="Q166" s="697"/>
      <c r="R166" s="697"/>
      <c r="S166" s="697"/>
      <c r="T166" s="697"/>
      <c r="U166" s="697"/>
      <c r="V166" s="697"/>
      <c r="W166" s="697"/>
      <c r="X166" s="697"/>
      <c r="Y166" s="697"/>
      <c r="Z166" s="697"/>
      <c r="AA166" s="697"/>
      <c r="AB166" s="697"/>
      <c r="AC166" s="697"/>
      <c r="AD166" s="697"/>
      <c r="AE166" s="697"/>
      <c r="AF166" s="697"/>
      <c r="AG166" s="697"/>
      <c r="AH166" s="697"/>
      <c r="AI166" s="697"/>
      <c r="AJ166" s="697"/>
      <c r="AK166" s="697"/>
      <c r="AL166" s="697"/>
      <c r="AM166" s="697"/>
      <c r="AN166" s="697"/>
      <c r="AO166" s="697"/>
      <c r="AP166" s="697"/>
      <c r="AQ166" s="697"/>
      <c r="AR166" s="697"/>
      <c r="AS166" s="697"/>
      <c r="AT166" s="697"/>
      <c r="AU166" s="697"/>
      <c r="AV166" s="697"/>
      <c r="AW166" s="697"/>
      <c r="AX166" s="697"/>
      <c r="AY166" s="697"/>
      <c r="AZ166" s="697"/>
      <c r="BA166" s="697"/>
      <c r="BB166" s="697"/>
      <c r="BC166" s="697"/>
      <c r="BD166" s="697"/>
      <c r="BE166" s="697"/>
      <c r="BF166" s="697"/>
      <c r="BG166" s="697"/>
      <c r="BH166" s="697"/>
      <c r="BI166" s="697"/>
      <c r="BJ166" s="697"/>
      <c r="BK166" s="697"/>
      <c r="BL166" s="697"/>
      <c r="BM166" s="697"/>
      <c r="BN166" s="697"/>
      <c r="BO166" s="697"/>
      <c r="BP166" s="697"/>
      <c r="BQ166" s="697"/>
      <c r="BR166" s="697"/>
      <c r="BS166" s="697"/>
      <c r="BT166" s="697"/>
      <c r="BU166" s="697"/>
      <c r="BV166" s="697"/>
      <c r="BW166" s="697"/>
      <c r="BX166" s="697"/>
      <c r="BY166" s="697"/>
      <c r="BZ166" s="697"/>
      <c r="CA166" s="697"/>
      <c r="CB166" s="697"/>
      <c r="CC166" s="697"/>
      <c r="CD166" s="697"/>
      <c r="CE166" s="697"/>
      <c r="CF166" s="697"/>
      <c r="CG166" s="697"/>
      <c r="CH166" s="697"/>
      <c r="CI166" s="697"/>
      <c r="CJ166" s="697"/>
      <c r="CK166" s="697"/>
      <c r="CL166" s="697"/>
      <c r="CM166" s="697"/>
      <c r="CN166" s="697"/>
      <c r="CO166" s="697"/>
      <c r="CP166" s="697"/>
      <c r="CQ166" s="697"/>
      <c r="CR166" s="697"/>
      <c r="CS166" s="697"/>
      <c r="CT166" s="697"/>
      <c r="CU166" s="697"/>
      <c r="CV166" s="697"/>
      <c r="CW166" s="697"/>
      <c r="CX166" s="697"/>
      <c r="CY166" s="697"/>
      <c r="CZ166" s="697"/>
      <c r="DA166" s="697"/>
      <c r="DB166" s="697"/>
    </row>
    <row r="167" spans="1:106" hidden="1" outlineLevel="1" x14ac:dyDescent="0.2">
      <c r="A167" s="709">
        <f t="shared" si="47"/>
        <v>37653</v>
      </c>
      <c r="B167" s="709" t="str">
        <f t="shared" si="48"/>
        <v>1Q03</v>
      </c>
      <c r="C167" s="709" t="str">
        <f t="shared" si="49"/>
        <v>2Q03</v>
      </c>
      <c r="D167" s="710">
        <f t="shared" si="57"/>
        <v>37719</v>
      </c>
      <c r="E167" s="710">
        <f t="shared" si="57"/>
        <v>37659</v>
      </c>
      <c r="F167" s="712">
        <v>33.950000000000003</v>
      </c>
      <c r="G167" s="713">
        <f t="shared" si="50"/>
        <v>1.4900000000000011</v>
      </c>
      <c r="H167" s="713">
        <f t="shared" si="51"/>
        <v>1.4900000000000011</v>
      </c>
      <c r="I167" s="713"/>
      <c r="J167" s="713"/>
      <c r="K167" s="713"/>
      <c r="L167" s="697"/>
      <c r="M167" s="697"/>
      <c r="N167" s="697"/>
      <c r="O167" s="697"/>
      <c r="P167" s="697"/>
      <c r="Q167" s="697"/>
      <c r="R167" s="697"/>
      <c r="S167" s="697"/>
      <c r="T167" s="697"/>
      <c r="U167" s="697"/>
      <c r="V167" s="697"/>
      <c r="W167" s="697"/>
      <c r="X167" s="697"/>
      <c r="Y167" s="697"/>
      <c r="Z167" s="697"/>
      <c r="AA167" s="697"/>
      <c r="AB167" s="697"/>
      <c r="AC167" s="697"/>
      <c r="AD167" s="697"/>
      <c r="AE167" s="697"/>
      <c r="AF167" s="697"/>
      <c r="AG167" s="697"/>
      <c r="AH167" s="697"/>
      <c r="AI167" s="697"/>
      <c r="AJ167" s="697"/>
      <c r="AK167" s="697"/>
      <c r="AL167" s="697"/>
      <c r="AM167" s="697"/>
      <c r="AN167" s="697"/>
      <c r="AO167" s="697"/>
      <c r="AP167" s="697"/>
      <c r="AQ167" s="697"/>
      <c r="AR167" s="697"/>
      <c r="AS167" s="697"/>
      <c r="AT167" s="697"/>
      <c r="AU167" s="697"/>
      <c r="AV167" s="697"/>
      <c r="AW167" s="697"/>
      <c r="AX167" s="697"/>
      <c r="AY167" s="697"/>
      <c r="AZ167" s="697"/>
      <c r="BA167" s="697"/>
      <c r="BB167" s="697"/>
      <c r="BC167" s="697"/>
      <c r="BD167" s="697"/>
      <c r="BE167" s="697"/>
      <c r="BF167" s="697"/>
      <c r="BG167" s="697"/>
      <c r="BH167" s="697"/>
      <c r="BI167" s="697"/>
      <c r="BJ167" s="697"/>
      <c r="BK167" s="697"/>
      <c r="BL167" s="697"/>
      <c r="BM167" s="697"/>
      <c r="BN167" s="697"/>
      <c r="BO167" s="697"/>
      <c r="BP167" s="697"/>
      <c r="BQ167" s="697"/>
      <c r="BR167" s="697"/>
      <c r="BS167" s="697"/>
      <c r="BT167" s="697"/>
      <c r="BU167" s="697"/>
      <c r="BV167" s="697"/>
      <c r="BW167" s="697"/>
      <c r="BX167" s="697"/>
      <c r="BY167" s="697"/>
      <c r="BZ167" s="697"/>
      <c r="CA167" s="697"/>
      <c r="CB167" s="697"/>
      <c r="CC167" s="697"/>
      <c r="CD167" s="697"/>
      <c r="CE167" s="697"/>
      <c r="CF167" s="697"/>
      <c r="CG167" s="697"/>
      <c r="CH167" s="697"/>
      <c r="CI167" s="697"/>
      <c r="CJ167" s="697"/>
      <c r="CK167" s="697"/>
      <c r="CL167" s="697"/>
      <c r="CM167" s="697"/>
      <c r="CN167" s="697"/>
      <c r="CO167" s="697"/>
      <c r="CP167" s="697"/>
      <c r="CQ167" s="697"/>
      <c r="CR167" s="697"/>
      <c r="CS167" s="697"/>
      <c r="CT167" s="697"/>
      <c r="CU167" s="697"/>
      <c r="CV167" s="697"/>
      <c r="CW167" s="697"/>
      <c r="CX167" s="697"/>
      <c r="CY167" s="697"/>
      <c r="CZ167" s="697"/>
      <c r="DA167" s="697"/>
      <c r="DB167" s="697"/>
    </row>
    <row r="168" spans="1:106" hidden="1" outlineLevel="1" x14ac:dyDescent="0.2">
      <c r="A168" s="709">
        <f t="shared" si="47"/>
        <v>37653</v>
      </c>
      <c r="B168" s="709" t="str">
        <f t="shared" si="48"/>
        <v>1Q03</v>
      </c>
      <c r="C168" s="709" t="str">
        <f t="shared" si="49"/>
        <v>2Q03</v>
      </c>
      <c r="D168" s="710">
        <f t="shared" si="57"/>
        <v>37726</v>
      </c>
      <c r="E168" s="710">
        <f t="shared" si="57"/>
        <v>37666</v>
      </c>
      <c r="F168" s="712">
        <v>35.79</v>
      </c>
      <c r="G168" s="713">
        <f t="shared" si="50"/>
        <v>1.4900000000000011</v>
      </c>
      <c r="H168" s="713">
        <f t="shared" si="51"/>
        <v>1.4900000000000011</v>
      </c>
      <c r="I168" s="713"/>
      <c r="J168" s="713"/>
      <c r="K168" s="713"/>
      <c r="L168" s="697"/>
      <c r="M168" s="697"/>
      <c r="N168" s="697"/>
      <c r="O168" s="697"/>
      <c r="P168" s="697"/>
      <c r="Q168" s="697"/>
      <c r="R168" s="697"/>
      <c r="S168" s="697"/>
      <c r="T168" s="697"/>
      <c r="U168" s="697"/>
      <c r="V168" s="697"/>
      <c r="W168" s="697"/>
      <c r="X168" s="697"/>
      <c r="Y168" s="697"/>
      <c r="Z168" s="697"/>
      <c r="AA168" s="697"/>
      <c r="AB168" s="697"/>
      <c r="AC168" s="697"/>
      <c r="AD168" s="697"/>
      <c r="AE168" s="697"/>
      <c r="AF168" s="697"/>
      <c r="AG168" s="697"/>
      <c r="AH168" s="697"/>
      <c r="AI168" s="697"/>
      <c r="AJ168" s="697"/>
      <c r="AK168" s="697"/>
      <c r="AL168" s="697"/>
      <c r="AM168" s="697"/>
      <c r="AN168" s="697"/>
      <c r="AO168" s="697"/>
      <c r="AP168" s="697"/>
      <c r="AQ168" s="697"/>
      <c r="AR168" s="697"/>
      <c r="AS168" s="697"/>
      <c r="AT168" s="697"/>
      <c r="AU168" s="697"/>
      <c r="AV168" s="697"/>
      <c r="AW168" s="697"/>
      <c r="AX168" s="697"/>
      <c r="AY168" s="697"/>
      <c r="AZ168" s="697"/>
      <c r="BA168" s="697"/>
      <c r="BB168" s="697"/>
      <c r="BC168" s="697"/>
      <c r="BD168" s="697"/>
      <c r="BE168" s="697"/>
      <c r="BF168" s="697"/>
      <c r="BG168" s="697"/>
      <c r="BH168" s="697"/>
      <c r="BI168" s="697"/>
      <c r="BJ168" s="697"/>
      <c r="BK168" s="697"/>
      <c r="BL168" s="697"/>
      <c r="BM168" s="697"/>
      <c r="BN168" s="697"/>
      <c r="BO168" s="697"/>
      <c r="BP168" s="697"/>
      <c r="BQ168" s="697"/>
      <c r="BR168" s="697"/>
      <c r="BS168" s="697"/>
      <c r="BT168" s="697"/>
      <c r="BU168" s="697"/>
      <c r="BV168" s="697"/>
      <c r="BW168" s="697"/>
      <c r="BX168" s="697"/>
      <c r="BY168" s="697"/>
      <c r="BZ168" s="697"/>
      <c r="CA168" s="697"/>
      <c r="CB168" s="697"/>
      <c r="CC168" s="697"/>
      <c r="CD168" s="697"/>
      <c r="CE168" s="697"/>
      <c r="CF168" s="697"/>
      <c r="CG168" s="697"/>
      <c r="CH168" s="697"/>
      <c r="CI168" s="697"/>
      <c r="CJ168" s="697"/>
      <c r="CK168" s="697"/>
      <c r="CL168" s="697"/>
      <c r="CM168" s="697"/>
      <c r="CN168" s="697"/>
      <c r="CO168" s="697"/>
      <c r="CP168" s="697"/>
      <c r="CQ168" s="697"/>
      <c r="CR168" s="697"/>
      <c r="CS168" s="697"/>
      <c r="CT168" s="697"/>
      <c r="CU168" s="697"/>
      <c r="CV168" s="697"/>
      <c r="CW168" s="697"/>
      <c r="CX168" s="697"/>
      <c r="CY168" s="697"/>
      <c r="CZ168" s="697"/>
      <c r="DA168" s="697"/>
      <c r="DB168" s="697"/>
    </row>
    <row r="169" spans="1:106" hidden="1" outlineLevel="1" x14ac:dyDescent="0.2">
      <c r="A169" s="709">
        <f t="shared" si="47"/>
        <v>37653</v>
      </c>
      <c r="B169" s="709" t="str">
        <f t="shared" si="48"/>
        <v>1Q03</v>
      </c>
      <c r="C169" s="709" t="str">
        <f t="shared" si="49"/>
        <v>2Q03</v>
      </c>
      <c r="D169" s="710">
        <f t="shared" si="57"/>
        <v>37733</v>
      </c>
      <c r="E169" s="710">
        <f t="shared" si="57"/>
        <v>37673</v>
      </c>
      <c r="F169" s="712">
        <v>36.78</v>
      </c>
      <c r="G169" s="713">
        <f t="shared" si="50"/>
        <v>1.4900000000000011</v>
      </c>
      <c r="H169" s="713">
        <f t="shared" si="51"/>
        <v>1.4900000000000011</v>
      </c>
      <c r="I169" s="713"/>
      <c r="J169" s="713"/>
      <c r="K169" s="713"/>
      <c r="L169" s="697"/>
      <c r="M169" s="697"/>
      <c r="N169" s="697"/>
      <c r="O169" s="697"/>
      <c r="P169" s="697"/>
      <c r="Q169" s="697"/>
      <c r="R169" s="697"/>
      <c r="S169" s="697"/>
      <c r="T169" s="697"/>
      <c r="U169" s="697"/>
      <c r="V169" s="697"/>
      <c r="W169" s="697"/>
      <c r="X169" s="697"/>
      <c r="Y169" s="697"/>
      <c r="Z169" s="697"/>
      <c r="AA169" s="697"/>
      <c r="AB169" s="697"/>
      <c r="AC169" s="697"/>
      <c r="AD169" s="697"/>
      <c r="AE169" s="697"/>
      <c r="AF169" s="697"/>
      <c r="AG169" s="697"/>
      <c r="AH169" s="697"/>
      <c r="AI169" s="697"/>
      <c r="AJ169" s="697"/>
      <c r="AK169" s="697"/>
      <c r="AL169" s="697"/>
      <c r="AM169" s="697"/>
      <c r="AN169" s="697"/>
      <c r="AO169" s="697"/>
      <c r="AP169" s="697"/>
      <c r="AQ169" s="697"/>
      <c r="AR169" s="697"/>
      <c r="AS169" s="697"/>
      <c r="AT169" s="697"/>
      <c r="AU169" s="697"/>
      <c r="AV169" s="697"/>
      <c r="AW169" s="697"/>
      <c r="AX169" s="697"/>
      <c r="AY169" s="697"/>
      <c r="AZ169" s="697"/>
      <c r="BA169" s="697"/>
      <c r="BB169" s="697"/>
      <c r="BC169" s="697"/>
      <c r="BD169" s="697"/>
      <c r="BE169" s="697"/>
      <c r="BF169" s="697"/>
      <c r="BG169" s="697"/>
      <c r="BH169" s="697"/>
      <c r="BI169" s="697"/>
      <c r="BJ169" s="697"/>
      <c r="BK169" s="697"/>
      <c r="BL169" s="697"/>
      <c r="BM169" s="697"/>
      <c r="BN169" s="697"/>
      <c r="BO169" s="697"/>
      <c r="BP169" s="697"/>
      <c r="BQ169" s="697"/>
      <c r="BR169" s="697"/>
      <c r="BS169" s="697"/>
      <c r="BT169" s="697"/>
      <c r="BU169" s="697"/>
      <c r="BV169" s="697"/>
      <c r="BW169" s="697"/>
      <c r="BX169" s="697"/>
      <c r="BY169" s="697"/>
      <c r="BZ169" s="697"/>
      <c r="CA169" s="697"/>
      <c r="CB169" s="697"/>
      <c r="CC169" s="697"/>
      <c r="CD169" s="697"/>
      <c r="CE169" s="697"/>
      <c r="CF169" s="697"/>
      <c r="CG169" s="697"/>
      <c r="CH169" s="697"/>
      <c r="CI169" s="697"/>
      <c r="CJ169" s="697"/>
      <c r="CK169" s="697"/>
      <c r="CL169" s="697"/>
      <c r="CM169" s="697"/>
      <c r="CN169" s="697"/>
      <c r="CO169" s="697"/>
      <c r="CP169" s="697"/>
      <c r="CQ169" s="697"/>
      <c r="CR169" s="697"/>
      <c r="CS169" s="697"/>
      <c r="CT169" s="697"/>
      <c r="CU169" s="697"/>
      <c r="CV169" s="697"/>
      <c r="CW169" s="697"/>
      <c r="CX169" s="697"/>
      <c r="CY169" s="697"/>
      <c r="CZ169" s="697"/>
      <c r="DA169" s="697"/>
      <c r="DB169" s="697"/>
    </row>
    <row r="170" spans="1:106" hidden="1" outlineLevel="1" x14ac:dyDescent="0.2">
      <c r="A170" s="709">
        <f t="shared" si="47"/>
        <v>37653</v>
      </c>
      <c r="B170" s="709" t="str">
        <f t="shared" si="48"/>
        <v>1Q03</v>
      </c>
      <c r="C170" s="709" t="str">
        <f t="shared" si="49"/>
        <v>2Q03</v>
      </c>
      <c r="D170" s="710">
        <f t="shared" si="57"/>
        <v>37740</v>
      </c>
      <c r="E170" s="710">
        <f t="shared" si="57"/>
        <v>37680</v>
      </c>
      <c r="F170" s="712">
        <v>36.979999999999997</v>
      </c>
      <c r="G170" s="713">
        <f t="shared" si="50"/>
        <v>1.4900000000000011</v>
      </c>
      <c r="H170" s="713">
        <f t="shared" si="51"/>
        <v>1.4900000000000011</v>
      </c>
      <c r="I170" s="713"/>
      <c r="J170" s="713"/>
      <c r="K170" s="713"/>
      <c r="L170" s="697"/>
      <c r="M170" s="697"/>
      <c r="N170" s="697"/>
      <c r="O170" s="697"/>
      <c r="P170" s="697"/>
      <c r="Q170" s="697"/>
      <c r="R170" s="697"/>
      <c r="S170" s="697"/>
      <c r="T170" s="697"/>
      <c r="U170" s="697"/>
      <c r="V170" s="697"/>
      <c r="W170" s="697"/>
      <c r="X170" s="697"/>
      <c r="Y170" s="697"/>
      <c r="Z170" s="697"/>
      <c r="AA170" s="697"/>
      <c r="AB170" s="697"/>
      <c r="AC170" s="697"/>
      <c r="AD170" s="697"/>
      <c r="AE170" s="697"/>
      <c r="AF170" s="697"/>
      <c r="AG170" s="697"/>
      <c r="AH170" s="697"/>
      <c r="AI170" s="697"/>
      <c r="AJ170" s="697"/>
      <c r="AK170" s="697"/>
      <c r="AL170" s="697"/>
      <c r="AM170" s="697"/>
      <c r="AN170" s="697"/>
      <c r="AO170" s="697"/>
      <c r="AP170" s="697"/>
      <c r="AQ170" s="697"/>
      <c r="AR170" s="697"/>
      <c r="AS170" s="697"/>
      <c r="AT170" s="697"/>
      <c r="AU170" s="697"/>
      <c r="AV170" s="697"/>
      <c r="AW170" s="697"/>
      <c r="AX170" s="697"/>
      <c r="AY170" s="697"/>
      <c r="AZ170" s="697"/>
      <c r="BA170" s="697"/>
      <c r="BB170" s="697"/>
      <c r="BC170" s="697"/>
      <c r="BD170" s="697"/>
      <c r="BE170" s="697"/>
      <c r="BF170" s="697"/>
      <c r="BG170" s="697"/>
      <c r="BH170" s="697"/>
      <c r="BI170" s="697"/>
      <c r="BJ170" s="697"/>
      <c r="BK170" s="697"/>
      <c r="BL170" s="697"/>
      <c r="BM170" s="697"/>
      <c r="BN170" s="697"/>
      <c r="BO170" s="697"/>
      <c r="BP170" s="697"/>
      <c r="BQ170" s="697"/>
      <c r="BR170" s="697"/>
      <c r="BS170" s="697"/>
      <c r="BT170" s="697"/>
      <c r="BU170" s="697"/>
      <c r="BV170" s="697"/>
      <c r="BW170" s="697"/>
      <c r="BX170" s="697"/>
      <c r="BY170" s="697"/>
      <c r="BZ170" s="697"/>
      <c r="CA170" s="697"/>
      <c r="CB170" s="697"/>
      <c r="CC170" s="697"/>
      <c r="CD170" s="697"/>
      <c r="CE170" s="697"/>
      <c r="CF170" s="697"/>
      <c r="CG170" s="697"/>
      <c r="CH170" s="697"/>
      <c r="CI170" s="697"/>
      <c r="CJ170" s="697"/>
      <c r="CK170" s="697"/>
      <c r="CL170" s="697"/>
      <c r="CM170" s="697"/>
      <c r="CN170" s="697"/>
      <c r="CO170" s="697"/>
      <c r="CP170" s="697"/>
      <c r="CQ170" s="697"/>
      <c r="CR170" s="697"/>
      <c r="CS170" s="697"/>
      <c r="CT170" s="697"/>
      <c r="CU170" s="697"/>
      <c r="CV170" s="697"/>
      <c r="CW170" s="697"/>
      <c r="CX170" s="697"/>
      <c r="CY170" s="697"/>
      <c r="CZ170" s="697"/>
      <c r="DA170" s="697"/>
      <c r="DB170" s="697"/>
    </row>
    <row r="171" spans="1:106" hidden="1" outlineLevel="1" x14ac:dyDescent="0.2">
      <c r="A171" s="709">
        <f t="shared" si="47"/>
        <v>37681</v>
      </c>
      <c r="B171" s="709" t="str">
        <f t="shared" si="48"/>
        <v>1Q03</v>
      </c>
      <c r="C171" s="709" t="str">
        <f t="shared" si="49"/>
        <v>2Q03</v>
      </c>
      <c r="D171" s="710">
        <f t="shared" si="57"/>
        <v>37747</v>
      </c>
      <c r="E171" s="710">
        <f t="shared" si="57"/>
        <v>37687</v>
      </c>
      <c r="F171" s="712">
        <v>36.979999999999997</v>
      </c>
      <c r="G171" s="713">
        <f t="shared" si="50"/>
        <v>1.4900000000000011</v>
      </c>
      <c r="H171" s="713">
        <f t="shared" si="51"/>
        <v>1.4900000000000011</v>
      </c>
      <c r="I171" s="713"/>
      <c r="J171" s="713"/>
      <c r="K171" s="713"/>
      <c r="L171" s="697"/>
      <c r="M171" s="697"/>
      <c r="N171" s="697"/>
      <c r="O171" s="697"/>
      <c r="P171" s="697"/>
      <c r="Q171" s="697"/>
      <c r="R171" s="697"/>
      <c r="S171" s="697"/>
      <c r="T171" s="697"/>
      <c r="U171" s="697"/>
      <c r="V171" s="697"/>
      <c r="W171" s="697"/>
      <c r="X171" s="697"/>
      <c r="Y171" s="697"/>
      <c r="Z171" s="697"/>
      <c r="AA171" s="697"/>
      <c r="AB171" s="697"/>
      <c r="AC171" s="697"/>
      <c r="AD171" s="697"/>
      <c r="AE171" s="697"/>
      <c r="AF171" s="697"/>
      <c r="AG171" s="697"/>
      <c r="AH171" s="697"/>
      <c r="AI171" s="697"/>
      <c r="AJ171" s="697"/>
      <c r="AK171" s="697"/>
      <c r="AL171" s="697"/>
      <c r="AM171" s="697"/>
      <c r="AN171" s="697"/>
      <c r="AO171" s="697"/>
      <c r="AP171" s="697"/>
      <c r="AQ171" s="697"/>
      <c r="AR171" s="697"/>
      <c r="AS171" s="697"/>
      <c r="AT171" s="697"/>
      <c r="AU171" s="697"/>
      <c r="AV171" s="697"/>
      <c r="AW171" s="697"/>
      <c r="AX171" s="697"/>
      <c r="AY171" s="697"/>
      <c r="AZ171" s="697"/>
      <c r="BA171" s="697"/>
      <c r="BB171" s="697"/>
      <c r="BC171" s="697"/>
      <c r="BD171" s="697"/>
      <c r="BE171" s="697"/>
      <c r="BF171" s="697"/>
      <c r="BG171" s="697"/>
      <c r="BH171" s="697"/>
      <c r="BI171" s="697"/>
      <c r="BJ171" s="697"/>
      <c r="BK171" s="697"/>
      <c r="BL171" s="697"/>
      <c r="BM171" s="697"/>
      <c r="BN171" s="697"/>
      <c r="BO171" s="697"/>
      <c r="BP171" s="697"/>
      <c r="BQ171" s="697"/>
      <c r="BR171" s="697"/>
      <c r="BS171" s="697"/>
      <c r="BT171" s="697"/>
      <c r="BU171" s="697"/>
      <c r="BV171" s="697"/>
      <c r="BW171" s="697"/>
      <c r="BX171" s="697"/>
      <c r="BY171" s="697"/>
      <c r="BZ171" s="697"/>
      <c r="CA171" s="697"/>
      <c r="CB171" s="697"/>
      <c r="CC171" s="697"/>
      <c r="CD171" s="697"/>
      <c r="CE171" s="697"/>
      <c r="CF171" s="697"/>
      <c r="CG171" s="697"/>
      <c r="CH171" s="697"/>
      <c r="CI171" s="697"/>
      <c r="CJ171" s="697"/>
      <c r="CK171" s="697"/>
      <c r="CL171" s="697"/>
      <c r="CM171" s="697"/>
      <c r="CN171" s="697"/>
      <c r="CO171" s="697"/>
      <c r="CP171" s="697"/>
      <c r="CQ171" s="697"/>
      <c r="CR171" s="697"/>
      <c r="CS171" s="697"/>
      <c r="CT171" s="697"/>
      <c r="CU171" s="697"/>
      <c r="CV171" s="697"/>
      <c r="CW171" s="697"/>
      <c r="CX171" s="697"/>
      <c r="CY171" s="697"/>
      <c r="CZ171" s="697"/>
      <c r="DA171" s="697"/>
      <c r="DB171" s="697"/>
    </row>
    <row r="172" spans="1:106" hidden="1" outlineLevel="1" x14ac:dyDescent="0.2">
      <c r="A172" s="709">
        <f t="shared" si="47"/>
        <v>37681</v>
      </c>
      <c r="B172" s="709" t="str">
        <f t="shared" si="48"/>
        <v>1Q03</v>
      </c>
      <c r="C172" s="709" t="str">
        <f t="shared" si="49"/>
        <v>2Q03</v>
      </c>
      <c r="D172" s="710">
        <f t="shared" si="57"/>
        <v>37754</v>
      </c>
      <c r="E172" s="710">
        <f t="shared" si="57"/>
        <v>37694</v>
      </c>
      <c r="F172" s="712">
        <v>36.659999999999997</v>
      </c>
      <c r="G172" s="713">
        <f t="shared" si="50"/>
        <v>1.4900000000000011</v>
      </c>
      <c r="H172" s="713">
        <f t="shared" si="51"/>
        <v>1.4900000000000011</v>
      </c>
      <c r="I172" s="713"/>
      <c r="J172" s="713"/>
      <c r="K172" s="713"/>
      <c r="L172" s="697"/>
      <c r="M172" s="697"/>
      <c r="N172" s="697"/>
      <c r="O172" s="697"/>
      <c r="P172" s="697"/>
      <c r="Q172" s="697"/>
      <c r="R172" s="697"/>
      <c r="S172" s="697"/>
      <c r="T172" s="697"/>
      <c r="U172" s="697"/>
      <c r="V172" s="697"/>
      <c r="W172" s="697"/>
      <c r="X172" s="697"/>
      <c r="Y172" s="697"/>
      <c r="Z172" s="697"/>
      <c r="AA172" s="697"/>
      <c r="AB172" s="697"/>
      <c r="AC172" s="697"/>
      <c r="AD172" s="697"/>
      <c r="AE172" s="697"/>
      <c r="AF172" s="697"/>
      <c r="AG172" s="697"/>
      <c r="AH172" s="697"/>
      <c r="AI172" s="697"/>
      <c r="AJ172" s="697"/>
      <c r="AK172" s="697"/>
      <c r="AL172" s="697"/>
      <c r="AM172" s="697"/>
      <c r="AN172" s="697"/>
      <c r="AO172" s="697"/>
      <c r="AP172" s="697"/>
      <c r="AQ172" s="697"/>
      <c r="AR172" s="697"/>
      <c r="AS172" s="697"/>
      <c r="AT172" s="697"/>
      <c r="AU172" s="697"/>
      <c r="AV172" s="697"/>
      <c r="AW172" s="697"/>
      <c r="AX172" s="697"/>
      <c r="AY172" s="697"/>
      <c r="AZ172" s="697"/>
      <c r="BA172" s="697"/>
      <c r="BB172" s="697"/>
      <c r="BC172" s="697"/>
      <c r="BD172" s="697"/>
      <c r="BE172" s="697"/>
      <c r="BF172" s="697"/>
      <c r="BG172" s="697"/>
      <c r="BH172" s="697"/>
      <c r="BI172" s="697"/>
      <c r="BJ172" s="697"/>
      <c r="BK172" s="697"/>
      <c r="BL172" s="697"/>
      <c r="BM172" s="697"/>
      <c r="BN172" s="697"/>
      <c r="BO172" s="697"/>
      <c r="BP172" s="697"/>
      <c r="BQ172" s="697"/>
      <c r="BR172" s="697"/>
      <c r="BS172" s="697"/>
      <c r="BT172" s="697"/>
      <c r="BU172" s="697"/>
      <c r="BV172" s="697"/>
      <c r="BW172" s="697"/>
      <c r="BX172" s="697"/>
      <c r="BY172" s="697"/>
      <c r="BZ172" s="697"/>
      <c r="CA172" s="697"/>
      <c r="CB172" s="697"/>
      <c r="CC172" s="697"/>
      <c r="CD172" s="697"/>
      <c r="CE172" s="697"/>
      <c r="CF172" s="697"/>
      <c r="CG172" s="697"/>
      <c r="CH172" s="697"/>
      <c r="CI172" s="697"/>
      <c r="CJ172" s="697"/>
      <c r="CK172" s="697"/>
      <c r="CL172" s="697"/>
      <c r="CM172" s="697"/>
      <c r="CN172" s="697"/>
      <c r="CO172" s="697"/>
      <c r="CP172" s="697"/>
      <c r="CQ172" s="697"/>
      <c r="CR172" s="697"/>
      <c r="CS172" s="697"/>
      <c r="CT172" s="697"/>
      <c r="CU172" s="697"/>
      <c r="CV172" s="697"/>
      <c r="CW172" s="697"/>
      <c r="CX172" s="697"/>
      <c r="CY172" s="697"/>
      <c r="CZ172" s="697"/>
      <c r="DA172" s="697"/>
      <c r="DB172" s="697"/>
    </row>
    <row r="173" spans="1:106" hidden="1" outlineLevel="1" x14ac:dyDescent="0.2">
      <c r="A173" s="709">
        <f t="shared" si="47"/>
        <v>37681</v>
      </c>
      <c r="B173" s="709" t="str">
        <f t="shared" si="48"/>
        <v>1Q03</v>
      </c>
      <c r="C173" s="709" t="str">
        <f t="shared" si="49"/>
        <v>2Q03</v>
      </c>
      <c r="D173" s="710">
        <f t="shared" si="57"/>
        <v>37761</v>
      </c>
      <c r="E173" s="710">
        <f t="shared" si="57"/>
        <v>37701</v>
      </c>
      <c r="F173" s="712">
        <v>30.46</v>
      </c>
      <c r="G173" s="713">
        <f t="shared" si="50"/>
        <v>1.4900000000000011</v>
      </c>
      <c r="H173" s="713">
        <f t="shared" si="51"/>
        <v>1.4900000000000011</v>
      </c>
      <c r="I173" s="713"/>
      <c r="J173" s="713"/>
      <c r="K173" s="713"/>
      <c r="L173" s="697"/>
      <c r="M173" s="697"/>
      <c r="N173" s="697"/>
      <c r="O173" s="697"/>
      <c r="P173" s="697"/>
      <c r="Q173" s="697"/>
      <c r="R173" s="697"/>
      <c r="S173" s="697"/>
      <c r="T173" s="697"/>
      <c r="U173" s="697"/>
      <c r="V173" s="697"/>
      <c r="W173" s="697"/>
      <c r="X173" s="697"/>
      <c r="Y173" s="697"/>
      <c r="Z173" s="697"/>
      <c r="AA173" s="697"/>
      <c r="AB173" s="697"/>
      <c r="AC173" s="697"/>
      <c r="AD173" s="697"/>
      <c r="AE173" s="697"/>
      <c r="AF173" s="697"/>
      <c r="AG173" s="697"/>
      <c r="AH173" s="697"/>
      <c r="AI173" s="697"/>
      <c r="AJ173" s="697"/>
      <c r="AK173" s="697"/>
      <c r="AL173" s="697"/>
      <c r="AM173" s="697"/>
      <c r="AN173" s="697"/>
      <c r="AO173" s="697"/>
      <c r="AP173" s="697"/>
      <c r="AQ173" s="697"/>
      <c r="AR173" s="697"/>
      <c r="AS173" s="697"/>
      <c r="AT173" s="697"/>
      <c r="AU173" s="697"/>
      <c r="AV173" s="697"/>
      <c r="AW173" s="697"/>
      <c r="AX173" s="697"/>
      <c r="AY173" s="697"/>
      <c r="AZ173" s="697"/>
      <c r="BA173" s="697"/>
      <c r="BB173" s="697"/>
      <c r="BC173" s="697"/>
      <c r="BD173" s="697"/>
      <c r="BE173" s="697"/>
      <c r="BF173" s="697"/>
      <c r="BG173" s="697"/>
      <c r="BH173" s="697"/>
      <c r="BI173" s="697"/>
      <c r="BJ173" s="697"/>
      <c r="BK173" s="697"/>
      <c r="BL173" s="697"/>
      <c r="BM173" s="697"/>
      <c r="BN173" s="697"/>
      <c r="BO173" s="697"/>
      <c r="BP173" s="697"/>
      <c r="BQ173" s="697"/>
      <c r="BR173" s="697"/>
      <c r="BS173" s="697"/>
      <c r="BT173" s="697"/>
      <c r="BU173" s="697"/>
      <c r="BV173" s="697"/>
      <c r="BW173" s="697"/>
      <c r="BX173" s="697"/>
      <c r="BY173" s="697"/>
      <c r="BZ173" s="697"/>
      <c r="CA173" s="697"/>
      <c r="CB173" s="697"/>
      <c r="CC173" s="697"/>
      <c r="CD173" s="697"/>
      <c r="CE173" s="697"/>
      <c r="CF173" s="697"/>
      <c r="CG173" s="697"/>
      <c r="CH173" s="697"/>
      <c r="CI173" s="697"/>
      <c r="CJ173" s="697"/>
      <c r="CK173" s="697"/>
      <c r="CL173" s="697"/>
      <c r="CM173" s="697"/>
      <c r="CN173" s="697"/>
      <c r="CO173" s="697"/>
      <c r="CP173" s="697"/>
      <c r="CQ173" s="697"/>
      <c r="CR173" s="697"/>
      <c r="CS173" s="697"/>
      <c r="CT173" s="697"/>
      <c r="CU173" s="697"/>
      <c r="CV173" s="697"/>
      <c r="CW173" s="697"/>
      <c r="CX173" s="697"/>
      <c r="CY173" s="697"/>
      <c r="CZ173" s="697"/>
      <c r="DA173" s="697"/>
      <c r="DB173" s="697"/>
    </row>
    <row r="174" spans="1:106" hidden="1" outlineLevel="1" x14ac:dyDescent="0.2">
      <c r="A174" s="709">
        <f t="shared" si="47"/>
        <v>37681</v>
      </c>
      <c r="B174" s="709" t="str">
        <f t="shared" si="48"/>
        <v>1Q03</v>
      </c>
      <c r="C174" s="709" t="str">
        <f t="shared" si="49"/>
        <v>2Q03</v>
      </c>
      <c r="D174" s="710">
        <f t="shared" si="57"/>
        <v>37768</v>
      </c>
      <c r="E174" s="710">
        <f t="shared" si="57"/>
        <v>37708</v>
      </c>
      <c r="F174" s="712">
        <v>30.43</v>
      </c>
      <c r="G174" s="713">
        <f t="shared" si="50"/>
        <v>1.4900000000000011</v>
      </c>
      <c r="H174" s="713">
        <f t="shared" si="51"/>
        <v>1.4900000000000011</v>
      </c>
      <c r="I174" s="713"/>
      <c r="J174" s="713"/>
      <c r="K174" s="713"/>
      <c r="L174" s="697"/>
      <c r="M174" s="697"/>
      <c r="N174" s="697"/>
      <c r="O174" s="697"/>
      <c r="P174" s="697"/>
      <c r="Q174" s="697"/>
      <c r="R174" s="697"/>
      <c r="S174" s="697"/>
      <c r="T174" s="697"/>
      <c r="U174" s="697"/>
      <c r="V174" s="697"/>
      <c r="W174" s="697"/>
      <c r="X174" s="697"/>
      <c r="Y174" s="697"/>
      <c r="Z174" s="697"/>
      <c r="AA174" s="697"/>
      <c r="AB174" s="697"/>
      <c r="AC174" s="697"/>
      <c r="AD174" s="697"/>
      <c r="AE174" s="697"/>
      <c r="AF174" s="697"/>
      <c r="AG174" s="697"/>
      <c r="AH174" s="697"/>
      <c r="AI174" s="697"/>
      <c r="AJ174" s="697"/>
      <c r="AK174" s="697"/>
      <c r="AL174" s="697"/>
      <c r="AM174" s="697"/>
      <c r="AN174" s="697"/>
      <c r="AO174" s="697"/>
      <c r="AP174" s="697"/>
      <c r="AQ174" s="697"/>
      <c r="AR174" s="697"/>
      <c r="AS174" s="697"/>
      <c r="AT174" s="697"/>
      <c r="AU174" s="697"/>
      <c r="AV174" s="697"/>
      <c r="AW174" s="697"/>
      <c r="AX174" s="697"/>
      <c r="AY174" s="697"/>
      <c r="AZ174" s="697"/>
      <c r="BA174" s="697"/>
      <c r="BB174" s="697"/>
      <c r="BC174" s="697"/>
      <c r="BD174" s="697"/>
      <c r="BE174" s="697"/>
      <c r="BF174" s="697"/>
      <c r="BG174" s="697"/>
      <c r="BH174" s="697"/>
      <c r="BI174" s="697"/>
      <c r="BJ174" s="697"/>
      <c r="BK174" s="697"/>
      <c r="BL174" s="697"/>
      <c r="BM174" s="697"/>
      <c r="BN174" s="697"/>
      <c r="BO174" s="697"/>
      <c r="BP174" s="697"/>
      <c r="BQ174" s="697"/>
      <c r="BR174" s="697"/>
      <c r="BS174" s="697"/>
      <c r="BT174" s="697"/>
      <c r="BU174" s="697"/>
      <c r="BV174" s="697"/>
      <c r="BW174" s="697"/>
      <c r="BX174" s="697"/>
      <c r="BY174" s="697"/>
      <c r="BZ174" s="697"/>
      <c r="CA174" s="697"/>
      <c r="CB174" s="697"/>
      <c r="CC174" s="697"/>
      <c r="CD174" s="697"/>
      <c r="CE174" s="697"/>
      <c r="CF174" s="697"/>
      <c r="CG174" s="697"/>
      <c r="CH174" s="697"/>
      <c r="CI174" s="697"/>
      <c r="CJ174" s="697"/>
      <c r="CK174" s="697"/>
      <c r="CL174" s="697"/>
      <c r="CM174" s="697"/>
      <c r="CN174" s="697"/>
      <c r="CO174" s="697"/>
      <c r="CP174" s="697"/>
      <c r="CQ174" s="697"/>
      <c r="CR174" s="697"/>
      <c r="CS174" s="697"/>
      <c r="CT174" s="697"/>
      <c r="CU174" s="697"/>
      <c r="CV174" s="697"/>
      <c r="CW174" s="697"/>
      <c r="CX174" s="697"/>
      <c r="CY174" s="697"/>
      <c r="CZ174" s="697"/>
      <c r="DA174" s="697"/>
      <c r="DB174" s="697"/>
    </row>
    <row r="175" spans="1:106" hidden="1" outlineLevel="1" x14ac:dyDescent="0.2">
      <c r="A175" s="709">
        <f t="shared" si="47"/>
        <v>37712</v>
      </c>
      <c r="B175" s="709" t="str">
        <f t="shared" si="48"/>
        <v>2Q03</v>
      </c>
      <c r="C175" s="709" t="str">
        <f t="shared" si="49"/>
        <v>2Q03</v>
      </c>
      <c r="D175" s="710">
        <f t="shared" si="57"/>
        <v>37775</v>
      </c>
      <c r="E175" s="710">
        <f t="shared" si="57"/>
        <v>37715</v>
      </c>
      <c r="F175" s="712">
        <v>29.33</v>
      </c>
      <c r="G175" s="713">
        <f t="shared" si="50"/>
        <v>1.4900000000000011</v>
      </c>
      <c r="H175" s="713">
        <f t="shared" si="51"/>
        <v>1.4900000000000011</v>
      </c>
      <c r="I175" s="713"/>
      <c r="J175" s="713"/>
      <c r="K175" s="713"/>
      <c r="L175" s="697"/>
      <c r="M175" s="697"/>
      <c r="N175" s="697"/>
      <c r="O175" s="697"/>
      <c r="P175" s="697"/>
      <c r="Q175" s="697"/>
      <c r="R175" s="697"/>
      <c r="S175" s="697"/>
      <c r="T175" s="697"/>
      <c r="U175" s="697"/>
      <c r="V175" s="697"/>
      <c r="W175" s="697"/>
      <c r="X175" s="697"/>
      <c r="Y175" s="697"/>
      <c r="Z175" s="697"/>
      <c r="AA175" s="697"/>
      <c r="AB175" s="697"/>
      <c r="AC175" s="697"/>
      <c r="AD175" s="697"/>
      <c r="AE175" s="697"/>
      <c r="AF175" s="697"/>
      <c r="AG175" s="697"/>
      <c r="AH175" s="697"/>
      <c r="AI175" s="697"/>
      <c r="AJ175" s="697"/>
      <c r="AK175" s="697"/>
      <c r="AL175" s="697"/>
      <c r="AM175" s="697"/>
      <c r="AN175" s="697"/>
      <c r="AO175" s="697"/>
      <c r="AP175" s="697"/>
      <c r="AQ175" s="697"/>
      <c r="AR175" s="697"/>
      <c r="AS175" s="697"/>
      <c r="AT175" s="697"/>
      <c r="AU175" s="697"/>
      <c r="AV175" s="697"/>
      <c r="AW175" s="697"/>
      <c r="AX175" s="697"/>
      <c r="AY175" s="697"/>
      <c r="AZ175" s="697"/>
      <c r="BA175" s="697"/>
      <c r="BB175" s="697"/>
      <c r="BC175" s="697"/>
      <c r="BD175" s="697"/>
      <c r="BE175" s="697"/>
      <c r="BF175" s="697"/>
      <c r="BG175" s="697"/>
      <c r="BH175" s="697"/>
      <c r="BI175" s="697"/>
      <c r="BJ175" s="697"/>
      <c r="BK175" s="697"/>
      <c r="BL175" s="697"/>
      <c r="BM175" s="697"/>
      <c r="BN175" s="697"/>
      <c r="BO175" s="697"/>
      <c r="BP175" s="697"/>
      <c r="BQ175" s="697"/>
      <c r="BR175" s="697"/>
      <c r="BS175" s="697"/>
      <c r="BT175" s="697"/>
      <c r="BU175" s="697"/>
      <c r="BV175" s="697"/>
      <c r="BW175" s="697"/>
      <c r="BX175" s="697"/>
      <c r="BY175" s="697"/>
      <c r="BZ175" s="697"/>
      <c r="CA175" s="697"/>
      <c r="CB175" s="697"/>
      <c r="CC175" s="697"/>
      <c r="CD175" s="697"/>
      <c r="CE175" s="697"/>
      <c r="CF175" s="697"/>
      <c r="CG175" s="697"/>
      <c r="CH175" s="697"/>
      <c r="CI175" s="697"/>
      <c r="CJ175" s="697"/>
      <c r="CK175" s="697"/>
      <c r="CL175" s="697"/>
      <c r="CM175" s="697"/>
      <c r="CN175" s="697"/>
      <c r="CO175" s="697"/>
      <c r="CP175" s="697"/>
      <c r="CQ175" s="697"/>
      <c r="CR175" s="697"/>
      <c r="CS175" s="697"/>
      <c r="CT175" s="697"/>
      <c r="CU175" s="697"/>
      <c r="CV175" s="697"/>
      <c r="CW175" s="697"/>
      <c r="CX175" s="697"/>
      <c r="CY175" s="697"/>
      <c r="CZ175" s="697"/>
      <c r="DA175" s="697"/>
      <c r="DB175" s="697"/>
    </row>
    <row r="176" spans="1:106" hidden="1" outlineLevel="1" x14ac:dyDescent="0.2">
      <c r="A176" s="709">
        <f t="shared" si="47"/>
        <v>37712</v>
      </c>
      <c r="B176" s="709" t="str">
        <f t="shared" si="48"/>
        <v>2Q03</v>
      </c>
      <c r="C176" s="709" t="str">
        <f t="shared" si="49"/>
        <v>2Q03</v>
      </c>
      <c r="D176" s="710">
        <f t="shared" si="57"/>
        <v>37782</v>
      </c>
      <c r="E176" s="710">
        <f t="shared" si="57"/>
        <v>37722</v>
      </c>
      <c r="F176" s="712">
        <v>28.03</v>
      </c>
      <c r="G176" s="713">
        <f t="shared" si="50"/>
        <v>1.4900000000000011</v>
      </c>
      <c r="H176" s="713">
        <f t="shared" si="51"/>
        <v>1.4900000000000011</v>
      </c>
      <c r="I176" s="713"/>
      <c r="J176" s="713"/>
      <c r="K176" s="713"/>
      <c r="L176" s="697"/>
      <c r="M176" s="697"/>
      <c r="N176" s="697"/>
      <c r="O176" s="697"/>
      <c r="P176" s="697"/>
      <c r="Q176" s="697"/>
      <c r="R176" s="697"/>
      <c r="S176" s="697"/>
      <c r="T176" s="697"/>
      <c r="U176" s="697"/>
      <c r="V176" s="697"/>
      <c r="W176" s="697"/>
      <c r="X176" s="697"/>
      <c r="Y176" s="697"/>
      <c r="Z176" s="697"/>
      <c r="AA176" s="697"/>
      <c r="AB176" s="697"/>
      <c r="AC176" s="697"/>
      <c r="AD176" s="697"/>
      <c r="AE176" s="697"/>
      <c r="AF176" s="697"/>
      <c r="AG176" s="697"/>
      <c r="AH176" s="697"/>
      <c r="AI176" s="697"/>
      <c r="AJ176" s="697"/>
      <c r="AK176" s="697"/>
      <c r="AL176" s="697"/>
      <c r="AM176" s="697"/>
      <c r="AN176" s="697"/>
      <c r="AO176" s="697"/>
      <c r="AP176" s="697"/>
      <c r="AQ176" s="697"/>
      <c r="AR176" s="697"/>
      <c r="AS176" s="697"/>
      <c r="AT176" s="697"/>
      <c r="AU176" s="697"/>
      <c r="AV176" s="697"/>
      <c r="AW176" s="697"/>
      <c r="AX176" s="697"/>
      <c r="AY176" s="697"/>
      <c r="AZ176" s="697"/>
      <c r="BA176" s="697"/>
      <c r="BB176" s="697"/>
      <c r="BC176" s="697"/>
      <c r="BD176" s="697"/>
      <c r="BE176" s="697"/>
      <c r="BF176" s="697"/>
      <c r="BG176" s="697"/>
      <c r="BH176" s="697"/>
      <c r="BI176" s="697"/>
      <c r="BJ176" s="697"/>
      <c r="BK176" s="697"/>
      <c r="BL176" s="697"/>
      <c r="BM176" s="697"/>
      <c r="BN176" s="697"/>
      <c r="BO176" s="697"/>
      <c r="BP176" s="697"/>
      <c r="BQ176" s="697"/>
      <c r="BR176" s="697"/>
      <c r="BS176" s="697"/>
      <c r="BT176" s="697"/>
      <c r="BU176" s="697"/>
      <c r="BV176" s="697"/>
      <c r="BW176" s="697"/>
      <c r="BX176" s="697"/>
      <c r="BY176" s="697"/>
      <c r="BZ176" s="697"/>
      <c r="CA176" s="697"/>
      <c r="CB176" s="697"/>
      <c r="CC176" s="697"/>
      <c r="CD176" s="697"/>
      <c r="CE176" s="697"/>
      <c r="CF176" s="697"/>
      <c r="CG176" s="697"/>
      <c r="CH176" s="697"/>
      <c r="CI176" s="697"/>
      <c r="CJ176" s="697"/>
      <c r="CK176" s="697"/>
      <c r="CL176" s="697"/>
      <c r="CM176" s="697"/>
      <c r="CN176" s="697"/>
      <c r="CO176" s="697"/>
      <c r="CP176" s="697"/>
      <c r="CQ176" s="697"/>
      <c r="CR176" s="697"/>
      <c r="CS176" s="697"/>
      <c r="CT176" s="697"/>
      <c r="CU176" s="697"/>
      <c r="CV176" s="697"/>
      <c r="CW176" s="697"/>
      <c r="CX176" s="697"/>
      <c r="CY176" s="697"/>
      <c r="CZ176" s="697"/>
      <c r="DA176" s="697"/>
      <c r="DB176" s="697"/>
    </row>
    <row r="177" spans="1:106" hidden="1" outlineLevel="1" x14ac:dyDescent="0.2">
      <c r="A177" s="709">
        <f t="shared" si="47"/>
        <v>37712</v>
      </c>
      <c r="B177" s="709" t="str">
        <f t="shared" si="48"/>
        <v>2Q03</v>
      </c>
      <c r="C177" s="709" t="str">
        <f t="shared" si="49"/>
        <v>2Q03</v>
      </c>
      <c r="D177" s="710">
        <f t="shared" si="57"/>
        <v>37789</v>
      </c>
      <c r="E177" s="710">
        <f t="shared" si="57"/>
        <v>37729</v>
      </c>
      <c r="F177" s="712">
        <v>29.28</v>
      </c>
      <c r="G177" s="713">
        <f t="shared" si="50"/>
        <v>1.4900000000000011</v>
      </c>
      <c r="H177" s="713">
        <f t="shared" si="51"/>
        <v>1.4900000000000011</v>
      </c>
      <c r="I177" s="713"/>
      <c r="J177" s="713"/>
      <c r="K177" s="713"/>
      <c r="L177" s="697"/>
      <c r="M177" s="697"/>
      <c r="N177" s="697"/>
      <c r="O177" s="697"/>
      <c r="P177" s="697"/>
      <c r="Q177" s="697"/>
      <c r="R177" s="697"/>
      <c r="S177" s="697"/>
      <c r="T177" s="697"/>
      <c r="U177" s="697"/>
      <c r="V177" s="697"/>
      <c r="W177" s="697"/>
      <c r="X177" s="697"/>
      <c r="Y177" s="697"/>
      <c r="Z177" s="697"/>
      <c r="AA177" s="697"/>
      <c r="AB177" s="697"/>
      <c r="AC177" s="697"/>
      <c r="AD177" s="697"/>
      <c r="AE177" s="697"/>
      <c r="AF177" s="697"/>
      <c r="AG177" s="697"/>
      <c r="AH177" s="697"/>
      <c r="AI177" s="697"/>
      <c r="AJ177" s="697"/>
      <c r="AK177" s="697"/>
      <c r="AL177" s="697"/>
      <c r="AM177" s="697"/>
      <c r="AN177" s="697"/>
      <c r="AO177" s="697"/>
      <c r="AP177" s="697"/>
      <c r="AQ177" s="697"/>
      <c r="AR177" s="697"/>
      <c r="AS177" s="697"/>
      <c r="AT177" s="697"/>
      <c r="AU177" s="697"/>
      <c r="AV177" s="697"/>
      <c r="AW177" s="697"/>
      <c r="AX177" s="697"/>
      <c r="AY177" s="697"/>
      <c r="AZ177" s="697"/>
      <c r="BA177" s="697"/>
      <c r="BB177" s="697"/>
      <c r="BC177" s="697"/>
      <c r="BD177" s="697"/>
      <c r="BE177" s="697"/>
      <c r="BF177" s="697"/>
      <c r="BG177" s="697"/>
      <c r="BH177" s="697"/>
      <c r="BI177" s="697"/>
      <c r="BJ177" s="697"/>
      <c r="BK177" s="697"/>
      <c r="BL177" s="697"/>
      <c r="BM177" s="697"/>
      <c r="BN177" s="697"/>
      <c r="BO177" s="697"/>
      <c r="BP177" s="697"/>
      <c r="BQ177" s="697"/>
      <c r="BR177" s="697"/>
      <c r="BS177" s="697"/>
      <c r="BT177" s="697"/>
      <c r="BU177" s="697"/>
      <c r="BV177" s="697"/>
      <c r="BW177" s="697"/>
      <c r="BX177" s="697"/>
      <c r="BY177" s="697"/>
      <c r="BZ177" s="697"/>
      <c r="CA177" s="697"/>
      <c r="CB177" s="697"/>
      <c r="CC177" s="697"/>
      <c r="CD177" s="697"/>
      <c r="CE177" s="697"/>
      <c r="CF177" s="697"/>
      <c r="CG177" s="697"/>
      <c r="CH177" s="697"/>
      <c r="CI177" s="697"/>
      <c r="CJ177" s="697"/>
      <c r="CK177" s="697"/>
      <c r="CL177" s="697"/>
      <c r="CM177" s="697"/>
      <c r="CN177" s="697"/>
      <c r="CO177" s="697"/>
      <c r="CP177" s="697"/>
      <c r="CQ177" s="697"/>
      <c r="CR177" s="697"/>
      <c r="CS177" s="697"/>
      <c r="CT177" s="697"/>
      <c r="CU177" s="697"/>
      <c r="CV177" s="697"/>
      <c r="CW177" s="697"/>
      <c r="CX177" s="697"/>
      <c r="CY177" s="697"/>
      <c r="CZ177" s="697"/>
      <c r="DA177" s="697"/>
      <c r="DB177" s="697"/>
    </row>
    <row r="178" spans="1:106" hidden="1" outlineLevel="1" x14ac:dyDescent="0.2">
      <c r="A178" s="709">
        <f t="shared" si="47"/>
        <v>37712</v>
      </c>
      <c r="B178" s="709" t="str">
        <f t="shared" si="48"/>
        <v>2Q03</v>
      </c>
      <c r="C178" s="709" t="str">
        <f t="shared" si="49"/>
        <v>2Q03</v>
      </c>
      <c r="D178" s="710">
        <f t="shared" si="57"/>
        <v>37796</v>
      </c>
      <c r="E178" s="710">
        <f t="shared" si="57"/>
        <v>37736</v>
      </c>
      <c r="F178" s="712">
        <v>28.43</v>
      </c>
      <c r="G178" s="713">
        <f t="shared" si="50"/>
        <v>1.4900000000000011</v>
      </c>
      <c r="H178" s="713">
        <f t="shared" si="51"/>
        <v>1.4900000000000011</v>
      </c>
      <c r="I178" s="713"/>
      <c r="J178" s="713"/>
      <c r="K178" s="713"/>
      <c r="L178" s="697"/>
      <c r="M178" s="697"/>
      <c r="N178" s="697"/>
      <c r="O178" s="697"/>
      <c r="P178" s="697"/>
      <c r="Q178" s="697"/>
      <c r="R178" s="697"/>
      <c r="S178" s="697"/>
      <c r="T178" s="697"/>
      <c r="U178" s="697"/>
      <c r="V178" s="697"/>
      <c r="W178" s="697"/>
      <c r="X178" s="697"/>
      <c r="Y178" s="697"/>
      <c r="Z178" s="697"/>
      <c r="AA178" s="697"/>
      <c r="AB178" s="697"/>
      <c r="AC178" s="697"/>
      <c r="AD178" s="697"/>
      <c r="AE178" s="697"/>
      <c r="AF178" s="697"/>
      <c r="AG178" s="697"/>
      <c r="AH178" s="697"/>
      <c r="AI178" s="697"/>
      <c r="AJ178" s="697"/>
      <c r="AK178" s="697"/>
      <c r="AL178" s="697"/>
      <c r="AM178" s="697"/>
      <c r="AN178" s="697"/>
      <c r="AO178" s="697"/>
      <c r="AP178" s="697"/>
      <c r="AQ178" s="697"/>
      <c r="AR178" s="697"/>
      <c r="AS178" s="697"/>
      <c r="AT178" s="697"/>
      <c r="AU178" s="697"/>
      <c r="AV178" s="697"/>
      <c r="AW178" s="697"/>
      <c r="AX178" s="697"/>
      <c r="AY178" s="697"/>
      <c r="AZ178" s="697"/>
      <c r="BA178" s="697"/>
      <c r="BB178" s="697"/>
      <c r="BC178" s="697"/>
      <c r="BD178" s="697"/>
      <c r="BE178" s="697"/>
      <c r="BF178" s="697"/>
      <c r="BG178" s="697"/>
      <c r="BH178" s="697"/>
      <c r="BI178" s="697"/>
      <c r="BJ178" s="697"/>
      <c r="BK178" s="697"/>
      <c r="BL178" s="697"/>
      <c r="BM178" s="697"/>
      <c r="BN178" s="697"/>
      <c r="BO178" s="697"/>
      <c r="BP178" s="697"/>
      <c r="BQ178" s="697"/>
      <c r="BR178" s="697"/>
      <c r="BS178" s="697"/>
      <c r="BT178" s="697"/>
      <c r="BU178" s="697"/>
      <c r="BV178" s="697"/>
      <c r="BW178" s="697"/>
      <c r="BX178" s="697"/>
      <c r="BY178" s="697"/>
      <c r="BZ178" s="697"/>
      <c r="CA178" s="697"/>
      <c r="CB178" s="697"/>
      <c r="CC178" s="697"/>
      <c r="CD178" s="697"/>
      <c r="CE178" s="697"/>
      <c r="CF178" s="697"/>
      <c r="CG178" s="697"/>
      <c r="CH178" s="697"/>
      <c r="CI178" s="697"/>
      <c r="CJ178" s="697"/>
      <c r="CK178" s="697"/>
      <c r="CL178" s="697"/>
      <c r="CM178" s="697"/>
      <c r="CN178" s="697"/>
      <c r="CO178" s="697"/>
      <c r="CP178" s="697"/>
      <c r="CQ178" s="697"/>
      <c r="CR178" s="697"/>
      <c r="CS178" s="697"/>
      <c r="CT178" s="697"/>
      <c r="CU178" s="697"/>
      <c r="CV178" s="697"/>
      <c r="CW178" s="697"/>
      <c r="CX178" s="697"/>
      <c r="CY178" s="697"/>
      <c r="CZ178" s="697"/>
      <c r="DA178" s="697"/>
      <c r="DB178" s="697"/>
    </row>
    <row r="179" spans="1:106" hidden="1" outlineLevel="1" x14ac:dyDescent="0.2">
      <c r="A179" s="709">
        <f t="shared" si="47"/>
        <v>37742</v>
      </c>
      <c r="B179" s="709" t="str">
        <f t="shared" si="48"/>
        <v>2Q03</v>
      </c>
      <c r="C179" s="709" t="str">
        <f t="shared" si="49"/>
        <v>3Q03</v>
      </c>
      <c r="D179" s="710">
        <f t="shared" si="57"/>
        <v>37803</v>
      </c>
      <c r="E179" s="710">
        <f t="shared" si="57"/>
        <v>37743</v>
      </c>
      <c r="F179" s="712">
        <v>25.69</v>
      </c>
      <c r="G179" s="713">
        <f t="shared" si="50"/>
        <v>1.4900000000000011</v>
      </c>
      <c r="H179" s="713">
        <f t="shared" si="51"/>
        <v>1.4900000000000011</v>
      </c>
      <c r="I179" s="713"/>
      <c r="J179" s="713"/>
      <c r="K179" s="713"/>
      <c r="L179" s="697"/>
      <c r="M179" s="697"/>
      <c r="N179" s="697"/>
      <c r="O179" s="697"/>
      <c r="P179" s="697"/>
      <c r="Q179" s="697"/>
      <c r="R179" s="697"/>
      <c r="S179" s="697"/>
      <c r="T179" s="697"/>
      <c r="U179" s="697"/>
      <c r="V179" s="697"/>
      <c r="W179" s="697"/>
      <c r="X179" s="697"/>
      <c r="Y179" s="697"/>
      <c r="Z179" s="697"/>
      <c r="AA179" s="697"/>
      <c r="AB179" s="697"/>
      <c r="AC179" s="697"/>
      <c r="AD179" s="697"/>
      <c r="AE179" s="697"/>
      <c r="AF179" s="697"/>
      <c r="AG179" s="697"/>
      <c r="AH179" s="697"/>
      <c r="AI179" s="697"/>
      <c r="AJ179" s="697"/>
      <c r="AK179" s="697"/>
      <c r="AL179" s="697"/>
      <c r="AM179" s="697"/>
      <c r="AN179" s="697"/>
      <c r="AO179" s="697"/>
      <c r="AP179" s="697"/>
      <c r="AQ179" s="697"/>
      <c r="AR179" s="697"/>
      <c r="AS179" s="697"/>
      <c r="AT179" s="697"/>
      <c r="AU179" s="697"/>
      <c r="AV179" s="697"/>
      <c r="AW179" s="697"/>
      <c r="AX179" s="697"/>
      <c r="AY179" s="697"/>
      <c r="AZ179" s="697"/>
      <c r="BA179" s="697"/>
      <c r="BB179" s="697"/>
      <c r="BC179" s="697"/>
      <c r="BD179" s="697"/>
      <c r="BE179" s="697"/>
      <c r="BF179" s="697"/>
      <c r="BG179" s="697"/>
      <c r="BH179" s="697"/>
      <c r="BI179" s="697"/>
      <c r="BJ179" s="697"/>
      <c r="BK179" s="697"/>
      <c r="BL179" s="697"/>
      <c r="BM179" s="697"/>
      <c r="BN179" s="697"/>
      <c r="BO179" s="697"/>
      <c r="BP179" s="697"/>
      <c r="BQ179" s="697"/>
      <c r="BR179" s="697"/>
      <c r="BS179" s="697"/>
      <c r="BT179" s="697"/>
      <c r="BU179" s="697"/>
      <c r="BV179" s="697"/>
      <c r="BW179" s="697"/>
      <c r="BX179" s="697"/>
      <c r="BY179" s="697"/>
      <c r="BZ179" s="697"/>
      <c r="CA179" s="697"/>
      <c r="CB179" s="697"/>
      <c r="CC179" s="697"/>
      <c r="CD179" s="697"/>
      <c r="CE179" s="697"/>
      <c r="CF179" s="697"/>
      <c r="CG179" s="697"/>
      <c r="CH179" s="697"/>
      <c r="CI179" s="697"/>
      <c r="CJ179" s="697"/>
      <c r="CK179" s="697"/>
      <c r="CL179" s="697"/>
      <c r="CM179" s="697"/>
      <c r="CN179" s="697"/>
      <c r="CO179" s="697"/>
      <c r="CP179" s="697"/>
      <c r="CQ179" s="697"/>
      <c r="CR179" s="697"/>
      <c r="CS179" s="697"/>
      <c r="CT179" s="697"/>
      <c r="CU179" s="697"/>
      <c r="CV179" s="697"/>
      <c r="CW179" s="697"/>
      <c r="CX179" s="697"/>
      <c r="CY179" s="697"/>
      <c r="CZ179" s="697"/>
      <c r="DA179" s="697"/>
      <c r="DB179" s="697"/>
    </row>
    <row r="180" spans="1:106" hidden="1" outlineLevel="1" x14ac:dyDescent="0.2">
      <c r="A180" s="709">
        <f t="shared" si="47"/>
        <v>37742</v>
      </c>
      <c r="B180" s="709" t="str">
        <f t="shared" si="48"/>
        <v>2Q03</v>
      </c>
      <c r="C180" s="709" t="str">
        <f t="shared" si="49"/>
        <v>3Q03</v>
      </c>
      <c r="D180" s="710">
        <f t="shared" si="57"/>
        <v>37810</v>
      </c>
      <c r="E180" s="710">
        <f t="shared" si="57"/>
        <v>37750</v>
      </c>
      <c r="F180" s="712">
        <v>26.58</v>
      </c>
      <c r="G180" s="713">
        <f t="shared" si="50"/>
        <v>1.4900000000000011</v>
      </c>
      <c r="H180" s="713">
        <f t="shared" si="51"/>
        <v>1.4900000000000011</v>
      </c>
      <c r="I180" s="713"/>
      <c r="J180" s="713"/>
      <c r="K180" s="713"/>
      <c r="L180" s="697"/>
      <c r="M180" s="697"/>
      <c r="N180" s="697"/>
      <c r="O180" s="697"/>
      <c r="P180" s="697"/>
      <c r="Q180" s="697"/>
      <c r="R180" s="697"/>
      <c r="S180" s="697"/>
      <c r="T180" s="697"/>
      <c r="U180" s="697"/>
      <c r="V180" s="697"/>
      <c r="W180" s="697"/>
      <c r="X180" s="697"/>
      <c r="Y180" s="697"/>
      <c r="Z180" s="697"/>
      <c r="AA180" s="697"/>
      <c r="AB180" s="697"/>
      <c r="AC180" s="697"/>
      <c r="AD180" s="697"/>
      <c r="AE180" s="697"/>
      <c r="AF180" s="697"/>
      <c r="AG180" s="697"/>
      <c r="AH180" s="697"/>
      <c r="AI180" s="697"/>
      <c r="AJ180" s="697"/>
      <c r="AK180" s="697"/>
      <c r="AL180" s="697"/>
      <c r="AM180" s="697"/>
      <c r="AN180" s="697"/>
      <c r="AO180" s="697"/>
      <c r="AP180" s="697"/>
      <c r="AQ180" s="697"/>
      <c r="AR180" s="697"/>
      <c r="AS180" s="697"/>
      <c r="AT180" s="697"/>
      <c r="AU180" s="697"/>
      <c r="AV180" s="697"/>
      <c r="AW180" s="697"/>
      <c r="AX180" s="697"/>
      <c r="AY180" s="697"/>
      <c r="AZ180" s="697"/>
      <c r="BA180" s="697"/>
      <c r="BB180" s="697"/>
      <c r="BC180" s="697"/>
      <c r="BD180" s="697"/>
      <c r="BE180" s="697"/>
      <c r="BF180" s="697"/>
      <c r="BG180" s="697"/>
      <c r="BH180" s="697"/>
      <c r="BI180" s="697"/>
      <c r="BJ180" s="697"/>
      <c r="BK180" s="697"/>
      <c r="BL180" s="697"/>
      <c r="BM180" s="697"/>
      <c r="BN180" s="697"/>
      <c r="BO180" s="697"/>
      <c r="BP180" s="697"/>
      <c r="BQ180" s="697"/>
      <c r="BR180" s="697"/>
      <c r="BS180" s="697"/>
      <c r="BT180" s="697"/>
      <c r="BU180" s="697"/>
      <c r="BV180" s="697"/>
      <c r="BW180" s="697"/>
      <c r="BX180" s="697"/>
      <c r="BY180" s="697"/>
      <c r="BZ180" s="697"/>
      <c r="CA180" s="697"/>
      <c r="CB180" s="697"/>
      <c r="CC180" s="697"/>
      <c r="CD180" s="697"/>
      <c r="CE180" s="697"/>
      <c r="CF180" s="697"/>
      <c r="CG180" s="697"/>
      <c r="CH180" s="697"/>
      <c r="CI180" s="697"/>
      <c r="CJ180" s="697"/>
      <c r="CK180" s="697"/>
      <c r="CL180" s="697"/>
      <c r="CM180" s="697"/>
      <c r="CN180" s="697"/>
      <c r="CO180" s="697"/>
      <c r="CP180" s="697"/>
      <c r="CQ180" s="697"/>
      <c r="CR180" s="697"/>
      <c r="CS180" s="697"/>
      <c r="CT180" s="697"/>
      <c r="CU180" s="697"/>
      <c r="CV180" s="697"/>
      <c r="CW180" s="697"/>
      <c r="CX180" s="697"/>
      <c r="CY180" s="697"/>
      <c r="CZ180" s="697"/>
      <c r="DA180" s="697"/>
      <c r="DB180" s="697"/>
    </row>
    <row r="181" spans="1:106" hidden="1" outlineLevel="1" x14ac:dyDescent="0.2">
      <c r="A181" s="709">
        <f t="shared" si="47"/>
        <v>37742</v>
      </c>
      <c r="B181" s="709" t="str">
        <f t="shared" si="48"/>
        <v>2Q03</v>
      </c>
      <c r="C181" s="709" t="str">
        <f t="shared" si="49"/>
        <v>3Q03</v>
      </c>
      <c r="D181" s="710">
        <f t="shared" ref="D181:E196" si="58">D180+7</f>
        <v>37817</v>
      </c>
      <c r="E181" s="710">
        <f t="shared" si="58"/>
        <v>37757</v>
      </c>
      <c r="F181" s="712">
        <v>28.54</v>
      </c>
      <c r="G181" s="713">
        <f t="shared" si="50"/>
        <v>1.4900000000000011</v>
      </c>
      <c r="H181" s="713">
        <f t="shared" si="51"/>
        <v>1.4900000000000011</v>
      </c>
      <c r="I181" s="713"/>
      <c r="J181" s="713"/>
      <c r="K181" s="713"/>
      <c r="L181" s="697"/>
      <c r="M181" s="697"/>
      <c r="N181" s="697"/>
      <c r="O181" s="697"/>
      <c r="P181" s="697"/>
      <c r="Q181" s="697"/>
      <c r="R181" s="697"/>
      <c r="S181" s="697"/>
      <c r="T181" s="697"/>
      <c r="U181" s="697"/>
      <c r="V181" s="697"/>
      <c r="W181" s="697"/>
      <c r="X181" s="697"/>
      <c r="Y181" s="697"/>
      <c r="Z181" s="697"/>
      <c r="AA181" s="697"/>
      <c r="AB181" s="697"/>
      <c r="AC181" s="697"/>
      <c r="AD181" s="697"/>
      <c r="AE181" s="697"/>
      <c r="AF181" s="697"/>
      <c r="AG181" s="697"/>
      <c r="AH181" s="697"/>
      <c r="AI181" s="697"/>
      <c r="AJ181" s="697"/>
      <c r="AK181" s="697"/>
      <c r="AL181" s="697"/>
      <c r="AM181" s="697"/>
      <c r="AN181" s="697"/>
      <c r="AO181" s="697"/>
      <c r="AP181" s="697"/>
      <c r="AQ181" s="697"/>
      <c r="AR181" s="697"/>
      <c r="AS181" s="697"/>
      <c r="AT181" s="697"/>
      <c r="AU181" s="697"/>
      <c r="AV181" s="697"/>
      <c r="AW181" s="697"/>
      <c r="AX181" s="697"/>
      <c r="AY181" s="697"/>
      <c r="AZ181" s="697"/>
      <c r="BA181" s="697"/>
      <c r="BB181" s="697"/>
      <c r="BC181" s="697"/>
      <c r="BD181" s="697"/>
      <c r="BE181" s="697"/>
      <c r="BF181" s="697"/>
      <c r="BG181" s="697"/>
      <c r="BH181" s="697"/>
      <c r="BI181" s="697"/>
      <c r="BJ181" s="697"/>
      <c r="BK181" s="697"/>
      <c r="BL181" s="697"/>
      <c r="BM181" s="697"/>
      <c r="BN181" s="697"/>
      <c r="BO181" s="697"/>
      <c r="BP181" s="697"/>
      <c r="BQ181" s="697"/>
      <c r="BR181" s="697"/>
      <c r="BS181" s="697"/>
      <c r="BT181" s="697"/>
      <c r="BU181" s="697"/>
      <c r="BV181" s="697"/>
      <c r="BW181" s="697"/>
      <c r="BX181" s="697"/>
      <c r="BY181" s="697"/>
      <c r="BZ181" s="697"/>
      <c r="CA181" s="697"/>
      <c r="CB181" s="697"/>
      <c r="CC181" s="697"/>
      <c r="CD181" s="697"/>
      <c r="CE181" s="697"/>
      <c r="CF181" s="697"/>
      <c r="CG181" s="697"/>
      <c r="CH181" s="697"/>
      <c r="CI181" s="697"/>
      <c r="CJ181" s="697"/>
      <c r="CK181" s="697"/>
      <c r="CL181" s="697"/>
      <c r="CM181" s="697"/>
      <c r="CN181" s="697"/>
      <c r="CO181" s="697"/>
      <c r="CP181" s="697"/>
      <c r="CQ181" s="697"/>
      <c r="CR181" s="697"/>
      <c r="CS181" s="697"/>
      <c r="CT181" s="697"/>
      <c r="CU181" s="697"/>
      <c r="CV181" s="697"/>
      <c r="CW181" s="697"/>
      <c r="CX181" s="697"/>
      <c r="CY181" s="697"/>
      <c r="CZ181" s="697"/>
      <c r="DA181" s="697"/>
      <c r="DB181" s="697"/>
    </row>
    <row r="182" spans="1:106" hidden="1" outlineLevel="1" x14ac:dyDescent="0.2">
      <c r="A182" s="709">
        <f t="shared" si="47"/>
        <v>37742</v>
      </c>
      <c r="B182" s="709" t="str">
        <f t="shared" si="48"/>
        <v>2Q03</v>
      </c>
      <c r="C182" s="709" t="str">
        <f t="shared" si="49"/>
        <v>3Q03</v>
      </c>
      <c r="D182" s="710">
        <f t="shared" si="58"/>
        <v>37824</v>
      </c>
      <c r="E182" s="710">
        <f t="shared" si="58"/>
        <v>37764</v>
      </c>
      <c r="F182" s="712">
        <v>29.29</v>
      </c>
      <c r="G182" s="713">
        <f t="shared" si="50"/>
        <v>1.4900000000000011</v>
      </c>
      <c r="H182" s="713">
        <f t="shared" si="51"/>
        <v>1.4900000000000011</v>
      </c>
      <c r="I182" s="713"/>
      <c r="J182" s="713"/>
      <c r="K182" s="713"/>
      <c r="L182" s="697"/>
      <c r="M182" s="697"/>
      <c r="N182" s="697"/>
      <c r="O182" s="697"/>
      <c r="P182" s="697"/>
      <c r="Q182" s="697"/>
      <c r="R182" s="697"/>
      <c r="S182" s="697"/>
      <c r="T182" s="697"/>
      <c r="U182" s="697"/>
      <c r="V182" s="697"/>
      <c r="W182" s="697"/>
      <c r="X182" s="697"/>
      <c r="Y182" s="697"/>
      <c r="Z182" s="697"/>
      <c r="AA182" s="697"/>
      <c r="AB182" s="697"/>
      <c r="AC182" s="697"/>
      <c r="AD182" s="697"/>
      <c r="AE182" s="697"/>
      <c r="AF182" s="697"/>
      <c r="AG182" s="697"/>
      <c r="AH182" s="697"/>
      <c r="AI182" s="697"/>
      <c r="AJ182" s="697"/>
      <c r="AK182" s="697"/>
      <c r="AL182" s="697"/>
      <c r="AM182" s="697"/>
      <c r="AN182" s="697"/>
      <c r="AO182" s="697"/>
      <c r="AP182" s="697"/>
      <c r="AQ182" s="697"/>
      <c r="AR182" s="697"/>
      <c r="AS182" s="697"/>
      <c r="AT182" s="697"/>
      <c r="AU182" s="697"/>
      <c r="AV182" s="697"/>
      <c r="AW182" s="697"/>
      <c r="AX182" s="697"/>
      <c r="AY182" s="697"/>
      <c r="AZ182" s="697"/>
      <c r="BA182" s="697"/>
      <c r="BB182" s="697"/>
      <c r="BC182" s="697"/>
      <c r="BD182" s="697"/>
      <c r="BE182" s="697"/>
      <c r="BF182" s="697"/>
      <c r="BG182" s="697"/>
      <c r="BH182" s="697"/>
      <c r="BI182" s="697"/>
      <c r="BJ182" s="697"/>
      <c r="BK182" s="697"/>
      <c r="BL182" s="697"/>
      <c r="BM182" s="697"/>
      <c r="BN182" s="697"/>
      <c r="BO182" s="697"/>
      <c r="BP182" s="697"/>
      <c r="BQ182" s="697"/>
      <c r="BR182" s="697"/>
      <c r="BS182" s="697"/>
      <c r="BT182" s="697"/>
      <c r="BU182" s="697"/>
      <c r="BV182" s="697"/>
      <c r="BW182" s="697"/>
      <c r="BX182" s="697"/>
      <c r="BY182" s="697"/>
      <c r="BZ182" s="697"/>
      <c r="CA182" s="697"/>
      <c r="CB182" s="697"/>
      <c r="CC182" s="697"/>
      <c r="CD182" s="697"/>
      <c r="CE182" s="697"/>
      <c r="CF182" s="697"/>
      <c r="CG182" s="697"/>
      <c r="CH182" s="697"/>
      <c r="CI182" s="697"/>
      <c r="CJ182" s="697"/>
      <c r="CK182" s="697"/>
      <c r="CL182" s="697"/>
      <c r="CM182" s="697"/>
      <c r="CN182" s="697"/>
      <c r="CO182" s="697"/>
      <c r="CP182" s="697"/>
      <c r="CQ182" s="697"/>
      <c r="CR182" s="697"/>
      <c r="CS182" s="697"/>
      <c r="CT182" s="697"/>
      <c r="CU182" s="697"/>
      <c r="CV182" s="697"/>
      <c r="CW182" s="697"/>
      <c r="CX182" s="697"/>
      <c r="CY182" s="697"/>
      <c r="CZ182" s="697"/>
      <c r="DA182" s="697"/>
      <c r="DB182" s="697"/>
    </row>
    <row r="183" spans="1:106" hidden="1" outlineLevel="1" x14ac:dyDescent="0.2">
      <c r="A183" s="709">
        <f t="shared" si="47"/>
        <v>37742</v>
      </c>
      <c r="B183" s="709" t="str">
        <f t="shared" si="48"/>
        <v>2Q03</v>
      </c>
      <c r="C183" s="709" t="str">
        <f t="shared" si="49"/>
        <v>3Q03</v>
      </c>
      <c r="D183" s="710">
        <f t="shared" si="58"/>
        <v>37831</v>
      </c>
      <c r="E183" s="710">
        <f t="shared" si="58"/>
        <v>37771</v>
      </c>
      <c r="F183" s="712">
        <v>29.1</v>
      </c>
      <c r="G183" s="713">
        <f t="shared" si="50"/>
        <v>1.4900000000000011</v>
      </c>
      <c r="H183" s="713">
        <f t="shared" si="51"/>
        <v>1.4900000000000011</v>
      </c>
      <c r="I183" s="713"/>
      <c r="J183" s="713"/>
      <c r="K183" s="713"/>
      <c r="L183" s="697"/>
      <c r="M183" s="697"/>
      <c r="N183" s="697"/>
      <c r="O183" s="697"/>
      <c r="P183" s="697"/>
      <c r="Q183" s="697"/>
      <c r="R183" s="697"/>
      <c r="S183" s="697"/>
      <c r="T183" s="697"/>
      <c r="U183" s="697"/>
      <c r="V183" s="697"/>
      <c r="W183" s="697"/>
      <c r="X183" s="697"/>
      <c r="Y183" s="697"/>
      <c r="Z183" s="697"/>
      <c r="AA183" s="697"/>
      <c r="AB183" s="697"/>
      <c r="AC183" s="697"/>
      <c r="AD183" s="697"/>
      <c r="AE183" s="697"/>
      <c r="AF183" s="697"/>
      <c r="AG183" s="697"/>
      <c r="AH183" s="697"/>
      <c r="AI183" s="697"/>
      <c r="AJ183" s="697"/>
      <c r="AK183" s="697"/>
      <c r="AL183" s="697"/>
      <c r="AM183" s="697"/>
      <c r="AN183" s="697"/>
      <c r="AO183" s="697"/>
      <c r="AP183" s="697"/>
      <c r="AQ183" s="697"/>
      <c r="AR183" s="697"/>
      <c r="AS183" s="697"/>
      <c r="AT183" s="697"/>
      <c r="AU183" s="697"/>
      <c r="AV183" s="697"/>
      <c r="AW183" s="697"/>
      <c r="AX183" s="697"/>
      <c r="AY183" s="697"/>
      <c r="AZ183" s="697"/>
      <c r="BA183" s="697"/>
      <c r="BB183" s="697"/>
      <c r="BC183" s="697"/>
      <c r="BD183" s="697"/>
      <c r="BE183" s="697"/>
      <c r="BF183" s="697"/>
      <c r="BG183" s="697"/>
      <c r="BH183" s="697"/>
      <c r="BI183" s="697"/>
      <c r="BJ183" s="697"/>
      <c r="BK183" s="697"/>
      <c r="BL183" s="697"/>
      <c r="BM183" s="697"/>
      <c r="BN183" s="697"/>
      <c r="BO183" s="697"/>
      <c r="BP183" s="697"/>
      <c r="BQ183" s="697"/>
      <c r="BR183" s="697"/>
      <c r="BS183" s="697"/>
      <c r="BT183" s="697"/>
      <c r="BU183" s="697"/>
      <c r="BV183" s="697"/>
      <c r="BW183" s="697"/>
      <c r="BX183" s="697"/>
      <c r="BY183" s="697"/>
      <c r="BZ183" s="697"/>
      <c r="CA183" s="697"/>
      <c r="CB183" s="697"/>
      <c r="CC183" s="697"/>
      <c r="CD183" s="697"/>
      <c r="CE183" s="697"/>
      <c r="CF183" s="697"/>
      <c r="CG183" s="697"/>
      <c r="CH183" s="697"/>
      <c r="CI183" s="697"/>
      <c r="CJ183" s="697"/>
      <c r="CK183" s="697"/>
      <c r="CL183" s="697"/>
      <c r="CM183" s="697"/>
      <c r="CN183" s="697"/>
      <c r="CO183" s="697"/>
      <c r="CP183" s="697"/>
      <c r="CQ183" s="697"/>
      <c r="CR183" s="697"/>
      <c r="CS183" s="697"/>
      <c r="CT183" s="697"/>
      <c r="CU183" s="697"/>
      <c r="CV183" s="697"/>
      <c r="CW183" s="697"/>
      <c r="CX183" s="697"/>
      <c r="CY183" s="697"/>
      <c r="CZ183" s="697"/>
      <c r="DA183" s="697"/>
      <c r="DB183" s="697"/>
    </row>
    <row r="184" spans="1:106" hidden="1" outlineLevel="1" x14ac:dyDescent="0.2">
      <c r="A184" s="709">
        <f t="shared" si="47"/>
        <v>37773</v>
      </c>
      <c r="B184" s="709" t="str">
        <f t="shared" si="48"/>
        <v>2Q03</v>
      </c>
      <c r="C184" s="709" t="str">
        <f t="shared" si="49"/>
        <v>3Q03</v>
      </c>
      <c r="D184" s="710">
        <f t="shared" si="58"/>
        <v>37838</v>
      </c>
      <c r="E184" s="710">
        <f t="shared" si="58"/>
        <v>37778</v>
      </c>
      <c r="F184" s="712">
        <v>30.68</v>
      </c>
      <c r="G184" s="713">
        <f t="shared" si="50"/>
        <v>1.4900000000000011</v>
      </c>
      <c r="H184" s="713">
        <f t="shared" si="51"/>
        <v>1.4900000000000011</v>
      </c>
      <c r="I184" s="713"/>
      <c r="J184" s="713"/>
      <c r="K184" s="713"/>
      <c r="L184" s="697"/>
      <c r="M184" s="697"/>
      <c r="N184" s="697"/>
      <c r="O184" s="697"/>
      <c r="P184" s="697"/>
      <c r="Q184" s="697"/>
      <c r="R184" s="697"/>
      <c r="S184" s="697"/>
      <c r="T184" s="697"/>
      <c r="U184" s="697"/>
      <c r="V184" s="697"/>
      <c r="W184" s="697"/>
      <c r="X184" s="697"/>
      <c r="Y184" s="697"/>
      <c r="Z184" s="697"/>
      <c r="AA184" s="697"/>
      <c r="AB184" s="697"/>
      <c r="AC184" s="697"/>
      <c r="AD184" s="697"/>
      <c r="AE184" s="697"/>
      <c r="AF184" s="697"/>
      <c r="AG184" s="697"/>
      <c r="AH184" s="697"/>
      <c r="AI184" s="697"/>
      <c r="AJ184" s="697"/>
      <c r="AK184" s="697"/>
      <c r="AL184" s="697"/>
      <c r="AM184" s="697"/>
      <c r="AN184" s="697"/>
      <c r="AO184" s="697"/>
      <c r="AP184" s="697"/>
      <c r="AQ184" s="697"/>
      <c r="AR184" s="697"/>
      <c r="AS184" s="697"/>
      <c r="AT184" s="697"/>
      <c r="AU184" s="697"/>
      <c r="AV184" s="697"/>
      <c r="AW184" s="697"/>
      <c r="AX184" s="697"/>
      <c r="AY184" s="697"/>
      <c r="AZ184" s="697"/>
      <c r="BA184" s="697"/>
      <c r="BB184" s="697"/>
      <c r="BC184" s="697"/>
      <c r="BD184" s="697"/>
      <c r="BE184" s="697"/>
      <c r="BF184" s="697"/>
      <c r="BG184" s="697"/>
      <c r="BH184" s="697"/>
      <c r="BI184" s="697"/>
      <c r="BJ184" s="697"/>
      <c r="BK184" s="697"/>
      <c r="BL184" s="697"/>
      <c r="BM184" s="697"/>
      <c r="BN184" s="697"/>
      <c r="BO184" s="697"/>
      <c r="BP184" s="697"/>
      <c r="BQ184" s="697"/>
      <c r="BR184" s="697"/>
      <c r="BS184" s="697"/>
      <c r="BT184" s="697"/>
      <c r="BU184" s="697"/>
      <c r="BV184" s="697"/>
      <c r="BW184" s="697"/>
      <c r="BX184" s="697"/>
      <c r="BY184" s="697"/>
      <c r="BZ184" s="697"/>
      <c r="CA184" s="697"/>
      <c r="CB184" s="697"/>
      <c r="CC184" s="697"/>
      <c r="CD184" s="697"/>
      <c r="CE184" s="697"/>
      <c r="CF184" s="697"/>
      <c r="CG184" s="697"/>
      <c r="CH184" s="697"/>
      <c r="CI184" s="697"/>
      <c r="CJ184" s="697"/>
      <c r="CK184" s="697"/>
      <c r="CL184" s="697"/>
      <c r="CM184" s="697"/>
      <c r="CN184" s="697"/>
      <c r="CO184" s="697"/>
      <c r="CP184" s="697"/>
      <c r="CQ184" s="697"/>
      <c r="CR184" s="697"/>
      <c r="CS184" s="697"/>
      <c r="CT184" s="697"/>
      <c r="CU184" s="697"/>
      <c r="CV184" s="697"/>
      <c r="CW184" s="697"/>
      <c r="CX184" s="697"/>
      <c r="CY184" s="697"/>
      <c r="CZ184" s="697"/>
      <c r="DA184" s="697"/>
      <c r="DB184" s="697"/>
    </row>
    <row r="185" spans="1:106" hidden="1" outlineLevel="1" x14ac:dyDescent="0.2">
      <c r="A185" s="709">
        <f t="shared" si="47"/>
        <v>37773</v>
      </c>
      <c r="B185" s="709" t="str">
        <f t="shared" si="48"/>
        <v>2Q03</v>
      </c>
      <c r="C185" s="709" t="str">
        <f t="shared" si="49"/>
        <v>3Q03</v>
      </c>
      <c r="D185" s="710">
        <f t="shared" si="58"/>
        <v>37845</v>
      </c>
      <c r="E185" s="710">
        <f t="shared" si="58"/>
        <v>37785</v>
      </c>
      <c r="F185" s="712">
        <v>31.46</v>
      </c>
      <c r="G185" s="713">
        <f t="shared" si="50"/>
        <v>1.4900000000000011</v>
      </c>
      <c r="H185" s="713">
        <f t="shared" si="51"/>
        <v>1.4900000000000011</v>
      </c>
      <c r="I185" s="713"/>
      <c r="J185" s="713"/>
      <c r="K185" s="713"/>
      <c r="L185" s="697"/>
      <c r="M185" s="697"/>
      <c r="N185" s="697"/>
      <c r="O185" s="697"/>
      <c r="P185" s="697"/>
      <c r="Q185" s="697"/>
      <c r="R185" s="697"/>
      <c r="S185" s="697"/>
      <c r="T185" s="697"/>
      <c r="U185" s="697"/>
      <c r="V185" s="697"/>
      <c r="W185" s="697"/>
      <c r="X185" s="697"/>
      <c r="Y185" s="697"/>
      <c r="Z185" s="697"/>
      <c r="AA185" s="697"/>
      <c r="AB185" s="697"/>
      <c r="AC185" s="697"/>
      <c r="AD185" s="697"/>
      <c r="AE185" s="697"/>
      <c r="AF185" s="697"/>
      <c r="AG185" s="697"/>
      <c r="AH185" s="697"/>
      <c r="AI185" s="697"/>
      <c r="AJ185" s="697"/>
      <c r="AK185" s="697"/>
      <c r="AL185" s="697"/>
      <c r="AM185" s="697"/>
      <c r="AN185" s="697"/>
      <c r="AO185" s="697"/>
      <c r="AP185" s="697"/>
      <c r="AQ185" s="697"/>
      <c r="AR185" s="697"/>
      <c r="AS185" s="697"/>
      <c r="AT185" s="697"/>
      <c r="AU185" s="697"/>
      <c r="AV185" s="697"/>
      <c r="AW185" s="697"/>
      <c r="AX185" s="697"/>
      <c r="AY185" s="697"/>
      <c r="AZ185" s="697"/>
      <c r="BA185" s="697"/>
      <c r="BB185" s="697"/>
      <c r="BC185" s="697"/>
      <c r="BD185" s="697"/>
      <c r="BE185" s="697"/>
      <c r="BF185" s="697"/>
      <c r="BG185" s="697"/>
      <c r="BH185" s="697"/>
      <c r="BI185" s="697"/>
      <c r="BJ185" s="697"/>
      <c r="BK185" s="697"/>
      <c r="BL185" s="697"/>
      <c r="BM185" s="697"/>
      <c r="BN185" s="697"/>
      <c r="BO185" s="697"/>
      <c r="BP185" s="697"/>
      <c r="BQ185" s="697"/>
      <c r="BR185" s="697"/>
      <c r="BS185" s="697"/>
      <c r="BT185" s="697"/>
      <c r="BU185" s="697"/>
      <c r="BV185" s="697"/>
      <c r="BW185" s="697"/>
      <c r="BX185" s="697"/>
      <c r="BY185" s="697"/>
      <c r="BZ185" s="697"/>
      <c r="CA185" s="697"/>
      <c r="CB185" s="697"/>
      <c r="CC185" s="697"/>
      <c r="CD185" s="697"/>
      <c r="CE185" s="697"/>
      <c r="CF185" s="697"/>
      <c r="CG185" s="697"/>
      <c r="CH185" s="697"/>
      <c r="CI185" s="697"/>
      <c r="CJ185" s="697"/>
      <c r="CK185" s="697"/>
      <c r="CL185" s="697"/>
      <c r="CM185" s="697"/>
      <c r="CN185" s="697"/>
      <c r="CO185" s="697"/>
      <c r="CP185" s="697"/>
      <c r="CQ185" s="697"/>
      <c r="CR185" s="697"/>
      <c r="CS185" s="697"/>
      <c r="CT185" s="697"/>
      <c r="CU185" s="697"/>
      <c r="CV185" s="697"/>
      <c r="CW185" s="697"/>
      <c r="CX185" s="697"/>
      <c r="CY185" s="697"/>
      <c r="CZ185" s="697"/>
      <c r="DA185" s="697"/>
      <c r="DB185" s="697"/>
    </row>
    <row r="186" spans="1:106" hidden="1" outlineLevel="1" x14ac:dyDescent="0.2">
      <c r="A186" s="709">
        <f t="shared" si="47"/>
        <v>37773</v>
      </c>
      <c r="B186" s="709" t="str">
        <f t="shared" si="48"/>
        <v>2Q03</v>
      </c>
      <c r="C186" s="709" t="str">
        <f t="shared" si="49"/>
        <v>3Q03</v>
      </c>
      <c r="D186" s="710">
        <f t="shared" si="58"/>
        <v>37852</v>
      </c>
      <c r="E186" s="710">
        <f t="shared" si="58"/>
        <v>37792</v>
      </c>
      <c r="F186" s="712">
        <v>30.6</v>
      </c>
      <c r="G186" s="713">
        <f t="shared" si="50"/>
        <v>1.4900000000000011</v>
      </c>
      <c r="H186" s="713">
        <f t="shared" si="51"/>
        <v>1.4900000000000011</v>
      </c>
      <c r="I186" s="713"/>
      <c r="J186" s="713"/>
      <c r="K186" s="713"/>
      <c r="L186" s="697"/>
      <c r="M186" s="697"/>
      <c r="N186" s="697"/>
      <c r="O186" s="697"/>
      <c r="P186" s="697"/>
      <c r="Q186" s="697"/>
      <c r="R186" s="697"/>
      <c r="S186" s="697"/>
      <c r="T186" s="697"/>
      <c r="U186" s="697"/>
      <c r="V186" s="697"/>
      <c r="W186" s="697"/>
      <c r="X186" s="697"/>
      <c r="Y186" s="697"/>
      <c r="Z186" s="697"/>
      <c r="AA186" s="697"/>
      <c r="AB186" s="697"/>
      <c r="AC186" s="697"/>
      <c r="AD186" s="697"/>
      <c r="AE186" s="697"/>
      <c r="AF186" s="697"/>
      <c r="AG186" s="697"/>
      <c r="AH186" s="697"/>
      <c r="AI186" s="697"/>
      <c r="AJ186" s="697"/>
      <c r="AK186" s="697"/>
      <c r="AL186" s="697"/>
      <c r="AM186" s="697"/>
      <c r="AN186" s="697"/>
      <c r="AO186" s="697"/>
      <c r="AP186" s="697"/>
      <c r="AQ186" s="697"/>
      <c r="AR186" s="697"/>
      <c r="AS186" s="697"/>
      <c r="AT186" s="697"/>
      <c r="AU186" s="697"/>
      <c r="AV186" s="697"/>
      <c r="AW186" s="697"/>
      <c r="AX186" s="697"/>
      <c r="AY186" s="697"/>
      <c r="AZ186" s="697"/>
      <c r="BA186" s="697"/>
      <c r="BB186" s="697"/>
      <c r="BC186" s="697"/>
      <c r="BD186" s="697"/>
      <c r="BE186" s="697"/>
      <c r="BF186" s="697"/>
      <c r="BG186" s="697"/>
      <c r="BH186" s="697"/>
      <c r="BI186" s="697"/>
      <c r="BJ186" s="697"/>
      <c r="BK186" s="697"/>
      <c r="BL186" s="697"/>
      <c r="BM186" s="697"/>
      <c r="BN186" s="697"/>
      <c r="BO186" s="697"/>
      <c r="BP186" s="697"/>
      <c r="BQ186" s="697"/>
      <c r="BR186" s="697"/>
      <c r="BS186" s="697"/>
      <c r="BT186" s="697"/>
      <c r="BU186" s="697"/>
      <c r="BV186" s="697"/>
      <c r="BW186" s="697"/>
      <c r="BX186" s="697"/>
      <c r="BY186" s="697"/>
      <c r="BZ186" s="697"/>
      <c r="CA186" s="697"/>
      <c r="CB186" s="697"/>
      <c r="CC186" s="697"/>
      <c r="CD186" s="697"/>
      <c r="CE186" s="697"/>
      <c r="CF186" s="697"/>
      <c r="CG186" s="697"/>
      <c r="CH186" s="697"/>
      <c r="CI186" s="697"/>
      <c r="CJ186" s="697"/>
      <c r="CK186" s="697"/>
      <c r="CL186" s="697"/>
      <c r="CM186" s="697"/>
      <c r="CN186" s="697"/>
      <c r="CO186" s="697"/>
      <c r="CP186" s="697"/>
      <c r="CQ186" s="697"/>
      <c r="CR186" s="697"/>
      <c r="CS186" s="697"/>
      <c r="CT186" s="697"/>
      <c r="CU186" s="697"/>
      <c r="CV186" s="697"/>
      <c r="CW186" s="697"/>
      <c r="CX186" s="697"/>
      <c r="CY186" s="697"/>
      <c r="CZ186" s="697"/>
      <c r="DA186" s="697"/>
      <c r="DB186" s="697"/>
    </row>
    <row r="187" spans="1:106" hidden="1" outlineLevel="1" x14ac:dyDescent="0.2">
      <c r="A187" s="709">
        <f t="shared" si="47"/>
        <v>37773</v>
      </c>
      <c r="B187" s="709" t="str">
        <f t="shared" si="48"/>
        <v>2Q03</v>
      </c>
      <c r="C187" s="709" t="str">
        <f t="shared" si="49"/>
        <v>3Q03</v>
      </c>
      <c r="D187" s="710">
        <f t="shared" si="58"/>
        <v>37859</v>
      </c>
      <c r="E187" s="710">
        <f t="shared" si="58"/>
        <v>37799</v>
      </c>
      <c r="F187" s="712">
        <v>30.01</v>
      </c>
      <c r="G187" s="713">
        <f t="shared" si="50"/>
        <v>1.4900000000000011</v>
      </c>
      <c r="H187" s="713">
        <f t="shared" si="51"/>
        <v>1.4900000000000011</v>
      </c>
      <c r="I187" s="713"/>
      <c r="J187" s="713"/>
      <c r="K187" s="713"/>
      <c r="L187" s="697"/>
      <c r="M187" s="697"/>
      <c r="N187" s="697"/>
      <c r="O187" s="697"/>
      <c r="P187" s="697"/>
      <c r="Q187" s="697"/>
      <c r="R187" s="697"/>
      <c r="S187" s="697"/>
      <c r="T187" s="697"/>
      <c r="U187" s="697"/>
      <c r="V187" s="697"/>
      <c r="W187" s="697"/>
      <c r="X187" s="697"/>
      <c r="Y187" s="697"/>
      <c r="Z187" s="697"/>
      <c r="AA187" s="697"/>
      <c r="AB187" s="697"/>
      <c r="AC187" s="697"/>
      <c r="AD187" s="697"/>
      <c r="AE187" s="697"/>
      <c r="AF187" s="697"/>
      <c r="AG187" s="697"/>
      <c r="AH187" s="697"/>
      <c r="AI187" s="697"/>
      <c r="AJ187" s="697"/>
      <c r="AK187" s="697"/>
      <c r="AL187" s="697"/>
      <c r="AM187" s="697"/>
      <c r="AN187" s="697"/>
      <c r="AO187" s="697"/>
      <c r="AP187" s="697"/>
      <c r="AQ187" s="697"/>
      <c r="AR187" s="697"/>
      <c r="AS187" s="697"/>
      <c r="AT187" s="697"/>
      <c r="AU187" s="697"/>
      <c r="AV187" s="697"/>
      <c r="AW187" s="697"/>
      <c r="AX187" s="697"/>
      <c r="AY187" s="697"/>
      <c r="AZ187" s="697"/>
      <c r="BA187" s="697"/>
      <c r="BB187" s="697"/>
      <c r="BC187" s="697"/>
      <c r="BD187" s="697"/>
      <c r="BE187" s="697"/>
      <c r="BF187" s="697"/>
      <c r="BG187" s="697"/>
      <c r="BH187" s="697"/>
      <c r="BI187" s="697"/>
      <c r="BJ187" s="697"/>
      <c r="BK187" s="697"/>
      <c r="BL187" s="697"/>
      <c r="BM187" s="697"/>
      <c r="BN187" s="697"/>
      <c r="BO187" s="697"/>
      <c r="BP187" s="697"/>
      <c r="BQ187" s="697"/>
      <c r="BR187" s="697"/>
      <c r="BS187" s="697"/>
      <c r="BT187" s="697"/>
      <c r="BU187" s="697"/>
      <c r="BV187" s="697"/>
      <c r="BW187" s="697"/>
      <c r="BX187" s="697"/>
      <c r="BY187" s="697"/>
      <c r="BZ187" s="697"/>
      <c r="CA187" s="697"/>
      <c r="CB187" s="697"/>
      <c r="CC187" s="697"/>
      <c r="CD187" s="697"/>
      <c r="CE187" s="697"/>
      <c r="CF187" s="697"/>
      <c r="CG187" s="697"/>
      <c r="CH187" s="697"/>
      <c r="CI187" s="697"/>
      <c r="CJ187" s="697"/>
      <c r="CK187" s="697"/>
      <c r="CL187" s="697"/>
      <c r="CM187" s="697"/>
      <c r="CN187" s="697"/>
      <c r="CO187" s="697"/>
      <c r="CP187" s="697"/>
      <c r="CQ187" s="697"/>
      <c r="CR187" s="697"/>
      <c r="CS187" s="697"/>
      <c r="CT187" s="697"/>
      <c r="CU187" s="697"/>
      <c r="CV187" s="697"/>
      <c r="CW187" s="697"/>
      <c r="CX187" s="697"/>
      <c r="CY187" s="697"/>
      <c r="CZ187" s="697"/>
      <c r="DA187" s="697"/>
      <c r="DB187" s="697"/>
    </row>
    <row r="188" spans="1:106" hidden="1" outlineLevel="1" x14ac:dyDescent="0.2">
      <c r="A188" s="709">
        <f t="shared" si="47"/>
        <v>37803</v>
      </c>
      <c r="B188" s="709" t="str">
        <f t="shared" si="48"/>
        <v>3Q03</v>
      </c>
      <c r="C188" s="709" t="str">
        <f t="shared" si="49"/>
        <v>3Q03</v>
      </c>
      <c r="D188" s="710">
        <f t="shared" si="58"/>
        <v>37866</v>
      </c>
      <c r="E188" s="710">
        <f t="shared" si="58"/>
        <v>37806</v>
      </c>
      <c r="F188" s="712">
        <v>30.31</v>
      </c>
      <c r="G188" s="713">
        <f t="shared" si="50"/>
        <v>1.4900000000000011</v>
      </c>
      <c r="H188" s="713">
        <f t="shared" si="51"/>
        <v>1.4900000000000011</v>
      </c>
      <c r="I188" s="713"/>
      <c r="J188" s="713"/>
      <c r="K188" s="713"/>
      <c r="L188" s="697"/>
      <c r="M188" s="697"/>
      <c r="N188" s="697"/>
      <c r="O188" s="697"/>
      <c r="P188" s="697"/>
      <c r="Q188" s="697"/>
      <c r="R188" s="697"/>
      <c r="S188" s="697"/>
      <c r="T188" s="697"/>
      <c r="U188" s="697"/>
      <c r="V188" s="697"/>
      <c r="W188" s="697"/>
      <c r="X188" s="697"/>
      <c r="Y188" s="697"/>
      <c r="Z188" s="697"/>
      <c r="AA188" s="697"/>
      <c r="AB188" s="697"/>
      <c r="AC188" s="697"/>
      <c r="AD188" s="697"/>
      <c r="AE188" s="697"/>
      <c r="AF188" s="697"/>
      <c r="AG188" s="697"/>
      <c r="AH188" s="697"/>
      <c r="AI188" s="697"/>
      <c r="AJ188" s="697"/>
      <c r="AK188" s="697"/>
      <c r="AL188" s="697"/>
      <c r="AM188" s="697"/>
      <c r="AN188" s="697"/>
      <c r="AO188" s="697"/>
      <c r="AP188" s="697"/>
      <c r="AQ188" s="697"/>
      <c r="AR188" s="697"/>
      <c r="AS188" s="697"/>
      <c r="AT188" s="697"/>
      <c r="AU188" s="697"/>
      <c r="AV188" s="697"/>
      <c r="AW188" s="697"/>
      <c r="AX188" s="697"/>
      <c r="AY188" s="697"/>
      <c r="AZ188" s="697"/>
      <c r="BA188" s="697"/>
      <c r="BB188" s="697"/>
      <c r="BC188" s="697"/>
      <c r="BD188" s="697"/>
      <c r="BE188" s="697"/>
      <c r="BF188" s="697"/>
      <c r="BG188" s="697"/>
      <c r="BH188" s="697"/>
      <c r="BI188" s="697"/>
      <c r="BJ188" s="697"/>
      <c r="BK188" s="697"/>
      <c r="BL188" s="697"/>
      <c r="BM188" s="697"/>
      <c r="BN188" s="697"/>
      <c r="BO188" s="697"/>
      <c r="BP188" s="697"/>
      <c r="BQ188" s="697"/>
      <c r="BR188" s="697"/>
      <c r="BS188" s="697"/>
      <c r="BT188" s="697"/>
      <c r="BU188" s="697"/>
      <c r="BV188" s="697"/>
      <c r="BW188" s="697"/>
      <c r="BX188" s="697"/>
      <c r="BY188" s="697"/>
      <c r="BZ188" s="697"/>
      <c r="CA188" s="697"/>
      <c r="CB188" s="697"/>
      <c r="CC188" s="697"/>
      <c r="CD188" s="697"/>
      <c r="CE188" s="697"/>
      <c r="CF188" s="697"/>
      <c r="CG188" s="697"/>
      <c r="CH188" s="697"/>
      <c r="CI188" s="697"/>
      <c r="CJ188" s="697"/>
      <c r="CK188" s="697"/>
      <c r="CL188" s="697"/>
      <c r="CM188" s="697"/>
      <c r="CN188" s="697"/>
      <c r="CO188" s="697"/>
      <c r="CP188" s="697"/>
      <c r="CQ188" s="697"/>
      <c r="CR188" s="697"/>
      <c r="CS188" s="697"/>
      <c r="CT188" s="697"/>
      <c r="CU188" s="697"/>
      <c r="CV188" s="697"/>
      <c r="CW188" s="697"/>
      <c r="CX188" s="697"/>
      <c r="CY188" s="697"/>
      <c r="CZ188" s="697"/>
      <c r="DA188" s="697"/>
      <c r="DB188" s="697"/>
    </row>
    <row r="189" spans="1:106" hidden="1" outlineLevel="1" x14ac:dyDescent="0.2">
      <c r="A189" s="709">
        <f t="shared" si="47"/>
        <v>37803</v>
      </c>
      <c r="B189" s="709" t="str">
        <f t="shared" si="48"/>
        <v>3Q03</v>
      </c>
      <c r="C189" s="709" t="str">
        <f t="shared" si="49"/>
        <v>3Q03</v>
      </c>
      <c r="D189" s="710">
        <f t="shared" si="58"/>
        <v>37873</v>
      </c>
      <c r="E189" s="710">
        <f t="shared" si="58"/>
        <v>37813</v>
      </c>
      <c r="F189" s="712">
        <v>30.73</v>
      </c>
      <c r="G189" s="713">
        <f t="shared" si="50"/>
        <v>1.4900000000000011</v>
      </c>
      <c r="H189" s="713">
        <f t="shared" si="51"/>
        <v>1.4900000000000011</v>
      </c>
      <c r="I189" s="713"/>
      <c r="J189" s="713"/>
      <c r="K189" s="713"/>
      <c r="L189" s="697"/>
      <c r="M189" s="697"/>
      <c r="N189" s="697"/>
      <c r="O189" s="697"/>
      <c r="P189" s="697"/>
      <c r="Q189" s="697"/>
      <c r="R189" s="697"/>
      <c r="S189" s="697"/>
      <c r="T189" s="697"/>
      <c r="U189" s="697"/>
      <c r="V189" s="697"/>
      <c r="W189" s="697"/>
      <c r="X189" s="697"/>
      <c r="Y189" s="697"/>
      <c r="Z189" s="697"/>
      <c r="AA189" s="697"/>
      <c r="AB189" s="697"/>
      <c r="AC189" s="697"/>
      <c r="AD189" s="697"/>
      <c r="AE189" s="697"/>
      <c r="AF189" s="697"/>
      <c r="AG189" s="697"/>
      <c r="AH189" s="697"/>
      <c r="AI189" s="697"/>
      <c r="AJ189" s="697"/>
      <c r="AK189" s="697"/>
      <c r="AL189" s="697"/>
      <c r="AM189" s="697"/>
      <c r="AN189" s="697"/>
      <c r="AO189" s="697"/>
      <c r="AP189" s="697"/>
      <c r="AQ189" s="697"/>
      <c r="AR189" s="697"/>
      <c r="AS189" s="697"/>
      <c r="AT189" s="697"/>
      <c r="AU189" s="697"/>
      <c r="AV189" s="697"/>
      <c r="AW189" s="697"/>
      <c r="AX189" s="697"/>
      <c r="AY189" s="697"/>
      <c r="AZ189" s="697"/>
      <c r="BA189" s="697"/>
      <c r="BB189" s="697"/>
      <c r="BC189" s="697"/>
      <c r="BD189" s="697"/>
      <c r="BE189" s="697"/>
      <c r="BF189" s="697"/>
      <c r="BG189" s="697"/>
      <c r="BH189" s="697"/>
      <c r="BI189" s="697"/>
      <c r="BJ189" s="697"/>
      <c r="BK189" s="697"/>
      <c r="BL189" s="697"/>
      <c r="BM189" s="697"/>
      <c r="BN189" s="697"/>
      <c r="BO189" s="697"/>
      <c r="BP189" s="697"/>
      <c r="BQ189" s="697"/>
      <c r="BR189" s="697"/>
      <c r="BS189" s="697"/>
      <c r="BT189" s="697"/>
      <c r="BU189" s="697"/>
      <c r="BV189" s="697"/>
      <c r="BW189" s="697"/>
      <c r="BX189" s="697"/>
      <c r="BY189" s="697"/>
      <c r="BZ189" s="697"/>
      <c r="CA189" s="697"/>
      <c r="CB189" s="697"/>
      <c r="CC189" s="697"/>
      <c r="CD189" s="697"/>
      <c r="CE189" s="697"/>
      <c r="CF189" s="697"/>
      <c r="CG189" s="697"/>
      <c r="CH189" s="697"/>
      <c r="CI189" s="697"/>
      <c r="CJ189" s="697"/>
      <c r="CK189" s="697"/>
      <c r="CL189" s="697"/>
      <c r="CM189" s="697"/>
      <c r="CN189" s="697"/>
      <c r="CO189" s="697"/>
      <c r="CP189" s="697"/>
      <c r="CQ189" s="697"/>
      <c r="CR189" s="697"/>
      <c r="CS189" s="697"/>
      <c r="CT189" s="697"/>
      <c r="CU189" s="697"/>
      <c r="CV189" s="697"/>
      <c r="CW189" s="697"/>
      <c r="CX189" s="697"/>
      <c r="CY189" s="697"/>
      <c r="CZ189" s="697"/>
      <c r="DA189" s="697"/>
      <c r="DB189" s="697"/>
    </row>
    <row r="190" spans="1:106" hidden="1" outlineLevel="1" x14ac:dyDescent="0.2">
      <c r="A190" s="709">
        <f t="shared" si="47"/>
        <v>37803</v>
      </c>
      <c r="B190" s="709" t="str">
        <f t="shared" si="48"/>
        <v>3Q03</v>
      </c>
      <c r="C190" s="709" t="str">
        <f t="shared" si="49"/>
        <v>3Q03</v>
      </c>
      <c r="D190" s="710">
        <f t="shared" si="58"/>
        <v>37880</v>
      </c>
      <c r="E190" s="710">
        <f t="shared" si="58"/>
        <v>37820</v>
      </c>
      <c r="F190" s="712">
        <v>31.48</v>
      </c>
      <c r="G190" s="713">
        <f t="shared" si="50"/>
        <v>1.4900000000000011</v>
      </c>
      <c r="H190" s="713">
        <f t="shared" si="51"/>
        <v>1.4900000000000011</v>
      </c>
      <c r="I190" s="713"/>
      <c r="J190" s="713"/>
      <c r="K190" s="713"/>
      <c r="L190" s="697"/>
      <c r="M190" s="697"/>
      <c r="N190" s="697"/>
      <c r="O190" s="697"/>
      <c r="P190" s="697"/>
      <c r="Q190" s="697"/>
      <c r="R190" s="697"/>
      <c r="S190" s="697"/>
      <c r="T190" s="697"/>
      <c r="U190" s="697"/>
      <c r="V190" s="697"/>
      <c r="W190" s="697"/>
      <c r="X190" s="697"/>
      <c r="Y190" s="697"/>
      <c r="Z190" s="697"/>
      <c r="AA190" s="697"/>
      <c r="AB190" s="697"/>
      <c r="AC190" s="697"/>
      <c r="AD190" s="697"/>
      <c r="AE190" s="697"/>
      <c r="AF190" s="697"/>
      <c r="AG190" s="697"/>
      <c r="AH190" s="697"/>
      <c r="AI190" s="697"/>
      <c r="AJ190" s="697"/>
      <c r="AK190" s="697"/>
      <c r="AL190" s="697"/>
      <c r="AM190" s="697"/>
      <c r="AN190" s="697"/>
      <c r="AO190" s="697"/>
      <c r="AP190" s="697"/>
      <c r="AQ190" s="697"/>
      <c r="AR190" s="697"/>
      <c r="AS190" s="697"/>
      <c r="AT190" s="697"/>
      <c r="AU190" s="697"/>
      <c r="AV190" s="697"/>
      <c r="AW190" s="697"/>
      <c r="AX190" s="697"/>
      <c r="AY190" s="697"/>
      <c r="AZ190" s="697"/>
      <c r="BA190" s="697"/>
      <c r="BB190" s="697"/>
      <c r="BC190" s="697"/>
      <c r="BD190" s="697"/>
      <c r="BE190" s="697"/>
      <c r="BF190" s="697"/>
      <c r="BG190" s="697"/>
      <c r="BH190" s="697"/>
      <c r="BI190" s="697"/>
      <c r="BJ190" s="697"/>
      <c r="BK190" s="697"/>
      <c r="BL190" s="697"/>
      <c r="BM190" s="697"/>
      <c r="BN190" s="697"/>
      <c r="BO190" s="697"/>
      <c r="BP190" s="697"/>
      <c r="BQ190" s="697"/>
      <c r="BR190" s="697"/>
      <c r="BS190" s="697"/>
      <c r="BT190" s="697"/>
      <c r="BU190" s="697"/>
      <c r="BV190" s="697"/>
      <c r="BW190" s="697"/>
      <c r="BX190" s="697"/>
      <c r="BY190" s="697"/>
      <c r="BZ190" s="697"/>
      <c r="CA190" s="697"/>
      <c r="CB190" s="697"/>
      <c r="CC190" s="697"/>
      <c r="CD190" s="697"/>
      <c r="CE190" s="697"/>
      <c r="CF190" s="697"/>
      <c r="CG190" s="697"/>
      <c r="CH190" s="697"/>
      <c r="CI190" s="697"/>
      <c r="CJ190" s="697"/>
      <c r="CK190" s="697"/>
      <c r="CL190" s="697"/>
      <c r="CM190" s="697"/>
      <c r="CN190" s="697"/>
      <c r="CO190" s="697"/>
      <c r="CP190" s="697"/>
      <c r="CQ190" s="697"/>
      <c r="CR190" s="697"/>
      <c r="CS190" s="697"/>
      <c r="CT190" s="697"/>
      <c r="CU190" s="697"/>
      <c r="CV190" s="697"/>
      <c r="CW190" s="697"/>
      <c r="CX190" s="697"/>
      <c r="CY190" s="697"/>
      <c r="CZ190" s="697"/>
      <c r="DA190" s="697"/>
      <c r="DB190" s="697"/>
    </row>
    <row r="191" spans="1:106" hidden="1" outlineLevel="1" x14ac:dyDescent="0.2">
      <c r="A191" s="709">
        <f t="shared" si="47"/>
        <v>37803</v>
      </c>
      <c r="B191" s="709" t="str">
        <f t="shared" si="48"/>
        <v>3Q03</v>
      </c>
      <c r="C191" s="709" t="str">
        <f t="shared" si="49"/>
        <v>3Q03</v>
      </c>
      <c r="D191" s="710">
        <f t="shared" si="58"/>
        <v>37887</v>
      </c>
      <c r="E191" s="710">
        <f t="shared" si="58"/>
        <v>37827</v>
      </c>
      <c r="F191" s="712">
        <v>30.61</v>
      </c>
      <c r="G191" s="713">
        <f t="shared" si="50"/>
        <v>1.4900000000000011</v>
      </c>
      <c r="H191" s="713">
        <f t="shared" si="51"/>
        <v>1.4900000000000011</v>
      </c>
      <c r="I191" s="713"/>
      <c r="J191" s="713"/>
      <c r="K191" s="713"/>
      <c r="L191" s="697"/>
      <c r="M191" s="697"/>
      <c r="N191" s="697"/>
      <c r="O191" s="697"/>
      <c r="P191" s="697"/>
      <c r="Q191" s="697"/>
      <c r="R191" s="697"/>
      <c r="S191" s="697"/>
      <c r="T191" s="697"/>
      <c r="U191" s="697"/>
      <c r="V191" s="697"/>
      <c r="W191" s="697"/>
      <c r="X191" s="697"/>
      <c r="Y191" s="697"/>
      <c r="Z191" s="697"/>
      <c r="AA191" s="697"/>
      <c r="AB191" s="697"/>
      <c r="AC191" s="697"/>
      <c r="AD191" s="697"/>
      <c r="AE191" s="697"/>
      <c r="AF191" s="697"/>
      <c r="AG191" s="697"/>
      <c r="AH191" s="697"/>
      <c r="AI191" s="697"/>
      <c r="AJ191" s="697"/>
      <c r="AK191" s="697"/>
      <c r="AL191" s="697"/>
      <c r="AM191" s="697"/>
      <c r="AN191" s="697"/>
      <c r="AO191" s="697"/>
      <c r="AP191" s="697"/>
      <c r="AQ191" s="697"/>
      <c r="AR191" s="697"/>
      <c r="AS191" s="697"/>
      <c r="AT191" s="697"/>
      <c r="AU191" s="697"/>
      <c r="AV191" s="697"/>
      <c r="AW191" s="697"/>
      <c r="AX191" s="697"/>
      <c r="AY191" s="697"/>
      <c r="AZ191" s="697"/>
      <c r="BA191" s="697"/>
      <c r="BB191" s="697"/>
      <c r="BC191" s="697"/>
      <c r="BD191" s="697"/>
      <c r="BE191" s="697"/>
      <c r="BF191" s="697"/>
      <c r="BG191" s="697"/>
      <c r="BH191" s="697"/>
      <c r="BI191" s="697"/>
      <c r="BJ191" s="697"/>
      <c r="BK191" s="697"/>
      <c r="BL191" s="697"/>
      <c r="BM191" s="697"/>
      <c r="BN191" s="697"/>
      <c r="BO191" s="697"/>
      <c r="BP191" s="697"/>
      <c r="BQ191" s="697"/>
      <c r="BR191" s="697"/>
      <c r="BS191" s="697"/>
      <c r="BT191" s="697"/>
      <c r="BU191" s="697"/>
      <c r="BV191" s="697"/>
      <c r="BW191" s="697"/>
      <c r="BX191" s="697"/>
      <c r="BY191" s="697"/>
      <c r="BZ191" s="697"/>
      <c r="CA191" s="697"/>
      <c r="CB191" s="697"/>
      <c r="CC191" s="697"/>
      <c r="CD191" s="697"/>
      <c r="CE191" s="697"/>
      <c r="CF191" s="697"/>
      <c r="CG191" s="697"/>
      <c r="CH191" s="697"/>
      <c r="CI191" s="697"/>
      <c r="CJ191" s="697"/>
      <c r="CK191" s="697"/>
      <c r="CL191" s="697"/>
      <c r="CM191" s="697"/>
      <c r="CN191" s="697"/>
      <c r="CO191" s="697"/>
      <c r="CP191" s="697"/>
      <c r="CQ191" s="697"/>
      <c r="CR191" s="697"/>
      <c r="CS191" s="697"/>
      <c r="CT191" s="697"/>
      <c r="CU191" s="697"/>
      <c r="CV191" s="697"/>
      <c r="CW191" s="697"/>
      <c r="CX191" s="697"/>
      <c r="CY191" s="697"/>
      <c r="CZ191" s="697"/>
      <c r="DA191" s="697"/>
      <c r="DB191" s="697"/>
    </row>
    <row r="192" spans="1:106" hidden="1" outlineLevel="1" x14ac:dyDescent="0.2">
      <c r="A192" s="709">
        <f t="shared" si="47"/>
        <v>37834</v>
      </c>
      <c r="B192" s="709" t="str">
        <f t="shared" si="48"/>
        <v>3Q03</v>
      </c>
      <c r="C192" s="709" t="str">
        <f t="shared" si="49"/>
        <v>3Q03</v>
      </c>
      <c r="D192" s="710">
        <f t="shared" si="58"/>
        <v>37894</v>
      </c>
      <c r="E192" s="710">
        <f t="shared" si="58"/>
        <v>37834</v>
      </c>
      <c r="F192" s="712">
        <v>30.73</v>
      </c>
      <c r="G192" s="713">
        <f t="shared" si="50"/>
        <v>1.4900000000000011</v>
      </c>
      <c r="H192" s="713">
        <f t="shared" si="51"/>
        <v>1.4900000000000011</v>
      </c>
      <c r="I192" s="713"/>
      <c r="J192" s="713"/>
      <c r="K192" s="713"/>
      <c r="L192" s="697"/>
      <c r="M192" s="697"/>
      <c r="N192" s="697"/>
      <c r="O192" s="697"/>
      <c r="P192" s="697"/>
      <c r="Q192" s="697"/>
      <c r="R192" s="697"/>
      <c r="S192" s="697"/>
      <c r="T192" s="697"/>
      <c r="U192" s="697"/>
      <c r="V192" s="697"/>
      <c r="W192" s="697"/>
      <c r="X192" s="697"/>
      <c r="Y192" s="697"/>
      <c r="Z192" s="697"/>
      <c r="AA192" s="697"/>
      <c r="AB192" s="697"/>
      <c r="AC192" s="697"/>
      <c r="AD192" s="697"/>
      <c r="AE192" s="697"/>
      <c r="AF192" s="697"/>
      <c r="AG192" s="697"/>
      <c r="AH192" s="697"/>
      <c r="AI192" s="697"/>
      <c r="AJ192" s="697"/>
      <c r="AK192" s="697"/>
      <c r="AL192" s="697"/>
      <c r="AM192" s="697"/>
      <c r="AN192" s="697"/>
      <c r="AO192" s="697"/>
      <c r="AP192" s="697"/>
      <c r="AQ192" s="697"/>
      <c r="AR192" s="697"/>
      <c r="AS192" s="697"/>
      <c r="AT192" s="697"/>
      <c r="AU192" s="697"/>
      <c r="AV192" s="697"/>
      <c r="AW192" s="697"/>
      <c r="AX192" s="697"/>
      <c r="AY192" s="697"/>
      <c r="AZ192" s="697"/>
      <c r="BA192" s="697"/>
      <c r="BB192" s="697"/>
      <c r="BC192" s="697"/>
      <c r="BD192" s="697"/>
      <c r="BE192" s="697"/>
      <c r="BF192" s="697"/>
      <c r="BG192" s="697"/>
      <c r="BH192" s="697"/>
      <c r="BI192" s="697"/>
      <c r="BJ192" s="697"/>
      <c r="BK192" s="697"/>
      <c r="BL192" s="697"/>
      <c r="BM192" s="697"/>
      <c r="BN192" s="697"/>
      <c r="BO192" s="697"/>
      <c r="BP192" s="697"/>
      <c r="BQ192" s="697"/>
      <c r="BR192" s="697"/>
      <c r="BS192" s="697"/>
      <c r="BT192" s="697"/>
      <c r="BU192" s="697"/>
      <c r="BV192" s="697"/>
      <c r="BW192" s="697"/>
      <c r="BX192" s="697"/>
      <c r="BY192" s="697"/>
      <c r="BZ192" s="697"/>
      <c r="CA192" s="697"/>
      <c r="CB192" s="697"/>
      <c r="CC192" s="697"/>
      <c r="CD192" s="697"/>
      <c r="CE192" s="697"/>
      <c r="CF192" s="697"/>
      <c r="CG192" s="697"/>
      <c r="CH192" s="697"/>
      <c r="CI192" s="697"/>
      <c r="CJ192" s="697"/>
      <c r="CK192" s="697"/>
      <c r="CL192" s="697"/>
      <c r="CM192" s="697"/>
      <c r="CN192" s="697"/>
      <c r="CO192" s="697"/>
      <c r="CP192" s="697"/>
      <c r="CQ192" s="697"/>
      <c r="CR192" s="697"/>
      <c r="CS192" s="697"/>
      <c r="CT192" s="697"/>
      <c r="CU192" s="697"/>
      <c r="CV192" s="697"/>
      <c r="CW192" s="697"/>
      <c r="CX192" s="697"/>
      <c r="CY192" s="697"/>
      <c r="CZ192" s="697"/>
      <c r="DA192" s="697"/>
      <c r="DB192" s="697"/>
    </row>
    <row r="193" spans="1:106" hidden="1" outlineLevel="1" x14ac:dyDescent="0.2">
      <c r="A193" s="709">
        <f t="shared" si="47"/>
        <v>37834</v>
      </c>
      <c r="B193" s="709" t="str">
        <f t="shared" si="48"/>
        <v>3Q03</v>
      </c>
      <c r="C193" s="709" t="str">
        <f t="shared" si="49"/>
        <v>4Q03</v>
      </c>
      <c r="D193" s="710">
        <f t="shared" si="58"/>
        <v>37901</v>
      </c>
      <c r="E193" s="710">
        <f t="shared" si="58"/>
        <v>37841</v>
      </c>
      <c r="F193" s="712">
        <v>32.11</v>
      </c>
      <c r="G193" s="713">
        <f t="shared" si="50"/>
        <v>1.4900000000000011</v>
      </c>
      <c r="H193" s="713">
        <f t="shared" si="51"/>
        <v>1.4900000000000011</v>
      </c>
      <c r="I193" s="713"/>
      <c r="J193" s="713"/>
      <c r="K193" s="713"/>
      <c r="L193" s="697"/>
      <c r="M193" s="697"/>
      <c r="N193" s="697"/>
      <c r="O193" s="697"/>
      <c r="P193" s="697"/>
      <c r="Q193" s="697"/>
      <c r="R193" s="697"/>
      <c r="S193" s="697"/>
      <c r="T193" s="697"/>
      <c r="U193" s="697"/>
      <c r="V193" s="697"/>
      <c r="W193" s="697"/>
      <c r="X193" s="697"/>
      <c r="Y193" s="697"/>
      <c r="Z193" s="697"/>
      <c r="AA193" s="697"/>
      <c r="AB193" s="697"/>
      <c r="AC193" s="697"/>
      <c r="AD193" s="697"/>
      <c r="AE193" s="697"/>
      <c r="AF193" s="697"/>
      <c r="AG193" s="697"/>
      <c r="AH193" s="697"/>
      <c r="AI193" s="697"/>
      <c r="AJ193" s="697"/>
      <c r="AK193" s="697"/>
      <c r="AL193" s="697"/>
      <c r="AM193" s="697"/>
      <c r="AN193" s="697"/>
      <c r="AO193" s="697"/>
      <c r="AP193" s="697"/>
      <c r="AQ193" s="697"/>
      <c r="AR193" s="697"/>
      <c r="AS193" s="697"/>
      <c r="AT193" s="697"/>
      <c r="AU193" s="697"/>
      <c r="AV193" s="697"/>
      <c r="AW193" s="697"/>
      <c r="AX193" s="697"/>
      <c r="AY193" s="697"/>
      <c r="AZ193" s="697"/>
      <c r="BA193" s="697"/>
      <c r="BB193" s="697"/>
      <c r="BC193" s="697"/>
      <c r="BD193" s="697"/>
      <c r="BE193" s="697"/>
      <c r="BF193" s="697"/>
      <c r="BG193" s="697"/>
      <c r="BH193" s="697"/>
      <c r="BI193" s="697"/>
      <c r="BJ193" s="697"/>
      <c r="BK193" s="697"/>
      <c r="BL193" s="697"/>
      <c r="BM193" s="697"/>
      <c r="BN193" s="697"/>
      <c r="BO193" s="697"/>
      <c r="BP193" s="697"/>
      <c r="BQ193" s="697"/>
      <c r="BR193" s="697"/>
      <c r="BS193" s="697"/>
      <c r="BT193" s="697"/>
      <c r="BU193" s="697"/>
      <c r="BV193" s="697"/>
      <c r="BW193" s="697"/>
      <c r="BX193" s="697"/>
      <c r="BY193" s="697"/>
      <c r="BZ193" s="697"/>
      <c r="CA193" s="697"/>
      <c r="CB193" s="697"/>
      <c r="CC193" s="697"/>
      <c r="CD193" s="697"/>
      <c r="CE193" s="697"/>
      <c r="CF193" s="697"/>
      <c r="CG193" s="697"/>
      <c r="CH193" s="697"/>
      <c r="CI193" s="697"/>
      <c r="CJ193" s="697"/>
      <c r="CK193" s="697"/>
      <c r="CL193" s="697"/>
      <c r="CM193" s="697"/>
      <c r="CN193" s="697"/>
      <c r="CO193" s="697"/>
      <c r="CP193" s="697"/>
      <c r="CQ193" s="697"/>
      <c r="CR193" s="697"/>
      <c r="CS193" s="697"/>
      <c r="CT193" s="697"/>
      <c r="CU193" s="697"/>
      <c r="CV193" s="697"/>
      <c r="CW193" s="697"/>
      <c r="CX193" s="697"/>
      <c r="CY193" s="697"/>
      <c r="CZ193" s="697"/>
      <c r="DA193" s="697"/>
      <c r="DB193" s="697"/>
    </row>
    <row r="194" spans="1:106" hidden="1" outlineLevel="1" x14ac:dyDescent="0.2">
      <c r="A194" s="709">
        <f t="shared" si="47"/>
        <v>37834</v>
      </c>
      <c r="B194" s="709" t="str">
        <f t="shared" si="48"/>
        <v>3Q03</v>
      </c>
      <c r="C194" s="709" t="str">
        <f t="shared" si="49"/>
        <v>4Q03</v>
      </c>
      <c r="D194" s="710">
        <f t="shared" si="58"/>
        <v>37908</v>
      </c>
      <c r="E194" s="710">
        <f t="shared" si="58"/>
        <v>37848</v>
      </c>
      <c r="F194" s="712">
        <v>31.31</v>
      </c>
      <c r="G194" s="713">
        <f t="shared" si="50"/>
        <v>1.4900000000000011</v>
      </c>
      <c r="H194" s="713">
        <f t="shared" si="51"/>
        <v>1.4900000000000011</v>
      </c>
      <c r="I194" s="713"/>
      <c r="J194" s="713"/>
      <c r="K194" s="713"/>
      <c r="L194" s="697"/>
      <c r="M194" s="697"/>
      <c r="N194" s="697"/>
      <c r="O194" s="697"/>
      <c r="P194" s="697"/>
      <c r="Q194" s="697"/>
      <c r="R194" s="697"/>
      <c r="S194" s="697"/>
      <c r="T194" s="697"/>
      <c r="U194" s="697"/>
      <c r="V194" s="697"/>
      <c r="W194" s="697"/>
      <c r="X194" s="697"/>
      <c r="Y194" s="697"/>
      <c r="Z194" s="697"/>
      <c r="AA194" s="697"/>
      <c r="AB194" s="697"/>
      <c r="AC194" s="697"/>
      <c r="AD194" s="697"/>
      <c r="AE194" s="697"/>
      <c r="AF194" s="697"/>
      <c r="AG194" s="697"/>
      <c r="AH194" s="697"/>
      <c r="AI194" s="697"/>
      <c r="AJ194" s="697"/>
      <c r="AK194" s="697"/>
      <c r="AL194" s="697"/>
      <c r="AM194" s="697"/>
      <c r="AN194" s="697"/>
      <c r="AO194" s="697"/>
      <c r="AP194" s="697"/>
      <c r="AQ194" s="697"/>
      <c r="AR194" s="697"/>
      <c r="AS194" s="697"/>
      <c r="AT194" s="697"/>
      <c r="AU194" s="697"/>
      <c r="AV194" s="697"/>
      <c r="AW194" s="697"/>
      <c r="AX194" s="697"/>
      <c r="AY194" s="697"/>
      <c r="AZ194" s="697"/>
      <c r="BA194" s="697"/>
      <c r="BB194" s="697"/>
      <c r="BC194" s="697"/>
      <c r="BD194" s="697"/>
      <c r="BE194" s="697"/>
      <c r="BF194" s="697"/>
      <c r="BG194" s="697"/>
      <c r="BH194" s="697"/>
      <c r="BI194" s="697"/>
      <c r="BJ194" s="697"/>
      <c r="BK194" s="697"/>
      <c r="BL194" s="697"/>
      <c r="BM194" s="697"/>
      <c r="BN194" s="697"/>
      <c r="BO194" s="697"/>
      <c r="BP194" s="697"/>
      <c r="BQ194" s="697"/>
      <c r="BR194" s="697"/>
      <c r="BS194" s="697"/>
      <c r="BT194" s="697"/>
      <c r="BU194" s="697"/>
      <c r="BV194" s="697"/>
      <c r="BW194" s="697"/>
      <c r="BX194" s="697"/>
      <c r="BY194" s="697"/>
      <c r="BZ194" s="697"/>
      <c r="CA194" s="697"/>
      <c r="CB194" s="697"/>
      <c r="CC194" s="697"/>
      <c r="CD194" s="697"/>
      <c r="CE194" s="697"/>
      <c r="CF194" s="697"/>
      <c r="CG194" s="697"/>
      <c r="CH194" s="697"/>
      <c r="CI194" s="697"/>
      <c r="CJ194" s="697"/>
      <c r="CK194" s="697"/>
      <c r="CL194" s="697"/>
      <c r="CM194" s="697"/>
      <c r="CN194" s="697"/>
      <c r="CO194" s="697"/>
      <c r="CP194" s="697"/>
      <c r="CQ194" s="697"/>
      <c r="CR194" s="697"/>
      <c r="CS194" s="697"/>
      <c r="CT194" s="697"/>
      <c r="CU194" s="697"/>
      <c r="CV194" s="697"/>
      <c r="CW194" s="697"/>
      <c r="CX194" s="697"/>
      <c r="CY194" s="697"/>
      <c r="CZ194" s="697"/>
      <c r="DA194" s="697"/>
      <c r="DB194" s="697"/>
    </row>
    <row r="195" spans="1:106" hidden="1" outlineLevel="1" x14ac:dyDescent="0.2">
      <c r="A195" s="709">
        <f t="shared" si="47"/>
        <v>37834</v>
      </c>
      <c r="B195" s="709" t="str">
        <f t="shared" si="48"/>
        <v>3Q03</v>
      </c>
      <c r="C195" s="709" t="str">
        <f t="shared" si="49"/>
        <v>4Q03</v>
      </c>
      <c r="D195" s="710">
        <f t="shared" si="58"/>
        <v>37915</v>
      </c>
      <c r="E195" s="710">
        <f t="shared" si="58"/>
        <v>37855</v>
      </c>
      <c r="F195" s="712">
        <v>31.19</v>
      </c>
      <c r="G195" s="713">
        <f t="shared" si="50"/>
        <v>1.4900000000000011</v>
      </c>
      <c r="H195" s="713">
        <f t="shared" si="51"/>
        <v>1.4900000000000011</v>
      </c>
      <c r="I195" s="713"/>
      <c r="J195" s="713"/>
      <c r="K195" s="713"/>
      <c r="L195" s="697"/>
      <c r="M195" s="697"/>
      <c r="N195" s="697"/>
      <c r="O195" s="697"/>
      <c r="P195" s="697"/>
      <c r="Q195" s="697"/>
      <c r="R195" s="697"/>
      <c r="S195" s="697"/>
      <c r="T195" s="697"/>
      <c r="U195" s="697"/>
      <c r="V195" s="697"/>
      <c r="W195" s="697"/>
      <c r="X195" s="697"/>
      <c r="Y195" s="697"/>
      <c r="Z195" s="697"/>
      <c r="AA195" s="697"/>
      <c r="AB195" s="697"/>
      <c r="AC195" s="697"/>
      <c r="AD195" s="697"/>
      <c r="AE195" s="697"/>
      <c r="AF195" s="697"/>
      <c r="AG195" s="697"/>
      <c r="AH195" s="697"/>
      <c r="AI195" s="697"/>
      <c r="AJ195" s="697"/>
      <c r="AK195" s="697"/>
      <c r="AL195" s="697"/>
      <c r="AM195" s="697"/>
      <c r="AN195" s="697"/>
      <c r="AO195" s="697"/>
      <c r="AP195" s="697"/>
      <c r="AQ195" s="697"/>
      <c r="AR195" s="697"/>
      <c r="AS195" s="697"/>
      <c r="AT195" s="697"/>
      <c r="AU195" s="697"/>
      <c r="AV195" s="697"/>
      <c r="AW195" s="697"/>
      <c r="AX195" s="697"/>
      <c r="AY195" s="697"/>
      <c r="AZ195" s="697"/>
      <c r="BA195" s="697"/>
      <c r="BB195" s="697"/>
      <c r="BC195" s="697"/>
      <c r="BD195" s="697"/>
      <c r="BE195" s="697"/>
      <c r="BF195" s="697"/>
      <c r="BG195" s="697"/>
      <c r="BH195" s="697"/>
      <c r="BI195" s="697"/>
      <c r="BJ195" s="697"/>
      <c r="BK195" s="697"/>
      <c r="BL195" s="697"/>
      <c r="BM195" s="697"/>
      <c r="BN195" s="697"/>
      <c r="BO195" s="697"/>
      <c r="BP195" s="697"/>
      <c r="BQ195" s="697"/>
      <c r="BR195" s="697"/>
      <c r="BS195" s="697"/>
      <c r="BT195" s="697"/>
      <c r="BU195" s="697"/>
      <c r="BV195" s="697"/>
      <c r="BW195" s="697"/>
      <c r="BX195" s="697"/>
      <c r="BY195" s="697"/>
      <c r="BZ195" s="697"/>
      <c r="CA195" s="697"/>
      <c r="CB195" s="697"/>
      <c r="CC195" s="697"/>
      <c r="CD195" s="697"/>
      <c r="CE195" s="697"/>
      <c r="CF195" s="697"/>
      <c r="CG195" s="697"/>
      <c r="CH195" s="697"/>
      <c r="CI195" s="697"/>
      <c r="CJ195" s="697"/>
      <c r="CK195" s="697"/>
      <c r="CL195" s="697"/>
      <c r="CM195" s="697"/>
      <c r="CN195" s="697"/>
      <c r="CO195" s="697"/>
      <c r="CP195" s="697"/>
      <c r="CQ195" s="697"/>
      <c r="CR195" s="697"/>
      <c r="CS195" s="697"/>
      <c r="CT195" s="697"/>
      <c r="CU195" s="697"/>
      <c r="CV195" s="697"/>
      <c r="CW195" s="697"/>
      <c r="CX195" s="697"/>
      <c r="CY195" s="697"/>
      <c r="CZ195" s="697"/>
      <c r="DA195" s="697"/>
      <c r="DB195" s="697"/>
    </row>
    <row r="196" spans="1:106" hidden="1" outlineLevel="1" x14ac:dyDescent="0.2">
      <c r="A196" s="709">
        <f t="shared" ref="A196:A259" si="59">DATE(YEAR(E196),MONTH(E196),1)</f>
        <v>37834</v>
      </c>
      <c r="B196" s="709" t="str">
        <f t="shared" ref="B196:B259" si="60">VLOOKUP(MONTH(A196),$N$4:$O$16,2,FALSE) &amp; "Q" &amp; RIGHT(YEAR(A196),2)</f>
        <v>3Q03</v>
      </c>
      <c r="C196" s="709" t="str">
        <f t="shared" ref="C196:C259" si="61">VLOOKUP(MONTH(D196),$N$4:$O$16,2,FALSE) &amp; "Q" &amp; RIGHT(YEAR(D196),2)</f>
        <v>4Q03</v>
      </c>
      <c r="D196" s="710">
        <f t="shared" si="58"/>
        <v>37922</v>
      </c>
      <c r="E196" s="710">
        <f t="shared" si="58"/>
        <v>37862</v>
      </c>
      <c r="F196" s="712">
        <v>31.56</v>
      </c>
      <c r="G196" s="713">
        <f t="shared" ref="G196:G259" si="62">INDEX($I$4:$K$153,MATCH(F196,$I$4:$I$153,1),3)</f>
        <v>1.4900000000000011</v>
      </c>
      <c r="H196" s="713">
        <f t="shared" ref="H196:H259" si="63">G197</f>
        <v>1.4900000000000011</v>
      </c>
      <c r="I196" s="713"/>
      <c r="J196" s="713"/>
      <c r="K196" s="713"/>
      <c r="L196" s="697"/>
      <c r="M196" s="697"/>
      <c r="N196" s="697"/>
      <c r="O196" s="697"/>
      <c r="P196" s="697"/>
      <c r="Q196" s="697"/>
      <c r="R196" s="697"/>
      <c r="S196" s="697"/>
      <c r="T196" s="697"/>
      <c r="U196" s="697"/>
      <c r="V196" s="697"/>
      <c r="W196" s="697"/>
      <c r="X196" s="697"/>
      <c r="Y196" s="697"/>
      <c r="Z196" s="697"/>
      <c r="AA196" s="697"/>
      <c r="AB196" s="697"/>
      <c r="AC196" s="697"/>
      <c r="AD196" s="697"/>
      <c r="AE196" s="697"/>
      <c r="AF196" s="697"/>
      <c r="AG196" s="697"/>
      <c r="AH196" s="697"/>
      <c r="AI196" s="697"/>
      <c r="AJ196" s="697"/>
      <c r="AK196" s="697"/>
      <c r="AL196" s="697"/>
      <c r="AM196" s="697"/>
      <c r="AN196" s="697"/>
      <c r="AO196" s="697"/>
      <c r="AP196" s="697"/>
      <c r="AQ196" s="697"/>
      <c r="AR196" s="697"/>
      <c r="AS196" s="697"/>
      <c r="AT196" s="697"/>
      <c r="AU196" s="697"/>
      <c r="AV196" s="697"/>
      <c r="AW196" s="697"/>
      <c r="AX196" s="697"/>
      <c r="AY196" s="697"/>
      <c r="AZ196" s="697"/>
      <c r="BA196" s="697"/>
      <c r="BB196" s="697"/>
      <c r="BC196" s="697"/>
      <c r="BD196" s="697"/>
      <c r="BE196" s="697"/>
      <c r="BF196" s="697"/>
      <c r="BG196" s="697"/>
      <c r="BH196" s="697"/>
      <c r="BI196" s="697"/>
      <c r="BJ196" s="697"/>
      <c r="BK196" s="697"/>
      <c r="BL196" s="697"/>
      <c r="BM196" s="697"/>
      <c r="BN196" s="697"/>
      <c r="BO196" s="697"/>
      <c r="BP196" s="697"/>
      <c r="BQ196" s="697"/>
      <c r="BR196" s="697"/>
      <c r="BS196" s="697"/>
      <c r="BT196" s="697"/>
      <c r="BU196" s="697"/>
      <c r="BV196" s="697"/>
      <c r="BW196" s="697"/>
      <c r="BX196" s="697"/>
      <c r="BY196" s="697"/>
      <c r="BZ196" s="697"/>
      <c r="CA196" s="697"/>
      <c r="CB196" s="697"/>
      <c r="CC196" s="697"/>
      <c r="CD196" s="697"/>
      <c r="CE196" s="697"/>
      <c r="CF196" s="697"/>
      <c r="CG196" s="697"/>
      <c r="CH196" s="697"/>
      <c r="CI196" s="697"/>
      <c r="CJ196" s="697"/>
      <c r="CK196" s="697"/>
      <c r="CL196" s="697"/>
      <c r="CM196" s="697"/>
      <c r="CN196" s="697"/>
      <c r="CO196" s="697"/>
      <c r="CP196" s="697"/>
      <c r="CQ196" s="697"/>
      <c r="CR196" s="697"/>
      <c r="CS196" s="697"/>
      <c r="CT196" s="697"/>
      <c r="CU196" s="697"/>
      <c r="CV196" s="697"/>
      <c r="CW196" s="697"/>
      <c r="CX196" s="697"/>
      <c r="CY196" s="697"/>
      <c r="CZ196" s="697"/>
      <c r="DA196" s="697"/>
      <c r="DB196" s="697"/>
    </row>
    <row r="197" spans="1:106" hidden="1" outlineLevel="1" x14ac:dyDescent="0.2">
      <c r="A197" s="709">
        <f t="shared" si="59"/>
        <v>37865</v>
      </c>
      <c r="B197" s="709" t="str">
        <f t="shared" si="60"/>
        <v>3Q03</v>
      </c>
      <c r="C197" s="709" t="str">
        <f t="shared" si="61"/>
        <v>4Q03</v>
      </c>
      <c r="D197" s="710">
        <f t="shared" ref="D197:E212" si="64">D196+7</f>
        <v>37929</v>
      </c>
      <c r="E197" s="710">
        <f t="shared" si="64"/>
        <v>37869</v>
      </c>
      <c r="F197" s="712">
        <v>29.2</v>
      </c>
      <c r="G197" s="713">
        <f t="shared" si="62"/>
        <v>1.4900000000000011</v>
      </c>
      <c r="H197" s="713">
        <f t="shared" si="63"/>
        <v>1.4900000000000011</v>
      </c>
      <c r="I197" s="697"/>
      <c r="J197" s="697"/>
      <c r="K197" s="697"/>
      <c r="L197" s="697"/>
      <c r="M197" s="697"/>
      <c r="N197" s="697"/>
      <c r="O197" s="697"/>
      <c r="P197" s="697"/>
      <c r="Q197" s="697"/>
      <c r="R197" s="697"/>
      <c r="S197" s="697"/>
      <c r="T197" s="697"/>
      <c r="U197" s="697"/>
      <c r="V197" s="697"/>
      <c r="W197" s="697"/>
      <c r="X197" s="697"/>
      <c r="Y197" s="697"/>
      <c r="Z197" s="697"/>
      <c r="AA197" s="697"/>
      <c r="AB197" s="697"/>
      <c r="AC197" s="697"/>
      <c r="AD197" s="697"/>
      <c r="AE197" s="697"/>
      <c r="AF197" s="697"/>
      <c r="AG197" s="697"/>
      <c r="AH197" s="697"/>
      <c r="AI197" s="697"/>
      <c r="AJ197" s="697"/>
      <c r="AK197" s="697"/>
      <c r="AL197" s="697"/>
      <c r="AM197" s="697"/>
      <c r="AN197" s="697"/>
      <c r="AO197" s="697"/>
      <c r="AP197" s="697"/>
      <c r="AQ197" s="697"/>
      <c r="AR197" s="697"/>
      <c r="AS197" s="697"/>
      <c r="AT197" s="697"/>
      <c r="AU197" s="697"/>
      <c r="AV197" s="697"/>
      <c r="AW197" s="697"/>
      <c r="AX197" s="697"/>
      <c r="AY197" s="697"/>
      <c r="AZ197" s="697"/>
      <c r="BA197" s="697"/>
      <c r="BB197" s="697"/>
      <c r="BC197" s="697"/>
      <c r="BD197" s="697"/>
      <c r="BE197" s="697"/>
      <c r="BF197" s="697"/>
      <c r="BG197" s="697"/>
      <c r="BH197" s="697"/>
      <c r="BI197" s="697"/>
      <c r="BJ197" s="697"/>
      <c r="BK197" s="697"/>
      <c r="BL197" s="697"/>
      <c r="BM197" s="697"/>
      <c r="BN197" s="697"/>
      <c r="BO197" s="697"/>
      <c r="BP197" s="697"/>
      <c r="BQ197" s="697"/>
      <c r="BR197" s="697"/>
      <c r="BS197" s="697"/>
      <c r="BT197" s="697"/>
      <c r="BU197" s="697"/>
      <c r="BV197" s="697"/>
      <c r="BW197" s="697"/>
      <c r="BX197" s="697"/>
      <c r="BY197" s="697"/>
      <c r="BZ197" s="697"/>
      <c r="CA197" s="697"/>
      <c r="CB197" s="697"/>
      <c r="CC197" s="697"/>
      <c r="CD197" s="697"/>
      <c r="CE197" s="697"/>
      <c r="CF197" s="697"/>
      <c r="CG197" s="697"/>
      <c r="CH197" s="697"/>
      <c r="CI197" s="697"/>
      <c r="CJ197" s="697"/>
      <c r="CK197" s="697"/>
      <c r="CL197" s="697"/>
      <c r="CM197" s="697"/>
      <c r="CN197" s="697"/>
      <c r="CO197" s="697"/>
      <c r="CP197" s="697"/>
      <c r="CQ197" s="697"/>
      <c r="CR197" s="697"/>
      <c r="CS197" s="697"/>
      <c r="CT197" s="697"/>
      <c r="CU197" s="697"/>
      <c r="CV197" s="697"/>
      <c r="CW197" s="697"/>
      <c r="CX197" s="697"/>
      <c r="CY197" s="697"/>
      <c r="CZ197" s="697"/>
      <c r="DA197" s="697"/>
      <c r="DB197" s="697"/>
    </row>
    <row r="198" spans="1:106" hidden="1" outlineLevel="1" x14ac:dyDescent="0.2">
      <c r="A198" s="709">
        <f t="shared" si="59"/>
        <v>37865</v>
      </c>
      <c r="B198" s="709" t="str">
        <f t="shared" si="60"/>
        <v>3Q03</v>
      </c>
      <c r="C198" s="709" t="str">
        <f t="shared" si="61"/>
        <v>4Q03</v>
      </c>
      <c r="D198" s="710">
        <f t="shared" si="64"/>
        <v>37936</v>
      </c>
      <c r="E198" s="710">
        <f t="shared" si="64"/>
        <v>37876</v>
      </c>
      <c r="F198" s="712">
        <v>28.92</v>
      </c>
      <c r="G198" s="713">
        <f t="shared" si="62"/>
        <v>1.4900000000000011</v>
      </c>
      <c r="H198" s="713">
        <f t="shared" si="63"/>
        <v>1.4900000000000011</v>
      </c>
      <c r="I198" s="697"/>
      <c r="J198" s="697"/>
      <c r="K198" s="697"/>
      <c r="L198" s="697"/>
      <c r="M198" s="697"/>
      <c r="N198" s="697"/>
      <c r="O198" s="697"/>
      <c r="P198" s="697"/>
      <c r="Q198" s="697"/>
      <c r="R198" s="697"/>
      <c r="S198" s="697"/>
      <c r="T198" s="697"/>
      <c r="U198" s="697"/>
      <c r="V198" s="697"/>
      <c r="W198" s="697"/>
      <c r="X198" s="697"/>
      <c r="Y198" s="697"/>
      <c r="Z198" s="697"/>
      <c r="AA198" s="697"/>
      <c r="AB198" s="697"/>
      <c r="AC198" s="697"/>
      <c r="AD198" s="697"/>
      <c r="AE198" s="697"/>
      <c r="AF198" s="697"/>
      <c r="AG198" s="697"/>
      <c r="AH198" s="697"/>
      <c r="AI198" s="697"/>
      <c r="AJ198" s="697"/>
      <c r="AK198" s="697"/>
      <c r="AL198" s="697"/>
      <c r="AM198" s="697"/>
      <c r="AN198" s="697"/>
      <c r="AO198" s="697"/>
      <c r="AP198" s="697"/>
      <c r="AQ198" s="697"/>
      <c r="AR198" s="697"/>
      <c r="AS198" s="697"/>
      <c r="AT198" s="697"/>
      <c r="AU198" s="697"/>
      <c r="AV198" s="697"/>
      <c r="AW198" s="697"/>
      <c r="AX198" s="697"/>
      <c r="AY198" s="697"/>
      <c r="AZ198" s="697"/>
      <c r="BA198" s="697"/>
      <c r="BB198" s="697"/>
      <c r="BC198" s="697"/>
      <c r="BD198" s="697"/>
      <c r="BE198" s="697"/>
      <c r="BF198" s="697"/>
      <c r="BG198" s="697"/>
      <c r="BH198" s="697"/>
      <c r="BI198" s="697"/>
      <c r="BJ198" s="697"/>
      <c r="BK198" s="697"/>
      <c r="BL198" s="697"/>
      <c r="BM198" s="697"/>
      <c r="BN198" s="697"/>
      <c r="BO198" s="697"/>
      <c r="BP198" s="697"/>
      <c r="BQ198" s="697"/>
      <c r="BR198" s="697"/>
      <c r="BS198" s="697"/>
      <c r="BT198" s="697"/>
      <c r="BU198" s="697"/>
      <c r="BV198" s="697"/>
      <c r="BW198" s="697"/>
      <c r="BX198" s="697"/>
      <c r="BY198" s="697"/>
      <c r="BZ198" s="697"/>
      <c r="CA198" s="697"/>
      <c r="CB198" s="697"/>
      <c r="CC198" s="697"/>
      <c r="CD198" s="697"/>
      <c r="CE198" s="697"/>
      <c r="CF198" s="697"/>
      <c r="CG198" s="697"/>
      <c r="CH198" s="697"/>
      <c r="CI198" s="697"/>
      <c r="CJ198" s="697"/>
      <c r="CK198" s="697"/>
      <c r="CL198" s="697"/>
      <c r="CM198" s="697"/>
      <c r="CN198" s="697"/>
      <c r="CO198" s="697"/>
      <c r="CP198" s="697"/>
      <c r="CQ198" s="697"/>
      <c r="CR198" s="697"/>
      <c r="CS198" s="697"/>
      <c r="CT198" s="697"/>
      <c r="CU198" s="697"/>
      <c r="CV198" s="697"/>
      <c r="CW198" s="697"/>
      <c r="CX198" s="697"/>
      <c r="CY198" s="697"/>
      <c r="CZ198" s="697"/>
      <c r="DA198" s="697"/>
      <c r="DB198" s="697"/>
    </row>
    <row r="199" spans="1:106" hidden="1" outlineLevel="1" x14ac:dyDescent="0.2">
      <c r="A199" s="709">
        <f t="shared" si="59"/>
        <v>37865</v>
      </c>
      <c r="B199" s="709" t="str">
        <f t="shared" si="60"/>
        <v>3Q03</v>
      </c>
      <c r="C199" s="709" t="str">
        <f t="shared" si="61"/>
        <v>4Q03</v>
      </c>
      <c r="D199" s="710">
        <f t="shared" si="64"/>
        <v>37943</v>
      </c>
      <c r="E199" s="710">
        <f t="shared" si="64"/>
        <v>37883</v>
      </c>
      <c r="F199" s="712">
        <v>27.39</v>
      </c>
      <c r="G199" s="713">
        <f t="shared" si="62"/>
        <v>1.4900000000000011</v>
      </c>
      <c r="H199" s="713">
        <f t="shared" si="63"/>
        <v>1.4900000000000011</v>
      </c>
      <c r="I199" s="697"/>
      <c r="J199" s="697"/>
      <c r="K199" s="697"/>
      <c r="L199" s="697"/>
      <c r="M199" s="697"/>
      <c r="N199" s="697"/>
      <c r="O199" s="697"/>
      <c r="P199" s="697"/>
      <c r="Q199" s="697"/>
      <c r="R199" s="697"/>
      <c r="S199" s="697"/>
      <c r="T199" s="697"/>
      <c r="U199" s="697"/>
      <c r="V199" s="697"/>
      <c r="W199" s="697"/>
      <c r="X199" s="697"/>
      <c r="Y199" s="697"/>
      <c r="Z199" s="697"/>
      <c r="AA199" s="697"/>
      <c r="AB199" s="697"/>
      <c r="AC199" s="697"/>
      <c r="AD199" s="697"/>
      <c r="AE199" s="697"/>
      <c r="AF199" s="697"/>
      <c r="AG199" s="697"/>
      <c r="AH199" s="697"/>
      <c r="AI199" s="697"/>
      <c r="AJ199" s="697"/>
      <c r="AK199" s="697"/>
      <c r="AL199" s="697"/>
      <c r="AM199" s="697"/>
      <c r="AN199" s="697"/>
      <c r="AO199" s="697"/>
      <c r="AP199" s="697"/>
      <c r="AQ199" s="697"/>
      <c r="AR199" s="697"/>
      <c r="AS199" s="697"/>
      <c r="AT199" s="697"/>
      <c r="AU199" s="697"/>
      <c r="AV199" s="697"/>
      <c r="AW199" s="697"/>
      <c r="AX199" s="697"/>
      <c r="AY199" s="697"/>
      <c r="AZ199" s="697"/>
      <c r="BA199" s="697"/>
      <c r="BB199" s="697"/>
      <c r="BC199" s="697"/>
      <c r="BD199" s="697"/>
      <c r="BE199" s="697"/>
      <c r="BF199" s="697"/>
      <c r="BG199" s="697"/>
      <c r="BH199" s="697"/>
      <c r="BI199" s="697"/>
      <c r="BJ199" s="697"/>
      <c r="BK199" s="697"/>
      <c r="BL199" s="697"/>
      <c r="BM199" s="697"/>
      <c r="BN199" s="697"/>
      <c r="BO199" s="697"/>
      <c r="BP199" s="697"/>
      <c r="BQ199" s="697"/>
      <c r="BR199" s="697"/>
      <c r="BS199" s="697"/>
      <c r="BT199" s="697"/>
      <c r="BU199" s="697"/>
      <c r="BV199" s="697"/>
      <c r="BW199" s="697"/>
      <c r="BX199" s="697"/>
      <c r="BY199" s="697"/>
      <c r="BZ199" s="697"/>
      <c r="CA199" s="697"/>
      <c r="CB199" s="697"/>
      <c r="CC199" s="697"/>
      <c r="CD199" s="697"/>
      <c r="CE199" s="697"/>
      <c r="CF199" s="697"/>
      <c r="CG199" s="697"/>
      <c r="CH199" s="697"/>
      <c r="CI199" s="697"/>
      <c r="CJ199" s="697"/>
      <c r="CK199" s="697"/>
      <c r="CL199" s="697"/>
      <c r="CM199" s="697"/>
      <c r="CN199" s="697"/>
      <c r="CO199" s="697"/>
      <c r="CP199" s="697"/>
      <c r="CQ199" s="697"/>
      <c r="CR199" s="697"/>
      <c r="CS199" s="697"/>
      <c r="CT199" s="697"/>
      <c r="CU199" s="697"/>
      <c r="CV199" s="697"/>
      <c r="CW199" s="697"/>
      <c r="CX199" s="697"/>
      <c r="CY199" s="697"/>
      <c r="CZ199" s="697"/>
      <c r="DA199" s="697"/>
      <c r="DB199" s="697"/>
    </row>
    <row r="200" spans="1:106" hidden="1" outlineLevel="1" x14ac:dyDescent="0.2">
      <c r="A200" s="709">
        <f t="shared" si="59"/>
        <v>37865</v>
      </c>
      <c r="B200" s="709" t="str">
        <f t="shared" si="60"/>
        <v>3Q03</v>
      </c>
      <c r="C200" s="709" t="str">
        <f t="shared" si="61"/>
        <v>4Q03</v>
      </c>
      <c r="D200" s="710">
        <f t="shared" si="64"/>
        <v>37950</v>
      </c>
      <c r="E200" s="710">
        <f t="shared" si="64"/>
        <v>37890</v>
      </c>
      <c r="F200" s="712">
        <v>27.73</v>
      </c>
      <c r="G200" s="713">
        <f t="shared" si="62"/>
        <v>1.4900000000000011</v>
      </c>
      <c r="H200" s="713">
        <f t="shared" si="63"/>
        <v>1.4900000000000011</v>
      </c>
      <c r="I200" s="697"/>
      <c r="J200" s="697"/>
      <c r="K200" s="697"/>
      <c r="L200" s="697"/>
      <c r="M200" s="697"/>
      <c r="N200" s="697"/>
      <c r="O200" s="697"/>
      <c r="P200" s="697"/>
      <c r="Q200" s="697"/>
      <c r="R200" s="697"/>
      <c r="S200" s="697"/>
      <c r="T200" s="697"/>
      <c r="U200" s="697"/>
      <c r="V200" s="697"/>
      <c r="W200" s="697"/>
      <c r="X200" s="697"/>
      <c r="Y200" s="697"/>
      <c r="Z200" s="697"/>
      <c r="AA200" s="697"/>
      <c r="AB200" s="697"/>
      <c r="AC200" s="697"/>
      <c r="AD200" s="697"/>
      <c r="AE200" s="697"/>
      <c r="AF200" s="697"/>
      <c r="AG200" s="697"/>
      <c r="AH200" s="697"/>
      <c r="AI200" s="697"/>
      <c r="AJ200" s="697"/>
      <c r="AK200" s="697"/>
      <c r="AL200" s="697"/>
      <c r="AM200" s="697"/>
      <c r="AN200" s="697"/>
      <c r="AO200" s="697"/>
      <c r="AP200" s="697"/>
      <c r="AQ200" s="697"/>
      <c r="AR200" s="697"/>
      <c r="AS200" s="697"/>
      <c r="AT200" s="697"/>
      <c r="AU200" s="697"/>
      <c r="AV200" s="697"/>
      <c r="AW200" s="697"/>
      <c r="AX200" s="697"/>
      <c r="AY200" s="697"/>
      <c r="AZ200" s="697"/>
      <c r="BA200" s="697"/>
      <c r="BB200" s="697"/>
      <c r="BC200" s="697"/>
      <c r="BD200" s="697"/>
      <c r="BE200" s="697"/>
      <c r="BF200" s="697"/>
      <c r="BG200" s="697"/>
      <c r="BH200" s="697"/>
      <c r="BI200" s="697"/>
      <c r="BJ200" s="697"/>
      <c r="BK200" s="697"/>
      <c r="BL200" s="697"/>
      <c r="BM200" s="697"/>
      <c r="BN200" s="697"/>
      <c r="BO200" s="697"/>
      <c r="BP200" s="697"/>
      <c r="BQ200" s="697"/>
      <c r="BR200" s="697"/>
      <c r="BS200" s="697"/>
      <c r="BT200" s="697"/>
      <c r="BU200" s="697"/>
      <c r="BV200" s="697"/>
      <c r="BW200" s="697"/>
      <c r="BX200" s="697"/>
      <c r="BY200" s="697"/>
      <c r="BZ200" s="697"/>
      <c r="CA200" s="697"/>
      <c r="CB200" s="697"/>
      <c r="CC200" s="697"/>
      <c r="CD200" s="697"/>
      <c r="CE200" s="697"/>
      <c r="CF200" s="697"/>
      <c r="CG200" s="697"/>
      <c r="CH200" s="697"/>
      <c r="CI200" s="697"/>
      <c r="CJ200" s="697"/>
      <c r="CK200" s="697"/>
      <c r="CL200" s="697"/>
      <c r="CM200" s="697"/>
      <c r="CN200" s="697"/>
      <c r="CO200" s="697"/>
      <c r="CP200" s="697"/>
      <c r="CQ200" s="697"/>
      <c r="CR200" s="697"/>
      <c r="CS200" s="697"/>
      <c r="CT200" s="697"/>
      <c r="CU200" s="697"/>
      <c r="CV200" s="697"/>
      <c r="CW200" s="697"/>
      <c r="CX200" s="697"/>
      <c r="CY200" s="697"/>
      <c r="CZ200" s="697"/>
      <c r="DA200" s="697"/>
      <c r="DB200" s="697"/>
    </row>
    <row r="201" spans="1:106" hidden="1" outlineLevel="1" x14ac:dyDescent="0.2">
      <c r="A201" s="709">
        <f t="shared" si="59"/>
        <v>37895</v>
      </c>
      <c r="B201" s="709" t="str">
        <f t="shared" si="60"/>
        <v>4Q03</v>
      </c>
      <c r="C201" s="709" t="str">
        <f t="shared" si="61"/>
        <v>4Q03</v>
      </c>
      <c r="D201" s="710">
        <f t="shared" si="64"/>
        <v>37957</v>
      </c>
      <c r="E201" s="710">
        <f t="shared" si="64"/>
        <v>37897</v>
      </c>
      <c r="F201" s="712">
        <v>29.43</v>
      </c>
      <c r="G201" s="713">
        <f t="shared" si="62"/>
        <v>1.4900000000000011</v>
      </c>
      <c r="H201" s="713">
        <f t="shared" si="63"/>
        <v>1.4900000000000011</v>
      </c>
      <c r="I201" s="697"/>
      <c r="J201" s="697"/>
      <c r="K201" s="697"/>
      <c r="L201" s="697"/>
      <c r="M201" s="697"/>
      <c r="N201" s="697"/>
      <c r="O201" s="697"/>
      <c r="P201" s="697"/>
      <c r="Q201" s="697"/>
      <c r="R201" s="697"/>
      <c r="S201" s="697"/>
      <c r="T201" s="697"/>
      <c r="U201" s="697"/>
      <c r="V201" s="697"/>
      <c r="W201" s="697"/>
      <c r="X201" s="697"/>
      <c r="Y201" s="697"/>
      <c r="Z201" s="697"/>
      <c r="AA201" s="697"/>
      <c r="AB201" s="697"/>
      <c r="AC201" s="697"/>
      <c r="AD201" s="697"/>
      <c r="AE201" s="697"/>
      <c r="AF201" s="697"/>
      <c r="AG201" s="697"/>
      <c r="AH201" s="697"/>
      <c r="AI201" s="697"/>
      <c r="AJ201" s="697"/>
      <c r="AK201" s="697"/>
      <c r="AL201" s="697"/>
      <c r="AM201" s="697"/>
      <c r="AN201" s="697"/>
      <c r="AO201" s="697"/>
      <c r="AP201" s="697"/>
      <c r="AQ201" s="697"/>
      <c r="AR201" s="697"/>
      <c r="AS201" s="697"/>
      <c r="AT201" s="697"/>
      <c r="AU201" s="697"/>
      <c r="AV201" s="697"/>
      <c r="AW201" s="697"/>
      <c r="AX201" s="697"/>
      <c r="AY201" s="697"/>
      <c r="AZ201" s="697"/>
      <c r="BA201" s="697"/>
      <c r="BB201" s="697"/>
      <c r="BC201" s="697"/>
      <c r="BD201" s="697"/>
      <c r="BE201" s="697"/>
      <c r="BF201" s="697"/>
      <c r="BG201" s="697"/>
      <c r="BH201" s="697"/>
      <c r="BI201" s="697"/>
      <c r="BJ201" s="697"/>
      <c r="BK201" s="697"/>
      <c r="BL201" s="697"/>
      <c r="BM201" s="697"/>
      <c r="BN201" s="697"/>
      <c r="BO201" s="697"/>
      <c r="BP201" s="697"/>
      <c r="BQ201" s="697"/>
      <c r="BR201" s="697"/>
      <c r="BS201" s="697"/>
      <c r="BT201" s="697"/>
      <c r="BU201" s="697"/>
      <c r="BV201" s="697"/>
      <c r="BW201" s="697"/>
      <c r="BX201" s="697"/>
      <c r="BY201" s="697"/>
      <c r="BZ201" s="697"/>
      <c r="CA201" s="697"/>
      <c r="CB201" s="697"/>
      <c r="CC201" s="697"/>
      <c r="CD201" s="697"/>
      <c r="CE201" s="697"/>
      <c r="CF201" s="697"/>
      <c r="CG201" s="697"/>
      <c r="CH201" s="697"/>
      <c r="CI201" s="697"/>
      <c r="CJ201" s="697"/>
      <c r="CK201" s="697"/>
      <c r="CL201" s="697"/>
      <c r="CM201" s="697"/>
      <c r="CN201" s="697"/>
      <c r="CO201" s="697"/>
      <c r="CP201" s="697"/>
      <c r="CQ201" s="697"/>
      <c r="CR201" s="697"/>
      <c r="CS201" s="697"/>
      <c r="CT201" s="697"/>
      <c r="CU201" s="697"/>
      <c r="CV201" s="697"/>
      <c r="CW201" s="697"/>
      <c r="CX201" s="697"/>
      <c r="CY201" s="697"/>
      <c r="CZ201" s="697"/>
      <c r="DA201" s="697"/>
      <c r="DB201" s="697"/>
    </row>
    <row r="202" spans="1:106" hidden="1" outlineLevel="1" x14ac:dyDescent="0.2">
      <c r="A202" s="709">
        <f t="shared" si="59"/>
        <v>37895</v>
      </c>
      <c r="B202" s="709" t="str">
        <f t="shared" si="60"/>
        <v>4Q03</v>
      </c>
      <c r="C202" s="709" t="str">
        <f t="shared" si="61"/>
        <v>4Q03</v>
      </c>
      <c r="D202" s="710">
        <f t="shared" si="64"/>
        <v>37964</v>
      </c>
      <c r="E202" s="710">
        <f t="shared" si="64"/>
        <v>37904</v>
      </c>
      <c r="F202" s="712">
        <v>30.69</v>
      </c>
      <c r="G202" s="713">
        <f t="shared" si="62"/>
        <v>1.4900000000000011</v>
      </c>
      <c r="H202" s="713">
        <f t="shared" si="63"/>
        <v>1.4900000000000011</v>
      </c>
      <c r="I202" s="697"/>
      <c r="J202" s="697"/>
      <c r="K202" s="697"/>
      <c r="L202" s="697"/>
      <c r="M202" s="697"/>
      <c r="N202" s="697"/>
      <c r="O202" s="697"/>
      <c r="P202" s="697"/>
      <c r="Q202" s="697"/>
      <c r="R202" s="697"/>
      <c r="S202" s="697"/>
      <c r="T202" s="697"/>
      <c r="U202" s="697"/>
      <c r="V202" s="697"/>
      <c r="W202" s="697"/>
      <c r="X202" s="697"/>
      <c r="Y202" s="697"/>
      <c r="Z202" s="697"/>
      <c r="AA202" s="697"/>
      <c r="AB202" s="697"/>
      <c r="AC202" s="697"/>
      <c r="AD202" s="697"/>
      <c r="AE202" s="697"/>
      <c r="AF202" s="697"/>
      <c r="AG202" s="697"/>
      <c r="AH202" s="697"/>
      <c r="AI202" s="697"/>
      <c r="AJ202" s="697"/>
      <c r="AK202" s="697"/>
      <c r="AL202" s="697"/>
      <c r="AM202" s="697"/>
      <c r="AN202" s="697"/>
      <c r="AO202" s="697"/>
      <c r="AP202" s="697"/>
      <c r="AQ202" s="697"/>
      <c r="AR202" s="697"/>
      <c r="AS202" s="697"/>
      <c r="AT202" s="697"/>
      <c r="AU202" s="697"/>
      <c r="AV202" s="697"/>
      <c r="AW202" s="697"/>
      <c r="AX202" s="697"/>
      <c r="AY202" s="697"/>
      <c r="AZ202" s="697"/>
      <c r="BA202" s="697"/>
      <c r="BB202" s="697"/>
      <c r="BC202" s="697"/>
      <c r="BD202" s="697"/>
      <c r="BE202" s="697"/>
      <c r="BF202" s="697"/>
      <c r="BG202" s="697"/>
      <c r="BH202" s="697"/>
      <c r="BI202" s="697"/>
      <c r="BJ202" s="697"/>
      <c r="BK202" s="697"/>
      <c r="BL202" s="697"/>
      <c r="BM202" s="697"/>
      <c r="BN202" s="697"/>
      <c r="BO202" s="697"/>
      <c r="BP202" s="697"/>
      <c r="BQ202" s="697"/>
      <c r="BR202" s="697"/>
      <c r="BS202" s="697"/>
      <c r="BT202" s="697"/>
      <c r="BU202" s="697"/>
      <c r="BV202" s="697"/>
      <c r="BW202" s="697"/>
      <c r="BX202" s="697"/>
      <c r="BY202" s="697"/>
      <c r="BZ202" s="697"/>
      <c r="CA202" s="697"/>
      <c r="CB202" s="697"/>
      <c r="CC202" s="697"/>
      <c r="CD202" s="697"/>
      <c r="CE202" s="697"/>
      <c r="CF202" s="697"/>
      <c r="CG202" s="697"/>
      <c r="CH202" s="697"/>
      <c r="CI202" s="697"/>
      <c r="CJ202" s="697"/>
      <c r="CK202" s="697"/>
      <c r="CL202" s="697"/>
      <c r="CM202" s="697"/>
      <c r="CN202" s="697"/>
      <c r="CO202" s="697"/>
      <c r="CP202" s="697"/>
      <c r="CQ202" s="697"/>
      <c r="CR202" s="697"/>
      <c r="CS202" s="697"/>
      <c r="CT202" s="697"/>
      <c r="CU202" s="697"/>
      <c r="CV202" s="697"/>
      <c r="CW202" s="697"/>
      <c r="CX202" s="697"/>
      <c r="CY202" s="697"/>
      <c r="CZ202" s="697"/>
      <c r="DA202" s="697"/>
      <c r="DB202" s="697"/>
    </row>
    <row r="203" spans="1:106" hidden="1" outlineLevel="1" x14ac:dyDescent="0.2">
      <c r="A203" s="709">
        <f t="shared" si="59"/>
        <v>37895</v>
      </c>
      <c r="B203" s="709" t="str">
        <f t="shared" si="60"/>
        <v>4Q03</v>
      </c>
      <c r="C203" s="709" t="str">
        <f t="shared" si="61"/>
        <v>4Q03</v>
      </c>
      <c r="D203" s="710">
        <f t="shared" si="64"/>
        <v>37971</v>
      </c>
      <c r="E203" s="710">
        <f t="shared" si="64"/>
        <v>37911</v>
      </c>
      <c r="F203" s="712">
        <v>31.49</v>
      </c>
      <c r="G203" s="713">
        <f t="shared" si="62"/>
        <v>1.4900000000000011</v>
      </c>
      <c r="H203" s="713">
        <f t="shared" si="63"/>
        <v>1.4900000000000011</v>
      </c>
      <c r="I203" s="697"/>
      <c r="J203" s="697"/>
      <c r="K203" s="697"/>
      <c r="L203" s="697"/>
      <c r="M203" s="697"/>
      <c r="N203" s="697"/>
      <c r="O203" s="697"/>
      <c r="P203" s="697"/>
      <c r="Q203" s="697"/>
      <c r="R203" s="697"/>
      <c r="S203" s="697"/>
      <c r="T203" s="697"/>
      <c r="U203" s="697"/>
      <c r="V203" s="697"/>
      <c r="W203" s="697"/>
      <c r="X203" s="697"/>
      <c r="Y203" s="697"/>
      <c r="Z203" s="697"/>
      <c r="AA203" s="697"/>
      <c r="AB203" s="697"/>
      <c r="AC203" s="697"/>
      <c r="AD203" s="697"/>
      <c r="AE203" s="697"/>
      <c r="AF203" s="697"/>
      <c r="AG203" s="697"/>
      <c r="AH203" s="697"/>
      <c r="AI203" s="697"/>
      <c r="AJ203" s="697"/>
      <c r="AK203" s="697"/>
      <c r="AL203" s="697"/>
      <c r="AM203" s="697"/>
      <c r="AN203" s="697"/>
      <c r="AO203" s="697"/>
      <c r="AP203" s="697"/>
      <c r="AQ203" s="697"/>
      <c r="AR203" s="697"/>
      <c r="AS203" s="697"/>
      <c r="AT203" s="697"/>
      <c r="AU203" s="697"/>
      <c r="AV203" s="697"/>
      <c r="AW203" s="697"/>
      <c r="AX203" s="697"/>
      <c r="AY203" s="697"/>
      <c r="AZ203" s="697"/>
      <c r="BA203" s="697"/>
      <c r="BB203" s="697"/>
      <c r="BC203" s="697"/>
      <c r="BD203" s="697"/>
      <c r="BE203" s="697"/>
      <c r="BF203" s="697"/>
      <c r="BG203" s="697"/>
      <c r="BH203" s="697"/>
      <c r="BI203" s="697"/>
      <c r="BJ203" s="697"/>
      <c r="BK203" s="697"/>
      <c r="BL203" s="697"/>
      <c r="BM203" s="697"/>
      <c r="BN203" s="697"/>
      <c r="BO203" s="697"/>
      <c r="BP203" s="697"/>
      <c r="BQ203" s="697"/>
      <c r="BR203" s="697"/>
      <c r="BS203" s="697"/>
      <c r="BT203" s="697"/>
      <c r="BU203" s="697"/>
      <c r="BV203" s="697"/>
      <c r="BW203" s="697"/>
      <c r="BX203" s="697"/>
      <c r="BY203" s="697"/>
      <c r="BZ203" s="697"/>
      <c r="CA203" s="697"/>
      <c r="CB203" s="697"/>
      <c r="CC203" s="697"/>
      <c r="CD203" s="697"/>
      <c r="CE203" s="697"/>
      <c r="CF203" s="697"/>
      <c r="CG203" s="697"/>
      <c r="CH203" s="697"/>
      <c r="CI203" s="697"/>
      <c r="CJ203" s="697"/>
      <c r="CK203" s="697"/>
      <c r="CL203" s="697"/>
      <c r="CM203" s="697"/>
      <c r="CN203" s="697"/>
      <c r="CO203" s="697"/>
      <c r="CP203" s="697"/>
      <c r="CQ203" s="697"/>
      <c r="CR203" s="697"/>
      <c r="CS203" s="697"/>
      <c r="CT203" s="697"/>
      <c r="CU203" s="697"/>
      <c r="CV203" s="697"/>
      <c r="CW203" s="697"/>
      <c r="CX203" s="697"/>
      <c r="CY203" s="697"/>
      <c r="CZ203" s="697"/>
      <c r="DA203" s="697"/>
      <c r="DB203" s="697"/>
    </row>
    <row r="204" spans="1:106" hidden="1" outlineLevel="1" x14ac:dyDescent="0.2">
      <c r="A204" s="709">
        <f t="shared" si="59"/>
        <v>37895</v>
      </c>
      <c r="B204" s="709" t="str">
        <f t="shared" si="60"/>
        <v>4Q03</v>
      </c>
      <c r="C204" s="709" t="str">
        <f t="shared" si="61"/>
        <v>4Q03</v>
      </c>
      <c r="D204" s="710">
        <f t="shared" si="64"/>
        <v>37978</v>
      </c>
      <c r="E204" s="710">
        <f t="shared" si="64"/>
        <v>37918</v>
      </c>
      <c r="F204" s="712">
        <v>30.17</v>
      </c>
      <c r="G204" s="713">
        <f t="shared" si="62"/>
        <v>1.4900000000000011</v>
      </c>
      <c r="H204" s="713">
        <f t="shared" si="63"/>
        <v>1.4900000000000011</v>
      </c>
      <c r="I204" s="697"/>
      <c r="J204" s="697"/>
      <c r="K204" s="697"/>
      <c r="L204" s="697"/>
      <c r="M204" s="697"/>
      <c r="N204" s="697"/>
      <c r="O204" s="697"/>
      <c r="P204" s="697"/>
      <c r="Q204" s="697"/>
      <c r="R204" s="697"/>
      <c r="S204" s="697"/>
      <c r="T204" s="697"/>
      <c r="U204" s="697"/>
      <c r="V204" s="697"/>
      <c r="W204" s="697"/>
      <c r="X204" s="697"/>
      <c r="Y204" s="697"/>
      <c r="Z204" s="697"/>
      <c r="AA204" s="697"/>
      <c r="AB204" s="697"/>
      <c r="AC204" s="697"/>
      <c r="AD204" s="697"/>
      <c r="AE204" s="697"/>
      <c r="AF204" s="697"/>
      <c r="AG204" s="697"/>
      <c r="AH204" s="697"/>
      <c r="AI204" s="697"/>
      <c r="AJ204" s="697"/>
      <c r="AK204" s="697"/>
      <c r="AL204" s="697"/>
      <c r="AM204" s="697"/>
      <c r="AN204" s="697"/>
      <c r="AO204" s="697"/>
      <c r="AP204" s="697"/>
      <c r="AQ204" s="697"/>
      <c r="AR204" s="697"/>
      <c r="AS204" s="697"/>
      <c r="AT204" s="697"/>
      <c r="AU204" s="697"/>
      <c r="AV204" s="697"/>
      <c r="AW204" s="697"/>
      <c r="AX204" s="697"/>
      <c r="AY204" s="697"/>
      <c r="AZ204" s="697"/>
      <c r="BA204" s="697"/>
      <c r="BB204" s="697"/>
      <c r="BC204" s="697"/>
      <c r="BD204" s="697"/>
      <c r="BE204" s="697"/>
      <c r="BF204" s="697"/>
      <c r="BG204" s="697"/>
      <c r="BH204" s="697"/>
      <c r="BI204" s="697"/>
      <c r="BJ204" s="697"/>
      <c r="BK204" s="697"/>
      <c r="BL204" s="697"/>
      <c r="BM204" s="697"/>
      <c r="BN204" s="697"/>
      <c r="BO204" s="697"/>
      <c r="BP204" s="697"/>
      <c r="BQ204" s="697"/>
      <c r="BR204" s="697"/>
      <c r="BS204" s="697"/>
      <c r="BT204" s="697"/>
      <c r="BU204" s="697"/>
      <c r="BV204" s="697"/>
      <c r="BW204" s="697"/>
      <c r="BX204" s="697"/>
      <c r="BY204" s="697"/>
      <c r="BZ204" s="697"/>
      <c r="CA204" s="697"/>
      <c r="CB204" s="697"/>
      <c r="CC204" s="697"/>
      <c r="CD204" s="697"/>
      <c r="CE204" s="697"/>
      <c r="CF204" s="697"/>
      <c r="CG204" s="697"/>
      <c r="CH204" s="697"/>
      <c r="CI204" s="697"/>
      <c r="CJ204" s="697"/>
      <c r="CK204" s="697"/>
      <c r="CL204" s="697"/>
      <c r="CM204" s="697"/>
      <c r="CN204" s="697"/>
      <c r="CO204" s="697"/>
      <c r="CP204" s="697"/>
      <c r="CQ204" s="697"/>
      <c r="CR204" s="697"/>
      <c r="CS204" s="697"/>
      <c r="CT204" s="697"/>
      <c r="CU204" s="697"/>
      <c r="CV204" s="697"/>
      <c r="CW204" s="697"/>
      <c r="CX204" s="697"/>
      <c r="CY204" s="697"/>
      <c r="CZ204" s="697"/>
      <c r="DA204" s="697"/>
      <c r="DB204" s="697"/>
    </row>
    <row r="205" spans="1:106" hidden="1" outlineLevel="1" x14ac:dyDescent="0.2">
      <c r="A205" s="709">
        <f t="shared" si="59"/>
        <v>37895</v>
      </c>
      <c r="B205" s="709" t="str">
        <f t="shared" si="60"/>
        <v>4Q03</v>
      </c>
      <c r="C205" s="709" t="str">
        <f t="shared" si="61"/>
        <v>4Q03</v>
      </c>
      <c r="D205" s="710">
        <f t="shared" si="64"/>
        <v>37985</v>
      </c>
      <c r="E205" s="710">
        <f t="shared" si="64"/>
        <v>37925</v>
      </c>
      <c r="F205" s="712">
        <v>29.28</v>
      </c>
      <c r="G205" s="713">
        <f t="shared" si="62"/>
        <v>1.4900000000000011</v>
      </c>
      <c r="H205" s="713">
        <f t="shared" si="63"/>
        <v>1.4900000000000011</v>
      </c>
      <c r="I205" s="697"/>
      <c r="J205" s="697"/>
      <c r="K205" s="697"/>
      <c r="L205" s="697"/>
      <c r="M205" s="697"/>
      <c r="N205" s="697"/>
      <c r="O205" s="697"/>
      <c r="P205" s="697"/>
      <c r="Q205" s="697"/>
      <c r="R205" s="697"/>
      <c r="S205" s="697"/>
      <c r="T205" s="697"/>
      <c r="U205" s="697"/>
      <c r="V205" s="697"/>
      <c r="W205" s="697"/>
      <c r="X205" s="697"/>
      <c r="Y205" s="697"/>
      <c r="Z205" s="697"/>
      <c r="AA205" s="697"/>
      <c r="AB205" s="697"/>
      <c r="AC205" s="697"/>
      <c r="AD205" s="697"/>
      <c r="AE205" s="697"/>
      <c r="AF205" s="697"/>
      <c r="AG205" s="697"/>
      <c r="AH205" s="697"/>
      <c r="AI205" s="697"/>
      <c r="AJ205" s="697"/>
      <c r="AK205" s="697"/>
      <c r="AL205" s="697"/>
      <c r="AM205" s="697"/>
      <c r="AN205" s="697"/>
      <c r="AO205" s="697"/>
      <c r="AP205" s="697"/>
      <c r="AQ205" s="697"/>
      <c r="AR205" s="697"/>
      <c r="AS205" s="697"/>
      <c r="AT205" s="697"/>
      <c r="AU205" s="697"/>
      <c r="AV205" s="697"/>
      <c r="AW205" s="697"/>
      <c r="AX205" s="697"/>
      <c r="AY205" s="697"/>
      <c r="AZ205" s="697"/>
      <c r="BA205" s="697"/>
      <c r="BB205" s="697"/>
      <c r="BC205" s="697"/>
      <c r="BD205" s="697"/>
      <c r="BE205" s="697"/>
      <c r="BF205" s="697"/>
      <c r="BG205" s="697"/>
      <c r="BH205" s="697"/>
      <c r="BI205" s="697"/>
      <c r="BJ205" s="697"/>
      <c r="BK205" s="697"/>
      <c r="BL205" s="697"/>
      <c r="BM205" s="697"/>
      <c r="BN205" s="697"/>
      <c r="BO205" s="697"/>
      <c r="BP205" s="697"/>
      <c r="BQ205" s="697"/>
      <c r="BR205" s="697"/>
      <c r="BS205" s="697"/>
      <c r="BT205" s="697"/>
      <c r="BU205" s="697"/>
      <c r="BV205" s="697"/>
      <c r="BW205" s="697"/>
      <c r="BX205" s="697"/>
      <c r="BY205" s="697"/>
      <c r="BZ205" s="697"/>
      <c r="CA205" s="697"/>
      <c r="CB205" s="697"/>
      <c r="CC205" s="697"/>
      <c r="CD205" s="697"/>
      <c r="CE205" s="697"/>
      <c r="CF205" s="697"/>
      <c r="CG205" s="697"/>
      <c r="CH205" s="697"/>
      <c r="CI205" s="697"/>
      <c r="CJ205" s="697"/>
      <c r="CK205" s="697"/>
      <c r="CL205" s="697"/>
      <c r="CM205" s="697"/>
      <c r="CN205" s="697"/>
      <c r="CO205" s="697"/>
      <c r="CP205" s="697"/>
      <c r="CQ205" s="697"/>
      <c r="CR205" s="697"/>
      <c r="CS205" s="697"/>
      <c r="CT205" s="697"/>
      <c r="CU205" s="697"/>
      <c r="CV205" s="697"/>
      <c r="CW205" s="697"/>
      <c r="CX205" s="697"/>
      <c r="CY205" s="697"/>
      <c r="CZ205" s="697"/>
      <c r="DA205" s="697"/>
      <c r="DB205" s="697"/>
    </row>
    <row r="206" spans="1:106" hidden="1" outlineLevel="1" x14ac:dyDescent="0.2">
      <c r="A206" s="709">
        <f t="shared" si="59"/>
        <v>37926</v>
      </c>
      <c r="B206" s="709" t="str">
        <f t="shared" si="60"/>
        <v>4Q03</v>
      </c>
      <c r="C206" s="709" t="str">
        <f t="shared" si="61"/>
        <v>1Q04</v>
      </c>
      <c r="D206" s="710">
        <f t="shared" si="64"/>
        <v>37992</v>
      </c>
      <c r="E206" s="710">
        <f t="shared" si="64"/>
        <v>37932</v>
      </c>
      <c r="F206" s="712">
        <v>29.79</v>
      </c>
      <c r="G206" s="713">
        <f t="shared" si="62"/>
        <v>1.4900000000000011</v>
      </c>
      <c r="H206" s="713">
        <f t="shared" si="63"/>
        <v>1.4900000000000011</v>
      </c>
      <c r="I206" s="697"/>
      <c r="J206" s="697"/>
      <c r="K206" s="697"/>
      <c r="L206" s="697"/>
      <c r="M206" s="697"/>
      <c r="N206" s="697"/>
      <c r="O206" s="697"/>
      <c r="P206" s="697"/>
      <c r="Q206" s="697"/>
      <c r="R206" s="697"/>
      <c r="S206" s="697"/>
      <c r="T206" s="697"/>
      <c r="U206" s="697"/>
      <c r="V206" s="697"/>
      <c r="W206" s="697"/>
      <c r="X206" s="697"/>
      <c r="Y206" s="697"/>
      <c r="Z206" s="697"/>
      <c r="AA206" s="697"/>
      <c r="AB206" s="697"/>
      <c r="AC206" s="697"/>
      <c r="AD206" s="697"/>
      <c r="AE206" s="697"/>
      <c r="AF206" s="697"/>
      <c r="AG206" s="697"/>
      <c r="AH206" s="697"/>
      <c r="AI206" s="697"/>
      <c r="AJ206" s="697"/>
      <c r="AK206" s="697"/>
      <c r="AL206" s="697"/>
      <c r="AM206" s="697"/>
      <c r="AN206" s="697"/>
      <c r="AO206" s="697"/>
      <c r="AP206" s="697"/>
      <c r="AQ206" s="697"/>
      <c r="AR206" s="697"/>
      <c r="AS206" s="697"/>
      <c r="AT206" s="697"/>
      <c r="AU206" s="697"/>
      <c r="AV206" s="697"/>
      <c r="AW206" s="697"/>
      <c r="AX206" s="697"/>
      <c r="AY206" s="697"/>
      <c r="AZ206" s="697"/>
      <c r="BA206" s="697"/>
      <c r="BB206" s="697"/>
      <c r="BC206" s="697"/>
      <c r="BD206" s="697"/>
      <c r="BE206" s="697"/>
      <c r="BF206" s="697"/>
      <c r="BG206" s="697"/>
      <c r="BH206" s="697"/>
      <c r="BI206" s="697"/>
      <c r="BJ206" s="697"/>
      <c r="BK206" s="697"/>
      <c r="BL206" s="697"/>
      <c r="BM206" s="697"/>
      <c r="BN206" s="697"/>
      <c r="BO206" s="697"/>
      <c r="BP206" s="697"/>
      <c r="BQ206" s="697"/>
      <c r="BR206" s="697"/>
      <c r="BS206" s="697"/>
      <c r="BT206" s="697"/>
      <c r="BU206" s="697"/>
      <c r="BV206" s="697"/>
      <c r="BW206" s="697"/>
      <c r="BX206" s="697"/>
      <c r="BY206" s="697"/>
      <c r="BZ206" s="697"/>
      <c r="CA206" s="697"/>
      <c r="CB206" s="697"/>
      <c r="CC206" s="697"/>
      <c r="CD206" s="697"/>
      <c r="CE206" s="697"/>
      <c r="CF206" s="697"/>
      <c r="CG206" s="697"/>
      <c r="CH206" s="697"/>
      <c r="CI206" s="697"/>
      <c r="CJ206" s="697"/>
      <c r="CK206" s="697"/>
      <c r="CL206" s="697"/>
      <c r="CM206" s="697"/>
      <c r="CN206" s="697"/>
      <c r="CO206" s="697"/>
      <c r="CP206" s="697"/>
      <c r="CQ206" s="697"/>
      <c r="CR206" s="697"/>
      <c r="CS206" s="697"/>
      <c r="CT206" s="697"/>
      <c r="CU206" s="697"/>
      <c r="CV206" s="697"/>
      <c r="CW206" s="697"/>
      <c r="CX206" s="697"/>
      <c r="CY206" s="697"/>
      <c r="CZ206" s="697"/>
      <c r="DA206" s="697"/>
      <c r="DB206" s="697"/>
    </row>
    <row r="207" spans="1:106" hidden="1" outlineLevel="1" x14ac:dyDescent="0.2">
      <c r="A207" s="709">
        <f t="shared" si="59"/>
        <v>37926</v>
      </c>
      <c r="B207" s="709" t="str">
        <f t="shared" si="60"/>
        <v>4Q03</v>
      </c>
      <c r="C207" s="709" t="str">
        <f t="shared" si="61"/>
        <v>1Q04</v>
      </c>
      <c r="D207" s="710">
        <f t="shared" si="64"/>
        <v>37999</v>
      </c>
      <c r="E207" s="710">
        <f t="shared" si="64"/>
        <v>37939</v>
      </c>
      <c r="F207" s="712">
        <v>31.56</v>
      </c>
      <c r="G207" s="713">
        <f t="shared" si="62"/>
        <v>1.4900000000000011</v>
      </c>
      <c r="H207" s="713">
        <f t="shared" si="63"/>
        <v>1.4900000000000011</v>
      </c>
      <c r="I207" s="697"/>
      <c r="J207" s="697"/>
      <c r="K207" s="697"/>
      <c r="L207" s="697"/>
      <c r="M207" s="697"/>
      <c r="N207" s="697"/>
      <c r="O207" s="697"/>
      <c r="P207" s="697"/>
      <c r="Q207" s="697"/>
      <c r="R207" s="697"/>
      <c r="S207" s="697"/>
      <c r="T207" s="697"/>
      <c r="U207" s="697"/>
      <c r="V207" s="697"/>
      <c r="W207" s="697"/>
      <c r="X207" s="697"/>
      <c r="Y207" s="697"/>
      <c r="Z207" s="697"/>
      <c r="AA207" s="697"/>
      <c r="AB207" s="697"/>
      <c r="AC207" s="697"/>
      <c r="AD207" s="697"/>
      <c r="AE207" s="697"/>
      <c r="AF207" s="697"/>
      <c r="AG207" s="697"/>
      <c r="AH207" s="697"/>
      <c r="AI207" s="697"/>
      <c r="AJ207" s="697"/>
      <c r="AK207" s="697"/>
      <c r="AL207" s="697"/>
      <c r="AM207" s="697"/>
      <c r="AN207" s="697"/>
      <c r="AO207" s="697"/>
      <c r="AP207" s="697"/>
      <c r="AQ207" s="697"/>
      <c r="AR207" s="697"/>
      <c r="AS207" s="697"/>
      <c r="AT207" s="697"/>
      <c r="AU207" s="697"/>
      <c r="AV207" s="697"/>
      <c r="AW207" s="697"/>
      <c r="AX207" s="697"/>
      <c r="AY207" s="697"/>
      <c r="AZ207" s="697"/>
      <c r="BA207" s="697"/>
      <c r="BB207" s="697"/>
      <c r="BC207" s="697"/>
      <c r="BD207" s="697"/>
      <c r="BE207" s="697"/>
      <c r="BF207" s="697"/>
      <c r="BG207" s="697"/>
      <c r="BH207" s="697"/>
      <c r="BI207" s="697"/>
      <c r="BJ207" s="697"/>
      <c r="BK207" s="697"/>
      <c r="BL207" s="697"/>
      <c r="BM207" s="697"/>
      <c r="BN207" s="697"/>
      <c r="BO207" s="697"/>
      <c r="BP207" s="697"/>
      <c r="BQ207" s="697"/>
      <c r="BR207" s="697"/>
      <c r="BS207" s="697"/>
      <c r="BT207" s="697"/>
      <c r="BU207" s="697"/>
      <c r="BV207" s="697"/>
      <c r="BW207" s="697"/>
      <c r="BX207" s="697"/>
      <c r="BY207" s="697"/>
      <c r="BZ207" s="697"/>
      <c r="CA207" s="697"/>
      <c r="CB207" s="697"/>
      <c r="CC207" s="697"/>
      <c r="CD207" s="697"/>
      <c r="CE207" s="697"/>
      <c r="CF207" s="697"/>
      <c r="CG207" s="697"/>
      <c r="CH207" s="697"/>
      <c r="CI207" s="697"/>
      <c r="CJ207" s="697"/>
      <c r="CK207" s="697"/>
      <c r="CL207" s="697"/>
      <c r="CM207" s="697"/>
      <c r="CN207" s="697"/>
      <c r="CO207" s="697"/>
      <c r="CP207" s="697"/>
      <c r="CQ207" s="697"/>
      <c r="CR207" s="697"/>
      <c r="CS207" s="697"/>
      <c r="CT207" s="697"/>
      <c r="CU207" s="697"/>
      <c r="CV207" s="697"/>
      <c r="CW207" s="697"/>
      <c r="CX207" s="697"/>
      <c r="CY207" s="697"/>
      <c r="CZ207" s="697"/>
      <c r="DA207" s="697"/>
      <c r="DB207" s="697"/>
    </row>
    <row r="208" spans="1:106" hidden="1" outlineLevel="1" x14ac:dyDescent="0.2">
      <c r="A208" s="709">
        <f t="shared" si="59"/>
        <v>37926</v>
      </c>
      <c r="B208" s="709" t="str">
        <f t="shared" si="60"/>
        <v>4Q03</v>
      </c>
      <c r="C208" s="709" t="str">
        <f t="shared" si="61"/>
        <v>1Q04</v>
      </c>
      <c r="D208" s="710">
        <f t="shared" si="64"/>
        <v>38006</v>
      </c>
      <c r="E208" s="710">
        <f t="shared" si="64"/>
        <v>37946</v>
      </c>
      <c r="F208" s="712">
        <v>32.58</v>
      </c>
      <c r="G208" s="713">
        <f t="shared" si="62"/>
        <v>1.4900000000000011</v>
      </c>
      <c r="H208" s="713">
        <f t="shared" si="63"/>
        <v>1.4900000000000011</v>
      </c>
      <c r="I208" s="697"/>
      <c r="J208" s="697"/>
      <c r="K208" s="697"/>
      <c r="L208" s="697"/>
      <c r="M208" s="697"/>
      <c r="N208" s="697"/>
      <c r="O208" s="697"/>
      <c r="P208" s="697"/>
      <c r="Q208" s="697"/>
      <c r="R208" s="697"/>
      <c r="S208" s="697"/>
      <c r="T208" s="697"/>
      <c r="U208" s="697"/>
      <c r="V208" s="697"/>
      <c r="W208" s="697"/>
      <c r="X208" s="697"/>
      <c r="Y208" s="697"/>
      <c r="Z208" s="697"/>
      <c r="AA208" s="697"/>
      <c r="AB208" s="697"/>
      <c r="AC208" s="697"/>
      <c r="AD208" s="697"/>
      <c r="AE208" s="697"/>
      <c r="AF208" s="697"/>
      <c r="AG208" s="697"/>
      <c r="AH208" s="697"/>
      <c r="AI208" s="697"/>
      <c r="AJ208" s="697"/>
      <c r="AK208" s="697"/>
      <c r="AL208" s="697"/>
      <c r="AM208" s="697"/>
      <c r="AN208" s="697"/>
      <c r="AO208" s="697"/>
      <c r="AP208" s="697"/>
      <c r="AQ208" s="697"/>
      <c r="AR208" s="697"/>
      <c r="AS208" s="697"/>
      <c r="AT208" s="697"/>
      <c r="AU208" s="697"/>
      <c r="AV208" s="697"/>
      <c r="AW208" s="697"/>
      <c r="AX208" s="697"/>
      <c r="AY208" s="697"/>
      <c r="AZ208" s="697"/>
      <c r="BA208" s="697"/>
      <c r="BB208" s="697"/>
      <c r="BC208" s="697"/>
      <c r="BD208" s="697"/>
      <c r="BE208" s="697"/>
      <c r="BF208" s="697"/>
      <c r="BG208" s="697"/>
      <c r="BH208" s="697"/>
      <c r="BI208" s="697"/>
      <c r="BJ208" s="697"/>
      <c r="BK208" s="697"/>
      <c r="BL208" s="697"/>
      <c r="BM208" s="697"/>
      <c r="BN208" s="697"/>
      <c r="BO208" s="697"/>
      <c r="BP208" s="697"/>
      <c r="BQ208" s="697"/>
      <c r="BR208" s="697"/>
      <c r="BS208" s="697"/>
      <c r="BT208" s="697"/>
      <c r="BU208" s="697"/>
      <c r="BV208" s="697"/>
      <c r="BW208" s="697"/>
      <c r="BX208" s="697"/>
      <c r="BY208" s="697"/>
      <c r="BZ208" s="697"/>
      <c r="CA208" s="697"/>
      <c r="CB208" s="697"/>
      <c r="CC208" s="697"/>
      <c r="CD208" s="697"/>
      <c r="CE208" s="697"/>
      <c r="CF208" s="697"/>
      <c r="CG208" s="697"/>
      <c r="CH208" s="697"/>
      <c r="CI208" s="697"/>
      <c r="CJ208" s="697"/>
      <c r="CK208" s="697"/>
      <c r="CL208" s="697"/>
      <c r="CM208" s="697"/>
      <c r="CN208" s="697"/>
      <c r="CO208" s="697"/>
      <c r="CP208" s="697"/>
      <c r="CQ208" s="697"/>
      <c r="CR208" s="697"/>
      <c r="CS208" s="697"/>
      <c r="CT208" s="697"/>
      <c r="CU208" s="697"/>
      <c r="CV208" s="697"/>
      <c r="CW208" s="697"/>
      <c r="CX208" s="697"/>
      <c r="CY208" s="697"/>
      <c r="CZ208" s="697"/>
      <c r="DA208" s="697"/>
      <c r="DB208" s="697"/>
    </row>
    <row r="209" spans="1:106" hidden="1" outlineLevel="1" x14ac:dyDescent="0.2">
      <c r="A209" s="709">
        <f t="shared" si="59"/>
        <v>37926</v>
      </c>
      <c r="B209" s="709" t="str">
        <f t="shared" si="60"/>
        <v>4Q03</v>
      </c>
      <c r="C209" s="709" t="str">
        <f t="shared" si="61"/>
        <v>1Q04</v>
      </c>
      <c r="D209" s="710">
        <f t="shared" si="64"/>
        <v>38013</v>
      </c>
      <c r="E209" s="710">
        <f t="shared" si="64"/>
        <v>37953</v>
      </c>
      <c r="F209" s="712">
        <v>30.11</v>
      </c>
      <c r="G209" s="713">
        <f t="shared" si="62"/>
        <v>1.4900000000000011</v>
      </c>
      <c r="H209" s="713">
        <f t="shared" si="63"/>
        <v>1.4900000000000011</v>
      </c>
      <c r="I209" s="697"/>
      <c r="J209" s="697"/>
      <c r="K209" s="697"/>
      <c r="L209" s="697"/>
      <c r="M209" s="697"/>
      <c r="N209" s="697"/>
      <c r="O209" s="697"/>
      <c r="P209" s="697"/>
      <c r="Q209" s="697"/>
      <c r="R209" s="697"/>
      <c r="S209" s="697"/>
      <c r="T209" s="697"/>
      <c r="U209" s="697"/>
      <c r="V209" s="697"/>
      <c r="W209" s="697"/>
      <c r="X209" s="697"/>
      <c r="Y209" s="697"/>
      <c r="Z209" s="697"/>
      <c r="AA209" s="697"/>
      <c r="AB209" s="697"/>
      <c r="AC209" s="697"/>
      <c r="AD209" s="697"/>
      <c r="AE209" s="697"/>
      <c r="AF209" s="697"/>
      <c r="AG209" s="697"/>
      <c r="AH209" s="697"/>
      <c r="AI209" s="697"/>
      <c r="AJ209" s="697"/>
      <c r="AK209" s="697"/>
      <c r="AL209" s="697"/>
      <c r="AM209" s="697"/>
      <c r="AN209" s="697"/>
      <c r="AO209" s="697"/>
      <c r="AP209" s="697"/>
      <c r="AQ209" s="697"/>
      <c r="AR209" s="697"/>
      <c r="AS209" s="697"/>
      <c r="AT209" s="697"/>
      <c r="AU209" s="697"/>
      <c r="AV209" s="697"/>
      <c r="AW209" s="697"/>
      <c r="AX209" s="697"/>
      <c r="AY209" s="697"/>
      <c r="AZ209" s="697"/>
      <c r="BA209" s="697"/>
      <c r="BB209" s="697"/>
      <c r="BC209" s="697"/>
      <c r="BD209" s="697"/>
      <c r="BE209" s="697"/>
      <c r="BF209" s="697"/>
      <c r="BG209" s="697"/>
      <c r="BH209" s="697"/>
      <c r="BI209" s="697"/>
      <c r="BJ209" s="697"/>
      <c r="BK209" s="697"/>
      <c r="BL209" s="697"/>
      <c r="BM209" s="697"/>
      <c r="BN209" s="697"/>
      <c r="BO209" s="697"/>
      <c r="BP209" s="697"/>
      <c r="BQ209" s="697"/>
      <c r="BR209" s="697"/>
      <c r="BS209" s="697"/>
      <c r="BT209" s="697"/>
      <c r="BU209" s="697"/>
      <c r="BV209" s="697"/>
      <c r="BW209" s="697"/>
      <c r="BX209" s="697"/>
      <c r="BY209" s="697"/>
      <c r="BZ209" s="697"/>
      <c r="CA209" s="697"/>
      <c r="CB209" s="697"/>
      <c r="CC209" s="697"/>
      <c r="CD209" s="697"/>
      <c r="CE209" s="697"/>
      <c r="CF209" s="697"/>
      <c r="CG209" s="697"/>
      <c r="CH209" s="697"/>
      <c r="CI209" s="697"/>
      <c r="CJ209" s="697"/>
      <c r="CK209" s="697"/>
      <c r="CL209" s="697"/>
      <c r="CM209" s="697"/>
      <c r="CN209" s="697"/>
      <c r="CO209" s="697"/>
      <c r="CP209" s="697"/>
      <c r="CQ209" s="697"/>
      <c r="CR209" s="697"/>
      <c r="CS209" s="697"/>
      <c r="CT209" s="697"/>
      <c r="CU209" s="697"/>
      <c r="CV209" s="697"/>
      <c r="CW209" s="697"/>
      <c r="CX209" s="697"/>
      <c r="CY209" s="697"/>
      <c r="CZ209" s="697"/>
      <c r="DA209" s="697"/>
      <c r="DB209" s="697"/>
    </row>
    <row r="210" spans="1:106" hidden="1" outlineLevel="1" x14ac:dyDescent="0.2">
      <c r="A210" s="709">
        <f t="shared" si="59"/>
        <v>37956</v>
      </c>
      <c r="B210" s="709" t="str">
        <f t="shared" si="60"/>
        <v>4Q03</v>
      </c>
      <c r="C210" s="709" t="str">
        <f t="shared" si="61"/>
        <v>1Q04</v>
      </c>
      <c r="D210" s="710">
        <f t="shared" si="64"/>
        <v>38020</v>
      </c>
      <c r="E210" s="710">
        <f t="shared" si="64"/>
        <v>37960</v>
      </c>
      <c r="F210" s="712">
        <v>30.63</v>
      </c>
      <c r="G210" s="713">
        <f t="shared" si="62"/>
        <v>1.4900000000000011</v>
      </c>
      <c r="H210" s="713">
        <f t="shared" si="63"/>
        <v>1.4900000000000011</v>
      </c>
      <c r="I210" s="697"/>
      <c r="J210" s="697"/>
      <c r="K210" s="697"/>
      <c r="L210" s="697"/>
      <c r="M210" s="697"/>
      <c r="N210" s="697"/>
      <c r="O210" s="697"/>
      <c r="P210" s="697"/>
      <c r="Q210" s="697"/>
      <c r="R210" s="697"/>
      <c r="S210" s="697"/>
      <c r="T210" s="697"/>
      <c r="U210" s="697"/>
      <c r="V210" s="697"/>
      <c r="W210" s="697"/>
      <c r="X210" s="697"/>
      <c r="Y210" s="697"/>
      <c r="Z210" s="697"/>
      <c r="AA210" s="697"/>
      <c r="AB210" s="697"/>
      <c r="AC210" s="697"/>
      <c r="AD210" s="697"/>
      <c r="AE210" s="697"/>
      <c r="AF210" s="697"/>
      <c r="AG210" s="697"/>
      <c r="AH210" s="697"/>
      <c r="AI210" s="697"/>
      <c r="AJ210" s="697"/>
      <c r="AK210" s="697"/>
      <c r="AL210" s="697"/>
      <c r="AM210" s="697"/>
      <c r="AN210" s="697"/>
      <c r="AO210" s="697"/>
      <c r="AP210" s="697"/>
      <c r="AQ210" s="697"/>
      <c r="AR210" s="697"/>
      <c r="AS210" s="697"/>
      <c r="AT210" s="697"/>
      <c r="AU210" s="697"/>
      <c r="AV210" s="697"/>
      <c r="AW210" s="697"/>
      <c r="AX210" s="697"/>
      <c r="AY210" s="697"/>
      <c r="AZ210" s="697"/>
      <c r="BA210" s="697"/>
      <c r="BB210" s="697"/>
      <c r="BC210" s="697"/>
      <c r="BD210" s="697"/>
      <c r="BE210" s="697"/>
      <c r="BF210" s="697"/>
      <c r="BG210" s="697"/>
      <c r="BH210" s="697"/>
      <c r="BI210" s="697"/>
      <c r="BJ210" s="697"/>
      <c r="BK210" s="697"/>
      <c r="BL210" s="697"/>
      <c r="BM210" s="697"/>
      <c r="BN210" s="697"/>
      <c r="BO210" s="697"/>
      <c r="BP210" s="697"/>
      <c r="BQ210" s="697"/>
      <c r="BR210" s="697"/>
      <c r="BS210" s="697"/>
      <c r="BT210" s="697"/>
      <c r="BU210" s="697"/>
      <c r="BV210" s="697"/>
      <c r="BW210" s="697"/>
      <c r="BX210" s="697"/>
      <c r="BY210" s="697"/>
      <c r="BZ210" s="697"/>
      <c r="CA210" s="697"/>
      <c r="CB210" s="697"/>
      <c r="CC210" s="697"/>
      <c r="CD210" s="697"/>
      <c r="CE210" s="697"/>
      <c r="CF210" s="697"/>
      <c r="CG210" s="697"/>
      <c r="CH210" s="697"/>
      <c r="CI210" s="697"/>
      <c r="CJ210" s="697"/>
      <c r="CK210" s="697"/>
      <c r="CL210" s="697"/>
      <c r="CM210" s="697"/>
      <c r="CN210" s="697"/>
      <c r="CO210" s="697"/>
      <c r="CP210" s="697"/>
      <c r="CQ210" s="697"/>
      <c r="CR210" s="697"/>
      <c r="CS210" s="697"/>
      <c r="CT210" s="697"/>
      <c r="CU210" s="697"/>
      <c r="CV210" s="697"/>
      <c r="CW210" s="697"/>
      <c r="CX210" s="697"/>
      <c r="CY210" s="697"/>
      <c r="CZ210" s="697"/>
      <c r="DA210" s="697"/>
      <c r="DB210" s="697"/>
    </row>
    <row r="211" spans="1:106" hidden="1" outlineLevel="1" x14ac:dyDescent="0.2">
      <c r="A211" s="709">
        <f t="shared" si="59"/>
        <v>37956</v>
      </c>
      <c r="B211" s="709" t="str">
        <f t="shared" si="60"/>
        <v>4Q03</v>
      </c>
      <c r="C211" s="709" t="str">
        <f t="shared" si="61"/>
        <v>1Q04</v>
      </c>
      <c r="D211" s="710">
        <f t="shared" si="64"/>
        <v>38027</v>
      </c>
      <c r="E211" s="710">
        <f t="shared" si="64"/>
        <v>37967</v>
      </c>
      <c r="F211" s="712">
        <v>32.159999999999997</v>
      </c>
      <c r="G211" s="713">
        <f t="shared" si="62"/>
        <v>1.4900000000000011</v>
      </c>
      <c r="H211" s="713">
        <f t="shared" si="63"/>
        <v>1.4900000000000011</v>
      </c>
      <c r="I211" s="697"/>
      <c r="J211" s="697"/>
      <c r="K211" s="697"/>
      <c r="L211" s="697"/>
      <c r="M211" s="697"/>
      <c r="N211" s="697"/>
      <c r="O211" s="697"/>
      <c r="P211" s="697"/>
      <c r="Q211" s="697"/>
      <c r="R211" s="697"/>
      <c r="S211" s="697"/>
      <c r="T211" s="697"/>
      <c r="U211" s="697"/>
      <c r="V211" s="697"/>
      <c r="W211" s="697"/>
      <c r="X211" s="697"/>
      <c r="Y211" s="697"/>
      <c r="Z211" s="697"/>
      <c r="AA211" s="697"/>
      <c r="AB211" s="697"/>
      <c r="AC211" s="697"/>
      <c r="AD211" s="697"/>
      <c r="AE211" s="697"/>
      <c r="AF211" s="697"/>
      <c r="AG211" s="697"/>
      <c r="AH211" s="697"/>
      <c r="AI211" s="697"/>
      <c r="AJ211" s="697"/>
      <c r="AK211" s="697"/>
      <c r="AL211" s="697"/>
      <c r="AM211" s="697"/>
      <c r="AN211" s="697"/>
      <c r="AO211" s="697"/>
      <c r="AP211" s="697"/>
      <c r="AQ211" s="697"/>
      <c r="AR211" s="697"/>
      <c r="AS211" s="697"/>
      <c r="AT211" s="697"/>
      <c r="AU211" s="697"/>
      <c r="AV211" s="697"/>
      <c r="AW211" s="697"/>
      <c r="AX211" s="697"/>
      <c r="AY211" s="697"/>
      <c r="AZ211" s="697"/>
      <c r="BA211" s="697"/>
      <c r="BB211" s="697"/>
      <c r="BC211" s="697"/>
      <c r="BD211" s="697"/>
      <c r="BE211" s="697"/>
      <c r="BF211" s="697"/>
      <c r="BG211" s="697"/>
      <c r="BH211" s="697"/>
      <c r="BI211" s="697"/>
      <c r="BJ211" s="697"/>
      <c r="BK211" s="697"/>
      <c r="BL211" s="697"/>
      <c r="BM211" s="697"/>
      <c r="BN211" s="697"/>
      <c r="BO211" s="697"/>
      <c r="BP211" s="697"/>
      <c r="BQ211" s="697"/>
      <c r="BR211" s="697"/>
      <c r="BS211" s="697"/>
      <c r="BT211" s="697"/>
      <c r="BU211" s="697"/>
      <c r="BV211" s="697"/>
      <c r="BW211" s="697"/>
      <c r="BX211" s="697"/>
      <c r="BY211" s="697"/>
      <c r="BZ211" s="697"/>
      <c r="CA211" s="697"/>
      <c r="CB211" s="697"/>
      <c r="CC211" s="697"/>
      <c r="CD211" s="697"/>
      <c r="CE211" s="697"/>
      <c r="CF211" s="697"/>
      <c r="CG211" s="697"/>
      <c r="CH211" s="697"/>
      <c r="CI211" s="697"/>
      <c r="CJ211" s="697"/>
      <c r="CK211" s="697"/>
      <c r="CL211" s="697"/>
      <c r="CM211" s="697"/>
      <c r="CN211" s="697"/>
      <c r="CO211" s="697"/>
      <c r="CP211" s="697"/>
      <c r="CQ211" s="697"/>
      <c r="CR211" s="697"/>
      <c r="CS211" s="697"/>
      <c r="CT211" s="697"/>
      <c r="CU211" s="697"/>
      <c r="CV211" s="697"/>
      <c r="CW211" s="697"/>
      <c r="CX211" s="697"/>
      <c r="CY211" s="697"/>
      <c r="CZ211" s="697"/>
      <c r="DA211" s="697"/>
      <c r="DB211" s="697"/>
    </row>
    <row r="212" spans="1:106" hidden="1" outlineLevel="1" x14ac:dyDescent="0.2">
      <c r="A212" s="709">
        <f t="shared" si="59"/>
        <v>37956</v>
      </c>
      <c r="B212" s="709" t="str">
        <f t="shared" si="60"/>
        <v>4Q03</v>
      </c>
      <c r="C212" s="709" t="str">
        <f t="shared" si="61"/>
        <v>1Q04</v>
      </c>
      <c r="D212" s="710">
        <f t="shared" si="64"/>
        <v>38034</v>
      </c>
      <c r="E212" s="710">
        <f t="shared" si="64"/>
        <v>37974</v>
      </c>
      <c r="F212" s="712">
        <v>33.200000000000003</v>
      </c>
      <c r="G212" s="713">
        <f t="shared" si="62"/>
        <v>1.4900000000000011</v>
      </c>
      <c r="H212" s="713">
        <f t="shared" si="63"/>
        <v>1.4900000000000011</v>
      </c>
      <c r="I212" s="697"/>
      <c r="J212" s="697"/>
      <c r="K212" s="697"/>
      <c r="L212" s="697"/>
      <c r="M212" s="697"/>
      <c r="N212" s="697"/>
      <c r="O212" s="697"/>
      <c r="P212" s="697"/>
      <c r="Q212" s="697"/>
      <c r="R212" s="697"/>
      <c r="S212" s="697"/>
      <c r="T212" s="697"/>
      <c r="U212" s="697"/>
      <c r="V212" s="697"/>
      <c r="W212" s="697"/>
      <c r="X212" s="697"/>
      <c r="Y212" s="697"/>
      <c r="Z212" s="697"/>
      <c r="AA212" s="697"/>
      <c r="AB212" s="697"/>
      <c r="AC212" s="697"/>
      <c r="AD212" s="697"/>
      <c r="AE212" s="697"/>
      <c r="AF212" s="697"/>
      <c r="AG212" s="697"/>
      <c r="AH212" s="697"/>
      <c r="AI212" s="697"/>
      <c r="AJ212" s="697"/>
      <c r="AK212" s="697"/>
      <c r="AL212" s="697"/>
      <c r="AM212" s="697"/>
      <c r="AN212" s="697"/>
      <c r="AO212" s="697"/>
      <c r="AP212" s="697"/>
      <c r="AQ212" s="697"/>
      <c r="AR212" s="697"/>
      <c r="AS212" s="697"/>
      <c r="AT212" s="697"/>
      <c r="AU212" s="697"/>
      <c r="AV212" s="697"/>
      <c r="AW212" s="697"/>
      <c r="AX212" s="697"/>
      <c r="AY212" s="697"/>
      <c r="AZ212" s="697"/>
      <c r="BA212" s="697"/>
      <c r="BB212" s="697"/>
      <c r="BC212" s="697"/>
      <c r="BD212" s="697"/>
      <c r="BE212" s="697"/>
      <c r="BF212" s="697"/>
      <c r="BG212" s="697"/>
      <c r="BH212" s="697"/>
      <c r="BI212" s="697"/>
      <c r="BJ212" s="697"/>
      <c r="BK212" s="697"/>
      <c r="BL212" s="697"/>
      <c r="BM212" s="697"/>
      <c r="BN212" s="697"/>
      <c r="BO212" s="697"/>
      <c r="BP212" s="697"/>
      <c r="BQ212" s="697"/>
      <c r="BR212" s="697"/>
      <c r="BS212" s="697"/>
      <c r="BT212" s="697"/>
      <c r="BU212" s="697"/>
      <c r="BV212" s="697"/>
      <c r="BW212" s="697"/>
      <c r="BX212" s="697"/>
      <c r="BY212" s="697"/>
      <c r="BZ212" s="697"/>
      <c r="CA212" s="697"/>
      <c r="CB212" s="697"/>
      <c r="CC212" s="697"/>
      <c r="CD212" s="697"/>
      <c r="CE212" s="697"/>
      <c r="CF212" s="697"/>
      <c r="CG212" s="697"/>
      <c r="CH212" s="697"/>
      <c r="CI212" s="697"/>
      <c r="CJ212" s="697"/>
      <c r="CK212" s="697"/>
      <c r="CL212" s="697"/>
      <c r="CM212" s="697"/>
      <c r="CN212" s="697"/>
      <c r="CO212" s="697"/>
      <c r="CP212" s="697"/>
      <c r="CQ212" s="697"/>
      <c r="CR212" s="697"/>
      <c r="CS212" s="697"/>
      <c r="CT212" s="697"/>
      <c r="CU212" s="697"/>
      <c r="CV212" s="697"/>
      <c r="CW212" s="697"/>
      <c r="CX212" s="697"/>
      <c r="CY212" s="697"/>
      <c r="CZ212" s="697"/>
      <c r="DA212" s="697"/>
      <c r="DB212" s="697"/>
    </row>
    <row r="213" spans="1:106" hidden="1" outlineLevel="1" x14ac:dyDescent="0.2">
      <c r="A213" s="709">
        <f t="shared" si="59"/>
        <v>37956</v>
      </c>
      <c r="B213" s="709" t="str">
        <f t="shared" si="60"/>
        <v>4Q03</v>
      </c>
      <c r="C213" s="709" t="str">
        <f t="shared" si="61"/>
        <v>1Q04</v>
      </c>
      <c r="D213" s="710">
        <f t="shared" ref="D213:E228" si="65">D212+7</f>
        <v>38041</v>
      </c>
      <c r="E213" s="710">
        <f t="shared" si="65"/>
        <v>37981</v>
      </c>
      <c r="F213" s="712">
        <v>32.24</v>
      </c>
      <c r="G213" s="713">
        <f t="shared" si="62"/>
        <v>1.4900000000000011</v>
      </c>
      <c r="H213" s="713">
        <f t="shared" si="63"/>
        <v>1.4900000000000011</v>
      </c>
      <c r="I213" s="697"/>
      <c r="J213" s="697"/>
      <c r="K213" s="697"/>
      <c r="L213" s="697"/>
      <c r="M213" s="697"/>
      <c r="N213" s="697"/>
      <c r="O213" s="697"/>
      <c r="P213" s="697"/>
      <c r="Q213" s="697"/>
      <c r="R213" s="697"/>
      <c r="S213" s="697"/>
      <c r="T213" s="697"/>
      <c r="U213" s="697"/>
      <c r="V213" s="697"/>
      <c r="W213" s="697"/>
      <c r="X213" s="697"/>
      <c r="Y213" s="697"/>
      <c r="Z213" s="697"/>
      <c r="AA213" s="697"/>
      <c r="AB213" s="697"/>
      <c r="AC213" s="697"/>
      <c r="AD213" s="697"/>
      <c r="AE213" s="697"/>
      <c r="AF213" s="697"/>
      <c r="AG213" s="697"/>
      <c r="AH213" s="697"/>
      <c r="AI213" s="697"/>
      <c r="AJ213" s="697"/>
      <c r="AK213" s="697"/>
      <c r="AL213" s="697"/>
      <c r="AM213" s="697"/>
      <c r="AN213" s="697"/>
      <c r="AO213" s="697"/>
      <c r="AP213" s="697"/>
      <c r="AQ213" s="697"/>
      <c r="AR213" s="697"/>
      <c r="AS213" s="697"/>
      <c r="AT213" s="697"/>
      <c r="AU213" s="697"/>
      <c r="AV213" s="697"/>
      <c r="AW213" s="697"/>
      <c r="AX213" s="697"/>
      <c r="AY213" s="697"/>
      <c r="AZ213" s="697"/>
      <c r="BA213" s="697"/>
      <c r="BB213" s="697"/>
      <c r="BC213" s="697"/>
      <c r="BD213" s="697"/>
      <c r="BE213" s="697"/>
      <c r="BF213" s="697"/>
      <c r="BG213" s="697"/>
      <c r="BH213" s="697"/>
      <c r="BI213" s="697"/>
      <c r="BJ213" s="697"/>
      <c r="BK213" s="697"/>
      <c r="BL213" s="697"/>
      <c r="BM213" s="697"/>
      <c r="BN213" s="697"/>
      <c r="BO213" s="697"/>
      <c r="BP213" s="697"/>
      <c r="BQ213" s="697"/>
      <c r="BR213" s="697"/>
      <c r="BS213" s="697"/>
      <c r="BT213" s="697"/>
      <c r="BU213" s="697"/>
      <c r="BV213" s="697"/>
      <c r="BW213" s="697"/>
      <c r="BX213" s="697"/>
      <c r="BY213" s="697"/>
      <c r="BZ213" s="697"/>
      <c r="CA213" s="697"/>
      <c r="CB213" s="697"/>
      <c r="CC213" s="697"/>
      <c r="CD213" s="697"/>
      <c r="CE213" s="697"/>
      <c r="CF213" s="697"/>
      <c r="CG213" s="697"/>
      <c r="CH213" s="697"/>
      <c r="CI213" s="697"/>
      <c r="CJ213" s="697"/>
      <c r="CK213" s="697"/>
      <c r="CL213" s="697"/>
      <c r="CM213" s="697"/>
      <c r="CN213" s="697"/>
      <c r="CO213" s="697"/>
      <c r="CP213" s="697"/>
      <c r="CQ213" s="697"/>
      <c r="CR213" s="697"/>
      <c r="CS213" s="697"/>
      <c r="CT213" s="697"/>
      <c r="CU213" s="697"/>
      <c r="CV213" s="697"/>
      <c r="CW213" s="697"/>
      <c r="CX213" s="697"/>
      <c r="CY213" s="697"/>
      <c r="CZ213" s="697"/>
      <c r="DA213" s="697"/>
      <c r="DB213" s="697"/>
    </row>
    <row r="214" spans="1:106" hidden="1" outlineLevel="1" x14ac:dyDescent="0.2">
      <c r="A214" s="709">
        <f t="shared" si="59"/>
        <v>37987</v>
      </c>
      <c r="B214" s="709" t="str">
        <f t="shared" si="60"/>
        <v>1Q04</v>
      </c>
      <c r="C214" s="709" t="str">
        <f t="shared" si="61"/>
        <v>1Q04</v>
      </c>
      <c r="D214" s="710">
        <f t="shared" si="65"/>
        <v>38048</v>
      </c>
      <c r="E214" s="710">
        <f t="shared" si="65"/>
        <v>37988</v>
      </c>
      <c r="F214" s="712">
        <v>32.68</v>
      </c>
      <c r="G214" s="713">
        <f t="shared" si="62"/>
        <v>1.4900000000000011</v>
      </c>
      <c r="H214" s="713">
        <f t="shared" si="63"/>
        <v>1.4900000000000011</v>
      </c>
      <c r="I214" s="697"/>
      <c r="J214" s="697"/>
      <c r="K214" s="697"/>
      <c r="L214" s="697"/>
      <c r="M214" s="697"/>
      <c r="N214" s="697"/>
      <c r="O214" s="697"/>
      <c r="P214" s="697"/>
      <c r="Q214" s="697"/>
      <c r="R214" s="697"/>
      <c r="S214" s="697"/>
      <c r="T214" s="697"/>
      <c r="U214" s="697"/>
      <c r="V214" s="697"/>
      <c r="W214" s="697"/>
      <c r="X214" s="697"/>
      <c r="Y214" s="697"/>
      <c r="Z214" s="697"/>
      <c r="AA214" s="697"/>
      <c r="AB214" s="697"/>
      <c r="AC214" s="697"/>
      <c r="AD214" s="697"/>
      <c r="AE214" s="697"/>
      <c r="AF214" s="697"/>
      <c r="AG214" s="697"/>
      <c r="AH214" s="697"/>
      <c r="AI214" s="697"/>
      <c r="AJ214" s="697"/>
      <c r="AK214" s="697"/>
      <c r="AL214" s="697"/>
      <c r="AM214" s="697"/>
      <c r="AN214" s="697"/>
      <c r="AO214" s="697"/>
      <c r="AP214" s="697"/>
      <c r="AQ214" s="697"/>
      <c r="AR214" s="697"/>
      <c r="AS214" s="697"/>
      <c r="AT214" s="697"/>
      <c r="AU214" s="697"/>
      <c r="AV214" s="697"/>
      <c r="AW214" s="697"/>
      <c r="AX214" s="697"/>
      <c r="AY214" s="697"/>
      <c r="AZ214" s="697"/>
      <c r="BA214" s="697"/>
      <c r="BB214" s="697"/>
      <c r="BC214" s="697"/>
      <c r="BD214" s="697"/>
      <c r="BE214" s="697"/>
      <c r="BF214" s="697"/>
      <c r="BG214" s="697"/>
      <c r="BH214" s="697"/>
      <c r="BI214" s="697"/>
      <c r="BJ214" s="697"/>
      <c r="BK214" s="697"/>
      <c r="BL214" s="697"/>
      <c r="BM214" s="697"/>
      <c r="BN214" s="697"/>
      <c r="BO214" s="697"/>
      <c r="BP214" s="697"/>
      <c r="BQ214" s="697"/>
      <c r="BR214" s="697"/>
      <c r="BS214" s="697"/>
      <c r="BT214" s="697"/>
      <c r="BU214" s="697"/>
      <c r="BV214" s="697"/>
      <c r="BW214" s="697"/>
      <c r="BX214" s="697"/>
      <c r="BY214" s="697"/>
      <c r="BZ214" s="697"/>
      <c r="CA214" s="697"/>
      <c r="CB214" s="697"/>
      <c r="CC214" s="697"/>
      <c r="CD214" s="697"/>
      <c r="CE214" s="697"/>
      <c r="CF214" s="697"/>
      <c r="CG214" s="697"/>
      <c r="CH214" s="697"/>
      <c r="CI214" s="697"/>
      <c r="CJ214" s="697"/>
      <c r="CK214" s="697"/>
      <c r="CL214" s="697"/>
      <c r="CM214" s="697"/>
      <c r="CN214" s="697"/>
      <c r="CO214" s="697"/>
      <c r="CP214" s="697"/>
      <c r="CQ214" s="697"/>
      <c r="CR214" s="697"/>
      <c r="CS214" s="697"/>
      <c r="CT214" s="697"/>
      <c r="CU214" s="697"/>
      <c r="CV214" s="697"/>
      <c r="CW214" s="697"/>
      <c r="CX214" s="697"/>
      <c r="CY214" s="697"/>
      <c r="CZ214" s="697"/>
      <c r="DA214" s="697"/>
      <c r="DB214" s="697"/>
    </row>
    <row r="215" spans="1:106" hidden="1" outlineLevel="1" x14ac:dyDescent="0.2">
      <c r="A215" s="709">
        <f t="shared" si="59"/>
        <v>37987</v>
      </c>
      <c r="B215" s="709" t="str">
        <f t="shared" si="60"/>
        <v>1Q04</v>
      </c>
      <c r="C215" s="709" t="str">
        <f t="shared" si="61"/>
        <v>1Q04</v>
      </c>
      <c r="D215" s="710">
        <f t="shared" si="65"/>
        <v>38055</v>
      </c>
      <c r="E215" s="710">
        <f t="shared" si="65"/>
        <v>37995</v>
      </c>
      <c r="F215" s="712">
        <v>33.89</v>
      </c>
      <c r="G215" s="713">
        <f t="shared" si="62"/>
        <v>1.4900000000000011</v>
      </c>
      <c r="H215" s="713">
        <f t="shared" si="63"/>
        <v>1.4900000000000011</v>
      </c>
      <c r="I215" s="697"/>
      <c r="J215" s="697"/>
      <c r="K215" s="697"/>
      <c r="L215" s="697"/>
      <c r="M215" s="697"/>
      <c r="N215" s="697"/>
      <c r="O215" s="697"/>
      <c r="P215" s="697"/>
      <c r="Q215" s="697"/>
      <c r="R215" s="697"/>
      <c r="S215" s="697"/>
      <c r="T215" s="697"/>
      <c r="U215" s="697"/>
      <c r="V215" s="697"/>
      <c r="W215" s="697"/>
      <c r="X215" s="697"/>
      <c r="Y215" s="697"/>
      <c r="Z215" s="697"/>
      <c r="AA215" s="697"/>
      <c r="AB215" s="697"/>
      <c r="AC215" s="697"/>
      <c r="AD215" s="697"/>
      <c r="AE215" s="697"/>
      <c r="AF215" s="697"/>
      <c r="AG215" s="697"/>
      <c r="AH215" s="697"/>
      <c r="AI215" s="697"/>
      <c r="AJ215" s="697"/>
      <c r="AK215" s="697"/>
      <c r="AL215" s="697"/>
      <c r="AM215" s="697"/>
      <c r="AN215" s="697"/>
      <c r="AO215" s="697"/>
      <c r="AP215" s="697"/>
      <c r="AQ215" s="697"/>
      <c r="AR215" s="697"/>
      <c r="AS215" s="697"/>
      <c r="AT215" s="697"/>
      <c r="AU215" s="697"/>
      <c r="AV215" s="697"/>
      <c r="AW215" s="697"/>
      <c r="AX215" s="697"/>
      <c r="AY215" s="697"/>
      <c r="AZ215" s="697"/>
      <c r="BA215" s="697"/>
      <c r="BB215" s="697"/>
      <c r="BC215" s="697"/>
      <c r="BD215" s="697"/>
      <c r="BE215" s="697"/>
      <c r="BF215" s="697"/>
      <c r="BG215" s="697"/>
      <c r="BH215" s="697"/>
      <c r="BI215" s="697"/>
      <c r="BJ215" s="697"/>
      <c r="BK215" s="697"/>
      <c r="BL215" s="697"/>
      <c r="BM215" s="697"/>
      <c r="BN215" s="697"/>
      <c r="BO215" s="697"/>
      <c r="BP215" s="697"/>
      <c r="BQ215" s="697"/>
      <c r="BR215" s="697"/>
      <c r="BS215" s="697"/>
      <c r="BT215" s="697"/>
      <c r="BU215" s="697"/>
      <c r="BV215" s="697"/>
      <c r="BW215" s="697"/>
      <c r="BX215" s="697"/>
      <c r="BY215" s="697"/>
      <c r="BZ215" s="697"/>
      <c r="CA215" s="697"/>
      <c r="CB215" s="697"/>
      <c r="CC215" s="697"/>
      <c r="CD215" s="697"/>
      <c r="CE215" s="697"/>
      <c r="CF215" s="697"/>
      <c r="CG215" s="697"/>
      <c r="CH215" s="697"/>
      <c r="CI215" s="697"/>
      <c r="CJ215" s="697"/>
      <c r="CK215" s="697"/>
      <c r="CL215" s="697"/>
      <c r="CM215" s="697"/>
      <c r="CN215" s="697"/>
      <c r="CO215" s="697"/>
      <c r="CP215" s="697"/>
      <c r="CQ215" s="697"/>
      <c r="CR215" s="697"/>
      <c r="CS215" s="697"/>
      <c r="CT215" s="697"/>
      <c r="CU215" s="697"/>
      <c r="CV215" s="697"/>
      <c r="CW215" s="697"/>
      <c r="CX215" s="697"/>
      <c r="CY215" s="697"/>
      <c r="CZ215" s="697"/>
      <c r="DA215" s="697"/>
      <c r="DB215" s="697"/>
    </row>
    <row r="216" spans="1:106" hidden="1" outlineLevel="1" x14ac:dyDescent="0.2">
      <c r="A216" s="709">
        <f t="shared" si="59"/>
        <v>37987</v>
      </c>
      <c r="B216" s="709" t="str">
        <f t="shared" si="60"/>
        <v>1Q04</v>
      </c>
      <c r="C216" s="709" t="str">
        <f t="shared" si="61"/>
        <v>1Q04</v>
      </c>
      <c r="D216" s="710">
        <f t="shared" si="65"/>
        <v>38062</v>
      </c>
      <c r="E216" s="710">
        <f t="shared" si="65"/>
        <v>38002</v>
      </c>
      <c r="F216" s="712">
        <v>34.51</v>
      </c>
      <c r="G216" s="713">
        <f t="shared" si="62"/>
        <v>1.4900000000000011</v>
      </c>
      <c r="H216" s="713">
        <f t="shared" si="63"/>
        <v>1.4900000000000011</v>
      </c>
      <c r="I216" s="697"/>
      <c r="J216" s="697"/>
      <c r="K216" s="697"/>
      <c r="L216" s="697"/>
      <c r="M216" s="697"/>
      <c r="N216" s="697"/>
      <c r="O216" s="697"/>
      <c r="P216" s="697"/>
      <c r="Q216" s="697"/>
      <c r="R216" s="697"/>
      <c r="S216" s="697"/>
      <c r="T216" s="697"/>
      <c r="U216" s="697"/>
      <c r="V216" s="697"/>
      <c r="W216" s="697"/>
      <c r="X216" s="697"/>
      <c r="Y216" s="697"/>
      <c r="Z216" s="697"/>
      <c r="AA216" s="697"/>
      <c r="AB216" s="697"/>
      <c r="AC216" s="697"/>
      <c r="AD216" s="697"/>
      <c r="AE216" s="697"/>
      <c r="AF216" s="697"/>
      <c r="AG216" s="697"/>
      <c r="AH216" s="697"/>
      <c r="AI216" s="697"/>
      <c r="AJ216" s="697"/>
      <c r="AK216" s="697"/>
      <c r="AL216" s="697"/>
      <c r="AM216" s="697"/>
      <c r="AN216" s="697"/>
      <c r="AO216" s="697"/>
      <c r="AP216" s="697"/>
      <c r="AQ216" s="697"/>
      <c r="AR216" s="697"/>
      <c r="AS216" s="697"/>
      <c r="AT216" s="697"/>
      <c r="AU216" s="697"/>
      <c r="AV216" s="697"/>
      <c r="AW216" s="697"/>
      <c r="AX216" s="697"/>
      <c r="AY216" s="697"/>
      <c r="AZ216" s="697"/>
      <c r="BA216" s="697"/>
      <c r="BB216" s="697"/>
      <c r="BC216" s="697"/>
      <c r="BD216" s="697"/>
      <c r="BE216" s="697"/>
      <c r="BF216" s="697"/>
      <c r="BG216" s="697"/>
      <c r="BH216" s="697"/>
      <c r="BI216" s="697"/>
      <c r="BJ216" s="697"/>
      <c r="BK216" s="697"/>
      <c r="BL216" s="697"/>
      <c r="BM216" s="697"/>
      <c r="BN216" s="697"/>
      <c r="BO216" s="697"/>
      <c r="BP216" s="697"/>
      <c r="BQ216" s="697"/>
      <c r="BR216" s="697"/>
      <c r="BS216" s="697"/>
      <c r="BT216" s="697"/>
      <c r="BU216" s="697"/>
      <c r="BV216" s="697"/>
      <c r="BW216" s="697"/>
      <c r="BX216" s="697"/>
      <c r="BY216" s="697"/>
      <c r="BZ216" s="697"/>
      <c r="CA216" s="697"/>
      <c r="CB216" s="697"/>
      <c r="CC216" s="697"/>
      <c r="CD216" s="697"/>
      <c r="CE216" s="697"/>
      <c r="CF216" s="697"/>
      <c r="CG216" s="697"/>
      <c r="CH216" s="697"/>
      <c r="CI216" s="697"/>
      <c r="CJ216" s="697"/>
      <c r="CK216" s="697"/>
      <c r="CL216" s="697"/>
      <c r="CM216" s="697"/>
      <c r="CN216" s="697"/>
      <c r="CO216" s="697"/>
      <c r="CP216" s="697"/>
      <c r="CQ216" s="697"/>
      <c r="CR216" s="697"/>
      <c r="CS216" s="697"/>
      <c r="CT216" s="697"/>
      <c r="CU216" s="697"/>
      <c r="CV216" s="697"/>
      <c r="CW216" s="697"/>
      <c r="CX216" s="697"/>
      <c r="CY216" s="697"/>
      <c r="CZ216" s="697"/>
      <c r="DA216" s="697"/>
      <c r="DB216" s="697"/>
    </row>
    <row r="217" spans="1:106" hidden="1" outlineLevel="1" x14ac:dyDescent="0.2">
      <c r="A217" s="709">
        <f t="shared" si="59"/>
        <v>37987</v>
      </c>
      <c r="B217" s="709" t="str">
        <f t="shared" si="60"/>
        <v>1Q04</v>
      </c>
      <c r="C217" s="709" t="str">
        <f t="shared" si="61"/>
        <v>1Q04</v>
      </c>
      <c r="D217" s="710">
        <f t="shared" si="65"/>
        <v>38069</v>
      </c>
      <c r="E217" s="710">
        <f t="shared" si="65"/>
        <v>38009</v>
      </c>
      <c r="F217" s="712">
        <v>35.450000000000003</v>
      </c>
      <c r="G217" s="713">
        <f t="shared" si="62"/>
        <v>1.4900000000000011</v>
      </c>
      <c r="H217" s="713">
        <f t="shared" si="63"/>
        <v>1.4900000000000011</v>
      </c>
      <c r="I217" s="697"/>
      <c r="J217" s="697"/>
      <c r="K217" s="697"/>
      <c r="L217" s="697"/>
      <c r="M217" s="697"/>
      <c r="N217" s="697"/>
      <c r="O217" s="697"/>
      <c r="P217" s="697"/>
      <c r="Q217" s="697"/>
      <c r="R217" s="697"/>
      <c r="S217" s="697"/>
      <c r="T217" s="697"/>
      <c r="U217" s="697"/>
      <c r="V217" s="697"/>
      <c r="W217" s="697"/>
      <c r="X217" s="697"/>
      <c r="Y217" s="697"/>
      <c r="Z217" s="697"/>
      <c r="AA217" s="697"/>
      <c r="AB217" s="697"/>
      <c r="AC217" s="697"/>
      <c r="AD217" s="697"/>
      <c r="AE217" s="697"/>
      <c r="AF217" s="697"/>
      <c r="AG217" s="697"/>
      <c r="AH217" s="697"/>
      <c r="AI217" s="697"/>
      <c r="AJ217" s="697"/>
      <c r="AK217" s="697"/>
      <c r="AL217" s="697"/>
      <c r="AM217" s="697"/>
      <c r="AN217" s="697"/>
      <c r="AO217" s="697"/>
      <c r="AP217" s="697"/>
      <c r="AQ217" s="697"/>
      <c r="AR217" s="697"/>
      <c r="AS217" s="697"/>
      <c r="AT217" s="697"/>
      <c r="AU217" s="697"/>
      <c r="AV217" s="697"/>
      <c r="AW217" s="697"/>
      <c r="AX217" s="697"/>
      <c r="AY217" s="697"/>
      <c r="AZ217" s="697"/>
      <c r="BA217" s="697"/>
      <c r="BB217" s="697"/>
      <c r="BC217" s="697"/>
      <c r="BD217" s="697"/>
      <c r="BE217" s="697"/>
      <c r="BF217" s="697"/>
      <c r="BG217" s="697"/>
      <c r="BH217" s="697"/>
      <c r="BI217" s="697"/>
      <c r="BJ217" s="697"/>
      <c r="BK217" s="697"/>
      <c r="BL217" s="697"/>
      <c r="BM217" s="697"/>
      <c r="BN217" s="697"/>
      <c r="BO217" s="697"/>
      <c r="BP217" s="697"/>
      <c r="BQ217" s="697"/>
      <c r="BR217" s="697"/>
      <c r="BS217" s="697"/>
      <c r="BT217" s="697"/>
      <c r="BU217" s="697"/>
      <c r="BV217" s="697"/>
      <c r="BW217" s="697"/>
      <c r="BX217" s="697"/>
      <c r="BY217" s="697"/>
      <c r="BZ217" s="697"/>
      <c r="CA217" s="697"/>
      <c r="CB217" s="697"/>
      <c r="CC217" s="697"/>
      <c r="CD217" s="697"/>
      <c r="CE217" s="697"/>
      <c r="CF217" s="697"/>
      <c r="CG217" s="697"/>
      <c r="CH217" s="697"/>
      <c r="CI217" s="697"/>
      <c r="CJ217" s="697"/>
      <c r="CK217" s="697"/>
      <c r="CL217" s="697"/>
      <c r="CM217" s="697"/>
      <c r="CN217" s="697"/>
      <c r="CO217" s="697"/>
      <c r="CP217" s="697"/>
      <c r="CQ217" s="697"/>
      <c r="CR217" s="697"/>
      <c r="CS217" s="697"/>
      <c r="CT217" s="697"/>
      <c r="CU217" s="697"/>
      <c r="CV217" s="697"/>
      <c r="CW217" s="697"/>
      <c r="CX217" s="697"/>
      <c r="CY217" s="697"/>
      <c r="CZ217" s="697"/>
      <c r="DA217" s="697"/>
      <c r="DB217" s="697"/>
    </row>
    <row r="218" spans="1:106" hidden="1" outlineLevel="1" x14ac:dyDescent="0.2">
      <c r="A218" s="709">
        <f t="shared" si="59"/>
        <v>37987</v>
      </c>
      <c r="B218" s="709" t="str">
        <f t="shared" si="60"/>
        <v>1Q04</v>
      </c>
      <c r="C218" s="709" t="str">
        <f t="shared" si="61"/>
        <v>1Q04</v>
      </c>
      <c r="D218" s="710">
        <f t="shared" si="65"/>
        <v>38076</v>
      </c>
      <c r="E218" s="710">
        <f t="shared" si="65"/>
        <v>38016</v>
      </c>
      <c r="F218" s="712">
        <v>33.61</v>
      </c>
      <c r="G218" s="713">
        <f t="shared" si="62"/>
        <v>1.4900000000000011</v>
      </c>
      <c r="H218" s="713">
        <f t="shared" si="63"/>
        <v>1.4900000000000011</v>
      </c>
      <c r="I218" s="697"/>
      <c r="J218" s="697"/>
      <c r="K218" s="697"/>
      <c r="L218" s="697"/>
      <c r="M218" s="697"/>
      <c r="N218" s="697"/>
      <c r="O218" s="697"/>
      <c r="P218" s="697"/>
      <c r="Q218" s="697"/>
      <c r="R218" s="697"/>
      <c r="S218" s="697"/>
      <c r="T218" s="697"/>
      <c r="U218" s="697"/>
      <c r="V218" s="697"/>
      <c r="W218" s="697"/>
      <c r="X218" s="697"/>
      <c r="Y218" s="697"/>
      <c r="Z218" s="697"/>
      <c r="AA218" s="697"/>
      <c r="AB218" s="697"/>
      <c r="AC218" s="697"/>
      <c r="AD218" s="697"/>
      <c r="AE218" s="697"/>
      <c r="AF218" s="697"/>
      <c r="AG218" s="697"/>
      <c r="AH218" s="697"/>
      <c r="AI218" s="697"/>
      <c r="AJ218" s="697"/>
      <c r="AK218" s="697"/>
      <c r="AL218" s="697"/>
      <c r="AM218" s="697"/>
      <c r="AN218" s="697"/>
      <c r="AO218" s="697"/>
      <c r="AP218" s="697"/>
      <c r="AQ218" s="697"/>
      <c r="AR218" s="697"/>
      <c r="AS218" s="697"/>
      <c r="AT218" s="697"/>
      <c r="AU218" s="697"/>
      <c r="AV218" s="697"/>
      <c r="AW218" s="697"/>
      <c r="AX218" s="697"/>
      <c r="AY218" s="697"/>
      <c r="AZ218" s="697"/>
      <c r="BA218" s="697"/>
      <c r="BB218" s="697"/>
      <c r="BC218" s="697"/>
      <c r="BD218" s="697"/>
      <c r="BE218" s="697"/>
      <c r="BF218" s="697"/>
      <c r="BG218" s="697"/>
      <c r="BH218" s="697"/>
      <c r="BI218" s="697"/>
      <c r="BJ218" s="697"/>
      <c r="BK218" s="697"/>
      <c r="BL218" s="697"/>
      <c r="BM218" s="697"/>
      <c r="BN218" s="697"/>
      <c r="BO218" s="697"/>
      <c r="BP218" s="697"/>
      <c r="BQ218" s="697"/>
      <c r="BR218" s="697"/>
      <c r="BS218" s="697"/>
      <c r="BT218" s="697"/>
      <c r="BU218" s="697"/>
      <c r="BV218" s="697"/>
      <c r="BW218" s="697"/>
      <c r="BX218" s="697"/>
      <c r="BY218" s="697"/>
      <c r="BZ218" s="697"/>
      <c r="CA218" s="697"/>
      <c r="CB218" s="697"/>
      <c r="CC218" s="697"/>
      <c r="CD218" s="697"/>
      <c r="CE218" s="697"/>
      <c r="CF218" s="697"/>
      <c r="CG218" s="697"/>
      <c r="CH218" s="697"/>
      <c r="CI218" s="697"/>
      <c r="CJ218" s="697"/>
      <c r="CK218" s="697"/>
      <c r="CL218" s="697"/>
      <c r="CM218" s="697"/>
      <c r="CN218" s="697"/>
      <c r="CO218" s="697"/>
      <c r="CP218" s="697"/>
      <c r="CQ218" s="697"/>
      <c r="CR218" s="697"/>
      <c r="CS218" s="697"/>
      <c r="CT218" s="697"/>
      <c r="CU218" s="697"/>
      <c r="CV218" s="697"/>
      <c r="CW218" s="697"/>
      <c r="CX218" s="697"/>
      <c r="CY218" s="697"/>
      <c r="CZ218" s="697"/>
      <c r="DA218" s="697"/>
      <c r="DB218" s="697"/>
    </row>
    <row r="219" spans="1:106" hidden="1" outlineLevel="1" x14ac:dyDescent="0.2">
      <c r="A219" s="709">
        <f t="shared" si="59"/>
        <v>38018</v>
      </c>
      <c r="B219" s="709" t="str">
        <f t="shared" si="60"/>
        <v>1Q04</v>
      </c>
      <c r="C219" s="709" t="str">
        <f t="shared" si="61"/>
        <v>2Q04</v>
      </c>
      <c r="D219" s="710">
        <f t="shared" si="65"/>
        <v>38083</v>
      </c>
      <c r="E219" s="710">
        <f t="shared" si="65"/>
        <v>38023</v>
      </c>
      <c r="F219" s="712">
        <v>33.409999999999997</v>
      </c>
      <c r="G219" s="713">
        <f t="shared" si="62"/>
        <v>1.4900000000000011</v>
      </c>
      <c r="H219" s="713">
        <f t="shared" si="63"/>
        <v>1.4900000000000011</v>
      </c>
      <c r="I219" s="697"/>
      <c r="J219" s="697"/>
      <c r="K219" s="697"/>
      <c r="L219" s="697"/>
      <c r="M219" s="697"/>
      <c r="N219" s="697"/>
      <c r="O219" s="697"/>
      <c r="P219" s="697"/>
      <c r="Q219" s="697"/>
      <c r="R219" s="697"/>
      <c r="S219" s="697"/>
      <c r="T219" s="697"/>
      <c r="U219" s="697"/>
      <c r="V219" s="697"/>
      <c r="W219" s="697"/>
      <c r="X219" s="697"/>
      <c r="Y219" s="697"/>
      <c r="Z219" s="697"/>
      <c r="AA219" s="697"/>
      <c r="AB219" s="697"/>
      <c r="AC219" s="697"/>
      <c r="AD219" s="697"/>
      <c r="AE219" s="697"/>
      <c r="AF219" s="697"/>
      <c r="AG219" s="697"/>
      <c r="AH219" s="697"/>
      <c r="AI219" s="697"/>
      <c r="AJ219" s="697"/>
      <c r="AK219" s="697"/>
      <c r="AL219" s="697"/>
      <c r="AM219" s="697"/>
      <c r="AN219" s="697"/>
      <c r="AO219" s="697"/>
      <c r="AP219" s="697"/>
      <c r="AQ219" s="697"/>
      <c r="AR219" s="697"/>
      <c r="AS219" s="697"/>
      <c r="AT219" s="697"/>
      <c r="AU219" s="697"/>
      <c r="AV219" s="697"/>
      <c r="AW219" s="697"/>
      <c r="AX219" s="697"/>
      <c r="AY219" s="697"/>
      <c r="AZ219" s="697"/>
      <c r="BA219" s="697"/>
      <c r="BB219" s="697"/>
      <c r="BC219" s="697"/>
      <c r="BD219" s="697"/>
      <c r="BE219" s="697"/>
      <c r="BF219" s="697"/>
      <c r="BG219" s="697"/>
      <c r="BH219" s="697"/>
      <c r="BI219" s="697"/>
      <c r="BJ219" s="697"/>
      <c r="BK219" s="697"/>
      <c r="BL219" s="697"/>
      <c r="BM219" s="697"/>
      <c r="BN219" s="697"/>
      <c r="BO219" s="697"/>
      <c r="BP219" s="697"/>
      <c r="BQ219" s="697"/>
      <c r="BR219" s="697"/>
      <c r="BS219" s="697"/>
      <c r="BT219" s="697"/>
      <c r="BU219" s="697"/>
      <c r="BV219" s="697"/>
      <c r="BW219" s="697"/>
      <c r="BX219" s="697"/>
      <c r="BY219" s="697"/>
      <c r="BZ219" s="697"/>
      <c r="CA219" s="697"/>
      <c r="CB219" s="697"/>
      <c r="CC219" s="697"/>
      <c r="CD219" s="697"/>
      <c r="CE219" s="697"/>
      <c r="CF219" s="697"/>
      <c r="CG219" s="697"/>
      <c r="CH219" s="697"/>
      <c r="CI219" s="697"/>
      <c r="CJ219" s="697"/>
      <c r="CK219" s="697"/>
      <c r="CL219" s="697"/>
      <c r="CM219" s="697"/>
      <c r="CN219" s="697"/>
      <c r="CO219" s="697"/>
      <c r="CP219" s="697"/>
      <c r="CQ219" s="697"/>
      <c r="CR219" s="697"/>
      <c r="CS219" s="697"/>
      <c r="CT219" s="697"/>
      <c r="CU219" s="697"/>
      <c r="CV219" s="697"/>
      <c r="CW219" s="697"/>
      <c r="CX219" s="697"/>
      <c r="CY219" s="697"/>
      <c r="CZ219" s="697"/>
      <c r="DA219" s="697"/>
      <c r="DB219" s="697"/>
    </row>
    <row r="220" spans="1:106" hidden="1" outlineLevel="1" x14ac:dyDescent="0.2">
      <c r="A220" s="709">
        <f t="shared" si="59"/>
        <v>38018</v>
      </c>
      <c r="B220" s="709" t="str">
        <f t="shared" si="60"/>
        <v>1Q04</v>
      </c>
      <c r="C220" s="709" t="str">
        <f t="shared" si="61"/>
        <v>2Q04</v>
      </c>
      <c r="D220" s="710">
        <f t="shared" si="65"/>
        <v>38090</v>
      </c>
      <c r="E220" s="710">
        <f t="shared" si="65"/>
        <v>38030</v>
      </c>
      <c r="F220" s="712">
        <v>33.880000000000003</v>
      </c>
      <c r="G220" s="713">
        <f t="shared" si="62"/>
        <v>1.4900000000000011</v>
      </c>
      <c r="H220" s="713">
        <f t="shared" si="63"/>
        <v>1.4900000000000011</v>
      </c>
      <c r="I220" s="697"/>
      <c r="J220" s="697"/>
      <c r="K220" s="697"/>
      <c r="L220" s="697"/>
      <c r="M220" s="697"/>
      <c r="N220" s="697"/>
      <c r="O220" s="697"/>
      <c r="P220" s="697"/>
      <c r="Q220" s="697"/>
      <c r="R220" s="697"/>
      <c r="S220" s="697"/>
      <c r="T220" s="697"/>
      <c r="U220" s="697"/>
      <c r="V220" s="697"/>
      <c r="W220" s="697"/>
      <c r="X220" s="697"/>
      <c r="Y220" s="697"/>
      <c r="Z220" s="697"/>
      <c r="AA220" s="697"/>
      <c r="AB220" s="697"/>
      <c r="AC220" s="697"/>
      <c r="AD220" s="697"/>
      <c r="AE220" s="697"/>
      <c r="AF220" s="697"/>
      <c r="AG220" s="697"/>
      <c r="AH220" s="697"/>
      <c r="AI220" s="697"/>
      <c r="AJ220" s="697"/>
      <c r="AK220" s="697"/>
      <c r="AL220" s="697"/>
      <c r="AM220" s="697"/>
      <c r="AN220" s="697"/>
      <c r="AO220" s="697"/>
      <c r="AP220" s="697"/>
      <c r="AQ220" s="697"/>
      <c r="AR220" s="697"/>
      <c r="AS220" s="697"/>
      <c r="AT220" s="697"/>
      <c r="AU220" s="697"/>
      <c r="AV220" s="697"/>
      <c r="AW220" s="697"/>
      <c r="AX220" s="697"/>
      <c r="AY220" s="697"/>
      <c r="AZ220" s="697"/>
      <c r="BA220" s="697"/>
      <c r="BB220" s="697"/>
      <c r="BC220" s="697"/>
      <c r="BD220" s="697"/>
      <c r="BE220" s="697"/>
      <c r="BF220" s="697"/>
      <c r="BG220" s="697"/>
      <c r="BH220" s="697"/>
      <c r="BI220" s="697"/>
      <c r="BJ220" s="697"/>
      <c r="BK220" s="697"/>
      <c r="BL220" s="697"/>
      <c r="BM220" s="697"/>
      <c r="BN220" s="697"/>
      <c r="BO220" s="697"/>
      <c r="BP220" s="697"/>
      <c r="BQ220" s="697"/>
      <c r="BR220" s="697"/>
      <c r="BS220" s="697"/>
      <c r="BT220" s="697"/>
      <c r="BU220" s="697"/>
      <c r="BV220" s="697"/>
      <c r="BW220" s="697"/>
      <c r="BX220" s="697"/>
      <c r="BY220" s="697"/>
      <c r="BZ220" s="697"/>
      <c r="CA220" s="697"/>
      <c r="CB220" s="697"/>
      <c r="CC220" s="697"/>
      <c r="CD220" s="697"/>
      <c r="CE220" s="697"/>
      <c r="CF220" s="697"/>
      <c r="CG220" s="697"/>
      <c r="CH220" s="697"/>
      <c r="CI220" s="697"/>
      <c r="CJ220" s="697"/>
      <c r="CK220" s="697"/>
      <c r="CL220" s="697"/>
      <c r="CM220" s="697"/>
      <c r="CN220" s="697"/>
      <c r="CO220" s="697"/>
      <c r="CP220" s="697"/>
      <c r="CQ220" s="697"/>
      <c r="CR220" s="697"/>
      <c r="CS220" s="697"/>
      <c r="CT220" s="697"/>
      <c r="CU220" s="697"/>
      <c r="CV220" s="697"/>
      <c r="CW220" s="697"/>
      <c r="CX220" s="697"/>
      <c r="CY220" s="697"/>
      <c r="CZ220" s="697"/>
      <c r="DA220" s="697"/>
      <c r="DB220" s="697"/>
    </row>
    <row r="221" spans="1:106" hidden="1" outlineLevel="1" x14ac:dyDescent="0.2">
      <c r="A221" s="709">
        <f t="shared" si="59"/>
        <v>38018</v>
      </c>
      <c r="B221" s="709" t="str">
        <f t="shared" si="60"/>
        <v>1Q04</v>
      </c>
      <c r="C221" s="709" t="str">
        <f t="shared" si="61"/>
        <v>2Q04</v>
      </c>
      <c r="D221" s="710">
        <f t="shared" si="65"/>
        <v>38097</v>
      </c>
      <c r="E221" s="710">
        <f t="shared" si="65"/>
        <v>38037</v>
      </c>
      <c r="F221" s="712">
        <v>35.54</v>
      </c>
      <c r="G221" s="713">
        <f t="shared" si="62"/>
        <v>1.4900000000000011</v>
      </c>
      <c r="H221" s="713">
        <f t="shared" si="63"/>
        <v>1.4900000000000011</v>
      </c>
      <c r="I221" s="697"/>
      <c r="J221" s="697"/>
      <c r="K221" s="697"/>
      <c r="L221" s="697"/>
      <c r="M221" s="697"/>
      <c r="N221" s="697"/>
      <c r="O221" s="697"/>
      <c r="P221" s="697"/>
      <c r="Q221" s="697"/>
      <c r="R221" s="697"/>
      <c r="S221" s="697"/>
      <c r="T221" s="697"/>
      <c r="U221" s="697"/>
      <c r="V221" s="697"/>
      <c r="W221" s="697"/>
      <c r="X221" s="697"/>
      <c r="Y221" s="697"/>
      <c r="Z221" s="697"/>
      <c r="AA221" s="697"/>
      <c r="AB221" s="697"/>
      <c r="AC221" s="697"/>
      <c r="AD221" s="697"/>
      <c r="AE221" s="697"/>
      <c r="AF221" s="697"/>
      <c r="AG221" s="697"/>
      <c r="AH221" s="697"/>
      <c r="AI221" s="697"/>
      <c r="AJ221" s="697"/>
      <c r="AK221" s="697"/>
      <c r="AL221" s="697"/>
      <c r="AM221" s="697"/>
      <c r="AN221" s="697"/>
      <c r="AO221" s="697"/>
      <c r="AP221" s="697"/>
      <c r="AQ221" s="697"/>
      <c r="AR221" s="697"/>
      <c r="AS221" s="697"/>
      <c r="AT221" s="697"/>
      <c r="AU221" s="697"/>
      <c r="AV221" s="697"/>
      <c r="AW221" s="697"/>
      <c r="AX221" s="697"/>
      <c r="AY221" s="697"/>
      <c r="AZ221" s="697"/>
      <c r="BA221" s="697"/>
      <c r="BB221" s="697"/>
      <c r="BC221" s="697"/>
      <c r="BD221" s="697"/>
      <c r="BE221" s="697"/>
      <c r="BF221" s="697"/>
      <c r="BG221" s="697"/>
      <c r="BH221" s="697"/>
      <c r="BI221" s="697"/>
      <c r="BJ221" s="697"/>
      <c r="BK221" s="697"/>
      <c r="BL221" s="697"/>
      <c r="BM221" s="697"/>
      <c r="BN221" s="697"/>
      <c r="BO221" s="697"/>
      <c r="BP221" s="697"/>
      <c r="BQ221" s="697"/>
      <c r="BR221" s="697"/>
      <c r="BS221" s="697"/>
      <c r="BT221" s="697"/>
      <c r="BU221" s="697"/>
      <c r="BV221" s="697"/>
      <c r="BW221" s="697"/>
      <c r="BX221" s="697"/>
      <c r="BY221" s="697"/>
      <c r="BZ221" s="697"/>
      <c r="CA221" s="697"/>
      <c r="CB221" s="697"/>
      <c r="CC221" s="697"/>
      <c r="CD221" s="697"/>
      <c r="CE221" s="697"/>
      <c r="CF221" s="697"/>
      <c r="CG221" s="697"/>
      <c r="CH221" s="697"/>
      <c r="CI221" s="697"/>
      <c r="CJ221" s="697"/>
      <c r="CK221" s="697"/>
      <c r="CL221" s="697"/>
      <c r="CM221" s="697"/>
      <c r="CN221" s="697"/>
      <c r="CO221" s="697"/>
      <c r="CP221" s="697"/>
      <c r="CQ221" s="697"/>
      <c r="CR221" s="697"/>
      <c r="CS221" s="697"/>
      <c r="CT221" s="697"/>
      <c r="CU221" s="697"/>
      <c r="CV221" s="697"/>
      <c r="CW221" s="697"/>
      <c r="CX221" s="697"/>
      <c r="CY221" s="697"/>
      <c r="CZ221" s="697"/>
      <c r="DA221" s="697"/>
      <c r="DB221" s="697"/>
    </row>
    <row r="222" spans="1:106" hidden="1" outlineLevel="1" x14ac:dyDescent="0.2">
      <c r="A222" s="709">
        <f t="shared" si="59"/>
        <v>38018</v>
      </c>
      <c r="B222" s="709" t="str">
        <f t="shared" si="60"/>
        <v>1Q04</v>
      </c>
      <c r="C222" s="709" t="str">
        <f t="shared" si="61"/>
        <v>2Q04</v>
      </c>
      <c r="D222" s="710">
        <f t="shared" si="65"/>
        <v>38104</v>
      </c>
      <c r="E222" s="710">
        <f t="shared" si="65"/>
        <v>38044</v>
      </c>
      <c r="F222" s="712">
        <v>36.08</v>
      </c>
      <c r="G222" s="713">
        <f t="shared" si="62"/>
        <v>1.4900000000000011</v>
      </c>
      <c r="H222" s="713">
        <f t="shared" si="63"/>
        <v>1.4900000000000011</v>
      </c>
      <c r="I222" s="697"/>
      <c r="J222" s="697"/>
      <c r="K222" s="697"/>
      <c r="L222" s="697"/>
      <c r="M222" s="697"/>
      <c r="N222" s="697"/>
      <c r="O222" s="697"/>
      <c r="P222" s="697"/>
      <c r="Q222" s="697"/>
      <c r="R222" s="697"/>
      <c r="S222" s="697"/>
      <c r="T222" s="697"/>
      <c r="U222" s="697"/>
      <c r="V222" s="697"/>
      <c r="W222" s="697"/>
      <c r="X222" s="697"/>
      <c r="Y222" s="697"/>
      <c r="Z222" s="697"/>
      <c r="AA222" s="697"/>
      <c r="AB222" s="697"/>
      <c r="AC222" s="697"/>
      <c r="AD222" s="697"/>
      <c r="AE222" s="697"/>
      <c r="AF222" s="697"/>
      <c r="AG222" s="697"/>
      <c r="AH222" s="697"/>
      <c r="AI222" s="697"/>
      <c r="AJ222" s="697"/>
      <c r="AK222" s="697"/>
      <c r="AL222" s="697"/>
      <c r="AM222" s="697"/>
      <c r="AN222" s="697"/>
      <c r="AO222" s="697"/>
      <c r="AP222" s="697"/>
      <c r="AQ222" s="697"/>
      <c r="AR222" s="697"/>
      <c r="AS222" s="697"/>
      <c r="AT222" s="697"/>
      <c r="AU222" s="697"/>
      <c r="AV222" s="697"/>
      <c r="AW222" s="697"/>
      <c r="AX222" s="697"/>
      <c r="AY222" s="697"/>
      <c r="AZ222" s="697"/>
      <c r="BA222" s="697"/>
      <c r="BB222" s="697"/>
      <c r="BC222" s="697"/>
      <c r="BD222" s="697"/>
      <c r="BE222" s="697"/>
      <c r="BF222" s="697"/>
      <c r="BG222" s="697"/>
      <c r="BH222" s="697"/>
      <c r="BI222" s="697"/>
      <c r="BJ222" s="697"/>
      <c r="BK222" s="697"/>
      <c r="BL222" s="697"/>
      <c r="BM222" s="697"/>
      <c r="BN222" s="697"/>
      <c r="BO222" s="697"/>
      <c r="BP222" s="697"/>
      <c r="BQ222" s="697"/>
      <c r="BR222" s="697"/>
      <c r="BS222" s="697"/>
      <c r="BT222" s="697"/>
      <c r="BU222" s="697"/>
      <c r="BV222" s="697"/>
      <c r="BW222" s="697"/>
      <c r="BX222" s="697"/>
      <c r="BY222" s="697"/>
      <c r="BZ222" s="697"/>
      <c r="CA222" s="697"/>
      <c r="CB222" s="697"/>
      <c r="CC222" s="697"/>
      <c r="CD222" s="697"/>
      <c r="CE222" s="697"/>
      <c r="CF222" s="697"/>
      <c r="CG222" s="697"/>
      <c r="CH222" s="697"/>
      <c r="CI222" s="697"/>
      <c r="CJ222" s="697"/>
      <c r="CK222" s="697"/>
      <c r="CL222" s="697"/>
      <c r="CM222" s="697"/>
      <c r="CN222" s="697"/>
      <c r="CO222" s="697"/>
      <c r="CP222" s="697"/>
      <c r="CQ222" s="697"/>
      <c r="CR222" s="697"/>
      <c r="CS222" s="697"/>
      <c r="CT222" s="697"/>
      <c r="CU222" s="697"/>
      <c r="CV222" s="697"/>
      <c r="CW222" s="697"/>
      <c r="CX222" s="697"/>
      <c r="CY222" s="697"/>
      <c r="CZ222" s="697"/>
      <c r="DA222" s="697"/>
      <c r="DB222" s="697"/>
    </row>
    <row r="223" spans="1:106" hidden="1" outlineLevel="1" x14ac:dyDescent="0.2">
      <c r="A223" s="709">
        <f t="shared" si="59"/>
        <v>38047</v>
      </c>
      <c r="B223" s="709" t="str">
        <f t="shared" si="60"/>
        <v>1Q04</v>
      </c>
      <c r="C223" s="709" t="str">
        <f t="shared" si="61"/>
        <v>2Q04</v>
      </c>
      <c r="D223" s="710">
        <f t="shared" si="65"/>
        <v>38111</v>
      </c>
      <c r="E223" s="710">
        <f t="shared" si="65"/>
        <v>38051</v>
      </c>
      <c r="F223" s="712">
        <v>36.67</v>
      </c>
      <c r="G223" s="713">
        <f t="shared" si="62"/>
        <v>1.4900000000000011</v>
      </c>
      <c r="H223" s="713">
        <f t="shared" si="63"/>
        <v>1.4900000000000011</v>
      </c>
      <c r="I223" s="697"/>
      <c r="J223" s="697"/>
      <c r="K223" s="697"/>
      <c r="L223" s="697"/>
      <c r="M223" s="697"/>
      <c r="N223" s="697"/>
      <c r="O223" s="697"/>
      <c r="P223" s="697"/>
      <c r="Q223" s="697"/>
      <c r="R223" s="697"/>
      <c r="S223" s="697"/>
      <c r="T223" s="697"/>
      <c r="U223" s="697"/>
      <c r="V223" s="697"/>
      <c r="W223" s="697"/>
      <c r="X223" s="697"/>
      <c r="Y223" s="697"/>
      <c r="Z223" s="697"/>
      <c r="AA223" s="697"/>
      <c r="AB223" s="697"/>
      <c r="AC223" s="697"/>
      <c r="AD223" s="697"/>
      <c r="AE223" s="697"/>
      <c r="AF223" s="697"/>
      <c r="AG223" s="697"/>
      <c r="AH223" s="697"/>
      <c r="AI223" s="697"/>
      <c r="AJ223" s="697"/>
      <c r="AK223" s="697"/>
      <c r="AL223" s="697"/>
      <c r="AM223" s="697"/>
      <c r="AN223" s="697"/>
      <c r="AO223" s="697"/>
      <c r="AP223" s="697"/>
      <c r="AQ223" s="697"/>
      <c r="AR223" s="697"/>
      <c r="AS223" s="697"/>
      <c r="AT223" s="697"/>
      <c r="AU223" s="697"/>
      <c r="AV223" s="697"/>
      <c r="AW223" s="697"/>
      <c r="AX223" s="697"/>
      <c r="AY223" s="697"/>
      <c r="AZ223" s="697"/>
      <c r="BA223" s="697"/>
      <c r="BB223" s="697"/>
      <c r="BC223" s="697"/>
      <c r="BD223" s="697"/>
      <c r="BE223" s="697"/>
      <c r="BF223" s="697"/>
      <c r="BG223" s="697"/>
      <c r="BH223" s="697"/>
      <c r="BI223" s="697"/>
      <c r="BJ223" s="697"/>
      <c r="BK223" s="697"/>
      <c r="BL223" s="697"/>
      <c r="BM223" s="697"/>
      <c r="BN223" s="697"/>
      <c r="BO223" s="697"/>
      <c r="BP223" s="697"/>
      <c r="BQ223" s="697"/>
      <c r="BR223" s="697"/>
      <c r="BS223" s="697"/>
      <c r="BT223" s="697"/>
      <c r="BU223" s="697"/>
      <c r="BV223" s="697"/>
      <c r="BW223" s="697"/>
      <c r="BX223" s="697"/>
      <c r="BY223" s="697"/>
      <c r="BZ223" s="697"/>
      <c r="CA223" s="697"/>
      <c r="CB223" s="697"/>
      <c r="CC223" s="697"/>
      <c r="CD223" s="697"/>
      <c r="CE223" s="697"/>
      <c r="CF223" s="697"/>
      <c r="CG223" s="697"/>
      <c r="CH223" s="697"/>
      <c r="CI223" s="697"/>
      <c r="CJ223" s="697"/>
      <c r="CK223" s="697"/>
      <c r="CL223" s="697"/>
      <c r="CM223" s="697"/>
      <c r="CN223" s="697"/>
      <c r="CO223" s="697"/>
      <c r="CP223" s="697"/>
      <c r="CQ223" s="697"/>
      <c r="CR223" s="697"/>
      <c r="CS223" s="697"/>
      <c r="CT223" s="697"/>
      <c r="CU223" s="697"/>
      <c r="CV223" s="697"/>
      <c r="CW223" s="697"/>
      <c r="CX223" s="697"/>
      <c r="CY223" s="697"/>
      <c r="CZ223" s="697"/>
      <c r="DA223" s="697"/>
      <c r="DB223" s="697"/>
    </row>
    <row r="224" spans="1:106" hidden="1" outlineLevel="1" x14ac:dyDescent="0.2">
      <c r="A224" s="709">
        <f t="shared" si="59"/>
        <v>38047</v>
      </c>
      <c r="B224" s="709" t="str">
        <f t="shared" si="60"/>
        <v>1Q04</v>
      </c>
      <c r="C224" s="709" t="str">
        <f t="shared" si="61"/>
        <v>2Q04</v>
      </c>
      <c r="D224" s="710">
        <f t="shared" si="65"/>
        <v>38118</v>
      </c>
      <c r="E224" s="710">
        <f t="shared" si="65"/>
        <v>38058</v>
      </c>
      <c r="F224" s="712">
        <v>36.44</v>
      </c>
      <c r="G224" s="713">
        <f t="shared" si="62"/>
        <v>1.4900000000000011</v>
      </c>
      <c r="H224" s="713">
        <f t="shared" si="63"/>
        <v>1.4900000000000011</v>
      </c>
      <c r="I224" s="697"/>
      <c r="J224" s="697"/>
      <c r="K224" s="697"/>
      <c r="L224" s="697"/>
      <c r="M224" s="697"/>
      <c r="N224" s="697"/>
      <c r="O224" s="697"/>
      <c r="P224" s="697"/>
      <c r="Q224" s="697"/>
      <c r="R224" s="697"/>
      <c r="S224" s="697"/>
      <c r="T224" s="697"/>
      <c r="U224" s="697"/>
      <c r="V224" s="697"/>
      <c r="W224" s="697"/>
      <c r="X224" s="697"/>
      <c r="Y224" s="697"/>
      <c r="Z224" s="697"/>
      <c r="AA224" s="697"/>
      <c r="AB224" s="697"/>
      <c r="AC224" s="697"/>
      <c r="AD224" s="697"/>
      <c r="AE224" s="697"/>
      <c r="AF224" s="697"/>
      <c r="AG224" s="697"/>
      <c r="AH224" s="697"/>
      <c r="AI224" s="697"/>
      <c r="AJ224" s="697"/>
      <c r="AK224" s="697"/>
      <c r="AL224" s="697"/>
      <c r="AM224" s="697"/>
      <c r="AN224" s="697"/>
      <c r="AO224" s="697"/>
      <c r="AP224" s="697"/>
      <c r="AQ224" s="697"/>
      <c r="AR224" s="697"/>
      <c r="AS224" s="697"/>
      <c r="AT224" s="697"/>
      <c r="AU224" s="697"/>
      <c r="AV224" s="697"/>
      <c r="AW224" s="697"/>
      <c r="AX224" s="697"/>
      <c r="AY224" s="697"/>
      <c r="AZ224" s="697"/>
      <c r="BA224" s="697"/>
      <c r="BB224" s="697"/>
      <c r="BC224" s="697"/>
      <c r="BD224" s="697"/>
      <c r="BE224" s="697"/>
      <c r="BF224" s="697"/>
      <c r="BG224" s="697"/>
      <c r="BH224" s="697"/>
      <c r="BI224" s="697"/>
      <c r="BJ224" s="697"/>
      <c r="BK224" s="697"/>
      <c r="BL224" s="697"/>
      <c r="BM224" s="697"/>
      <c r="BN224" s="697"/>
      <c r="BO224" s="697"/>
      <c r="BP224" s="697"/>
      <c r="BQ224" s="697"/>
      <c r="BR224" s="697"/>
      <c r="BS224" s="697"/>
      <c r="BT224" s="697"/>
      <c r="BU224" s="697"/>
      <c r="BV224" s="697"/>
      <c r="BW224" s="697"/>
      <c r="BX224" s="697"/>
      <c r="BY224" s="697"/>
      <c r="BZ224" s="697"/>
      <c r="CA224" s="697"/>
      <c r="CB224" s="697"/>
      <c r="CC224" s="697"/>
      <c r="CD224" s="697"/>
      <c r="CE224" s="697"/>
      <c r="CF224" s="697"/>
      <c r="CG224" s="697"/>
      <c r="CH224" s="697"/>
      <c r="CI224" s="697"/>
      <c r="CJ224" s="697"/>
      <c r="CK224" s="697"/>
      <c r="CL224" s="697"/>
      <c r="CM224" s="697"/>
      <c r="CN224" s="697"/>
      <c r="CO224" s="697"/>
      <c r="CP224" s="697"/>
      <c r="CQ224" s="697"/>
      <c r="CR224" s="697"/>
      <c r="CS224" s="697"/>
      <c r="CT224" s="697"/>
      <c r="CU224" s="697"/>
      <c r="CV224" s="697"/>
      <c r="CW224" s="697"/>
      <c r="CX224" s="697"/>
      <c r="CY224" s="697"/>
      <c r="CZ224" s="697"/>
      <c r="DA224" s="697"/>
      <c r="DB224" s="697"/>
    </row>
    <row r="225" spans="1:106" hidden="1" outlineLevel="1" x14ac:dyDescent="0.2">
      <c r="A225" s="709">
        <f t="shared" si="59"/>
        <v>38047</v>
      </c>
      <c r="B225" s="709" t="str">
        <f t="shared" si="60"/>
        <v>1Q04</v>
      </c>
      <c r="C225" s="709" t="str">
        <f t="shared" si="61"/>
        <v>2Q04</v>
      </c>
      <c r="D225" s="710">
        <f t="shared" si="65"/>
        <v>38125</v>
      </c>
      <c r="E225" s="710">
        <f t="shared" si="65"/>
        <v>38065</v>
      </c>
      <c r="F225" s="712">
        <v>37.78</v>
      </c>
      <c r="G225" s="713">
        <f t="shared" si="62"/>
        <v>1.4900000000000011</v>
      </c>
      <c r="H225" s="713">
        <f t="shared" si="63"/>
        <v>1.4900000000000011</v>
      </c>
      <c r="I225" s="697"/>
      <c r="J225" s="697"/>
      <c r="K225" s="697"/>
      <c r="L225" s="697"/>
      <c r="M225" s="697"/>
      <c r="N225" s="697"/>
      <c r="O225" s="697"/>
      <c r="P225" s="697"/>
      <c r="Q225" s="697"/>
      <c r="R225" s="697"/>
      <c r="S225" s="697"/>
      <c r="T225" s="697"/>
      <c r="U225" s="697"/>
      <c r="V225" s="697"/>
      <c r="W225" s="697"/>
      <c r="X225" s="697"/>
      <c r="Y225" s="697"/>
      <c r="Z225" s="697"/>
      <c r="AA225" s="697"/>
      <c r="AB225" s="697"/>
      <c r="AC225" s="697"/>
      <c r="AD225" s="697"/>
      <c r="AE225" s="697"/>
      <c r="AF225" s="697"/>
      <c r="AG225" s="697"/>
      <c r="AH225" s="697"/>
      <c r="AI225" s="697"/>
      <c r="AJ225" s="697"/>
      <c r="AK225" s="697"/>
      <c r="AL225" s="697"/>
      <c r="AM225" s="697"/>
      <c r="AN225" s="697"/>
      <c r="AO225" s="697"/>
      <c r="AP225" s="697"/>
      <c r="AQ225" s="697"/>
      <c r="AR225" s="697"/>
      <c r="AS225" s="697"/>
      <c r="AT225" s="697"/>
      <c r="AU225" s="697"/>
      <c r="AV225" s="697"/>
      <c r="AW225" s="697"/>
      <c r="AX225" s="697"/>
      <c r="AY225" s="697"/>
      <c r="AZ225" s="697"/>
      <c r="BA225" s="697"/>
      <c r="BB225" s="697"/>
      <c r="BC225" s="697"/>
      <c r="BD225" s="697"/>
      <c r="BE225" s="697"/>
      <c r="BF225" s="697"/>
      <c r="BG225" s="697"/>
      <c r="BH225" s="697"/>
      <c r="BI225" s="697"/>
      <c r="BJ225" s="697"/>
      <c r="BK225" s="697"/>
      <c r="BL225" s="697"/>
      <c r="BM225" s="697"/>
      <c r="BN225" s="697"/>
      <c r="BO225" s="697"/>
      <c r="BP225" s="697"/>
      <c r="BQ225" s="697"/>
      <c r="BR225" s="697"/>
      <c r="BS225" s="697"/>
      <c r="BT225" s="697"/>
      <c r="BU225" s="697"/>
      <c r="BV225" s="697"/>
      <c r="BW225" s="697"/>
      <c r="BX225" s="697"/>
      <c r="BY225" s="697"/>
      <c r="BZ225" s="697"/>
      <c r="CA225" s="697"/>
      <c r="CB225" s="697"/>
      <c r="CC225" s="697"/>
      <c r="CD225" s="697"/>
      <c r="CE225" s="697"/>
      <c r="CF225" s="697"/>
      <c r="CG225" s="697"/>
      <c r="CH225" s="697"/>
      <c r="CI225" s="697"/>
      <c r="CJ225" s="697"/>
      <c r="CK225" s="697"/>
      <c r="CL225" s="697"/>
      <c r="CM225" s="697"/>
      <c r="CN225" s="697"/>
      <c r="CO225" s="697"/>
      <c r="CP225" s="697"/>
      <c r="CQ225" s="697"/>
      <c r="CR225" s="697"/>
      <c r="CS225" s="697"/>
      <c r="CT225" s="697"/>
      <c r="CU225" s="697"/>
      <c r="CV225" s="697"/>
      <c r="CW225" s="697"/>
      <c r="CX225" s="697"/>
      <c r="CY225" s="697"/>
      <c r="CZ225" s="697"/>
      <c r="DA225" s="697"/>
      <c r="DB225" s="697"/>
    </row>
    <row r="226" spans="1:106" hidden="1" outlineLevel="1" x14ac:dyDescent="0.2">
      <c r="A226" s="709">
        <f t="shared" si="59"/>
        <v>38047</v>
      </c>
      <c r="B226" s="709" t="str">
        <f t="shared" si="60"/>
        <v>1Q04</v>
      </c>
      <c r="C226" s="709" t="str">
        <f t="shared" si="61"/>
        <v>2Q04</v>
      </c>
      <c r="D226" s="710">
        <f t="shared" si="65"/>
        <v>38132</v>
      </c>
      <c r="E226" s="710">
        <f t="shared" si="65"/>
        <v>38072</v>
      </c>
      <c r="F226" s="712">
        <v>36.65</v>
      </c>
      <c r="G226" s="713">
        <f t="shared" si="62"/>
        <v>1.4900000000000011</v>
      </c>
      <c r="H226" s="713">
        <f t="shared" si="63"/>
        <v>1.4900000000000011</v>
      </c>
      <c r="I226" s="697"/>
      <c r="J226" s="697"/>
      <c r="K226" s="697"/>
      <c r="L226" s="697"/>
      <c r="M226" s="697"/>
      <c r="N226" s="697"/>
      <c r="O226" s="697"/>
      <c r="P226" s="697"/>
      <c r="Q226" s="697"/>
      <c r="R226" s="697"/>
      <c r="S226" s="697"/>
      <c r="T226" s="697"/>
      <c r="U226" s="697"/>
      <c r="V226" s="697"/>
      <c r="W226" s="697"/>
      <c r="X226" s="697"/>
      <c r="Y226" s="697"/>
      <c r="Z226" s="697"/>
      <c r="AA226" s="697"/>
      <c r="AB226" s="697"/>
      <c r="AC226" s="697"/>
      <c r="AD226" s="697"/>
      <c r="AE226" s="697"/>
      <c r="AF226" s="697"/>
      <c r="AG226" s="697"/>
      <c r="AH226" s="697"/>
      <c r="AI226" s="697"/>
      <c r="AJ226" s="697"/>
      <c r="AK226" s="697"/>
      <c r="AL226" s="697"/>
      <c r="AM226" s="697"/>
      <c r="AN226" s="697"/>
      <c r="AO226" s="697"/>
      <c r="AP226" s="697"/>
      <c r="AQ226" s="697"/>
      <c r="AR226" s="697"/>
      <c r="AS226" s="697"/>
      <c r="AT226" s="697"/>
      <c r="AU226" s="697"/>
      <c r="AV226" s="697"/>
      <c r="AW226" s="697"/>
      <c r="AX226" s="697"/>
      <c r="AY226" s="697"/>
      <c r="AZ226" s="697"/>
      <c r="BA226" s="697"/>
      <c r="BB226" s="697"/>
      <c r="BC226" s="697"/>
      <c r="BD226" s="697"/>
      <c r="BE226" s="697"/>
      <c r="BF226" s="697"/>
      <c r="BG226" s="697"/>
      <c r="BH226" s="697"/>
      <c r="BI226" s="697"/>
      <c r="BJ226" s="697"/>
      <c r="BK226" s="697"/>
      <c r="BL226" s="697"/>
      <c r="BM226" s="697"/>
      <c r="BN226" s="697"/>
      <c r="BO226" s="697"/>
      <c r="BP226" s="697"/>
      <c r="BQ226" s="697"/>
      <c r="BR226" s="697"/>
      <c r="BS226" s="697"/>
      <c r="BT226" s="697"/>
      <c r="BU226" s="697"/>
      <c r="BV226" s="697"/>
      <c r="BW226" s="697"/>
      <c r="BX226" s="697"/>
      <c r="BY226" s="697"/>
      <c r="BZ226" s="697"/>
      <c r="CA226" s="697"/>
      <c r="CB226" s="697"/>
      <c r="CC226" s="697"/>
      <c r="CD226" s="697"/>
      <c r="CE226" s="697"/>
      <c r="CF226" s="697"/>
      <c r="CG226" s="697"/>
      <c r="CH226" s="697"/>
      <c r="CI226" s="697"/>
      <c r="CJ226" s="697"/>
      <c r="CK226" s="697"/>
      <c r="CL226" s="697"/>
      <c r="CM226" s="697"/>
      <c r="CN226" s="697"/>
      <c r="CO226" s="697"/>
      <c r="CP226" s="697"/>
      <c r="CQ226" s="697"/>
      <c r="CR226" s="697"/>
      <c r="CS226" s="697"/>
      <c r="CT226" s="697"/>
      <c r="CU226" s="697"/>
      <c r="CV226" s="697"/>
      <c r="CW226" s="697"/>
      <c r="CX226" s="697"/>
      <c r="CY226" s="697"/>
      <c r="CZ226" s="697"/>
      <c r="DA226" s="697"/>
      <c r="DB226" s="697"/>
    </row>
    <row r="227" spans="1:106" hidden="1" outlineLevel="1" x14ac:dyDescent="0.2">
      <c r="A227" s="709">
        <f t="shared" si="59"/>
        <v>38078</v>
      </c>
      <c r="B227" s="709" t="str">
        <f t="shared" si="60"/>
        <v>2Q04</v>
      </c>
      <c r="C227" s="709" t="str">
        <f t="shared" si="61"/>
        <v>2Q04</v>
      </c>
      <c r="D227" s="710">
        <f t="shared" si="65"/>
        <v>38139</v>
      </c>
      <c r="E227" s="710">
        <f t="shared" si="65"/>
        <v>38079</v>
      </c>
      <c r="F227" s="712">
        <v>35.229999999999997</v>
      </c>
      <c r="G227" s="713">
        <f t="shared" si="62"/>
        <v>1.4900000000000011</v>
      </c>
      <c r="H227" s="713">
        <f t="shared" si="63"/>
        <v>1.4900000000000011</v>
      </c>
      <c r="I227" s="697"/>
      <c r="J227" s="697"/>
      <c r="K227" s="697"/>
      <c r="L227" s="697"/>
      <c r="M227" s="697"/>
      <c r="N227" s="697"/>
      <c r="O227" s="697"/>
      <c r="P227" s="697"/>
      <c r="Q227" s="697"/>
      <c r="R227" s="697"/>
      <c r="S227" s="697"/>
      <c r="T227" s="697"/>
      <c r="U227" s="697"/>
      <c r="V227" s="697"/>
      <c r="W227" s="697"/>
      <c r="X227" s="697"/>
      <c r="Y227" s="697"/>
      <c r="Z227" s="697"/>
      <c r="AA227" s="697"/>
      <c r="AB227" s="697"/>
      <c r="AC227" s="697"/>
      <c r="AD227" s="697"/>
      <c r="AE227" s="697"/>
      <c r="AF227" s="697"/>
      <c r="AG227" s="697"/>
      <c r="AH227" s="697"/>
      <c r="AI227" s="697"/>
      <c r="AJ227" s="697"/>
      <c r="AK227" s="697"/>
      <c r="AL227" s="697"/>
      <c r="AM227" s="697"/>
      <c r="AN227" s="697"/>
      <c r="AO227" s="697"/>
      <c r="AP227" s="697"/>
      <c r="AQ227" s="697"/>
      <c r="AR227" s="697"/>
      <c r="AS227" s="697"/>
      <c r="AT227" s="697"/>
      <c r="AU227" s="697"/>
      <c r="AV227" s="697"/>
      <c r="AW227" s="697"/>
      <c r="AX227" s="697"/>
      <c r="AY227" s="697"/>
      <c r="AZ227" s="697"/>
      <c r="BA227" s="697"/>
      <c r="BB227" s="697"/>
      <c r="BC227" s="697"/>
      <c r="BD227" s="697"/>
      <c r="BE227" s="697"/>
      <c r="BF227" s="697"/>
      <c r="BG227" s="697"/>
      <c r="BH227" s="697"/>
      <c r="BI227" s="697"/>
      <c r="BJ227" s="697"/>
      <c r="BK227" s="697"/>
      <c r="BL227" s="697"/>
      <c r="BM227" s="697"/>
      <c r="BN227" s="697"/>
      <c r="BO227" s="697"/>
      <c r="BP227" s="697"/>
      <c r="BQ227" s="697"/>
      <c r="BR227" s="697"/>
      <c r="BS227" s="697"/>
      <c r="BT227" s="697"/>
      <c r="BU227" s="697"/>
      <c r="BV227" s="697"/>
      <c r="BW227" s="697"/>
      <c r="BX227" s="697"/>
      <c r="BY227" s="697"/>
      <c r="BZ227" s="697"/>
      <c r="CA227" s="697"/>
      <c r="CB227" s="697"/>
      <c r="CC227" s="697"/>
      <c r="CD227" s="697"/>
      <c r="CE227" s="697"/>
      <c r="CF227" s="697"/>
      <c r="CG227" s="697"/>
      <c r="CH227" s="697"/>
      <c r="CI227" s="697"/>
      <c r="CJ227" s="697"/>
      <c r="CK227" s="697"/>
      <c r="CL227" s="697"/>
      <c r="CM227" s="697"/>
      <c r="CN227" s="697"/>
      <c r="CO227" s="697"/>
      <c r="CP227" s="697"/>
      <c r="CQ227" s="697"/>
      <c r="CR227" s="697"/>
      <c r="CS227" s="697"/>
      <c r="CT227" s="697"/>
      <c r="CU227" s="697"/>
      <c r="CV227" s="697"/>
      <c r="CW227" s="697"/>
      <c r="CX227" s="697"/>
      <c r="CY227" s="697"/>
      <c r="CZ227" s="697"/>
      <c r="DA227" s="697"/>
      <c r="DB227" s="697"/>
    </row>
    <row r="228" spans="1:106" hidden="1" outlineLevel="1" x14ac:dyDescent="0.2">
      <c r="A228" s="709">
        <f t="shared" si="59"/>
        <v>38078</v>
      </c>
      <c r="B228" s="709" t="str">
        <f t="shared" si="60"/>
        <v>2Q04</v>
      </c>
      <c r="C228" s="709" t="str">
        <f t="shared" si="61"/>
        <v>2Q04</v>
      </c>
      <c r="D228" s="710">
        <f t="shared" si="65"/>
        <v>38146</v>
      </c>
      <c r="E228" s="710">
        <f t="shared" si="65"/>
        <v>38086</v>
      </c>
      <c r="F228" s="712">
        <v>35.700000000000003</v>
      </c>
      <c r="G228" s="713">
        <f t="shared" si="62"/>
        <v>1.4900000000000011</v>
      </c>
      <c r="H228" s="713">
        <f t="shared" si="63"/>
        <v>1.4900000000000011</v>
      </c>
      <c r="I228" s="697"/>
      <c r="J228" s="697"/>
      <c r="K228" s="697"/>
      <c r="L228" s="697"/>
      <c r="M228" s="697"/>
      <c r="N228" s="697"/>
      <c r="O228" s="697"/>
      <c r="P228" s="697"/>
      <c r="Q228" s="697"/>
      <c r="R228" s="697"/>
      <c r="S228" s="697"/>
      <c r="T228" s="697"/>
      <c r="U228" s="697"/>
      <c r="V228" s="697"/>
      <c r="W228" s="697"/>
      <c r="X228" s="697"/>
      <c r="Y228" s="697"/>
      <c r="Z228" s="697"/>
      <c r="AA228" s="697"/>
      <c r="AB228" s="697"/>
      <c r="AC228" s="697"/>
      <c r="AD228" s="697"/>
      <c r="AE228" s="697"/>
      <c r="AF228" s="697"/>
      <c r="AG228" s="697"/>
      <c r="AH228" s="697"/>
      <c r="AI228" s="697"/>
      <c r="AJ228" s="697"/>
      <c r="AK228" s="697"/>
      <c r="AL228" s="697"/>
      <c r="AM228" s="697"/>
      <c r="AN228" s="697"/>
      <c r="AO228" s="697"/>
      <c r="AP228" s="697"/>
      <c r="AQ228" s="697"/>
      <c r="AR228" s="697"/>
      <c r="AS228" s="697"/>
      <c r="AT228" s="697"/>
      <c r="AU228" s="697"/>
      <c r="AV228" s="697"/>
      <c r="AW228" s="697"/>
      <c r="AX228" s="697"/>
      <c r="AY228" s="697"/>
      <c r="AZ228" s="697"/>
      <c r="BA228" s="697"/>
      <c r="BB228" s="697"/>
      <c r="BC228" s="697"/>
      <c r="BD228" s="697"/>
      <c r="BE228" s="697"/>
      <c r="BF228" s="697"/>
      <c r="BG228" s="697"/>
      <c r="BH228" s="697"/>
      <c r="BI228" s="697"/>
      <c r="BJ228" s="697"/>
      <c r="BK228" s="697"/>
      <c r="BL228" s="697"/>
      <c r="BM228" s="697"/>
      <c r="BN228" s="697"/>
      <c r="BO228" s="697"/>
      <c r="BP228" s="697"/>
      <c r="BQ228" s="697"/>
      <c r="BR228" s="697"/>
      <c r="BS228" s="697"/>
      <c r="BT228" s="697"/>
      <c r="BU228" s="697"/>
      <c r="BV228" s="697"/>
      <c r="BW228" s="697"/>
      <c r="BX228" s="697"/>
      <c r="BY228" s="697"/>
      <c r="BZ228" s="697"/>
      <c r="CA228" s="697"/>
      <c r="CB228" s="697"/>
      <c r="CC228" s="697"/>
      <c r="CD228" s="697"/>
      <c r="CE228" s="697"/>
      <c r="CF228" s="697"/>
      <c r="CG228" s="697"/>
      <c r="CH228" s="697"/>
      <c r="CI228" s="697"/>
      <c r="CJ228" s="697"/>
      <c r="CK228" s="697"/>
      <c r="CL228" s="697"/>
      <c r="CM228" s="697"/>
      <c r="CN228" s="697"/>
      <c r="CO228" s="697"/>
      <c r="CP228" s="697"/>
      <c r="CQ228" s="697"/>
      <c r="CR228" s="697"/>
      <c r="CS228" s="697"/>
      <c r="CT228" s="697"/>
      <c r="CU228" s="697"/>
      <c r="CV228" s="697"/>
      <c r="CW228" s="697"/>
      <c r="CX228" s="697"/>
      <c r="CY228" s="697"/>
      <c r="CZ228" s="697"/>
      <c r="DA228" s="697"/>
      <c r="DB228" s="697"/>
    </row>
    <row r="229" spans="1:106" hidden="1" outlineLevel="1" x14ac:dyDescent="0.2">
      <c r="A229" s="709">
        <f t="shared" si="59"/>
        <v>38078</v>
      </c>
      <c r="B229" s="709" t="str">
        <f t="shared" si="60"/>
        <v>2Q04</v>
      </c>
      <c r="C229" s="709" t="str">
        <f t="shared" si="61"/>
        <v>2Q04</v>
      </c>
      <c r="D229" s="710">
        <f t="shared" ref="D229:E244" si="66">D228+7</f>
        <v>38153</v>
      </c>
      <c r="E229" s="710">
        <f t="shared" si="66"/>
        <v>38093</v>
      </c>
      <c r="F229" s="712">
        <v>37.39</v>
      </c>
      <c r="G229" s="713">
        <f t="shared" si="62"/>
        <v>1.4900000000000011</v>
      </c>
      <c r="H229" s="713">
        <f t="shared" si="63"/>
        <v>1.4900000000000011</v>
      </c>
      <c r="I229" s="697"/>
      <c r="J229" s="697"/>
      <c r="K229" s="697"/>
      <c r="L229" s="697"/>
      <c r="M229" s="697"/>
      <c r="N229" s="697"/>
      <c r="O229" s="697"/>
      <c r="P229" s="697"/>
      <c r="Q229" s="697"/>
      <c r="R229" s="697"/>
      <c r="S229" s="697"/>
      <c r="T229" s="697"/>
      <c r="U229" s="697"/>
      <c r="V229" s="697"/>
      <c r="W229" s="697"/>
      <c r="X229" s="697"/>
      <c r="Y229" s="697"/>
      <c r="Z229" s="697"/>
      <c r="AA229" s="697"/>
      <c r="AB229" s="697"/>
      <c r="AC229" s="697"/>
      <c r="AD229" s="697"/>
      <c r="AE229" s="697"/>
      <c r="AF229" s="697"/>
      <c r="AG229" s="697"/>
      <c r="AH229" s="697"/>
      <c r="AI229" s="697"/>
      <c r="AJ229" s="697"/>
      <c r="AK229" s="697"/>
      <c r="AL229" s="697"/>
      <c r="AM229" s="697"/>
      <c r="AN229" s="697"/>
      <c r="AO229" s="697"/>
      <c r="AP229" s="697"/>
      <c r="AQ229" s="697"/>
      <c r="AR229" s="697"/>
      <c r="AS229" s="697"/>
      <c r="AT229" s="697"/>
      <c r="AU229" s="697"/>
      <c r="AV229" s="697"/>
      <c r="AW229" s="697"/>
      <c r="AX229" s="697"/>
      <c r="AY229" s="697"/>
      <c r="AZ229" s="697"/>
      <c r="BA229" s="697"/>
      <c r="BB229" s="697"/>
      <c r="BC229" s="697"/>
      <c r="BD229" s="697"/>
      <c r="BE229" s="697"/>
      <c r="BF229" s="697"/>
      <c r="BG229" s="697"/>
      <c r="BH229" s="697"/>
      <c r="BI229" s="697"/>
      <c r="BJ229" s="697"/>
      <c r="BK229" s="697"/>
      <c r="BL229" s="697"/>
      <c r="BM229" s="697"/>
      <c r="BN229" s="697"/>
      <c r="BO229" s="697"/>
      <c r="BP229" s="697"/>
      <c r="BQ229" s="697"/>
      <c r="BR229" s="697"/>
      <c r="BS229" s="697"/>
      <c r="BT229" s="697"/>
      <c r="BU229" s="697"/>
      <c r="BV229" s="697"/>
      <c r="BW229" s="697"/>
      <c r="BX229" s="697"/>
      <c r="BY229" s="697"/>
      <c r="BZ229" s="697"/>
      <c r="CA229" s="697"/>
      <c r="CB229" s="697"/>
      <c r="CC229" s="697"/>
      <c r="CD229" s="697"/>
      <c r="CE229" s="697"/>
      <c r="CF229" s="697"/>
      <c r="CG229" s="697"/>
      <c r="CH229" s="697"/>
      <c r="CI229" s="697"/>
      <c r="CJ229" s="697"/>
      <c r="CK229" s="697"/>
      <c r="CL229" s="697"/>
      <c r="CM229" s="697"/>
      <c r="CN229" s="697"/>
      <c r="CO229" s="697"/>
      <c r="CP229" s="697"/>
      <c r="CQ229" s="697"/>
      <c r="CR229" s="697"/>
      <c r="CS229" s="697"/>
      <c r="CT229" s="697"/>
      <c r="CU229" s="697"/>
      <c r="CV229" s="697"/>
      <c r="CW229" s="697"/>
      <c r="CX229" s="697"/>
      <c r="CY229" s="697"/>
      <c r="CZ229" s="697"/>
      <c r="DA229" s="697"/>
      <c r="DB229" s="697"/>
    </row>
    <row r="230" spans="1:106" hidden="1" outlineLevel="1" x14ac:dyDescent="0.2">
      <c r="A230" s="709">
        <f t="shared" si="59"/>
        <v>38078</v>
      </c>
      <c r="B230" s="709" t="str">
        <f t="shared" si="60"/>
        <v>2Q04</v>
      </c>
      <c r="C230" s="709" t="str">
        <f t="shared" si="61"/>
        <v>2Q04</v>
      </c>
      <c r="D230" s="710">
        <f t="shared" si="66"/>
        <v>38160</v>
      </c>
      <c r="E230" s="710">
        <f t="shared" si="66"/>
        <v>38100</v>
      </c>
      <c r="F230" s="712">
        <v>37.32</v>
      </c>
      <c r="G230" s="713">
        <f t="shared" si="62"/>
        <v>1.4900000000000011</v>
      </c>
      <c r="H230" s="713">
        <f t="shared" si="63"/>
        <v>1.4900000000000011</v>
      </c>
      <c r="I230" s="697"/>
      <c r="J230" s="697"/>
      <c r="K230" s="697"/>
      <c r="L230" s="697"/>
      <c r="M230" s="697"/>
      <c r="N230" s="697"/>
      <c r="O230" s="697"/>
      <c r="P230" s="697"/>
      <c r="Q230" s="697"/>
      <c r="R230" s="697"/>
      <c r="S230" s="697"/>
      <c r="T230" s="697"/>
      <c r="U230" s="697"/>
      <c r="V230" s="697"/>
      <c r="W230" s="697"/>
      <c r="X230" s="697"/>
      <c r="Y230" s="697"/>
      <c r="Z230" s="697"/>
      <c r="AA230" s="697"/>
      <c r="AB230" s="697"/>
      <c r="AC230" s="697"/>
      <c r="AD230" s="697"/>
      <c r="AE230" s="697"/>
      <c r="AF230" s="697"/>
      <c r="AG230" s="697"/>
      <c r="AH230" s="697"/>
      <c r="AI230" s="697"/>
      <c r="AJ230" s="697"/>
      <c r="AK230" s="697"/>
      <c r="AL230" s="697"/>
      <c r="AM230" s="697"/>
      <c r="AN230" s="697"/>
      <c r="AO230" s="697"/>
      <c r="AP230" s="697"/>
      <c r="AQ230" s="697"/>
      <c r="AR230" s="697"/>
      <c r="AS230" s="697"/>
      <c r="AT230" s="697"/>
      <c r="AU230" s="697"/>
      <c r="AV230" s="697"/>
      <c r="AW230" s="697"/>
      <c r="AX230" s="697"/>
      <c r="AY230" s="697"/>
      <c r="AZ230" s="697"/>
      <c r="BA230" s="697"/>
      <c r="BB230" s="697"/>
      <c r="BC230" s="697"/>
      <c r="BD230" s="697"/>
      <c r="BE230" s="697"/>
      <c r="BF230" s="697"/>
      <c r="BG230" s="697"/>
      <c r="BH230" s="697"/>
      <c r="BI230" s="697"/>
      <c r="BJ230" s="697"/>
      <c r="BK230" s="697"/>
      <c r="BL230" s="697"/>
      <c r="BM230" s="697"/>
      <c r="BN230" s="697"/>
      <c r="BO230" s="697"/>
      <c r="BP230" s="697"/>
      <c r="BQ230" s="697"/>
      <c r="BR230" s="697"/>
      <c r="BS230" s="697"/>
      <c r="BT230" s="697"/>
      <c r="BU230" s="697"/>
      <c r="BV230" s="697"/>
      <c r="BW230" s="697"/>
      <c r="BX230" s="697"/>
      <c r="BY230" s="697"/>
      <c r="BZ230" s="697"/>
      <c r="CA230" s="697"/>
      <c r="CB230" s="697"/>
      <c r="CC230" s="697"/>
      <c r="CD230" s="697"/>
      <c r="CE230" s="697"/>
      <c r="CF230" s="697"/>
      <c r="CG230" s="697"/>
      <c r="CH230" s="697"/>
      <c r="CI230" s="697"/>
      <c r="CJ230" s="697"/>
      <c r="CK230" s="697"/>
      <c r="CL230" s="697"/>
      <c r="CM230" s="697"/>
      <c r="CN230" s="697"/>
      <c r="CO230" s="697"/>
      <c r="CP230" s="697"/>
      <c r="CQ230" s="697"/>
      <c r="CR230" s="697"/>
      <c r="CS230" s="697"/>
      <c r="CT230" s="697"/>
      <c r="CU230" s="697"/>
      <c r="CV230" s="697"/>
      <c r="CW230" s="697"/>
      <c r="CX230" s="697"/>
      <c r="CY230" s="697"/>
      <c r="CZ230" s="697"/>
      <c r="DA230" s="697"/>
      <c r="DB230" s="697"/>
    </row>
    <row r="231" spans="1:106" hidden="1" outlineLevel="1" x14ac:dyDescent="0.2">
      <c r="A231" s="709">
        <f t="shared" si="59"/>
        <v>38078</v>
      </c>
      <c r="B231" s="709" t="str">
        <f t="shared" si="60"/>
        <v>2Q04</v>
      </c>
      <c r="C231" s="709" t="str">
        <f t="shared" si="61"/>
        <v>2Q04</v>
      </c>
      <c r="D231" s="710">
        <f t="shared" si="66"/>
        <v>38167</v>
      </c>
      <c r="E231" s="710">
        <f t="shared" si="66"/>
        <v>38107</v>
      </c>
      <c r="F231" s="712">
        <v>37.31</v>
      </c>
      <c r="G231" s="713">
        <f t="shared" si="62"/>
        <v>1.4900000000000011</v>
      </c>
      <c r="H231" s="713">
        <f t="shared" si="63"/>
        <v>1.4900000000000011</v>
      </c>
      <c r="I231" s="697"/>
      <c r="J231" s="697"/>
      <c r="K231" s="697"/>
      <c r="L231" s="697"/>
      <c r="M231" s="697"/>
      <c r="N231" s="697"/>
      <c r="O231" s="697"/>
      <c r="P231" s="697"/>
      <c r="Q231" s="697"/>
      <c r="R231" s="697"/>
      <c r="S231" s="697"/>
      <c r="T231" s="697"/>
      <c r="U231" s="697"/>
      <c r="V231" s="697"/>
      <c r="W231" s="697"/>
      <c r="X231" s="697"/>
      <c r="Y231" s="697"/>
      <c r="Z231" s="697"/>
      <c r="AA231" s="697"/>
      <c r="AB231" s="697"/>
      <c r="AC231" s="697"/>
      <c r="AD231" s="697"/>
      <c r="AE231" s="697"/>
      <c r="AF231" s="697"/>
      <c r="AG231" s="697"/>
      <c r="AH231" s="697"/>
      <c r="AI231" s="697"/>
      <c r="AJ231" s="697"/>
      <c r="AK231" s="697"/>
      <c r="AL231" s="697"/>
      <c r="AM231" s="697"/>
      <c r="AN231" s="697"/>
      <c r="AO231" s="697"/>
      <c r="AP231" s="697"/>
      <c r="AQ231" s="697"/>
      <c r="AR231" s="697"/>
      <c r="AS231" s="697"/>
      <c r="AT231" s="697"/>
      <c r="AU231" s="697"/>
      <c r="AV231" s="697"/>
      <c r="AW231" s="697"/>
      <c r="AX231" s="697"/>
      <c r="AY231" s="697"/>
      <c r="AZ231" s="697"/>
      <c r="BA231" s="697"/>
      <c r="BB231" s="697"/>
      <c r="BC231" s="697"/>
      <c r="BD231" s="697"/>
      <c r="BE231" s="697"/>
      <c r="BF231" s="697"/>
      <c r="BG231" s="697"/>
      <c r="BH231" s="697"/>
      <c r="BI231" s="697"/>
      <c r="BJ231" s="697"/>
      <c r="BK231" s="697"/>
      <c r="BL231" s="697"/>
      <c r="BM231" s="697"/>
      <c r="BN231" s="697"/>
      <c r="BO231" s="697"/>
      <c r="BP231" s="697"/>
      <c r="BQ231" s="697"/>
      <c r="BR231" s="697"/>
      <c r="BS231" s="697"/>
      <c r="BT231" s="697"/>
      <c r="BU231" s="697"/>
      <c r="BV231" s="697"/>
      <c r="BW231" s="697"/>
      <c r="BX231" s="697"/>
      <c r="BY231" s="697"/>
      <c r="BZ231" s="697"/>
      <c r="CA231" s="697"/>
      <c r="CB231" s="697"/>
      <c r="CC231" s="697"/>
      <c r="CD231" s="697"/>
      <c r="CE231" s="697"/>
      <c r="CF231" s="697"/>
      <c r="CG231" s="697"/>
      <c r="CH231" s="697"/>
      <c r="CI231" s="697"/>
      <c r="CJ231" s="697"/>
      <c r="CK231" s="697"/>
      <c r="CL231" s="697"/>
      <c r="CM231" s="697"/>
      <c r="CN231" s="697"/>
      <c r="CO231" s="697"/>
      <c r="CP231" s="697"/>
      <c r="CQ231" s="697"/>
      <c r="CR231" s="697"/>
      <c r="CS231" s="697"/>
      <c r="CT231" s="697"/>
      <c r="CU231" s="697"/>
      <c r="CV231" s="697"/>
      <c r="CW231" s="697"/>
      <c r="CX231" s="697"/>
      <c r="CY231" s="697"/>
      <c r="CZ231" s="697"/>
      <c r="DA231" s="697"/>
      <c r="DB231" s="697"/>
    </row>
    <row r="232" spans="1:106" hidden="1" outlineLevel="1" x14ac:dyDescent="0.2">
      <c r="A232" s="709">
        <f t="shared" si="59"/>
        <v>38108</v>
      </c>
      <c r="B232" s="709" t="str">
        <f t="shared" si="60"/>
        <v>2Q04</v>
      </c>
      <c r="C232" s="709" t="str">
        <f t="shared" si="61"/>
        <v>3Q04</v>
      </c>
      <c r="D232" s="710">
        <f t="shared" si="66"/>
        <v>38174</v>
      </c>
      <c r="E232" s="710">
        <f t="shared" si="66"/>
        <v>38114</v>
      </c>
      <c r="F232" s="712">
        <v>39.24</v>
      </c>
      <c r="G232" s="713">
        <f t="shared" si="62"/>
        <v>1.4900000000000011</v>
      </c>
      <c r="H232" s="713">
        <f t="shared" si="63"/>
        <v>1.4900000000000011</v>
      </c>
      <c r="I232" s="697"/>
      <c r="J232" s="697"/>
      <c r="K232" s="697"/>
      <c r="L232" s="697"/>
      <c r="M232" s="697"/>
      <c r="N232" s="697"/>
      <c r="O232" s="697"/>
      <c r="P232" s="697"/>
      <c r="Q232" s="697"/>
      <c r="R232" s="697"/>
      <c r="S232" s="697"/>
      <c r="T232" s="697"/>
      <c r="U232" s="697"/>
      <c r="V232" s="697"/>
      <c r="W232" s="697"/>
      <c r="X232" s="697"/>
      <c r="Y232" s="697"/>
      <c r="Z232" s="697"/>
      <c r="AA232" s="697"/>
      <c r="AB232" s="697"/>
      <c r="AC232" s="697"/>
      <c r="AD232" s="697"/>
      <c r="AE232" s="697"/>
      <c r="AF232" s="697"/>
      <c r="AG232" s="697"/>
      <c r="AH232" s="697"/>
      <c r="AI232" s="697"/>
      <c r="AJ232" s="697"/>
      <c r="AK232" s="697"/>
      <c r="AL232" s="697"/>
      <c r="AM232" s="697"/>
      <c r="AN232" s="697"/>
      <c r="AO232" s="697"/>
      <c r="AP232" s="697"/>
      <c r="AQ232" s="697"/>
      <c r="AR232" s="697"/>
      <c r="AS232" s="697"/>
      <c r="AT232" s="697"/>
      <c r="AU232" s="697"/>
      <c r="AV232" s="697"/>
      <c r="AW232" s="697"/>
      <c r="AX232" s="697"/>
      <c r="AY232" s="697"/>
      <c r="AZ232" s="697"/>
      <c r="BA232" s="697"/>
      <c r="BB232" s="697"/>
      <c r="BC232" s="697"/>
      <c r="BD232" s="697"/>
      <c r="BE232" s="697"/>
      <c r="BF232" s="697"/>
      <c r="BG232" s="697"/>
      <c r="BH232" s="697"/>
      <c r="BI232" s="697"/>
      <c r="BJ232" s="697"/>
      <c r="BK232" s="697"/>
      <c r="BL232" s="697"/>
      <c r="BM232" s="697"/>
      <c r="BN232" s="697"/>
      <c r="BO232" s="697"/>
      <c r="BP232" s="697"/>
      <c r="BQ232" s="697"/>
      <c r="BR232" s="697"/>
      <c r="BS232" s="697"/>
      <c r="BT232" s="697"/>
      <c r="BU232" s="697"/>
      <c r="BV232" s="697"/>
      <c r="BW232" s="697"/>
      <c r="BX232" s="697"/>
      <c r="BY232" s="697"/>
      <c r="BZ232" s="697"/>
      <c r="CA232" s="697"/>
      <c r="CB232" s="697"/>
      <c r="CC232" s="697"/>
      <c r="CD232" s="697"/>
      <c r="CE232" s="697"/>
      <c r="CF232" s="697"/>
      <c r="CG232" s="697"/>
      <c r="CH232" s="697"/>
      <c r="CI232" s="697"/>
      <c r="CJ232" s="697"/>
      <c r="CK232" s="697"/>
      <c r="CL232" s="697"/>
      <c r="CM232" s="697"/>
      <c r="CN232" s="697"/>
      <c r="CO232" s="697"/>
      <c r="CP232" s="697"/>
      <c r="CQ232" s="697"/>
      <c r="CR232" s="697"/>
      <c r="CS232" s="697"/>
      <c r="CT232" s="697"/>
      <c r="CU232" s="697"/>
      <c r="CV232" s="697"/>
      <c r="CW232" s="697"/>
      <c r="CX232" s="697"/>
      <c r="CY232" s="697"/>
      <c r="CZ232" s="697"/>
      <c r="DA232" s="697"/>
      <c r="DB232" s="697"/>
    </row>
    <row r="233" spans="1:106" hidden="1" outlineLevel="1" x14ac:dyDescent="0.2">
      <c r="A233" s="709">
        <f t="shared" si="59"/>
        <v>38108</v>
      </c>
      <c r="B233" s="709" t="str">
        <f t="shared" si="60"/>
        <v>2Q04</v>
      </c>
      <c r="C233" s="709" t="str">
        <f t="shared" si="61"/>
        <v>3Q04</v>
      </c>
      <c r="D233" s="710">
        <f t="shared" si="66"/>
        <v>38181</v>
      </c>
      <c r="E233" s="710">
        <f t="shared" si="66"/>
        <v>38121</v>
      </c>
      <c r="F233" s="712">
        <v>40.369999999999997</v>
      </c>
      <c r="G233" s="713">
        <f t="shared" si="62"/>
        <v>1.4900000000000011</v>
      </c>
      <c r="H233" s="713">
        <f t="shared" si="63"/>
        <v>1.4900000000000011</v>
      </c>
      <c r="I233" s="697"/>
      <c r="J233" s="697"/>
      <c r="K233" s="697"/>
      <c r="L233" s="697"/>
      <c r="M233" s="697"/>
      <c r="N233" s="697"/>
      <c r="O233" s="697"/>
      <c r="P233" s="697"/>
      <c r="Q233" s="697"/>
      <c r="R233" s="697"/>
      <c r="S233" s="697"/>
      <c r="T233" s="697"/>
      <c r="U233" s="697"/>
      <c r="V233" s="697"/>
      <c r="W233" s="697"/>
      <c r="X233" s="697"/>
      <c r="Y233" s="697"/>
      <c r="Z233" s="697"/>
      <c r="AA233" s="697"/>
      <c r="AB233" s="697"/>
      <c r="AC233" s="697"/>
      <c r="AD233" s="697"/>
      <c r="AE233" s="697"/>
      <c r="AF233" s="697"/>
      <c r="AG233" s="697"/>
      <c r="AH233" s="697"/>
      <c r="AI233" s="697"/>
      <c r="AJ233" s="697"/>
      <c r="AK233" s="697"/>
      <c r="AL233" s="697"/>
      <c r="AM233" s="697"/>
      <c r="AN233" s="697"/>
      <c r="AO233" s="697"/>
      <c r="AP233" s="697"/>
      <c r="AQ233" s="697"/>
      <c r="AR233" s="697"/>
      <c r="AS233" s="697"/>
      <c r="AT233" s="697"/>
      <c r="AU233" s="697"/>
      <c r="AV233" s="697"/>
      <c r="AW233" s="697"/>
      <c r="AX233" s="697"/>
      <c r="AY233" s="697"/>
      <c r="AZ233" s="697"/>
      <c r="BA233" s="697"/>
      <c r="BB233" s="697"/>
      <c r="BC233" s="697"/>
      <c r="BD233" s="697"/>
      <c r="BE233" s="697"/>
      <c r="BF233" s="697"/>
      <c r="BG233" s="697"/>
      <c r="BH233" s="697"/>
      <c r="BI233" s="697"/>
      <c r="BJ233" s="697"/>
      <c r="BK233" s="697"/>
      <c r="BL233" s="697"/>
      <c r="BM233" s="697"/>
      <c r="BN233" s="697"/>
      <c r="BO233" s="697"/>
      <c r="BP233" s="697"/>
      <c r="BQ233" s="697"/>
      <c r="BR233" s="697"/>
      <c r="BS233" s="697"/>
      <c r="BT233" s="697"/>
      <c r="BU233" s="697"/>
      <c r="BV233" s="697"/>
      <c r="BW233" s="697"/>
      <c r="BX233" s="697"/>
      <c r="BY233" s="697"/>
      <c r="BZ233" s="697"/>
      <c r="CA233" s="697"/>
      <c r="CB233" s="697"/>
      <c r="CC233" s="697"/>
      <c r="CD233" s="697"/>
      <c r="CE233" s="697"/>
      <c r="CF233" s="697"/>
      <c r="CG233" s="697"/>
      <c r="CH233" s="697"/>
      <c r="CI233" s="697"/>
      <c r="CJ233" s="697"/>
      <c r="CK233" s="697"/>
      <c r="CL233" s="697"/>
      <c r="CM233" s="697"/>
      <c r="CN233" s="697"/>
      <c r="CO233" s="697"/>
      <c r="CP233" s="697"/>
      <c r="CQ233" s="697"/>
      <c r="CR233" s="697"/>
      <c r="CS233" s="697"/>
      <c r="CT233" s="697"/>
      <c r="CU233" s="697"/>
      <c r="CV233" s="697"/>
      <c r="CW233" s="697"/>
      <c r="CX233" s="697"/>
      <c r="CY233" s="697"/>
      <c r="CZ233" s="697"/>
      <c r="DA233" s="697"/>
      <c r="DB233" s="697"/>
    </row>
    <row r="234" spans="1:106" hidden="1" outlineLevel="1" x14ac:dyDescent="0.2">
      <c r="A234" s="709">
        <f t="shared" si="59"/>
        <v>38108</v>
      </c>
      <c r="B234" s="709" t="str">
        <f t="shared" si="60"/>
        <v>2Q04</v>
      </c>
      <c r="C234" s="709" t="str">
        <f t="shared" si="61"/>
        <v>3Q04</v>
      </c>
      <c r="D234" s="710">
        <f t="shared" si="66"/>
        <v>38188</v>
      </c>
      <c r="E234" s="710">
        <f t="shared" si="66"/>
        <v>38128</v>
      </c>
      <c r="F234" s="712">
        <v>40.840000000000003</v>
      </c>
      <c r="G234" s="713">
        <f t="shared" si="62"/>
        <v>1.4900000000000011</v>
      </c>
      <c r="H234" s="713">
        <f t="shared" si="63"/>
        <v>1.4900000000000011</v>
      </c>
      <c r="I234" s="697"/>
      <c r="J234" s="697"/>
      <c r="K234" s="697"/>
      <c r="L234" s="697"/>
      <c r="M234" s="697"/>
      <c r="N234" s="697"/>
      <c r="O234" s="697"/>
      <c r="P234" s="697"/>
      <c r="Q234" s="697"/>
      <c r="R234" s="697"/>
      <c r="S234" s="697"/>
      <c r="T234" s="697"/>
      <c r="U234" s="697"/>
      <c r="V234" s="697"/>
      <c r="W234" s="697"/>
      <c r="X234" s="697"/>
      <c r="Y234" s="697"/>
      <c r="Z234" s="697"/>
      <c r="AA234" s="697"/>
      <c r="AB234" s="697"/>
      <c r="AC234" s="697"/>
      <c r="AD234" s="697"/>
      <c r="AE234" s="697"/>
      <c r="AF234" s="697"/>
      <c r="AG234" s="697"/>
      <c r="AH234" s="697"/>
      <c r="AI234" s="697"/>
      <c r="AJ234" s="697"/>
      <c r="AK234" s="697"/>
      <c r="AL234" s="697"/>
      <c r="AM234" s="697"/>
      <c r="AN234" s="697"/>
      <c r="AO234" s="697"/>
      <c r="AP234" s="697"/>
      <c r="AQ234" s="697"/>
      <c r="AR234" s="697"/>
      <c r="AS234" s="697"/>
      <c r="AT234" s="697"/>
      <c r="AU234" s="697"/>
      <c r="AV234" s="697"/>
      <c r="AW234" s="697"/>
      <c r="AX234" s="697"/>
      <c r="AY234" s="697"/>
      <c r="AZ234" s="697"/>
      <c r="BA234" s="697"/>
      <c r="BB234" s="697"/>
      <c r="BC234" s="697"/>
      <c r="BD234" s="697"/>
      <c r="BE234" s="697"/>
      <c r="BF234" s="697"/>
      <c r="BG234" s="697"/>
      <c r="BH234" s="697"/>
      <c r="BI234" s="697"/>
      <c r="BJ234" s="697"/>
      <c r="BK234" s="697"/>
      <c r="BL234" s="697"/>
      <c r="BM234" s="697"/>
      <c r="BN234" s="697"/>
      <c r="BO234" s="697"/>
      <c r="BP234" s="697"/>
      <c r="BQ234" s="697"/>
      <c r="BR234" s="697"/>
      <c r="BS234" s="697"/>
      <c r="BT234" s="697"/>
      <c r="BU234" s="697"/>
      <c r="BV234" s="697"/>
      <c r="BW234" s="697"/>
      <c r="BX234" s="697"/>
      <c r="BY234" s="697"/>
      <c r="BZ234" s="697"/>
      <c r="CA234" s="697"/>
      <c r="CB234" s="697"/>
      <c r="CC234" s="697"/>
      <c r="CD234" s="697"/>
      <c r="CE234" s="697"/>
      <c r="CF234" s="697"/>
      <c r="CG234" s="697"/>
      <c r="CH234" s="697"/>
      <c r="CI234" s="697"/>
      <c r="CJ234" s="697"/>
      <c r="CK234" s="697"/>
      <c r="CL234" s="697"/>
      <c r="CM234" s="697"/>
      <c r="CN234" s="697"/>
      <c r="CO234" s="697"/>
      <c r="CP234" s="697"/>
      <c r="CQ234" s="697"/>
      <c r="CR234" s="697"/>
      <c r="CS234" s="697"/>
      <c r="CT234" s="697"/>
      <c r="CU234" s="697"/>
      <c r="CV234" s="697"/>
      <c r="CW234" s="697"/>
      <c r="CX234" s="697"/>
      <c r="CY234" s="697"/>
      <c r="CZ234" s="697"/>
      <c r="DA234" s="697"/>
      <c r="DB234" s="697"/>
    </row>
    <row r="235" spans="1:106" hidden="1" outlineLevel="1" x14ac:dyDescent="0.2">
      <c r="A235" s="709">
        <f t="shared" si="59"/>
        <v>38108</v>
      </c>
      <c r="B235" s="709" t="str">
        <f t="shared" si="60"/>
        <v>2Q04</v>
      </c>
      <c r="C235" s="709" t="str">
        <f t="shared" si="61"/>
        <v>3Q04</v>
      </c>
      <c r="D235" s="710">
        <f t="shared" si="66"/>
        <v>38195</v>
      </c>
      <c r="E235" s="710">
        <f t="shared" si="66"/>
        <v>38135</v>
      </c>
      <c r="F235" s="712">
        <v>40.65</v>
      </c>
      <c r="G235" s="713">
        <f t="shared" si="62"/>
        <v>1.4900000000000011</v>
      </c>
      <c r="H235" s="713">
        <f t="shared" si="63"/>
        <v>1.4900000000000011</v>
      </c>
      <c r="I235" s="697"/>
      <c r="J235" s="697"/>
      <c r="K235" s="697"/>
      <c r="L235" s="697"/>
      <c r="M235" s="697"/>
      <c r="N235" s="697"/>
      <c r="O235" s="697"/>
      <c r="P235" s="697"/>
      <c r="Q235" s="697"/>
      <c r="R235" s="697"/>
      <c r="S235" s="697"/>
      <c r="T235" s="697"/>
      <c r="U235" s="697"/>
      <c r="V235" s="697"/>
      <c r="W235" s="697"/>
      <c r="X235" s="697"/>
      <c r="Y235" s="697"/>
      <c r="Z235" s="697"/>
      <c r="AA235" s="697"/>
      <c r="AB235" s="697"/>
      <c r="AC235" s="697"/>
      <c r="AD235" s="697"/>
      <c r="AE235" s="697"/>
      <c r="AF235" s="697"/>
      <c r="AG235" s="697"/>
      <c r="AH235" s="697"/>
      <c r="AI235" s="697"/>
      <c r="AJ235" s="697"/>
      <c r="AK235" s="697"/>
      <c r="AL235" s="697"/>
      <c r="AM235" s="697"/>
      <c r="AN235" s="697"/>
      <c r="AO235" s="697"/>
      <c r="AP235" s="697"/>
      <c r="AQ235" s="697"/>
      <c r="AR235" s="697"/>
      <c r="AS235" s="697"/>
      <c r="AT235" s="697"/>
      <c r="AU235" s="697"/>
      <c r="AV235" s="697"/>
      <c r="AW235" s="697"/>
      <c r="AX235" s="697"/>
      <c r="AY235" s="697"/>
      <c r="AZ235" s="697"/>
      <c r="BA235" s="697"/>
      <c r="BB235" s="697"/>
      <c r="BC235" s="697"/>
      <c r="BD235" s="697"/>
      <c r="BE235" s="697"/>
      <c r="BF235" s="697"/>
      <c r="BG235" s="697"/>
      <c r="BH235" s="697"/>
      <c r="BI235" s="697"/>
      <c r="BJ235" s="697"/>
      <c r="BK235" s="697"/>
      <c r="BL235" s="697"/>
      <c r="BM235" s="697"/>
      <c r="BN235" s="697"/>
      <c r="BO235" s="697"/>
      <c r="BP235" s="697"/>
      <c r="BQ235" s="697"/>
      <c r="BR235" s="697"/>
      <c r="BS235" s="697"/>
      <c r="BT235" s="697"/>
      <c r="BU235" s="697"/>
      <c r="BV235" s="697"/>
      <c r="BW235" s="697"/>
      <c r="BX235" s="697"/>
      <c r="BY235" s="697"/>
      <c r="BZ235" s="697"/>
      <c r="CA235" s="697"/>
      <c r="CB235" s="697"/>
      <c r="CC235" s="697"/>
      <c r="CD235" s="697"/>
      <c r="CE235" s="697"/>
      <c r="CF235" s="697"/>
      <c r="CG235" s="697"/>
      <c r="CH235" s="697"/>
      <c r="CI235" s="697"/>
      <c r="CJ235" s="697"/>
      <c r="CK235" s="697"/>
      <c r="CL235" s="697"/>
      <c r="CM235" s="697"/>
      <c r="CN235" s="697"/>
      <c r="CO235" s="697"/>
      <c r="CP235" s="697"/>
      <c r="CQ235" s="697"/>
      <c r="CR235" s="697"/>
      <c r="CS235" s="697"/>
      <c r="CT235" s="697"/>
      <c r="CU235" s="697"/>
      <c r="CV235" s="697"/>
      <c r="CW235" s="697"/>
      <c r="CX235" s="697"/>
      <c r="CY235" s="697"/>
      <c r="CZ235" s="697"/>
      <c r="DA235" s="697"/>
      <c r="DB235" s="697"/>
    </row>
    <row r="236" spans="1:106" hidden="1" outlineLevel="1" x14ac:dyDescent="0.2">
      <c r="A236" s="709">
        <f t="shared" si="59"/>
        <v>38139</v>
      </c>
      <c r="B236" s="709" t="str">
        <f t="shared" si="60"/>
        <v>2Q04</v>
      </c>
      <c r="C236" s="709" t="str">
        <f t="shared" si="61"/>
        <v>3Q04</v>
      </c>
      <c r="D236" s="710">
        <f t="shared" si="66"/>
        <v>38202</v>
      </c>
      <c r="E236" s="710">
        <f t="shared" si="66"/>
        <v>38142</v>
      </c>
      <c r="F236" s="712">
        <v>40.01</v>
      </c>
      <c r="G236" s="713">
        <f t="shared" si="62"/>
        <v>1.4900000000000011</v>
      </c>
      <c r="H236" s="713">
        <f t="shared" si="63"/>
        <v>1.4900000000000011</v>
      </c>
      <c r="I236" s="697"/>
      <c r="J236" s="697"/>
      <c r="K236" s="697"/>
      <c r="L236" s="697"/>
      <c r="M236" s="697"/>
      <c r="N236" s="697"/>
      <c r="O236" s="697"/>
      <c r="P236" s="697"/>
      <c r="Q236" s="697"/>
      <c r="R236" s="697"/>
      <c r="S236" s="697"/>
      <c r="T236" s="697"/>
      <c r="U236" s="697"/>
      <c r="V236" s="697"/>
      <c r="W236" s="697"/>
      <c r="X236" s="697"/>
      <c r="Y236" s="697"/>
      <c r="Z236" s="697"/>
      <c r="AA236" s="697"/>
      <c r="AB236" s="697"/>
      <c r="AC236" s="697"/>
      <c r="AD236" s="697"/>
      <c r="AE236" s="697"/>
      <c r="AF236" s="697"/>
      <c r="AG236" s="697"/>
      <c r="AH236" s="697"/>
      <c r="AI236" s="697"/>
      <c r="AJ236" s="697"/>
      <c r="AK236" s="697"/>
      <c r="AL236" s="697"/>
      <c r="AM236" s="697"/>
      <c r="AN236" s="697"/>
      <c r="AO236" s="697"/>
      <c r="AP236" s="697"/>
      <c r="AQ236" s="697"/>
      <c r="AR236" s="697"/>
      <c r="AS236" s="697"/>
      <c r="AT236" s="697"/>
      <c r="AU236" s="697"/>
      <c r="AV236" s="697"/>
      <c r="AW236" s="697"/>
      <c r="AX236" s="697"/>
      <c r="AY236" s="697"/>
      <c r="AZ236" s="697"/>
      <c r="BA236" s="697"/>
      <c r="BB236" s="697"/>
      <c r="BC236" s="697"/>
      <c r="BD236" s="697"/>
      <c r="BE236" s="697"/>
      <c r="BF236" s="697"/>
      <c r="BG236" s="697"/>
      <c r="BH236" s="697"/>
      <c r="BI236" s="697"/>
      <c r="BJ236" s="697"/>
      <c r="BK236" s="697"/>
      <c r="BL236" s="697"/>
      <c r="BM236" s="697"/>
      <c r="BN236" s="697"/>
      <c r="BO236" s="697"/>
      <c r="BP236" s="697"/>
      <c r="BQ236" s="697"/>
      <c r="BR236" s="697"/>
      <c r="BS236" s="697"/>
      <c r="BT236" s="697"/>
      <c r="BU236" s="697"/>
      <c r="BV236" s="697"/>
      <c r="BW236" s="697"/>
      <c r="BX236" s="697"/>
      <c r="BY236" s="697"/>
      <c r="BZ236" s="697"/>
      <c r="CA236" s="697"/>
      <c r="CB236" s="697"/>
      <c r="CC236" s="697"/>
      <c r="CD236" s="697"/>
      <c r="CE236" s="697"/>
      <c r="CF236" s="697"/>
      <c r="CG236" s="697"/>
      <c r="CH236" s="697"/>
      <c r="CI236" s="697"/>
      <c r="CJ236" s="697"/>
      <c r="CK236" s="697"/>
      <c r="CL236" s="697"/>
      <c r="CM236" s="697"/>
      <c r="CN236" s="697"/>
      <c r="CO236" s="697"/>
      <c r="CP236" s="697"/>
      <c r="CQ236" s="697"/>
      <c r="CR236" s="697"/>
      <c r="CS236" s="697"/>
      <c r="CT236" s="697"/>
      <c r="CU236" s="697"/>
      <c r="CV236" s="697"/>
      <c r="CW236" s="697"/>
      <c r="CX236" s="697"/>
      <c r="CY236" s="697"/>
      <c r="CZ236" s="697"/>
      <c r="DA236" s="697"/>
      <c r="DB236" s="697"/>
    </row>
    <row r="237" spans="1:106" hidden="1" outlineLevel="1" x14ac:dyDescent="0.2">
      <c r="A237" s="709">
        <f t="shared" si="59"/>
        <v>38139</v>
      </c>
      <c r="B237" s="709" t="str">
        <f t="shared" si="60"/>
        <v>2Q04</v>
      </c>
      <c r="C237" s="709" t="str">
        <f t="shared" si="61"/>
        <v>3Q04</v>
      </c>
      <c r="D237" s="710">
        <f t="shared" si="66"/>
        <v>38209</v>
      </c>
      <c r="E237" s="710">
        <f t="shared" si="66"/>
        <v>38149</v>
      </c>
      <c r="F237" s="712">
        <v>37.99</v>
      </c>
      <c r="G237" s="713">
        <f t="shared" si="62"/>
        <v>1.4900000000000011</v>
      </c>
      <c r="H237" s="713">
        <f t="shared" si="63"/>
        <v>1.4900000000000011</v>
      </c>
      <c r="I237" s="697"/>
      <c r="J237" s="697"/>
      <c r="K237" s="697"/>
      <c r="L237" s="697"/>
      <c r="M237" s="697"/>
      <c r="N237" s="697"/>
      <c r="O237" s="697"/>
      <c r="P237" s="697"/>
      <c r="Q237" s="697"/>
      <c r="R237" s="697"/>
      <c r="S237" s="697"/>
      <c r="T237" s="697"/>
      <c r="U237" s="697"/>
      <c r="V237" s="697"/>
      <c r="W237" s="697"/>
      <c r="X237" s="697"/>
      <c r="Y237" s="697"/>
      <c r="Z237" s="697"/>
      <c r="AA237" s="697"/>
      <c r="AB237" s="697"/>
      <c r="AC237" s="697"/>
      <c r="AD237" s="697"/>
      <c r="AE237" s="697"/>
      <c r="AF237" s="697"/>
      <c r="AG237" s="697"/>
      <c r="AH237" s="697"/>
      <c r="AI237" s="697"/>
      <c r="AJ237" s="697"/>
      <c r="AK237" s="697"/>
      <c r="AL237" s="697"/>
      <c r="AM237" s="697"/>
      <c r="AN237" s="697"/>
      <c r="AO237" s="697"/>
      <c r="AP237" s="697"/>
      <c r="AQ237" s="697"/>
      <c r="AR237" s="697"/>
      <c r="AS237" s="697"/>
      <c r="AT237" s="697"/>
      <c r="AU237" s="697"/>
      <c r="AV237" s="697"/>
      <c r="AW237" s="697"/>
      <c r="AX237" s="697"/>
      <c r="AY237" s="697"/>
      <c r="AZ237" s="697"/>
      <c r="BA237" s="697"/>
      <c r="BB237" s="697"/>
      <c r="BC237" s="697"/>
      <c r="BD237" s="697"/>
      <c r="BE237" s="697"/>
      <c r="BF237" s="697"/>
      <c r="BG237" s="697"/>
      <c r="BH237" s="697"/>
      <c r="BI237" s="697"/>
      <c r="BJ237" s="697"/>
      <c r="BK237" s="697"/>
      <c r="BL237" s="697"/>
      <c r="BM237" s="697"/>
      <c r="BN237" s="697"/>
      <c r="BO237" s="697"/>
      <c r="BP237" s="697"/>
      <c r="BQ237" s="697"/>
      <c r="BR237" s="697"/>
      <c r="BS237" s="697"/>
      <c r="BT237" s="697"/>
      <c r="BU237" s="697"/>
      <c r="BV237" s="697"/>
      <c r="BW237" s="697"/>
      <c r="BX237" s="697"/>
      <c r="BY237" s="697"/>
      <c r="BZ237" s="697"/>
      <c r="CA237" s="697"/>
      <c r="CB237" s="697"/>
      <c r="CC237" s="697"/>
      <c r="CD237" s="697"/>
      <c r="CE237" s="697"/>
      <c r="CF237" s="697"/>
      <c r="CG237" s="697"/>
      <c r="CH237" s="697"/>
      <c r="CI237" s="697"/>
      <c r="CJ237" s="697"/>
      <c r="CK237" s="697"/>
      <c r="CL237" s="697"/>
      <c r="CM237" s="697"/>
      <c r="CN237" s="697"/>
      <c r="CO237" s="697"/>
      <c r="CP237" s="697"/>
      <c r="CQ237" s="697"/>
      <c r="CR237" s="697"/>
      <c r="CS237" s="697"/>
      <c r="CT237" s="697"/>
      <c r="CU237" s="697"/>
      <c r="CV237" s="697"/>
      <c r="CW237" s="697"/>
      <c r="CX237" s="697"/>
      <c r="CY237" s="697"/>
      <c r="CZ237" s="697"/>
      <c r="DA237" s="697"/>
      <c r="DB237" s="697"/>
    </row>
    <row r="238" spans="1:106" hidden="1" outlineLevel="1" x14ac:dyDescent="0.2">
      <c r="A238" s="709">
        <f t="shared" si="59"/>
        <v>38139</v>
      </c>
      <c r="B238" s="709" t="str">
        <f t="shared" si="60"/>
        <v>2Q04</v>
      </c>
      <c r="C238" s="709" t="str">
        <f t="shared" si="61"/>
        <v>3Q04</v>
      </c>
      <c r="D238" s="710">
        <f t="shared" si="66"/>
        <v>38216</v>
      </c>
      <c r="E238" s="710">
        <f t="shared" si="66"/>
        <v>38156</v>
      </c>
      <c r="F238" s="712">
        <v>37.86</v>
      </c>
      <c r="G238" s="713">
        <f t="shared" si="62"/>
        <v>1.4900000000000011</v>
      </c>
      <c r="H238" s="713">
        <f t="shared" si="63"/>
        <v>1.4900000000000011</v>
      </c>
      <c r="I238" s="697"/>
      <c r="J238" s="697"/>
      <c r="K238" s="697"/>
      <c r="L238" s="697"/>
      <c r="M238" s="697"/>
      <c r="N238" s="697"/>
      <c r="O238" s="697"/>
      <c r="P238" s="697"/>
      <c r="Q238" s="697"/>
      <c r="R238" s="697"/>
      <c r="S238" s="697"/>
      <c r="T238" s="697"/>
      <c r="U238" s="697"/>
      <c r="V238" s="697"/>
      <c r="W238" s="697"/>
      <c r="X238" s="697"/>
      <c r="Y238" s="697"/>
      <c r="Z238" s="697"/>
      <c r="AA238" s="697"/>
      <c r="AB238" s="697"/>
      <c r="AC238" s="697"/>
      <c r="AD238" s="697"/>
      <c r="AE238" s="697"/>
      <c r="AF238" s="697"/>
      <c r="AG238" s="697"/>
      <c r="AH238" s="697"/>
      <c r="AI238" s="697"/>
      <c r="AJ238" s="697"/>
      <c r="AK238" s="697"/>
      <c r="AL238" s="697"/>
      <c r="AM238" s="697"/>
      <c r="AN238" s="697"/>
      <c r="AO238" s="697"/>
      <c r="AP238" s="697"/>
      <c r="AQ238" s="697"/>
      <c r="AR238" s="697"/>
      <c r="AS238" s="697"/>
      <c r="AT238" s="697"/>
      <c r="AU238" s="697"/>
      <c r="AV238" s="697"/>
      <c r="AW238" s="697"/>
      <c r="AX238" s="697"/>
      <c r="AY238" s="697"/>
      <c r="AZ238" s="697"/>
      <c r="BA238" s="697"/>
      <c r="BB238" s="697"/>
      <c r="BC238" s="697"/>
      <c r="BD238" s="697"/>
      <c r="BE238" s="697"/>
      <c r="BF238" s="697"/>
      <c r="BG238" s="697"/>
      <c r="BH238" s="697"/>
      <c r="BI238" s="697"/>
      <c r="BJ238" s="697"/>
      <c r="BK238" s="697"/>
      <c r="BL238" s="697"/>
      <c r="BM238" s="697"/>
      <c r="BN238" s="697"/>
      <c r="BO238" s="697"/>
      <c r="BP238" s="697"/>
      <c r="BQ238" s="697"/>
      <c r="BR238" s="697"/>
      <c r="BS238" s="697"/>
      <c r="BT238" s="697"/>
      <c r="BU238" s="697"/>
      <c r="BV238" s="697"/>
      <c r="BW238" s="697"/>
      <c r="BX238" s="697"/>
      <c r="BY238" s="697"/>
      <c r="BZ238" s="697"/>
      <c r="CA238" s="697"/>
      <c r="CB238" s="697"/>
      <c r="CC238" s="697"/>
      <c r="CD238" s="697"/>
      <c r="CE238" s="697"/>
      <c r="CF238" s="697"/>
      <c r="CG238" s="697"/>
      <c r="CH238" s="697"/>
      <c r="CI238" s="697"/>
      <c r="CJ238" s="697"/>
      <c r="CK238" s="697"/>
      <c r="CL238" s="697"/>
      <c r="CM238" s="697"/>
      <c r="CN238" s="697"/>
      <c r="CO238" s="697"/>
      <c r="CP238" s="697"/>
      <c r="CQ238" s="697"/>
      <c r="CR238" s="697"/>
      <c r="CS238" s="697"/>
      <c r="CT238" s="697"/>
      <c r="CU238" s="697"/>
      <c r="CV238" s="697"/>
      <c r="CW238" s="697"/>
      <c r="CX238" s="697"/>
      <c r="CY238" s="697"/>
      <c r="CZ238" s="697"/>
      <c r="DA238" s="697"/>
      <c r="DB238" s="697"/>
    </row>
    <row r="239" spans="1:106" hidden="1" outlineLevel="1" x14ac:dyDescent="0.2">
      <c r="A239" s="709">
        <f t="shared" si="59"/>
        <v>38139</v>
      </c>
      <c r="B239" s="709" t="str">
        <f t="shared" si="60"/>
        <v>2Q04</v>
      </c>
      <c r="C239" s="709" t="str">
        <f t="shared" si="61"/>
        <v>3Q04</v>
      </c>
      <c r="D239" s="710">
        <f t="shared" si="66"/>
        <v>38223</v>
      </c>
      <c r="E239" s="710">
        <f t="shared" si="66"/>
        <v>38163</v>
      </c>
      <c r="F239" s="712">
        <v>37.700000000000003</v>
      </c>
      <c r="G239" s="713">
        <f t="shared" si="62"/>
        <v>1.4900000000000011</v>
      </c>
      <c r="H239" s="713">
        <f t="shared" si="63"/>
        <v>1.4900000000000011</v>
      </c>
      <c r="I239" s="697"/>
      <c r="J239" s="697"/>
      <c r="K239" s="697"/>
      <c r="L239" s="697"/>
      <c r="M239" s="697"/>
      <c r="N239" s="697"/>
      <c r="O239" s="697"/>
      <c r="P239" s="697"/>
      <c r="Q239" s="697"/>
      <c r="R239" s="697"/>
      <c r="S239" s="697"/>
      <c r="T239" s="697"/>
      <c r="U239" s="697"/>
      <c r="V239" s="697"/>
      <c r="W239" s="697"/>
      <c r="X239" s="697"/>
      <c r="Y239" s="697"/>
      <c r="Z239" s="697"/>
      <c r="AA239" s="697"/>
      <c r="AB239" s="697"/>
      <c r="AC239" s="697"/>
      <c r="AD239" s="697"/>
      <c r="AE239" s="697"/>
      <c r="AF239" s="697"/>
      <c r="AG239" s="697"/>
      <c r="AH239" s="697"/>
      <c r="AI239" s="697"/>
      <c r="AJ239" s="697"/>
      <c r="AK239" s="697"/>
      <c r="AL239" s="697"/>
      <c r="AM239" s="697"/>
      <c r="AN239" s="697"/>
      <c r="AO239" s="697"/>
      <c r="AP239" s="697"/>
      <c r="AQ239" s="697"/>
      <c r="AR239" s="697"/>
      <c r="AS239" s="697"/>
      <c r="AT239" s="697"/>
      <c r="AU239" s="697"/>
      <c r="AV239" s="697"/>
      <c r="AW239" s="697"/>
      <c r="AX239" s="697"/>
      <c r="AY239" s="697"/>
      <c r="AZ239" s="697"/>
      <c r="BA239" s="697"/>
      <c r="BB239" s="697"/>
      <c r="BC239" s="697"/>
      <c r="BD239" s="697"/>
      <c r="BE239" s="697"/>
      <c r="BF239" s="697"/>
      <c r="BG239" s="697"/>
      <c r="BH239" s="697"/>
      <c r="BI239" s="697"/>
      <c r="BJ239" s="697"/>
      <c r="BK239" s="697"/>
      <c r="BL239" s="697"/>
      <c r="BM239" s="697"/>
      <c r="BN239" s="697"/>
      <c r="BO239" s="697"/>
      <c r="BP239" s="697"/>
      <c r="BQ239" s="697"/>
      <c r="BR239" s="697"/>
      <c r="BS239" s="697"/>
      <c r="BT239" s="697"/>
      <c r="BU239" s="697"/>
      <c r="BV239" s="697"/>
      <c r="BW239" s="697"/>
      <c r="BX239" s="697"/>
      <c r="BY239" s="697"/>
      <c r="BZ239" s="697"/>
      <c r="CA239" s="697"/>
      <c r="CB239" s="697"/>
      <c r="CC239" s="697"/>
      <c r="CD239" s="697"/>
      <c r="CE239" s="697"/>
      <c r="CF239" s="697"/>
      <c r="CG239" s="697"/>
      <c r="CH239" s="697"/>
      <c r="CI239" s="697"/>
      <c r="CJ239" s="697"/>
      <c r="CK239" s="697"/>
      <c r="CL239" s="697"/>
      <c r="CM239" s="697"/>
      <c r="CN239" s="697"/>
      <c r="CO239" s="697"/>
      <c r="CP239" s="697"/>
      <c r="CQ239" s="697"/>
      <c r="CR239" s="697"/>
      <c r="CS239" s="697"/>
      <c r="CT239" s="697"/>
      <c r="CU239" s="697"/>
      <c r="CV239" s="697"/>
      <c r="CW239" s="697"/>
      <c r="CX239" s="697"/>
      <c r="CY239" s="697"/>
      <c r="CZ239" s="697"/>
      <c r="DA239" s="697"/>
      <c r="DB239" s="697"/>
    </row>
    <row r="240" spans="1:106" hidden="1" outlineLevel="1" x14ac:dyDescent="0.2">
      <c r="A240" s="709">
        <f t="shared" si="59"/>
        <v>38169</v>
      </c>
      <c r="B240" s="709" t="str">
        <f t="shared" si="60"/>
        <v>3Q04</v>
      </c>
      <c r="C240" s="709" t="str">
        <f t="shared" si="61"/>
        <v>3Q04</v>
      </c>
      <c r="D240" s="710">
        <f t="shared" si="66"/>
        <v>38230</v>
      </c>
      <c r="E240" s="710">
        <f t="shared" si="66"/>
        <v>38170</v>
      </c>
      <c r="F240" s="712">
        <v>37.14</v>
      </c>
      <c r="G240" s="713">
        <f t="shared" si="62"/>
        <v>1.4900000000000011</v>
      </c>
      <c r="H240" s="713">
        <f t="shared" si="63"/>
        <v>1.4900000000000011</v>
      </c>
      <c r="I240" s="697"/>
      <c r="J240" s="697"/>
      <c r="K240" s="697"/>
      <c r="L240" s="697"/>
      <c r="M240" s="697"/>
      <c r="N240" s="697"/>
      <c r="O240" s="697"/>
      <c r="P240" s="697"/>
      <c r="Q240" s="697"/>
      <c r="R240" s="697"/>
      <c r="S240" s="697"/>
      <c r="T240" s="697"/>
      <c r="U240" s="697"/>
      <c r="V240" s="697"/>
      <c r="W240" s="697"/>
      <c r="X240" s="697"/>
      <c r="Y240" s="697"/>
      <c r="Z240" s="697"/>
      <c r="AA240" s="697"/>
      <c r="AB240" s="697"/>
      <c r="AC240" s="697"/>
      <c r="AD240" s="697"/>
      <c r="AE240" s="697"/>
      <c r="AF240" s="697"/>
      <c r="AG240" s="697"/>
      <c r="AH240" s="697"/>
      <c r="AI240" s="697"/>
      <c r="AJ240" s="697"/>
      <c r="AK240" s="697"/>
      <c r="AL240" s="697"/>
      <c r="AM240" s="697"/>
      <c r="AN240" s="697"/>
      <c r="AO240" s="697"/>
      <c r="AP240" s="697"/>
      <c r="AQ240" s="697"/>
      <c r="AR240" s="697"/>
      <c r="AS240" s="697"/>
      <c r="AT240" s="697"/>
      <c r="AU240" s="697"/>
      <c r="AV240" s="697"/>
      <c r="AW240" s="697"/>
      <c r="AX240" s="697"/>
      <c r="AY240" s="697"/>
      <c r="AZ240" s="697"/>
      <c r="BA240" s="697"/>
      <c r="BB240" s="697"/>
      <c r="BC240" s="697"/>
      <c r="BD240" s="697"/>
      <c r="BE240" s="697"/>
      <c r="BF240" s="697"/>
      <c r="BG240" s="697"/>
      <c r="BH240" s="697"/>
      <c r="BI240" s="697"/>
      <c r="BJ240" s="697"/>
      <c r="BK240" s="697"/>
      <c r="BL240" s="697"/>
      <c r="BM240" s="697"/>
      <c r="BN240" s="697"/>
      <c r="BO240" s="697"/>
      <c r="BP240" s="697"/>
      <c r="BQ240" s="697"/>
      <c r="BR240" s="697"/>
      <c r="BS240" s="697"/>
      <c r="BT240" s="697"/>
      <c r="BU240" s="697"/>
      <c r="BV240" s="697"/>
      <c r="BW240" s="697"/>
      <c r="BX240" s="697"/>
      <c r="BY240" s="697"/>
      <c r="BZ240" s="697"/>
      <c r="CA240" s="697"/>
      <c r="CB240" s="697"/>
      <c r="CC240" s="697"/>
      <c r="CD240" s="697"/>
      <c r="CE240" s="697"/>
      <c r="CF240" s="697"/>
      <c r="CG240" s="697"/>
      <c r="CH240" s="697"/>
      <c r="CI240" s="697"/>
      <c r="CJ240" s="697"/>
      <c r="CK240" s="697"/>
      <c r="CL240" s="697"/>
      <c r="CM240" s="697"/>
      <c r="CN240" s="697"/>
      <c r="CO240" s="697"/>
      <c r="CP240" s="697"/>
      <c r="CQ240" s="697"/>
      <c r="CR240" s="697"/>
      <c r="CS240" s="697"/>
      <c r="CT240" s="697"/>
      <c r="CU240" s="697"/>
      <c r="CV240" s="697"/>
      <c r="CW240" s="697"/>
      <c r="CX240" s="697"/>
      <c r="CY240" s="697"/>
      <c r="CZ240" s="697"/>
      <c r="DA240" s="697"/>
      <c r="DB240" s="697"/>
    </row>
    <row r="241" spans="1:106" hidden="1" outlineLevel="1" x14ac:dyDescent="0.2">
      <c r="A241" s="709">
        <f t="shared" si="59"/>
        <v>38169</v>
      </c>
      <c r="B241" s="709" t="str">
        <f t="shared" si="60"/>
        <v>3Q04</v>
      </c>
      <c r="C241" s="709" t="str">
        <f t="shared" si="61"/>
        <v>3Q04</v>
      </c>
      <c r="D241" s="710">
        <f t="shared" si="66"/>
        <v>38237</v>
      </c>
      <c r="E241" s="710">
        <f t="shared" si="66"/>
        <v>38177</v>
      </c>
      <c r="F241" s="712">
        <v>39.729999999999997</v>
      </c>
      <c r="G241" s="713">
        <f t="shared" si="62"/>
        <v>1.4900000000000011</v>
      </c>
      <c r="H241" s="713">
        <f t="shared" si="63"/>
        <v>1.4900000000000011</v>
      </c>
      <c r="I241" s="697"/>
      <c r="J241" s="697"/>
      <c r="K241" s="697"/>
      <c r="L241" s="697"/>
      <c r="M241" s="697"/>
      <c r="N241" s="697"/>
      <c r="O241" s="697"/>
      <c r="P241" s="697"/>
      <c r="Q241" s="697"/>
      <c r="R241" s="697"/>
      <c r="S241" s="697"/>
      <c r="T241" s="697"/>
      <c r="U241" s="697"/>
      <c r="V241" s="697"/>
      <c r="W241" s="697"/>
      <c r="X241" s="697"/>
      <c r="Y241" s="697"/>
      <c r="Z241" s="697"/>
      <c r="AA241" s="697"/>
      <c r="AB241" s="697"/>
      <c r="AC241" s="697"/>
      <c r="AD241" s="697"/>
      <c r="AE241" s="697"/>
      <c r="AF241" s="697"/>
      <c r="AG241" s="697"/>
      <c r="AH241" s="697"/>
      <c r="AI241" s="697"/>
      <c r="AJ241" s="697"/>
      <c r="AK241" s="697"/>
      <c r="AL241" s="697"/>
      <c r="AM241" s="697"/>
      <c r="AN241" s="697"/>
      <c r="AO241" s="697"/>
      <c r="AP241" s="697"/>
      <c r="AQ241" s="697"/>
      <c r="AR241" s="697"/>
      <c r="AS241" s="697"/>
      <c r="AT241" s="697"/>
      <c r="AU241" s="697"/>
      <c r="AV241" s="697"/>
      <c r="AW241" s="697"/>
      <c r="AX241" s="697"/>
      <c r="AY241" s="697"/>
      <c r="AZ241" s="697"/>
      <c r="BA241" s="697"/>
      <c r="BB241" s="697"/>
      <c r="BC241" s="697"/>
      <c r="BD241" s="697"/>
      <c r="BE241" s="697"/>
      <c r="BF241" s="697"/>
      <c r="BG241" s="697"/>
      <c r="BH241" s="697"/>
      <c r="BI241" s="697"/>
      <c r="BJ241" s="697"/>
      <c r="BK241" s="697"/>
      <c r="BL241" s="697"/>
      <c r="BM241" s="697"/>
      <c r="BN241" s="697"/>
      <c r="BO241" s="697"/>
      <c r="BP241" s="697"/>
      <c r="BQ241" s="697"/>
      <c r="BR241" s="697"/>
      <c r="BS241" s="697"/>
      <c r="BT241" s="697"/>
      <c r="BU241" s="697"/>
      <c r="BV241" s="697"/>
      <c r="BW241" s="697"/>
      <c r="BX241" s="697"/>
      <c r="BY241" s="697"/>
      <c r="BZ241" s="697"/>
      <c r="CA241" s="697"/>
      <c r="CB241" s="697"/>
      <c r="CC241" s="697"/>
      <c r="CD241" s="697"/>
      <c r="CE241" s="697"/>
      <c r="CF241" s="697"/>
      <c r="CG241" s="697"/>
      <c r="CH241" s="697"/>
      <c r="CI241" s="697"/>
      <c r="CJ241" s="697"/>
      <c r="CK241" s="697"/>
      <c r="CL241" s="697"/>
      <c r="CM241" s="697"/>
      <c r="CN241" s="697"/>
      <c r="CO241" s="697"/>
      <c r="CP241" s="697"/>
      <c r="CQ241" s="697"/>
      <c r="CR241" s="697"/>
      <c r="CS241" s="697"/>
      <c r="CT241" s="697"/>
      <c r="CU241" s="697"/>
      <c r="CV241" s="697"/>
      <c r="CW241" s="697"/>
      <c r="CX241" s="697"/>
      <c r="CY241" s="697"/>
      <c r="CZ241" s="697"/>
      <c r="DA241" s="697"/>
      <c r="DB241" s="697"/>
    </row>
    <row r="242" spans="1:106" hidden="1" outlineLevel="1" x14ac:dyDescent="0.2">
      <c r="A242" s="709">
        <f t="shared" si="59"/>
        <v>38169</v>
      </c>
      <c r="B242" s="709" t="str">
        <f t="shared" si="60"/>
        <v>3Q04</v>
      </c>
      <c r="C242" s="709" t="str">
        <f t="shared" si="61"/>
        <v>3Q04</v>
      </c>
      <c r="D242" s="710">
        <f t="shared" si="66"/>
        <v>38244</v>
      </c>
      <c r="E242" s="710">
        <f t="shared" si="66"/>
        <v>38184</v>
      </c>
      <c r="F242" s="712">
        <v>40.33</v>
      </c>
      <c r="G242" s="713">
        <f t="shared" si="62"/>
        <v>1.4900000000000011</v>
      </c>
      <c r="H242" s="713">
        <f t="shared" si="63"/>
        <v>1.4900000000000011</v>
      </c>
      <c r="I242" s="697"/>
      <c r="J242" s="697"/>
      <c r="K242" s="697"/>
      <c r="L242" s="697"/>
      <c r="M242" s="697"/>
      <c r="N242" s="697"/>
      <c r="O242" s="697"/>
      <c r="P242" s="697"/>
      <c r="Q242" s="697"/>
      <c r="R242" s="697"/>
      <c r="S242" s="697"/>
      <c r="T242" s="697"/>
      <c r="U242" s="697"/>
      <c r="V242" s="697"/>
      <c r="W242" s="697"/>
      <c r="X242" s="697"/>
      <c r="Y242" s="697"/>
      <c r="Z242" s="697"/>
      <c r="AA242" s="697"/>
      <c r="AB242" s="697"/>
      <c r="AC242" s="697"/>
      <c r="AD242" s="697"/>
      <c r="AE242" s="697"/>
      <c r="AF242" s="697"/>
      <c r="AG242" s="697"/>
      <c r="AH242" s="697"/>
      <c r="AI242" s="697"/>
      <c r="AJ242" s="697"/>
      <c r="AK242" s="697"/>
      <c r="AL242" s="697"/>
      <c r="AM242" s="697"/>
      <c r="AN242" s="697"/>
      <c r="AO242" s="697"/>
      <c r="AP242" s="697"/>
      <c r="AQ242" s="697"/>
      <c r="AR242" s="697"/>
      <c r="AS242" s="697"/>
      <c r="AT242" s="697"/>
      <c r="AU242" s="697"/>
      <c r="AV242" s="697"/>
      <c r="AW242" s="697"/>
      <c r="AX242" s="697"/>
      <c r="AY242" s="697"/>
      <c r="AZ242" s="697"/>
      <c r="BA242" s="697"/>
      <c r="BB242" s="697"/>
      <c r="BC242" s="697"/>
      <c r="BD242" s="697"/>
      <c r="BE242" s="697"/>
      <c r="BF242" s="697"/>
      <c r="BG242" s="697"/>
      <c r="BH242" s="697"/>
      <c r="BI242" s="697"/>
      <c r="BJ242" s="697"/>
      <c r="BK242" s="697"/>
      <c r="BL242" s="697"/>
      <c r="BM242" s="697"/>
      <c r="BN242" s="697"/>
      <c r="BO242" s="697"/>
      <c r="BP242" s="697"/>
      <c r="BQ242" s="697"/>
      <c r="BR242" s="697"/>
      <c r="BS242" s="697"/>
      <c r="BT242" s="697"/>
      <c r="BU242" s="697"/>
      <c r="BV242" s="697"/>
      <c r="BW242" s="697"/>
      <c r="BX242" s="697"/>
      <c r="BY242" s="697"/>
      <c r="BZ242" s="697"/>
      <c r="CA242" s="697"/>
      <c r="CB242" s="697"/>
      <c r="CC242" s="697"/>
      <c r="CD242" s="697"/>
      <c r="CE242" s="697"/>
      <c r="CF242" s="697"/>
      <c r="CG242" s="697"/>
      <c r="CH242" s="697"/>
      <c r="CI242" s="697"/>
      <c r="CJ242" s="697"/>
      <c r="CK242" s="697"/>
      <c r="CL242" s="697"/>
      <c r="CM242" s="697"/>
      <c r="CN242" s="697"/>
      <c r="CO242" s="697"/>
      <c r="CP242" s="697"/>
      <c r="CQ242" s="697"/>
      <c r="CR242" s="697"/>
      <c r="CS242" s="697"/>
      <c r="CT242" s="697"/>
      <c r="CU242" s="697"/>
      <c r="CV242" s="697"/>
      <c r="CW242" s="697"/>
      <c r="CX242" s="697"/>
      <c r="CY242" s="697"/>
      <c r="CZ242" s="697"/>
      <c r="DA242" s="697"/>
      <c r="DB242" s="697"/>
    </row>
    <row r="243" spans="1:106" hidden="1" outlineLevel="1" x14ac:dyDescent="0.2">
      <c r="A243" s="709">
        <f t="shared" si="59"/>
        <v>38169</v>
      </c>
      <c r="B243" s="709" t="str">
        <f t="shared" si="60"/>
        <v>3Q04</v>
      </c>
      <c r="C243" s="709" t="str">
        <f t="shared" si="61"/>
        <v>3Q04</v>
      </c>
      <c r="D243" s="710">
        <f t="shared" si="66"/>
        <v>38251</v>
      </c>
      <c r="E243" s="710">
        <f t="shared" si="66"/>
        <v>38191</v>
      </c>
      <c r="F243" s="712">
        <v>41.27</v>
      </c>
      <c r="G243" s="713">
        <f t="shared" si="62"/>
        <v>1.4900000000000011</v>
      </c>
      <c r="H243" s="713">
        <f t="shared" si="63"/>
        <v>1.4900000000000011</v>
      </c>
      <c r="I243" s="697"/>
      <c r="J243" s="697"/>
      <c r="K243" s="697"/>
      <c r="L243" s="697"/>
      <c r="M243" s="697"/>
      <c r="N243" s="697"/>
      <c r="O243" s="697"/>
      <c r="P243" s="697"/>
      <c r="Q243" s="697"/>
      <c r="R243" s="697"/>
      <c r="S243" s="697"/>
      <c r="T243" s="697"/>
      <c r="U243" s="697"/>
      <c r="V243" s="697"/>
      <c r="W243" s="697"/>
      <c r="X243" s="697"/>
      <c r="Y243" s="697"/>
      <c r="Z243" s="697"/>
      <c r="AA243" s="697"/>
      <c r="AB243" s="697"/>
      <c r="AC243" s="697"/>
      <c r="AD243" s="697"/>
      <c r="AE243" s="697"/>
      <c r="AF243" s="697"/>
      <c r="AG243" s="697"/>
      <c r="AH243" s="697"/>
      <c r="AI243" s="697"/>
      <c r="AJ243" s="697"/>
      <c r="AK243" s="697"/>
      <c r="AL243" s="697"/>
      <c r="AM243" s="697"/>
      <c r="AN243" s="697"/>
      <c r="AO243" s="697"/>
      <c r="AP243" s="697"/>
      <c r="AQ243" s="697"/>
      <c r="AR243" s="697"/>
      <c r="AS243" s="697"/>
      <c r="AT243" s="697"/>
      <c r="AU243" s="697"/>
      <c r="AV243" s="697"/>
      <c r="AW243" s="697"/>
      <c r="AX243" s="697"/>
      <c r="AY243" s="697"/>
      <c r="AZ243" s="697"/>
      <c r="BA243" s="697"/>
      <c r="BB243" s="697"/>
      <c r="BC243" s="697"/>
      <c r="BD243" s="697"/>
      <c r="BE243" s="697"/>
      <c r="BF243" s="697"/>
      <c r="BG243" s="697"/>
      <c r="BH243" s="697"/>
      <c r="BI243" s="697"/>
      <c r="BJ243" s="697"/>
      <c r="BK243" s="697"/>
      <c r="BL243" s="697"/>
      <c r="BM243" s="697"/>
      <c r="BN243" s="697"/>
      <c r="BO243" s="697"/>
      <c r="BP243" s="697"/>
      <c r="BQ243" s="697"/>
      <c r="BR243" s="697"/>
      <c r="BS243" s="697"/>
      <c r="BT243" s="697"/>
      <c r="BU243" s="697"/>
      <c r="BV243" s="697"/>
      <c r="BW243" s="697"/>
      <c r="BX243" s="697"/>
      <c r="BY243" s="697"/>
      <c r="BZ243" s="697"/>
      <c r="CA243" s="697"/>
      <c r="CB243" s="697"/>
      <c r="CC243" s="697"/>
      <c r="CD243" s="697"/>
      <c r="CE243" s="697"/>
      <c r="CF243" s="697"/>
      <c r="CG243" s="697"/>
      <c r="CH243" s="697"/>
      <c r="CI243" s="697"/>
      <c r="CJ243" s="697"/>
      <c r="CK243" s="697"/>
      <c r="CL243" s="697"/>
      <c r="CM243" s="697"/>
      <c r="CN243" s="697"/>
      <c r="CO243" s="697"/>
      <c r="CP243" s="697"/>
      <c r="CQ243" s="697"/>
      <c r="CR243" s="697"/>
      <c r="CS243" s="697"/>
      <c r="CT243" s="697"/>
      <c r="CU243" s="697"/>
      <c r="CV243" s="697"/>
      <c r="CW243" s="697"/>
      <c r="CX243" s="697"/>
      <c r="CY243" s="697"/>
      <c r="CZ243" s="697"/>
      <c r="DA243" s="697"/>
      <c r="DB243" s="697"/>
    </row>
    <row r="244" spans="1:106" hidden="1" outlineLevel="1" x14ac:dyDescent="0.2">
      <c r="A244" s="709">
        <f t="shared" si="59"/>
        <v>38169</v>
      </c>
      <c r="B244" s="709" t="str">
        <f t="shared" si="60"/>
        <v>3Q04</v>
      </c>
      <c r="C244" s="709" t="str">
        <f t="shared" si="61"/>
        <v>3Q04</v>
      </c>
      <c r="D244" s="710">
        <f t="shared" si="66"/>
        <v>38258</v>
      </c>
      <c r="E244" s="710">
        <f t="shared" si="66"/>
        <v>38198</v>
      </c>
      <c r="F244" s="712">
        <v>42.5</v>
      </c>
      <c r="G244" s="713">
        <f t="shared" si="62"/>
        <v>1.4900000000000011</v>
      </c>
      <c r="H244" s="713">
        <f t="shared" si="63"/>
        <v>1.4900000000000011</v>
      </c>
      <c r="I244" s="697"/>
      <c r="J244" s="697"/>
      <c r="K244" s="697"/>
      <c r="L244" s="697"/>
      <c r="M244" s="697"/>
      <c r="N244" s="697"/>
      <c r="O244" s="697"/>
      <c r="P244" s="697"/>
      <c r="Q244" s="697"/>
      <c r="R244" s="697"/>
      <c r="S244" s="697"/>
      <c r="T244" s="697"/>
      <c r="U244" s="697"/>
      <c r="V244" s="697"/>
      <c r="W244" s="697"/>
      <c r="X244" s="697"/>
      <c r="Y244" s="697"/>
      <c r="Z244" s="697"/>
      <c r="AA244" s="697"/>
      <c r="AB244" s="697"/>
      <c r="AC244" s="697"/>
      <c r="AD244" s="697"/>
      <c r="AE244" s="697"/>
      <c r="AF244" s="697"/>
      <c r="AG244" s="697"/>
      <c r="AH244" s="697"/>
      <c r="AI244" s="697"/>
      <c r="AJ244" s="697"/>
      <c r="AK244" s="697"/>
      <c r="AL244" s="697"/>
      <c r="AM244" s="697"/>
      <c r="AN244" s="697"/>
      <c r="AO244" s="697"/>
      <c r="AP244" s="697"/>
      <c r="AQ244" s="697"/>
      <c r="AR244" s="697"/>
      <c r="AS244" s="697"/>
      <c r="AT244" s="697"/>
      <c r="AU244" s="697"/>
      <c r="AV244" s="697"/>
      <c r="AW244" s="697"/>
      <c r="AX244" s="697"/>
      <c r="AY244" s="697"/>
      <c r="AZ244" s="697"/>
      <c r="BA244" s="697"/>
      <c r="BB244" s="697"/>
      <c r="BC244" s="697"/>
      <c r="BD244" s="697"/>
      <c r="BE244" s="697"/>
      <c r="BF244" s="697"/>
      <c r="BG244" s="697"/>
      <c r="BH244" s="697"/>
      <c r="BI244" s="697"/>
      <c r="BJ244" s="697"/>
      <c r="BK244" s="697"/>
      <c r="BL244" s="697"/>
      <c r="BM244" s="697"/>
      <c r="BN244" s="697"/>
      <c r="BO244" s="697"/>
      <c r="BP244" s="697"/>
      <c r="BQ244" s="697"/>
      <c r="BR244" s="697"/>
      <c r="BS244" s="697"/>
      <c r="BT244" s="697"/>
      <c r="BU244" s="697"/>
      <c r="BV244" s="697"/>
      <c r="BW244" s="697"/>
      <c r="BX244" s="697"/>
      <c r="BY244" s="697"/>
      <c r="BZ244" s="697"/>
      <c r="CA244" s="697"/>
      <c r="CB244" s="697"/>
      <c r="CC244" s="697"/>
      <c r="CD244" s="697"/>
      <c r="CE244" s="697"/>
      <c r="CF244" s="697"/>
      <c r="CG244" s="697"/>
      <c r="CH244" s="697"/>
      <c r="CI244" s="697"/>
      <c r="CJ244" s="697"/>
      <c r="CK244" s="697"/>
      <c r="CL244" s="697"/>
      <c r="CM244" s="697"/>
      <c r="CN244" s="697"/>
      <c r="CO244" s="697"/>
      <c r="CP244" s="697"/>
      <c r="CQ244" s="697"/>
      <c r="CR244" s="697"/>
      <c r="CS244" s="697"/>
      <c r="CT244" s="697"/>
      <c r="CU244" s="697"/>
      <c r="CV244" s="697"/>
      <c r="CW244" s="697"/>
      <c r="CX244" s="697"/>
      <c r="CY244" s="697"/>
      <c r="CZ244" s="697"/>
      <c r="DA244" s="697"/>
      <c r="DB244" s="697"/>
    </row>
    <row r="245" spans="1:106" hidden="1" outlineLevel="1" x14ac:dyDescent="0.2">
      <c r="A245" s="709">
        <f t="shared" si="59"/>
        <v>38200</v>
      </c>
      <c r="B245" s="709" t="str">
        <f t="shared" si="60"/>
        <v>3Q04</v>
      </c>
      <c r="C245" s="709" t="str">
        <f t="shared" si="61"/>
        <v>4Q04</v>
      </c>
      <c r="D245" s="710">
        <f t="shared" ref="D245:E260" si="67">D244+7</f>
        <v>38265</v>
      </c>
      <c r="E245" s="710">
        <f t="shared" si="67"/>
        <v>38205</v>
      </c>
      <c r="F245" s="712">
        <v>43.81</v>
      </c>
      <c r="G245" s="713">
        <f t="shared" si="62"/>
        <v>1.4900000000000011</v>
      </c>
      <c r="H245" s="713">
        <f t="shared" si="63"/>
        <v>1.4900000000000011</v>
      </c>
      <c r="I245" s="697"/>
      <c r="J245" s="697"/>
      <c r="K245" s="697"/>
      <c r="L245" s="697"/>
      <c r="M245" s="697"/>
      <c r="N245" s="697"/>
      <c r="O245" s="697"/>
      <c r="P245" s="697"/>
      <c r="Q245" s="697"/>
      <c r="R245" s="697"/>
      <c r="S245" s="697"/>
      <c r="T245" s="697"/>
      <c r="U245" s="697"/>
      <c r="V245" s="697"/>
      <c r="W245" s="697"/>
      <c r="X245" s="697"/>
      <c r="Y245" s="697"/>
      <c r="Z245" s="697"/>
      <c r="AA245" s="697"/>
      <c r="AB245" s="697"/>
      <c r="AC245" s="697"/>
      <c r="AD245" s="697"/>
      <c r="AE245" s="697"/>
      <c r="AF245" s="697"/>
      <c r="AG245" s="697"/>
      <c r="AH245" s="697"/>
      <c r="AI245" s="697"/>
      <c r="AJ245" s="697"/>
      <c r="AK245" s="697"/>
      <c r="AL245" s="697"/>
      <c r="AM245" s="697"/>
      <c r="AN245" s="697"/>
      <c r="AO245" s="697"/>
      <c r="AP245" s="697"/>
      <c r="AQ245" s="697"/>
      <c r="AR245" s="697"/>
      <c r="AS245" s="697"/>
      <c r="AT245" s="697"/>
      <c r="AU245" s="697"/>
      <c r="AV245" s="697"/>
      <c r="AW245" s="697"/>
      <c r="AX245" s="697"/>
      <c r="AY245" s="697"/>
      <c r="AZ245" s="697"/>
      <c r="BA245" s="697"/>
      <c r="BB245" s="697"/>
      <c r="BC245" s="697"/>
      <c r="BD245" s="697"/>
      <c r="BE245" s="697"/>
      <c r="BF245" s="697"/>
      <c r="BG245" s="697"/>
      <c r="BH245" s="697"/>
      <c r="BI245" s="697"/>
      <c r="BJ245" s="697"/>
      <c r="BK245" s="697"/>
      <c r="BL245" s="697"/>
      <c r="BM245" s="697"/>
      <c r="BN245" s="697"/>
      <c r="BO245" s="697"/>
      <c r="BP245" s="697"/>
      <c r="BQ245" s="697"/>
      <c r="BR245" s="697"/>
      <c r="BS245" s="697"/>
      <c r="BT245" s="697"/>
      <c r="BU245" s="697"/>
      <c r="BV245" s="697"/>
      <c r="BW245" s="697"/>
      <c r="BX245" s="697"/>
      <c r="BY245" s="697"/>
      <c r="BZ245" s="697"/>
      <c r="CA245" s="697"/>
      <c r="CB245" s="697"/>
      <c r="CC245" s="697"/>
      <c r="CD245" s="697"/>
      <c r="CE245" s="697"/>
      <c r="CF245" s="697"/>
      <c r="CG245" s="697"/>
      <c r="CH245" s="697"/>
      <c r="CI245" s="697"/>
      <c r="CJ245" s="697"/>
      <c r="CK245" s="697"/>
      <c r="CL245" s="697"/>
      <c r="CM245" s="697"/>
      <c r="CN245" s="697"/>
      <c r="CO245" s="697"/>
      <c r="CP245" s="697"/>
      <c r="CQ245" s="697"/>
      <c r="CR245" s="697"/>
      <c r="CS245" s="697"/>
      <c r="CT245" s="697"/>
      <c r="CU245" s="697"/>
      <c r="CV245" s="697"/>
      <c r="CW245" s="697"/>
      <c r="CX245" s="697"/>
      <c r="CY245" s="697"/>
      <c r="CZ245" s="697"/>
      <c r="DA245" s="697"/>
      <c r="DB245" s="697"/>
    </row>
    <row r="246" spans="1:106" hidden="1" outlineLevel="1" x14ac:dyDescent="0.2">
      <c r="A246" s="709">
        <f t="shared" si="59"/>
        <v>38200</v>
      </c>
      <c r="B246" s="709" t="str">
        <f t="shared" si="60"/>
        <v>3Q04</v>
      </c>
      <c r="C246" s="709" t="str">
        <f t="shared" si="61"/>
        <v>4Q04</v>
      </c>
      <c r="D246" s="710">
        <f t="shared" si="67"/>
        <v>38272</v>
      </c>
      <c r="E246" s="710">
        <f t="shared" si="67"/>
        <v>38212</v>
      </c>
      <c r="F246" s="712">
        <v>45.24</v>
      </c>
      <c r="G246" s="713">
        <f t="shared" si="62"/>
        <v>1.4900000000000011</v>
      </c>
      <c r="H246" s="713">
        <f t="shared" si="63"/>
        <v>1.4900000000000011</v>
      </c>
      <c r="I246" s="697"/>
      <c r="J246" s="697"/>
      <c r="K246" s="697"/>
      <c r="L246" s="697"/>
      <c r="M246" s="697"/>
      <c r="N246" s="697"/>
      <c r="O246" s="697"/>
      <c r="P246" s="697"/>
      <c r="Q246" s="697"/>
      <c r="R246" s="697"/>
      <c r="S246" s="697"/>
      <c r="T246" s="697"/>
      <c r="U246" s="697"/>
      <c r="V246" s="697"/>
      <c r="W246" s="697"/>
      <c r="X246" s="697"/>
      <c r="Y246" s="697"/>
      <c r="Z246" s="697"/>
      <c r="AA246" s="697"/>
      <c r="AB246" s="697"/>
      <c r="AC246" s="697"/>
      <c r="AD246" s="697"/>
      <c r="AE246" s="697"/>
      <c r="AF246" s="697"/>
      <c r="AG246" s="697"/>
      <c r="AH246" s="697"/>
      <c r="AI246" s="697"/>
      <c r="AJ246" s="697"/>
      <c r="AK246" s="697"/>
      <c r="AL246" s="697"/>
      <c r="AM246" s="697"/>
      <c r="AN246" s="697"/>
      <c r="AO246" s="697"/>
      <c r="AP246" s="697"/>
      <c r="AQ246" s="697"/>
      <c r="AR246" s="697"/>
      <c r="AS246" s="697"/>
      <c r="AT246" s="697"/>
      <c r="AU246" s="697"/>
      <c r="AV246" s="697"/>
      <c r="AW246" s="697"/>
      <c r="AX246" s="697"/>
      <c r="AY246" s="697"/>
      <c r="AZ246" s="697"/>
      <c r="BA246" s="697"/>
      <c r="BB246" s="697"/>
      <c r="BC246" s="697"/>
      <c r="BD246" s="697"/>
      <c r="BE246" s="697"/>
      <c r="BF246" s="697"/>
      <c r="BG246" s="697"/>
      <c r="BH246" s="697"/>
      <c r="BI246" s="697"/>
      <c r="BJ246" s="697"/>
      <c r="BK246" s="697"/>
      <c r="BL246" s="697"/>
      <c r="BM246" s="697"/>
      <c r="BN246" s="697"/>
      <c r="BO246" s="697"/>
      <c r="BP246" s="697"/>
      <c r="BQ246" s="697"/>
      <c r="BR246" s="697"/>
      <c r="BS246" s="697"/>
      <c r="BT246" s="697"/>
      <c r="BU246" s="697"/>
      <c r="BV246" s="697"/>
      <c r="BW246" s="697"/>
      <c r="BX246" s="697"/>
      <c r="BY246" s="697"/>
      <c r="BZ246" s="697"/>
      <c r="CA246" s="697"/>
      <c r="CB246" s="697"/>
      <c r="CC246" s="697"/>
      <c r="CD246" s="697"/>
      <c r="CE246" s="697"/>
      <c r="CF246" s="697"/>
      <c r="CG246" s="697"/>
      <c r="CH246" s="697"/>
      <c r="CI246" s="697"/>
      <c r="CJ246" s="697"/>
      <c r="CK246" s="697"/>
      <c r="CL246" s="697"/>
      <c r="CM246" s="697"/>
      <c r="CN246" s="697"/>
      <c r="CO246" s="697"/>
      <c r="CP246" s="697"/>
      <c r="CQ246" s="697"/>
      <c r="CR246" s="697"/>
      <c r="CS246" s="697"/>
      <c r="CT246" s="697"/>
      <c r="CU246" s="697"/>
      <c r="CV246" s="697"/>
      <c r="CW246" s="697"/>
      <c r="CX246" s="697"/>
      <c r="CY246" s="697"/>
      <c r="CZ246" s="697"/>
      <c r="DA246" s="697"/>
      <c r="DB246" s="697"/>
    </row>
    <row r="247" spans="1:106" hidden="1" outlineLevel="1" x14ac:dyDescent="0.2">
      <c r="A247" s="709">
        <f t="shared" si="59"/>
        <v>38200</v>
      </c>
      <c r="B247" s="709" t="str">
        <f t="shared" si="60"/>
        <v>3Q04</v>
      </c>
      <c r="C247" s="709" t="str">
        <f t="shared" si="61"/>
        <v>4Q04</v>
      </c>
      <c r="D247" s="710">
        <f t="shared" si="67"/>
        <v>38279</v>
      </c>
      <c r="E247" s="710">
        <f t="shared" si="67"/>
        <v>38219</v>
      </c>
      <c r="F247" s="712">
        <v>47.28</v>
      </c>
      <c r="G247" s="713">
        <f t="shared" si="62"/>
        <v>1.4900000000000011</v>
      </c>
      <c r="H247" s="713">
        <f t="shared" si="63"/>
        <v>1.4900000000000011</v>
      </c>
      <c r="I247" s="697"/>
      <c r="J247" s="697"/>
      <c r="K247" s="697"/>
      <c r="L247" s="697"/>
      <c r="M247" s="697"/>
      <c r="N247" s="697"/>
      <c r="O247" s="697"/>
      <c r="P247" s="697"/>
      <c r="Q247" s="697"/>
      <c r="R247" s="697"/>
      <c r="S247" s="697"/>
      <c r="T247" s="697"/>
      <c r="U247" s="697"/>
      <c r="V247" s="697"/>
      <c r="W247" s="697"/>
      <c r="X247" s="697"/>
      <c r="Y247" s="697"/>
      <c r="Z247" s="697"/>
      <c r="AA247" s="697"/>
      <c r="AB247" s="697"/>
      <c r="AC247" s="697"/>
      <c r="AD247" s="697"/>
      <c r="AE247" s="697"/>
      <c r="AF247" s="697"/>
      <c r="AG247" s="697"/>
      <c r="AH247" s="697"/>
      <c r="AI247" s="697"/>
      <c r="AJ247" s="697"/>
      <c r="AK247" s="697"/>
      <c r="AL247" s="697"/>
      <c r="AM247" s="697"/>
      <c r="AN247" s="697"/>
      <c r="AO247" s="697"/>
      <c r="AP247" s="697"/>
      <c r="AQ247" s="697"/>
      <c r="AR247" s="697"/>
      <c r="AS247" s="697"/>
      <c r="AT247" s="697"/>
      <c r="AU247" s="697"/>
      <c r="AV247" s="697"/>
      <c r="AW247" s="697"/>
      <c r="AX247" s="697"/>
      <c r="AY247" s="697"/>
      <c r="AZ247" s="697"/>
      <c r="BA247" s="697"/>
      <c r="BB247" s="697"/>
      <c r="BC247" s="697"/>
      <c r="BD247" s="697"/>
      <c r="BE247" s="697"/>
      <c r="BF247" s="697"/>
      <c r="BG247" s="697"/>
      <c r="BH247" s="697"/>
      <c r="BI247" s="697"/>
      <c r="BJ247" s="697"/>
      <c r="BK247" s="697"/>
      <c r="BL247" s="697"/>
      <c r="BM247" s="697"/>
      <c r="BN247" s="697"/>
      <c r="BO247" s="697"/>
      <c r="BP247" s="697"/>
      <c r="BQ247" s="697"/>
      <c r="BR247" s="697"/>
      <c r="BS247" s="697"/>
      <c r="BT247" s="697"/>
      <c r="BU247" s="697"/>
      <c r="BV247" s="697"/>
      <c r="BW247" s="697"/>
      <c r="BX247" s="697"/>
      <c r="BY247" s="697"/>
      <c r="BZ247" s="697"/>
      <c r="CA247" s="697"/>
      <c r="CB247" s="697"/>
      <c r="CC247" s="697"/>
      <c r="CD247" s="697"/>
      <c r="CE247" s="697"/>
      <c r="CF247" s="697"/>
      <c r="CG247" s="697"/>
      <c r="CH247" s="697"/>
      <c r="CI247" s="697"/>
      <c r="CJ247" s="697"/>
      <c r="CK247" s="697"/>
      <c r="CL247" s="697"/>
      <c r="CM247" s="697"/>
      <c r="CN247" s="697"/>
      <c r="CO247" s="697"/>
      <c r="CP247" s="697"/>
      <c r="CQ247" s="697"/>
      <c r="CR247" s="697"/>
      <c r="CS247" s="697"/>
      <c r="CT247" s="697"/>
      <c r="CU247" s="697"/>
      <c r="CV247" s="697"/>
      <c r="CW247" s="697"/>
      <c r="CX247" s="697"/>
      <c r="CY247" s="697"/>
      <c r="CZ247" s="697"/>
      <c r="DA247" s="697"/>
      <c r="DB247" s="697"/>
    </row>
    <row r="248" spans="1:106" hidden="1" outlineLevel="1" x14ac:dyDescent="0.2">
      <c r="A248" s="709">
        <f t="shared" si="59"/>
        <v>38200</v>
      </c>
      <c r="B248" s="709" t="str">
        <f t="shared" si="60"/>
        <v>3Q04</v>
      </c>
      <c r="C248" s="709" t="str">
        <f t="shared" si="61"/>
        <v>4Q04</v>
      </c>
      <c r="D248" s="710">
        <f t="shared" si="67"/>
        <v>38286</v>
      </c>
      <c r="E248" s="710">
        <f t="shared" si="67"/>
        <v>38226</v>
      </c>
      <c r="F248" s="712">
        <v>44.34</v>
      </c>
      <c r="G248" s="713">
        <f t="shared" si="62"/>
        <v>1.4900000000000011</v>
      </c>
      <c r="H248" s="713">
        <f t="shared" si="63"/>
        <v>1.4900000000000011</v>
      </c>
      <c r="I248" s="697"/>
      <c r="J248" s="697"/>
      <c r="K248" s="697"/>
      <c r="L248" s="697"/>
      <c r="M248" s="697"/>
      <c r="N248" s="697"/>
      <c r="O248" s="697"/>
      <c r="P248" s="697"/>
      <c r="Q248" s="697"/>
      <c r="R248" s="697"/>
      <c r="S248" s="697"/>
      <c r="T248" s="697"/>
      <c r="U248" s="697"/>
      <c r="V248" s="697"/>
      <c r="W248" s="697"/>
      <c r="X248" s="697"/>
      <c r="Y248" s="697"/>
      <c r="Z248" s="697"/>
      <c r="AA248" s="697"/>
      <c r="AB248" s="697"/>
      <c r="AC248" s="697"/>
      <c r="AD248" s="697"/>
      <c r="AE248" s="697"/>
      <c r="AF248" s="697"/>
      <c r="AG248" s="697"/>
      <c r="AH248" s="697"/>
      <c r="AI248" s="697"/>
      <c r="AJ248" s="697"/>
      <c r="AK248" s="697"/>
      <c r="AL248" s="697"/>
      <c r="AM248" s="697"/>
      <c r="AN248" s="697"/>
      <c r="AO248" s="697"/>
      <c r="AP248" s="697"/>
      <c r="AQ248" s="697"/>
      <c r="AR248" s="697"/>
      <c r="AS248" s="697"/>
      <c r="AT248" s="697"/>
      <c r="AU248" s="697"/>
      <c r="AV248" s="697"/>
      <c r="AW248" s="697"/>
      <c r="AX248" s="697"/>
      <c r="AY248" s="697"/>
      <c r="AZ248" s="697"/>
      <c r="BA248" s="697"/>
      <c r="BB248" s="697"/>
      <c r="BC248" s="697"/>
      <c r="BD248" s="697"/>
      <c r="BE248" s="697"/>
      <c r="BF248" s="697"/>
      <c r="BG248" s="697"/>
      <c r="BH248" s="697"/>
      <c r="BI248" s="697"/>
      <c r="BJ248" s="697"/>
      <c r="BK248" s="697"/>
      <c r="BL248" s="697"/>
      <c r="BM248" s="697"/>
      <c r="BN248" s="697"/>
      <c r="BO248" s="697"/>
      <c r="BP248" s="697"/>
      <c r="BQ248" s="697"/>
      <c r="BR248" s="697"/>
      <c r="BS248" s="697"/>
      <c r="BT248" s="697"/>
      <c r="BU248" s="697"/>
      <c r="BV248" s="697"/>
      <c r="BW248" s="697"/>
      <c r="BX248" s="697"/>
      <c r="BY248" s="697"/>
      <c r="BZ248" s="697"/>
      <c r="CA248" s="697"/>
      <c r="CB248" s="697"/>
      <c r="CC248" s="697"/>
      <c r="CD248" s="697"/>
      <c r="CE248" s="697"/>
      <c r="CF248" s="697"/>
      <c r="CG248" s="697"/>
      <c r="CH248" s="697"/>
      <c r="CI248" s="697"/>
      <c r="CJ248" s="697"/>
      <c r="CK248" s="697"/>
      <c r="CL248" s="697"/>
      <c r="CM248" s="697"/>
      <c r="CN248" s="697"/>
      <c r="CO248" s="697"/>
      <c r="CP248" s="697"/>
      <c r="CQ248" s="697"/>
      <c r="CR248" s="697"/>
      <c r="CS248" s="697"/>
      <c r="CT248" s="697"/>
      <c r="CU248" s="697"/>
      <c r="CV248" s="697"/>
      <c r="CW248" s="697"/>
      <c r="CX248" s="697"/>
      <c r="CY248" s="697"/>
      <c r="CZ248" s="697"/>
      <c r="DA248" s="697"/>
      <c r="DB248" s="697"/>
    </row>
    <row r="249" spans="1:106" hidden="1" outlineLevel="1" x14ac:dyDescent="0.2">
      <c r="A249" s="709">
        <f t="shared" si="59"/>
        <v>38231</v>
      </c>
      <c r="B249" s="709" t="str">
        <f t="shared" si="60"/>
        <v>3Q04</v>
      </c>
      <c r="C249" s="709" t="str">
        <f t="shared" si="61"/>
        <v>4Q04</v>
      </c>
      <c r="D249" s="710">
        <f t="shared" si="67"/>
        <v>38293</v>
      </c>
      <c r="E249" s="710">
        <f t="shared" si="67"/>
        <v>38233</v>
      </c>
      <c r="F249" s="712">
        <v>43.28</v>
      </c>
      <c r="G249" s="713">
        <f t="shared" si="62"/>
        <v>1.4900000000000011</v>
      </c>
      <c r="H249" s="713">
        <f t="shared" si="63"/>
        <v>1.4900000000000011</v>
      </c>
      <c r="I249" s="697"/>
      <c r="J249" s="697"/>
      <c r="K249" s="697"/>
      <c r="L249" s="697"/>
      <c r="M249" s="697"/>
      <c r="N249" s="697"/>
      <c r="O249" s="697"/>
      <c r="P249" s="697"/>
      <c r="Q249" s="697"/>
      <c r="R249" s="697"/>
      <c r="S249" s="697"/>
      <c r="T249" s="697"/>
      <c r="U249" s="697"/>
      <c r="V249" s="697"/>
      <c r="W249" s="697"/>
      <c r="X249" s="697"/>
      <c r="Y249" s="697"/>
      <c r="Z249" s="697"/>
      <c r="AA249" s="697"/>
      <c r="AB249" s="697"/>
      <c r="AC249" s="697"/>
      <c r="AD249" s="697"/>
      <c r="AE249" s="697"/>
      <c r="AF249" s="697"/>
      <c r="AG249" s="697"/>
      <c r="AH249" s="697"/>
      <c r="AI249" s="697"/>
      <c r="AJ249" s="697"/>
      <c r="AK249" s="697"/>
      <c r="AL249" s="697"/>
      <c r="AM249" s="697"/>
      <c r="AN249" s="697"/>
      <c r="AO249" s="697"/>
      <c r="AP249" s="697"/>
      <c r="AQ249" s="697"/>
      <c r="AR249" s="697"/>
      <c r="AS249" s="697"/>
      <c r="AT249" s="697"/>
      <c r="AU249" s="697"/>
      <c r="AV249" s="697"/>
      <c r="AW249" s="697"/>
      <c r="AX249" s="697"/>
      <c r="AY249" s="697"/>
      <c r="AZ249" s="697"/>
      <c r="BA249" s="697"/>
      <c r="BB249" s="697"/>
      <c r="BC249" s="697"/>
      <c r="BD249" s="697"/>
      <c r="BE249" s="697"/>
      <c r="BF249" s="697"/>
      <c r="BG249" s="697"/>
      <c r="BH249" s="697"/>
      <c r="BI249" s="697"/>
      <c r="BJ249" s="697"/>
      <c r="BK249" s="697"/>
      <c r="BL249" s="697"/>
      <c r="BM249" s="697"/>
      <c r="BN249" s="697"/>
      <c r="BO249" s="697"/>
      <c r="BP249" s="697"/>
      <c r="BQ249" s="697"/>
      <c r="BR249" s="697"/>
      <c r="BS249" s="697"/>
      <c r="BT249" s="697"/>
      <c r="BU249" s="697"/>
      <c r="BV249" s="697"/>
      <c r="BW249" s="697"/>
      <c r="BX249" s="697"/>
      <c r="BY249" s="697"/>
      <c r="BZ249" s="697"/>
      <c r="CA249" s="697"/>
      <c r="CB249" s="697"/>
      <c r="CC249" s="697"/>
      <c r="CD249" s="697"/>
      <c r="CE249" s="697"/>
      <c r="CF249" s="697"/>
      <c r="CG249" s="697"/>
      <c r="CH249" s="697"/>
      <c r="CI249" s="697"/>
      <c r="CJ249" s="697"/>
      <c r="CK249" s="697"/>
      <c r="CL249" s="697"/>
      <c r="CM249" s="697"/>
      <c r="CN249" s="697"/>
      <c r="CO249" s="697"/>
      <c r="CP249" s="697"/>
      <c r="CQ249" s="697"/>
      <c r="CR249" s="697"/>
      <c r="CS249" s="697"/>
      <c r="CT249" s="697"/>
      <c r="CU249" s="697"/>
      <c r="CV249" s="697"/>
      <c r="CW249" s="697"/>
      <c r="CX249" s="697"/>
      <c r="CY249" s="697"/>
      <c r="CZ249" s="697"/>
      <c r="DA249" s="697"/>
      <c r="DB249" s="697"/>
    </row>
    <row r="250" spans="1:106" hidden="1" outlineLevel="1" x14ac:dyDescent="0.2">
      <c r="A250" s="709">
        <f t="shared" si="59"/>
        <v>38231</v>
      </c>
      <c r="B250" s="709" t="str">
        <f t="shared" si="60"/>
        <v>3Q04</v>
      </c>
      <c r="C250" s="709" t="str">
        <f t="shared" si="61"/>
        <v>4Q04</v>
      </c>
      <c r="D250" s="710">
        <f t="shared" si="67"/>
        <v>38300</v>
      </c>
      <c r="E250" s="710">
        <f t="shared" si="67"/>
        <v>38240</v>
      </c>
      <c r="F250" s="712">
        <v>43.33</v>
      </c>
      <c r="G250" s="713">
        <f t="shared" si="62"/>
        <v>1.4900000000000011</v>
      </c>
      <c r="H250" s="713">
        <f t="shared" si="63"/>
        <v>1.4900000000000011</v>
      </c>
      <c r="I250" s="697"/>
      <c r="J250" s="697"/>
      <c r="K250" s="697"/>
      <c r="L250" s="697"/>
      <c r="M250" s="697"/>
      <c r="N250" s="697"/>
      <c r="O250" s="697"/>
      <c r="P250" s="697"/>
      <c r="Q250" s="697"/>
      <c r="R250" s="697"/>
      <c r="S250" s="697"/>
      <c r="T250" s="697"/>
      <c r="U250" s="697"/>
      <c r="V250" s="697"/>
      <c r="W250" s="697"/>
      <c r="X250" s="697"/>
      <c r="Y250" s="697"/>
      <c r="Z250" s="697"/>
      <c r="AA250" s="697"/>
      <c r="AB250" s="697"/>
      <c r="AC250" s="697"/>
      <c r="AD250" s="697"/>
      <c r="AE250" s="697"/>
      <c r="AF250" s="697"/>
      <c r="AG250" s="697"/>
      <c r="AH250" s="697"/>
      <c r="AI250" s="697"/>
      <c r="AJ250" s="697"/>
      <c r="AK250" s="697"/>
      <c r="AL250" s="697"/>
      <c r="AM250" s="697"/>
      <c r="AN250" s="697"/>
      <c r="AO250" s="697"/>
      <c r="AP250" s="697"/>
      <c r="AQ250" s="697"/>
      <c r="AR250" s="697"/>
      <c r="AS250" s="697"/>
      <c r="AT250" s="697"/>
      <c r="AU250" s="697"/>
      <c r="AV250" s="697"/>
      <c r="AW250" s="697"/>
      <c r="AX250" s="697"/>
      <c r="AY250" s="697"/>
      <c r="AZ250" s="697"/>
      <c r="BA250" s="697"/>
      <c r="BB250" s="697"/>
      <c r="BC250" s="697"/>
      <c r="BD250" s="697"/>
      <c r="BE250" s="697"/>
      <c r="BF250" s="697"/>
      <c r="BG250" s="697"/>
      <c r="BH250" s="697"/>
      <c r="BI250" s="697"/>
      <c r="BJ250" s="697"/>
      <c r="BK250" s="697"/>
      <c r="BL250" s="697"/>
      <c r="BM250" s="697"/>
      <c r="BN250" s="697"/>
      <c r="BO250" s="697"/>
      <c r="BP250" s="697"/>
      <c r="BQ250" s="697"/>
      <c r="BR250" s="697"/>
      <c r="BS250" s="697"/>
      <c r="BT250" s="697"/>
      <c r="BU250" s="697"/>
      <c r="BV250" s="697"/>
      <c r="BW250" s="697"/>
      <c r="BX250" s="697"/>
      <c r="BY250" s="697"/>
      <c r="BZ250" s="697"/>
      <c r="CA250" s="697"/>
      <c r="CB250" s="697"/>
      <c r="CC250" s="697"/>
      <c r="CD250" s="697"/>
      <c r="CE250" s="697"/>
      <c r="CF250" s="697"/>
      <c r="CG250" s="697"/>
      <c r="CH250" s="697"/>
      <c r="CI250" s="697"/>
      <c r="CJ250" s="697"/>
      <c r="CK250" s="697"/>
      <c r="CL250" s="697"/>
      <c r="CM250" s="697"/>
      <c r="CN250" s="697"/>
      <c r="CO250" s="697"/>
      <c r="CP250" s="697"/>
      <c r="CQ250" s="697"/>
      <c r="CR250" s="697"/>
      <c r="CS250" s="697"/>
      <c r="CT250" s="697"/>
      <c r="CU250" s="697"/>
      <c r="CV250" s="697"/>
      <c r="CW250" s="697"/>
      <c r="CX250" s="697"/>
      <c r="CY250" s="697"/>
      <c r="CZ250" s="697"/>
      <c r="DA250" s="697"/>
      <c r="DB250" s="697"/>
    </row>
    <row r="251" spans="1:106" hidden="1" outlineLevel="1" x14ac:dyDescent="0.2">
      <c r="A251" s="709">
        <f t="shared" si="59"/>
        <v>38231</v>
      </c>
      <c r="B251" s="709" t="str">
        <f t="shared" si="60"/>
        <v>3Q04</v>
      </c>
      <c r="C251" s="709" t="str">
        <f t="shared" si="61"/>
        <v>4Q04</v>
      </c>
      <c r="D251" s="710">
        <f t="shared" si="67"/>
        <v>38307</v>
      </c>
      <c r="E251" s="710">
        <f t="shared" si="67"/>
        <v>38247</v>
      </c>
      <c r="F251" s="712">
        <v>44.39</v>
      </c>
      <c r="G251" s="713">
        <f t="shared" si="62"/>
        <v>1.4900000000000011</v>
      </c>
      <c r="H251" s="713">
        <f t="shared" si="63"/>
        <v>1.4900000000000011</v>
      </c>
      <c r="I251" s="697"/>
      <c r="J251" s="697"/>
      <c r="K251" s="697"/>
      <c r="L251" s="697"/>
      <c r="M251" s="697"/>
      <c r="N251" s="697"/>
      <c r="O251" s="697"/>
      <c r="P251" s="697"/>
      <c r="Q251" s="697"/>
      <c r="R251" s="697"/>
      <c r="S251" s="697"/>
      <c r="T251" s="697"/>
      <c r="U251" s="697"/>
      <c r="V251" s="697"/>
      <c r="W251" s="697"/>
      <c r="X251" s="697"/>
      <c r="Y251" s="697"/>
      <c r="Z251" s="697"/>
      <c r="AA251" s="697"/>
      <c r="AB251" s="697"/>
      <c r="AC251" s="697"/>
      <c r="AD251" s="697"/>
      <c r="AE251" s="697"/>
      <c r="AF251" s="697"/>
      <c r="AG251" s="697"/>
      <c r="AH251" s="697"/>
      <c r="AI251" s="697"/>
      <c r="AJ251" s="697"/>
      <c r="AK251" s="697"/>
      <c r="AL251" s="697"/>
      <c r="AM251" s="697"/>
      <c r="AN251" s="697"/>
      <c r="AO251" s="697"/>
      <c r="AP251" s="697"/>
      <c r="AQ251" s="697"/>
      <c r="AR251" s="697"/>
      <c r="AS251" s="697"/>
      <c r="AT251" s="697"/>
      <c r="AU251" s="697"/>
      <c r="AV251" s="697"/>
      <c r="AW251" s="697"/>
      <c r="AX251" s="697"/>
      <c r="AY251" s="697"/>
      <c r="AZ251" s="697"/>
      <c r="BA251" s="697"/>
      <c r="BB251" s="697"/>
      <c r="BC251" s="697"/>
      <c r="BD251" s="697"/>
      <c r="BE251" s="697"/>
      <c r="BF251" s="697"/>
      <c r="BG251" s="697"/>
      <c r="BH251" s="697"/>
      <c r="BI251" s="697"/>
      <c r="BJ251" s="697"/>
      <c r="BK251" s="697"/>
      <c r="BL251" s="697"/>
      <c r="BM251" s="697"/>
      <c r="BN251" s="697"/>
      <c r="BO251" s="697"/>
      <c r="BP251" s="697"/>
      <c r="BQ251" s="697"/>
      <c r="BR251" s="697"/>
      <c r="BS251" s="697"/>
      <c r="BT251" s="697"/>
      <c r="BU251" s="697"/>
      <c r="BV251" s="697"/>
      <c r="BW251" s="697"/>
      <c r="BX251" s="697"/>
      <c r="BY251" s="697"/>
      <c r="BZ251" s="697"/>
      <c r="CA251" s="697"/>
      <c r="CB251" s="697"/>
      <c r="CC251" s="697"/>
      <c r="CD251" s="697"/>
      <c r="CE251" s="697"/>
      <c r="CF251" s="697"/>
      <c r="CG251" s="697"/>
      <c r="CH251" s="697"/>
      <c r="CI251" s="697"/>
      <c r="CJ251" s="697"/>
      <c r="CK251" s="697"/>
      <c r="CL251" s="697"/>
      <c r="CM251" s="697"/>
      <c r="CN251" s="697"/>
      <c r="CO251" s="697"/>
      <c r="CP251" s="697"/>
      <c r="CQ251" s="697"/>
      <c r="CR251" s="697"/>
      <c r="CS251" s="697"/>
      <c r="CT251" s="697"/>
      <c r="CU251" s="697"/>
      <c r="CV251" s="697"/>
      <c r="CW251" s="697"/>
      <c r="CX251" s="697"/>
      <c r="CY251" s="697"/>
      <c r="CZ251" s="697"/>
      <c r="DA251" s="697"/>
      <c r="DB251" s="697"/>
    </row>
    <row r="252" spans="1:106" hidden="1" outlineLevel="1" x14ac:dyDescent="0.2">
      <c r="A252" s="709">
        <f t="shared" si="59"/>
        <v>38231</v>
      </c>
      <c r="B252" s="709" t="str">
        <f t="shared" si="60"/>
        <v>3Q04</v>
      </c>
      <c r="C252" s="709" t="str">
        <f t="shared" si="61"/>
        <v>4Q04</v>
      </c>
      <c r="D252" s="710">
        <f t="shared" si="67"/>
        <v>38314</v>
      </c>
      <c r="E252" s="710">
        <f t="shared" si="67"/>
        <v>38254</v>
      </c>
      <c r="F252" s="712">
        <v>47.82</v>
      </c>
      <c r="G252" s="713">
        <f t="shared" si="62"/>
        <v>1.4900000000000011</v>
      </c>
      <c r="H252" s="713">
        <f t="shared" si="63"/>
        <v>1.4900000000000011</v>
      </c>
      <c r="I252" s="697"/>
      <c r="J252" s="697"/>
      <c r="K252" s="697"/>
      <c r="L252" s="697"/>
      <c r="M252" s="697"/>
      <c r="N252" s="697"/>
      <c r="O252" s="697"/>
      <c r="P252" s="697"/>
      <c r="Q252" s="697"/>
      <c r="R252" s="697"/>
      <c r="S252" s="697"/>
      <c r="T252" s="697"/>
      <c r="U252" s="697"/>
      <c r="V252" s="697"/>
      <c r="W252" s="697"/>
      <c r="X252" s="697"/>
      <c r="Y252" s="697"/>
      <c r="Z252" s="697"/>
      <c r="AA252" s="697"/>
      <c r="AB252" s="697"/>
      <c r="AC252" s="697"/>
      <c r="AD252" s="697"/>
      <c r="AE252" s="697"/>
      <c r="AF252" s="697"/>
      <c r="AG252" s="697"/>
      <c r="AH252" s="697"/>
      <c r="AI252" s="697"/>
      <c r="AJ252" s="697"/>
      <c r="AK252" s="697"/>
      <c r="AL252" s="697"/>
      <c r="AM252" s="697"/>
      <c r="AN252" s="697"/>
      <c r="AO252" s="697"/>
      <c r="AP252" s="697"/>
      <c r="AQ252" s="697"/>
      <c r="AR252" s="697"/>
      <c r="AS252" s="697"/>
      <c r="AT252" s="697"/>
      <c r="AU252" s="697"/>
      <c r="AV252" s="697"/>
      <c r="AW252" s="697"/>
      <c r="AX252" s="697"/>
      <c r="AY252" s="697"/>
      <c r="AZ252" s="697"/>
      <c r="BA252" s="697"/>
      <c r="BB252" s="697"/>
      <c r="BC252" s="697"/>
      <c r="BD252" s="697"/>
      <c r="BE252" s="697"/>
      <c r="BF252" s="697"/>
      <c r="BG252" s="697"/>
      <c r="BH252" s="697"/>
      <c r="BI252" s="697"/>
      <c r="BJ252" s="697"/>
      <c r="BK252" s="697"/>
      <c r="BL252" s="697"/>
      <c r="BM252" s="697"/>
      <c r="BN252" s="697"/>
      <c r="BO252" s="697"/>
      <c r="BP252" s="697"/>
      <c r="BQ252" s="697"/>
      <c r="BR252" s="697"/>
      <c r="BS252" s="697"/>
      <c r="BT252" s="697"/>
      <c r="BU252" s="697"/>
      <c r="BV252" s="697"/>
      <c r="BW252" s="697"/>
      <c r="BX252" s="697"/>
      <c r="BY252" s="697"/>
      <c r="BZ252" s="697"/>
      <c r="CA252" s="697"/>
      <c r="CB252" s="697"/>
      <c r="CC252" s="697"/>
      <c r="CD252" s="697"/>
      <c r="CE252" s="697"/>
      <c r="CF252" s="697"/>
      <c r="CG252" s="697"/>
      <c r="CH252" s="697"/>
      <c r="CI252" s="697"/>
      <c r="CJ252" s="697"/>
      <c r="CK252" s="697"/>
      <c r="CL252" s="697"/>
      <c r="CM252" s="697"/>
      <c r="CN252" s="697"/>
      <c r="CO252" s="697"/>
      <c r="CP252" s="697"/>
      <c r="CQ252" s="697"/>
      <c r="CR252" s="697"/>
      <c r="CS252" s="697"/>
      <c r="CT252" s="697"/>
      <c r="CU252" s="697"/>
      <c r="CV252" s="697"/>
      <c r="CW252" s="697"/>
      <c r="CX252" s="697"/>
      <c r="CY252" s="697"/>
      <c r="CZ252" s="697"/>
      <c r="DA252" s="697"/>
      <c r="DB252" s="697"/>
    </row>
    <row r="253" spans="1:106" hidden="1" outlineLevel="1" x14ac:dyDescent="0.2">
      <c r="A253" s="709">
        <f t="shared" si="59"/>
        <v>38261</v>
      </c>
      <c r="B253" s="709" t="str">
        <f t="shared" si="60"/>
        <v>4Q04</v>
      </c>
      <c r="C253" s="709" t="str">
        <f t="shared" si="61"/>
        <v>4Q04</v>
      </c>
      <c r="D253" s="710">
        <f t="shared" si="67"/>
        <v>38321</v>
      </c>
      <c r="E253" s="710">
        <f t="shared" si="67"/>
        <v>38261</v>
      </c>
      <c r="F253" s="712">
        <v>49.71</v>
      </c>
      <c r="G253" s="713">
        <f t="shared" si="62"/>
        <v>1.4900000000000011</v>
      </c>
      <c r="H253" s="713">
        <f t="shared" si="63"/>
        <v>1.4900000000000011</v>
      </c>
      <c r="I253" s="697"/>
      <c r="J253" s="697"/>
      <c r="K253" s="697"/>
      <c r="L253" s="697"/>
      <c r="M253" s="697"/>
      <c r="N253" s="697"/>
      <c r="O253" s="697"/>
      <c r="P253" s="697"/>
      <c r="Q253" s="697"/>
      <c r="R253" s="697"/>
      <c r="S253" s="697"/>
      <c r="T253" s="697"/>
      <c r="U253" s="697"/>
      <c r="V253" s="697"/>
      <c r="W253" s="697"/>
      <c r="X253" s="697"/>
      <c r="Y253" s="697"/>
      <c r="Z253" s="697"/>
      <c r="AA253" s="697"/>
      <c r="AB253" s="697"/>
      <c r="AC253" s="697"/>
      <c r="AD253" s="697"/>
      <c r="AE253" s="697"/>
      <c r="AF253" s="697"/>
      <c r="AG253" s="697"/>
      <c r="AH253" s="697"/>
      <c r="AI253" s="697"/>
      <c r="AJ253" s="697"/>
      <c r="AK253" s="697"/>
      <c r="AL253" s="697"/>
      <c r="AM253" s="697"/>
      <c r="AN253" s="697"/>
      <c r="AO253" s="697"/>
      <c r="AP253" s="697"/>
      <c r="AQ253" s="697"/>
      <c r="AR253" s="697"/>
      <c r="AS253" s="697"/>
      <c r="AT253" s="697"/>
      <c r="AU253" s="697"/>
      <c r="AV253" s="697"/>
      <c r="AW253" s="697"/>
      <c r="AX253" s="697"/>
      <c r="AY253" s="697"/>
      <c r="AZ253" s="697"/>
      <c r="BA253" s="697"/>
      <c r="BB253" s="697"/>
      <c r="BC253" s="697"/>
      <c r="BD253" s="697"/>
      <c r="BE253" s="697"/>
      <c r="BF253" s="697"/>
      <c r="BG253" s="697"/>
      <c r="BH253" s="697"/>
      <c r="BI253" s="697"/>
      <c r="BJ253" s="697"/>
      <c r="BK253" s="697"/>
      <c r="BL253" s="697"/>
      <c r="BM253" s="697"/>
      <c r="BN253" s="697"/>
      <c r="BO253" s="697"/>
      <c r="BP253" s="697"/>
      <c r="BQ253" s="697"/>
      <c r="BR253" s="697"/>
      <c r="BS253" s="697"/>
      <c r="BT253" s="697"/>
      <c r="BU253" s="697"/>
      <c r="BV253" s="697"/>
      <c r="BW253" s="697"/>
      <c r="BX253" s="697"/>
      <c r="BY253" s="697"/>
      <c r="BZ253" s="697"/>
      <c r="CA253" s="697"/>
      <c r="CB253" s="697"/>
      <c r="CC253" s="697"/>
      <c r="CD253" s="697"/>
      <c r="CE253" s="697"/>
      <c r="CF253" s="697"/>
      <c r="CG253" s="697"/>
      <c r="CH253" s="697"/>
      <c r="CI253" s="697"/>
      <c r="CJ253" s="697"/>
      <c r="CK253" s="697"/>
      <c r="CL253" s="697"/>
      <c r="CM253" s="697"/>
      <c r="CN253" s="697"/>
      <c r="CO253" s="697"/>
      <c r="CP253" s="697"/>
      <c r="CQ253" s="697"/>
      <c r="CR253" s="697"/>
      <c r="CS253" s="697"/>
      <c r="CT253" s="697"/>
      <c r="CU253" s="697"/>
      <c r="CV253" s="697"/>
      <c r="CW253" s="697"/>
      <c r="CX253" s="697"/>
      <c r="CY253" s="697"/>
      <c r="CZ253" s="697"/>
      <c r="DA253" s="697"/>
      <c r="DB253" s="697"/>
    </row>
    <row r="254" spans="1:106" hidden="1" outlineLevel="1" x14ac:dyDescent="0.2">
      <c r="A254" s="709">
        <f t="shared" si="59"/>
        <v>38261</v>
      </c>
      <c r="B254" s="709" t="str">
        <f t="shared" si="60"/>
        <v>4Q04</v>
      </c>
      <c r="C254" s="709" t="str">
        <f t="shared" si="61"/>
        <v>4Q04</v>
      </c>
      <c r="D254" s="710">
        <f t="shared" si="67"/>
        <v>38328</v>
      </c>
      <c r="E254" s="710">
        <f t="shared" si="67"/>
        <v>38268</v>
      </c>
      <c r="F254" s="712">
        <v>51.77</v>
      </c>
      <c r="G254" s="713">
        <f t="shared" si="62"/>
        <v>1.4900000000000011</v>
      </c>
      <c r="H254" s="713">
        <f t="shared" si="63"/>
        <v>1.4900000000000011</v>
      </c>
      <c r="I254" s="697"/>
      <c r="J254" s="697"/>
      <c r="K254" s="697"/>
      <c r="L254" s="697"/>
      <c r="M254" s="697"/>
      <c r="N254" s="697"/>
      <c r="O254" s="697"/>
      <c r="P254" s="697"/>
      <c r="Q254" s="697"/>
      <c r="R254" s="697"/>
      <c r="S254" s="697"/>
      <c r="T254" s="697"/>
      <c r="U254" s="697"/>
      <c r="V254" s="697"/>
      <c r="W254" s="697"/>
      <c r="X254" s="697"/>
      <c r="Y254" s="697"/>
      <c r="Z254" s="697"/>
      <c r="AA254" s="697"/>
      <c r="AB254" s="697"/>
      <c r="AC254" s="697"/>
      <c r="AD254" s="697"/>
      <c r="AE254" s="697"/>
      <c r="AF254" s="697"/>
      <c r="AG254" s="697"/>
      <c r="AH254" s="697"/>
      <c r="AI254" s="697"/>
      <c r="AJ254" s="697"/>
      <c r="AK254" s="697"/>
      <c r="AL254" s="697"/>
      <c r="AM254" s="697"/>
      <c r="AN254" s="697"/>
      <c r="AO254" s="697"/>
      <c r="AP254" s="697"/>
      <c r="AQ254" s="697"/>
      <c r="AR254" s="697"/>
      <c r="AS254" s="697"/>
      <c r="AT254" s="697"/>
      <c r="AU254" s="697"/>
      <c r="AV254" s="697"/>
      <c r="AW254" s="697"/>
      <c r="AX254" s="697"/>
      <c r="AY254" s="697"/>
      <c r="AZ254" s="697"/>
      <c r="BA254" s="697"/>
      <c r="BB254" s="697"/>
      <c r="BC254" s="697"/>
      <c r="BD254" s="697"/>
      <c r="BE254" s="697"/>
      <c r="BF254" s="697"/>
      <c r="BG254" s="697"/>
      <c r="BH254" s="697"/>
      <c r="BI254" s="697"/>
      <c r="BJ254" s="697"/>
      <c r="BK254" s="697"/>
      <c r="BL254" s="697"/>
      <c r="BM254" s="697"/>
      <c r="BN254" s="697"/>
      <c r="BO254" s="697"/>
      <c r="BP254" s="697"/>
      <c r="BQ254" s="697"/>
      <c r="BR254" s="697"/>
      <c r="BS254" s="697"/>
      <c r="BT254" s="697"/>
      <c r="BU254" s="697"/>
      <c r="BV254" s="697"/>
      <c r="BW254" s="697"/>
      <c r="BX254" s="697"/>
      <c r="BY254" s="697"/>
      <c r="BZ254" s="697"/>
      <c r="CA254" s="697"/>
      <c r="CB254" s="697"/>
      <c r="CC254" s="697"/>
      <c r="CD254" s="697"/>
      <c r="CE254" s="697"/>
      <c r="CF254" s="697"/>
      <c r="CG254" s="697"/>
      <c r="CH254" s="697"/>
      <c r="CI254" s="697"/>
      <c r="CJ254" s="697"/>
      <c r="CK254" s="697"/>
      <c r="CL254" s="697"/>
      <c r="CM254" s="697"/>
      <c r="CN254" s="697"/>
      <c r="CO254" s="697"/>
      <c r="CP254" s="697"/>
      <c r="CQ254" s="697"/>
      <c r="CR254" s="697"/>
      <c r="CS254" s="697"/>
      <c r="CT254" s="697"/>
      <c r="CU254" s="697"/>
      <c r="CV254" s="697"/>
      <c r="CW254" s="697"/>
      <c r="CX254" s="697"/>
      <c r="CY254" s="697"/>
      <c r="CZ254" s="697"/>
      <c r="DA254" s="697"/>
      <c r="DB254" s="697"/>
    </row>
    <row r="255" spans="1:106" hidden="1" outlineLevel="1" x14ac:dyDescent="0.2">
      <c r="A255" s="709">
        <f t="shared" si="59"/>
        <v>38261</v>
      </c>
      <c r="B255" s="709" t="str">
        <f t="shared" si="60"/>
        <v>4Q04</v>
      </c>
      <c r="C255" s="709" t="str">
        <f t="shared" si="61"/>
        <v>4Q04</v>
      </c>
      <c r="D255" s="710">
        <f t="shared" si="67"/>
        <v>38335</v>
      </c>
      <c r="E255" s="710">
        <f t="shared" si="67"/>
        <v>38275</v>
      </c>
      <c r="F255" s="712">
        <v>54.12</v>
      </c>
      <c r="G255" s="713">
        <f t="shared" si="62"/>
        <v>1.4900000000000011</v>
      </c>
      <c r="H255" s="713">
        <f t="shared" si="63"/>
        <v>1.4900000000000011</v>
      </c>
      <c r="I255" s="697"/>
      <c r="J255" s="697"/>
      <c r="K255" s="697"/>
      <c r="L255" s="697"/>
      <c r="M255" s="697"/>
      <c r="N255" s="697"/>
      <c r="O255" s="697"/>
      <c r="P255" s="697"/>
      <c r="Q255" s="697"/>
      <c r="R255" s="697"/>
      <c r="S255" s="697"/>
      <c r="T255" s="697"/>
      <c r="U255" s="697"/>
      <c r="V255" s="697"/>
      <c r="W255" s="697"/>
      <c r="X255" s="697"/>
      <c r="Y255" s="697"/>
      <c r="Z255" s="697"/>
      <c r="AA255" s="697"/>
      <c r="AB255" s="697"/>
      <c r="AC255" s="697"/>
      <c r="AD255" s="697"/>
      <c r="AE255" s="697"/>
      <c r="AF255" s="697"/>
      <c r="AG255" s="697"/>
      <c r="AH255" s="697"/>
      <c r="AI255" s="697"/>
      <c r="AJ255" s="697"/>
      <c r="AK255" s="697"/>
      <c r="AL255" s="697"/>
      <c r="AM255" s="697"/>
      <c r="AN255" s="697"/>
      <c r="AO255" s="697"/>
      <c r="AP255" s="697"/>
      <c r="AQ255" s="697"/>
      <c r="AR255" s="697"/>
      <c r="AS255" s="697"/>
      <c r="AT255" s="697"/>
      <c r="AU255" s="697"/>
      <c r="AV255" s="697"/>
      <c r="AW255" s="697"/>
      <c r="AX255" s="697"/>
      <c r="AY255" s="697"/>
      <c r="AZ255" s="697"/>
      <c r="BA255" s="697"/>
      <c r="BB255" s="697"/>
      <c r="BC255" s="697"/>
      <c r="BD255" s="697"/>
      <c r="BE255" s="697"/>
      <c r="BF255" s="697"/>
      <c r="BG255" s="697"/>
      <c r="BH255" s="697"/>
      <c r="BI255" s="697"/>
      <c r="BJ255" s="697"/>
      <c r="BK255" s="697"/>
      <c r="BL255" s="697"/>
      <c r="BM255" s="697"/>
      <c r="BN255" s="697"/>
      <c r="BO255" s="697"/>
      <c r="BP255" s="697"/>
      <c r="BQ255" s="697"/>
      <c r="BR255" s="697"/>
      <c r="BS255" s="697"/>
      <c r="BT255" s="697"/>
      <c r="BU255" s="697"/>
      <c r="BV255" s="697"/>
      <c r="BW255" s="697"/>
      <c r="BX255" s="697"/>
      <c r="BY255" s="697"/>
      <c r="BZ255" s="697"/>
      <c r="CA255" s="697"/>
      <c r="CB255" s="697"/>
      <c r="CC255" s="697"/>
      <c r="CD255" s="697"/>
      <c r="CE255" s="697"/>
      <c r="CF255" s="697"/>
      <c r="CG255" s="697"/>
      <c r="CH255" s="697"/>
      <c r="CI255" s="697"/>
      <c r="CJ255" s="697"/>
      <c r="CK255" s="697"/>
      <c r="CL255" s="697"/>
      <c r="CM255" s="697"/>
      <c r="CN255" s="697"/>
      <c r="CO255" s="697"/>
      <c r="CP255" s="697"/>
      <c r="CQ255" s="697"/>
      <c r="CR255" s="697"/>
      <c r="CS255" s="697"/>
      <c r="CT255" s="697"/>
      <c r="CU255" s="697"/>
      <c r="CV255" s="697"/>
      <c r="CW255" s="697"/>
      <c r="CX255" s="697"/>
      <c r="CY255" s="697"/>
      <c r="CZ255" s="697"/>
      <c r="DA255" s="697"/>
      <c r="DB255" s="697"/>
    </row>
    <row r="256" spans="1:106" hidden="1" outlineLevel="1" x14ac:dyDescent="0.2">
      <c r="A256" s="709">
        <f t="shared" si="59"/>
        <v>38261</v>
      </c>
      <c r="B256" s="709" t="str">
        <f t="shared" si="60"/>
        <v>4Q04</v>
      </c>
      <c r="C256" s="709" t="str">
        <f t="shared" si="61"/>
        <v>4Q04</v>
      </c>
      <c r="D256" s="710">
        <f t="shared" si="67"/>
        <v>38342</v>
      </c>
      <c r="E256" s="710">
        <f t="shared" si="67"/>
        <v>38282</v>
      </c>
      <c r="F256" s="712">
        <v>54.43</v>
      </c>
      <c r="G256" s="713">
        <f t="shared" si="62"/>
        <v>1.4900000000000011</v>
      </c>
      <c r="H256" s="713">
        <f t="shared" si="63"/>
        <v>1.4900000000000011</v>
      </c>
      <c r="I256" s="697"/>
      <c r="J256" s="697"/>
      <c r="K256" s="697"/>
      <c r="L256" s="697"/>
      <c r="M256" s="697"/>
      <c r="N256" s="697"/>
      <c r="O256" s="697"/>
      <c r="P256" s="697"/>
      <c r="Q256" s="697"/>
      <c r="R256" s="697"/>
      <c r="S256" s="697"/>
      <c r="T256" s="697"/>
      <c r="U256" s="697"/>
      <c r="V256" s="697"/>
      <c r="W256" s="697"/>
      <c r="X256" s="697"/>
      <c r="Y256" s="697"/>
      <c r="Z256" s="697"/>
      <c r="AA256" s="697"/>
      <c r="AB256" s="697"/>
      <c r="AC256" s="697"/>
      <c r="AD256" s="697"/>
      <c r="AE256" s="697"/>
      <c r="AF256" s="697"/>
      <c r="AG256" s="697"/>
      <c r="AH256" s="697"/>
      <c r="AI256" s="697"/>
      <c r="AJ256" s="697"/>
      <c r="AK256" s="697"/>
      <c r="AL256" s="697"/>
      <c r="AM256" s="697"/>
      <c r="AN256" s="697"/>
      <c r="AO256" s="697"/>
      <c r="AP256" s="697"/>
      <c r="AQ256" s="697"/>
      <c r="AR256" s="697"/>
      <c r="AS256" s="697"/>
      <c r="AT256" s="697"/>
      <c r="AU256" s="697"/>
      <c r="AV256" s="697"/>
      <c r="AW256" s="697"/>
      <c r="AX256" s="697"/>
      <c r="AY256" s="697"/>
      <c r="AZ256" s="697"/>
      <c r="BA256" s="697"/>
      <c r="BB256" s="697"/>
      <c r="BC256" s="697"/>
      <c r="BD256" s="697"/>
      <c r="BE256" s="697"/>
      <c r="BF256" s="697"/>
      <c r="BG256" s="697"/>
      <c r="BH256" s="697"/>
      <c r="BI256" s="697"/>
      <c r="BJ256" s="697"/>
      <c r="BK256" s="697"/>
      <c r="BL256" s="697"/>
      <c r="BM256" s="697"/>
      <c r="BN256" s="697"/>
      <c r="BO256" s="697"/>
      <c r="BP256" s="697"/>
      <c r="BQ256" s="697"/>
      <c r="BR256" s="697"/>
      <c r="BS256" s="697"/>
      <c r="BT256" s="697"/>
      <c r="BU256" s="697"/>
      <c r="BV256" s="697"/>
      <c r="BW256" s="697"/>
      <c r="BX256" s="697"/>
      <c r="BY256" s="697"/>
      <c r="BZ256" s="697"/>
      <c r="CA256" s="697"/>
      <c r="CB256" s="697"/>
      <c r="CC256" s="697"/>
      <c r="CD256" s="697"/>
      <c r="CE256" s="697"/>
      <c r="CF256" s="697"/>
      <c r="CG256" s="697"/>
      <c r="CH256" s="697"/>
      <c r="CI256" s="697"/>
      <c r="CJ256" s="697"/>
      <c r="CK256" s="697"/>
      <c r="CL256" s="697"/>
      <c r="CM256" s="697"/>
      <c r="CN256" s="697"/>
      <c r="CO256" s="697"/>
      <c r="CP256" s="697"/>
      <c r="CQ256" s="697"/>
      <c r="CR256" s="697"/>
      <c r="CS256" s="697"/>
      <c r="CT256" s="697"/>
      <c r="CU256" s="697"/>
      <c r="CV256" s="697"/>
      <c r="CW256" s="697"/>
      <c r="CX256" s="697"/>
      <c r="CY256" s="697"/>
      <c r="CZ256" s="697"/>
      <c r="DA256" s="697"/>
      <c r="DB256" s="697"/>
    </row>
    <row r="257" spans="1:106" hidden="1" outlineLevel="1" x14ac:dyDescent="0.2">
      <c r="A257" s="709">
        <f t="shared" si="59"/>
        <v>38261</v>
      </c>
      <c r="B257" s="709" t="str">
        <f t="shared" si="60"/>
        <v>4Q04</v>
      </c>
      <c r="C257" s="709" t="str">
        <f t="shared" si="61"/>
        <v>4Q04</v>
      </c>
      <c r="D257" s="710">
        <f t="shared" si="67"/>
        <v>38349</v>
      </c>
      <c r="E257" s="710">
        <f t="shared" si="67"/>
        <v>38289</v>
      </c>
      <c r="F257" s="712">
        <v>53.43</v>
      </c>
      <c r="G257" s="713">
        <f t="shared" si="62"/>
        <v>1.4900000000000011</v>
      </c>
      <c r="H257" s="713">
        <f t="shared" si="63"/>
        <v>1.4900000000000011</v>
      </c>
      <c r="I257" s="697"/>
      <c r="J257" s="697"/>
      <c r="K257" s="697"/>
      <c r="L257" s="697"/>
      <c r="M257" s="697"/>
      <c r="N257" s="697"/>
      <c r="O257" s="697"/>
      <c r="P257" s="697"/>
      <c r="Q257" s="697"/>
      <c r="R257" s="697"/>
      <c r="S257" s="697"/>
      <c r="T257" s="697"/>
      <c r="U257" s="697"/>
      <c r="V257" s="697"/>
      <c r="W257" s="697"/>
      <c r="X257" s="697"/>
      <c r="Y257" s="697"/>
      <c r="Z257" s="697"/>
      <c r="AA257" s="697"/>
      <c r="AB257" s="697"/>
      <c r="AC257" s="697"/>
      <c r="AD257" s="697"/>
      <c r="AE257" s="697"/>
      <c r="AF257" s="697"/>
      <c r="AG257" s="697"/>
      <c r="AH257" s="697"/>
      <c r="AI257" s="697"/>
      <c r="AJ257" s="697"/>
      <c r="AK257" s="697"/>
      <c r="AL257" s="697"/>
      <c r="AM257" s="697"/>
      <c r="AN257" s="697"/>
      <c r="AO257" s="697"/>
      <c r="AP257" s="697"/>
      <c r="AQ257" s="697"/>
      <c r="AR257" s="697"/>
      <c r="AS257" s="697"/>
      <c r="AT257" s="697"/>
      <c r="AU257" s="697"/>
      <c r="AV257" s="697"/>
      <c r="AW257" s="697"/>
      <c r="AX257" s="697"/>
      <c r="AY257" s="697"/>
      <c r="AZ257" s="697"/>
      <c r="BA257" s="697"/>
      <c r="BB257" s="697"/>
      <c r="BC257" s="697"/>
      <c r="BD257" s="697"/>
      <c r="BE257" s="697"/>
      <c r="BF257" s="697"/>
      <c r="BG257" s="697"/>
      <c r="BH257" s="697"/>
      <c r="BI257" s="697"/>
      <c r="BJ257" s="697"/>
      <c r="BK257" s="697"/>
      <c r="BL257" s="697"/>
      <c r="BM257" s="697"/>
      <c r="BN257" s="697"/>
      <c r="BO257" s="697"/>
      <c r="BP257" s="697"/>
      <c r="BQ257" s="697"/>
      <c r="BR257" s="697"/>
      <c r="BS257" s="697"/>
      <c r="BT257" s="697"/>
      <c r="BU257" s="697"/>
      <c r="BV257" s="697"/>
      <c r="BW257" s="697"/>
      <c r="BX257" s="697"/>
      <c r="BY257" s="697"/>
      <c r="BZ257" s="697"/>
      <c r="CA257" s="697"/>
      <c r="CB257" s="697"/>
      <c r="CC257" s="697"/>
      <c r="CD257" s="697"/>
      <c r="CE257" s="697"/>
      <c r="CF257" s="697"/>
      <c r="CG257" s="697"/>
      <c r="CH257" s="697"/>
      <c r="CI257" s="697"/>
      <c r="CJ257" s="697"/>
      <c r="CK257" s="697"/>
      <c r="CL257" s="697"/>
      <c r="CM257" s="697"/>
      <c r="CN257" s="697"/>
      <c r="CO257" s="697"/>
      <c r="CP257" s="697"/>
      <c r="CQ257" s="697"/>
      <c r="CR257" s="697"/>
      <c r="CS257" s="697"/>
      <c r="CT257" s="697"/>
      <c r="CU257" s="697"/>
      <c r="CV257" s="697"/>
      <c r="CW257" s="697"/>
      <c r="CX257" s="697"/>
      <c r="CY257" s="697"/>
      <c r="CZ257" s="697"/>
      <c r="DA257" s="697"/>
      <c r="DB257" s="697"/>
    </row>
    <row r="258" spans="1:106" hidden="1" outlineLevel="1" x14ac:dyDescent="0.2">
      <c r="A258" s="709">
        <f t="shared" si="59"/>
        <v>38292</v>
      </c>
      <c r="B258" s="709" t="str">
        <f t="shared" si="60"/>
        <v>4Q04</v>
      </c>
      <c r="C258" s="709" t="str">
        <f t="shared" si="61"/>
        <v>1Q05</v>
      </c>
      <c r="D258" s="710">
        <f t="shared" si="67"/>
        <v>38356</v>
      </c>
      <c r="E258" s="710">
        <f t="shared" si="67"/>
        <v>38296</v>
      </c>
      <c r="F258" s="712">
        <v>49.81</v>
      </c>
      <c r="G258" s="713">
        <f t="shared" si="62"/>
        <v>1.4900000000000011</v>
      </c>
      <c r="H258" s="713">
        <f t="shared" si="63"/>
        <v>1.4900000000000011</v>
      </c>
      <c r="I258" s="697"/>
      <c r="J258" s="697"/>
      <c r="K258" s="697"/>
      <c r="L258" s="697"/>
      <c r="M258" s="697"/>
      <c r="N258" s="697"/>
      <c r="O258" s="697"/>
      <c r="P258" s="697"/>
      <c r="Q258" s="697"/>
      <c r="R258" s="697"/>
      <c r="S258" s="697"/>
      <c r="T258" s="697"/>
      <c r="U258" s="697"/>
      <c r="V258" s="697"/>
      <c r="W258" s="697"/>
      <c r="X258" s="697"/>
      <c r="Y258" s="697"/>
      <c r="Z258" s="697"/>
      <c r="AA258" s="697"/>
      <c r="AB258" s="697"/>
      <c r="AC258" s="697"/>
      <c r="AD258" s="697"/>
      <c r="AE258" s="697"/>
      <c r="AF258" s="697"/>
      <c r="AG258" s="697"/>
      <c r="AH258" s="697"/>
      <c r="AI258" s="697"/>
      <c r="AJ258" s="697"/>
      <c r="AK258" s="697"/>
      <c r="AL258" s="697"/>
      <c r="AM258" s="697"/>
      <c r="AN258" s="697"/>
      <c r="AO258" s="697"/>
      <c r="AP258" s="697"/>
      <c r="AQ258" s="697"/>
      <c r="AR258" s="697"/>
      <c r="AS258" s="697"/>
      <c r="AT258" s="697"/>
      <c r="AU258" s="697"/>
      <c r="AV258" s="697"/>
      <c r="AW258" s="697"/>
      <c r="AX258" s="697"/>
      <c r="AY258" s="697"/>
      <c r="AZ258" s="697"/>
      <c r="BA258" s="697"/>
      <c r="BB258" s="697"/>
      <c r="BC258" s="697"/>
      <c r="BD258" s="697"/>
      <c r="BE258" s="697"/>
      <c r="BF258" s="697"/>
      <c r="BG258" s="697"/>
      <c r="BH258" s="697"/>
      <c r="BI258" s="697"/>
      <c r="BJ258" s="697"/>
      <c r="BK258" s="697"/>
      <c r="BL258" s="697"/>
      <c r="BM258" s="697"/>
      <c r="BN258" s="697"/>
      <c r="BO258" s="697"/>
      <c r="BP258" s="697"/>
      <c r="BQ258" s="697"/>
      <c r="BR258" s="697"/>
      <c r="BS258" s="697"/>
      <c r="BT258" s="697"/>
      <c r="BU258" s="697"/>
      <c r="BV258" s="697"/>
      <c r="BW258" s="697"/>
      <c r="BX258" s="697"/>
      <c r="BY258" s="697"/>
      <c r="BZ258" s="697"/>
      <c r="CA258" s="697"/>
      <c r="CB258" s="697"/>
      <c r="CC258" s="697"/>
      <c r="CD258" s="697"/>
      <c r="CE258" s="697"/>
      <c r="CF258" s="697"/>
      <c r="CG258" s="697"/>
      <c r="CH258" s="697"/>
      <c r="CI258" s="697"/>
      <c r="CJ258" s="697"/>
      <c r="CK258" s="697"/>
      <c r="CL258" s="697"/>
      <c r="CM258" s="697"/>
      <c r="CN258" s="697"/>
      <c r="CO258" s="697"/>
      <c r="CP258" s="697"/>
      <c r="CQ258" s="697"/>
      <c r="CR258" s="697"/>
      <c r="CS258" s="697"/>
      <c r="CT258" s="697"/>
      <c r="CU258" s="697"/>
      <c r="CV258" s="697"/>
      <c r="CW258" s="697"/>
      <c r="CX258" s="697"/>
      <c r="CY258" s="697"/>
      <c r="CZ258" s="697"/>
      <c r="DA258" s="697"/>
      <c r="DB258" s="697"/>
    </row>
    <row r="259" spans="1:106" hidden="1" outlineLevel="1" x14ac:dyDescent="0.2">
      <c r="A259" s="709">
        <f t="shared" si="59"/>
        <v>38292</v>
      </c>
      <c r="B259" s="709" t="str">
        <f t="shared" si="60"/>
        <v>4Q04</v>
      </c>
      <c r="C259" s="709" t="str">
        <f t="shared" si="61"/>
        <v>1Q05</v>
      </c>
      <c r="D259" s="710">
        <f t="shared" si="67"/>
        <v>38363</v>
      </c>
      <c r="E259" s="710">
        <f t="shared" si="67"/>
        <v>38303</v>
      </c>
      <c r="F259" s="712">
        <v>48</v>
      </c>
      <c r="G259" s="713">
        <f t="shared" si="62"/>
        <v>1.4900000000000011</v>
      </c>
      <c r="H259" s="713">
        <f t="shared" si="63"/>
        <v>1.4900000000000011</v>
      </c>
      <c r="I259" s="697"/>
      <c r="J259" s="697"/>
      <c r="K259" s="697"/>
      <c r="L259" s="697"/>
      <c r="M259" s="697"/>
      <c r="N259" s="697"/>
      <c r="O259" s="697"/>
      <c r="P259" s="697"/>
      <c r="Q259" s="697"/>
      <c r="R259" s="697"/>
      <c r="S259" s="697"/>
      <c r="T259" s="697"/>
      <c r="U259" s="697"/>
      <c r="V259" s="697"/>
      <c r="W259" s="697"/>
      <c r="X259" s="697"/>
      <c r="Y259" s="697"/>
      <c r="Z259" s="697"/>
      <c r="AA259" s="697"/>
      <c r="AB259" s="697"/>
      <c r="AC259" s="697"/>
      <c r="AD259" s="697"/>
      <c r="AE259" s="697"/>
      <c r="AF259" s="697"/>
      <c r="AG259" s="697"/>
      <c r="AH259" s="697"/>
      <c r="AI259" s="697"/>
      <c r="AJ259" s="697"/>
      <c r="AK259" s="697"/>
      <c r="AL259" s="697"/>
      <c r="AM259" s="697"/>
      <c r="AN259" s="697"/>
      <c r="AO259" s="697"/>
      <c r="AP259" s="697"/>
      <c r="AQ259" s="697"/>
      <c r="AR259" s="697"/>
      <c r="AS259" s="697"/>
      <c r="AT259" s="697"/>
      <c r="AU259" s="697"/>
      <c r="AV259" s="697"/>
      <c r="AW259" s="697"/>
      <c r="AX259" s="697"/>
      <c r="AY259" s="697"/>
      <c r="AZ259" s="697"/>
      <c r="BA259" s="697"/>
      <c r="BB259" s="697"/>
      <c r="BC259" s="697"/>
      <c r="BD259" s="697"/>
      <c r="BE259" s="697"/>
      <c r="BF259" s="697"/>
      <c r="BG259" s="697"/>
      <c r="BH259" s="697"/>
      <c r="BI259" s="697"/>
      <c r="BJ259" s="697"/>
      <c r="BK259" s="697"/>
      <c r="BL259" s="697"/>
      <c r="BM259" s="697"/>
      <c r="BN259" s="697"/>
      <c r="BO259" s="697"/>
      <c r="BP259" s="697"/>
      <c r="BQ259" s="697"/>
      <c r="BR259" s="697"/>
      <c r="BS259" s="697"/>
      <c r="BT259" s="697"/>
      <c r="BU259" s="697"/>
      <c r="BV259" s="697"/>
      <c r="BW259" s="697"/>
      <c r="BX259" s="697"/>
      <c r="BY259" s="697"/>
      <c r="BZ259" s="697"/>
      <c r="CA259" s="697"/>
      <c r="CB259" s="697"/>
      <c r="CC259" s="697"/>
      <c r="CD259" s="697"/>
      <c r="CE259" s="697"/>
      <c r="CF259" s="697"/>
      <c r="CG259" s="697"/>
      <c r="CH259" s="697"/>
      <c r="CI259" s="697"/>
      <c r="CJ259" s="697"/>
      <c r="CK259" s="697"/>
      <c r="CL259" s="697"/>
      <c r="CM259" s="697"/>
      <c r="CN259" s="697"/>
      <c r="CO259" s="697"/>
      <c r="CP259" s="697"/>
      <c r="CQ259" s="697"/>
      <c r="CR259" s="697"/>
      <c r="CS259" s="697"/>
      <c r="CT259" s="697"/>
      <c r="CU259" s="697"/>
      <c r="CV259" s="697"/>
      <c r="CW259" s="697"/>
      <c r="CX259" s="697"/>
      <c r="CY259" s="697"/>
      <c r="CZ259" s="697"/>
      <c r="DA259" s="697"/>
      <c r="DB259" s="697"/>
    </row>
    <row r="260" spans="1:106" hidden="1" outlineLevel="1" x14ac:dyDescent="0.2">
      <c r="A260" s="709">
        <f t="shared" ref="A260:A323" si="68">DATE(YEAR(E260),MONTH(E260),1)</f>
        <v>38292</v>
      </c>
      <c r="B260" s="709" t="str">
        <f t="shared" ref="B260:B323" si="69">VLOOKUP(MONTH(A260),$N$4:$O$16,2,FALSE) &amp; "Q" &amp; RIGHT(YEAR(A260),2)</f>
        <v>4Q04</v>
      </c>
      <c r="C260" s="709" t="str">
        <f t="shared" ref="C260:C323" si="70">VLOOKUP(MONTH(D260),$N$4:$O$16,2,FALSE) &amp; "Q" &amp; RIGHT(YEAR(D260),2)</f>
        <v>1Q05</v>
      </c>
      <c r="D260" s="710">
        <f t="shared" si="67"/>
        <v>38370</v>
      </c>
      <c r="E260" s="710">
        <f t="shared" si="67"/>
        <v>38310</v>
      </c>
      <c r="F260" s="712">
        <v>47.02</v>
      </c>
      <c r="G260" s="713">
        <f t="shared" ref="G260:G323" si="71">INDEX($I$4:$K$153,MATCH(F260,$I$4:$I$153,1),3)</f>
        <v>1.4900000000000011</v>
      </c>
      <c r="H260" s="713">
        <f t="shared" ref="H260:H323" si="72">G261</f>
        <v>1.4900000000000011</v>
      </c>
      <c r="I260" s="697"/>
      <c r="J260" s="697"/>
      <c r="K260" s="697"/>
      <c r="L260" s="697"/>
      <c r="M260" s="697"/>
      <c r="N260" s="697"/>
      <c r="O260" s="697"/>
      <c r="P260" s="697"/>
      <c r="Q260" s="697"/>
      <c r="R260" s="697"/>
      <c r="S260" s="697"/>
      <c r="T260" s="697"/>
      <c r="U260" s="697"/>
      <c r="V260" s="697"/>
      <c r="W260" s="697"/>
      <c r="X260" s="697"/>
      <c r="Y260" s="697"/>
      <c r="Z260" s="697"/>
      <c r="AA260" s="697"/>
      <c r="AB260" s="697"/>
      <c r="AC260" s="697"/>
      <c r="AD260" s="697"/>
      <c r="AE260" s="697"/>
      <c r="AF260" s="697"/>
      <c r="AG260" s="697"/>
      <c r="AH260" s="697"/>
      <c r="AI260" s="697"/>
      <c r="AJ260" s="697"/>
      <c r="AK260" s="697"/>
      <c r="AL260" s="697"/>
      <c r="AM260" s="697"/>
      <c r="AN260" s="697"/>
      <c r="AO260" s="697"/>
      <c r="AP260" s="697"/>
      <c r="AQ260" s="697"/>
      <c r="AR260" s="697"/>
      <c r="AS260" s="697"/>
      <c r="AT260" s="697"/>
      <c r="AU260" s="697"/>
      <c r="AV260" s="697"/>
      <c r="AW260" s="697"/>
      <c r="AX260" s="697"/>
      <c r="AY260" s="697"/>
      <c r="AZ260" s="697"/>
      <c r="BA260" s="697"/>
      <c r="BB260" s="697"/>
      <c r="BC260" s="697"/>
      <c r="BD260" s="697"/>
      <c r="BE260" s="697"/>
      <c r="BF260" s="697"/>
      <c r="BG260" s="697"/>
      <c r="BH260" s="697"/>
      <c r="BI260" s="697"/>
      <c r="BJ260" s="697"/>
      <c r="BK260" s="697"/>
      <c r="BL260" s="697"/>
      <c r="BM260" s="697"/>
      <c r="BN260" s="697"/>
      <c r="BO260" s="697"/>
      <c r="BP260" s="697"/>
      <c r="BQ260" s="697"/>
      <c r="BR260" s="697"/>
      <c r="BS260" s="697"/>
      <c r="BT260" s="697"/>
      <c r="BU260" s="697"/>
      <c r="BV260" s="697"/>
      <c r="BW260" s="697"/>
      <c r="BX260" s="697"/>
      <c r="BY260" s="697"/>
      <c r="BZ260" s="697"/>
      <c r="CA260" s="697"/>
      <c r="CB260" s="697"/>
      <c r="CC260" s="697"/>
      <c r="CD260" s="697"/>
      <c r="CE260" s="697"/>
      <c r="CF260" s="697"/>
      <c r="CG260" s="697"/>
      <c r="CH260" s="697"/>
      <c r="CI260" s="697"/>
      <c r="CJ260" s="697"/>
      <c r="CK260" s="697"/>
      <c r="CL260" s="697"/>
      <c r="CM260" s="697"/>
      <c r="CN260" s="697"/>
      <c r="CO260" s="697"/>
      <c r="CP260" s="697"/>
      <c r="CQ260" s="697"/>
      <c r="CR260" s="697"/>
      <c r="CS260" s="697"/>
      <c r="CT260" s="697"/>
      <c r="CU260" s="697"/>
      <c r="CV260" s="697"/>
      <c r="CW260" s="697"/>
      <c r="CX260" s="697"/>
      <c r="CY260" s="697"/>
      <c r="CZ260" s="697"/>
      <c r="DA260" s="697"/>
      <c r="DB260" s="697"/>
    </row>
    <row r="261" spans="1:106" hidden="1" outlineLevel="1" x14ac:dyDescent="0.2">
      <c r="A261" s="709">
        <f t="shared" si="68"/>
        <v>38292</v>
      </c>
      <c r="B261" s="709" t="str">
        <f t="shared" si="69"/>
        <v>4Q04</v>
      </c>
      <c r="C261" s="709" t="str">
        <f t="shared" si="70"/>
        <v>1Q05</v>
      </c>
      <c r="D261" s="710">
        <f t="shared" ref="D261:E276" si="73">D260+7</f>
        <v>38377</v>
      </c>
      <c r="E261" s="710">
        <f t="shared" si="73"/>
        <v>38317</v>
      </c>
      <c r="F261" s="712">
        <v>48.79</v>
      </c>
      <c r="G261" s="713">
        <f t="shared" si="71"/>
        <v>1.4900000000000011</v>
      </c>
      <c r="H261" s="713">
        <f t="shared" si="72"/>
        <v>1.4900000000000011</v>
      </c>
      <c r="I261" s="697"/>
      <c r="J261" s="697"/>
      <c r="K261" s="697"/>
      <c r="L261" s="697"/>
      <c r="M261" s="697"/>
      <c r="N261" s="697"/>
      <c r="O261" s="697"/>
      <c r="P261" s="697"/>
      <c r="Q261" s="697"/>
      <c r="R261" s="697"/>
      <c r="S261" s="697"/>
      <c r="T261" s="697"/>
      <c r="U261" s="697"/>
      <c r="V261" s="697"/>
      <c r="W261" s="697"/>
      <c r="X261" s="697"/>
      <c r="Y261" s="697"/>
      <c r="Z261" s="697"/>
      <c r="AA261" s="697"/>
      <c r="AB261" s="697"/>
      <c r="AC261" s="697"/>
      <c r="AD261" s="697"/>
      <c r="AE261" s="697"/>
      <c r="AF261" s="697"/>
      <c r="AG261" s="697"/>
      <c r="AH261" s="697"/>
      <c r="AI261" s="697"/>
      <c r="AJ261" s="697"/>
      <c r="AK261" s="697"/>
      <c r="AL261" s="697"/>
      <c r="AM261" s="697"/>
      <c r="AN261" s="697"/>
      <c r="AO261" s="697"/>
      <c r="AP261" s="697"/>
      <c r="AQ261" s="697"/>
      <c r="AR261" s="697"/>
      <c r="AS261" s="697"/>
      <c r="AT261" s="697"/>
      <c r="AU261" s="697"/>
      <c r="AV261" s="697"/>
      <c r="AW261" s="697"/>
      <c r="AX261" s="697"/>
      <c r="AY261" s="697"/>
      <c r="AZ261" s="697"/>
      <c r="BA261" s="697"/>
      <c r="BB261" s="697"/>
      <c r="BC261" s="697"/>
      <c r="BD261" s="697"/>
      <c r="BE261" s="697"/>
      <c r="BF261" s="697"/>
      <c r="BG261" s="697"/>
      <c r="BH261" s="697"/>
      <c r="BI261" s="697"/>
      <c r="BJ261" s="697"/>
      <c r="BK261" s="697"/>
      <c r="BL261" s="697"/>
      <c r="BM261" s="697"/>
      <c r="BN261" s="697"/>
      <c r="BO261" s="697"/>
      <c r="BP261" s="697"/>
      <c r="BQ261" s="697"/>
      <c r="BR261" s="697"/>
      <c r="BS261" s="697"/>
      <c r="BT261" s="697"/>
      <c r="BU261" s="697"/>
      <c r="BV261" s="697"/>
      <c r="BW261" s="697"/>
      <c r="BX261" s="697"/>
      <c r="BY261" s="697"/>
      <c r="BZ261" s="697"/>
      <c r="CA261" s="697"/>
      <c r="CB261" s="697"/>
      <c r="CC261" s="697"/>
      <c r="CD261" s="697"/>
      <c r="CE261" s="697"/>
      <c r="CF261" s="697"/>
      <c r="CG261" s="697"/>
      <c r="CH261" s="697"/>
      <c r="CI261" s="697"/>
      <c r="CJ261" s="697"/>
      <c r="CK261" s="697"/>
      <c r="CL261" s="697"/>
      <c r="CM261" s="697"/>
      <c r="CN261" s="697"/>
      <c r="CO261" s="697"/>
      <c r="CP261" s="697"/>
      <c r="CQ261" s="697"/>
      <c r="CR261" s="697"/>
      <c r="CS261" s="697"/>
      <c r="CT261" s="697"/>
      <c r="CU261" s="697"/>
      <c r="CV261" s="697"/>
      <c r="CW261" s="697"/>
      <c r="CX261" s="697"/>
      <c r="CY261" s="697"/>
      <c r="CZ261" s="697"/>
      <c r="DA261" s="697"/>
      <c r="DB261" s="697"/>
    </row>
    <row r="262" spans="1:106" hidden="1" outlineLevel="1" x14ac:dyDescent="0.2">
      <c r="A262" s="709">
        <f t="shared" si="68"/>
        <v>38322</v>
      </c>
      <c r="B262" s="709" t="str">
        <f t="shared" si="69"/>
        <v>4Q04</v>
      </c>
      <c r="C262" s="709" t="str">
        <f t="shared" si="70"/>
        <v>1Q05</v>
      </c>
      <c r="D262" s="710">
        <f t="shared" si="73"/>
        <v>38384</v>
      </c>
      <c r="E262" s="710">
        <f t="shared" si="73"/>
        <v>38324</v>
      </c>
      <c r="F262" s="712">
        <v>46.06</v>
      </c>
      <c r="G262" s="713">
        <f t="shared" si="71"/>
        <v>1.4900000000000011</v>
      </c>
      <c r="H262" s="713">
        <f t="shared" si="72"/>
        <v>1.4900000000000011</v>
      </c>
      <c r="I262" s="697"/>
      <c r="J262" s="697"/>
      <c r="K262" s="697"/>
      <c r="L262" s="697"/>
      <c r="M262" s="697"/>
      <c r="N262" s="697"/>
      <c r="O262" s="697"/>
      <c r="P262" s="697"/>
      <c r="Q262" s="697"/>
      <c r="R262" s="697"/>
      <c r="S262" s="697"/>
      <c r="T262" s="697"/>
      <c r="U262" s="697"/>
      <c r="V262" s="697"/>
      <c r="W262" s="697"/>
      <c r="X262" s="697"/>
      <c r="Y262" s="697"/>
      <c r="Z262" s="697"/>
      <c r="AA262" s="697"/>
      <c r="AB262" s="697"/>
      <c r="AC262" s="697"/>
      <c r="AD262" s="697"/>
      <c r="AE262" s="697"/>
      <c r="AF262" s="697"/>
      <c r="AG262" s="697"/>
      <c r="AH262" s="697"/>
      <c r="AI262" s="697"/>
      <c r="AJ262" s="697"/>
      <c r="AK262" s="697"/>
      <c r="AL262" s="697"/>
      <c r="AM262" s="697"/>
      <c r="AN262" s="697"/>
      <c r="AO262" s="697"/>
      <c r="AP262" s="697"/>
      <c r="AQ262" s="697"/>
      <c r="AR262" s="697"/>
      <c r="AS262" s="697"/>
      <c r="AT262" s="697"/>
      <c r="AU262" s="697"/>
      <c r="AV262" s="697"/>
      <c r="AW262" s="697"/>
      <c r="AX262" s="697"/>
      <c r="AY262" s="697"/>
      <c r="AZ262" s="697"/>
      <c r="BA262" s="697"/>
      <c r="BB262" s="697"/>
      <c r="BC262" s="697"/>
      <c r="BD262" s="697"/>
      <c r="BE262" s="697"/>
      <c r="BF262" s="697"/>
      <c r="BG262" s="697"/>
      <c r="BH262" s="697"/>
      <c r="BI262" s="697"/>
      <c r="BJ262" s="697"/>
      <c r="BK262" s="697"/>
      <c r="BL262" s="697"/>
      <c r="BM262" s="697"/>
      <c r="BN262" s="697"/>
      <c r="BO262" s="697"/>
      <c r="BP262" s="697"/>
      <c r="BQ262" s="697"/>
      <c r="BR262" s="697"/>
      <c r="BS262" s="697"/>
      <c r="BT262" s="697"/>
      <c r="BU262" s="697"/>
      <c r="BV262" s="697"/>
      <c r="BW262" s="697"/>
      <c r="BX262" s="697"/>
      <c r="BY262" s="697"/>
      <c r="BZ262" s="697"/>
      <c r="CA262" s="697"/>
      <c r="CB262" s="697"/>
      <c r="CC262" s="697"/>
      <c r="CD262" s="697"/>
      <c r="CE262" s="697"/>
      <c r="CF262" s="697"/>
      <c r="CG262" s="697"/>
      <c r="CH262" s="697"/>
      <c r="CI262" s="697"/>
      <c r="CJ262" s="697"/>
      <c r="CK262" s="697"/>
      <c r="CL262" s="697"/>
      <c r="CM262" s="697"/>
      <c r="CN262" s="697"/>
      <c r="CO262" s="697"/>
      <c r="CP262" s="697"/>
      <c r="CQ262" s="697"/>
      <c r="CR262" s="697"/>
      <c r="CS262" s="697"/>
      <c r="CT262" s="697"/>
      <c r="CU262" s="697"/>
      <c r="CV262" s="697"/>
      <c r="CW262" s="697"/>
      <c r="CX262" s="697"/>
      <c r="CY262" s="697"/>
      <c r="CZ262" s="697"/>
      <c r="DA262" s="697"/>
      <c r="DB262" s="697"/>
    </row>
    <row r="263" spans="1:106" hidden="1" outlineLevel="1" x14ac:dyDescent="0.2">
      <c r="A263" s="709">
        <f t="shared" si="68"/>
        <v>38322</v>
      </c>
      <c r="B263" s="709" t="str">
        <f t="shared" si="69"/>
        <v>4Q04</v>
      </c>
      <c r="C263" s="709" t="str">
        <f t="shared" si="70"/>
        <v>1Q05</v>
      </c>
      <c r="D263" s="710">
        <f t="shared" si="73"/>
        <v>38391</v>
      </c>
      <c r="E263" s="710">
        <f t="shared" si="73"/>
        <v>38331</v>
      </c>
      <c r="F263" s="712">
        <v>41.91</v>
      </c>
      <c r="G263" s="713">
        <f t="shared" si="71"/>
        <v>1.4900000000000011</v>
      </c>
      <c r="H263" s="713">
        <f t="shared" si="72"/>
        <v>1.4900000000000011</v>
      </c>
      <c r="I263" s="697"/>
      <c r="J263" s="697"/>
      <c r="K263" s="697"/>
      <c r="L263" s="697"/>
      <c r="M263" s="697"/>
      <c r="N263" s="697"/>
      <c r="O263" s="697"/>
      <c r="P263" s="697"/>
      <c r="Q263" s="697"/>
      <c r="R263" s="697"/>
      <c r="S263" s="697"/>
      <c r="T263" s="697"/>
      <c r="U263" s="697"/>
      <c r="V263" s="697"/>
      <c r="W263" s="697"/>
      <c r="X263" s="697"/>
      <c r="Y263" s="697"/>
      <c r="Z263" s="697"/>
      <c r="AA263" s="697"/>
      <c r="AB263" s="697"/>
      <c r="AC263" s="697"/>
      <c r="AD263" s="697"/>
      <c r="AE263" s="697"/>
      <c r="AF263" s="697"/>
      <c r="AG263" s="697"/>
      <c r="AH263" s="697"/>
      <c r="AI263" s="697"/>
      <c r="AJ263" s="697"/>
      <c r="AK263" s="697"/>
      <c r="AL263" s="697"/>
      <c r="AM263" s="697"/>
      <c r="AN263" s="697"/>
      <c r="AO263" s="697"/>
      <c r="AP263" s="697"/>
      <c r="AQ263" s="697"/>
      <c r="AR263" s="697"/>
      <c r="AS263" s="697"/>
      <c r="AT263" s="697"/>
      <c r="AU263" s="697"/>
      <c r="AV263" s="697"/>
      <c r="AW263" s="697"/>
      <c r="AX263" s="697"/>
      <c r="AY263" s="697"/>
      <c r="AZ263" s="697"/>
      <c r="BA263" s="697"/>
      <c r="BB263" s="697"/>
      <c r="BC263" s="697"/>
      <c r="BD263" s="697"/>
      <c r="BE263" s="697"/>
      <c r="BF263" s="697"/>
      <c r="BG263" s="697"/>
      <c r="BH263" s="697"/>
      <c r="BI263" s="697"/>
      <c r="BJ263" s="697"/>
      <c r="BK263" s="697"/>
      <c r="BL263" s="697"/>
      <c r="BM263" s="697"/>
      <c r="BN263" s="697"/>
      <c r="BO263" s="697"/>
      <c r="BP263" s="697"/>
      <c r="BQ263" s="697"/>
      <c r="BR263" s="697"/>
      <c r="BS263" s="697"/>
      <c r="BT263" s="697"/>
      <c r="BU263" s="697"/>
      <c r="BV263" s="697"/>
      <c r="BW263" s="697"/>
      <c r="BX263" s="697"/>
      <c r="BY263" s="697"/>
      <c r="BZ263" s="697"/>
      <c r="CA263" s="697"/>
      <c r="CB263" s="697"/>
      <c r="CC263" s="697"/>
      <c r="CD263" s="697"/>
      <c r="CE263" s="697"/>
      <c r="CF263" s="697"/>
      <c r="CG263" s="697"/>
      <c r="CH263" s="697"/>
      <c r="CI263" s="697"/>
      <c r="CJ263" s="697"/>
      <c r="CK263" s="697"/>
      <c r="CL263" s="697"/>
      <c r="CM263" s="697"/>
      <c r="CN263" s="697"/>
      <c r="CO263" s="697"/>
      <c r="CP263" s="697"/>
      <c r="CQ263" s="697"/>
      <c r="CR263" s="697"/>
      <c r="CS263" s="697"/>
      <c r="CT263" s="697"/>
      <c r="CU263" s="697"/>
      <c r="CV263" s="697"/>
      <c r="CW263" s="697"/>
      <c r="CX263" s="697"/>
      <c r="CY263" s="697"/>
      <c r="CZ263" s="697"/>
      <c r="DA263" s="697"/>
      <c r="DB263" s="697"/>
    </row>
    <row r="264" spans="1:106" hidden="1" outlineLevel="1" x14ac:dyDescent="0.2">
      <c r="A264" s="709">
        <f t="shared" si="68"/>
        <v>38322</v>
      </c>
      <c r="B264" s="709" t="str">
        <f t="shared" si="69"/>
        <v>4Q04</v>
      </c>
      <c r="C264" s="709" t="str">
        <f t="shared" si="70"/>
        <v>1Q05</v>
      </c>
      <c r="D264" s="710">
        <f t="shared" si="73"/>
        <v>38398</v>
      </c>
      <c r="E264" s="710">
        <f t="shared" si="73"/>
        <v>38338</v>
      </c>
      <c r="F264" s="712">
        <v>43.5</v>
      </c>
      <c r="G264" s="713">
        <f t="shared" si="71"/>
        <v>1.4900000000000011</v>
      </c>
      <c r="H264" s="713">
        <f t="shared" si="72"/>
        <v>1.4900000000000011</v>
      </c>
      <c r="I264" s="697"/>
      <c r="J264" s="697"/>
      <c r="K264" s="697"/>
      <c r="L264" s="697"/>
      <c r="M264" s="697"/>
      <c r="N264" s="697"/>
      <c r="O264" s="697"/>
      <c r="P264" s="697"/>
      <c r="Q264" s="697"/>
      <c r="R264" s="697"/>
      <c r="S264" s="697"/>
      <c r="T264" s="697"/>
      <c r="U264" s="697"/>
      <c r="V264" s="697"/>
      <c r="W264" s="697"/>
      <c r="X264" s="697"/>
      <c r="Y264" s="697"/>
      <c r="Z264" s="697"/>
      <c r="AA264" s="697"/>
      <c r="AB264" s="697"/>
      <c r="AC264" s="697"/>
      <c r="AD264" s="697"/>
      <c r="AE264" s="697"/>
      <c r="AF264" s="697"/>
      <c r="AG264" s="697"/>
      <c r="AH264" s="697"/>
      <c r="AI264" s="697"/>
      <c r="AJ264" s="697"/>
      <c r="AK264" s="697"/>
      <c r="AL264" s="697"/>
      <c r="AM264" s="697"/>
      <c r="AN264" s="697"/>
      <c r="AO264" s="697"/>
      <c r="AP264" s="697"/>
      <c r="AQ264" s="697"/>
      <c r="AR264" s="697"/>
      <c r="AS264" s="697"/>
      <c r="AT264" s="697"/>
      <c r="AU264" s="697"/>
      <c r="AV264" s="697"/>
      <c r="AW264" s="697"/>
      <c r="AX264" s="697"/>
      <c r="AY264" s="697"/>
      <c r="AZ264" s="697"/>
      <c r="BA264" s="697"/>
      <c r="BB264" s="697"/>
      <c r="BC264" s="697"/>
      <c r="BD264" s="697"/>
      <c r="BE264" s="697"/>
      <c r="BF264" s="697"/>
      <c r="BG264" s="697"/>
      <c r="BH264" s="697"/>
      <c r="BI264" s="697"/>
      <c r="BJ264" s="697"/>
      <c r="BK264" s="697"/>
      <c r="BL264" s="697"/>
      <c r="BM264" s="697"/>
      <c r="BN264" s="697"/>
      <c r="BO264" s="697"/>
      <c r="BP264" s="697"/>
      <c r="BQ264" s="697"/>
      <c r="BR264" s="697"/>
      <c r="BS264" s="697"/>
      <c r="BT264" s="697"/>
      <c r="BU264" s="697"/>
      <c r="BV264" s="697"/>
      <c r="BW264" s="697"/>
      <c r="BX264" s="697"/>
      <c r="BY264" s="697"/>
      <c r="BZ264" s="697"/>
      <c r="CA264" s="697"/>
      <c r="CB264" s="697"/>
      <c r="CC264" s="697"/>
      <c r="CD264" s="697"/>
      <c r="CE264" s="697"/>
      <c r="CF264" s="697"/>
      <c r="CG264" s="697"/>
      <c r="CH264" s="697"/>
      <c r="CI264" s="697"/>
      <c r="CJ264" s="697"/>
      <c r="CK264" s="697"/>
      <c r="CL264" s="697"/>
      <c r="CM264" s="697"/>
      <c r="CN264" s="697"/>
      <c r="CO264" s="697"/>
      <c r="CP264" s="697"/>
      <c r="CQ264" s="697"/>
      <c r="CR264" s="697"/>
      <c r="CS264" s="697"/>
      <c r="CT264" s="697"/>
      <c r="CU264" s="697"/>
      <c r="CV264" s="697"/>
      <c r="CW264" s="697"/>
      <c r="CX264" s="697"/>
      <c r="CY264" s="697"/>
      <c r="CZ264" s="697"/>
      <c r="DA264" s="697"/>
      <c r="DB264" s="697"/>
    </row>
    <row r="265" spans="1:106" hidden="1" outlineLevel="1" x14ac:dyDescent="0.2">
      <c r="A265" s="709">
        <f t="shared" si="68"/>
        <v>38322</v>
      </c>
      <c r="B265" s="709" t="str">
        <f t="shared" si="69"/>
        <v>4Q04</v>
      </c>
      <c r="C265" s="709" t="str">
        <f t="shared" si="70"/>
        <v>1Q05</v>
      </c>
      <c r="D265" s="710">
        <f t="shared" si="73"/>
        <v>38405</v>
      </c>
      <c r="E265" s="710">
        <f t="shared" si="73"/>
        <v>38345</v>
      </c>
      <c r="F265" s="712">
        <v>44.39</v>
      </c>
      <c r="G265" s="713">
        <f t="shared" si="71"/>
        <v>1.4900000000000011</v>
      </c>
      <c r="H265" s="713">
        <f t="shared" si="72"/>
        <v>1.4900000000000011</v>
      </c>
      <c r="I265" s="697"/>
      <c r="J265" s="697"/>
      <c r="K265" s="697"/>
      <c r="L265" s="697"/>
      <c r="M265" s="697"/>
      <c r="N265" s="697"/>
      <c r="O265" s="697"/>
      <c r="P265" s="697"/>
      <c r="Q265" s="697"/>
      <c r="R265" s="697"/>
      <c r="S265" s="697"/>
      <c r="T265" s="697"/>
      <c r="U265" s="697"/>
      <c r="V265" s="697"/>
      <c r="W265" s="697"/>
      <c r="X265" s="697"/>
      <c r="Y265" s="697"/>
      <c r="Z265" s="697"/>
      <c r="AA265" s="697"/>
      <c r="AB265" s="697"/>
      <c r="AC265" s="697"/>
      <c r="AD265" s="697"/>
      <c r="AE265" s="697"/>
      <c r="AF265" s="697"/>
      <c r="AG265" s="697"/>
      <c r="AH265" s="697"/>
      <c r="AI265" s="697"/>
      <c r="AJ265" s="697"/>
      <c r="AK265" s="697"/>
      <c r="AL265" s="697"/>
      <c r="AM265" s="697"/>
      <c r="AN265" s="697"/>
      <c r="AO265" s="697"/>
      <c r="AP265" s="697"/>
      <c r="AQ265" s="697"/>
      <c r="AR265" s="697"/>
      <c r="AS265" s="697"/>
      <c r="AT265" s="697"/>
      <c r="AU265" s="697"/>
      <c r="AV265" s="697"/>
      <c r="AW265" s="697"/>
      <c r="AX265" s="697"/>
      <c r="AY265" s="697"/>
      <c r="AZ265" s="697"/>
      <c r="BA265" s="697"/>
      <c r="BB265" s="697"/>
      <c r="BC265" s="697"/>
      <c r="BD265" s="697"/>
      <c r="BE265" s="697"/>
      <c r="BF265" s="697"/>
      <c r="BG265" s="697"/>
      <c r="BH265" s="697"/>
      <c r="BI265" s="697"/>
      <c r="BJ265" s="697"/>
      <c r="BK265" s="697"/>
      <c r="BL265" s="697"/>
      <c r="BM265" s="697"/>
      <c r="BN265" s="697"/>
      <c r="BO265" s="697"/>
      <c r="BP265" s="697"/>
      <c r="BQ265" s="697"/>
      <c r="BR265" s="697"/>
      <c r="BS265" s="697"/>
      <c r="BT265" s="697"/>
      <c r="BU265" s="697"/>
      <c r="BV265" s="697"/>
      <c r="BW265" s="697"/>
      <c r="BX265" s="697"/>
      <c r="BY265" s="697"/>
      <c r="BZ265" s="697"/>
      <c r="CA265" s="697"/>
      <c r="CB265" s="697"/>
      <c r="CC265" s="697"/>
      <c r="CD265" s="697"/>
      <c r="CE265" s="697"/>
      <c r="CF265" s="697"/>
      <c r="CG265" s="697"/>
      <c r="CH265" s="697"/>
      <c r="CI265" s="697"/>
      <c r="CJ265" s="697"/>
      <c r="CK265" s="697"/>
      <c r="CL265" s="697"/>
      <c r="CM265" s="697"/>
      <c r="CN265" s="697"/>
      <c r="CO265" s="697"/>
      <c r="CP265" s="697"/>
      <c r="CQ265" s="697"/>
      <c r="CR265" s="697"/>
      <c r="CS265" s="697"/>
      <c r="CT265" s="697"/>
      <c r="CU265" s="697"/>
      <c r="CV265" s="697"/>
      <c r="CW265" s="697"/>
      <c r="CX265" s="697"/>
      <c r="CY265" s="697"/>
      <c r="CZ265" s="697"/>
      <c r="DA265" s="697"/>
      <c r="DB265" s="697"/>
    </row>
    <row r="266" spans="1:106" hidden="1" outlineLevel="1" x14ac:dyDescent="0.2">
      <c r="A266" s="709">
        <f t="shared" si="68"/>
        <v>38322</v>
      </c>
      <c r="B266" s="709" t="str">
        <f t="shared" si="69"/>
        <v>4Q04</v>
      </c>
      <c r="C266" s="709" t="str">
        <f t="shared" si="70"/>
        <v>1Q05</v>
      </c>
      <c r="D266" s="710">
        <f t="shared" si="73"/>
        <v>38412</v>
      </c>
      <c r="E266" s="710">
        <f t="shared" si="73"/>
        <v>38352</v>
      </c>
      <c r="F266" s="712">
        <v>42.52</v>
      </c>
      <c r="G266" s="713">
        <f t="shared" si="71"/>
        <v>1.4900000000000011</v>
      </c>
      <c r="H266" s="713">
        <f t="shared" si="72"/>
        <v>1.4900000000000011</v>
      </c>
      <c r="I266" s="697"/>
      <c r="J266" s="697"/>
      <c r="K266" s="697"/>
      <c r="L266" s="697"/>
      <c r="M266" s="697"/>
      <c r="N266" s="697"/>
      <c r="O266" s="697"/>
      <c r="P266" s="697"/>
      <c r="Q266" s="697"/>
      <c r="R266" s="697"/>
      <c r="S266" s="697"/>
      <c r="T266" s="697"/>
      <c r="U266" s="697"/>
      <c r="V266" s="697"/>
      <c r="W266" s="697"/>
      <c r="X266" s="697"/>
      <c r="Y266" s="697"/>
      <c r="Z266" s="697"/>
      <c r="AA266" s="697"/>
      <c r="AB266" s="697"/>
      <c r="AC266" s="697"/>
      <c r="AD266" s="697"/>
      <c r="AE266" s="697"/>
      <c r="AF266" s="697"/>
      <c r="AG266" s="697"/>
      <c r="AH266" s="697"/>
      <c r="AI266" s="697"/>
      <c r="AJ266" s="697"/>
      <c r="AK266" s="697"/>
      <c r="AL266" s="697"/>
      <c r="AM266" s="697"/>
      <c r="AN266" s="697"/>
      <c r="AO266" s="697"/>
      <c r="AP266" s="697"/>
      <c r="AQ266" s="697"/>
      <c r="AR266" s="697"/>
      <c r="AS266" s="697"/>
      <c r="AT266" s="697"/>
      <c r="AU266" s="697"/>
      <c r="AV266" s="697"/>
      <c r="AW266" s="697"/>
      <c r="AX266" s="697"/>
      <c r="AY266" s="697"/>
      <c r="AZ266" s="697"/>
      <c r="BA266" s="697"/>
      <c r="BB266" s="697"/>
      <c r="BC266" s="697"/>
      <c r="BD266" s="697"/>
      <c r="BE266" s="697"/>
      <c r="BF266" s="697"/>
      <c r="BG266" s="697"/>
      <c r="BH266" s="697"/>
      <c r="BI266" s="697"/>
      <c r="BJ266" s="697"/>
      <c r="BK266" s="697"/>
      <c r="BL266" s="697"/>
      <c r="BM266" s="697"/>
      <c r="BN266" s="697"/>
      <c r="BO266" s="697"/>
      <c r="BP266" s="697"/>
      <c r="BQ266" s="697"/>
      <c r="BR266" s="697"/>
      <c r="BS266" s="697"/>
      <c r="BT266" s="697"/>
      <c r="BU266" s="697"/>
      <c r="BV266" s="697"/>
      <c r="BW266" s="697"/>
      <c r="BX266" s="697"/>
      <c r="BY266" s="697"/>
      <c r="BZ266" s="697"/>
      <c r="CA266" s="697"/>
      <c r="CB266" s="697"/>
      <c r="CC266" s="697"/>
      <c r="CD266" s="697"/>
      <c r="CE266" s="697"/>
      <c r="CF266" s="697"/>
      <c r="CG266" s="697"/>
      <c r="CH266" s="697"/>
      <c r="CI266" s="697"/>
      <c r="CJ266" s="697"/>
      <c r="CK266" s="697"/>
      <c r="CL266" s="697"/>
      <c r="CM266" s="697"/>
      <c r="CN266" s="697"/>
      <c r="CO266" s="697"/>
      <c r="CP266" s="697"/>
      <c r="CQ266" s="697"/>
      <c r="CR266" s="697"/>
      <c r="CS266" s="697"/>
      <c r="CT266" s="697"/>
      <c r="CU266" s="697"/>
      <c r="CV266" s="697"/>
      <c r="CW266" s="697"/>
      <c r="CX266" s="697"/>
      <c r="CY266" s="697"/>
      <c r="CZ266" s="697"/>
      <c r="DA266" s="697"/>
      <c r="DB266" s="697"/>
    </row>
    <row r="267" spans="1:106" hidden="1" outlineLevel="1" x14ac:dyDescent="0.2">
      <c r="A267" s="709">
        <f t="shared" si="68"/>
        <v>38353</v>
      </c>
      <c r="B267" s="709" t="str">
        <f t="shared" si="69"/>
        <v>1Q05</v>
      </c>
      <c r="C267" s="709" t="str">
        <f t="shared" si="70"/>
        <v>1Q05</v>
      </c>
      <c r="D267" s="710">
        <f t="shared" si="73"/>
        <v>38419</v>
      </c>
      <c r="E267" s="710">
        <f t="shared" si="73"/>
        <v>38359</v>
      </c>
      <c r="F267" s="712">
        <v>44.07</v>
      </c>
      <c r="G267" s="713">
        <f t="shared" si="71"/>
        <v>1.4900000000000011</v>
      </c>
      <c r="H267" s="713">
        <f t="shared" si="72"/>
        <v>1.4900000000000011</v>
      </c>
      <c r="I267" s="697"/>
      <c r="J267" s="697"/>
      <c r="K267" s="697"/>
      <c r="L267" s="697"/>
      <c r="M267" s="697"/>
      <c r="N267" s="697"/>
      <c r="O267" s="697"/>
      <c r="P267" s="697"/>
      <c r="Q267" s="697"/>
      <c r="R267" s="697"/>
      <c r="S267" s="697"/>
      <c r="T267" s="697"/>
      <c r="U267" s="697"/>
      <c r="V267" s="697"/>
      <c r="W267" s="697"/>
      <c r="X267" s="697"/>
      <c r="Y267" s="697"/>
      <c r="Z267" s="697"/>
      <c r="AA267" s="697"/>
      <c r="AB267" s="697"/>
      <c r="AC267" s="697"/>
      <c r="AD267" s="697"/>
      <c r="AE267" s="697"/>
      <c r="AF267" s="697"/>
      <c r="AG267" s="697"/>
      <c r="AH267" s="697"/>
      <c r="AI267" s="697"/>
      <c r="AJ267" s="697"/>
      <c r="AK267" s="697"/>
      <c r="AL267" s="697"/>
      <c r="AM267" s="697"/>
      <c r="AN267" s="697"/>
      <c r="AO267" s="697"/>
      <c r="AP267" s="697"/>
      <c r="AQ267" s="697"/>
      <c r="AR267" s="697"/>
      <c r="AS267" s="697"/>
      <c r="AT267" s="697"/>
      <c r="AU267" s="697"/>
      <c r="AV267" s="697"/>
      <c r="AW267" s="697"/>
      <c r="AX267" s="697"/>
      <c r="AY267" s="697"/>
      <c r="AZ267" s="697"/>
      <c r="BA267" s="697"/>
      <c r="BB267" s="697"/>
      <c r="BC267" s="697"/>
      <c r="BD267" s="697"/>
      <c r="BE267" s="697"/>
      <c r="BF267" s="697"/>
      <c r="BG267" s="697"/>
      <c r="BH267" s="697"/>
      <c r="BI267" s="697"/>
      <c r="BJ267" s="697"/>
      <c r="BK267" s="697"/>
      <c r="BL267" s="697"/>
      <c r="BM267" s="697"/>
      <c r="BN267" s="697"/>
      <c r="BO267" s="697"/>
      <c r="BP267" s="697"/>
      <c r="BQ267" s="697"/>
      <c r="BR267" s="697"/>
      <c r="BS267" s="697"/>
      <c r="BT267" s="697"/>
      <c r="BU267" s="697"/>
      <c r="BV267" s="697"/>
      <c r="BW267" s="697"/>
      <c r="BX267" s="697"/>
      <c r="BY267" s="697"/>
      <c r="BZ267" s="697"/>
      <c r="CA267" s="697"/>
      <c r="CB267" s="697"/>
      <c r="CC267" s="697"/>
      <c r="CD267" s="697"/>
      <c r="CE267" s="697"/>
      <c r="CF267" s="697"/>
      <c r="CG267" s="697"/>
      <c r="CH267" s="697"/>
      <c r="CI267" s="697"/>
      <c r="CJ267" s="697"/>
      <c r="CK267" s="697"/>
      <c r="CL267" s="697"/>
      <c r="CM267" s="697"/>
      <c r="CN267" s="697"/>
      <c r="CO267" s="697"/>
      <c r="CP267" s="697"/>
      <c r="CQ267" s="697"/>
      <c r="CR267" s="697"/>
      <c r="CS267" s="697"/>
      <c r="CT267" s="697"/>
      <c r="CU267" s="697"/>
      <c r="CV267" s="697"/>
      <c r="CW267" s="697"/>
      <c r="CX267" s="697"/>
      <c r="CY267" s="697"/>
      <c r="CZ267" s="697"/>
      <c r="DA267" s="697"/>
      <c r="DB267" s="697"/>
    </row>
    <row r="268" spans="1:106" hidden="1" outlineLevel="1" x14ac:dyDescent="0.2">
      <c r="A268" s="709">
        <f t="shared" si="68"/>
        <v>38353</v>
      </c>
      <c r="B268" s="709" t="str">
        <f t="shared" si="69"/>
        <v>1Q05</v>
      </c>
      <c r="C268" s="709" t="str">
        <f t="shared" si="70"/>
        <v>1Q05</v>
      </c>
      <c r="D268" s="710">
        <f t="shared" si="73"/>
        <v>38426</v>
      </c>
      <c r="E268" s="710">
        <f t="shared" si="73"/>
        <v>38366</v>
      </c>
      <c r="F268" s="712">
        <v>46.79</v>
      </c>
      <c r="G268" s="713">
        <f t="shared" si="71"/>
        <v>1.4900000000000011</v>
      </c>
      <c r="H268" s="713">
        <f t="shared" si="72"/>
        <v>1.4900000000000011</v>
      </c>
      <c r="I268" s="697"/>
      <c r="J268" s="697"/>
      <c r="K268" s="697"/>
      <c r="L268" s="697"/>
      <c r="M268" s="697"/>
      <c r="N268" s="697"/>
      <c r="O268" s="697"/>
      <c r="P268" s="697"/>
      <c r="Q268" s="697"/>
      <c r="R268" s="697"/>
      <c r="S268" s="697"/>
      <c r="T268" s="697"/>
      <c r="U268" s="697"/>
      <c r="V268" s="697"/>
      <c r="W268" s="697"/>
      <c r="X268" s="697"/>
      <c r="Y268" s="697"/>
      <c r="Z268" s="697"/>
      <c r="AA268" s="697"/>
      <c r="AB268" s="697"/>
      <c r="AC268" s="697"/>
      <c r="AD268" s="697"/>
      <c r="AE268" s="697"/>
      <c r="AF268" s="697"/>
      <c r="AG268" s="697"/>
      <c r="AH268" s="697"/>
      <c r="AI268" s="697"/>
      <c r="AJ268" s="697"/>
      <c r="AK268" s="697"/>
      <c r="AL268" s="697"/>
      <c r="AM268" s="697"/>
      <c r="AN268" s="697"/>
      <c r="AO268" s="697"/>
      <c r="AP268" s="697"/>
      <c r="AQ268" s="697"/>
      <c r="AR268" s="697"/>
      <c r="AS268" s="697"/>
      <c r="AT268" s="697"/>
      <c r="AU268" s="697"/>
      <c r="AV268" s="697"/>
      <c r="AW268" s="697"/>
      <c r="AX268" s="697"/>
      <c r="AY268" s="697"/>
      <c r="AZ268" s="697"/>
      <c r="BA268" s="697"/>
      <c r="BB268" s="697"/>
      <c r="BC268" s="697"/>
      <c r="BD268" s="697"/>
      <c r="BE268" s="697"/>
      <c r="BF268" s="697"/>
      <c r="BG268" s="697"/>
      <c r="BH268" s="697"/>
      <c r="BI268" s="697"/>
      <c r="BJ268" s="697"/>
      <c r="BK268" s="697"/>
      <c r="BL268" s="697"/>
      <c r="BM268" s="697"/>
      <c r="BN268" s="697"/>
      <c r="BO268" s="697"/>
      <c r="BP268" s="697"/>
      <c r="BQ268" s="697"/>
      <c r="BR268" s="697"/>
      <c r="BS268" s="697"/>
      <c r="BT268" s="697"/>
      <c r="BU268" s="697"/>
      <c r="BV268" s="697"/>
      <c r="BW268" s="697"/>
      <c r="BX268" s="697"/>
      <c r="BY268" s="697"/>
      <c r="BZ268" s="697"/>
      <c r="CA268" s="697"/>
      <c r="CB268" s="697"/>
      <c r="CC268" s="697"/>
      <c r="CD268" s="697"/>
      <c r="CE268" s="697"/>
      <c r="CF268" s="697"/>
      <c r="CG268" s="697"/>
      <c r="CH268" s="697"/>
      <c r="CI268" s="697"/>
      <c r="CJ268" s="697"/>
      <c r="CK268" s="697"/>
      <c r="CL268" s="697"/>
      <c r="CM268" s="697"/>
      <c r="CN268" s="697"/>
      <c r="CO268" s="697"/>
      <c r="CP268" s="697"/>
      <c r="CQ268" s="697"/>
      <c r="CR268" s="697"/>
      <c r="CS268" s="697"/>
      <c r="CT268" s="697"/>
      <c r="CU268" s="697"/>
      <c r="CV268" s="697"/>
      <c r="CW268" s="697"/>
      <c r="CX268" s="697"/>
      <c r="CY268" s="697"/>
      <c r="CZ268" s="697"/>
      <c r="DA268" s="697"/>
      <c r="DB268" s="697"/>
    </row>
    <row r="269" spans="1:106" hidden="1" outlineLevel="1" x14ac:dyDescent="0.2">
      <c r="A269" s="709">
        <f t="shared" si="68"/>
        <v>38353</v>
      </c>
      <c r="B269" s="709" t="str">
        <f t="shared" si="69"/>
        <v>1Q05</v>
      </c>
      <c r="C269" s="709" t="str">
        <f t="shared" si="70"/>
        <v>1Q05</v>
      </c>
      <c r="D269" s="710">
        <f t="shared" si="73"/>
        <v>38433</v>
      </c>
      <c r="E269" s="710">
        <f t="shared" si="73"/>
        <v>38373</v>
      </c>
      <c r="F269" s="712">
        <v>47.85</v>
      </c>
      <c r="G269" s="713">
        <f t="shared" si="71"/>
        <v>1.4900000000000011</v>
      </c>
      <c r="H269" s="713">
        <f t="shared" si="72"/>
        <v>1.4900000000000011</v>
      </c>
      <c r="I269" s="697"/>
      <c r="J269" s="697"/>
      <c r="K269" s="697"/>
      <c r="L269" s="697"/>
      <c r="M269" s="697"/>
      <c r="N269" s="697"/>
      <c r="O269" s="697"/>
      <c r="P269" s="697"/>
      <c r="Q269" s="697"/>
      <c r="R269" s="697"/>
      <c r="S269" s="697"/>
      <c r="T269" s="697"/>
      <c r="U269" s="697"/>
      <c r="V269" s="697"/>
      <c r="W269" s="697"/>
      <c r="X269" s="697"/>
      <c r="Y269" s="697"/>
      <c r="Z269" s="697"/>
      <c r="AA269" s="697"/>
      <c r="AB269" s="697"/>
      <c r="AC269" s="697"/>
      <c r="AD269" s="697"/>
      <c r="AE269" s="697"/>
      <c r="AF269" s="697"/>
      <c r="AG269" s="697"/>
      <c r="AH269" s="697"/>
      <c r="AI269" s="697"/>
      <c r="AJ269" s="697"/>
      <c r="AK269" s="697"/>
      <c r="AL269" s="697"/>
      <c r="AM269" s="697"/>
      <c r="AN269" s="697"/>
      <c r="AO269" s="697"/>
      <c r="AP269" s="697"/>
      <c r="AQ269" s="697"/>
      <c r="AR269" s="697"/>
      <c r="AS269" s="697"/>
      <c r="AT269" s="697"/>
      <c r="AU269" s="697"/>
      <c r="AV269" s="697"/>
      <c r="AW269" s="697"/>
      <c r="AX269" s="697"/>
      <c r="AY269" s="697"/>
      <c r="AZ269" s="697"/>
      <c r="BA269" s="697"/>
      <c r="BB269" s="697"/>
      <c r="BC269" s="697"/>
      <c r="BD269" s="697"/>
      <c r="BE269" s="697"/>
      <c r="BF269" s="697"/>
      <c r="BG269" s="697"/>
      <c r="BH269" s="697"/>
      <c r="BI269" s="697"/>
      <c r="BJ269" s="697"/>
      <c r="BK269" s="697"/>
      <c r="BL269" s="697"/>
      <c r="BM269" s="697"/>
      <c r="BN269" s="697"/>
      <c r="BO269" s="697"/>
      <c r="BP269" s="697"/>
      <c r="BQ269" s="697"/>
      <c r="BR269" s="697"/>
      <c r="BS269" s="697"/>
      <c r="BT269" s="697"/>
      <c r="BU269" s="697"/>
      <c r="BV269" s="697"/>
      <c r="BW269" s="697"/>
      <c r="BX269" s="697"/>
      <c r="BY269" s="697"/>
      <c r="BZ269" s="697"/>
      <c r="CA269" s="697"/>
      <c r="CB269" s="697"/>
      <c r="CC269" s="697"/>
      <c r="CD269" s="697"/>
      <c r="CE269" s="697"/>
      <c r="CF269" s="697"/>
      <c r="CG269" s="697"/>
      <c r="CH269" s="697"/>
      <c r="CI269" s="697"/>
      <c r="CJ269" s="697"/>
      <c r="CK269" s="697"/>
      <c r="CL269" s="697"/>
      <c r="CM269" s="697"/>
      <c r="CN269" s="697"/>
      <c r="CO269" s="697"/>
      <c r="CP269" s="697"/>
      <c r="CQ269" s="697"/>
      <c r="CR269" s="697"/>
      <c r="CS269" s="697"/>
      <c r="CT269" s="697"/>
      <c r="CU269" s="697"/>
      <c r="CV269" s="697"/>
      <c r="CW269" s="697"/>
      <c r="CX269" s="697"/>
      <c r="CY269" s="697"/>
      <c r="CZ269" s="697"/>
      <c r="DA269" s="697"/>
      <c r="DB269" s="697"/>
    </row>
    <row r="270" spans="1:106" hidden="1" outlineLevel="1" x14ac:dyDescent="0.2">
      <c r="A270" s="709">
        <f t="shared" si="68"/>
        <v>38353</v>
      </c>
      <c r="B270" s="709" t="str">
        <f t="shared" si="69"/>
        <v>1Q05</v>
      </c>
      <c r="C270" s="709" t="str">
        <f t="shared" si="70"/>
        <v>1Q05</v>
      </c>
      <c r="D270" s="710">
        <f t="shared" si="73"/>
        <v>38440</v>
      </c>
      <c r="E270" s="710">
        <f t="shared" si="73"/>
        <v>38380</v>
      </c>
      <c r="F270" s="712">
        <v>48.56</v>
      </c>
      <c r="G270" s="713">
        <f t="shared" si="71"/>
        <v>1.4900000000000011</v>
      </c>
      <c r="H270" s="713">
        <f t="shared" si="72"/>
        <v>1.4900000000000011</v>
      </c>
      <c r="I270" s="697"/>
      <c r="J270" s="697"/>
      <c r="K270" s="697"/>
      <c r="L270" s="697"/>
      <c r="M270" s="697"/>
      <c r="N270" s="697"/>
      <c r="O270" s="697"/>
      <c r="P270" s="697"/>
      <c r="Q270" s="697"/>
      <c r="R270" s="697"/>
      <c r="S270" s="697"/>
      <c r="T270" s="697"/>
      <c r="U270" s="697"/>
      <c r="V270" s="697"/>
      <c r="W270" s="697"/>
      <c r="X270" s="697"/>
      <c r="Y270" s="697"/>
      <c r="Z270" s="697"/>
      <c r="AA270" s="697"/>
      <c r="AB270" s="697"/>
      <c r="AC270" s="697"/>
      <c r="AD270" s="697"/>
      <c r="AE270" s="697"/>
      <c r="AF270" s="697"/>
      <c r="AG270" s="697"/>
      <c r="AH270" s="697"/>
      <c r="AI270" s="697"/>
      <c r="AJ270" s="697"/>
      <c r="AK270" s="697"/>
      <c r="AL270" s="697"/>
      <c r="AM270" s="697"/>
      <c r="AN270" s="697"/>
      <c r="AO270" s="697"/>
      <c r="AP270" s="697"/>
      <c r="AQ270" s="697"/>
      <c r="AR270" s="697"/>
      <c r="AS270" s="697"/>
      <c r="AT270" s="697"/>
      <c r="AU270" s="697"/>
      <c r="AV270" s="697"/>
      <c r="AW270" s="697"/>
      <c r="AX270" s="697"/>
      <c r="AY270" s="697"/>
      <c r="AZ270" s="697"/>
      <c r="BA270" s="697"/>
      <c r="BB270" s="697"/>
      <c r="BC270" s="697"/>
      <c r="BD270" s="697"/>
      <c r="BE270" s="697"/>
      <c r="BF270" s="697"/>
      <c r="BG270" s="697"/>
      <c r="BH270" s="697"/>
      <c r="BI270" s="697"/>
      <c r="BJ270" s="697"/>
      <c r="BK270" s="697"/>
      <c r="BL270" s="697"/>
      <c r="BM270" s="697"/>
      <c r="BN270" s="697"/>
      <c r="BO270" s="697"/>
      <c r="BP270" s="697"/>
      <c r="BQ270" s="697"/>
      <c r="BR270" s="697"/>
      <c r="BS270" s="697"/>
      <c r="BT270" s="697"/>
      <c r="BU270" s="697"/>
      <c r="BV270" s="697"/>
      <c r="BW270" s="697"/>
      <c r="BX270" s="697"/>
      <c r="BY270" s="697"/>
      <c r="BZ270" s="697"/>
      <c r="CA270" s="697"/>
      <c r="CB270" s="697"/>
      <c r="CC270" s="697"/>
      <c r="CD270" s="697"/>
      <c r="CE270" s="697"/>
      <c r="CF270" s="697"/>
      <c r="CG270" s="697"/>
      <c r="CH270" s="697"/>
      <c r="CI270" s="697"/>
      <c r="CJ270" s="697"/>
      <c r="CK270" s="697"/>
      <c r="CL270" s="697"/>
      <c r="CM270" s="697"/>
      <c r="CN270" s="697"/>
      <c r="CO270" s="697"/>
      <c r="CP270" s="697"/>
      <c r="CQ270" s="697"/>
      <c r="CR270" s="697"/>
      <c r="CS270" s="697"/>
      <c r="CT270" s="697"/>
      <c r="CU270" s="697"/>
      <c r="CV270" s="697"/>
      <c r="CW270" s="697"/>
      <c r="CX270" s="697"/>
      <c r="CY270" s="697"/>
      <c r="CZ270" s="697"/>
      <c r="DA270" s="697"/>
      <c r="DB270" s="697"/>
    </row>
    <row r="271" spans="1:106" hidden="1" outlineLevel="1" x14ac:dyDescent="0.2">
      <c r="A271" s="709">
        <f t="shared" si="68"/>
        <v>38384</v>
      </c>
      <c r="B271" s="709" t="str">
        <f t="shared" si="69"/>
        <v>1Q05</v>
      </c>
      <c r="C271" s="709" t="str">
        <f t="shared" si="70"/>
        <v>2Q05</v>
      </c>
      <c r="D271" s="710">
        <f t="shared" si="73"/>
        <v>38447</v>
      </c>
      <c r="E271" s="710">
        <f t="shared" si="73"/>
        <v>38387</v>
      </c>
      <c r="F271" s="712">
        <v>46.97</v>
      </c>
      <c r="G271" s="713">
        <f t="shared" si="71"/>
        <v>1.4900000000000011</v>
      </c>
      <c r="H271" s="713">
        <f t="shared" si="72"/>
        <v>1.4900000000000011</v>
      </c>
      <c r="I271" s="697"/>
      <c r="J271" s="697"/>
      <c r="K271" s="697"/>
      <c r="L271" s="697"/>
      <c r="M271" s="697"/>
      <c r="N271" s="697"/>
      <c r="O271" s="697"/>
      <c r="P271" s="697"/>
      <c r="Q271" s="697"/>
      <c r="R271" s="697"/>
      <c r="S271" s="697"/>
      <c r="T271" s="697"/>
      <c r="U271" s="697"/>
      <c r="V271" s="697"/>
      <c r="W271" s="697"/>
      <c r="X271" s="697"/>
      <c r="Y271" s="697"/>
      <c r="Z271" s="697"/>
      <c r="AA271" s="697"/>
      <c r="AB271" s="697"/>
      <c r="AC271" s="697"/>
      <c r="AD271" s="697"/>
      <c r="AE271" s="697"/>
      <c r="AF271" s="697"/>
      <c r="AG271" s="697"/>
      <c r="AH271" s="697"/>
      <c r="AI271" s="697"/>
      <c r="AJ271" s="697"/>
      <c r="AK271" s="697"/>
      <c r="AL271" s="697"/>
      <c r="AM271" s="697"/>
      <c r="AN271" s="697"/>
      <c r="AO271" s="697"/>
      <c r="AP271" s="697"/>
      <c r="AQ271" s="697"/>
      <c r="AR271" s="697"/>
      <c r="AS271" s="697"/>
      <c r="AT271" s="697"/>
      <c r="AU271" s="697"/>
      <c r="AV271" s="697"/>
      <c r="AW271" s="697"/>
      <c r="AX271" s="697"/>
      <c r="AY271" s="697"/>
      <c r="AZ271" s="697"/>
      <c r="BA271" s="697"/>
      <c r="BB271" s="697"/>
      <c r="BC271" s="697"/>
      <c r="BD271" s="697"/>
      <c r="BE271" s="697"/>
      <c r="BF271" s="697"/>
      <c r="BG271" s="697"/>
      <c r="BH271" s="697"/>
      <c r="BI271" s="697"/>
      <c r="BJ271" s="697"/>
      <c r="BK271" s="697"/>
      <c r="BL271" s="697"/>
      <c r="BM271" s="697"/>
      <c r="BN271" s="697"/>
      <c r="BO271" s="697"/>
      <c r="BP271" s="697"/>
      <c r="BQ271" s="697"/>
      <c r="BR271" s="697"/>
      <c r="BS271" s="697"/>
      <c r="BT271" s="697"/>
      <c r="BU271" s="697"/>
      <c r="BV271" s="697"/>
      <c r="BW271" s="697"/>
      <c r="BX271" s="697"/>
      <c r="BY271" s="697"/>
      <c r="BZ271" s="697"/>
      <c r="CA271" s="697"/>
      <c r="CB271" s="697"/>
      <c r="CC271" s="697"/>
      <c r="CD271" s="697"/>
      <c r="CE271" s="697"/>
      <c r="CF271" s="697"/>
      <c r="CG271" s="697"/>
      <c r="CH271" s="697"/>
      <c r="CI271" s="697"/>
      <c r="CJ271" s="697"/>
      <c r="CK271" s="697"/>
      <c r="CL271" s="697"/>
      <c r="CM271" s="697"/>
      <c r="CN271" s="697"/>
      <c r="CO271" s="697"/>
      <c r="CP271" s="697"/>
      <c r="CQ271" s="697"/>
      <c r="CR271" s="697"/>
      <c r="CS271" s="697"/>
      <c r="CT271" s="697"/>
      <c r="CU271" s="697"/>
      <c r="CV271" s="697"/>
      <c r="CW271" s="697"/>
      <c r="CX271" s="697"/>
      <c r="CY271" s="697"/>
      <c r="CZ271" s="697"/>
      <c r="DA271" s="697"/>
      <c r="DB271" s="697"/>
    </row>
    <row r="272" spans="1:106" hidden="1" outlineLevel="1" x14ac:dyDescent="0.2">
      <c r="A272" s="709">
        <f t="shared" si="68"/>
        <v>38384</v>
      </c>
      <c r="B272" s="709" t="str">
        <f t="shared" si="69"/>
        <v>1Q05</v>
      </c>
      <c r="C272" s="709" t="str">
        <f t="shared" si="70"/>
        <v>2Q05</v>
      </c>
      <c r="D272" s="710">
        <f t="shared" si="73"/>
        <v>38454</v>
      </c>
      <c r="E272" s="710">
        <f t="shared" si="73"/>
        <v>38394</v>
      </c>
      <c r="F272" s="712">
        <v>46.08</v>
      </c>
      <c r="G272" s="713">
        <f t="shared" si="71"/>
        <v>1.4900000000000011</v>
      </c>
      <c r="H272" s="713">
        <f t="shared" si="72"/>
        <v>1.4900000000000011</v>
      </c>
      <c r="I272" s="697"/>
      <c r="J272" s="697"/>
      <c r="K272" s="697"/>
      <c r="L272" s="697"/>
      <c r="M272" s="697"/>
      <c r="N272" s="697"/>
      <c r="O272" s="697"/>
      <c r="P272" s="697"/>
      <c r="Q272" s="697"/>
      <c r="R272" s="697"/>
      <c r="S272" s="697"/>
      <c r="T272" s="697"/>
      <c r="U272" s="697"/>
      <c r="V272" s="697"/>
      <c r="W272" s="697"/>
      <c r="X272" s="697"/>
      <c r="Y272" s="697"/>
      <c r="Z272" s="697"/>
      <c r="AA272" s="697"/>
      <c r="AB272" s="697"/>
      <c r="AC272" s="697"/>
      <c r="AD272" s="697"/>
      <c r="AE272" s="697"/>
      <c r="AF272" s="697"/>
      <c r="AG272" s="697"/>
      <c r="AH272" s="697"/>
      <c r="AI272" s="697"/>
      <c r="AJ272" s="697"/>
      <c r="AK272" s="697"/>
      <c r="AL272" s="697"/>
      <c r="AM272" s="697"/>
      <c r="AN272" s="697"/>
      <c r="AO272" s="697"/>
      <c r="AP272" s="697"/>
      <c r="AQ272" s="697"/>
      <c r="AR272" s="697"/>
      <c r="AS272" s="697"/>
      <c r="AT272" s="697"/>
      <c r="AU272" s="697"/>
      <c r="AV272" s="697"/>
      <c r="AW272" s="697"/>
      <c r="AX272" s="697"/>
      <c r="AY272" s="697"/>
      <c r="AZ272" s="697"/>
      <c r="BA272" s="697"/>
      <c r="BB272" s="697"/>
      <c r="BC272" s="697"/>
      <c r="BD272" s="697"/>
      <c r="BE272" s="697"/>
      <c r="BF272" s="697"/>
      <c r="BG272" s="697"/>
      <c r="BH272" s="697"/>
      <c r="BI272" s="697"/>
      <c r="BJ272" s="697"/>
      <c r="BK272" s="697"/>
      <c r="BL272" s="697"/>
      <c r="BM272" s="697"/>
      <c r="BN272" s="697"/>
      <c r="BO272" s="697"/>
      <c r="BP272" s="697"/>
      <c r="BQ272" s="697"/>
      <c r="BR272" s="697"/>
      <c r="BS272" s="697"/>
      <c r="BT272" s="697"/>
      <c r="BU272" s="697"/>
      <c r="BV272" s="697"/>
      <c r="BW272" s="697"/>
      <c r="BX272" s="697"/>
      <c r="BY272" s="697"/>
      <c r="BZ272" s="697"/>
      <c r="CA272" s="697"/>
      <c r="CB272" s="697"/>
      <c r="CC272" s="697"/>
      <c r="CD272" s="697"/>
      <c r="CE272" s="697"/>
      <c r="CF272" s="697"/>
      <c r="CG272" s="697"/>
      <c r="CH272" s="697"/>
      <c r="CI272" s="697"/>
      <c r="CJ272" s="697"/>
      <c r="CK272" s="697"/>
      <c r="CL272" s="697"/>
      <c r="CM272" s="697"/>
      <c r="CN272" s="697"/>
      <c r="CO272" s="697"/>
      <c r="CP272" s="697"/>
      <c r="CQ272" s="697"/>
      <c r="CR272" s="697"/>
      <c r="CS272" s="697"/>
      <c r="CT272" s="697"/>
      <c r="CU272" s="697"/>
      <c r="CV272" s="697"/>
      <c r="CW272" s="697"/>
      <c r="CX272" s="697"/>
      <c r="CY272" s="697"/>
      <c r="CZ272" s="697"/>
      <c r="DA272" s="697"/>
      <c r="DB272" s="697"/>
    </row>
    <row r="273" spans="1:106" hidden="1" outlineLevel="1" x14ac:dyDescent="0.2">
      <c r="A273" s="709">
        <f t="shared" si="68"/>
        <v>38384</v>
      </c>
      <c r="B273" s="709" t="str">
        <f t="shared" si="69"/>
        <v>1Q05</v>
      </c>
      <c r="C273" s="709" t="str">
        <f t="shared" si="70"/>
        <v>2Q05</v>
      </c>
      <c r="D273" s="710">
        <f t="shared" si="73"/>
        <v>38461</v>
      </c>
      <c r="E273" s="710">
        <f t="shared" si="73"/>
        <v>38401</v>
      </c>
      <c r="F273" s="712">
        <v>47.82</v>
      </c>
      <c r="G273" s="713">
        <f t="shared" si="71"/>
        <v>1.4900000000000011</v>
      </c>
      <c r="H273" s="713">
        <f t="shared" si="72"/>
        <v>1.4900000000000011</v>
      </c>
      <c r="I273" s="697"/>
      <c r="J273" s="697"/>
      <c r="K273" s="697"/>
      <c r="L273" s="697"/>
      <c r="M273" s="697"/>
      <c r="N273" s="697"/>
      <c r="O273" s="697"/>
      <c r="P273" s="697"/>
      <c r="Q273" s="697"/>
      <c r="R273" s="697"/>
      <c r="S273" s="697"/>
      <c r="T273" s="697"/>
      <c r="U273" s="697"/>
      <c r="V273" s="697"/>
      <c r="W273" s="697"/>
      <c r="X273" s="697"/>
      <c r="Y273" s="697"/>
      <c r="Z273" s="697"/>
      <c r="AA273" s="697"/>
      <c r="AB273" s="697"/>
      <c r="AC273" s="697"/>
      <c r="AD273" s="697"/>
      <c r="AE273" s="697"/>
      <c r="AF273" s="697"/>
      <c r="AG273" s="697"/>
      <c r="AH273" s="697"/>
      <c r="AI273" s="697"/>
      <c r="AJ273" s="697"/>
      <c r="AK273" s="697"/>
      <c r="AL273" s="697"/>
      <c r="AM273" s="697"/>
      <c r="AN273" s="697"/>
      <c r="AO273" s="697"/>
      <c r="AP273" s="697"/>
      <c r="AQ273" s="697"/>
      <c r="AR273" s="697"/>
      <c r="AS273" s="697"/>
      <c r="AT273" s="697"/>
      <c r="AU273" s="697"/>
      <c r="AV273" s="697"/>
      <c r="AW273" s="697"/>
      <c r="AX273" s="697"/>
      <c r="AY273" s="697"/>
      <c r="AZ273" s="697"/>
      <c r="BA273" s="697"/>
      <c r="BB273" s="697"/>
      <c r="BC273" s="697"/>
      <c r="BD273" s="697"/>
      <c r="BE273" s="697"/>
      <c r="BF273" s="697"/>
      <c r="BG273" s="697"/>
      <c r="BH273" s="697"/>
      <c r="BI273" s="697"/>
      <c r="BJ273" s="697"/>
      <c r="BK273" s="697"/>
      <c r="BL273" s="697"/>
      <c r="BM273" s="697"/>
      <c r="BN273" s="697"/>
      <c r="BO273" s="697"/>
      <c r="BP273" s="697"/>
      <c r="BQ273" s="697"/>
      <c r="BR273" s="697"/>
      <c r="BS273" s="697"/>
      <c r="BT273" s="697"/>
      <c r="BU273" s="697"/>
      <c r="BV273" s="697"/>
      <c r="BW273" s="697"/>
      <c r="BX273" s="697"/>
      <c r="BY273" s="697"/>
      <c r="BZ273" s="697"/>
      <c r="CA273" s="697"/>
      <c r="CB273" s="697"/>
      <c r="CC273" s="697"/>
      <c r="CD273" s="697"/>
      <c r="CE273" s="697"/>
      <c r="CF273" s="697"/>
      <c r="CG273" s="697"/>
      <c r="CH273" s="697"/>
      <c r="CI273" s="697"/>
      <c r="CJ273" s="697"/>
      <c r="CK273" s="697"/>
      <c r="CL273" s="697"/>
      <c r="CM273" s="697"/>
      <c r="CN273" s="697"/>
      <c r="CO273" s="697"/>
      <c r="CP273" s="697"/>
      <c r="CQ273" s="697"/>
      <c r="CR273" s="697"/>
      <c r="CS273" s="697"/>
      <c r="CT273" s="697"/>
      <c r="CU273" s="697"/>
      <c r="CV273" s="697"/>
      <c r="CW273" s="697"/>
      <c r="CX273" s="697"/>
      <c r="CY273" s="697"/>
      <c r="CZ273" s="697"/>
      <c r="DA273" s="697"/>
      <c r="DB273" s="697"/>
    </row>
    <row r="274" spans="1:106" hidden="1" outlineLevel="1" x14ac:dyDescent="0.2">
      <c r="A274" s="709">
        <f t="shared" si="68"/>
        <v>38384</v>
      </c>
      <c r="B274" s="709" t="str">
        <f t="shared" si="69"/>
        <v>1Q05</v>
      </c>
      <c r="C274" s="709" t="str">
        <f t="shared" si="70"/>
        <v>2Q05</v>
      </c>
      <c r="D274" s="710">
        <f t="shared" si="73"/>
        <v>38468</v>
      </c>
      <c r="E274" s="710">
        <f t="shared" si="73"/>
        <v>38408</v>
      </c>
      <c r="F274" s="712">
        <v>51.75</v>
      </c>
      <c r="G274" s="713">
        <f t="shared" si="71"/>
        <v>1.4900000000000011</v>
      </c>
      <c r="H274" s="713">
        <f t="shared" si="72"/>
        <v>1.4900000000000011</v>
      </c>
      <c r="I274" s="697"/>
      <c r="J274" s="697"/>
      <c r="K274" s="697"/>
      <c r="L274" s="697"/>
      <c r="M274" s="697"/>
      <c r="N274" s="697"/>
      <c r="O274" s="697"/>
      <c r="P274" s="697"/>
      <c r="Q274" s="697"/>
      <c r="R274" s="697"/>
      <c r="S274" s="697"/>
      <c r="T274" s="697"/>
      <c r="U274" s="697"/>
      <c r="V274" s="697"/>
      <c r="W274" s="697"/>
      <c r="X274" s="697"/>
      <c r="Y274" s="697"/>
      <c r="Z274" s="697"/>
      <c r="AA274" s="697"/>
      <c r="AB274" s="697"/>
      <c r="AC274" s="697"/>
      <c r="AD274" s="697"/>
      <c r="AE274" s="697"/>
      <c r="AF274" s="697"/>
      <c r="AG274" s="697"/>
      <c r="AH274" s="697"/>
      <c r="AI274" s="697"/>
      <c r="AJ274" s="697"/>
      <c r="AK274" s="697"/>
      <c r="AL274" s="697"/>
      <c r="AM274" s="697"/>
      <c r="AN274" s="697"/>
      <c r="AO274" s="697"/>
      <c r="AP274" s="697"/>
      <c r="AQ274" s="697"/>
      <c r="AR274" s="697"/>
      <c r="AS274" s="697"/>
      <c r="AT274" s="697"/>
      <c r="AU274" s="697"/>
      <c r="AV274" s="697"/>
      <c r="AW274" s="697"/>
      <c r="AX274" s="697"/>
      <c r="AY274" s="697"/>
      <c r="AZ274" s="697"/>
      <c r="BA274" s="697"/>
      <c r="BB274" s="697"/>
      <c r="BC274" s="697"/>
      <c r="BD274" s="697"/>
      <c r="BE274" s="697"/>
      <c r="BF274" s="697"/>
      <c r="BG274" s="697"/>
      <c r="BH274" s="697"/>
      <c r="BI274" s="697"/>
      <c r="BJ274" s="697"/>
      <c r="BK274" s="697"/>
      <c r="BL274" s="697"/>
      <c r="BM274" s="697"/>
      <c r="BN274" s="697"/>
      <c r="BO274" s="697"/>
      <c r="BP274" s="697"/>
      <c r="BQ274" s="697"/>
      <c r="BR274" s="697"/>
      <c r="BS274" s="697"/>
      <c r="BT274" s="697"/>
      <c r="BU274" s="697"/>
      <c r="BV274" s="697"/>
      <c r="BW274" s="697"/>
      <c r="BX274" s="697"/>
      <c r="BY274" s="697"/>
      <c r="BZ274" s="697"/>
      <c r="CA274" s="697"/>
      <c r="CB274" s="697"/>
      <c r="CC274" s="697"/>
      <c r="CD274" s="697"/>
      <c r="CE274" s="697"/>
      <c r="CF274" s="697"/>
      <c r="CG274" s="697"/>
      <c r="CH274" s="697"/>
      <c r="CI274" s="697"/>
      <c r="CJ274" s="697"/>
      <c r="CK274" s="697"/>
      <c r="CL274" s="697"/>
      <c r="CM274" s="697"/>
      <c r="CN274" s="697"/>
      <c r="CO274" s="697"/>
      <c r="CP274" s="697"/>
      <c r="CQ274" s="697"/>
      <c r="CR274" s="697"/>
      <c r="CS274" s="697"/>
      <c r="CT274" s="697"/>
      <c r="CU274" s="697"/>
      <c r="CV274" s="697"/>
      <c r="CW274" s="697"/>
      <c r="CX274" s="697"/>
      <c r="CY274" s="697"/>
      <c r="CZ274" s="697"/>
      <c r="DA274" s="697"/>
      <c r="DB274" s="697"/>
    </row>
    <row r="275" spans="1:106" hidden="1" outlineLevel="1" x14ac:dyDescent="0.2">
      <c r="A275" s="709">
        <f t="shared" si="68"/>
        <v>38412</v>
      </c>
      <c r="B275" s="709" t="str">
        <f t="shared" si="69"/>
        <v>1Q05</v>
      </c>
      <c r="C275" s="709" t="str">
        <f t="shared" si="70"/>
        <v>2Q05</v>
      </c>
      <c r="D275" s="710">
        <f t="shared" si="73"/>
        <v>38475</v>
      </c>
      <c r="E275" s="710">
        <f t="shared" si="73"/>
        <v>38415</v>
      </c>
      <c r="F275" s="712">
        <v>52.74</v>
      </c>
      <c r="G275" s="713">
        <f t="shared" si="71"/>
        <v>1.4900000000000011</v>
      </c>
      <c r="H275" s="713">
        <f t="shared" si="72"/>
        <v>1.4900000000000011</v>
      </c>
      <c r="I275" s="697"/>
      <c r="J275" s="697"/>
      <c r="K275" s="697"/>
      <c r="L275" s="697"/>
      <c r="M275" s="697"/>
      <c r="N275" s="697"/>
      <c r="O275" s="697"/>
      <c r="P275" s="697"/>
      <c r="Q275" s="697"/>
      <c r="R275" s="697"/>
      <c r="S275" s="697"/>
      <c r="T275" s="697"/>
      <c r="U275" s="697"/>
      <c r="V275" s="697"/>
      <c r="W275" s="697"/>
      <c r="X275" s="697"/>
      <c r="Y275" s="697"/>
      <c r="Z275" s="697"/>
      <c r="AA275" s="697"/>
      <c r="AB275" s="697"/>
      <c r="AC275" s="697"/>
      <c r="AD275" s="697"/>
      <c r="AE275" s="697"/>
      <c r="AF275" s="697"/>
      <c r="AG275" s="697"/>
      <c r="AH275" s="697"/>
      <c r="AI275" s="697"/>
      <c r="AJ275" s="697"/>
      <c r="AK275" s="697"/>
      <c r="AL275" s="697"/>
      <c r="AM275" s="697"/>
      <c r="AN275" s="697"/>
      <c r="AO275" s="697"/>
      <c r="AP275" s="697"/>
      <c r="AQ275" s="697"/>
      <c r="AR275" s="697"/>
      <c r="AS275" s="697"/>
      <c r="AT275" s="697"/>
      <c r="AU275" s="697"/>
      <c r="AV275" s="697"/>
      <c r="AW275" s="697"/>
      <c r="AX275" s="697"/>
      <c r="AY275" s="697"/>
      <c r="AZ275" s="697"/>
      <c r="BA275" s="697"/>
      <c r="BB275" s="697"/>
      <c r="BC275" s="697"/>
      <c r="BD275" s="697"/>
      <c r="BE275" s="697"/>
      <c r="BF275" s="697"/>
      <c r="BG275" s="697"/>
      <c r="BH275" s="697"/>
      <c r="BI275" s="697"/>
      <c r="BJ275" s="697"/>
      <c r="BK275" s="697"/>
      <c r="BL275" s="697"/>
      <c r="BM275" s="697"/>
      <c r="BN275" s="697"/>
      <c r="BO275" s="697"/>
      <c r="BP275" s="697"/>
      <c r="BQ275" s="697"/>
      <c r="BR275" s="697"/>
      <c r="BS275" s="697"/>
      <c r="BT275" s="697"/>
      <c r="BU275" s="697"/>
      <c r="BV275" s="697"/>
      <c r="BW275" s="697"/>
      <c r="BX275" s="697"/>
      <c r="BY275" s="697"/>
      <c r="BZ275" s="697"/>
      <c r="CA275" s="697"/>
      <c r="CB275" s="697"/>
      <c r="CC275" s="697"/>
      <c r="CD275" s="697"/>
      <c r="CE275" s="697"/>
      <c r="CF275" s="697"/>
      <c r="CG275" s="697"/>
      <c r="CH275" s="697"/>
      <c r="CI275" s="697"/>
      <c r="CJ275" s="697"/>
      <c r="CK275" s="697"/>
      <c r="CL275" s="697"/>
      <c r="CM275" s="697"/>
      <c r="CN275" s="697"/>
      <c r="CO275" s="697"/>
      <c r="CP275" s="697"/>
      <c r="CQ275" s="697"/>
      <c r="CR275" s="697"/>
      <c r="CS275" s="697"/>
      <c r="CT275" s="697"/>
      <c r="CU275" s="697"/>
      <c r="CV275" s="697"/>
      <c r="CW275" s="697"/>
      <c r="CX275" s="697"/>
      <c r="CY275" s="697"/>
      <c r="CZ275" s="697"/>
      <c r="DA275" s="697"/>
      <c r="DB275" s="697"/>
    </row>
    <row r="276" spans="1:106" hidden="1" outlineLevel="1" x14ac:dyDescent="0.2">
      <c r="A276" s="709">
        <f t="shared" si="68"/>
        <v>38412</v>
      </c>
      <c r="B276" s="709" t="str">
        <f t="shared" si="69"/>
        <v>1Q05</v>
      </c>
      <c r="C276" s="709" t="str">
        <f t="shared" si="70"/>
        <v>2Q05</v>
      </c>
      <c r="D276" s="710">
        <f t="shared" si="73"/>
        <v>38482</v>
      </c>
      <c r="E276" s="710">
        <f t="shared" si="73"/>
        <v>38422</v>
      </c>
      <c r="F276" s="712">
        <v>54.22</v>
      </c>
      <c r="G276" s="713">
        <f t="shared" si="71"/>
        <v>1.4900000000000011</v>
      </c>
      <c r="H276" s="713">
        <f t="shared" si="72"/>
        <v>1.4900000000000011</v>
      </c>
      <c r="I276" s="697"/>
      <c r="J276" s="697"/>
      <c r="K276" s="697"/>
      <c r="L276" s="697"/>
      <c r="M276" s="697"/>
      <c r="N276" s="697"/>
      <c r="O276" s="697"/>
      <c r="P276" s="697"/>
      <c r="Q276" s="697"/>
      <c r="R276" s="697"/>
      <c r="S276" s="697"/>
      <c r="T276" s="697"/>
      <c r="U276" s="697"/>
      <c r="V276" s="697"/>
      <c r="W276" s="697"/>
      <c r="X276" s="697"/>
      <c r="Y276" s="697"/>
      <c r="Z276" s="697"/>
      <c r="AA276" s="697"/>
      <c r="AB276" s="697"/>
      <c r="AC276" s="697"/>
      <c r="AD276" s="697"/>
      <c r="AE276" s="697"/>
      <c r="AF276" s="697"/>
      <c r="AG276" s="697"/>
      <c r="AH276" s="697"/>
      <c r="AI276" s="697"/>
      <c r="AJ276" s="697"/>
      <c r="AK276" s="697"/>
      <c r="AL276" s="697"/>
      <c r="AM276" s="697"/>
      <c r="AN276" s="697"/>
      <c r="AO276" s="697"/>
      <c r="AP276" s="697"/>
      <c r="AQ276" s="697"/>
      <c r="AR276" s="697"/>
      <c r="AS276" s="697"/>
      <c r="AT276" s="697"/>
      <c r="AU276" s="697"/>
      <c r="AV276" s="697"/>
      <c r="AW276" s="697"/>
      <c r="AX276" s="697"/>
      <c r="AY276" s="697"/>
      <c r="AZ276" s="697"/>
      <c r="BA276" s="697"/>
      <c r="BB276" s="697"/>
      <c r="BC276" s="697"/>
      <c r="BD276" s="697"/>
      <c r="BE276" s="697"/>
      <c r="BF276" s="697"/>
      <c r="BG276" s="697"/>
      <c r="BH276" s="697"/>
      <c r="BI276" s="697"/>
      <c r="BJ276" s="697"/>
      <c r="BK276" s="697"/>
      <c r="BL276" s="697"/>
      <c r="BM276" s="697"/>
      <c r="BN276" s="697"/>
      <c r="BO276" s="697"/>
      <c r="BP276" s="697"/>
      <c r="BQ276" s="697"/>
      <c r="BR276" s="697"/>
      <c r="BS276" s="697"/>
      <c r="BT276" s="697"/>
      <c r="BU276" s="697"/>
      <c r="BV276" s="697"/>
      <c r="BW276" s="697"/>
      <c r="BX276" s="697"/>
      <c r="BY276" s="697"/>
      <c r="BZ276" s="697"/>
      <c r="CA276" s="697"/>
      <c r="CB276" s="697"/>
      <c r="CC276" s="697"/>
      <c r="CD276" s="697"/>
      <c r="CE276" s="697"/>
      <c r="CF276" s="697"/>
      <c r="CG276" s="697"/>
      <c r="CH276" s="697"/>
      <c r="CI276" s="697"/>
      <c r="CJ276" s="697"/>
      <c r="CK276" s="697"/>
      <c r="CL276" s="697"/>
      <c r="CM276" s="697"/>
      <c r="CN276" s="697"/>
      <c r="CO276" s="697"/>
      <c r="CP276" s="697"/>
      <c r="CQ276" s="697"/>
      <c r="CR276" s="697"/>
      <c r="CS276" s="697"/>
      <c r="CT276" s="697"/>
      <c r="CU276" s="697"/>
      <c r="CV276" s="697"/>
      <c r="CW276" s="697"/>
      <c r="CX276" s="697"/>
      <c r="CY276" s="697"/>
      <c r="CZ276" s="697"/>
      <c r="DA276" s="697"/>
      <c r="DB276" s="697"/>
    </row>
    <row r="277" spans="1:106" hidden="1" outlineLevel="1" x14ac:dyDescent="0.2">
      <c r="A277" s="709">
        <f t="shared" si="68"/>
        <v>38412</v>
      </c>
      <c r="B277" s="709" t="str">
        <f t="shared" si="69"/>
        <v>1Q05</v>
      </c>
      <c r="C277" s="709" t="str">
        <f t="shared" si="70"/>
        <v>2Q05</v>
      </c>
      <c r="D277" s="710">
        <f t="shared" ref="D277:E292" si="74">D276+7</f>
        <v>38489</v>
      </c>
      <c r="E277" s="710">
        <f t="shared" si="74"/>
        <v>38429</v>
      </c>
      <c r="F277" s="712">
        <v>55.93</v>
      </c>
      <c r="G277" s="713">
        <f t="shared" si="71"/>
        <v>1.4900000000000011</v>
      </c>
      <c r="H277" s="713">
        <f t="shared" si="72"/>
        <v>1.4900000000000011</v>
      </c>
      <c r="I277" s="697"/>
      <c r="J277" s="697"/>
      <c r="K277" s="697"/>
      <c r="L277" s="697"/>
      <c r="M277" s="697"/>
      <c r="N277" s="697"/>
      <c r="O277" s="697"/>
      <c r="P277" s="697"/>
      <c r="Q277" s="697"/>
      <c r="R277" s="697"/>
      <c r="S277" s="697"/>
      <c r="T277" s="697"/>
      <c r="U277" s="697"/>
      <c r="V277" s="697"/>
      <c r="W277" s="697"/>
      <c r="X277" s="697"/>
      <c r="Y277" s="697"/>
      <c r="Z277" s="697"/>
      <c r="AA277" s="697"/>
      <c r="AB277" s="697"/>
      <c r="AC277" s="697"/>
      <c r="AD277" s="697"/>
      <c r="AE277" s="697"/>
      <c r="AF277" s="697"/>
      <c r="AG277" s="697"/>
      <c r="AH277" s="697"/>
      <c r="AI277" s="697"/>
      <c r="AJ277" s="697"/>
      <c r="AK277" s="697"/>
      <c r="AL277" s="697"/>
      <c r="AM277" s="697"/>
      <c r="AN277" s="697"/>
      <c r="AO277" s="697"/>
      <c r="AP277" s="697"/>
      <c r="AQ277" s="697"/>
      <c r="AR277" s="697"/>
      <c r="AS277" s="697"/>
      <c r="AT277" s="697"/>
      <c r="AU277" s="697"/>
      <c r="AV277" s="697"/>
      <c r="AW277" s="697"/>
      <c r="AX277" s="697"/>
      <c r="AY277" s="697"/>
      <c r="AZ277" s="697"/>
      <c r="BA277" s="697"/>
      <c r="BB277" s="697"/>
      <c r="BC277" s="697"/>
      <c r="BD277" s="697"/>
      <c r="BE277" s="697"/>
      <c r="BF277" s="697"/>
      <c r="BG277" s="697"/>
      <c r="BH277" s="697"/>
      <c r="BI277" s="697"/>
      <c r="BJ277" s="697"/>
      <c r="BK277" s="697"/>
      <c r="BL277" s="697"/>
      <c r="BM277" s="697"/>
      <c r="BN277" s="697"/>
      <c r="BO277" s="697"/>
      <c r="BP277" s="697"/>
      <c r="BQ277" s="697"/>
      <c r="BR277" s="697"/>
      <c r="BS277" s="697"/>
      <c r="BT277" s="697"/>
      <c r="BU277" s="697"/>
      <c r="BV277" s="697"/>
      <c r="BW277" s="697"/>
      <c r="BX277" s="697"/>
      <c r="BY277" s="697"/>
      <c r="BZ277" s="697"/>
      <c r="CA277" s="697"/>
      <c r="CB277" s="697"/>
      <c r="CC277" s="697"/>
      <c r="CD277" s="697"/>
      <c r="CE277" s="697"/>
      <c r="CF277" s="697"/>
      <c r="CG277" s="697"/>
      <c r="CH277" s="697"/>
      <c r="CI277" s="697"/>
      <c r="CJ277" s="697"/>
      <c r="CK277" s="697"/>
      <c r="CL277" s="697"/>
      <c r="CM277" s="697"/>
      <c r="CN277" s="697"/>
      <c r="CO277" s="697"/>
      <c r="CP277" s="697"/>
      <c r="CQ277" s="697"/>
      <c r="CR277" s="697"/>
      <c r="CS277" s="697"/>
      <c r="CT277" s="697"/>
      <c r="CU277" s="697"/>
      <c r="CV277" s="697"/>
      <c r="CW277" s="697"/>
      <c r="CX277" s="697"/>
      <c r="CY277" s="697"/>
      <c r="CZ277" s="697"/>
      <c r="DA277" s="697"/>
      <c r="DB277" s="697"/>
    </row>
    <row r="278" spans="1:106" hidden="1" outlineLevel="1" x14ac:dyDescent="0.2">
      <c r="A278" s="709">
        <f t="shared" si="68"/>
        <v>38412</v>
      </c>
      <c r="B278" s="709" t="str">
        <f t="shared" si="69"/>
        <v>1Q05</v>
      </c>
      <c r="C278" s="709" t="str">
        <f t="shared" si="70"/>
        <v>2Q05</v>
      </c>
      <c r="D278" s="710">
        <f t="shared" si="74"/>
        <v>38496</v>
      </c>
      <c r="E278" s="710">
        <f t="shared" si="74"/>
        <v>38436</v>
      </c>
      <c r="F278" s="712">
        <v>52.95</v>
      </c>
      <c r="G278" s="713">
        <f t="shared" si="71"/>
        <v>1.4900000000000011</v>
      </c>
      <c r="H278" s="713">
        <f t="shared" si="72"/>
        <v>1.4900000000000011</v>
      </c>
      <c r="I278" s="697"/>
      <c r="J278" s="697"/>
      <c r="K278" s="697"/>
      <c r="L278" s="697"/>
      <c r="M278" s="697"/>
      <c r="N278" s="697"/>
      <c r="O278" s="697"/>
      <c r="P278" s="697"/>
      <c r="Q278" s="697"/>
      <c r="R278" s="697"/>
      <c r="S278" s="697"/>
      <c r="T278" s="697"/>
      <c r="U278" s="697"/>
      <c r="V278" s="697"/>
      <c r="W278" s="697"/>
      <c r="X278" s="697"/>
      <c r="Y278" s="697"/>
      <c r="Z278" s="697"/>
      <c r="AA278" s="697"/>
      <c r="AB278" s="697"/>
      <c r="AC278" s="697"/>
      <c r="AD278" s="697"/>
      <c r="AE278" s="697"/>
      <c r="AF278" s="697"/>
      <c r="AG278" s="697"/>
      <c r="AH278" s="697"/>
      <c r="AI278" s="697"/>
      <c r="AJ278" s="697"/>
      <c r="AK278" s="697"/>
      <c r="AL278" s="697"/>
      <c r="AM278" s="697"/>
      <c r="AN278" s="697"/>
      <c r="AO278" s="697"/>
      <c r="AP278" s="697"/>
      <c r="AQ278" s="697"/>
      <c r="AR278" s="697"/>
      <c r="AS278" s="697"/>
      <c r="AT278" s="697"/>
      <c r="AU278" s="697"/>
      <c r="AV278" s="697"/>
      <c r="AW278" s="697"/>
      <c r="AX278" s="697"/>
      <c r="AY278" s="697"/>
      <c r="AZ278" s="697"/>
      <c r="BA278" s="697"/>
      <c r="BB278" s="697"/>
      <c r="BC278" s="697"/>
      <c r="BD278" s="697"/>
      <c r="BE278" s="697"/>
      <c r="BF278" s="697"/>
      <c r="BG278" s="697"/>
      <c r="BH278" s="697"/>
      <c r="BI278" s="697"/>
      <c r="BJ278" s="697"/>
      <c r="BK278" s="697"/>
      <c r="BL278" s="697"/>
      <c r="BM278" s="697"/>
      <c r="BN278" s="697"/>
      <c r="BO278" s="697"/>
      <c r="BP278" s="697"/>
      <c r="BQ278" s="697"/>
      <c r="BR278" s="697"/>
      <c r="BS278" s="697"/>
      <c r="BT278" s="697"/>
      <c r="BU278" s="697"/>
      <c r="BV278" s="697"/>
      <c r="BW278" s="697"/>
      <c r="BX278" s="697"/>
      <c r="BY278" s="697"/>
      <c r="BZ278" s="697"/>
      <c r="CA278" s="697"/>
      <c r="CB278" s="697"/>
      <c r="CC278" s="697"/>
      <c r="CD278" s="697"/>
      <c r="CE278" s="697"/>
      <c r="CF278" s="697"/>
      <c r="CG278" s="697"/>
      <c r="CH278" s="697"/>
      <c r="CI278" s="697"/>
      <c r="CJ278" s="697"/>
      <c r="CK278" s="697"/>
      <c r="CL278" s="697"/>
      <c r="CM278" s="697"/>
      <c r="CN278" s="697"/>
      <c r="CO278" s="697"/>
      <c r="CP278" s="697"/>
      <c r="CQ278" s="697"/>
      <c r="CR278" s="697"/>
      <c r="CS278" s="697"/>
      <c r="CT278" s="697"/>
      <c r="CU278" s="697"/>
      <c r="CV278" s="697"/>
      <c r="CW278" s="697"/>
      <c r="CX278" s="697"/>
      <c r="CY278" s="697"/>
      <c r="CZ278" s="697"/>
      <c r="DA278" s="697"/>
      <c r="DB278" s="697"/>
    </row>
    <row r="279" spans="1:106" hidden="1" outlineLevel="1" x14ac:dyDescent="0.2">
      <c r="A279" s="709">
        <f t="shared" si="68"/>
        <v>38443</v>
      </c>
      <c r="B279" s="709" t="str">
        <f t="shared" si="69"/>
        <v>2Q05</v>
      </c>
      <c r="C279" s="709" t="str">
        <f t="shared" si="70"/>
        <v>2Q05</v>
      </c>
      <c r="D279" s="710">
        <f t="shared" si="74"/>
        <v>38503</v>
      </c>
      <c r="E279" s="710">
        <f t="shared" si="74"/>
        <v>38443</v>
      </c>
      <c r="F279" s="712">
        <v>54.97</v>
      </c>
      <c r="G279" s="713">
        <f t="shared" si="71"/>
        <v>1.4900000000000011</v>
      </c>
      <c r="H279" s="713">
        <f t="shared" si="72"/>
        <v>1.4900000000000011</v>
      </c>
      <c r="I279" s="697"/>
      <c r="J279" s="697"/>
      <c r="K279" s="697"/>
      <c r="L279" s="697"/>
      <c r="M279" s="697"/>
      <c r="N279" s="697"/>
      <c r="O279" s="697"/>
      <c r="P279" s="697"/>
      <c r="Q279" s="697"/>
      <c r="R279" s="697"/>
      <c r="S279" s="697"/>
      <c r="T279" s="697"/>
      <c r="U279" s="697"/>
      <c r="V279" s="697"/>
      <c r="W279" s="697"/>
      <c r="X279" s="697"/>
      <c r="Y279" s="697"/>
      <c r="Z279" s="697"/>
      <c r="AA279" s="697"/>
      <c r="AB279" s="697"/>
      <c r="AC279" s="697"/>
      <c r="AD279" s="697"/>
      <c r="AE279" s="697"/>
      <c r="AF279" s="697"/>
      <c r="AG279" s="697"/>
      <c r="AH279" s="697"/>
      <c r="AI279" s="697"/>
      <c r="AJ279" s="697"/>
      <c r="AK279" s="697"/>
      <c r="AL279" s="697"/>
      <c r="AM279" s="697"/>
      <c r="AN279" s="697"/>
      <c r="AO279" s="697"/>
      <c r="AP279" s="697"/>
      <c r="AQ279" s="697"/>
      <c r="AR279" s="697"/>
      <c r="AS279" s="697"/>
      <c r="AT279" s="697"/>
      <c r="AU279" s="697"/>
      <c r="AV279" s="697"/>
      <c r="AW279" s="697"/>
      <c r="AX279" s="697"/>
      <c r="AY279" s="697"/>
      <c r="AZ279" s="697"/>
      <c r="BA279" s="697"/>
      <c r="BB279" s="697"/>
      <c r="BC279" s="697"/>
      <c r="BD279" s="697"/>
      <c r="BE279" s="697"/>
      <c r="BF279" s="697"/>
      <c r="BG279" s="697"/>
      <c r="BH279" s="697"/>
      <c r="BI279" s="697"/>
      <c r="BJ279" s="697"/>
      <c r="BK279" s="697"/>
      <c r="BL279" s="697"/>
      <c r="BM279" s="697"/>
      <c r="BN279" s="697"/>
      <c r="BO279" s="697"/>
      <c r="BP279" s="697"/>
      <c r="BQ279" s="697"/>
      <c r="BR279" s="697"/>
      <c r="BS279" s="697"/>
      <c r="BT279" s="697"/>
      <c r="BU279" s="697"/>
      <c r="BV279" s="697"/>
      <c r="BW279" s="697"/>
      <c r="BX279" s="697"/>
      <c r="BY279" s="697"/>
      <c r="BZ279" s="697"/>
      <c r="CA279" s="697"/>
      <c r="CB279" s="697"/>
      <c r="CC279" s="697"/>
      <c r="CD279" s="697"/>
      <c r="CE279" s="697"/>
      <c r="CF279" s="697"/>
      <c r="CG279" s="697"/>
      <c r="CH279" s="697"/>
      <c r="CI279" s="697"/>
      <c r="CJ279" s="697"/>
      <c r="CK279" s="697"/>
      <c r="CL279" s="697"/>
      <c r="CM279" s="697"/>
      <c r="CN279" s="697"/>
      <c r="CO279" s="697"/>
      <c r="CP279" s="697"/>
      <c r="CQ279" s="697"/>
      <c r="CR279" s="697"/>
      <c r="CS279" s="697"/>
      <c r="CT279" s="697"/>
      <c r="CU279" s="697"/>
      <c r="CV279" s="697"/>
      <c r="CW279" s="697"/>
      <c r="CX279" s="697"/>
      <c r="CY279" s="697"/>
      <c r="CZ279" s="697"/>
      <c r="DA279" s="697"/>
      <c r="DB279" s="697"/>
    </row>
    <row r="280" spans="1:106" hidden="1" outlineLevel="1" x14ac:dyDescent="0.2">
      <c r="A280" s="709">
        <f t="shared" si="68"/>
        <v>38443</v>
      </c>
      <c r="B280" s="709" t="str">
        <f t="shared" si="69"/>
        <v>2Q05</v>
      </c>
      <c r="C280" s="709" t="str">
        <f t="shared" si="70"/>
        <v>2Q05</v>
      </c>
      <c r="D280" s="710">
        <f t="shared" si="74"/>
        <v>38510</v>
      </c>
      <c r="E280" s="710">
        <f t="shared" si="74"/>
        <v>38450</v>
      </c>
      <c r="F280" s="712">
        <v>55.24</v>
      </c>
      <c r="G280" s="713">
        <f t="shared" si="71"/>
        <v>1.4900000000000011</v>
      </c>
      <c r="H280" s="713">
        <f t="shared" si="72"/>
        <v>1.4900000000000011</v>
      </c>
      <c r="I280" s="697"/>
      <c r="J280" s="697"/>
      <c r="K280" s="697"/>
      <c r="L280" s="697"/>
      <c r="M280" s="697"/>
      <c r="N280" s="697"/>
      <c r="O280" s="697"/>
      <c r="P280" s="697"/>
      <c r="Q280" s="697"/>
      <c r="R280" s="697"/>
      <c r="S280" s="697"/>
      <c r="T280" s="697"/>
      <c r="U280" s="697"/>
      <c r="V280" s="697"/>
      <c r="W280" s="697"/>
      <c r="X280" s="697"/>
      <c r="Y280" s="697"/>
      <c r="Z280" s="697"/>
      <c r="AA280" s="697"/>
      <c r="AB280" s="697"/>
      <c r="AC280" s="697"/>
      <c r="AD280" s="697"/>
      <c r="AE280" s="697"/>
      <c r="AF280" s="697"/>
      <c r="AG280" s="697"/>
      <c r="AH280" s="697"/>
      <c r="AI280" s="697"/>
      <c r="AJ280" s="697"/>
      <c r="AK280" s="697"/>
      <c r="AL280" s="697"/>
      <c r="AM280" s="697"/>
      <c r="AN280" s="697"/>
      <c r="AO280" s="697"/>
      <c r="AP280" s="697"/>
      <c r="AQ280" s="697"/>
      <c r="AR280" s="697"/>
      <c r="AS280" s="697"/>
      <c r="AT280" s="697"/>
      <c r="AU280" s="697"/>
      <c r="AV280" s="697"/>
      <c r="AW280" s="697"/>
      <c r="AX280" s="697"/>
      <c r="AY280" s="697"/>
      <c r="AZ280" s="697"/>
      <c r="BA280" s="697"/>
      <c r="BB280" s="697"/>
      <c r="BC280" s="697"/>
      <c r="BD280" s="697"/>
      <c r="BE280" s="697"/>
      <c r="BF280" s="697"/>
      <c r="BG280" s="697"/>
      <c r="BH280" s="697"/>
      <c r="BI280" s="697"/>
      <c r="BJ280" s="697"/>
      <c r="BK280" s="697"/>
      <c r="BL280" s="697"/>
      <c r="BM280" s="697"/>
      <c r="BN280" s="697"/>
      <c r="BO280" s="697"/>
      <c r="BP280" s="697"/>
      <c r="BQ280" s="697"/>
      <c r="BR280" s="697"/>
      <c r="BS280" s="697"/>
      <c r="BT280" s="697"/>
      <c r="BU280" s="697"/>
      <c r="BV280" s="697"/>
      <c r="BW280" s="697"/>
      <c r="BX280" s="697"/>
      <c r="BY280" s="697"/>
      <c r="BZ280" s="697"/>
      <c r="CA280" s="697"/>
      <c r="CB280" s="697"/>
      <c r="CC280" s="697"/>
      <c r="CD280" s="697"/>
      <c r="CE280" s="697"/>
      <c r="CF280" s="697"/>
      <c r="CG280" s="697"/>
      <c r="CH280" s="697"/>
      <c r="CI280" s="697"/>
      <c r="CJ280" s="697"/>
      <c r="CK280" s="697"/>
      <c r="CL280" s="697"/>
      <c r="CM280" s="697"/>
      <c r="CN280" s="697"/>
      <c r="CO280" s="697"/>
      <c r="CP280" s="697"/>
      <c r="CQ280" s="697"/>
      <c r="CR280" s="697"/>
      <c r="CS280" s="697"/>
      <c r="CT280" s="697"/>
      <c r="CU280" s="697"/>
      <c r="CV280" s="697"/>
      <c r="CW280" s="697"/>
      <c r="CX280" s="697"/>
      <c r="CY280" s="697"/>
      <c r="CZ280" s="697"/>
      <c r="DA280" s="697"/>
      <c r="DB280" s="697"/>
    </row>
    <row r="281" spans="1:106" hidden="1" outlineLevel="1" x14ac:dyDescent="0.2">
      <c r="A281" s="709">
        <f t="shared" si="68"/>
        <v>38443</v>
      </c>
      <c r="B281" s="709" t="str">
        <f t="shared" si="69"/>
        <v>2Q05</v>
      </c>
      <c r="C281" s="709" t="str">
        <f t="shared" si="70"/>
        <v>2Q05</v>
      </c>
      <c r="D281" s="710">
        <f t="shared" si="74"/>
        <v>38517</v>
      </c>
      <c r="E281" s="710">
        <f t="shared" si="74"/>
        <v>38457</v>
      </c>
      <c r="F281" s="712">
        <v>51.44</v>
      </c>
      <c r="G281" s="713">
        <f t="shared" si="71"/>
        <v>1.4900000000000011</v>
      </c>
      <c r="H281" s="713">
        <f t="shared" si="72"/>
        <v>1.4900000000000011</v>
      </c>
      <c r="I281" s="697"/>
      <c r="J281" s="697"/>
      <c r="K281" s="697"/>
      <c r="L281" s="697"/>
      <c r="M281" s="697"/>
      <c r="N281" s="697"/>
      <c r="O281" s="697"/>
      <c r="P281" s="697"/>
      <c r="Q281" s="697"/>
      <c r="R281" s="697"/>
      <c r="S281" s="697"/>
      <c r="T281" s="697"/>
      <c r="U281" s="697"/>
      <c r="V281" s="697"/>
      <c r="W281" s="697"/>
      <c r="X281" s="697"/>
      <c r="Y281" s="697"/>
      <c r="Z281" s="697"/>
      <c r="AA281" s="697"/>
      <c r="AB281" s="697"/>
      <c r="AC281" s="697"/>
      <c r="AD281" s="697"/>
      <c r="AE281" s="697"/>
      <c r="AF281" s="697"/>
      <c r="AG281" s="697"/>
      <c r="AH281" s="697"/>
      <c r="AI281" s="697"/>
      <c r="AJ281" s="697"/>
      <c r="AK281" s="697"/>
      <c r="AL281" s="697"/>
      <c r="AM281" s="697"/>
      <c r="AN281" s="697"/>
      <c r="AO281" s="697"/>
      <c r="AP281" s="697"/>
      <c r="AQ281" s="697"/>
      <c r="AR281" s="697"/>
      <c r="AS281" s="697"/>
      <c r="AT281" s="697"/>
      <c r="AU281" s="697"/>
      <c r="AV281" s="697"/>
      <c r="AW281" s="697"/>
      <c r="AX281" s="697"/>
      <c r="AY281" s="697"/>
      <c r="AZ281" s="697"/>
      <c r="BA281" s="697"/>
      <c r="BB281" s="697"/>
      <c r="BC281" s="697"/>
      <c r="BD281" s="697"/>
      <c r="BE281" s="697"/>
      <c r="BF281" s="697"/>
      <c r="BG281" s="697"/>
      <c r="BH281" s="697"/>
      <c r="BI281" s="697"/>
      <c r="BJ281" s="697"/>
      <c r="BK281" s="697"/>
      <c r="BL281" s="697"/>
      <c r="BM281" s="697"/>
      <c r="BN281" s="697"/>
      <c r="BO281" s="697"/>
      <c r="BP281" s="697"/>
      <c r="BQ281" s="697"/>
      <c r="BR281" s="697"/>
      <c r="BS281" s="697"/>
      <c r="BT281" s="697"/>
      <c r="BU281" s="697"/>
      <c r="BV281" s="697"/>
      <c r="BW281" s="697"/>
      <c r="BX281" s="697"/>
      <c r="BY281" s="697"/>
      <c r="BZ281" s="697"/>
      <c r="CA281" s="697"/>
      <c r="CB281" s="697"/>
      <c r="CC281" s="697"/>
      <c r="CD281" s="697"/>
      <c r="CE281" s="697"/>
      <c r="CF281" s="697"/>
      <c r="CG281" s="697"/>
      <c r="CH281" s="697"/>
      <c r="CI281" s="697"/>
      <c r="CJ281" s="697"/>
      <c r="CK281" s="697"/>
      <c r="CL281" s="697"/>
      <c r="CM281" s="697"/>
      <c r="CN281" s="697"/>
      <c r="CO281" s="697"/>
      <c r="CP281" s="697"/>
      <c r="CQ281" s="697"/>
      <c r="CR281" s="697"/>
      <c r="CS281" s="697"/>
      <c r="CT281" s="697"/>
      <c r="CU281" s="697"/>
      <c r="CV281" s="697"/>
      <c r="CW281" s="697"/>
      <c r="CX281" s="697"/>
      <c r="CY281" s="697"/>
      <c r="CZ281" s="697"/>
      <c r="DA281" s="697"/>
      <c r="DB281" s="697"/>
    </row>
    <row r="282" spans="1:106" hidden="1" outlineLevel="1" x14ac:dyDescent="0.2">
      <c r="A282" s="709">
        <f t="shared" si="68"/>
        <v>38443</v>
      </c>
      <c r="B282" s="709" t="str">
        <f t="shared" si="69"/>
        <v>2Q05</v>
      </c>
      <c r="C282" s="709" t="str">
        <f t="shared" si="70"/>
        <v>2Q05</v>
      </c>
      <c r="D282" s="710">
        <f t="shared" si="74"/>
        <v>38524</v>
      </c>
      <c r="E282" s="710">
        <f t="shared" si="74"/>
        <v>38464</v>
      </c>
      <c r="F282" s="712">
        <v>52.39</v>
      </c>
      <c r="G282" s="713">
        <f t="shared" si="71"/>
        <v>1.4900000000000011</v>
      </c>
      <c r="H282" s="713">
        <f t="shared" si="72"/>
        <v>1.4900000000000011</v>
      </c>
      <c r="I282" s="697"/>
      <c r="J282" s="697"/>
      <c r="K282" s="697"/>
      <c r="L282" s="697"/>
      <c r="M282" s="697"/>
      <c r="N282" s="697"/>
      <c r="O282" s="697"/>
      <c r="P282" s="697"/>
      <c r="Q282" s="697"/>
      <c r="R282" s="697"/>
      <c r="S282" s="697"/>
      <c r="T282" s="697"/>
      <c r="U282" s="697"/>
      <c r="V282" s="697"/>
      <c r="W282" s="697"/>
      <c r="X282" s="697"/>
      <c r="Y282" s="697"/>
      <c r="Z282" s="697"/>
      <c r="AA282" s="697"/>
      <c r="AB282" s="697"/>
      <c r="AC282" s="697"/>
      <c r="AD282" s="697"/>
      <c r="AE282" s="697"/>
      <c r="AF282" s="697"/>
      <c r="AG282" s="697"/>
      <c r="AH282" s="697"/>
      <c r="AI282" s="697"/>
      <c r="AJ282" s="697"/>
      <c r="AK282" s="697"/>
      <c r="AL282" s="697"/>
      <c r="AM282" s="697"/>
      <c r="AN282" s="697"/>
      <c r="AO282" s="697"/>
      <c r="AP282" s="697"/>
      <c r="AQ282" s="697"/>
      <c r="AR282" s="697"/>
      <c r="AS282" s="697"/>
      <c r="AT282" s="697"/>
      <c r="AU282" s="697"/>
      <c r="AV282" s="697"/>
      <c r="AW282" s="697"/>
      <c r="AX282" s="697"/>
      <c r="AY282" s="697"/>
      <c r="AZ282" s="697"/>
      <c r="BA282" s="697"/>
      <c r="BB282" s="697"/>
      <c r="BC282" s="697"/>
      <c r="BD282" s="697"/>
      <c r="BE282" s="697"/>
      <c r="BF282" s="697"/>
      <c r="BG282" s="697"/>
      <c r="BH282" s="697"/>
      <c r="BI282" s="697"/>
      <c r="BJ282" s="697"/>
      <c r="BK282" s="697"/>
      <c r="BL282" s="697"/>
      <c r="BM282" s="697"/>
      <c r="BN282" s="697"/>
      <c r="BO282" s="697"/>
      <c r="BP282" s="697"/>
      <c r="BQ282" s="697"/>
      <c r="BR282" s="697"/>
      <c r="BS282" s="697"/>
      <c r="BT282" s="697"/>
      <c r="BU282" s="697"/>
      <c r="BV282" s="697"/>
      <c r="BW282" s="697"/>
      <c r="BX282" s="697"/>
      <c r="BY282" s="697"/>
      <c r="BZ282" s="697"/>
      <c r="CA282" s="697"/>
      <c r="CB282" s="697"/>
      <c r="CC282" s="697"/>
      <c r="CD282" s="697"/>
      <c r="CE282" s="697"/>
      <c r="CF282" s="697"/>
      <c r="CG282" s="697"/>
      <c r="CH282" s="697"/>
      <c r="CI282" s="697"/>
      <c r="CJ282" s="697"/>
      <c r="CK282" s="697"/>
      <c r="CL282" s="697"/>
      <c r="CM282" s="697"/>
      <c r="CN282" s="697"/>
      <c r="CO282" s="697"/>
      <c r="CP282" s="697"/>
      <c r="CQ282" s="697"/>
      <c r="CR282" s="697"/>
      <c r="CS282" s="697"/>
      <c r="CT282" s="697"/>
      <c r="CU282" s="697"/>
      <c r="CV282" s="697"/>
      <c r="CW282" s="697"/>
      <c r="CX282" s="697"/>
      <c r="CY282" s="697"/>
      <c r="CZ282" s="697"/>
      <c r="DA282" s="697"/>
      <c r="DB282" s="697"/>
    </row>
    <row r="283" spans="1:106" hidden="1" outlineLevel="1" x14ac:dyDescent="0.2">
      <c r="A283" s="709">
        <f t="shared" si="68"/>
        <v>38443</v>
      </c>
      <c r="B283" s="709" t="str">
        <f t="shared" si="69"/>
        <v>2Q05</v>
      </c>
      <c r="C283" s="709" t="str">
        <f t="shared" si="70"/>
        <v>2Q05</v>
      </c>
      <c r="D283" s="710">
        <f t="shared" si="74"/>
        <v>38531</v>
      </c>
      <c r="E283" s="710">
        <f t="shared" si="74"/>
        <v>38471</v>
      </c>
      <c r="F283" s="712">
        <v>52</v>
      </c>
      <c r="G283" s="713">
        <f t="shared" si="71"/>
        <v>1.4900000000000011</v>
      </c>
      <c r="H283" s="713">
        <f t="shared" si="72"/>
        <v>1.4900000000000011</v>
      </c>
      <c r="I283" s="697"/>
      <c r="J283" s="697"/>
      <c r="K283" s="697"/>
      <c r="L283" s="697"/>
      <c r="M283" s="697"/>
      <c r="N283" s="697"/>
      <c r="O283" s="697"/>
      <c r="P283" s="697"/>
      <c r="Q283" s="697"/>
      <c r="R283" s="697"/>
      <c r="S283" s="697"/>
      <c r="T283" s="697"/>
      <c r="U283" s="697"/>
      <c r="V283" s="697"/>
      <c r="W283" s="697"/>
      <c r="X283" s="697"/>
      <c r="Y283" s="697"/>
      <c r="Z283" s="697"/>
      <c r="AA283" s="697"/>
      <c r="AB283" s="697"/>
      <c r="AC283" s="697"/>
      <c r="AD283" s="697"/>
      <c r="AE283" s="697"/>
      <c r="AF283" s="697"/>
      <c r="AG283" s="697"/>
      <c r="AH283" s="697"/>
      <c r="AI283" s="697"/>
      <c r="AJ283" s="697"/>
      <c r="AK283" s="697"/>
      <c r="AL283" s="697"/>
      <c r="AM283" s="697"/>
      <c r="AN283" s="697"/>
      <c r="AO283" s="697"/>
      <c r="AP283" s="697"/>
      <c r="AQ283" s="697"/>
      <c r="AR283" s="697"/>
      <c r="AS283" s="697"/>
      <c r="AT283" s="697"/>
      <c r="AU283" s="697"/>
      <c r="AV283" s="697"/>
      <c r="AW283" s="697"/>
      <c r="AX283" s="697"/>
      <c r="AY283" s="697"/>
      <c r="AZ283" s="697"/>
      <c r="BA283" s="697"/>
      <c r="BB283" s="697"/>
      <c r="BC283" s="697"/>
      <c r="BD283" s="697"/>
      <c r="BE283" s="697"/>
      <c r="BF283" s="697"/>
      <c r="BG283" s="697"/>
      <c r="BH283" s="697"/>
      <c r="BI283" s="697"/>
      <c r="BJ283" s="697"/>
      <c r="BK283" s="697"/>
      <c r="BL283" s="697"/>
      <c r="BM283" s="697"/>
      <c r="BN283" s="697"/>
      <c r="BO283" s="697"/>
      <c r="BP283" s="697"/>
      <c r="BQ283" s="697"/>
      <c r="BR283" s="697"/>
      <c r="BS283" s="697"/>
      <c r="BT283" s="697"/>
      <c r="BU283" s="697"/>
      <c r="BV283" s="697"/>
      <c r="BW283" s="697"/>
      <c r="BX283" s="697"/>
      <c r="BY283" s="697"/>
      <c r="BZ283" s="697"/>
      <c r="CA283" s="697"/>
      <c r="CB283" s="697"/>
      <c r="CC283" s="697"/>
      <c r="CD283" s="697"/>
      <c r="CE283" s="697"/>
      <c r="CF283" s="697"/>
      <c r="CG283" s="697"/>
      <c r="CH283" s="697"/>
      <c r="CI283" s="697"/>
      <c r="CJ283" s="697"/>
      <c r="CK283" s="697"/>
      <c r="CL283" s="697"/>
      <c r="CM283" s="697"/>
      <c r="CN283" s="697"/>
      <c r="CO283" s="697"/>
      <c r="CP283" s="697"/>
      <c r="CQ283" s="697"/>
      <c r="CR283" s="697"/>
      <c r="CS283" s="697"/>
      <c r="CT283" s="697"/>
      <c r="CU283" s="697"/>
      <c r="CV283" s="697"/>
      <c r="CW283" s="697"/>
      <c r="CX283" s="697"/>
      <c r="CY283" s="697"/>
      <c r="CZ283" s="697"/>
      <c r="DA283" s="697"/>
      <c r="DB283" s="697"/>
    </row>
    <row r="284" spans="1:106" hidden="1" outlineLevel="1" x14ac:dyDescent="0.2">
      <c r="A284" s="709">
        <f t="shared" si="68"/>
        <v>38473</v>
      </c>
      <c r="B284" s="709" t="str">
        <f t="shared" si="69"/>
        <v>2Q05</v>
      </c>
      <c r="C284" s="709" t="str">
        <f t="shared" si="70"/>
        <v>3Q05</v>
      </c>
      <c r="D284" s="710">
        <f t="shared" si="74"/>
        <v>38538</v>
      </c>
      <c r="E284" s="710">
        <f t="shared" si="74"/>
        <v>38478</v>
      </c>
      <c r="F284" s="712">
        <v>50.64</v>
      </c>
      <c r="G284" s="713">
        <f t="shared" si="71"/>
        <v>1.4900000000000011</v>
      </c>
      <c r="H284" s="713">
        <f t="shared" si="72"/>
        <v>1.4900000000000011</v>
      </c>
      <c r="I284" s="697"/>
      <c r="J284" s="697"/>
      <c r="K284" s="697"/>
      <c r="L284" s="697"/>
      <c r="M284" s="697"/>
      <c r="N284" s="697"/>
      <c r="O284" s="697"/>
      <c r="P284" s="697"/>
      <c r="Q284" s="697"/>
      <c r="R284" s="697"/>
      <c r="S284" s="697"/>
      <c r="T284" s="697"/>
      <c r="U284" s="697"/>
      <c r="V284" s="697"/>
      <c r="W284" s="697"/>
      <c r="X284" s="697"/>
      <c r="Y284" s="697"/>
      <c r="Z284" s="697"/>
      <c r="AA284" s="697"/>
      <c r="AB284" s="697"/>
      <c r="AC284" s="697"/>
      <c r="AD284" s="697"/>
      <c r="AE284" s="697"/>
      <c r="AF284" s="697"/>
      <c r="AG284" s="697"/>
      <c r="AH284" s="697"/>
      <c r="AI284" s="697"/>
      <c r="AJ284" s="697"/>
      <c r="AK284" s="697"/>
      <c r="AL284" s="697"/>
      <c r="AM284" s="697"/>
      <c r="AN284" s="697"/>
      <c r="AO284" s="697"/>
      <c r="AP284" s="697"/>
      <c r="AQ284" s="697"/>
      <c r="AR284" s="697"/>
      <c r="AS284" s="697"/>
      <c r="AT284" s="697"/>
      <c r="AU284" s="697"/>
      <c r="AV284" s="697"/>
      <c r="AW284" s="697"/>
      <c r="AX284" s="697"/>
      <c r="AY284" s="697"/>
      <c r="AZ284" s="697"/>
      <c r="BA284" s="697"/>
      <c r="BB284" s="697"/>
      <c r="BC284" s="697"/>
      <c r="BD284" s="697"/>
      <c r="BE284" s="697"/>
      <c r="BF284" s="697"/>
      <c r="BG284" s="697"/>
      <c r="BH284" s="697"/>
      <c r="BI284" s="697"/>
      <c r="BJ284" s="697"/>
      <c r="BK284" s="697"/>
      <c r="BL284" s="697"/>
      <c r="BM284" s="697"/>
      <c r="BN284" s="697"/>
      <c r="BO284" s="697"/>
      <c r="BP284" s="697"/>
      <c r="BQ284" s="697"/>
      <c r="BR284" s="697"/>
      <c r="BS284" s="697"/>
      <c r="BT284" s="697"/>
      <c r="BU284" s="697"/>
      <c r="BV284" s="697"/>
      <c r="BW284" s="697"/>
      <c r="BX284" s="697"/>
      <c r="BY284" s="697"/>
      <c r="BZ284" s="697"/>
      <c r="CA284" s="697"/>
      <c r="CB284" s="697"/>
      <c r="CC284" s="697"/>
      <c r="CD284" s="697"/>
      <c r="CE284" s="697"/>
      <c r="CF284" s="697"/>
      <c r="CG284" s="697"/>
      <c r="CH284" s="697"/>
      <c r="CI284" s="697"/>
      <c r="CJ284" s="697"/>
      <c r="CK284" s="697"/>
      <c r="CL284" s="697"/>
      <c r="CM284" s="697"/>
      <c r="CN284" s="697"/>
      <c r="CO284" s="697"/>
      <c r="CP284" s="697"/>
      <c r="CQ284" s="697"/>
      <c r="CR284" s="697"/>
      <c r="CS284" s="697"/>
      <c r="CT284" s="697"/>
      <c r="CU284" s="697"/>
      <c r="CV284" s="697"/>
      <c r="CW284" s="697"/>
      <c r="CX284" s="697"/>
      <c r="CY284" s="697"/>
      <c r="CZ284" s="697"/>
      <c r="DA284" s="697"/>
      <c r="DB284" s="697"/>
    </row>
    <row r="285" spans="1:106" hidden="1" outlineLevel="1" x14ac:dyDescent="0.2">
      <c r="A285" s="709">
        <f t="shared" si="68"/>
        <v>38473</v>
      </c>
      <c r="B285" s="709" t="str">
        <f t="shared" si="69"/>
        <v>2Q05</v>
      </c>
      <c r="C285" s="709" t="str">
        <f t="shared" si="70"/>
        <v>3Q05</v>
      </c>
      <c r="D285" s="710">
        <f t="shared" si="74"/>
        <v>38545</v>
      </c>
      <c r="E285" s="710">
        <f t="shared" si="74"/>
        <v>38485</v>
      </c>
      <c r="F285" s="712">
        <v>50.33</v>
      </c>
      <c r="G285" s="713">
        <f t="shared" si="71"/>
        <v>1.4900000000000011</v>
      </c>
      <c r="H285" s="713">
        <f t="shared" si="72"/>
        <v>1.4900000000000011</v>
      </c>
      <c r="I285" s="697"/>
      <c r="J285" s="697"/>
      <c r="K285" s="697"/>
      <c r="L285" s="697"/>
      <c r="M285" s="697"/>
      <c r="N285" s="697"/>
      <c r="O285" s="697"/>
      <c r="P285" s="697"/>
      <c r="Q285" s="697"/>
      <c r="R285" s="697"/>
      <c r="S285" s="697"/>
      <c r="T285" s="697"/>
      <c r="U285" s="697"/>
      <c r="V285" s="697"/>
      <c r="W285" s="697"/>
      <c r="X285" s="697"/>
      <c r="Y285" s="697"/>
      <c r="Z285" s="697"/>
      <c r="AA285" s="697"/>
      <c r="AB285" s="697"/>
      <c r="AC285" s="697"/>
      <c r="AD285" s="697"/>
      <c r="AE285" s="697"/>
      <c r="AF285" s="697"/>
      <c r="AG285" s="697"/>
      <c r="AH285" s="697"/>
      <c r="AI285" s="697"/>
      <c r="AJ285" s="697"/>
      <c r="AK285" s="697"/>
      <c r="AL285" s="697"/>
      <c r="AM285" s="697"/>
      <c r="AN285" s="697"/>
      <c r="AO285" s="697"/>
      <c r="AP285" s="697"/>
      <c r="AQ285" s="697"/>
      <c r="AR285" s="697"/>
      <c r="AS285" s="697"/>
      <c r="AT285" s="697"/>
      <c r="AU285" s="697"/>
      <c r="AV285" s="697"/>
      <c r="AW285" s="697"/>
      <c r="AX285" s="697"/>
      <c r="AY285" s="697"/>
      <c r="AZ285" s="697"/>
      <c r="BA285" s="697"/>
      <c r="BB285" s="697"/>
      <c r="BC285" s="697"/>
      <c r="BD285" s="697"/>
      <c r="BE285" s="697"/>
      <c r="BF285" s="697"/>
      <c r="BG285" s="697"/>
      <c r="BH285" s="697"/>
      <c r="BI285" s="697"/>
      <c r="BJ285" s="697"/>
      <c r="BK285" s="697"/>
      <c r="BL285" s="697"/>
      <c r="BM285" s="697"/>
      <c r="BN285" s="697"/>
      <c r="BO285" s="697"/>
      <c r="BP285" s="697"/>
      <c r="BQ285" s="697"/>
      <c r="BR285" s="697"/>
      <c r="BS285" s="697"/>
      <c r="BT285" s="697"/>
      <c r="BU285" s="697"/>
      <c r="BV285" s="697"/>
      <c r="BW285" s="697"/>
      <c r="BX285" s="697"/>
      <c r="BY285" s="697"/>
      <c r="BZ285" s="697"/>
      <c r="CA285" s="697"/>
      <c r="CB285" s="697"/>
      <c r="CC285" s="697"/>
      <c r="CD285" s="697"/>
      <c r="CE285" s="697"/>
      <c r="CF285" s="697"/>
      <c r="CG285" s="697"/>
      <c r="CH285" s="697"/>
      <c r="CI285" s="697"/>
      <c r="CJ285" s="697"/>
      <c r="CK285" s="697"/>
      <c r="CL285" s="697"/>
      <c r="CM285" s="697"/>
      <c r="CN285" s="697"/>
      <c r="CO285" s="697"/>
      <c r="CP285" s="697"/>
      <c r="CQ285" s="697"/>
      <c r="CR285" s="697"/>
      <c r="CS285" s="697"/>
      <c r="CT285" s="697"/>
      <c r="CU285" s="697"/>
      <c r="CV285" s="697"/>
      <c r="CW285" s="697"/>
      <c r="CX285" s="697"/>
      <c r="CY285" s="697"/>
      <c r="CZ285" s="697"/>
      <c r="DA285" s="697"/>
      <c r="DB285" s="697"/>
    </row>
    <row r="286" spans="1:106" hidden="1" outlineLevel="1" x14ac:dyDescent="0.2">
      <c r="A286" s="709">
        <f t="shared" si="68"/>
        <v>38473</v>
      </c>
      <c r="B286" s="709" t="str">
        <f t="shared" si="69"/>
        <v>2Q05</v>
      </c>
      <c r="C286" s="709" t="str">
        <f t="shared" si="70"/>
        <v>3Q05</v>
      </c>
      <c r="D286" s="710">
        <f t="shared" si="74"/>
        <v>38552</v>
      </c>
      <c r="E286" s="710">
        <f t="shared" si="74"/>
        <v>38492</v>
      </c>
      <c r="F286" s="712">
        <v>47.77</v>
      </c>
      <c r="G286" s="713">
        <f t="shared" si="71"/>
        <v>1.4900000000000011</v>
      </c>
      <c r="H286" s="713">
        <f t="shared" si="72"/>
        <v>1.4900000000000011</v>
      </c>
      <c r="I286" s="697"/>
      <c r="J286" s="697"/>
      <c r="K286" s="697"/>
      <c r="L286" s="697"/>
      <c r="M286" s="697"/>
      <c r="N286" s="697"/>
      <c r="O286" s="697"/>
      <c r="P286" s="697"/>
      <c r="Q286" s="697"/>
      <c r="R286" s="697"/>
      <c r="S286" s="697"/>
      <c r="T286" s="697"/>
      <c r="U286" s="697"/>
      <c r="V286" s="697"/>
      <c r="W286" s="697"/>
      <c r="X286" s="697"/>
      <c r="Y286" s="697"/>
      <c r="Z286" s="697"/>
      <c r="AA286" s="697"/>
      <c r="AB286" s="697"/>
      <c r="AC286" s="697"/>
      <c r="AD286" s="697"/>
      <c r="AE286" s="697"/>
      <c r="AF286" s="697"/>
      <c r="AG286" s="697"/>
      <c r="AH286" s="697"/>
      <c r="AI286" s="697"/>
      <c r="AJ286" s="697"/>
      <c r="AK286" s="697"/>
      <c r="AL286" s="697"/>
      <c r="AM286" s="697"/>
      <c r="AN286" s="697"/>
      <c r="AO286" s="697"/>
      <c r="AP286" s="697"/>
      <c r="AQ286" s="697"/>
      <c r="AR286" s="697"/>
      <c r="AS286" s="697"/>
      <c r="AT286" s="697"/>
      <c r="AU286" s="697"/>
      <c r="AV286" s="697"/>
      <c r="AW286" s="697"/>
      <c r="AX286" s="697"/>
      <c r="AY286" s="697"/>
      <c r="AZ286" s="697"/>
      <c r="BA286" s="697"/>
      <c r="BB286" s="697"/>
      <c r="BC286" s="697"/>
      <c r="BD286" s="697"/>
      <c r="BE286" s="697"/>
      <c r="BF286" s="697"/>
      <c r="BG286" s="697"/>
      <c r="BH286" s="697"/>
      <c r="BI286" s="697"/>
      <c r="BJ286" s="697"/>
      <c r="BK286" s="697"/>
      <c r="BL286" s="697"/>
      <c r="BM286" s="697"/>
      <c r="BN286" s="697"/>
      <c r="BO286" s="697"/>
      <c r="BP286" s="697"/>
      <c r="BQ286" s="697"/>
      <c r="BR286" s="697"/>
      <c r="BS286" s="697"/>
      <c r="BT286" s="697"/>
      <c r="BU286" s="697"/>
      <c r="BV286" s="697"/>
      <c r="BW286" s="697"/>
      <c r="BX286" s="697"/>
      <c r="BY286" s="697"/>
      <c r="BZ286" s="697"/>
      <c r="CA286" s="697"/>
      <c r="CB286" s="697"/>
      <c r="CC286" s="697"/>
      <c r="CD286" s="697"/>
      <c r="CE286" s="697"/>
      <c r="CF286" s="697"/>
      <c r="CG286" s="697"/>
      <c r="CH286" s="697"/>
      <c r="CI286" s="697"/>
      <c r="CJ286" s="697"/>
      <c r="CK286" s="697"/>
      <c r="CL286" s="697"/>
      <c r="CM286" s="697"/>
      <c r="CN286" s="697"/>
      <c r="CO286" s="697"/>
      <c r="CP286" s="697"/>
      <c r="CQ286" s="697"/>
      <c r="CR286" s="697"/>
      <c r="CS286" s="697"/>
      <c r="CT286" s="697"/>
      <c r="CU286" s="697"/>
      <c r="CV286" s="697"/>
      <c r="CW286" s="697"/>
      <c r="CX286" s="697"/>
      <c r="CY286" s="697"/>
      <c r="CZ286" s="697"/>
      <c r="DA286" s="697"/>
      <c r="DB286" s="697"/>
    </row>
    <row r="287" spans="1:106" hidden="1" outlineLevel="1" x14ac:dyDescent="0.2">
      <c r="A287" s="709">
        <f t="shared" si="68"/>
        <v>38473</v>
      </c>
      <c r="B287" s="709" t="str">
        <f t="shared" si="69"/>
        <v>2Q05</v>
      </c>
      <c r="C287" s="709" t="str">
        <f t="shared" si="70"/>
        <v>3Q05</v>
      </c>
      <c r="D287" s="710">
        <f t="shared" si="74"/>
        <v>38559</v>
      </c>
      <c r="E287" s="710">
        <f t="shared" si="74"/>
        <v>38499</v>
      </c>
      <c r="F287" s="712">
        <v>50.15</v>
      </c>
      <c r="G287" s="713">
        <f t="shared" si="71"/>
        <v>1.4900000000000011</v>
      </c>
      <c r="H287" s="713">
        <f t="shared" si="72"/>
        <v>1.4900000000000011</v>
      </c>
      <c r="I287" s="697"/>
      <c r="J287" s="697"/>
      <c r="K287" s="697"/>
      <c r="L287" s="697"/>
      <c r="M287" s="697"/>
      <c r="N287" s="697"/>
      <c r="O287" s="697"/>
      <c r="P287" s="697"/>
      <c r="Q287" s="697"/>
      <c r="R287" s="697"/>
      <c r="S287" s="697"/>
      <c r="T287" s="697"/>
      <c r="U287" s="697"/>
      <c r="V287" s="697"/>
      <c r="W287" s="697"/>
      <c r="X287" s="697"/>
      <c r="Y287" s="697"/>
      <c r="Z287" s="697"/>
      <c r="AA287" s="697"/>
      <c r="AB287" s="697"/>
      <c r="AC287" s="697"/>
      <c r="AD287" s="697"/>
      <c r="AE287" s="697"/>
      <c r="AF287" s="697"/>
      <c r="AG287" s="697"/>
      <c r="AH287" s="697"/>
      <c r="AI287" s="697"/>
      <c r="AJ287" s="697"/>
      <c r="AK287" s="697"/>
      <c r="AL287" s="697"/>
      <c r="AM287" s="697"/>
      <c r="AN287" s="697"/>
      <c r="AO287" s="697"/>
      <c r="AP287" s="697"/>
      <c r="AQ287" s="697"/>
      <c r="AR287" s="697"/>
      <c r="AS287" s="697"/>
      <c r="AT287" s="697"/>
      <c r="AU287" s="697"/>
      <c r="AV287" s="697"/>
      <c r="AW287" s="697"/>
      <c r="AX287" s="697"/>
      <c r="AY287" s="697"/>
      <c r="AZ287" s="697"/>
      <c r="BA287" s="697"/>
      <c r="BB287" s="697"/>
      <c r="BC287" s="697"/>
      <c r="BD287" s="697"/>
      <c r="BE287" s="697"/>
      <c r="BF287" s="697"/>
      <c r="BG287" s="697"/>
      <c r="BH287" s="697"/>
      <c r="BI287" s="697"/>
      <c r="BJ287" s="697"/>
      <c r="BK287" s="697"/>
      <c r="BL287" s="697"/>
      <c r="BM287" s="697"/>
      <c r="BN287" s="697"/>
      <c r="BO287" s="697"/>
      <c r="BP287" s="697"/>
      <c r="BQ287" s="697"/>
      <c r="BR287" s="697"/>
      <c r="BS287" s="697"/>
      <c r="BT287" s="697"/>
      <c r="BU287" s="697"/>
      <c r="BV287" s="697"/>
      <c r="BW287" s="697"/>
      <c r="BX287" s="697"/>
      <c r="BY287" s="697"/>
      <c r="BZ287" s="697"/>
      <c r="CA287" s="697"/>
      <c r="CB287" s="697"/>
      <c r="CC287" s="697"/>
      <c r="CD287" s="697"/>
      <c r="CE287" s="697"/>
      <c r="CF287" s="697"/>
      <c r="CG287" s="697"/>
      <c r="CH287" s="697"/>
      <c r="CI287" s="697"/>
      <c r="CJ287" s="697"/>
      <c r="CK287" s="697"/>
      <c r="CL287" s="697"/>
      <c r="CM287" s="697"/>
      <c r="CN287" s="697"/>
      <c r="CO287" s="697"/>
      <c r="CP287" s="697"/>
      <c r="CQ287" s="697"/>
      <c r="CR287" s="697"/>
      <c r="CS287" s="697"/>
      <c r="CT287" s="697"/>
      <c r="CU287" s="697"/>
      <c r="CV287" s="697"/>
      <c r="CW287" s="697"/>
      <c r="CX287" s="697"/>
      <c r="CY287" s="697"/>
      <c r="CZ287" s="697"/>
      <c r="DA287" s="697"/>
      <c r="DB287" s="697"/>
    </row>
    <row r="288" spans="1:106" hidden="1" outlineLevel="1" x14ac:dyDescent="0.2">
      <c r="A288" s="709">
        <f t="shared" si="68"/>
        <v>38504</v>
      </c>
      <c r="B288" s="709" t="str">
        <f t="shared" si="69"/>
        <v>2Q05</v>
      </c>
      <c r="C288" s="709" t="str">
        <f t="shared" si="70"/>
        <v>3Q05</v>
      </c>
      <c r="D288" s="710">
        <f t="shared" si="74"/>
        <v>38566</v>
      </c>
      <c r="E288" s="710">
        <f t="shared" si="74"/>
        <v>38506</v>
      </c>
      <c r="F288" s="712">
        <v>53.76</v>
      </c>
      <c r="G288" s="713">
        <f t="shared" si="71"/>
        <v>1.4900000000000011</v>
      </c>
      <c r="H288" s="713">
        <f t="shared" si="72"/>
        <v>1.4900000000000011</v>
      </c>
      <c r="I288" s="697"/>
      <c r="J288" s="697"/>
      <c r="K288" s="697"/>
      <c r="L288" s="697"/>
      <c r="M288" s="697"/>
      <c r="N288" s="697"/>
      <c r="O288" s="697"/>
      <c r="P288" s="697"/>
      <c r="Q288" s="697"/>
      <c r="R288" s="697"/>
      <c r="S288" s="697"/>
      <c r="T288" s="697"/>
      <c r="U288" s="697"/>
      <c r="V288" s="697"/>
      <c r="W288" s="697"/>
      <c r="X288" s="697"/>
      <c r="Y288" s="697"/>
      <c r="Z288" s="697"/>
      <c r="AA288" s="697"/>
      <c r="AB288" s="697"/>
      <c r="AC288" s="697"/>
      <c r="AD288" s="697"/>
      <c r="AE288" s="697"/>
      <c r="AF288" s="697"/>
      <c r="AG288" s="697"/>
      <c r="AH288" s="697"/>
      <c r="AI288" s="697"/>
      <c r="AJ288" s="697"/>
      <c r="AK288" s="697"/>
      <c r="AL288" s="697"/>
      <c r="AM288" s="697"/>
      <c r="AN288" s="697"/>
      <c r="AO288" s="697"/>
      <c r="AP288" s="697"/>
      <c r="AQ288" s="697"/>
      <c r="AR288" s="697"/>
      <c r="AS288" s="697"/>
      <c r="AT288" s="697"/>
      <c r="AU288" s="697"/>
      <c r="AV288" s="697"/>
      <c r="AW288" s="697"/>
      <c r="AX288" s="697"/>
      <c r="AY288" s="697"/>
      <c r="AZ288" s="697"/>
      <c r="BA288" s="697"/>
      <c r="BB288" s="697"/>
      <c r="BC288" s="697"/>
      <c r="BD288" s="697"/>
      <c r="BE288" s="697"/>
      <c r="BF288" s="697"/>
      <c r="BG288" s="697"/>
      <c r="BH288" s="697"/>
      <c r="BI288" s="697"/>
      <c r="BJ288" s="697"/>
      <c r="BK288" s="697"/>
      <c r="BL288" s="697"/>
      <c r="BM288" s="697"/>
      <c r="BN288" s="697"/>
      <c r="BO288" s="697"/>
      <c r="BP288" s="697"/>
      <c r="BQ288" s="697"/>
      <c r="BR288" s="697"/>
      <c r="BS288" s="697"/>
      <c r="BT288" s="697"/>
      <c r="BU288" s="697"/>
      <c r="BV288" s="697"/>
      <c r="BW288" s="697"/>
      <c r="BX288" s="697"/>
      <c r="BY288" s="697"/>
      <c r="BZ288" s="697"/>
      <c r="CA288" s="697"/>
      <c r="CB288" s="697"/>
      <c r="CC288" s="697"/>
      <c r="CD288" s="697"/>
      <c r="CE288" s="697"/>
      <c r="CF288" s="697"/>
      <c r="CG288" s="697"/>
      <c r="CH288" s="697"/>
      <c r="CI288" s="697"/>
      <c r="CJ288" s="697"/>
      <c r="CK288" s="697"/>
      <c r="CL288" s="697"/>
      <c r="CM288" s="697"/>
      <c r="CN288" s="697"/>
      <c r="CO288" s="697"/>
      <c r="CP288" s="697"/>
      <c r="CQ288" s="697"/>
      <c r="CR288" s="697"/>
      <c r="CS288" s="697"/>
      <c r="CT288" s="697"/>
      <c r="CU288" s="697"/>
      <c r="CV288" s="697"/>
      <c r="CW288" s="697"/>
      <c r="CX288" s="697"/>
      <c r="CY288" s="697"/>
      <c r="CZ288" s="697"/>
      <c r="DA288" s="697"/>
      <c r="DB288" s="697"/>
    </row>
    <row r="289" spans="1:106" hidden="1" outlineLevel="1" x14ac:dyDescent="0.2">
      <c r="A289" s="709">
        <f t="shared" si="68"/>
        <v>38504</v>
      </c>
      <c r="B289" s="709" t="str">
        <f t="shared" si="69"/>
        <v>2Q05</v>
      </c>
      <c r="C289" s="709" t="str">
        <f t="shared" si="70"/>
        <v>3Q05</v>
      </c>
      <c r="D289" s="710">
        <f t="shared" si="74"/>
        <v>38573</v>
      </c>
      <c r="E289" s="710">
        <f t="shared" si="74"/>
        <v>38513</v>
      </c>
      <c r="F289" s="712">
        <v>53.74</v>
      </c>
      <c r="G289" s="713">
        <f t="shared" si="71"/>
        <v>1.4900000000000011</v>
      </c>
      <c r="H289" s="713">
        <f t="shared" si="72"/>
        <v>1.4900000000000011</v>
      </c>
      <c r="I289" s="697"/>
      <c r="J289" s="697"/>
      <c r="K289" s="697"/>
      <c r="L289" s="697"/>
      <c r="M289" s="697"/>
      <c r="N289" s="697"/>
      <c r="O289" s="697"/>
      <c r="P289" s="697"/>
      <c r="Q289" s="697"/>
      <c r="R289" s="697"/>
      <c r="S289" s="697"/>
      <c r="T289" s="697"/>
      <c r="U289" s="697"/>
      <c r="V289" s="697"/>
      <c r="W289" s="697"/>
      <c r="X289" s="697"/>
      <c r="Y289" s="697"/>
      <c r="Z289" s="697"/>
      <c r="AA289" s="697"/>
      <c r="AB289" s="697"/>
      <c r="AC289" s="697"/>
      <c r="AD289" s="697"/>
      <c r="AE289" s="697"/>
      <c r="AF289" s="697"/>
      <c r="AG289" s="697"/>
      <c r="AH289" s="697"/>
      <c r="AI289" s="697"/>
      <c r="AJ289" s="697"/>
      <c r="AK289" s="697"/>
      <c r="AL289" s="697"/>
      <c r="AM289" s="697"/>
      <c r="AN289" s="697"/>
      <c r="AO289" s="697"/>
      <c r="AP289" s="697"/>
      <c r="AQ289" s="697"/>
      <c r="AR289" s="697"/>
      <c r="AS289" s="697"/>
      <c r="AT289" s="697"/>
      <c r="AU289" s="697"/>
      <c r="AV289" s="697"/>
      <c r="AW289" s="697"/>
      <c r="AX289" s="697"/>
      <c r="AY289" s="697"/>
      <c r="AZ289" s="697"/>
      <c r="BA289" s="697"/>
      <c r="BB289" s="697"/>
      <c r="BC289" s="697"/>
      <c r="BD289" s="697"/>
      <c r="BE289" s="697"/>
      <c r="BF289" s="697"/>
      <c r="BG289" s="697"/>
      <c r="BH289" s="697"/>
      <c r="BI289" s="697"/>
      <c r="BJ289" s="697"/>
      <c r="BK289" s="697"/>
      <c r="BL289" s="697"/>
      <c r="BM289" s="697"/>
      <c r="BN289" s="697"/>
      <c r="BO289" s="697"/>
      <c r="BP289" s="697"/>
      <c r="BQ289" s="697"/>
      <c r="BR289" s="697"/>
      <c r="BS289" s="697"/>
      <c r="BT289" s="697"/>
      <c r="BU289" s="697"/>
      <c r="BV289" s="697"/>
      <c r="BW289" s="697"/>
      <c r="BX289" s="697"/>
      <c r="BY289" s="697"/>
      <c r="BZ289" s="697"/>
      <c r="CA289" s="697"/>
      <c r="CB289" s="697"/>
      <c r="CC289" s="697"/>
      <c r="CD289" s="697"/>
      <c r="CE289" s="697"/>
      <c r="CF289" s="697"/>
      <c r="CG289" s="697"/>
      <c r="CH289" s="697"/>
      <c r="CI289" s="697"/>
      <c r="CJ289" s="697"/>
      <c r="CK289" s="697"/>
      <c r="CL289" s="697"/>
      <c r="CM289" s="697"/>
      <c r="CN289" s="697"/>
      <c r="CO289" s="697"/>
      <c r="CP289" s="697"/>
      <c r="CQ289" s="697"/>
      <c r="CR289" s="697"/>
      <c r="CS289" s="697"/>
      <c r="CT289" s="697"/>
      <c r="CU289" s="697"/>
      <c r="CV289" s="697"/>
      <c r="CW289" s="697"/>
      <c r="CX289" s="697"/>
      <c r="CY289" s="697"/>
      <c r="CZ289" s="697"/>
      <c r="DA289" s="697"/>
      <c r="DB289" s="697"/>
    </row>
    <row r="290" spans="1:106" hidden="1" outlineLevel="1" x14ac:dyDescent="0.2">
      <c r="A290" s="709">
        <f t="shared" si="68"/>
        <v>38504</v>
      </c>
      <c r="B290" s="709" t="str">
        <f t="shared" si="69"/>
        <v>2Q05</v>
      </c>
      <c r="C290" s="709" t="str">
        <f t="shared" si="70"/>
        <v>3Q05</v>
      </c>
      <c r="D290" s="710">
        <f t="shared" si="74"/>
        <v>38580</v>
      </c>
      <c r="E290" s="710">
        <f t="shared" si="74"/>
        <v>38520</v>
      </c>
      <c r="F290" s="712">
        <v>56.18</v>
      </c>
      <c r="G290" s="713">
        <f t="shared" si="71"/>
        <v>1.4900000000000011</v>
      </c>
      <c r="H290" s="713">
        <f t="shared" si="72"/>
        <v>1.4900000000000011</v>
      </c>
      <c r="I290" s="697"/>
      <c r="J290" s="697"/>
      <c r="K290" s="697"/>
      <c r="L290" s="697"/>
      <c r="M290" s="697"/>
      <c r="N290" s="697"/>
      <c r="O290" s="697"/>
      <c r="P290" s="697"/>
      <c r="Q290" s="697"/>
      <c r="R290" s="697"/>
      <c r="S290" s="697"/>
      <c r="T290" s="697"/>
      <c r="U290" s="697"/>
      <c r="V290" s="697"/>
      <c r="W290" s="697"/>
      <c r="X290" s="697"/>
      <c r="Y290" s="697"/>
      <c r="Z290" s="697"/>
      <c r="AA290" s="697"/>
      <c r="AB290" s="697"/>
      <c r="AC290" s="697"/>
      <c r="AD290" s="697"/>
      <c r="AE290" s="697"/>
      <c r="AF290" s="697"/>
      <c r="AG290" s="697"/>
      <c r="AH290" s="697"/>
      <c r="AI290" s="697"/>
      <c r="AJ290" s="697"/>
      <c r="AK290" s="697"/>
      <c r="AL290" s="697"/>
      <c r="AM290" s="697"/>
      <c r="AN290" s="697"/>
      <c r="AO290" s="697"/>
      <c r="AP290" s="697"/>
      <c r="AQ290" s="697"/>
      <c r="AR290" s="697"/>
      <c r="AS290" s="697"/>
      <c r="AT290" s="697"/>
      <c r="AU290" s="697"/>
      <c r="AV290" s="697"/>
      <c r="AW290" s="697"/>
      <c r="AX290" s="697"/>
      <c r="AY290" s="697"/>
      <c r="AZ290" s="697"/>
      <c r="BA290" s="697"/>
      <c r="BB290" s="697"/>
      <c r="BC290" s="697"/>
      <c r="BD290" s="697"/>
      <c r="BE290" s="697"/>
      <c r="BF290" s="697"/>
      <c r="BG290" s="697"/>
      <c r="BH290" s="697"/>
      <c r="BI290" s="697"/>
      <c r="BJ290" s="697"/>
      <c r="BK290" s="697"/>
      <c r="BL290" s="697"/>
      <c r="BM290" s="697"/>
      <c r="BN290" s="697"/>
      <c r="BO290" s="697"/>
      <c r="BP290" s="697"/>
      <c r="BQ290" s="697"/>
      <c r="BR290" s="697"/>
      <c r="BS290" s="697"/>
      <c r="BT290" s="697"/>
      <c r="BU290" s="697"/>
      <c r="BV290" s="697"/>
      <c r="BW290" s="697"/>
      <c r="BX290" s="697"/>
      <c r="BY290" s="697"/>
      <c r="BZ290" s="697"/>
      <c r="CA290" s="697"/>
      <c r="CB290" s="697"/>
      <c r="CC290" s="697"/>
      <c r="CD290" s="697"/>
      <c r="CE290" s="697"/>
      <c r="CF290" s="697"/>
      <c r="CG290" s="697"/>
      <c r="CH290" s="697"/>
      <c r="CI290" s="697"/>
      <c r="CJ290" s="697"/>
      <c r="CK290" s="697"/>
      <c r="CL290" s="697"/>
      <c r="CM290" s="697"/>
      <c r="CN290" s="697"/>
      <c r="CO290" s="697"/>
      <c r="CP290" s="697"/>
      <c r="CQ290" s="697"/>
      <c r="CR290" s="697"/>
      <c r="CS290" s="697"/>
      <c r="CT290" s="697"/>
      <c r="CU290" s="697"/>
      <c r="CV290" s="697"/>
      <c r="CW290" s="697"/>
      <c r="CX290" s="697"/>
      <c r="CY290" s="697"/>
      <c r="CZ290" s="697"/>
      <c r="DA290" s="697"/>
      <c r="DB290" s="697"/>
    </row>
    <row r="291" spans="1:106" hidden="1" outlineLevel="1" x14ac:dyDescent="0.2">
      <c r="A291" s="709">
        <f t="shared" si="68"/>
        <v>38504</v>
      </c>
      <c r="B291" s="709" t="str">
        <f t="shared" si="69"/>
        <v>2Q05</v>
      </c>
      <c r="C291" s="709" t="str">
        <f t="shared" si="70"/>
        <v>3Q05</v>
      </c>
      <c r="D291" s="710">
        <f t="shared" si="74"/>
        <v>38587</v>
      </c>
      <c r="E291" s="710">
        <f t="shared" si="74"/>
        <v>38527</v>
      </c>
      <c r="F291" s="712">
        <v>59.04</v>
      </c>
      <c r="G291" s="713">
        <f t="shared" si="71"/>
        <v>1.4900000000000011</v>
      </c>
      <c r="H291" s="713">
        <f t="shared" si="72"/>
        <v>1.4900000000000011</v>
      </c>
      <c r="I291" s="697"/>
      <c r="J291" s="697"/>
      <c r="K291" s="697"/>
      <c r="L291" s="697"/>
      <c r="M291" s="697"/>
      <c r="N291" s="697"/>
      <c r="O291" s="697"/>
      <c r="P291" s="697"/>
      <c r="Q291" s="697"/>
      <c r="R291" s="697"/>
      <c r="S291" s="697"/>
      <c r="T291" s="697"/>
      <c r="U291" s="697"/>
      <c r="V291" s="697"/>
      <c r="W291" s="697"/>
      <c r="X291" s="697"/>
      <c r="Y291" s="697"/>
      <c r="Z291" s="697"/>
      <c r="AA291" s="697"/>
      <c r="AB291" s="697"/>
      <c r="AC291" s="697"/>
      <c r="AD291" s="697"/>
      <c r="AE291" s="697"/>
      <c r="AF291" s="697"/>
      <c r="AG291" s="697"/>
      <c r="AH291" s="697"/>
      <c r="AI291" s="697"/>
      <c r="AJ291" s="697"/>
      <c r="AK291" s="697"/>
      <c r="AL291" s="697"/>
      <c r="AM291" s="697"/>
      <c r="AN291" s="697"/>
      <c r="AO291" s="697"/>
      <c r="AP291" s="697"/>
      <c r="AQ291" s="697"/>
      <c r="AR291" s="697"/>
      <c r="AS291" s="697"/>
      <c r="AT291" s="697"/>
      <c r="AU291" s="697"/>
      <c r="AV291" s="697"/>
      <c r="AW291" s="697"/>
      <c r="AX291" s="697"/>
      <c r="AY291" s="697"/>
      <c r="AZ291" s="697"/>
      <c r="BA291" s="697"/>
      <c r="BB291" s="697"/>
      <c r="BC291" s="697"/>
      <c r="BD291" s="697"/>
      <c r="BE291" s="697"/>
      <c r="BF291" s="697"/>
      <c r="BG291" s="697"/>
      <c r="BH291" s="697"/>
      <c r="BI291" s="697"/>
      <c r="BJ291" s="697"/>
      <c r="BK291" s="697"/>
      <c r="BL291" s="697"/>
      <c r="BM291" s="697"/>
      <c r="BN291" s="697"/>
      <c r="BO291" s="697"/>
      <c r="BP291" s="697"/>
      <c r="BQ291" s="697"/>
      <c r="BR291" s="697"/>
      <c r="BS291" s="697"/>
      <c r="BT291" s="697"/>
      <c r="BU291" s="697"/>
      <c r="BV291" s="697"/>
      <c r="BW291" s="697"/>
      <c r="BX291" s="697"/>
      <c r="BY291" s="697"/>
      <c r="BZ291" s="697"/>
      <c r="CA291" s="697"/>
      <c r="CB291" s="697"/>
      <c r="CC291" s="697"/>
      <c r="CD291" s="697"/>
      <c r="CE291" s="697"/>
      <c r="CF291" s="697"/>
      <c r="CG291" s="697"/>
      <c r="CH291" s="697"/>
      <c r="CI291" s="697"/>
      <c r="CJ291" s="697"/>
      <c r="CK291" s="697"/>
      <c r="CL291" s="697"/>
      <c r="CM291" s="697"/>
      <c r="CN291" s="697"/>
      <c r="CO291" s="697"/>
      <c r="CP291" s="697"/>
      <c r="CQ291" s="697"/>
      <c r="CR291" s="697"/>
      <c r="CS291" s="697"/>
      <c r="CT291" s="697"/>
      <c r="CU291" s="697"/>
      <c r="CV291" s="697"/>
      <c r="CW291" s="697"/>
      <c r="CX291" s="697"/>
      <c r="CY291" s="697"/>
      <c r="CZ291" s="697"/>
      <c r="DA291" s="697"/>
      <c r="DB291" s="697"/>
    </row>
    <row r="292" spans="1:106" hidden="1" outlineLevel="1" x14ac:dyDescent="0.2">
      <c r="A292" s="709">
        <f t="shared" si="68"/>
        <v>38534</v>
      </c>
      <c r="B292" s="709" t="str">
        <f t="shared" si="69"/>
        <v>3Q05</v>
      </c>
      <c r="C292" s="709" t="str">
        <f t="shared" si="70"/>
        <v>3Q05</v>
      </c>
      <c r="D292" s="710">
        <f t="shared" si="74"/>
        <v>38594</v>
      </c>
      <c r="E292" s="710">
        <f t="shared" si="74"/>
        <v>38534</v>
      </c>
      <c r="F292" s="712">
        <v>58.21</v>
      </c>
      <c r="G292" s="713">
        <f t="shared" si="71"/>
        <v>1.4900000000000011</v>
      </c>
      <c r="H292" s="713">
        <f t="shared" si="72"/>
        <v>1.4900000000000011</v>
      </c>
      <c r="I292" s="697"/>
      <c r="J292" s="697"/>
      <c r="K292" s="697"/>
      <c r="L292" s="697"/>
      <c r="M292" s="697"/>
      <c r="N292" s="697"/>
      <c r="O292" s="697"/>
      <c r="P292" s="697"/>
      <c r="Q292" s="697"/>
      <c r="R292" s="697"/>
      <c r="S292" s="697"/>
      <c r="T292" s="697"/>
      <c r="U292" s="697"/>
      <c r="V292" s="697"/>
      <c r="W292" s="697"/>
      <c r="X292" s="697"/>
      <c r="Y292" s="697"/>
      <c r="Z292" s="697"/>
      <c r="AA292" s="697"/>
      <c r="AB292" s="697"/>
      <c r="AC292" s="697"/>
      <c r="AD292" s="697"/>
      <c r="AE292" s="697"/>
      <c r="AF292" s="697"/>
      <c r="AG292" s="697"/>
      <c r="AH292" s="697"/>
      <c r="AI292" s="697"/>
      <c r="AJ292" s="697"/>
      <c r="AK292" s="697"/>
      <c r="AL292" s="697"/>
      <c r="AM292" s="697"/>
      <c r="AN292" s="697"/>
      <c r="AO292" s="697"/>
      <c r="AP292" s="697"/>
      <c r="AQ292" s="697"/>
      <c r="AR292" s="697"/>
      <c r="AS292" s="697"/>
      <c r="AT292" s="697"/>
      <c r="AU292" s="697"/>
      <c r="AV292" s="697"/>
      <c r="AW292" s="697"/>
      <c r="AX292" s="697"/>
      <c r="AY292" s="697"/>
      <c r="AZ292" s="697"/>
      <c r="BA292" s="697"/>
      <c r="BB292" s="697"/>
      <c r="BC292" s="697"/>
      <c r="BD292" s="697"/>
      <c r="BE292" s="697"/>
      <c r="BF292" s="697"/>
      <c r="BG292" s="697"/>
      <c r="BH292" s="697"/>
      <c r="BI292" s="697"/>
      <c r="BJ292" s="697"/>
      <c r="BK292" s="697"/>
      <c r="BL292" s="697"/>
      <c r="BM292" s="697"/>
      <c r="BN292" s="697"/>
      <c r="BO292" s="697"/>
      <c r="BP292" s="697"/>
      <c r="BQ292" s="697"/>
      <c r="BR292" s="697"/>
      <c r="BS292" s="697"/>
      <c r="BT292" s="697"/>
      <c r="BU292" s="697"/>
      <c r="BV292" s="697"/>
      <c r="BW292" s="697"/>
      <c r="BX292" s="697"/>
      <c r="BY292" s="697"/>
      <c r="BZ292" s="697"/>
      <c r="CA292" s="697"/>
      <c r="CB292" s="697"/>
      <c r="CC292" s="697"/>
      <c r="CD292" s="697"/>
      <c r="CE292" s="697"/>
      <c r="CF292" s="697"/>
      <c r="CG292" s="697"/>
      <c r="CH292" s="697"/>
      <c r="CI292" s="697"/>
      <c r="CJ292" s="697"/>
      <c r="CK292" s="697"/>
      <c r="CL292" s="697"/>
      <c r="CM292" s="697"/>
      <c r="CN292" s="697"/>
      <c r="CO292" s="697"/>
      <c r="CP292" s="697"/>
      <c r="CQ292" s="697"/>
      <c r="CR292" s="697"/>
      <c r="CS292" s="697"/>
      <c r="CT292" s="697"/>
      <c r="CU292" s="697"/>
      <c r="CV292" s="697"/>
      <c r="CW292" s="697"/>
      <c r="CX292" s="697"/>
      <c r="CY292" s="697"/>
      <c r="CZ292" s="697"/>
      <c r="DA292" s="697"/>
      <c r="DB292" s="697"/>
    </row>
    <row r="293" spans="1:106" hidden="1" outlineLevel="1" x14ac:dyDescent="0.2">
      <c r="A293" s="709">
        <f t="shared" si="68"/>
        <v>38534</v>
      </c>
      <c r="B293" s="709" t="str">
        <f t="shared" si="69"/>
        <v>3Q05</v>
      </c>
      <c r="C293" s="709" t="str">
        <f t="shared" si="70"/>
        <v>3Q05</v>
      </c>
      <c r="D293" s="710">
        <f t="shared" ref="D293:E308" si="75">D292+7</f>
        <v>38601</v>
      </c>
      <c r="E293" s="710">
        <f t="shared" si="75"/>
        <v>38541</v>
      </c>
      <c r="F293" s="712">
        <v>60.36</v>
      </c>
      <c r="G293" s="713">
        <f t="shared" si="71"/>
        <v>1.4900000000000011</v>
      </c>
      <c r="H293" s="713">
        <f t="shared" si="72"/>
        <v>1.4900000000000011</v>
      </c>
      <c r="I293" s="697"/>
      <c r="J293" s="697"/>
      <c r="K293" s="697"/>
      <c r="L293" s="697"/>
      <c r="M293" s="697"/>
      <c r="N293" s="697"/>
      <c r="O293" s="697"/>
      <c r="P293" s="697"/>
      <c r="Q293" s="697"/>
      <c r="R293" s="697"/>
      <c r="S293" s="697"/>
      <c r="T293" s="697"/>
      <c r="U293" s="697"/>
      <c r="V293" s="697"/>
      <c r="W293" s="697"/>
      <c r="X293" s="697"/>
      <c r="Y293" s="697"/>
      <c r="Z293" s="697"/>
      <c r="AA293" s="697"/>
      <c r="AB293" s="697"/>
      <c r="AC293" s="697"/>
      <c r="AD293" s="697"/>
      <c r="AE293" s="697"/>
      <c r="AF293" s="697"/>
      <c r="AG293" s="697"/>
      <c r="AH293" s="697"/>
      <c r="AI293" s="697"/>
      <c r="AJ293" s="697"/>
      <c r="AK293" s="697"/>
      <c r="AL293" s="697"/>
      <c r="AM293" s="697"/>
      <c r="AN293" s="697"/>
      <c r="AO293" s="697"/>
      <c r="AP293" s="697"/>
      <c r="AQ293" s="697"/>
      <c r="AR293" s="697"/>
      <c r="AS293" s="697"/>
      <c r="AT293" s="697"/>
      <c r="AU293" s="697"/>
      <c r="AV293" s="697"/>
      <c r="AW293" s="697"/>
      <c r="AX293" s="697"/>
      <c r="AY293" s="697"/>
      <c r="AZ293" s="697"/>
      <c r="BA293" s="697"/>
      <c r="BB293" s="697"/>
      <c r="BC293" s="697"/>
      <c r="BD293" s="697"/>
      <c r="BE293" s="697"/>
      <c r="BF293" s="697"/>
      <c r="BG293" s="697"/>
      <c r="BH293" s="697"/>
      <c r="BI293" s="697"/>
      <c r="BJ293" s="697"/>
      <c r="BK293" s="697"/>
      <c r="BL293" s="697"/>
      <c r="BM293" s="697"/>
      <c r="BN293" s="697"/>
      <c r="BO293" s="697"/>
      <c r="BP293" s="697"/>
      <c r="BQ293" s="697"/>
      <c r="BR293" s="697"/>
      <c r="BS293" s="697"/>
      <c r="BT293" s="697"/>
      <c r="BU293" s="697"/>
      <c r="BV293" s="697"/>
      <c r="BW293" s="697"/>
      <c r="BX293" s="697"/>
      <c r="BY293" s="697"/>
      <c r="BZ293" s="697"/>
      <c r="CA293" s="697"/>
      <c r="CB293" s="697"/>
      <c r="CC293" s="697"/>
      <c r="CD293" s="697"/>
      <c r="CE293" s="697"/>
      <c r="CF293" s="697"/>
      <c r="CG293" s="697"/>
      <c r="CH293" s="697"/>
      <c r="CI293" s="697"/>
      <c r="CJ293" s="697"/>
      <c r="CK293" s="697"/>
      <c r="CL293" s="697"/>
      <c r="CM293" s="697"/>
      <c r="CN293" s="697"/>
      <c r="CO293" s="697"/>
      <c r="CP293" s="697"/>
      <c r="CQ293" s="697"/>
      <c r="CR293" s="697"/>
      <c r="CS293" s="697"/>
      <c r="CT293" s="697"/>
      <c r="CU293" s="697"/>
      <c r="CV293" s="697"/>
      <c r="CW293" s="697"/>
      <c r="CX293" s="697"/>
      <c r="CY293" s="697"/>
      <c r="CZ293" s="697"/>
      <c r="DA293" s="697"/>
      <c r="DB293" s="697"/>
    </row>
    <row r="294" spans="1:106" hidden="1" outlineLevel="1" x14ac:dyDescent="0.2">
      <c r="A294" s="709">
        <f t="shared" si="68"/>
        <v>38534</v>
      </c>
      <c r="B294" s="709" t="str">
        <f t="shared" si="69"/>
        <v>3Q05</v>
      </c>
      <c r="C294" s="709" t="str">
        <f t="shared" si="70"/>
        <v>3Q05</v>
      </c>
      <c r="D294" s="710">
        <f t="shared" si="75"/>
        <v>38608</v>
      </c>
      <c r="E294" s="710">
        <f t="shared" si="75"/>
        <v>38548</v>
      </c>
      <c r="F294" s="712">
        <v>59.18</v>
      </c>
      <c r="G294" s="713">
        <f t="shared" si="71"/>
        <v>1.4900000000000011</v>
      </c>
      <c r="H294" s="713">
        <f t="shared" si="72"/>
        <v>1.4900000000000011</v>
      </c>
      <c r="I294" s="697"/>
      <c r="J294" s="697"/>
      <c r="K294" s="697"/>
      <c r="L294" s="697"/>
      <c r="M294" s="697"/>
      <c r="N294" s="697"/>
      <c r="O294" s="697"/>
      <c r="P294" s="697"/>
      <c r="Q294" s="697"/>
      <c r="R294" s="697"/>
      <c r="S294" s="697"/>
      <c r="T294" s="697"/>
      <c r="U294" s="697"/>
      <c r="V294" s="697"/>
      <c r="W294" s="697"/>
      <c r="X294" s="697"/>
      <c r="Y294" s="697"/>
      <c r="Z294" s="697"/>
      <c r="AA294" s="697"/>
      <c r="AB294" s="697"/>
      <c r="AC294" s="697"/>
      <c r="AD294" s="697"/>
      <c r="AE294" s="697"/>
      <c r="AF294" s="697"/>
      <c r="AG294" s="697"/>
      <c r="AH294" s="697"/>
      <c r="AI294" s="697"/>
      <c r="AJ294" s="697"/>
      <c r="AK294" s="697"/>
      <c r="AL294" s="697"/>
      <c r="AM294" s="697"/>
      <c r="AN294" s="697"/>
      <c r="AO294" s="697"/>
      <c r="AP294" s="697"/>
      <c r="AQ294" s="697"/>
      <c r="AR294" s="697"/>
      <c r="AS294" s="697"/>
      <c r="AT294" s="697"/>
      <c r="AU294" s="697"/>
      <c r="AV294" s="697"/>
      <c r="AW294" s="697"/>
      <c r="AX294" s="697"/>
      <c r="AY294" s="697"/>
      <c r="AZ294" s="697"/>
      <c r="BA294" s="697"/>
      <c r="BB294" s="697"/>
      <c r="BC294" s="697"/>
      <c r="BD294" s="697"/>
      <c r="BE294" s="697"/>
      <c r="BF294" s="697"/>
      <c r="BG294" s="697"/>
      <c r="BH294" s="697"/>
      <c r="BI294" s="697"/>
      <c r="BJ294" s="697"/>
      <c r="BK294" s="697"/>
      <c r="BL294" s="697"/>
      <c r="BM294" s="697"/>
      <c r="BN294" s="697"/>
      <c r="BO294" s="697"/>
      <c r="BP294" s="697"/>
      <c r="BQ294" s="697"/>
      <c r="BR294" s="697"/>
      <c r="BS294" s="697"/>
      <c r="BT294" s="697"/>
      <c r="BU294" s="697"/>
      <c r="BV294" s="697"/>
      <c r="BW294" s="697"/>
      <c r="BX294" s="697"/>
      <c r="BY294" s="697"/>
      <c r="BZ294" s="697"/>
      <c r="CA294" s="697"/>
      <c r="CB294" s="697"/>
      <c r="CC294" s="697"/>
      <c r="CD294" s="697"/>
      <c r="CE294" s="697"/>
      <c r="CF294" s="697"/>
      <c r="CG294" s="697"/>
      <c r="CH294" s="697"/>
      <c r="CI294" s="697"/>
      <c r="CJ294" s="697"/>
      <c r="CK294" s="697"/>
      <c r="CL294" s="697"/>
      <c r="CM294" s="697"/>
      <c r="CN294" s="697"/>
      <c r="CO294" s="697"/>
      <c r="CP294" s="697"/>
      <c r="CQ294" s="697"/>
      <c r="CR294" s="697"/>
      <c r="CS294" s="697"/>
      <c r="CT294" s="697"/>
      <c r="CU294" s="697"/>
      <c r="CV294" s="697"/>
      <c r="CW294" s="697"/>
      <c r="CX294" s="697"/>
      <c r="CY294" s="697"/>
      <c r="CZ294" s="697"/>
      <c r="DA294" s="697"/>
      <c r="DB294" s="697"/>
    </row>
    <row r="295" spans="1:106" hidden="1" outlineLevel="1" x14ac:dyDescent="0.2">
      <c r="A295" s="709">
        <f t="shared" si="68"/>
        <v>38534</v>
      </c>
      <c r="B295" s="709" t="str">
        <f t="shared" si="69"/>
        <v>3Q05</v>
      </c>
      <c r="C295" s="709" t="str">
        <f t="shared" si="70"/>
        <v>3Q05</v>
      </c>
      <c r="D295" s="710">
        <f t="shared" si="75"/>
        <v>38615</v>
      </c>
      <c r="E295" s="710">
        <f t="shared" si="75"/>
        <v>38555</v>
      </c>
      <c r="F295" s="712">
        <v>57.3</v>
      </c>
      <c r="G295" s="713">
        <f t="shared" si="71"/>
        <v>1.4900000000000011</v>
      </c>
      <c r="H295" s="713">
        <f t="shared" si="72"/>
        <v>1.4900000000000011</v>
      </c>
      <c r="I295" s="697"/>
      <c r="J295" s="697"/>
      <c r="K295" s="697"/>
      <c r="L295" s="697"/>
      <c r="M295" s="697"/>
      <c r="N295" s="697"/>
      <c r="O295" s="697"/>
      <c r="P295" s="697"/>
      <c r="Q295" s="697"/>
      <c r="R295" s="697"/>
      <c r="S295" s="697"/>
      <c r="T295" s="697"/>
      <c r="U295" s="697"/>
      <c r="V295" s="697"/>
      <c r="W295" s="697"/>
      <c r="X295" s="697"/>
      <c r="Y295" s="697"/>
      <c r="Z295" s="697"/>
      <c r="AA295" s="697"/>
      <c r="AB295" s="697"/>
      <c r="AC295" s="697"/>
      <c r="AD295" s="697"/>
      <c r="AE295" s="697"/>
      <c r="AF295" s="697"/>
      <c r="AG295" s="697"/>
      <c r="AH295" s="697"/>
      <c r="AI295" s="697"/>
      <c r="AJ295" s="697"/>
      <c r="AK295" s="697"/>
      <c r="AL295" s="697"/>
      <c r="AM295" s="697"/>
      <c r="AN295" s="697"/>
      <c r="AO295" s="697"/>
      <c r="AP295" s="697"/>
      <c r="AQ295" s="697"/>
      <c r="AR295" s="697"/>
      <c r="AS295" s="697"/>
      <c r="AT295" s="697"/>
      <c r="AU295" s="697"/>
      <c r="AV295" s="697"/>
      <c r="AW295" s="697"/>
      <c r="AX295" s="697"/>
      <c r="AY295" s="697"/>
      <c r="AZ295" s="697"/>
      <c r="BA295" s="697"/>
      <c r="BB295" s="697"/>
      <c r="BC295" s="697"/>
      <c r="BD295" s="697"/>
      <c r="BE295" s="697"/>
      <c r="BF295" s="697"/>
      <c r="BG295" s="697"/>
      <c r="BH295" s="697"/>
      <c r="BI295" s="697"/>
      <c r="BJ295" s="697"/>
      <c r="BK295" s="697"/>
      <c r="BL295" s="697"/>
      <c r="BM295" s="697"/>
      <c r="BN295" s="697"/>
      <c r="BO295" s="697"/>
      <c r="BP295" s="697"/>
      <c r="BQ295" s="697"/>
      <c r="BR295" s="697"/>
      <c r="BS295" s="697"/>
      <c r="BT295" s="697"/>
      <c r="BU295" s="697"/>
      <c r="BV295" s="697"/>
      <c r="BW295" s="697"/>
      <c r="BX295" s="697"/>
      <c r="BY295" s="697"/>
      <c r="BZ295" s="697"/>
      <c r="CA295" s="697"/>
      <c r="CB295" s="697"/>
      <c r="CC295" s="697"/>
      <c r="CD295" s="697"/>
      <c r="CE295" s="697"/>
      <c r="CF295" s="697"/>
      <c r="CG295" s="697"/>
      <c r="CH295" s="697"/>
      <c r="CI295" s="697"/>
      <c r="CJ295" s="697"/>
      <c r="CK295" s="697"/>
      <c r="CL295" s="697"/>
      <c r="CM295" s="697"/>
      <c r="CN295" s="697"/>
      <c r="CO295" s="697"/>
      <c r="CP295" s="697"/>
      <c r="CQ295" s="697"/>
      <c r="CR295" s="697"/>
      <c r="CS295" s="697"/>
      <c r="CT295" s="697"/>
      <c r="CU295" s="697"/>
      <c r="CV295" s="697"/>
      <c r="CW295" s="697"/>
      <c r="CX295" s="697"/>
      <c r="CY295" s="697"/>
      <c r="CZ295" s="697"/>
      <c r="DA295" s="697"/>
      <c r="DB295" s="697"/>
    </row>
    <row r="296" spans="1:106" hidden="1" outlineLevel="1" x14ac:dyDescent="0.2">
      <c r="A296" s="709">
        <f t="shared" si="68"/>
        <v>38534</v>
      </c>
      <c r="B296" s="709" t="str">
        <f t="shared" si="69"/>
        <v>3Q05</v>
      </c>
      <c r="C296" s="709" t="str">
        <f t="shared" si="70"/>
        <v>3Q05</v>
      </c>
      <c r="D296" s="710">
        <f t="shared" si="75"/>
        <v>38622</v>
      </c>
      <c r="E296" s="710">
        <f t="shared" si="75"/>
        <v>38562</v>
      </c>
      <c r="F296" s="712">
        <v>59.39</v>
      </c>
      <c r="G296" s="713">
        <f t="shared" si="71"/>
        <v>1.4900000000000011</v>
      </c>
      <c r="H296" s="713">
        <f t="shared" si="72"/>
        <v>1.4900000000000011</v>
      </c>
      <c r="I296" s="697"/>
      <c r="J296" s="697"/>
      <c r="K296" s="697"/>
      <c r="L296" s="697"/>
      <c r="M296" s="697"/>
      <c r="N296" s="697"/>
      <c r="O296" s="697"/>
      <c r="P296" s="697"/>
      <c r="Q296" s="697"/>
      <c r="R296" s="697"/>
      <c r="S296" s="697"/>
      <c r="T296" s="697"/>
      <c r="U296" s="697"/>
      <c r="V296" s="697"/>
      <c r="W296" s="697"/>
      <c r="X296" s="697"/>
      <c r="Y296" s="697"/>
      <c r="Z296" s="697"/>
      <c r="AA296" s="697"/>
      <c r="AB296" s="697"/>
      <c r="AC296" s="697"/>
      <c r="AD296" s="697"/>
      <c r="AE296" s="697"/>
      <c r="AF296" s="697"/>
      <c r="AG296" s="697"/>
      <c r="AH296" s="697"/>
      <c r="AI296" s="697"/>
      <c r="AJ296" s="697"/>
      <c r="AK296" s="697"/>
      <c r="AL296" s="697"/>
      <c r="AM296" s="697"/>
      <c r="AN296" s="697"/>
      <c r="AO296" s="697"/>
      <c r="AP296" s="697"/>
      <c r="AQ296" s="697"/>
      <c r="AR296" s="697"/>
      <c r="AS296" s="697"/>
      <c r="AT296" s="697"/>
      <c r="AU296" s="697"/>
      <c r="AV296" s="697"/>
      <c r="AW296" s="697"/>
      <c r="AX296" s="697"/>
      <c r="AY296" s="697"/>
      <c r="AZ296" s="697"/>
      <c r="BA296" s="697"/>
      <c r="BB296" s="697"/>
      <c r="BC296" s="697"/>
      <c r="BD296" s="697"/>
      <c r="BE296" s="697"/>
      <c r="BF296" s="697"/>
      <c r="BG296" s="697"/>
      <c r="BH296" s="697"/>
      <c r="BI296" s="697"/>
      <c r="BJ296" s="697"/>
      <c r="BK296" s="697"/>
      <c r="BL296" s="697"/>
      <c r="BM296" s="697"/>
      <c r="BN296" s="697"/>
      <c r="BO296" s="697"/>
      <c r="BP296" s="697"/>
      <c r="BQ296" s="697"/>
      <c r="BR296" s="697"/>
      <c r="BS296" s="697"/>
      <c r="BT296" s="697"/>
      <c r="BU296" s="697"/>
      <c r="BV296" s="697"/>
      <c r="BW296" s="697"/>
      <c r="BX296" s="697"/>
      <c r="BY296" s="697"/>
      <c r="BZ296" s="697"/>
      <c r="CA296" s="697"/>
      <c r="CB296" s="697"/>
      <c r="CC296" s="697"/>
      <c r="CD296" s="697"/>
      <c r="CE296" s="697"/>
      <c r="CF296" s="697"/>
      <c r="CG296" s="697"/>
      <c r="CH296" s="697"/>
      <c r="CI296" s="697"/>
      <c r="CJ296" s="697"/>
      <c r="CK296" s="697"/>
      <c r="CL296" s="697"/>
      <c r="CM296" s="697"/>
      <c r="CN296" s="697"/>
      <c r="CO296" s="697"/>
      <c r="CP296" s="697"/>
      <c r="CQ296" s="697"/>
      <c r="CR296" s="697"/>
      <c r="CS296" s="697"/>
      <c r="CT296" s="697"/>
      <c r="CU296" s="697"/>
      <c r="CV296" s="697"/>
      <c r="CW296" s="697"/>
      <c r="CX296" s="697"/>
      <c r="CY296" s="697"/>
      <c r="CZ296" s="697"/>
      <c r="DA296" s="697"/>
      <c r="DB296" s="697"/>
    </row>
    <row r="297" spans="1:106" hidden="1" outlineLevel="1" x14ac:dyDescent="0.2">
      <c r="A297" s="709">
        <f t="shared" si="68"/>
        <v>38565</v>
      </c>
      <c r="B297" s="709" t="str">
        <f t="shared" si="69"/>
        <v>3Q05</v>
      </c>
      <c r="C297" s="709" t="str">
        <f t="shared" si="70"/>
        <v>4Q05</v>
      </c>
      <c r="D297" s="710">
        <f t="shared" si="75"/>
        <v>38629</v>
      </c>
      <c r="E297" s="710">
        <f t="shared" si="75"/>
        <v>38569</v>
      </c>
      <c r="F297" s="712">
        <v>61.64</v>
      </c>
      <c r="G297" s="713">
        <f t="shared" si="71"/>
        <v>1.4900000000000011</v>
      </c>
      <c r="H297" s="713">
        <f t="shared" si="72"/>
        <v>1.4900000000000011</v>
      </c>
      <c r="I297" s="697"/>
      <c r="J297" s="697"/>
      <c r="K297" s="697"/>
      <c r="L297" s="697"/>
      <c r="M297" s="697"/>
      <c r="N297" s="697"/>
      <c r="O297" s="697"/>
      <c r="P297" s="697"/>
      <c r="Q297" s="697"/>
      <c r="R297" s="697"/>
      <c r="S297" s="697"/>
      <c r="T297" s="697"/>
      <c r="U297" s="697"/>
      <c r="V297" s="697"/>
      <c r="W297" s="697"/>
      <c r="X297" s="697"/>
      <c r="Y297" s="697"/>
      <c r="Z297" s="697"/>
      <c r="AA297" s="697"/>
      <c r="AB297" s="697"/>
      <c r="AC297" s="697"/>
      <c r="AD297" s="697"/>
      <c r="AE297" s="697"/>
      <c r="AF297" s="697"/>
      <c r="AG297" s="697"/>
      <c r="AH297" s="697"/>
      <c r="AI297" s="697"/>
      <c r="AJ297" s="697"/>
      <c r="AK297" s="697"/>
      <c r="AL297" s="697"/>
      <c r="AM297" s="697"/>
      <c r="AN297" s="697"/>
      <c r="AO297" s="697"/>
      <c r="AP297" s="697"/>
      <c r="AQ297" s="697"/>
      <c r="AR297" s="697"/>
      <c r="AS297" s="697"/>
      <c r="AT297" s="697"/>
      <c r="AU297" s="697"/>
      <c r="AV297" s="697"/>
      <c r="AW297" s="697"/>
      <c r="AX297" s="697"/>
      <c r="AY297" s="697"/>
      <c r="AZ297" s="697"/>
      <c r="BA297" s="697"/>
      <c r="BB297" s="697"/>
      <c r="BC297" s="697"/>
      <c r="BD297" s="697"/>
      <c r="BE297" s="697"/>
      <c r="BF297" s="697"/>
      <c r="BG297" s="697"/>
      <c r="BH297" s="697"/>
      <c r="BI297" s="697"/>
      <c r="BJ297" s="697"/>
      <c r="BK297" s="697"/>
      <c r="BL297" s="697"/>
      <c r="BM297" s="697"/>
      <c r="BN297" s="697"/>
      <c r="BO297" s="697"/>
      <c r="BP297" s="697"/>
      <c r="BQ297" s="697"/>
      <c r="BR297" s="697"/>
      <c r="BS297" s="697"/>
      <c r="BT297" s="697"/>
      <c r="BU297" s="697"/>
      <c r="BV297" s="697"/>
      <c r="BW297" s="697"/>
      <c r="BX297" s="697"/>
      <c r="BY297" s="697"/>
      <c r="BZ297" s="697"/>
      <c r="CA297" s="697"/>
      <c r="CB297" s="697"/>
      <c r="CC297" s="697"/>
      <c r="CD297" s="697"/>
      <c r="CE297" s="697"/>
      <c r="CF297" s="697"/>
      <c r="CG297" s="697"/>
      <c r="CH297" s="697"/>
      <c r="CI297" s="697"/>
      <c r="CJ297" s="697"/>
      <c r="CK297" s="697"/>
      <c r="CL297" s="697"/>
      <c r="CM297" s="697"/>
      <c r="CN297" s="697"/>
      <c r="CO297" s="697"/>
      <c r="CP297" s="697"/>
      <c r="CQ297" s="697"/>
      <c r="CR297" s="697"/>
      <c r="CS297" s="697"/>
      <c r="CT297" s="697"/>
      <c r="CU297" s="697"/>
      <c r="CV297" s="697"/>
      <c r="CW297" s="697"/>
      <c r="CX297" s="697"/>
      <c r="CY297" s="697"/>
      <c r="CZ297" s="697"/>
      <c r="DA297" s="697"/>
      <c r="DB297" s="697"/>
    </row>
    <row r="298" spans="1:106" hidden="1" outlineLevel="1" x14ac:dyDescent="0.2">
      <c r="A298" s="709">
        <f t="shared" si="68"/>
        <v>38565</v>
      </c>
      <c r="B298" s="709" t="str">
        <f t="shared" si="69"/>
        <v>3Q05</v>
      </c>
      <c r="C298" s="709" t="str">
        <f t="shared" si="70"/>
        <v>4Q05</v>
      </c>
      <c r="D298" s="710">
        <f t="shared" si="75"/>
        <v>38636</v>
      </c>
      <c r="E298" s="710">
        <f t="shared" si="75"/>
        <v>38576</v>
      </c>
      <c r="F298" s="712">
        <v>64.849999999999994</v>
      </c>
      <c r="G298" s="713">
        <f t="shared" si="71"/>
        <v>1.4900000000000011</v>
      </c>
      <c r="H298" s="713">
        <f t="shared" si="72"/>
        <v>1.4900000000000011</v>
      </c>
      <c r="I298" s="697"/>
      <c r="J298" s="697"/>
      <c r="K298" s="697"/>
      <c r="L298" s="697"/>
      <c r="M298" s="697"/>
      <c r="N298" s="697"/>
      <c r="O298" s="697"/>
      <c r="P298" s="697"/>
      <c r="Q298" s="697"/>
      <c r="R298" s="697"/>
      <c r="S298" s="697"/>
      <c r="T298" s="697"/>
      <c r="U298" s="697"/>
      <c r="V298" s="697"/>
      <c r="W298" s="697"/>
      <c r="X298" s="697"/>
      <c r="Y298" s="697"/>
      <c r="Z298" s="697"/>
      <c r="AA298" s="697"/>
      <c r="AB298" s="697"/>
      <c r="AC298" s="697"/>
      <c r="AD298" s="697"/>
      <c r="AE298" s="697"/>
      <c r="AF298" s="697"/>
      <c r="AG298" s="697"/>
      <c r="AH298" s="697"/>
      <c r="AI298" s="697"/>
      <c r="AJ298" s="697"/>
      <c r="AK298" s="697"/>
      <c r="AL298" s="697"/>
      <c r="AM298" s="697"/>
      <c r="AN298" s="697"/>
      <c r="AO298" s="697"/>
      <c r="AP298" s="697"/>
      <c r="AQ298" s="697"/>
      <c r="AR298" s="697"/>
      <c r="AS298" s="697"/>
      <c r="AT298" s="697"/>
      <c r="AU298" s="697"/>
      <c r="AV298" s="697"/>
      <c r="AW298" s="697"/>
      <c r="AX298" s="697"/>
      <c r="AY298" s="697"/>
      <c r="AZ298" s="697"/>
      <c r="BA298" s="697"/>
      <c r="BB298" s="697"/>
      <c r="BC298" s="697"/>
      <c r="BD298" s="697"/>
      <c r="BE298" s="697"/>
      <c r="BF298" s="697"/>
      <c r="BG298" s="697"/>
      <c r="BH298" s="697"/>
      <c r="BI298" s="697"/>
      <c r="BJ298" s="697"/>
      <c r="BK298" s="697"/>
      <c r="BL298" s="697"/>
      <c r="BM298" s="697"/>
      <c r="BN298" s="697"/>
      <c r="BO298" s="697"/>
      <c r="BP298" s="697"/>
      <c r="BQ298" s="697"/>
      <c r="BR298" s="697"/>
      <c r="BS298" s="697"/>
      <c r="BT298" s="697"/>
      <c r="BU298" s="697"/>
      <c r="BV298" s="697"/>
      <c r="BW298" s="697"/>
      <c r="BX298" s="697"/>
      <c r="BY298" s="697"/>
      <c r="BZ298" s="697"/>
      <c r="CA298" s="697"/>
      <c r="CB298" s="697"/>
      <c r="CC298" s="697"/>
      <c r="CD298" s="697"/>
      <c r="CE298" s="697"/>
      <c r="CF298" s="697"/>
      <c r="CG298" s="697"/>
      <c r="CH298" s="697"/>
      <c r="CI298" s="697"/>
      <c r="CJ298" s="697"/>
      <c r="CK298" s="697"/>
      <c r="CL298" s="697"/>
      <c r="CM298" s="697"/>
      <c r="CN298" s="697"/>
      <c r="CO298" s="697"/>
      <c r="CP298" s="697"/>
      <c r="CQ298" s="697"/>
      <c r="CR298" s="697"/>
      <c r="CS298" s="697"/>
      <c r="CT298" s="697"/>
      <c r="CU298" s="697"/>
      <c r="CV298" s="697"/>
      <c r="CW298" s="697"/>
      <c r="CX298" s="697"/>
      <c r="CY298" s="697"/>
      <c r="CZ298" s="697"/>
      <c r="DA298" s="697"/>
      <c r="DB298" s="697"/>
    </row>
    <row r="299" spans="1:106" hidden="1" outlineLevel="1" x14ac:dyDescent="0.2">
      <c r="A299" s="709">
        <f t="shared" si="68"/>
        <v>38565</v>
      </c>
      <c r="B299" s="709" t="str">
        <f t="shared" si="69"/>
        <v>3Q05</v>
      </c>
      <c r="C299" s="709" t="str">
        <f t="shared" si="70"/>
        <v>4Q05</v>
      </c>
      <c r="D299" s="710">
        <f t="shared" si="75"/>
        <v>38643</v>
      </c>
      <c r="E299" s="710">
        <f t="shared" si="75"/>
        <v>38583</v>
      </c>
      <c r="F299" s="712">
        <v>64.92</v>
      </c>
      <c r="G299" s="713">
        <f t="shared" si="71"/>
        <v>1.4900000000000011</v>
      </c>
      <c r="H299" s="713">
        <f t="shared" si="72"/>
        <v>1.4900000000000011</v>
      </c>
      <c r="I299" s="697"/>
      <c r="J299" s="697"/>
      <c r="K299" s="697"/>
      <c r="L299" s="697"/>
      <c r="M299" s="697"/>
      <c r="N299" s="697"/>
      <c r="O299" s="697"/>
      <c r="P299" s="697"/>
      <c r="Q299" s="697"/>
      <c r="R299" s="697"/>
      <c r="S299" s="697"/>
      <c r="T299" s="697"/>
      <c r="U299" s="697"/>
      <c r="V299" s="697"/>
      <c r="W299" s="697"/>
      <c r="X299" s="697"/>
      <c r="Y299" s="697"/>
      <c r="Z299" s="697"/>
      <c r="AA299" s="697"/>
      <c r="AB299" s="697"/>
      <c r="AC299" s="697"/>
      <c r="AD299" s="697"/>
      <c r="AE299" s="697"/>
      <c r="AF299" s="697"/>
      <c r="AG299" s="697"/>
      <c r="AH299" s="697"/>
      <c r="AI299" s="697"/>
      <c r="AJ299" s="697"/>
      <c r="AK299" s="697"/>
      <c r="AL299" s="697"/>
      <c r="AM299" s="697"/>
      <c r="AN299" s="697"/>
      <c r="AO299" s="697"/>
      <c r="AP299" s="697"/>
      <c r="AQ299" s="697"/>
      <c r="AR299" s="697"/>
      <c r="AS299" s="697"/>
      <c r="AT299" s="697"/>
      <c r="AU299" s="697"/>
      <c r="AV299" s="697"/>
      <c r="AW299" s="697"/>
      <c r="AX299" s="697"/>
      <c r="AY299" s="697"/>
      <c r="AZ299" s="697"/>
      <c r="BA299" s="697"/>
      <c r="BB299" s="697"/>
      <c r="BC299" s="697"/>
      <c r="BD299" s="697"/>
      <c r="BE299" s="697"/>
      <c r="BF299" s="697"/>
      <c r="BG299" s="697"/>
      <c r="BH299" s="697"/>
      <c r="BI299" s="697"/>
      <c r="BJ299" s="697"/>
      <c r="BK299" s="697"/>
      <c r="BL299" s="697"/>
      <c r="BM299" s="697"/>
      <c r="BN299" s="697"/>
      <c r="BO299" s="697"/>
      <c r="BP299" s="697"/>
      <c r="BQ299" s="697"/>
      <c r="BR299" s="697"/>
      <c r="BS299" s="697"/>
      <c r="BT299" s="697"/>
      <c r="BU299" s="697"/>
      <c r="BV299" s="697"/>
      <c r="BW299" s="697"/>
      <c r="BX299" s="697"/>
      <c r="BY299" s="697"/>
      <c r="BZ299" s="697"/>
      <c r="CA299" s="697"/>
      <c r="CB299" s="697"/>
      <c r="CC299" s="697"/>
      <c r="CD299" s="697"/>
      <c r="CE299" s="697"/>
      <c r="CF299" s="697"/>
      <c r="CG299" s="697"/>
      <c r="CH299" s="697"/>
      <c r="CI299" s="697"/>
      <c r="CJ299" s="697"/>
      <c r="CK299" s="697"/>
      <c r="CL299" s="697"/>
      <c r="CM299" s="697"/>
      <c r="CN299" s="697"/>
      <c r="CO299" s="697"/>
      <c r="CP299" s="697"/>
      <c r="CQ299" s="697"/>
      <c r="CR299" s="697"/>
      <c r="CS299" s="697"/>
      <c r="CT299" s="697"/>
      <c r="CU299" s="697"/>
      <c r="CV299" s="697"/>
      <c r="CW299" s="697"/>
      <c r="CX299" s="697"/>
      <c r="CY299" s="697"/>
      <c r="CZ299" s="697"/>
      <c r="DA299" s="697"/>
      <c r="DB299" s="697"/>
    </row>
    <row r="300" spans="1:106" hidden="1" outlineLevel="1" x14ac:dyDescent="0.2">
      <c r="A300" s="709">
        <f t="shared" si="68"/>
        <v>38565</v>
      </c>
      <c r="B300" s="709" t="str">
        <f t="shared" si="69"/>
        <v>3Q05</v>
      </c>
      <c r="C300" s="709" t="str">
        <f t="shared" si="70"/>
        <v>4Q05</v>
      </c>
      <c r="D300" s="710">
        <f t="shared" si="75"/>
        <v>38650</v>
      </c>
      <c r="E300" s="710">
        <f t="shared" si="75"/>
        <v>38590</v>
      </c>
      <c r="F300" s="712">
        <v>66.34</v>
      </c>
      <c r="G300" s="713">
        <f t="shared" si="71"/>
        <v>1.4900000000000011</v>
      </c>
      <c r="H300" s="713">
        <f t="shared" si="72"/>
        <v>1.4900000000000011</v>
      </c>
      <c r="I300" s="697"/>
      <c r="J300" s="697"/>
      <c r="K300" s="697"/>
      <c r="L300" s="697"/>
      <c r="M300" s="697"/>
      <c r="N300" s="697"/>
      <c r="O300" s="697"/>
      <c r="P300" s="697"/>
      <c r="Q300" s="697"/>
      <c r="R300" s="697"/>
      <c r="S300" s="697"/>
      <c r="T300" s="697"/>
      <c r="U300" s="697"/>
      <c r="V300" s="697"/>
      <c r="W300" s="697"/>
      <c r="X300" s="697"/>
      <c r="Y300" s="697"/>
      <c r="Z300" s="697"/>
      <c r="AA300" s="697"/>
      <c r="AB300" s="697"/>
      <c r="AC300" s="697"/>
      <c r="AD300" s="697"/>
      <c r="AE300" s="697"/>
      <c r="AF300" s="697"/>
      <c r="AG300" s="697"/>
      <c r="AH300" s="697"/>
      <c r="AI300" s="697"/>
      <c r="AJ300" s="697"/>
      <c r="AK300" s="697"/>
      <c r="AL300" s="697"/>
      <c r="AM300" s="697"/>
      <c r="AN300" s="697"/>
      <c r="AO300" s="697"/>
      <c r="AP300" s="697"/>
      <c r="AQ300" s="697"/>
      <c r="AR300" s="697"/>
      <c r="AS300" s="697"/>
      <c r="AT300" s="697"/>
      <c r="AU300" s="697"/>
      <c r="AV300" s="697"/>
      <c r="AW300" s="697"/>
      <c r="AX300" s="697"/>
      <c r="AY300" s="697"/>
      <c r="AZ300" s="697"/>
      <c r="BA300" s="697"/>
      <c r="BB300" s="697"/>
      <c r="BC300" s="697"/>
      <c r="BD300" s="697"/>
      <c r="BE300" s="697"/>
      <c r="BF300" s="697"/>
      <c r="BG300" s="697"/>
      <c r="BH300" s="697"/>
      <c r="BI300" s="697"/>
      <c r="BJ300" s="697"/>
      <c r="BK300" s="697"/>
      <c r="BL300" s="697"/>
      <c r="BM300" s="697"/>
      <c r="BN300" s="697"/>
      <c r="BO300" s="697"/>
      <c r="BP300" s="697"/>
      <c r="BQ300" s="697"/>
      <c r="BR300" s="697"/>
      <c r="BS300" s="697"/>
      <c r="BT300" s="697"/>
      <c r="BU300" s="697"/>
      <c r="BV300" s="697"/>
      <c r="BW300" s="697"/>
      <c r="BX300" s="697"/>
      <c r="BY300" s="697"/>
      <c r="BZ300" s="697"/>
      <c r="CA300" s="697"/>
      <c r="CB300" s="697"/>
      <c r="CC300" s="697"/>
      <c r="CD300" s="697"/>
      <c r="CE300" s="697"/>
      <c r="CF300" s="697"/>
      <c r="CG300" s="697"/>
      <c r="CH300" s="697"/>
      <c r="CI300" s="697"/>
      <c r="CJ300" s="697"/>
      <c r="CK300" s="697"/>
      <c r="CL300" s="697"/>
      <c r="CM300" s="697"/>
      <c r="CN300" s="697"/>
      <c r="CO300" s="697"/>
      <c r="CP300" s="697"/>
      <c r="CQ300" s="697"/>
      <c r="CR300" s="697"/>
      <c r="CS300" s="697"/>
      <c r="CT300" s="697"/>
      <c r="CU300" s="697"/>
      <c r="CV300" s="697"/>
      <c r="CW300" s="697"/>
      <c r="CX300" s="697"/>
      <c r="CY300" s="697"/>
      <c r="CZ300" s="697"/>
      <c r="DA300" s="697"/>
      <c r="DB300" s="697"/>
    </row>
    <row r="301" spans="1:106" hidden="1" outlineLevel="1" x14ac:dyDescent="0.2">
      <c r="A301" s="709">
        <f t="shared" si="68"/>
        <v>38596</v>
      </c>
      <c r="B301" s="709" t="str">
        <f t="shared" si="69"/>
        <v>3Q05</v>
      </c>
      <c r="C301" s="709" t="str">
        <f t="shared" si="70"/>
        <v>4Q05</v>
      </c>
      <c r="D301" s="710">
        <f t="shared" si="75"/>
        <v>38657</v>
      </c>
      <c r="E301" s="710">
        <f t="shared" si="75"/>
        <v>38597</v>
      </c>
      <c r="F301" s="712">
        <v>68.47</v>
      </c>
      <c r="G301" s="713">
        <f t="shared" si="71"/>
        <v>1.4900000000000011</v>
      </c>
      <c r="H301" s="713">
        <f t="shared" si="72"/>
        <v>1.4900000000000011</v>
      </c>
      <c r="I301" s="697"/>
      <c r="J301" s="697"/>
      <c r="K301" s="697"/>
      <c r="L301" s="697"/>
      <c r="M301" s="697"/>
      <c r="N301" s="697"/>
      <c r="O301" s="697"/>
      <c r="P301" s="697"/>
      <c r="Q301" s="697"/>
      <c r="R301" s="697"/>
      <c r="S301" s="697"/>
      <c r="T301" s="697"/>
      <c r="U301" s="697"/>
      <c r="V301" s="697"/>
      <c r="W301" s="697"/>
      <c r="X301" s="697"/>
      <c r="Y301" s="697"/>
      <c r="Z301" s="697"/>
      <c r="AA301" s="697"/>
      <c r="AB301" s="697"/>
      <c r="AC301" s="697"/>
      <c r="AD301" s="697"/>
      <c r="AE301" s="697"/>
      <c r="AF301" s="697"/>
      <c r="AG301" s="697"/>
      <c r="AH301" s="697"/>
      <c r="AI301" s="697"/>
      <c r="AJ301" s="697"/>
      <c r="AK301" s="697"/>
      <c r="AL301" s="697"/>
      <c r="AM301" s="697"/>
      <c r="AN301" s="697"/>
      <c r="AO301" s="697"/>
      <c r="AP301" s="697"/>
      <c r="AQ301" s="697"/>
      <c r="AR301" s="697"/>
      <c r="AS301" s="697"/>
      <c r="AT301" s="697"/>
      <c r="AU301" s="697"/>
      <c r="AV301" s="697"/>
      <c r="AW301" s="697"/>
      <c r="AX301" s="697"/>
      <c r="AY301" s="697"/>
      <c r="AZ301" s="697"/>
      <c r="BA301" s="697"/>
      <c r="BB301" s="697"/>
      <c r="BC301" s="697"/>
      <c r="BD301" s="697"/>
      <c r="BE301" s="697"/>
      <c r="BF301" s="697"/>
      <c r="BG301" s="697"/>
      <c r="BH301" s="697"/>
      <c r="BI301" s="697"/>
      <c r="BJ301" s="697"/>
      <c r="BK301" s="697"/>
      <c r="BL301" s="697"/>
      <c r="BM301" s="697"/>
      <c r="BN301" s="697"/>
      <c r="BO301" s="697"/>
      <c r="BP301" s="697"/>
      <c r="BQ301" s="697"/>
      <c r="BR301" s="697"/>
      <c r="BS301" s="697"/>
      <c r="BT301" s="697"/>
      <c r="BU301" s="697"/>
      <c r="BV301" s="697"/>
      <c r="BW301" s="697"/>
      <c r="BX301" s="697"/>
      <c r="BY301" s="697"/>
      <c r="BZ301" s="697"/>
      <c r="CA301" s="697"/>
      <c r="CB301" s="697"/>
      <c r="CC301" s="697"/>
      <c r="CD301" s="697"/>
      <c r="CE301" s="697"/>
      <c r="CF301" s="697"/>
      <c r="CG301" s="697"/>
      <c r="CH301" s="697"/>
      <c r="CI301" s="697"/>
      <c r="CJ301" s="697"/>
      <c r="CK301" s="697"/>
      <c r="CL301" s="697"/>
      <c r="CM301" s="697"/>
      <c r="CN301" s="697"/>
      <c r="CO301" s="697"/>
      <c r="CP301" s="697"/>
      <c r="CQ301" s="697"/>
      <c r="CR301" s="697"/>
      <c r="CS301" s="697"/>
      <c r="CT301" s="697"/>
      <c r="CU301" s="697"/>
      <c r="CV301" s="697"/>
      <c r="CW301" s="697"/>
      <c r="CX301" s="697"/>
      <c r="CY301" s="697"/>
      <c r="CZ301" s="697"/>
      <c r="DA301" s="697"/>
      <c r="DB301" s="697"/>
    </row>
    <row r="302" spans="1:106" hidden="1" outlineLevel="1" x14ac:dyDescent="0.2">
      <c r="A302" s="709">
        <f t="shared" si="68"/>
        <v>38596</v>
      </c>
      <c r="B302" s="709" t="str">
        <f t="shared" si="69"/>
        <v>3Q05</v>
      </c>
      <c r="C302" s="709" t="str">
        <f t="shared" si="70"/>
        <v>4Q05</v>
      </c>
      <c r="D302" s="710">
        <f t="shared" si="75"/>
        <v>38664</v>
      </c>
      <c r="E302" s="710">
        <f t="shared" si="75"/>
        <v>38604</v>
      </c>
      <c r="F302" s="712">
        <v>64.81</v>
      </c>
      <c r="G302" s="713">
        <f t="shared" si="71"/>
        <v>1.4900000000000011</v>
      </c>
      <c r="H302" s="713">
        <f t="shared" si="72"/>
        <v>1.4900000000000011</v>
      </c>
      <c r="I302" s="697"/>
      <c r="J302" s="697"/>
      <c r="K302" s="697"/>
      <c r="L302" s="697"/>
      <c r="M302" s="697"/>
      <c r="N302" s="697"/>
      <c r="O302" s="697"/>
      <c r="P302" s="697"/>
      <c r="Q302" s="697"/>
      <c r="R302" s="697"/>
      <c r="S302" s="697"/>
      <c r="T302" s="697"/>
      <c r="U302" s="697"/>
      <c r="V302" s="697"/>
      <c r="W302" s="697"/>
      <c r="X302" s="697"/>
      <c r="Y302" s="697"/>
      <c r="Z302" s="697"/>
      <c r="AA302" s="697"/>
      <c r="AB302" s="697"/>
      <c r="AC302" s="697"/>
      <c r="AD302" s="697"/>
      <c r="AE302" s="697"/>
      <c r="AF302" s="697"/>
      <c r="AG302" s="697"/>
      <c r="AH302" s="697"/>
      <c r="AI302" s="697"/>
      <c r="AJ302" s="697"/>
      <c r="AK302" s="697"/>
      <c r="AL302" s="697"/>
      <c r="AM302" s="697"/>
      <c r="AN302" s="697"/>
      <c r="AO302" s="697"/>
      <c r="AP302" s="697"/>
      <c r="AQ302" s="697"/>
      <c r="AR302" s="697"/>
      <c r="AS302" s="697"/>
      <c r="AT302" s="697"/>
      <c r="AU302" s="697"/>
      <c r="AV302" s="697"/>
      <c r="AW302" s="697"/>
      <c r="AX302" s="697"/>
      <c r="AY302" s="697"/>
      <c r="AZ302" s="697"/>
      <c r="BA302" s="697"/>
      <c r="BB302" s="697"/>
      <c r="BC302" s="697"/>
      <c r="BD302" s="697"/>
      <c r="BE302" s="697"/>
      <c r="BF302" s="697"/>
      <c r="BG302" s="697"/>
      <c r="BH302" s="697"/>
      <c r="BI302" s="697"/>
      <c r="BJ302" s="697"/>
      <c r="BK302" s="697"/>
      <c r="BL302" s="697"/>
      <c r="BM302" s="697"/>
      <c r="BN302" s="697"/>
      <c r="BO302" s="697"/>
      <c r="BP302" s="697"/>
      <c r="BQ302" s="697"/>
      <c r="BR302" s="697"/>
      <c r="BS302" s="697"/>
      <c r="BT302" s="697"/>
      <c r="BU302" s="697"/>
      <c r="BV302" s="697"/>
      <c r="BW302" s="697"/>
      <c r="BX302" s="697"/>
      <c r="BY302" s="697"/>
      <c r="BZ302" s="697"/>
      <c r="CA302" s="697"/>
      <c r="CB302" s="697"/>
      <c r="CC302" s="697"/>
      <c r="CD302" s="697"/>
      <c r="CE302" s="697"/>
      <c r="CF302" s="697"/>
      <c r="CG302" s="697"/>
      <c r="CH302" s="697"/>
      <c r="CI302" s="697"/>
      <c r="CJ302" s="697"/>
      <c r="CK302" s="697"/>
      <c r="CL302" s="697"/>
      <c r="CM302" s="697"/>
      <c r="CN302" s="697"/>
      <c r="CO302" s="697"/>
      <c r="CP302" s="697"/>
      <c r="CQ302" s="697"/>
      <c r="CR302" s="697"/>
      <c r="CS302" s="697"/>
      <c r="CT302" s="697"/>
      <c r="CU302" s="697"/>
      <c r="CV302" s="697"/>
      <c r="CW302" s="697"/>
      <c r="CX302" s="697"/>
      <c r="CY302" s="697"/>
      <c r="CZ302" s="697"/>
      <c r="DA302" s="697"/>
      <c r="DB302" s="697"/>
    </row>
    <row r="303" spans="1:106" hidden="1" outlineLevel="1" x14ac:dyDescent="0.2">
      <c r="A303" s="709">
        <f t="shared" si="68"/>
        <v>38596</v>
      </c>
      <c r="B303" s="709" t="str">
        <f t="shared" si="69"/>
        <v>3Q05</v>
      </c>
      <c r="C303" s="709" t="str">
        <f t="shared" si="70"/>
        <v>4Q05</v>
      </c>
      <c r="D303" s="710">
        <f t="shared" si="75"/>
        <v>38671</v>
      </c>
      <c r="E303" s="710">
        <f t="shared" si="75"/>
        <v>38611</v>
      </c>
      <c r="F303" s="712">
        <v>63.84</v>
      </c>
      <c r="G303" s="713">
        <f t="shared" si="71"/>
        <v>1.4900000000000011</v>
      </c>
      <c r="H303" s="713">
        <f t="shared" si="72"/>
        <v>1.4900000000000011</v>
      </c>
      <c r="I303" s="697"/>
      <c r="J303" s="697"/>
      <c r="K303" s="697"/>
      <c r="L303" s="697"/>
      <c r="M303" s="697"/>
      <c r="N303" s="697"/>
      <c r="O303" s="697"/>
      <c r="P303" s="697"/>
      <c r="Q303" s="697"/>
      <c r="R303" s="697"/>
      <c r="S303" s="697"/>
      <c r="T303" s="697"/>
      <c r="U303" s="697"/>
      <c r="V303" s="697"/>
      <c r="W303" s="697"/>
      <c r="X303" s="697"/>
      <c r="Y303" s="697"/>
      <c r="Z303" s="697"/>
      <c r="AA303" s="697"/>
      <c r="AB303" s="697"/>
      <c r="AC303" s="697"/>
      <c r="AD303" s="697"/>
      <c r="AE303" s="697"/>
      <c r="AF303" s="697"/>
      <c r="AG303" s="697"/>
      <c r="AH303" s="697"/>
      <c r="AI303" s="697"/>
      <c r="AJ303" s="697"/>
      <c r="AK303" s="697"/>
      <c r="AL303" s="697"/>
      <c r="AM303" s="697"/>
      <c r="AN303" s="697"/>
      <c r="AO303" s="697"/>
      <c r="AP303" s="697"/>
      <c r="AQ303" s="697"/>
      <c r="AR303" s="697"/>
      <c r="AS303" s="697"/>
      <c r="AT303" s="697"/>
      <c r="AU303" s="697"/>
      <c r="AV303" s="697"/>
      <c r="AW303" s="697"/>
      <c r="AX303" s="697"/>
      <c r="AY303" s="697"/>
      <c r="AZ303" s="697"/>
      <c r="BA303" s="697"/>
      <c r="BB303" s="697"/>
      <c r="BC303" s="697"/>
      <c r="BD303" s="697"/>
      <c r="BE303" s="697"/>
      <c r="BF303" s="697"/>
      <c r="BG303" s="697"/>
      <c r="BH303" s="697"/>
      <c r="BI303" s="697"/>
      <c r="BJ303" s="697"/>
      <c r="BK303" s="697"/>
      <c r="BL303" s="697"/>
      <c r="BM303" s="697"/>
      <c r="BN303" s="697"/>
      <c r="BO303" s="697"/>
      <c r="BP303" s="697"/>
      <c r="BQ303" s="697"/>
      <c r="BR303" s="697"/>
      <c r="BS303" s="697"/>
      <c r="BT303" s="697"/>
      <c r="BU303" s="697"/>
      <c r="BV303" s="697"/>
      <c r="BW303" s="697"/>
      <c r="BX303" s="697"/>
      <c r="BY303" s="697"/>
      <c r="BZ303" s="697"/>
      <c r="CA303" s="697"/>
      <c r="CB303" s="697"/>
      <c r="CC303" s="697"/>
      <c r="CD303" s="697"/>
      <c r="CE303" s="697"/>
      <c r="CF303" s="697"/>
      <c r="CG303" s="697"/>
      <c r="CH303" s="697"/>
      <c r="CI303" s="697"/>
      <c r="CJ303" s="697"/>
      <c r="CK303" s="697"/>
      <c r="CL303" s="697"/>
      <c r="CM303" s="697"/>
      <c r="CN303" s="697"/>
      <c r="CO303" s="697"/>
      <c r="CP303" s="697"/>
      <c r="CQ303" s="697"/>
      <c r="CR303" s="697"/>
      <c r="CS303" s="697"/>
      <c r="CT303" s="697"/>
      <c r="CU303" s="697"/>
      <c r="CV303" s="697"/>
      <c r="CW303" s="697"/>
      <c r="CX303" s="697"/>
      <c r="CY303" s="697"/>
      <c r="CZ303" s="697"/>
      <c r="DA303" s="697"/>
      <c r="DB303" s="697"/>
    </row>
    <row r="304" spans="1:106" hidden="1" outlineLevel="1" x14ac:dyDescent="0.2">
      <c r="A304" s="709">
        <f t="shared" si="68"/>
        <v>38596</v>
      </c>
      <c r="B304" s="709" t="str">
        <f t="shared" si="69"/>
        <v>3Q05</v>
      </c>
      <c r="C304" s="709" t="str">
        <f t="shared" si="70"/>
        <v>4Q05</v>
      </c>
      <c r="D304" s="710">
        <f t="shared" si="75"/>
        <v>38678</v>
      </c>
      <c r="E304" s="710">
        <f t="shared" si="75"/>
        <v>38618</v>
      </c>
      <c r="F304" s="712">
        <v>66.430000000000007</v>
      </c>
      <c r="G304" s="713">
        <f t="shared" si="71"/>
        <v>1.4900000000000011</v>
      </c>
      <c r="H304" s="713">
        <f t="shared" si="72"/>
        <v>1.4900000000000011</v>
      </c>
      <c r="I304" s="697"/>
      <c r="J304" s="697"/>
      <c r="K304" s="697"/>
      <c r="L304" s="697"/>
      <c r="M304" s="697"/>
      <c r="N304" s="697"/>
      <c r="O304" s="697"/>
      <c r="P304" s="697"/>
      <c r="Q304" s="697"/>
      <c r="R304" s="697"/>
      <c r="S304" s="697"/>
      <c r="T304" s="697"/>
      <c r="U304" s="697"/>
      <c r="V304" s="697"/>
      <c r="W304" s="697"/>
      <c r="X304" s="697"/>
      <c r="Y304" s="697"/>
      <c r="Z304" s="697"/>
      <c r="AA304" s="697"/>
      <c r="AB304" s="697"/>
      <c r="AC304" s="697"/>
      <c r="AD304" s="697"/>
      <c r="AE304" s="697"/>
      <c r="AF304" s="697"/>
      <c r="AG304" s="697"/>
      <c r="AH304" s="697"/>
      <c r="AI304" s="697"/>
      <c r="AJ304" s="697"/>
      <c r="AK304" s="697"/>
      <c r="AL304" s="697"/>
      <c r="AM304" s="697"/>
      <c r="AN304" s="697"/>
      <c r="AO304" s="697"/>
      <c r="AP304" s="697"/>
      <c r="AQ304" s="697"/>
      <c r="AR304" s="697"/>
      <c r="AS304" s="697"/>
      <c r="AT304" s="697"/>
      <c r="AU304" s="697"/>
      <c r="AV304" s="697"/>
      <c r="AW304" s="697"/>
      <c r="AX304" s="697"/>
      <c r="AY304" s="697"/>
      <c r="AZ304" s="697"/>
      <c r="BA304" s="697"/>
      <c r="BB304" s="697"/>
      <c r="BC304" s="697"/>
      <c r="BD304" s="697"/>
      <c r="BE304" s="697"/>
      <c r="BF304" s="697"/>
      <c r="BG304" s="697"/>
      <c r="BH304" s="697"/>
      <c r="BI304" s="697"/>
      <c r="BJ304" s="697"/>
      <c r="BK304" s="697"/>
      <c r="BL304" s="697"/>
      <c r="BM304" s="697"/>
      <c r="BN304" s="697"/>
      <c r="BO304" s="697"/>
      <c r="BP304" s="697"/>
      <c r="BQ304" s="697"/>
      <c r="BR304" s="697"/>
      <c r="BS304" s="697"/>
      <c r="BT304" s="697"/>
      <c r="BU304" s="697"/>
      <c r="BV304" s="697"/>
      <c r="BW304" s="697"/>
      <c r="BX304" s="697"/>
      <c r="BY304" s="697"/>
      <c r="BZ304" s="697"/>
      <c r="CA304" s="697"/>
      <c r="CB304" s="697"/>
      <c r="CC304" s="697"/>
      <c r="CD304" s="697"/>
      <c r="CE304" s="697"/>
      <c r="CF304" s="697"/>
      <c r="CG304" s="697"/>
      <c r="CH304" s="697"/>
      <c r="CI304" s="697"/>
      <c r="CJ304" s="697"/>
      <c r="CK304" s="697"/>
      <c r="CL304" s="697"/>
      <c r="CM304" s="697"/>
      <c r="CN304" s="697"/>
      <c r="CO304" s="697"/>
      <c r="CP304" s="697"/>
      <c r="CQ304" s="697"/>
      <c r="CR304" s="697"/>
      <c r="CS304" s="697"/>
      <c r="CT304" s="697"/>
      <c r="CU304" s="697"/>
      <c r="CV304" s="697"/>
      <c r="CW304" s="697"/>
      <c r="CX304" s="697"/>
      <c r="CY304" s="697"/>
      <c r="CZ304" s="697"/>
      <c r="DA304" s="697"/>
      <c r="DB304" s="697"/>
    </row>
    <row r="305" spans="1:106" hidden="1" outlineLevel="1" x14ac:dyDescent="0.2">
      <c r="A305" s="709">
        <f t="shared" si="68"/>
        <v>38596</v>
      </c>
      <c r="B305" s="709" t="str">
        <f t="shared" si="69"/>
        <v>3Q05</v>
      </c>
      <c r="C305" s="709" t="str">
        <f t="shared" si="70"/>
        <v>4Q05</v>
      </c>
      <c r="D305" s="710">
        <f t="shared" si="75"/>
        <v>38685</v>
      </c>
      <c r="E305" s="710">
        <f t="shared" si="75"/>
        <v>38625</v>
      </c>
      <c r="F305" s="712">
        <v>66.06</v>
      </c>
      <c r="G305" s="713">
        <f t="shared" si="71"/>
        <v>1.4900000000000011</v>
      </c>
      <c r="H305" s="713">
        <f t="shared" si="72"/>
        <v>1.4900000000000011</v>
      </c>
      <c r="I305" s="697"/>
      <c r="J305" s="697"/>
      <c r="K305" s="697"/>
      <c r="L305" s="697"/>
      <c r="M305" s="697"/>
      <c r="N305" s="697"/>
      <c r="O305" s="697"/>
      <c r="P305" s="697"/>
      <c r="Q305" s="697"/>
      <c r="R305" s="697"/>
      <c r="S305" s="697"/>
      <c r="T305" s="697"/>
      <c r="U305" s="697"/>
      <c r="V305" s="697"/>
      <c r="W305" s="697"/>
      <c r="X305" s="697"/>
      <c r="Y305" s="697"/>
      <c r="Z305" s="697"/>
      <c r="AA305" s="697"/>
      <c r="AB305" s="697"/>
      <c r="AC305" s="697"/>
      <c r="AD305" s="697"/>
      <c r="AE305" s="697"/>
      <c r="AF305" s="697"/>
      <c r="AG305" s="697"/>
      <c r="AH305" s="697"/>
      <c r="AI305" s="697"/>
      <c r="AJ305" s="697"/>
      <c r="AK305" s="697"/>
      <c r="AL305" s="697"/>
      <c r="AM305" s="697"/>
      <c r="AN305" s="697"/>
      <c r="AO305" s="697"/>
      <c r="AP305" s="697"/>
      <c r="AQ305" s="697"/>
      <c r="AR305" s="697"/>
      <c r="AS305" s="697"/>
      <c r="AT305" s="697"/>
      <c r="AU305" s="697"/>
      <c r="AV305" s="697"/>
      <c r="AW305" s="697"/>
      <c r="AX305" s="697"/>
      <c r="AY305" s="697"/>
      <c r="AZ305" s="697"/>
      <c r="BA305" s="697"/>
      <c r="BB305" s="697"/>
      <c r="BC305" s="697"/>
      <c r="BD305" s="697"/>
      <c r="BE305" s="697"/>
      <c r="BF305" s="697"/>
      <c r="BG305" s="697"/>
      <c r="BH305" s="697"/>
      <c r="BI305" s="697"/>
      <c r="BJ305" s="697"/>
      <c r="BK305" s="697"/>
      <c r="BL305" s="697"/>
      <c r="BM305" s="697"/>
      <c r="BN305" s="697"/>
      <c r="BO305" s="697"/>
      <c r="BP305" s="697"/>
      <c r="BQ305" s="697"/>
      <c r="BR305" s="697"/>
      <c r="BS305" s="697"/>
      <c r="BT305" s="697"/>
      <c r="BU305" s="697"/>
      <c r="BV305" s="697"/>
      <c r="BW305" s="697"/>
      <c r="BX305" s="697"/>
      <c r="BY305" s="697"/>
      <c r="BZ305" s="697"/>
      <c r="CA305" s="697"/>
      <c r="CB305" s="697"/>
      <c r="CC305" s="697"/>
      <c r="CD305" s="697"/>
      <c r="CE305" s="697"/>
      <c r="CF305" s="697"/>
      <c r="CG305" s="697"/>
      <c r="CH305" s="697"/>
      <c r="CI305" s="697"/>
      <c r="CJ305" s="697"/>
      <c r="CK305" s="697"/>
      <c r="CL305" s="697"/>
      <c r="CM305" s="697"/>
      <c r="CN305" s="697"/>
      <c r="CO305" s="697"/>
      <c r="CP305" s="697"/>
      <c r="CQ305" s="697"/>
      <c r="CR305" s="697"/>
      <c r="CS305" s="697"/>
      <c r="CT305" s="697"/>
      <c r="CU305" s="697"/>
      <c r="CV305" s="697"/>
      <c r="CW305" s="697"/>
      <c r="CX305" s="697"/>
      <c r="CY305" s="697"/>
      <c r="CZ305" s="697"/>
      <c r="DA305" s="697"/>
      <c r="DB305" s="697"/>
    </row>
    <row r="306" spans="1:106" hidden="1" outlineLevel="1" x14ac:dyDescent="0.2">
      <c r="A306" s="709">
        <f t="shared" si="68"/>
        <v>38626</v>
      </c>
      <c r="B306" s="709" t="str">
        <f t="shared" si="69"/>
        <v>4Q05</v>
      </c>
      <c r="C306" s="709" t="str">
        <f t="shared" si="70"/>
        <v>4Q05</v>
      </c>
      <c r="D306" s="710">
        <f t="shared" si="75"/>
        <v>38692</v>
      </c>
      <c r="E306" s="710">
        <f t="shared" si="75"/>
        <v>38632</v>
      </c>
      <c r="F306" s="712">
        <v>63.06</v>
      </c>
      <c r="G306" s="713">
        <f t="shared" si="71"/>
        <v>1.4900000000000011</v>
      </c>
      <c r="H306" s="713">
        <f t="shared" si="72"/>
        <v>1.4900000000000011</v>
      </c>
      <c r="I306" s="697"/>
      <c r="J306" s="697"/>
      <c r="K306" s="697"/>
      <c r="L306" s="697"/>
      <c r="M306" s="697"/>
      <c r="N306" s="697"/>
      <c r="O306" s="697"/>
      <c r="P306" s="697"/>
      <c r="Q306" s="697"/>
      <c r="R306" s="697"/>
      <c r="S306" s="697"/>
      <c r="T306" s="697"/>
      <c r="U306" s="697"/>
      <c r="V306" s="697"/>
      <c r="W306" s="697"/>
      <c r="X306" s="697"/>
      <c r="Y306" s="697"/>
      <c r="Z306" s="697"/>
      <c r="AA306" s="697"/>
      <c r="AB306" s="697"/>
      <c r="AC306" s="697"/>
      <c r="AD306" s="697"/>
      <c r="AE306" s="697"/>
      <c r="AF306" s="697"/>
      <c r="AG306" s="697"/>
      <c r="AH306" s="697"/>
      <c r="AI306" s="697"/>
      <c r="AJ306" s="697"/>
      <c r="AK306" s="697"/>
      <c r="AL306" s="697"/>
      <c r="AM306" s="697"/>
      <c r="AN306" s="697"/>
      <c r="AO306" s="697"/>
      <c r="AP306" s="697"/>
      <c r="AQ306" s="697"/>
      <c r="AR306" s="697"/>
      <c r="AS306" s="697"/>
      <c r="AT306" s="697"/>
      <c r="AU306" s="697"/>
      <c r="AV306" s="697"/>
      <c r="AW306" s="697"/>
      <c r="AX306" s="697"/>
      <c r="AY306" s="697"/>
      <c r="AZ306" s="697"/>
      <c r="BA306" s="697"/>
      <c r="BB306" s="697"/>
      <c r="BC306" s="697"/>
      <c r="BD306" s="697"/>
      <c r="BE306" s="697"/>
      <c r="BF306" s="697"/>
      <c r="BG306" s="697"/>
      <c r="BH306" s="697"/>
      <c r="BI306" s="697"/>
      <c r="BJ306" s="697"/>
      <c r="BK306" s="697"/>
      <c r="BL306" s="697"/>
      <c r="BM306" s="697"/>
      <c r="BN306" s="697"/>
      <c r="BO306" s="697"/>
      <c r="BP306" s="697"/>
      <c r="BQ306" s="697"/>
      <c r="BR306" s="697"/>
      <c r="BS306" s="697"/>
      <c r="BT306" s="697"/>
      <c r="BU306" s="697"/>
      <c r="BV306" s="697"/>
      <c r="BW306" s="697"/>
      <c r="BX306" s="697"/>
      <c r="BY306" s="697"/>
      <c r="BZ306" s="697"/>
      <c r="CA306" s="697"/>
      <c r="CB306" s="697"/>
      <c r="CC306" s="697"/>
      <c r="CD306" s="697"/>
      <c r="CE306" s="697"/>
      <c r="CF306" s="697"/>
      <c r="CG306" s="697"/>
      <c r="CH306" s="697"/>
      <c r="CI306" s="697"/>
      <c r="CJ306" s="697"/>
      <c r="CK306" s="697"/>
      <c r="CL306" s="697"/>
      <c r="CM306" s="697"/>
      <c r="CN306" s="697"/>
      <c r="CO306" s="697"/>
      <c r="CP306" s="697"/>
      <c r="CQ306" s="697"/>
      <c r="CR306" s="697"/>
      <c r="CS306" s="697"/>
      <c r="CT306" s="697"/>
      <c r="CU306" s="697"/>
      <c r="CV306" s="697"/>
      <c r="CW306" s="697"/>
      <c r="CX306" s="697"/>
      <c r="CY306" s="697"/>
      <c r="CZ306" s="697"/>
      <c r="DA306" s="697"/>
      <c r="DB306" s="697"/>
    </row>
    <row r="307" spans="1:106" hidden="1" outlineLevel="1" x14ac:dyDescent="0.2">
      <c r="A307" s="709">
        <f t="shared" si="68"/>
        <v>38626</v>
      </c>
      <c r="B307" s="709" t="str">
        <f t="shared" si="69"/>
        <v>4Q05</v>
      </c>
      <c r="C307" s="709" t="str">
        <f t="shared" si="70"/>
        <v>4Q05</v>
      </c>
      <c r="D307" s="710">
        <f t="shared" si="75"/>
        <v>38699</v>
      </c>
      <c r="E307" s="710">
        <f t="shared" si="75"/>
        <v>38639</v>
      </c>
      <c r="F307" s="712">
        <v>62.87</v>
      </c>
      <c r="G307" s="713">
        <f t="shared" si="71"/>
        <v>1.4900000000000011</v>
      </c>
      <c r="H307" s="713">
        <f t="shared" si="72"/>
        <v>1.4900000000000011</v>
      </c>
      <c r="I307" s="697"/>
      <c r="J307" s="697"/>
      <c r="K307" s="697"/>
      <c r="L307" s="697"/>
      <c r="M307" s="697"/>
      <c r="N307" s="697"/>
      <c r="O307" s="697"/>
      <c r="P307" s="697"/>
      <c r="Q307" s="697"/>
      <c r="R307" s="697"/>
      <c r="S307" s="697"/>
      <c r="T307" s="697"/>
      <c r="U307" s="697"/>
      <c r="V307" s="697"/>
      <c r="W307" s="697"/>
      <c r="X307" s="697"/>
      <c r="Y307" s="697"/>
      <c r="Z307" s="697"/>
      <c r="AA307" s="697"/>
      <c r="AB307" s="697"/>
      <c r="AC307" s="697"/>
      <c r="AD307" s="697"/>
      <c r="AE307" s="697"/>
      <c r="AF307" s="697"/>
      <c r="AG307" s="697"/>
      <c r="AH307" s="697"/>
      <c r="AI307" s="697"/>
      <c r="AJ307" s="697"/>
      <c r="AK307" s="697"/>
      <c r="AL307" s="697"/>
      <c r="AM307" s="697"/>
      <c r="AN307" s="697"/>
      <c r="AO307" s="697"/>
      <c r="AP307" s="697"/>
      <c r="AQ307" s="697"/>
      <c r="AR307" s="697"/>
      <c r="AS307" s="697"/>
      <c r="AT307" s="697"/>
      <c r="AU307" s="697"/>
      <c r="AV307" s="697"/>
      <c r="AW307" s="697"/>
      <c r="AX307" s="697"/>
      <c r="AY307" s="697"/>
      <c r="AZ307" s="697"/>
      <c r="BA307" s="697"/>
      <c r="BB307" s="697"/>
      <c r="BC307" s="697"/>
      <c r="BD307" s="697"/>
      <c r="BE307" s="697"/>
      <c r="BF307" s="697"/>
      <c r="BG307" s="697"/>
      <c r="BH307" s="697"/>
      <c r="BI307" s="697"/>
      <c r="BJ307" s="697"/>
      <c r="BK307" s="697"/>
      <c r="BL307" s="697"/>
      <c r="BM307" s="697"/>
      <c r="BN307" s="697"/>
      <c r="BO307" s="697"/>
      <c r="BP307" s="697"/>
      <c r="BQ307" s="697"/>
      <c r="BR307" s="697"/>
      <c r="BS307" s="697"/>
      <c r="BT307" s="697"/>
      <c r="BU307" s="697"/>
      <c r="BV307" s="697"/>
      <c r="BW307" s="697"/>
      <c r="BX307" s="697"/>
      <c r="BY307" s="697"/>
      <c r="BZ307" s="697"/>
      <c r="CA307" s="697"/>
      <c r="CB307" s="697"/>
      <c r="CC307" s="697"/>
      <c r="CD307" s="697"/>
      <c r="CE307" s="697"/>
      <c r="CF307" s="697"/>
      <c r="CG307" s="697"/>
      <c r="CH307" s="697"/>
      <c r="CI307" s="697"/>
      <c r="CJ307" s="697"/>
      <c r="CK307" s="697"/>
      <c r="CL307" s="697"/>
      <c r="CM307" s="697"/>
      <c r="CN307" s="697"/>
      <c r="CO307" s="697"/>
      <c r="CP307" s="697"/>
      <c r="CQ307" s="697"/>
      <c r="CR307" s="697"/>
      <c r="CS307" s="697"/>
      <c r="CT307" s="697"/>
      <c r="CU307" s="697"/>
      <c r="CV307" s="697"/>
      <c r="CW307" s="697"/>
      <c r="CX307" s="697"/>
      <c r="CY307" s="697"/>
      <c r="CZ307" s="697"/>
      <c r="DA307" s="697"/>
      <c r="DB307" s="697"/>
    </row>
    <row r="308" spans="1:106" hidden="1" outlineLevel="1" x14ac:dyDescent="0.2">
      <c r="A308" s="709">
        <f t="shared" si="68"/>
        <v>38626</v>
      </c>
      <c r="B308" s="709" t="str">
        <f t="shared" si="69"/>
        <v>4Q05</v>
      </c>
      <c r="C308" s="709" t="str">
        <f t="shared" si="70"/>
        <v>4Q05</v>
      </c>
      <c r="D308" s="710">
        <f t="shared" si="75"/>
        <v>38706</v>
      </c>
      <c r="E308" s="710">
        <f t="shared" si="75"/>
        <v>38646</v>
      </c>
      <c r="F308" s="712">
        <v>62.28</v>
      </c>
      <c r="G308" s="713">
        <f t="shared" si="71"/>
        <v>1.4900000000000011</v>
      </c>
      <c r="H308" s="713">
        <f t="shared" si="72"/>
        <v>1.4900000000000011</v>
      </c>
      <c r="I308" s="697"/>
      <c r="J308" s="697"/>
      <c r="K308" s="697"/>
      <c r="L308" s="697"/>
      <c r="M308" s="697"/>
      <c r="N308" s="697"/>
      <c r="O308" s="697"/>
      <c r="P308" s="697"/>
      <c r="Q308" s="697"/>
      <c r="R308" s="697"/>
      <c r="S308" s="697"/>
      <c r="T308" s="697"/>
      <c r="U308" s="697"/>
      <c r="V308" s="697"/>
      <c r="W308" s="697"/>
      <c r="X308" s="697"/>
      <c r="Y308" s="697"/>
      <c r="Z308" s="697"/>
      <c r="AA308" s="697"/>
      <c r="AB308" s="697"/>
      <c r="AC308" s="697"/>
      <c r="AD308" s="697"/>
      <c r="AE308" s="697"/>
      <c r="AF308" s="697"/>
      <c r="AG308" s="697"/>
      <c r="AH308" s="697"/>
      <c r="AI308" s="697"/>
      <c r="AJ308" s="697"/>
      <c r="AK308" s="697"/>
      <c r="AL308" s="697"/>
      <c r="AM308" s="697"/>
      <c r="AN308" s="697"/>
      <c r="AO308" s="697"/>
      <c r="AP308" s="697"/>
      <c r="AQ308" s="697"/>
      <c r="AR308" s="697"/>
      <c r="AS308" s="697"/>
      <c r="AT308" s="697"/>
      <c r="AU308" s="697"/>
      <c r="AV308" s="697"/>
      <c r="AW308" s="697"/>
      <c r="AX308" s="697"/>
      <c r="AY308" s="697"/>
      <c r="AZ308" s="697"/>
      <c r="BA308" s="697"/>
      <c r="BB308" s="697"/>
      <c r="BC308" s="697"/>
      <c r="BD308" s="697"/>
      <c r="BE308" s="697"/>
      <c r="BF308" s="697"/>
      <c r="BG308" s="697"/>
      <c r="BH308" s="697"/>
      <c r="BI308" s="697"/>
      <c r="BJ308" s="697"/>
      <c r="BK308" s="697"/>
      <c r="BL308" s="697"/>
      <c r="BM308" s="697"/>
      <c r="BN308" s="697"/>
      <c r="BO308" s="697"/>
      <c r="BP308" s="697"/>
      <c r="BQ308" s="697"/>
      <c r="BR308" s="697"/>
      <c r="BS308" s="697"/>
      <c r="BT308" s="697"/>
      <c r="BU308" s="697"/>
      <c r="BV308" s="697"/>
      <c r="BW308" s="697"/>
      <c r="BX308" s="697"/>
      <c r="BY308" s="697"/>
      <c r="BZ308" s="697"/>
      <c r="CA308" s="697"/>
      <c r="CB308" s="697"/>
      <c r="CC308" s="697"/>
      <c r="CD308" s="697"/>
      <c r="CE308" s="697"/>
      <c r="CF308" s="697"/>
      <c r="CG308" s="697"/>
      <c r="CH308" s="697"/>
      <c r="CI308" s="697"/>
      <c r="CJ308" s="697"/>
      <c r="CK308" s="697"/>
      <c r="CL308" s="697"/>
      <c r="CM308" s="697"/>
      <c r="CN308" s="697"/>
      <c r="CO308" s="697"/>
      <c r="CP308" s="697"/>
      <c r="CQ308" s="697"/>
      <c r="CR308" s="697"/>
      <c r="CS308" s="697"/>
      <c r="CT308" s="697"/>
      <c r="CU308" s="697"/>
      <c r="CV308" s="697"/>
      <c r="CW308" s="697"/>
      <c r="CX308" s="697"/>
      <c r="CY308" s="697"/>
      <c r="CZ308" s="697"/>
      <c r="DA308" s="697"/>
      <c r="DB308" s="697"/>
    </row>
    <row r="309" spans="1:106" hidden="1" outlineLevel="1" x14ac:dyDescent="0.2">
      <c r="A309" s="709">
        <f t="shared" si="68"/>
        <v>38626</v>
      </c>
      <c r="B309" s="709" t="str">
        <f t="shared" si="69"/>
        <v>4Q05</v>
      </c>
      <c r="C309" s="709" t="str">
        <f t="shared" si="70"/>
        <v>4Q05</v>
      </c>
      <c r="D309" s="710">
        <f t="shared" ref="D309:E324" si="76">D308+7</f>
        <v>38713</v>
      </c>
      <c r="E309" s="710">
        <f t="shared" si="76"/>
        <v>38653</v>
      </c>
      <c r="F309" s="712">
        <v>61.33</v>
      </c>
      <c r="G309" s="713">
        <f t="shared" si="71"/>
        <v>1.4900000000000011</v>
      </c>
      <c r="H309" s="713">
        <f t="shared" si="72"/>
        <v>1.4900000000000011</v>
      </c>
      <c r="I309" s="697"/>
      <c r="J309" s="697"/>
      <c r="K309" s="697"/>
      <c r="L309" s="697"/>
      <c r="M309" s="697"/>
      <c r="N309" s="697"/>
      <c r="O309" s="697"/>
      <c r="P309" s="697"/>
      <c r="Q309" s="697"/>
      <c r="R309" s="697"/>
      <c r="S309" s="697"/>
      <c r="T309" s="697"/>
      <c r="U309" s="697"/>
      <c r="V309" s="697"/>
      <c r="W309" s="697"/>
      <c r="X309" s="697"/>
      <c r="Y309" s="697"/>
      <c r="Z309" s="697"/>
      <c r="AA309" s="697"/>
      <c r="AB309" s="697"/>
      <c r="AC309" s="697"/>
      <c r="AD309" s="697"/>
      <c r="AE309" s="697"/>
      <c r="AF309" s="697"/>
      <c r="AG309" s="697"/>
      <c r="AH309" s="697"/>
      <c r="AI309" s="697"/>
      <c r="AJ309" s="697"/>
      <c r="AK309" s="697"/>
      <c r="AL309" s="697"/>
      <c r="AM309" s="697"/>
      <c r="AN309" s="697"/>
      <c r="AO309" s="697"/>
      <c r="AP309" s="697"/>
      <c r="AQ309" s="697"/>
      <c r="AR309" s="697"/>
      <c r="AS309" s="697"/>
      <c r="AT309" s="697"/>
      <c r="AU309" s="697"/>
      <c r="AV309" s="697"/>
      <c r="AW309" s="697"/>
      <c r="AX309" s="697"/>
      <c r="AY309" s="697"/>
      <c r="AZ309" s="697"/>
      <c r="BA309" s="697"/>
      <c r="BB309" s="697"/>
      <c r="BC309" s="697"/>
      <c r="BD309" s="697"/>
      <c r="BE309" s="697"/>
      <c r="BF309" s="697"/>
      <c r="BG309" s="697"/>
      <c r="BH309" s="697"/>
      <c r="BI309" s="697"/>
      <c r="BJ309" s="697"/>
      <c r="BK309" s="697"/>
      <c r="BL309" s="697"/>
      <c r="BM309" s="697"/>
      <c r="BN309" s="697"/>
      <c r="BO309" s="697"/>
      <c r="BP309" s="697"/>
      <c r="BQ309" s="697"/>
      <c r="BR309" s="697"/>
      <c r="BS309" s="697"/>
      <c r="BT309" s="697"/>
      <c r="BU309" s="697"/>
      <c r="BV309" s="697"/>
      <c r="BW309" s="697"/>
      <c r="BX309" s="697"/>
      <c r="BY309" s="697"/>
      <c r="BZ309" s="697"/>
      <c r="CA309" s="697"/>
      <c r="CB309" s="697"/>
      <c r="CC309" s="697"/>
      <c r="CD309" s="697"/>
      <c r="CE309" s="697"/>
      <c r="CF309" s="697"/>
      <c r="CG309" s="697"/>
      <c r="CH309" s="697"/>
      <c r="CI309" s="697"/>
      <c r="CJ309" s="697"/>
      <c r="CK309" s="697"/>
      <c r="CL309" s="697"/>
      <c r="CM309" s="697"/>
      <c r="CN309" s="697"/>
      <c r="CO309" s="697"/>
      <c r="CP309" s="697"/>
      <c r="CQ309" s="697"/>
      <c r="CR309" s="697"/>
      <c r="CS309" s="697"/>
      <c r="CT309" s="697"/>
      <c r="CU309" s="697"/>
      <c r="CV309" s="697"/>
      <c r="CW309" s="697"/>
      <c r="CX309" s="697"/>
      <c r="CY309" s="697"/>
      <c r="CZ309" s="697"/>
      <c r="DA309" s="697"/>
      <c r="DB309" s="697"/>
    </row>
    <row r="310" spans="1:106" hidden="1" outlineLevel="1" x14ac:dyDescent="0.2">
      <c r="A310" s="709">
        <f t="shared" si="68"/>
        <v>38657</v>
      </c>
      <c r="B310" s="709" t="str">
        <f t="shared" si="69"/>
        <v>4Q05</v>
      </c>
      <c r="C310" s="709" t="str">
        <f t="shared" si="70"/>
        <v>1Q06</v>
      </c>
      <c r="D310" s="710">
        <f t="shared" si="76"/>
        <v>38720</v>
      </c>
      <c r="E310" s="710">
        <f t="shared" si="76"/>
        <v>38660</v>
      </c>
      <c r="F310" s="712">
        <v>60.34</v>
      </c>
      <c r="G310" s="713">
        <f t="shared" si="71"/>
        <v>1.4900000000000011</v>
      </c>
      <c r="H310" s="713">
        <f t="shared" si="72"/>
        <v>1.4900000000000011</v>
      </c>
      <c r="I310" s="697"/>
      <c r="J310" s="697"/>
      <c r="K310" s="697"/>
      <c r="L310" s="697"/>
      <c r="M310" s="697"/>
      <c r="N310" s="697"/>
      <c r="O310" s="697"/>
      <c r="P310" s="697"/>
      <c r="Q310" s="697"/>
      <c r="R310" s="697"/>
      <c r="S310" s="697"/>
      <c r="T310" s="697"/>
      <c r="U310" s="697"/>
      <c r="V310" s="697"/>
      <c r="W310" s="697"/>
      <c r="X310" s="697"/>
      <c r="Y310" s="697"/>
      <c r="Z310" s="697"/>
      <c r="AA310" s="697"/>
      <c r="AB310" s="697"/>
      <c r="AC310" s="697"/>
      <c r="AD310" s="697"/>
      <c r="AE310" s="697"/>
      <c r="AF310" s="697"/>
      <c r="AG310" s="697"/>
      <c r="AH310" s="697"/>
      <c r="AI310" s="697"/>
      <c r="AJ310" s="697"/>
      <c r="AK310" s="697"/>
      <c r="AL310" s="697"/>
      <c r="AM310" s="697"/>
      <c r="AN310" s="697"/>
      <c r="AO310" s="697"/>
      <c r="AP310" s="697"/>
      <c r="AQ310" s="697"/>
      <c r="AR310" s="697"/>
      <c r="AS310" s="697"/>
      <c r="AT310" s="697"/>
      <c r="AU310" s="697"/>
      <c r="AV310" s="697"/>
      <c r="AW310" s="697"/>
      <c r="AX310" s="697"/>
      <c r="AY310" s="697"/>
      <c r="AZ310" s="697"/>
      <c r="BA310" s="697"/>
      <c r="BB310" s="697"/>
      <c r="BC310" s="697"/>
      <c r="BD310" s="697"/>
      <c r="BE310" s="697"/>
      <c r="BF310" s="697"/>
      <c r="BG310" s="697"/>
      <c r="BH310" s="697"/>
      <c r="BI310" s="697"/>
      <c r="BJ310" s="697"/>
      <c r="BK310" s="697"/>
      <c r="BL310" s="697"/>
      <c r="BM310" s="697"/>
      <c r="BN310" s="697"/>
      <c r="BO310" s="697"/>
      <c r="BP310" s="697"/>
      <c r="BQ310" s="697"/>
      <c r="BR310" s="697"/>
      <c r="BS310" s="697"/>
      <c r="BT310" s="697"/>
      <c r="BU310" s="697"/>
      <c r="BV310" s="697"/>
      <c r="BW310" s="697"/>
      <c r="BX310" s="697"/>
      <c r="BY310" s="697"/>
      <c r="BZ310" s="697"/>
      <c r="CA310" s="697"/>
      <c r="CB310" s="697"/>
      <c r="CC310" s="697"/>
      <c r="CD310" s="697"/>
      <c r="CE310" s="697"/>
      <c r="CF310" s="697"/>
      <c r="CG310" s="697"/>
      <c r="CH310" s="697"/>
      <c r="CI310" s="697"/>
      <c r="CJ310" s="697"/>
      <c r="CK310" s="697"/>
      <c r="CL310" s="697"/>
      <c r="CM310" s="697"/>
      <c r="CN310" s="697"/>
      <c r="CO310" s="697"/>
      <c r="CP310" s="697"/>
      <c r="CQ310" s="697"/>
      <c r="CR310" s="697"/>
      <c r="CS310" s="697"/>
      <c r="CT310" s="697"/>
      <c r="CU310" s="697"/>
      <c r="CV310" s="697"/>
      <c r="CW310" s="697"/>
      <c r="CX310" s="697"/>
      <c r="CY310" s="697"/>
      <c r="CZ310" s="697"/>
      <c r="DA310" s="697"/>
      <c r="DB310" s="697"/>
    </row>
    <row r="311" spans="1:106" hidden="1" outlineLevel="1" x14ac:dyDescent="0.2">
      <c r="A311" s="709">
        <f t="shared" si="68"/>
        <v>38657</v>
      </c>
      <c r="B311" s="709" t="str">
        <f t="shared" si="69"/>
        <v>4Q05</v>
      </c>
      <c r="C311" s="709" t="str">
        <f t="shared" si="70"/>
        <v>1Q06</v>
      </c>
      <c r="D311" s="710">
        <f t="shared" si="76"/>
        <v>38727</v>
      </c>
      <c r="E311" s="710">
        <f t="shared" si="76"/>
        <v>38667</v>
      </c>
      <c r="F311" s="712">
        <v>58.8</v>
      </c>
      <c r="G311" s="713">
        <f t="shared" si="71"/>
        <v>1.4900000000000011</v>
      </c>
      <c r="H311" s="713">
        <f t="shared" si="72"/>
        <v>1.4900000000000011</v>
      </c>
      <c r="I311" s="697"/>
      <c r="J311" s="697"/>
      <c r="K311" s="697"/>
      <c r="L311" s="697"/>
      <c r="M311" s="697"/>
      <c r="N311" s="697"/>
      <c r="O311" s="697"/>
      <c r="P311" s="697"/>
      <c r="Q311" s="697"/>
      <c r="R311" s="697"/>
      <c r="S311" s="697"/>
      <c r="T311" s="697"/>
      <c r="U311" s="697"/>
      <c r="V311" s="697"/>
      <c r="W311" s="697"/>
      <c r="X311" s="697"/>
      <c r="Y311" s="697"/>
      <c r="Z311" s="697"/>
      <c r="AA311" s="697"/>
      <c r="AB311" s="697"/>
      <c r="AC311" s="697"/>
      <c r="AD311" s="697"/>
      <c r="AE311" s="697"/>
      <c r="AF311" s="697"/>
      <c r="AG311" s="697"/>
      <c r="AH311" s="697"/>
      <c r="AI311" s="697"/>
      <c r="AJ311" s="697"/>
      <c r="AK311" s="697"/>
      <c r="AL311" s="697"/>
      <c r="AM311" s="697"/>
      <c r="AN311" s="697"/>
      <c r="AO311" s="697"/>
      <c r="AP311" s="697"/>
      <c r="AQ311" s="697"/>
      <c r="AR311" s="697"/>
      <c r="AS311" s="697"/>
      <c r="AT311" s="697"/>
      <c r="AU311" s="697"/>
      <c r="AV311" s="697"/>
      <c r="AW311" s="697"/>
      <c r="AX311" s="697"/>
      <c r="AY311" s="697"/>
      <c r="AZ311" s="697"/>
      <c r="BA311" s="697"/>
      <c r="BB311" s="697"/>
      <c r="BC311" s="697"/>
      <c r="BD311" s="697"/>
      <c r="BE311" s="697"/>
      <c r="BF311" s="697"/>
      <c r="BG311" s="697"/>
      <c r="BH311" s="697"/>
      <c r="BI311" s="697"/>
      <c r="BJ311" s="697"/>
      <c r="BK311" s="697"/>
      <c r="BL311" s="697"/>
      <c r="BM311" s="697"/>
      <c r="BN311" s="697"/>
      <c r="BO311" s="697"/>
      <c r="BP311" s="697"/>
      <c r="BQ311" s="697"/>
      <c r="BR311" s="697"/>
      <c r="BS311" s="697"/>
      <c r="BT311" s="697"/>
      <c r="BU311" s="697"/>
      <c r="BV311" s="697"/>
      <c r="BW311" s="697"/>
      <c r="BX311" s="697"/>
      <c r="BY311" s="697"/>
      <c r="BZ311" s="697"/>
      <c r="CA311" s="697"/>
      <c r="CB311" s="697"/>
      <c r="CC311" s="697"/>
      <c r="CD311" s="697"/>
      <c r="CE311" s="697"/>
      <c r="CF311" s="697"/>
      <c r="CG311" s="697"/>
      <c r="CH311" s="697"/>
      <c r="CI311" s="697"/>
      <c r="CJ311" s="697"/>
      <c r="CK311" s="697"/>
      <c r="CL311" s="697"/>
      <c r="CM311" s="697"/>
      <c r="CN311" s="697"/>
      <c r="CO311" s="697"/>
      <c r="CP311" s="697"/>
      <c r="CQ311" s="697"/>
      <c r="CR311" s="697"/>
      <c r="CS311" s="697"/>
      <c r="CT311" s="697"/>
      <c r="CU311" s="697"/>
      <c r="CV311" s="697"/>
      <c r="CW311" s="697"/>
      <c r="CX311" s="697"/>
      <c r="CY311" s="697"/>
      <c r="CZ311" s="697"/>
      <c r="DA311" s="697"/>
      <c r="DB311" s="697"/>
    </row>
    <row r="312" spans="1:106" hidden="1" outlineLevel="1" x14ac:dyDescent="0.2">
      <c r="A312" s="709">
        <f t="shared" si="68"/>
        <v>38657</v>
      </c>
      <c r="B312" s="709" t="str">
        <f t="shared" si="69"/>
        <v>4Q05</v>
      </c>
      <c r="C312" s="709" t="str">
        <f t="shared" si="70"/>
        <v>1Q06</v>
      </c>
      <c r="D312" s="710">
        <f t="shared" si="76"/>
        <v>38734</v>
      </c>
      <c r="E312" s="710">
        <f t="shared" si="76"/>
        <v>38674</v>
      </c>
      <c r="F312" s="712">
        <v>57</v>
      </c>
      <c r="G312" s="713">
        <f t="shared" si="71"/>
        <v>1.4900000000000011</v>
      </c>
      <c r="H312" s="713">
        <f t="shared" si="72"/>
        <v>1.4900000000000011</v>
      </c>
      <c r="I312" s="697"/>
      <c r="J312" s="697"/>
      <c r="K312" s="697"/>
      <c r="L312" s="697"/>
      <c r="M312" s="697"/>
      <c r="N312" s="697"/>
      <c r="O312" s="697"/>
      <c r="P312" s="697"/>
      <c r="Q312" s="697"/>
      <c r="R312" s="697"/>
      <c r="S312" s="697"/>
      <c r="T312" s="697"/>
      <c r="U312" s="697"/>
      <c r="V312" s="697"/>
      <c r="W312" s="697"/>
      <c r="X312" s="697"/>
      <c r="Y312" s="697"/>
      <c r="Z312" s="697"/>
      <c r="AA312" s="697"/>
      <c r="AB312" s="697"/>
      <c r="AC312" s="697"/>
      <c r="AD312" s="697"/>
      <c r="AE312" s="697"/>
      <c r="AF312" s="697"/>
      <c r="AG312" s="697"/>
      <c r="AH312" s="697"/>
      <c r="AI312" s="697"/>
      <c r="AJ312" s="697"/>
      <c r="AK312" s="697"/>
      <c r="AL312" s="697"/>
      <c r="AM312" s="697"/>
      <c r="AN312" s="697"/>
      <c r="AO312" s="697"/>
      <c r="AP312" s="697"/>
      <c r="AQ312" s="697"/>
      <c r="AR312" s="697"/>
      <c r="AS312" s="697"/>
      <c r="AT312" s="697"/>
      <c r="AU312" s="697"/>
      <c r="AV312" s="697"/>
      <c r="AW312" s="697"/>
      <c r="AX312" s="697"/>
      <c r="AY312" s="697"/>
      <c r="AZ312" s="697"/>
      <c r="BA312" s="697"/>
      <c r="BB312" s="697"/>
      <c r="BC312" s="697"/>
      <c r="BD312" s="697"/>
      <c r="BE312" s="697"/>
      <c r="BF312" s="697"/>
      <c r="BG312" s="697"/>
      <c r="BH312" s="697"/>
      <c r="BI312" s="697"/>
      <c r="BJ312" s="697"/>
      <c r="BK312" s="697"/>
      <c r="BL312" s="697"/>
      <c r="BM312" s="697"/>
      <c r="BN312" s="697"/>
      <c r="BO312" s="697"/>
      <c r="BP312" s="697"/>
      <c r="BQ312" s="697"/>
      <c r="BR312" s="697"/>
      <c r="BS312" s="697"/>
      <c r="BT312" s="697"/>
      <c r="BU312" s="697"/>
      <c r="BV312" s="697"/>
      <c r="BW312" s="697"/>
      <c r="BX312" s="697"/>
      <c r="BY312" s="697"/>
      <c r="BZ312" s="697"/>
      <c r="CA312" s="697"/>
      <c r="CB312" s="697"/>
      <c r="CC312" s="697"/>
      <c r="CD312" s="697"/>
      <c r="CE312" s="697"/>
      <c r="CF312" s="697"/>
      <c r="CG312" s="697"/>
      <c r="CH312" s="697"/>
      <c r="CI312" s="697"/>
      <c r="CJ312" s="697"/>
      <c r="CK312" s="697"/>
      <c r="CL312" s="697"/>
      <c r="CM312" s="697"/>
      <c r="CN312" s="697"/>
      <c r="CO312" s="697"/>
      <c r="CP312" s="697"/>
      <c r="CQ312" s="697"/>
      <c r="CR312" s="697"/>
      <c r="CS312" s="697"/>
      <c r="CT312" s="697"/>
      <c r="CU312" s="697"/>
      <c r="CV312" s="697"/>
      <c r="CW312" s="697"/>
      <c r="CX312" s="697"/>
      <c r="CY312" s="697"/>
      <c r="CZ312" s="697"/>
      <c r="DA312" s="697"/>
      <c r="DB312" s="697"/>
    </row>
    <row r="313" spans="1:106" hidden="1" outlineLevel="1" x14ac:dyDescent="0.2">
      <c r="A313" s="709">
        <f t="shared" si="68"/>
        <v>38657</v>
      </c>
      <c r="B313" s="709" t="str">
        <f t="shared" si="69"/>
        <v>4Q05</v>
      </c>
      <c r="C313" s="709" t="str">
        <f t="shared" si="70"/>
        <v>1Q06</v>
      </c>
      <c r="D313" s="710">
        <f t="shared" si="76"/>
        <v>38741</v>
      </c>
      <c r="E313" s="710">
        <f t="shared" si="76"/>
        <v>38681</v>
      </c>
      <c r="F313" s="712">
        <v>58.13</v>
      </c>
      <c r="G313" s="713">
        <f t="shared" si="71"/>
        <v>1.4900000000000011</v>
      </c>
      <c r="H313" s="713">
        <f t="shared" si="72"/>
        <v>1.4900000000000011</v>
      </c>
      <c r="I313" s="697"/>
      <c r="J313" s="697"/>
      <c r="K313" s="697"/>
      <c r="L313" s="697"/>
      <c r="M313" s="697"/>
      <c r="N313" s="697"/>
      <c r="O313" s="697"/>
      <c r="P313" s="697"/>
      <c r="Q313" s="697"/>
      <c r="R313" s="697"/>
      <c r="S313" s="697"/>
      <c r="T313" s="697"/>
      <c r="U313" s="697"/>
      <c r="V313" s="697"/>
      <c r="W313" s="697"/>
      <c r="X313" s="697"/>
      <c r="Y313" s="697"/>
      <c r="Z313" s="697"/>
      <c r="AA313" s="697"/>
      <c r="AB313" s="697"/>
      <c r="AC313" s="697"/>
      <c r="AD313" s="697"/>
      <c r="AE313" s="697"/>
      <c r="AF313" s="697"/>
      <c r="AG313" s="697"/>
      <c r="AH313" s="697"/>
      <c r="AI313" s="697"/>
      <c r="AJ313" s="697"/>
      <c r="AK313" s="697"/>
      <c r="AL313" s="697"/>
      <c r="AM313" s="697"/>
      <c r="AN313" s="697"/>
      <c r="AO313" s="697"/>
      <c r="AP313" s="697"/>
      <c r="AQ313" s="697"/>
      <c r="AR313" s="697"/>
      <c r="AS313" s="697"/>
      <c r="AT313" s="697"/>
      <c r="AU313" s="697"/>
      <c r="AV313" s="697"/>
      <c r="AW313" s="697"/>
      <c r="AX313" s="697"/>
      <c r="AY313" s="697"/>
      <c r="AZ313" s="697"/>
      <c r="BA313" s="697"/>
      <c r="BB313" s="697"/>
      <c r="BC313" s="697"/>
      <c r="BD313" s="697"/>
      <c r="BE313" s="697"/>
      <c r="BF313" s="697"/>
      <c r="BG313" s="697"/>
      <c r="BH313" s="697"/>
      <c r="BI313" s="697"/>
      <c r="BJ313" s="697"/>
      <c r="BK313" s="697"/>
      <c r="BL313" s="697"/>
      <c r="BM313" s="697"/>
      <c r="BN313" s="697"/>
      <c r="BO313" s="697"/>
      <c r="BP313" s="697"/>
      <c r="BQ313" s="697"/>
      <c r="BR313" s="697"/>
      <c r="BS313" s="697"/>
      <c r="BT313" s="697"/>
      <c r="BU313" s="697"/>
      <c r="BV313" s="697"/>
      <c r="BW313" s="697"/>
      <c r="BX313" s="697"/>
      <c r="BY313" s="697"/>
      <c r="BZ313" s="697"/>
      <c r="CA313" s="697"/>
      <c r="CB313" s="697"/>
      <c r="CC313" s="697"/>
      <c r="CD313" s="697"/>
      <c r="CE313" s="697"/>
      <c r="CF313" s="697"/>
      <c r="CG313" s="697"/>
      <c r="CH313" s="697"/>
      <c r="CI313" s="697"/>
      <c r="CJ313" s="697"/>
      <c r="CK313" s="697"/>
      <c r="CL313" s="697"/>
      <c r="CM313" s="697"/>
      <c r="CN313" s="697"/>
      <c r="CO313" s="697"/>
      <c r="CP313" s="697"/>
      <c r="CQ313" s="697"/>
      <c r="CR313" s="697"/>
      <c r="CS313" s="697"/>
      <c r="CT313" s="697"/>
      <c r="CU313" s="697"/>
      <c r="CV313" s="697"/>
      <c r="CW313" s="697"/>
      <c r="CX313" s="697"/>
      <c r="CY313" s="697"/>
      <c r="CZ313" s="697"/>
      <c r="DA313" s="697"/>
      <c r="DB313" s="697"/>
    </row>
    <row r="314" spans="1:106" hidden="1" outlineLevel="1" x14ac:dyDescent="0.2">
      <c r="A314" s="709">
        <f t="shared" si="68"/>
        <v>38687</v>
      </c>
      <c r="B314" s="709" t="str">
        <f t="shared" si="69"/>
        <v>4Q05</v>
      </c>
      <c r="C314" s="709" t="str">
        <f t="shared" si="70"/>
        <v>1Q06</v>
      </c>
      <c r="D314" s="710">
        <f t="shared" si="76"/>
        <v>38748</v>
      </c>
      <c r="E314" s="710">
        <f t="shared" si="76"/>
        <v>38688</v>
      </c>
      <c r="F314" s="712">
        <v>57.78</v>
      </c>
      <c r="G314" s="713">
        <f t="shared" si="71"/>
        <v>1.4900000000000011</v>
      </c>
      <c r="H314" s="713">
        <f t="shared" si="72"/>
        <v>1.4900000000000011</v>
      </c>
      <c r="I314" s="697"/>
      <c r="J314" s="697"/>
      <c r="K314" s="697"/>
      <c r="L314" s="697"/>
      <c r="M314" s="697"/>
      <c r="N314" s="697"/>
      <c r="O314" s="697"/>
      <c r="P314" s="697"/>
      <c r="Q314" s="697"/>
      <c r="R314" s="697"/>
      <c r="S314" s="697"/>
      <c r="T314" s="697"/>
      <c r="U314" s="697"/>
      <c r="V314" s="697"/>
      <c r="W314" s="697"/>
      <c r="X314" s="697"/>
      <c r="Y314" s="697"/>
      <c r="Z314" s="697"/>
      <c r="AA314" s="697"/>
      <c r="AB314" s="697"/>
      <c r="AC314" s="697"/>
      <c r="AD314" s="697"/>
      <c r="AE314" s="697"/>
      <c r="AF314" s="697"/>
      <c r="AG314" s="697"/>
      <c r="AH314" s="697"/>
      <c r="AI314" s="697"/>
      <c r="AJ314" s="697"/>
      <c r="AK314" s="697"/>
      <c r="AL314" s="697"/>
      <c r="AM314" s="697"/>
      <c r="AN314" s="697"/>
      <c r="AO314" s="697"/>
      <c r="AP314" s="697"/>
      <c r="AQ314" s="697"/>
      <c r="AR314" s="697"/>
      <c r="AS314" s="697"/>
      <c r="AT314" s="697"/>
      <c r="AU314" s="697"/>
      <c r="AV314" s="697"/>
      <c r="AW314" s="697"/>
      <c r="AX314" s="697"/>
      <c r="AY314" s="697"/>
      <c r="AZ314" s="697"/>
      <c r="BA314" s="697"/>
      <c r="BB314" s="697"/>
      <c r="BC314" s="697"/>
      <c r="BD314" s="697"/>
      <c r="BE314" s="697"/>
      <c r="BF314" s="697"/>
      <c r="BG314" s="697"/>
      <c r="BH314" s="697"/>
      <c r="BI314" s="697"/>
      <c r="BJ314" s="697"/>
      <c r="BK314" s="697"/>
      <c r="BL314" s="697"/>
      <c r="BM314" s="697"/>
      <c r="BN314" s="697"/>
      <c r="BO314" s="697"/>
      <c r="BP314" s="697"/>
      <c r="BQ314" s="697"/>
      <c r="BR314" s="697"/>
      <c r="BS314" s="697"/>
      <c r="BT314" s="697"/>
      <c r="BU314" s="697"/>
      <c r="BV314" s="697"/>
      <c r="BW314" s="697"/>
      <c r="BX314" s="697"/>
      <c r="BY314" s="697"/>
      <c r="BZ314" s="697"/>
      <c r="CA314" s="697"/>
      <c r="CB314" s="697"/>
      <c r="CC314" s="697"/>
      <c r="CD314" s="697"/>
      <c r="CE314" s="697"/>
      <c r="CF314" s="697"/>
      <c r="CG314" s="697"/>
      <c r="CH314" s="697"/>
      <c r="CI314" s="697"/>
      <c r="CJ314" s="697"/>
      <c r="CK314" s="697"/>
      <c r="CL314" s="697"/>
      <c r="CM314" s="697"/>
      <c r="CN314" s="697"/>
      <c r="CO314" s="697"/>
      <c r="CP314" s="697"/>
      <c r="CQ314" s="697"/>
      <c r="CR314" s="697"/>
      <c r="CS314" s="697"/>
      <c r="CT314" s="697"/>
      <c r="CU314" s="697"/>
      <c r="CV314" s="697"/>
      <c r="CW314" s="697"/>
      <c r="CX314" s="697"/>
      <c r="CY314" s="697"/>
      <c r="CZ314" s="697"/>
      <c r="DA314" s="697"/>
      <c r="DB314" s="697"/>
    </row>
    <row r="315" spans="1:106" hidden="1" outlineLevel="1" x14ac:dyDescent="0.2">
      <c r="A315" s="709">
        <f t="shared" si="68"/>
        <v>38687</v>
      </c>
      <c r="B315" s="709" t="str">
        <f t="shared" si="69"/>
        <v>4Q05</v>
      </c>
      <c r="C315" s="709" t="str">
        <f t="shared" si="70"/>
        <v>1Q06</v>
      </c>
      <c r="D315" s="710">
        <f t="shared" si="76"/>
        <v>38755</v>
      </c>
      <c r="E315" s="710">
        <f t="shared" si="76"/>
        <v>38695</v>
      </c>
      <c r="F315" s="712">
        <v>59.83</v>
      </c>
      <c r="G315" s="713">
        <f t="shared" si="71"/>
        <v>1.4900000000000011</v>
      </c>
      <c r="H315" s="713">
        <f t="shared" si="72"/>
        <v>1.4900000000000011</v>
      </c>
      <c r="I315" s="697"/>
      <c r="J315" s="697"/>
      <c r="K315" s="697"/>
      <c r="L315" s="697"/>
      <c r="M315" s="697"/>
      <c r="N315" s="697"/>
      <c r="O315" s="697"/>
      <c r="P315" s="697"/>
      <c r="Q315" s="697"/>
      <c r="R315" s="697"/>
      <c r="S315" s="697"/>
      <c r="T315" s="697"/>
      <c r="U315" s="697"/>
      <c r="V315" s="697"/>
      <c r="W315" s="697"/>
      <c r="X315" s="697"/>
      <c r="Y315" s="697"/>
      <c r="Z315" s="697"/>
      <c r="AA315" s="697"/>
      <c r="AB315" s="697"/>
      <c r="AC315" s="697"/>
      <c r="AD315" s="697"/>
      <c r="AE315" s="697"/>
      <c r="AF315" s="697"/>
      <c r="AG315" s="697"/>
      <c r="AH315" s="697"/>
      <c r="AI315" s="697"/>
      <c r="AJ315" s="697"/>
      <c r="AK315" s="697"/>
      <c r="AL315" s="697"/>
      <c r="AM315" s="697"/>
      <c r="AN315" s="697"/>
      <c r="AO315" s="697"/>
      <c r="AP315" s="697"/>
      <c r="AQ315" s="697"/>
      <c r="AR315" s="697"/>
      <c r="AS315" s="697"/>
      <c r="AT315" s="697"/>
      <c r="AU315" s="697"/>
      <c r="AV315" s="697"/>
      <c r="AW315" s="697"/>
      <c r="AX315" s="697"/>
      <c r="AY315" s="697"/>
      <c r="AZ315" s="697"/>
      <c r="BA315" s="697"/>
      <c r="BB315" s="697"/>
      <c r="BC315" s="697"/>
      <c r="BD315" s="697"/>
      <c r="BE315" s="697"/>
      <c r="BF315" s="697"/>
      <c r="BG315" s="697"/>
      <c r="BH315" s="697"/>
      <c r="BI315" s="697"/>
      <c r="BJ315" s="697"/>
      <c r="BK315" s="697"/>
      <c r="BL315" s="697"/>
      <c r="BM315" s="697"/>
      <c r="BN315" s="697"/>
      <c r="BO315" s="697"/>
      <c r="BP315" s="697"/>
      <c r="BQ315" s="697"/>
      <c r="BR315" s="697"/>
      <c r="BS315" s="697"/>
      <c r="BT315" s="697"/>
      <c r="BU315" s="697"/>
      <c r="BV315" s="697"/>
      <c r="BW315" s="697"/>
      <c r="BX315" s="697"/>
      <c r="BY315" s="697"/>
      <c r="BZ315" s="697"/>
      <c r="CA315" s="697"/>
      <c r="CB315" s="697"/>
      <c r="CC315" s="697"/>
      <c r="CD315" s="697"/>
      <c r="CE315" s="697"/>
      <c r="CF315" s="697"/>
      <c r="CG315" s="697"/>
      <c r="CH315" s="697"/>
      <c r="CI315" s="697"/>
      <c r="CJ315" s="697"/>
      <c r="CK315" s="697"/>
      <c r="CL315" s="697"/>
      <c r="CM315" s="697"/>
      <c r="CN315" s="697"/>
      <c r="CO315" s="697"/>
      <c r="CP315" s="697"/>
      <c r="CQ315" s="697"/>
      <c r="CR315" s="697"/>
      <c r="CS315" s="697"/>
      <c r="CT315" s="697"/>
      <c r="CU315" s="697"/>
      <c r="CV315" s="697"/>
      <c r="CW315" s="697"/>
      <c r="CX315" s="697"/>
      <c r="CY315" s="697"/>
      <c r="CZ315" s="697"/>
      <c r="DA315" s="697"/>
      <c r="DB315" s="697"/>
    </row>
    <row r="316" spans="1:106" hidden="1" outlineLevel="1" x14ac:dyDescent="0.2">
      <c r="A316" s="709">
        <f t="shared" si="68"/>
        <v>38687</v>
      </c>
      <c r="B316" s="709" t="str">
        <f t="shared" si="69"/>
        <v>4Q05</v>
      </c>
      <c r="C316" s="709" t="str">
        <f t="shared" si="70"/>
        <v>1Q06</v>
      </c>
      <c r="D316" s="710">
        <f t="shared" si="76"/>
        <v>38762</v>
      </c>
      <c r="E316" s="710">
        <f t="shared" si="76"/>
        <v>38702</v>
      </c>
      <c r="F316" s="712">
        <v>60.32</v>
      </c>
      <c r="G316" s="713">
        <f t="shared" si="71"/>
        <v>1.4900000000000011</v>
      </c>
      <c r="H316" s="713">
        <f t="shared" si="72"/>
        <v>1.4900000000000011</v>
      </c>
      <c r="I316" s="697"/>
      <c r="J316" s="697"/>
      <c r="K316" s="697"/>
      <c r="L316" s="697"/>
      <c r="M316" s="697"/>
      <c r="N316" s="697"/>
      <c r="O316" s="697"/>
      <c r="P316" s="697"/>
      <c r="Q316" s="697"/>
      <c r="R316" s="697"/>
      <c r="S316" s="697"/>
      <c r="T316" s="697"/>
      <c r="U316" s="697"/>
      <c r="V316" s="697"/>
      <c r="W316" s="697"/>
      <c r="X316" s="697"/>
      <c r="Y316" s="697"/>
      <c r="Z316" s="697"/>
      <c r="AA316" s="697"/>
      <c r="AB316" s="697"/>
      <c r="AC316" s="697"/>
      <c r="AD316" s="697"/>
      <c r="AE316" s="697"/>
      <c r="AF316" s="697"/>
      <c r="AG316" s="697"/>
      <c r="AH316" s="697"/>
      <c r="AI316" s="697"/>
      <c r="AJ316" s="697"/>
      <c r="AK316" s="697"/>
      <c r="AL316" s="697"/>
      <c r="AM316" s="697"/>
      <c r="AN316" s="697"/>
      <c r="AO316" s="697"/>
      <c r="AP316" s="697"/>
      <c r="AQ316" s="697"/>
      <c r="AR316" s="697"/>
      <c r="AS316" s="697"/>
      <c r="AT316" s="697"/>
      <c r="AU316" s="697"/>
      <c r="AV316" s="697"/>
      <c r="AW316" s="697"/>
      <c r="AX316" s="697"/>
      <c r="AY316" s="697"/>
      <c r="AZ316" s="697"/>
      <c r="BA316" s="697"/>
      <c r="BB316" s="697"/>
      <c r="BC316" s="697"/>
      <c r="BD316" s="697"/>
      <c r="BE316" s="697"/>
      <c r="BF316" s="697"/>
      <c r="BG316" s="697"/>
      <c r="BH316" s="697"/>
      <c r="BI316" s="697"/>
      <c r="BJ316" s="697"/>
      <c r="BK316" s="697"/>
      <c r="BL316" s="697"/>
      <c r="BM316" s="697"/>
      <c r="BN316" s="697"/>
      <c r="BO316" s="697"/>
      <c r="BP316" s="697"/>
      <c r="BQ316" s="697"/>
      <c r="BR316" s="697"/>
      <c r="BS316" s="697"/>
      <c r="BT316" s="697"/>
      <c r="BU316" s="697"/>
      <c r="BV316" s="697"/>
      <c r="BW316" s="697"/>
      <c r="BX316" s="697"/>
      <c r="BY316" s="697"/>
      <c r="BZ316" s="697"/>
      <c r="CA316" s="697"/>
      <c r="CB316" s="697"/>
      <c r="CC316" s="697"/>
      <c r="CD316" s="697"/>
      <c r="CE316" s="697"/>
      <c r="CF316" s="697"/>
      <c r="CG316" s="697"/>
      <c r="CH316" s="697"/>
      <c r="CI316" s="697"/>
      <c r="CJ316" s="697"/>
      <c r="CK316" s="697"/>
      <c r="CL316" s="697"/>
      <c r="CM316" s="697"/>
      <c r="CN316" s="697"/>
      <c r="CO316" s="697"/>
      <c r="CP316" s="697"/>
      <c r="CQ316" s="697"/>
      <c r="CR316" s="697"/>
      <c r="CS316" s="697"/>
      <c r="CT316" s="697"/>
      <c r="CU316" s="697"/>
      <c r="CV316" s="697"/>
      <c r="CW316" s="697"/>
      <c r="CX316" s="697"/>
      <c r="CY316" s="697"/>
      <c r="CZ316" s="697"/>
      <c r="DA316" s="697"/>
      <c r="DB316" s="697"/>
    </row>
    <row r="317" spans="1:106" hidden="1" outlineLevel="1" x14ac:dyDescent="0.2">
      <c r="A317" s="709">
        <f t="shared" si="68"/>
        <v>38687</v>
      </c>
      <c r="B317" s="709" t="str">
        <f t="shared" si="69"/>
        <v>4Q05</v>
      </c>
      <c r="C317" s="709" t="str">
        <f t="shared" si="70"/>
        <v>1Q06</v>
      </c>
      <c r="D317" s="710">
        <f t="shared" si="76"/>
        <v>38769</v>
      </c>
      <c r="E317" s="710">
        <f t="shared" si="76"/>
        <v>38709</v>
      </c>
      <c r="F317" s="712">
        <v>57.97</v>
      </c>
      <c r="G317" s="713">
        <f t="shared" si="71"/>
        <v>1.4900000000000011</v>
      </c>
      <c r="H317" s="713">
        <f t="shared" si="72"/>
        <v>1.4900000000000011</v>
      </c>
      <c r="I317" s="697"/>
      <c r="J317" s="697"/>
      <c r="K317" s="697"/>
      <c r="L317" s="697"/>
      <c r="M317" s="697"/>
      <c r="N317" s="697"/>
      <c r="O317" s="697"/>
      <c r="P317" s="697"/>
      <c r="Q317" s="697"/>
      <c r="R317" s="697"/>
      <c r="S317" s="697"/>
      <c r="T317" s="697"/>
      <c r="U317" s="697"/>
      <c r="V317" s="697"/>
      <c r="W317" s="697"/>
      <c r="X317" s="697"/>
      <c r="Y317" s="697"/>
      <c r="Z317" s="697"/>
      <c r="AA317" s="697"/>
      <c r="AB317" s="697"/>
      <c r="AC317" s="697"/>
      <c r="AD317" s="697"/>
      <c r="AE317" s="697"/>
      <c r="AF317" s="697"/>
      <c r="AG317" s="697"/>
      <c r="AH317" s="697"/>
      <c r="AI317" s="697"/>
      <c r="AJ317" s="697"/>
      <c r="AK317" s="697"/>
      <c r="AL317" s="697"/>
      <c r="AM317" s="697"/>
      <c r="AN317" s="697"/>
      <c r="AO317" s="697"/>
      <c r="AP317" s="697"/>
      <c r="AQ317" s="697"/>
      <c r="AR317" s="697"/>
      <c r="AS317" s="697"/>
      <c r="AT317" s="697"/>
      <c r="AU317" s="697"/>
      <c r="AV317" s="697"/>
      <c r="AW317" s="697"/>
      <c r="AX317" s="697"/>
      <c r="AY317" s="697"/>
      <c r="AZ317" s="697"/>
      <c r="BA317" s="697"/>
      <c r="BB317" s="697"/>
      <c r="BC317" s="697"/>
      <c r="BD317" s="697"/>
      <c r="BE317" s="697"/>
      <c r="BF317" s="697"/>
      <c r="BG317" s="697"/>
      <c r="BH317" s="697"/>
      <c r="BI317" s="697"/>
      <c r="BJ317" s="697"/>
      <c r="BK317" s="697"/>
      <c r="BL317" s="697"/>
      <c r="BM317" s="697"/>
      <c r="BN317" s="697"/>
      <c r="BO317" s="697"/>
      <c r="BP317" s="697"/>
      <c r="BQ317" s="697"/>
      <c r="BR317" s="697"/>
      <c r="BS317" s="697"/>
      <c r="BT317" s="697"/>
      <c r="BU317" s="697"/>
      <c r="BV317" s="697"/>
      <c r="BW317" s="697"/>
      <c r="BX317" s="697"/>
      <c r="BY317" s="697"/>
      <c r="BZ317" s="697"/>
      <c r="CA317" s="697"/>
      <c r="CB317" s="697"/>
      <c r="CC317" s="697"/>
      <c r="CD317" s="697"/>
      <c r="CE317" s="697"/>
      <c r="CF317" s="697"/>
      <c r="CG317" s="697"/>
      <c r="CH317" s="697"/>
      <c r="CI317" s="697"/>
      <c r="CJ317" s="697"/>
      <c r="CK317" s="697"/>
      <c r="CL317" s="697"/>
      <c r="CM317" s="697"/>
      <c r="CN317" s="697"/>
      <c r="CO317" s="697"/>
      <c r="CP317" s="697"/>
      <c r="CQ317" s="697"/>
      <c r="CR317" s="697"/>
      <c r="CS317" s="697"/>
      <c r="CT317" s="697"/>
      <c r="CU317" s="697"/>
      <c r="CV317" s="697"/>
      <c r="CW317" s="697"/>
      <c r="CX317" s="697"/>
      <c r="CY317" s="697"/>
      <c r="CZ317" s="697"/>
      <c r="DA317" s="697"/>
      <c r="DB317" s="697"/>
    </row>
    <row r="318" spans="1:106" hidden="1" outlineLevel="1" x14ac:dyDescent="0.2">
      <c r="A318" s="709">
        <f t="shared" si="68"/>
        <v>38687</v>
      </c>
      <c r="B318" s="709" t="str">
        <f t="shared" si="69"/>
        <v>4Q05</v>
      </c>
      <c r="C318" s="709" t="str">
        <f t="shared" si="70"/>
        <v>1Q06</v>
      </c>
      <c r="D318" s="710">
        <f t="shared" si="76"/>
        <v>38776</v>
      </c>
      <c r="E318" s="710">
        <f t="shared" si="76"/>
        <v>38716</v>
      </c>
      <c r="F318" s="712">
        <v>59.82</v>
      </c>
      <c r="G318" s="713">
        <f t="shared" si="71"/>
        <v>1.4900000000000011</v>
      </c>
      <c r="H318" s="713">
        <f t="shared" si="72"/>
        <v>1.4900000000000011</v>
      </c>
      <c r="I318" s="697"/>
      <c r="J318" s="697"/>
      <c r="K318" s="697"/>
      <c r="L318" s="697"/>
      <c r="M318" s="697"/>
      <c r="N318" s="697"/>
      <c r="O318" s="697"/>
      <c r="P318" s="697"/>
      <c r="Q318" s="697"/>
      <c r="R318" s="697"/>
      <c r="S318" s="697"/>
      <c r="T318" s="697"/>
      <c r="U318" s="697"/>
      <c r="V318" s="697"/>
      <c r="W318" s="697"/>
      <c r="X318" s="697"/>
      <c r="Y318" s="697"/>
      <c r="Z318" s="697"/>
      <c r="AA318" s="697"/>
      <c r="AB318" s="697"/>
      <c r="AC318" s="697"/>
      <c r="AD318" s="697"/>
      <c r="AE318" s="697"/>
      <c r="AF318" s="697"/>
      <c r="AG318" s="697"/>
      <c r="AH318" s="697"/>
      <c r="AI318" s="697"/>
      <c r="AJ318" s="697"/>
      <c r="AK318" s="697"/>
      <c r="AL318" s="697"/>
      <c r="AM318" s="697"/>
      <c r="AN318" s="697"/>
      <c r="AO318" s="697"/>
      <c r="AP318" s="697"/>
      <c r="AQ318" s="697"/>
      <c r="AR318" s="697"/>
      <c r="AS318" s="697"/>
      <c r="AT318" s="697"/>
      <c r="AU318" s="697"/>
      <c r="AV318" s="697"/>
      <c r="AW318" s="697"/>
      <c r="AX318" s="697"/>
      <c r="AY318" s="697"/>
      <c r="AZ318" s="697"/>
      <c r="BA318" s="697"/>
      <c r="BB318" s="697"/>
      <c r="BC318" s="697"/>
      <c r="BD318" s="697"/>
      <c r="BE318" s="697"/>
      <c r="BF318" s="697"/>
      <c r="BG318" s="697"/>
      <c r="BH318" s="697"/>
      <c r="BI318" s="697"/>
      <c r="BJ318" s="697"/>
      <c r="BK318" s="697"/>
      <c r="BL318" s="697"/>
      <c r="BM318" s="697"/>
      <c r="BN318" s="697"/>
      <c r="BO318" s="697"/>
      <c r="BP318" s="697"/>
      <c r="BQ318" s="697"/>
      <c r="BR318" s="697"/>
      <c r="BS318" s="697"/>
      <c r="BT318" s="697"/>
      <c r="BU318" s="697"/>
      <c r="BV318" s="697"/>
      <c r="BW318" s="697"/>
      <c r="BX318" s="697"/>
      <c r="BY318" s="697"/>
      <c r="BZ318" s="697"/>
      <c r="CA318" s="697"/>
      <c r="CB318" s="697"/>
      <c r="CC318" s="697"/>
      <c r="CD318" s="697"/>
      <c r="CE318" s="697"/>
      <c r="CF318" s="697"/>
      <c r="CG318" s="697"/>
      <c r="CH318" s="697"/>
      <c r="CI318" s="697"/>
      <c r="CJ318" s="697"/>
      <c r="CK318" s="697"/>
      <c r="CL318" s="697"/>
      <c r="CM318" s="697"/>
      <c r="CN318" s="697"/>
      <c r="CO318" s="697"/>
      <c r="CP318" s="697"/>
      <c r="CQ318" s="697"/>
      <c r="CR318" s="697"/>
      <c r="CS318" s="697"/>
      <c r="CT318" s="697"/>
      <c r="CU318" s="697"/>
      <c r="CV318" s="697"/>
      <c r="CW318" s="697"/>
      <c r="CX318" s="697"/>
      <c r="CY318" s="697"/>
      <c r="CZ318" s="697"/>
      <c r="DA318" s="697"/>
      <c r="DB318" s="697"/>
    </row>
    <row r="319" spans="1:106" hidden="1" outlineLevel="1" x14ac:dyDescent="0.2">
      <c r="A319" s="709">
        <f t="shared" si="68"/>
        <v>38718</v>
      </c>
      <c r="B319" s="709" t="str">
        <f t="shared" si="69"/>
        <v>1Q06</v>
      </c>
      <c r="C319" s="709" t="str">
        <f t="shared" si="70"/>
        <v>1Q06</v>
      </c>
      <c r="D319" s="710">
        <f t="shared" si="76"/>
        <v>38783</v>
      </c>
      <c r="E319" s="710">
        <f t="shared" si="76"/>
        <v>38723</v>
      </c>
      <c r="F319" s="712">
        <v>63.39</v>
      </c>
      <c r="G319" s="713">
        <f t="shared" si="71"/>
        <v>1.4900000000000011</v>
      </c>
      <c r="H319" s="713">
        <f t="shared" si="72"/>
        <v>1.4900000000000011</v>
      </c>
      <c r="I319" s="697"/>
      <c r="J319" s="697"/>
      <c r="K319" s="697"/>
      <c r="L319" s="697"/>
      <c r="M319" s="697"/>
      <c r="N319" s="697"/>
      <c r="O319" s="697"/>
      <c r="P319" s="697"/>
      <c r="Q319" s="697"/>
      <c r="R319" s="697"/>
      <c r="S319" s="697"/>
      <c r="T319" s="697"/>
      <c r="U319" s="697"/>
      <c r="V319" s="697"/>
      <c r="W319" s="697"/>
      <c r="X319" s="697"/>
      <c r="Y319" s="697"/>
      <c r="Z319" s="697"/>
      <c r="AA319" s="697"/>
      <c r="AB319" s="697"/>
      <c r="AC319" s="697"/>
      <c r="AD319" s="697"/>
      <c r="AE319" s="697"/>
      <c r="AF319" s="697"/>
      <c r="AG319" s="697"/>
      <c r="AH319" s="697"/>
      <c r="AI319" s="697"/>
      <c r="AJ319" s="697"/>
      <c r="AK319" s="697"/>
      <c r="AL319" s="697"/>
      <c r="AM319" s="697"/>
      <c r="AN319" s="697"/>
      <c r="AO319" s="697"/>
      <c r="AP319" s="697"/>
      <c r="AQ319" s="697"/>
      <c r="AR319" s="697"/>
      <c r="AS319" s="697"/>
      <c r="AT319" s="697"/>
      <c r="AU319" s="697"/>
      <c r="AV319" s="697"/>
      <c r="AW319" s="697"/>
      <c r="AX319" s="697"/>
      <c r="AY319" s="697"/>
      <c r="AZ319" s="697"/>
      <c r="BA319" s="697"/>
      <c r="BB319" s="697"/>
      <c r="BC319" s="697"/>
      <c r="BD319" s="697"/>
      <c r="BE319" s="697"/>
      <c r="BF319" s="697"/>
      <c r="BG319" s="697"/>
      <c r="BH319" s="697"/>
      <c r="BI319" s="697"/>
      <c r="BJ319" s="697"/>
      <c r="BK319" s="697"/>
      <c r="BL319" s="697"/>
      <c r="BM319" s="697"/>
      <c r="BN319" s="697"/>
      <c r="BO319" s="697"/>
      <c r="BP319" s="697"/>
      <c r="BQ319" s="697"/>
      <c r="BR319" s="697"/>
      <c r="BS319" s="697"/>
      <c r="BT319" s="697"/>
      <c r="BU319" s="697"/>
      <c r="BV319" s="697"/>
      <c r="BW319" s="697"/>
      <c r="BX319" s="697"/>
      <c r="BY319" s="697"/>
      <c r="BZ319" s="697"/>
      <c r="CA319" s="697"/>
      <c r="CB319" s="697"/>
      <c r="CC319" s="697"/>
      <c r="CD319" s="697"/>
      <c r="CE319" s="697"/>
      <c r="CF319" s="697"/>
      <c r="CG319" s="697"/>
      <c r="CH319" s="697"/>
      <c r="CI319" s="697"/>
      <c r="CJ319" s="697"/>
      <c r="CK319" s="697"/>
      <c r="CL319" s="697"/>
      <c r="CM319" s="697"/>
      <c r="CN319" s="697"/>
      <c r="CO319" s="697"/>
      <c r="CP319" s="697"/>
      <c r="CQ319" s="697"/>
      <c r="CR319" s="697"/>
      <c r="CS319" s="697"/>
      <c r="CT319" s="697"/>
      <c r="CU319" s="697"/>
      <c r="CV319" s="697"/>
      <c r="CW319" s="697"/>
      <c r="CX319" s="697"/>
      <c r="CY319" s="697"/>
      <c r="CZ319" s="697"/>
      <c r="DA319" s="697"/>
      <c r="DB319" s="697"/>
    </row>
    <row r="320" spans="1:106" hidden="1" outlineLevel="1" x14ac:dyDescent="0.2">
      <c r="A320" s="709">
        <f t="shared" si="68"/>
        <v>38718</v>
      </c>
      <c r="B320" s="709" t="str">
        <f t="shared" si="69"/>
        <v>1Q06</v>
      </c>
      <c r="C320" s="709" t="str">
        <f t="shared" si="70"/>
        <v>1Q06</v>
      </c>
      <c r="D320" s="710">
        <f t="shared" si="76"/>
        <v>38790</v>
      </c>
      <c r="E320" s="710">
        <f t="shared" si="76"/>
        <v>38730</v>
      </c>
      <c r="F320" s="712">
        <v>63.74</v>
      </c>
      <c r="G320" s="713">
        <f t="shared" si="71"/>
        <v>1.4900000000000011</v>
      </c>
      <c r="H320" s="713">
        <f t="shared" si="72"/>
        <v>1.4900000000000011</v>
      </c>
      <c r="I320" s="697"/>
      <c r="J320" s="697"/>
      <c r="K320" s="697"/>
      <c r="L320" s="697"/>
      <c r="M320" s="697"/>
      <c r="N320" s="697"/>
      <c r="O320" s="697"/>
      <c r="P320" s="697"/>
      <c r="Q320" s="697"/>
      <c r="R320" s="697"/>
      <c r="S320" s="697"/>
      <c r="T320" s="697"/>
      <c r="U320" s="697"/>
      <c r="V320" s="697"/>
      <c r="W320" s="697"/>
      <c r="X320" s="697"/>
      <c r="Y320" s="697"/>
      <c r="Z320" s="697"/>
      <c r="AA320" s="697"/>
      <c r="AB320" s="697"/>
      <c r="AC320" s="697"/>
      <c r="AD320" s="697"/>
      <c r="AE320" s="697"/>
      <c r="AF320" s="697"/>
      <c r="AG320" s="697"/>
      <c r="AH320" s="697"/>
      <c r="AI320" s="697"/>
      <c r="AJ320" s="697"/>
      <c r="AK320" s="697"/>
      <c r="AL320" s="697"/>
      <c r="AM320" s="697"/>
      <c r="AN320" s="697"/>
      <c r="AO320" s="697"/>
      <c r="AP320" s="697"/>
      <c r="AQ320" s="697"/>
      <c r="AR320" s="697"/>
      <c r="AS320" s="697"/>
      <c r="AT320" s="697"/>
      <c r="AU320" s="697"/>
      <c r="AV320" s="697"/>
      <c r="AW320" s="697"/>
      <c r="AX320" s="697"/>
      <c r="AY320" s="697"/>
      <c r="AZ320" s="697"/>
      <c r="BA320" s="697"/>
      <c r="BB320" s="697"/>
      <c r="BC320" s="697"/>
      <c r="BD320" s="697"/>
      <c r="BE320" s="697"/>
      <c r="BF320" s="697"/>
      <c r="BG320" s="697"/>
      <c r="BH320" s="697"/>
      <c r="BI320" s="697"/>
      <c r="BJ320" s="697"/>
      <c r="BK320" s="697"/>
      <c r="BL320" s="697"/>
      <c r="BM320" s="697"/>
      <c r="BN320" s="697"/>
      <c r="BO320" s="697"/>
      <c r="BP320" s="697"/>
      <c r="BQ320" s="697"/>
      <c r="BR320" s="697"/>
      <c r="BS320" s="697"/>
      <c r="BT320" s="697"/>
      <c r="BU320" s="697"/>
      <c r="BV320" s="697"/>
      <c r="BW320" s="697"/>
      <c r="BX320" s="697"/>
      <c r="BY320" s="697"/>
      <c r="BZ320" s="697"/>
      <c r="CA320" s="697"/>
      <c r="CB320" s="697"/>
      <c r="CC320" s="697"/>
      <c r="CD320" s="697"/>
      <c r="CE320" s="697"/>
      <c r="CF320" s="697"/>
      <c r="CG320" s="697"/>
      <c r="CH320" s="697"/>
      <c r="CI320" s="697"/>
      <c r="CJ320" s="697"/>
      <c r="CK320" s="697"/>
      <c r="CL320" s="697"/>
      <c r="CM320" s="697"/>
      <c r="CN320" s="697"/>
      <c r="CO320" s="697"/>
      <c r="CP320" s="697"/>
      <c r="CQ320" s="697"/>
      <c r="CR320" s="697"/>
      <c r="CS320" s="697"/>
      <c r="CT320" s="697"/>
      <c r="CU320" s="697"/>
      <c r="CV320" s="697"/>
      <c r="CW320" s="697"/>
      <c r="CX320" s="697"/>
      <c r="CY320" s="697"/>
      <c r="CZ320" s="697"/>
      <c r="DA320" s="697"/>
      <c r="DB320" s="697"/>
    </row>
    <row r="321" spans="1:106" hidden="1" outlineLevel="1" x14ac:dyDescent="0.2">
      <c r="A321" s="709">
        <f t="shared" si="68"/>
        <v>38718</v>
      </c>
      <c r="B321" s="709" t="str">
        <f t="shared" si="69"/>
        <v>1Q06</v>
      </c>
      <c r="C321" s="709" t="str">
        <f t="shared" si="70"/>
        <v>1Q06</v>
      </c>
      <c r="D321" s="710">
        <f t="shared" si="76"/>
        <v>38797</v>
      </c>
      <c r="E321" s="710">
        <f t="shared" si="76"/>
        <v>38737</v>
      </c>
      <c r="F321" s="712">
        <v>66.790000000000006</v>
      </c>
      <c r="G321" s="713">
        <f t="shared" si="71"/>
        <v>1.4900000000000011</v>
      </c>
      <c r="H321" s="713">
        <f t="shared" si="72"/>
        <v>1.4900000000000011</v>
      </c>
      <c r="I321" s="697"/>
      <c r="J321" s="697"/>
      <c r="K321" s="697"/>
      <c r="L321" s="697"/>
      <c r="M321" s="697"/>
      <c r="N321" s="697"/>
      <c r="O321" s="697"/>
      <c r="P321" s="697"/>
      <c r="Q321" s="697"/>
      <c r="R321" s="697"/>
      <c r="S321" s="697"/>
      <c r="T321" s="697"/>
      <c r="U321" s="697"/>
      <c r="V321" s="697"/>
      <c r="W321" s="697"/>
      <c r="X321" s="697"/>
      <c r="Y321" s="697"/>
      <c r="Z321" s="697"/>
      <c r="AA321" s="697"/>
      <c r="AB321" s="697"/>
      <c r="AC321" s="697"/>
      <c r="AD321" s="697"/>
      <c r="AE321" s="697"/>
      <c r="AF321" s="697"/>
      <c r="AG321" s="697"/>
      <c r="AH321" s="697"/>
      <c r="AI321" s="697"/>
      <c r="AJ321" s="697"/>
      <c r="AK321" s="697"/>
      <c r="AL321" s="697"/>
      <c r="AM321" s="697"/>
      <c r="AN321" s="697"/>
      <c r="AO321" s="697"/>
      <c r="AP321" s="697"/>
      <c r="AQ321" s="697"/>
      <c r="AR321" s="697"/>
      <c r="AS321" s="697"/>
      <c r="AT321" s="697"/>
      <c r="AU321" s="697"/>
      <c r="AV321" s="697"/>
      <c r="AW321" s="697"/>
      <c r="AX321" s="697"/>
      <c r="AY321" s="697"/>
      <c r="AZ321" s="697"/>
      <c r="BA321" s="697"/>
      <c r="BB321" s="697"/>
      <c r="BC321" s="697"/>
      <c r="BD321" s="697"/>
      <c r="BE321" s="697"/>
      <c r="BF321" s="697"/>
      <c r="BG321" s="697"/>
      <c r="BH321" s="697"/>
      <c r="BI321" s="697"/>
      <c r="BJ321" s="697"/>
      <c r="BK321" s="697"/>
      <c r="BL321" s="697"/>
      <c r="BM321" s="697"/>
      <c r="BN321" s="697"/>
      <c r="BO321" s="697"/>
      <c r="BP321" s="697"/>
      <c r="BQ321" s="697"/>
      <c r="BR321" s="697"/>
      <c r="BS321" s="697"/>
      <c r="BT321" s="697"/>
      <c r="BU321" s="697"/>
      <c r="BV321" s="697"/>
      <c r="BW321" s="697"/>
      <c r="BX321" s="697"/>
      <c r="BY321" s="697"/>
      <c r="BZ321" s="697"/>
      <c r="CA321" s="697"/>
      <c r="CB321" s="697"/>
      <c r="CC321" s="697"/>
      <c r="CD321" s="697"/>
      <c r="CE321" s="697"/>
      <c r="CF321" s="697"/>
      <c r="CG321" s="697"/>
      <c r="CH321" s="697"/>
      <c r="CI321" s="697"/>
      <c r="CJ321" s="697"/>
      <c r="CK321" s="697"/>
      <c r="CL321" s="697"/>
      <c r="CM321" s="697"/>
      <c r="CN321" s="697"/>
      <c r="CO321" s="697"/>
      <c r="CP321" s="697"/>
      <c r="CQ321" s="697"/>
      <c r="CR321" s="697"/>
      <c r="CS321" s="697"/>
      <c r="CT321" s="697"/>
      <c r="CU321" s="697"/>
      <c r="CV321" s="697"/>
      <c r="CW321" s="697"/>
      <c r="CX321" s="697"/>
      <c r="CY321" s="697"/>
      <c r="CZ321" s="697"/>
      <c r="DA321" s="697"/>
      <c r="DB321" s="697"/>
    </row>
    <row r="322" spans="1:106" hidden="1" outlineLevel="1" x14ac:dyDescent="0.2">
      <c r="A322" s="709">
        <f t="shared" si="68"/>
        <v>38718</v>
      </c>
      <c r="B322" s="709" t="str">
        <f t="shared" si="69"/>
        <v>1Q06</v>
      </c>
      <c r="C322" s="709" t="str">
        <f t="shared" si="70"/>
        <v>1Q06</v>
      </c>
      <c r="D322" s="710">
        <f t="shared" si="76"/>
        <v>38804</v>
      </c>
      <c r="E322" s="710">
        <f t="shared" si="76"/>
        <v>38744</v>
      </c>
      <c r="F322" s="712">
        <v>66.819999999999993</v>
      </c>
      <c r="G322" s="713">
        <f t="shared" si="71"/>
        <v>1.4900000000000011</v>
      </c>
      <c r="H322" s="713">
        <f t="shared" si="72"/>
        <v>1.4900000000000011</v>
      </c>
      <c r="I322" s="697"/>
      <c r="J322" s="697"/>
      <c r="K322" s="697"/>
      <c r="L322" s="697"/>
      <c r="M322" s="697"/>
      <c r="N322" s="697"/>
      <c r="O322" s="697"/>
      <c r="P322" s="697"/>
      <c r="Q322" s="697"/>
      <c r="R322" s="697"/>
      <c r="S322" s="697"/>
      <c r="T322" s="697"/>
      <c r="U322" s="697"/>
      <c r="V322" s="697"/>
      <c r="W322" s="697"/>
      <c r="X322" s="697"/>
      <c r="Y322" s="697"/>
      <c r="Z322" s="697"/>
      <c r="AA322" s="697"/>
      <c r="AB322" s="697"/>
      <c r="AC322" s="697"/>
      <c r="AD322" s="697"/>
      <c r="AE322" s="697"/>
      <c r="AF322" s="697"/>
      <c r="AG322" s="697"/>
      <c r="AH322" s="697"/>
      <c r="AI322" s="697"/>
      <c r="AJ322" s="697"/>
      <c r="AK322" s="697"/>
      <c r="AL322" s="697"/>
      <c r="AM322" s="697"/>
      <c r="AN322" s="697"/>
      <c r="AO322" s="697"/>
      <c r="AP322" s="697"/>
      <c r="AQ322" s="697"/>
      <c r="AR322" s="697"/>
      <c r="AS322" s="697"/>
      <c r="AT322" s="697"/>
      <c r="AU322" s="697"/>
      <c r="AV322" s="697"/>
      <c r="AW322" s="697"/>
      <c r="AX322" s="697"/>
      <c r="AY322" s="697"/>
      <c r="AZ322" s="697"/>
      <c r="BA322" s="697"/>
      <c r="BB322" s="697"/>
      <c r="BC322" s="697"/>
      <c r="BD322" s="697"/>
      <c r="BE322" s="697"/>
      <c r="BF322" s="697"/>
      <c r="BG322" s="697"/>
      <c r="BH322" s="697"/>
      <c r="BI322" s="697"/>
      <c r="BJ322" s="697"/>
      <c r="BK322" s="697"/>
      <c r="BL322" s="697"/>
      <c r="BM322" s="697"/>
      <c r="BN322" s="697"/>
      <c r="BO322" s="697"/>
      <c r="BP322" s="697"/>
      <c r="BQ322" s="697"/>
      <c r="BR322" s="697"/>
      <c r="BS322" s="697"/>
      <c r="BT322" s="697"/>
      <c r="BU322" s="697"/>
      <c r="BV322" s="697"/>
      <c r="BW322" s="697"/>
      <c r="BX322" s="697"/>
      <c r="BY322" s="697"/>
      <c r="BZ322" s="697"/>
      <c r="CA322" s="697"/>
      <c r="CB322" s="697"/>
      <c r="CC322" s="697"/>
      <c r="CD322" s="697"/>
      <c r="CE322" s="697"/>
      <c r="CF322" s="697"/>
      <c r="CG322" s="697"/>
      <c r="CH322" s="697"/>
      <c r="CI322" s="697"/>
      <c r="CJ322" s="697"/>
      <c r="CK322" s="697"/>
      <c r="CL322" s="697"/>
      <c r="CM322" s="697"/>
      <c r="CN322" s="697"/>
      <c r="CO322" s="697"/>
      <c r="CP322" s="697"/>
      <c r="CQ322" s="697"/>
      <c r="CR322" s="697"/>
      <c r="CS322" s="697"/>
      <c r="CT322" s="697"/>
      <c r="CU322" s="697"/>
      <c r="CV322" s="697"/>
      <c r="CW322" s="697"/>
      <c r="CX322" s="697"/>
      <c r="CY322" s="697"/>
      <c r="CZ322" s="697"/>
      <c r="DA322" s="697"/>
      <c r="DB322" s="697"/>
    </row>
    <row r="323" spans="1:106" hidden="1" outlineLevel="1" x14ac:dyDescent="0.2">
      <c r="A323" s="709">
        <f t="shared" si="68"/>
        <v>38749</v>
      </c>
      <c r="B323" s="709" t="str">
        <f t="shared" si="69"/>
        <v>1Q06</v>
      </c>
      <c r="C323" s="709" t="str">
        <f t="shared" si="70"/>
        <v>2Q06</v>
      </c>
      <c r="D323" s="710">
        <f t="shared" si="76"/>
        <v>38811</v>
      </c>
      <c r="E323" s="710">
        <f t="shared" si="76"/>
        <v>38751</v>
      </c>
      <c r="F323" s="712">
        <v>66.59</v>
      </c>
      <c r="G323" s="713">
        <f t="shared" si="71"/>
        <v>1.4900000000000011</v>
      </c>
      <c r="H323" s="713">
        <f t="shared" si="72"/>
        <v>1.4900000000000011</v>
      </c>
      <c r="I323" s="697"/>
      <c r="J323" s="697"/>
      <c r="K323" s="697"/>
      <c r="L323" s="697"/>
      <c r="M323" s="697"/>
      <c r="N323" s="697"/>
      <c r="O323" s="697"/>
      <c r="P323" s="697"/>
      <c r="Q323" s="697"/>
      <c r="R323" s="697"/>
      <c r="S323" s="697"/>
      <c r="T323" s="697"/>
      <c r="U323" s="697"/>
      <c r="V323" s="697"/>
      <c r="W323" s="697"/>
      <c r="X323" s="697"/>
      <c r="Y323" s="697"/>
      <c r="Z323" s="697"/>
      <c r="AA323" s="697"/>
      <c r="AB323" s="697"/>
      <c r="AC323" s="697"/>
      <c r="AD323" s="697"/>
      <c r="AE323" s="697"/>
      <c r="AF323" s="697"/>
      <c r="AG323" s="697"/>
      <c r="AH323" s="697"/>
      <c r="AI323" s="697"/>
      <c r="AJ323" s="697"/>
      <c r="AK323" s="697"/>
      <c r="AL323" s="697"/>
      <c r="AM323" s="697"/>
      <c r="AN323" s="697"/>
      <c r="AO323" s="697"/>
      <c r="AP323" s="697"/>
      <c r="AQ323" s="697"/>
      <c r="AR323" s="697"/>
      <c r="AS323" s="697"/>
      <c r="AT323" s="697"/>
      <c r="AU323" s="697"/>
      <c r="AV323" s="697"/>
      <c r="AW323" s="697"/>
      <c r="AX323" s="697"/>
      <c r="AY323" s="697"/>
      <c r="AZ323" s="697"/>
      <c r="BA323" s="697"/>
      <c r="BB323" s="697"/>
      <c r="BC323" s="697"/>
      <c r="BD323" s="697"/>
      <c r="BE323" s="697"/>
      <c r="BF323" s="697"/>
      <c r="BG323" s="697"/>
      <c r="BH323" s="697"/>
      <c r="BI323" s="697"/>
      <c r="BJ323" s="697"/>
      <c r="BK323" s="697"/>
      <c r="BL323" s="697"/>
      <c r="BM323" s="697"/>
      <c r="BN323" s="697"/>
      <c r="BO323" s="697"/>
      <c r="BP323" s="697"/>
      <c r="BQ323" s="697"/>
      <c r="BR323" s="697"/>
      <c r="BS323" s="697"/>
      <c r="BT323" s="697"/>
      <c r="BU323" s="697"/>
      <c r="BV323" s="697"/>
      <c r="BW323" s="697"/>
      <c r="BX323" s="697"/>
      <c r="BY323" s="697"/>
      <c r="BZ323" s="697"/>
      <c r="CA323" s="697"/>
      <c r="CB323" s="697"/>
      <c r="CC323" s="697"/>
      <c r="CD323" s="697"/>
      <c r="CE323" s="697"/>
      <c r="CF323" s="697"/>
      <c r="CG323" s="697"/>
      <c r="CH323" s="697"/>
      <c r="CI323" s="697"/>
      <c r="CJ323" s="697"/>
      <c r="CK323" s="697"/>
      <c r="CL323" s="697"/>
      <c r="CM323" s="697"/>
      <c r="CN323" s="697"/>
      <c r="CO323" s="697"/>
      <c r="CP323" s="697"/>
      <c r="CQ323" s="697"/>
      <c r="CR323" s="697"/>
      <c r="CS323" s="697"/>
      <c r="CT323" s="697"/>
      <c r="CU323" s="697"/>
      <c r="CV323" s="697"/>
      <c r="CW323" s="697"/>
      <c r="CX323" s="697"/>
      <c r="CY323" s="697"/>
      <c r="CZ323" s="697"/>
      <c r="DA323" s="697"/>
      <c r="DB323" s="697"/>
    </row>
    <row r="324" spans="1:106" hidden="1" outlineLevel="1" x14ac:dyDescent="0.2">
      <c r="A324" s="709">
        <f t="shared" ref="A324:A387" si="77">DATE(YEAR(E324),MONTH(E324),1)</f>
        <v>38749</v>
      </c>
      <c r="B324" s="709" t="str">
        <f t="shared" ref="B324:B387" si="78">VLOOKUP(MONTH(A324),$N$4:$O$16,2,FALSE) &amp; "Q" &amp; RIGHT(YEAR(A324),2)</f>
        <v>1Q06</v>
      </c>
      <c r="C324" s="709" t="str">
        <f t="shared" ref="C324:C387" si="79">VLOOKUP(MONTH(D324),$N$4:$O$16,2,FALSE) &amp; "Q" &amp; RIGHT(YEAR(D324),2)</f>
        <v>2Q06</v>
      </c>
      <c r="D324" s="710">
        <f t="shared" si="76"/>
        <v>38818</v>
      </c>
      <c r="E324" s="710">
        <f t="shared" si="76"/>
        <v>38758</v>
      </c>
      <c r="F324" s="712">
        <v>63.06</v>
      </c>
      <c r="G324" s="713">
        <f t="shared" ref="G324:G387" si="80">INDEX($I$4:$K$153,MATCH(F324,$I$4:$I$153,1),3)</f>
        <v>1.4900000000000011</v>
      </c>
      <c r="H324" s="713">
        <f t="shared" ref="H324:H387" si="81">G325</f>
        <v>1.4900000000000011</v>
      </c>
      <c r="I324" s="697"/>
      <c r="J324" s="697"/>
      <c r="K324" s="697"/>
      <c r="L324" s="697"/>
      <c r="M324" s="697"/>
      <c r="N324" s="697"/>
      <c r="O324" s="697"/>
      <c r="P324" s="697"/>
      <c r="Q324" s="697"/>
      <c r="R324" s="697"/>
      <c r="S324" s="697"/>
      <c r="T324" s="697"/>
      <c r="U324" s="697"/>
      <c r="V324" s="697"/>
      <c r="W324" s="697"/>
      <c r="X324" s="697"/>
      <c r="Y324" s="697"/>
      <c r="Z324" s="697"/>
      <c r="AA324" s="697"/>
      <c r="AB324" s="697"/>
      <c r="AC324" s="697"/>
      <c r="AD324" s="697"/>
      <c r="AE324" s="697"/>
      <c r="AF324" s="697"/>
      <c r="AG324" s="697"/>
      <c r="AH324" s="697"/>
      <c r="AI324" s="697"/>
      <c r="AJ324" s="697"/>
      <c r="AK324" s="697"/>
      <c r="AL324" s="697"/>
      <c r="AM324" s="697"/>
      <c r="AN324" s="697"/>
      <c r="AO324" s="697"/>
      <c r="AP324" s="697"/>
      <c r="AQ324" s="697"/>
      <c r="AR324" s="697"/>
      <c r="AS324" s="697"/>
      <c r="AT324" s="697"/>
      <c r="AU324" s="697"/>
      <c r="AV324" s="697"/>
      <c r="AW324" s="697"/>
      <c r="AX324" s="697"/>
      <c r="AY324" s="697"/>
      <c r="AZ324" s="697"/>
      <c r="BA324" s="697"/>
      <c r="BB324" s="697"/>
      <c r="BC324" s="697"/>
      <c r="BD324" s="697"/>
      <c r="BE324" s="697"/>
      <c r="BF324" s="697"/>
      <c r="BG324" s="697"/>
      <c r="BH324" s="697"/>
      <c r="BI324" s="697"/>
      <c r="BJ324" s="697"/>
      <c r="BK324" s="697"/>
      <c r="BL324" s="697"/>
      <c r="BM324" s="697"/>
      <c r="BN324" s="697"/>
      <c r="BO324" s="697"/>
      <c r="BP324" s="697"/>
      <c r="BQ324" s="697"/>
      <c r="BR324" s="697"/>
      <c r="BS324" s="697"/>
      <c r="BT324" s="697"/>
      <c r="BU324" s="697"/>
      <c r="BV324" s="697"/>
      <c r="BW324" s="697"/>
      <c r="BX324" s="697"/>
      <c r="BY324" s="697"/>
      <c r="BZ324" s="697"/>
      <c r="CA324" s="697"/>
      <c r="CB324" s="697"/>
      <c r="CC324" s="697"/>
      <c r="CD324" s="697"/>
      <c r="CE324" s="697"/>
      <c r="CF324" s="697"/>
      <c r="CG324" s="697"/>
      <c r="CH324" s="697"/>
      <c r="CI324" s="697"/>
      <c r="CJ324" s="697"/>
      <c r="CK324" s="697"/>
      <c r="CL324" s="697"/>
      <c r="CM324" s="697"/>
      <c r="CN324" s="697"/>
      <c r="CO324" s="697"/>
      <c r="CP324" s="697"/>
      <c r="CQ324" s="697"/>
      <c r="CR324" s="697"/>
      <c r="CS324" s="697"/>
      <c r="CT324" s="697"/>
      <c r="CU324" s="697"/>
      <c r="CV324" s="697"/>
      <c r="CW324" s="697"/>
      <c r="CX324" s="697"/>
      <c r="CY324" s="697"/>
      <c r="CZ324" s="697"/>
      <c r="DA324" s="697"/>
      <c r="DB324" s="697"/>
    </row>
    <row r="325" spans="1:106" hidden="1" outlineLevel="1" x14ac:dyDescent="0.2">
      <c r="A325" s="709">
        <f t="shared" si="77"/>
        <v>38749</v>
      </c>
      <c r="B325" s="709" t="str">
        <f t="shared" si="78"/>
        <v>1Q06</v>
      </c>
      <c r="C325" s="709" t="str">
        <f t="shared" si="79"/>
        <v>2Q06</v>
      </c>
      <c r="D325" s="710">
        <f t="shared" ref="D325:E340" si="82">D324+7</f>
        <v>38825</v>
      </c>
      <c r="E325" s="710">
        <f t="shared" si="82"/>
        <v>38765</v>
      </c>
      <c r="F325" s="712">
        <v>59.37</v>
      </c>
      <c r="G325" s="713">
        <f t="shared" si="80"/>
        <v>1.4900000000000011</v>
      </c>
      <c r="H325" s="713">
        <f t="shared" si="81"/>
        <v>1.4900000000000011</v>
      </c>
      <c r="I325" s="697"/>
      <c r="J325" s="697"/>
      <c r="K325" s="697"/>
      <c r="L325" s="697"/>
      <c r="M325" s="697"/>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97"/>
      <c r="AT325" s="697"/>
      <c r="AU325" s="697"/>
      <c r="AV325" s="697"/>
      <c r="AW325" s="697"/>
      <c r="AX325" s="697"/>
      <c r="AY325" s="697"/>
      <c r="AZ325" s="697"/>
      <c r="BA325" s="697"/>
      <c r="BB325" s="697"/>
      <c r="BC325" s="697"/>
      <c r="BD325" s="697"/>
      <c r="BE325" s="697"/>
      <c r="BF325" s="697"/>
      <c r="BG325" s="697"/>
      <c r="BH325" s="697"/>
      <c r="BI325" s="697"/>
      <c r="BJ325" s="697"/>
      <c r="BK325" s="697"/>
      <c r="BL325" s="697"/>
      <c r="BM325" s="697"/>
      <c r="BN325" s="697"/>
      <c r="BO325" s="697"/>
      <c r="BP325" s="697"/>
      <c r="BQ325" s="697"/>
      <c r="BR325" s="697"/>
      <c r="BS325" s="697"/>
      <c r="BT325" s="697"/>
      <c r="BU325" s="697"/>
      <c r="BV325" s="697"/>
      <c r="BW325" s="697"/>
      <c r="BX325" s="697"/>
      <c r="BY325" s="697"/>
      <c r="BZ325" s="697"/>
      <c r="CA325" s="697"/>
      <c r="CB325" s="697"/>
      <c r="CC325" s="697"/>
      <c r="CD325" s="697"/>
      <c r="CE325" s="697"/>
      <c r="CF325" s="697"/>
      <c r="CG325" s="697"/>
      <c r="CH325" s="697"/>
      <c r="CI325" s="697"/>
      <c r="CJ325" s="697"/>
      <c r="CK325" s="697"/>
      <c r="CL325" s="697"/>
      <c r="CM325" s="697"/>
      <c r="CN325" s="697"/>
      <c r="CO325" s="697"/>
      <c r="CP325" s="697"/>
      <c r="CQ325" s="697"/>
      <c r="CR325" s="697"/>
      <c r="CS325" s="697"/>
      <c r="CT325" s="697"/>
      <c r="CU325" s="697"/>
      <c r="CV325" s="697"/>
      <c r="CW325" s="697"/>
      <c r="CX325" s="697"/>
      <c r="CY325" s="697"/>
      <c r="CZ325" s="697"/>
      <c r="DA325" s="697"/>
      <c r="DB325" s="697"/>
    </row>
    <row r="326" spans="1:106" hidden="1" outlineLevel="1" x14ac:dyDescent="0.2">
      <c r="A326" s="709">
        <f t="shared" si="77"/>
        <v>38749</v>
      </c>
      <c r="B326" s="709" t="str">
        <f t="shared" si="78"/>
        <v>1Q06</v>
      </c>
      <c r="C326" s="709" t="str">
        <f t="shared" si="79"/>
        <v>2Q06</v>
      </c>
      <c r="D326" s="710">
        <f t="shared" si="82"/>
        <v>38832</v>
      </c>
      <c r="E326" s="710">
        <f t="shared" si="82"/>
        <v>38772</v>
      </c>
      <c r="F326" s="712">
        <v>59.93</v>
      </c>
      <c r="G326" s="713">
        <f t="shared" si="80"/>
        <v>1.4900000000000011</v>
      </c>
      <c r="H326" s="713">
        <f t="shared" si="81"/>
        <v>1.4900000000000011</v>
      </c>
      <c r="I326" s="697"/>
      <c r="J326" s="697"/>
      <c r="K326" s="697"/>
      <c r="L326" s="697"/>
      <c r="M326" s="697"/>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97"/>
      <c r="AT326" s="697"/>
      <c r="AU326" s="697"/>
      <c r="AV326" s="697"/>
      <c r="AW326" s="697"/>
      <c r="AX326" s="697"/>
      <c r="AY326" s="697"/>
      <c r="AZ326" s="697"/>
      <c r="BA326" s="697"/>
      <c r="BB326" s="697"/>
      <c r="BC326" s="697"/>
      <c r="BD326" s="697"/>
      <c r="BE326" s="697"/>
      <c r="BF326" s="697"/>
      <c r="BG326" s="697"/>
      <c r="BH326" s="697"/>
      <c r="BI326" s="697"/>
      <c r="BJ326" s="697"/>
      <c r="BK326" s="697"/>
      <c r="BL326" s="697"/>
      <c r="BM326" s="697"/>
      <c r="BN326" s="697"/>
      <c r="BO326" s="697"/>
      <c r="BP326" s="697"/>
      <c r="BQ326" s="697"/>
      <c r="BR326" s="697"/>
      <c r="BS326" s="697"/>
      <c r="BT326" s="697"/>
      <c r="BU326" s="697"/>
      <c r="BV326" s="697"/>
      <c r="BW326" s="697"/>
      <c r="BX326" s="697"/>
      <c r="BY326" s="697"/>
      <c r="BZ326" s="697"/>
      <c r="CA326" s="697"/>
      <c r="CB326" s="697"/>
      <c r="CC326" s="697"/>
      <c r="CD326" s="697"/>
      <c r="CE326" s="697"/>
      <c r="CF326" s="697"/>
      <c r="CG326" s="697"/>
      <c r="CH326" s="697"/>
      <c r="CI326" s="697"/>
      <c r="CJ326" s="697"/>
      <c r="CK326" s="697"/>
      <c r="CL326" s="697"/>
      <c r="CM326" s="697"/>
      <c r="CN326" s="697"/>
      <c r="CO326" s="697"/>
      <c r="CP326" s="697"/>
      <c r="CQ326" s="697"/>
      <c r="CR326" s="697"/>
      <c r="CS326" s="697"/>
      <c r="CT326" s="697"/>
      <c r="CU326" s="697"/>
      <c r="CV326" s="697"/>
      <c r="CW326" s="697"/>
      <c r="CX326" s="697"/>
      <c r="CY326" s="697"/>
      <c r="CZ326" s="697"/>
      <c r="DA326" s="697"/>
      <c r="DB326" s="697"/>
    </row>
    <row r="327" spans="1:106" hidden="1" outlineLevel="1" x14ac:dyDescent="0.2">
      <c r="A327" s="709">
        <f t="shared" si="77"/>
        <v>38777</v>
      </c>
      <c r="B327" s="709" t="str">
        <f t="shared" si="78"/>
        <v>1Q06</v>
      </c>
      <c r="C327" s="709" t="str">
        <f t="shared" si="79"/>
        <v>2Q06</v>
      </c>
      <c r="D327" s="710">
        <f t="shared" si="82"/>
        <v>38839</v>
      </c>
      <c r="E327" s="710">
        <f t="shared" si="82"/>
        <v>38779</v>
      </c>
      <c r="F327" s="712">
        <v>62.27</v>
      </c>
      <c r="G327" s="713">
        <f t="shared" si="80"/>
        <v>1.4900000000000011</v>
      </c>
      <c r="H327" s="713">
        <f t="shared" si="81"/>
        <v>1.4900000000000011</v>
      </c>
      <c r="I327" s="697"/>
      <c r="J327" s="697"/>
      <c r="K327" s="697"/>
      <c r="L327" s="697"/>
      <c r="M327" s="697"/>
      <c r="N327" s="697"/>
      <c r="O327" s="697"/>
      <c r="P327" s="697"/>
      <c r="Q327" s="697"/>
      <c r="R327" s="697"/>
      <c r="S327" s="697"/>
      <c r="T327" s="697"/>
      <c r="U327" s="697"/>
      <c r="V327" s="697"/>
      <c r="W327" s="697"/>
      <c r="X327" s="697"/>
      <c r="Y327" s="697"/>
      <c r="Z327" s="697"/>
      <c r="AA327" s="697"/>
      <c r="AB327" s="697"/>
      <c r="AC327" s="697"/>
      <c r="AD327" s="697"/>
      <c r="AE327" s="697"/>
      <c r="AF327" s="697"/>
      <c r="AG327" s="697"/>
      <c r="AH327" s="697"/>
      <c r="AI327" s="697"/>
      <c r="AJ327" s="697"/>
      <c r="AK327" s="697"/>
      <c r="AL327" s="697"/>
      <c r="AM327" s="697"/>
      <c r="AN327" s="697"/>
      <c r="AO327" s="697"/>
      <c r="AP327" s="697"/>
      <c r="AQ327" s="697"/>
      <c r="AR327" s="697"/>
      <c r="AS327" s="697"/>
      <c r="AT327" s="697"/>
      <c r="AU327" s="697"/>
      <c r="AV327" s="697"/>
      <c r="AW327" s="697"/>
      <c r="AX327" s="697"/>
      <c r="AY327" s="697"/>
      <c r="AZ327" s="697"/>
      <c r="BA327" s="697"/>
      <c r="BB327" s="697"/>
      <c r="BC327" s="697"/>
      <c r="BD327" s="697"/>
      <c r="BE327" s="697"/>
      <c r="BF327" s="697"/>
      <c r="BG327" s="697"/>
      <c r="BH327" s="697"/>
      <c r="BI327" s="697"/>
      <c r="BJ327" s="697"/>
      <c r="BK327" s="697"/>
      <c r="BL327" s="697"/>
      <c r="BM327" s="697"/>
      <c r="BN327" s="697"/>
      <c r="BO327" s="697"/>
      <c r="BP327" s="697"/>
      <c r="BQ327" s="697"/>
      <c r="BR327" s="697"/>
      <c r="BS327" s="697"/>
      <c r="BT327" s="697"/>
      <c r="BU327" s="697"/>
      <c r="BV327" s="697"/>
      <c r="BW327" s="697"/>
      <c r="BX327" s="697"/>
      <c r="BY327" s="697"/>
      <c r="BZ327" s="697"/>
      <c r="CA327" s="697"/>
      <c r="CB327" s="697"/>
      <c r="CC327" s="697"/>
      <c r="CD327" s="697"/>
      <c r="CE327" s="697"/>
      <c r="CF327" s="697"/>
      <c r="CG327" s="697"/>
      <c r="CH327" s="697"/>
      <c r="CI327" s="697"/>
      <c r="CJ327" s="697"/>
      <c r="CK327" s="697"/>
      <c r="CL327" s="697"/>
      <c r="CM327" s="697"/>
      <c r="CN327" s="697"/>
      <c r="CO327" s="697"/>
      <c r="CP327" s="697"/>
      <c r="CQ327" s="697"/>
      <c r="CR327" s="697"/>
      <c r="CS327" s="697"/>
      <c r="CT327" s="697"/>
      <c r="CU327" s="697"/>
      <c r="CV327" s="697"/>
      <c r="CW327" s="697"/>
      <c r="CX327" s="697"/>
      <c r="CY327" s="697"/>
      <c r="CZ327" s="697"/>
      <c r="DA327" s="697"/>
      <c r="DB327" s="697"/>
    </row>
    <row r="328" spans="1:106" hidden="1" outlineLevel="1" x14ac:dyDescent="0.2">
      <c r="A328" s="709">
        <f t="shared" si="77"/>
        <v>38777</v>
      </c>
      <c r="B328" s="709" t="str">
        <f t="shared" si="78"/>
        <v>1Q06</v>
      </c>
      <c r="C328" s="709" t="str">
        <f t="shared" si="79"/>
        <v>2Q06</v>
      </c>
      <c r="D328" s="710">
        <f t="shared" si="82"/>
        <v>38846</v>
      </c>
      <c r="E328" s="710">
        <f t="shared" si="82"/>
        <v>38786</v>
      </c>
      <c r="F328" s="712">
        <v>60.89</v>
      </c>
      <c r="G328" s="713">
        <f t="shared" si="80"/>
        <v>1.4900000000000011</v>
      </c>
      <c r="H328" s="713">
        <f t="shared" si="81"/>
        <v>1.4900000000000011</v>
      </c>
      <c r="I328" s="697"/>
      <c r="J328" s="697"/>
      <c r="K328" s="697"/>
      <c r="L328" s="697"/>
      <c r="M328" s="697"/>
      <c r="N328" s="697"/>
      <c r="O328" s="697"/>
      <c r="P328" s="697"/>
      <c r="Q328" s="697"/>
      <c r="R328" s="697"/>
      <c r="S328" s="697"/>
      <c r="T328" s="697"/>
      <c r="U328" s="697"/>
      <c r="V328" s="697"/>
      <c r="W328" s="697"/>
      <c r="X328" s="697"/>
      <c r="Y328" s="697"/>
      <c r="Z328" s="697"/>
      <c r="AA328" s="697"/>
      <c r="AB328" s="697"/>
      <c r="AC328" s="697"/>
      <c r="AD328" s="697"/>
      <c r="AE328" s="697"/>
      <c r="AF328" s="697"/>
      <c r="AG328" s="697"/>
      <c r="AH328" s="697"/>
      <c r="AI328" s="697"/>
      <c r="AJ328" s="697"/>
      <c r="AK328" s="697"/>
      <c r="AL328" s="697"/>
      <c r="AM328" s="697"/>
      <c r="AN328" s="697"/>
      <c r="AO328" s="697"/>
      <c r="AP328" s="697"/>
      <c r="AQ328" s="697"/>
      <c r="AR328" s="697"/>
      <c r="AS328" s="697"/>
      <c r="AT328" s="697"/>
      <c r="AU328" s="697"/>
      <c r="AV328" s="697"/>
      <c r="AW328" s="697"/>
      <c r="AX328" s="697"/>
      <c r="AY328" s="697"/>
      <c r="AZ328" s="697"/>
      <c r="BA328" s="697"/>
      <c r="BB328" s="697"/>
      <c r="BC328" s="697"/>
      <c r="BD328" s="697"/>
      <c r="BE328" s="697"/>
      <c r="BF328" s="697"/>
      <c r="BG328" s="697"/>
      <c r="BH328" s="697"/>
      <c r="BI328" s="697"/>
      <c r="BJ328" s="697"/>
      <c r="BK328" s="697"/>
      <c r="BL328" s="697"/>
      <c r="BM328" s="697"/>
      <c r="BN328" s="697"/>
      <c r="BO328" s="697"/>
      <c r="BP328" s="697"/>
      <c r="BQ328" s="697"/>
      <c r="BR328" s="697"/>
      <c r="BS328" s="697"/>
      <c r="BT328" s="697"/>
      <c r="BU328" s="697"/>
      <c r="BV328" s="697"/>
      <c r="BW328" s="697"/>
      <c r="BX328" s="697"/>
      <c r="BY328" s="697"/>
      <c r="BZ328" s="697"/>
      <c r="CA328" s="697"/>
      <c r="CB328" s="697"/>
      <c r="CC328" s="697"/>
      <c r="CD328" s="697"/>
      <c r="CE328" s="697"/>
      <c r="CF328" s="697"/>
      <c r="CG328" s="697"/>
      <c r="CH328" s="697"/>
      <c r="CI328" s="697"/>
      <c r="CJ328" s="697"/>
      <c r="CK328" s="697"/>
      <c r="CL328" s="697"/>
      <c r="CM328" s="697"/>
      <c r="CN328" s="697"/>
      <c r="CO328" s="697"/>
      <c r="CP328" s="697"/>
      <c r="CQ328" s="697"/>
      <c r="CR328" s="697"/>
      <c r="CS328" s="697"/>
      <c r="CT328" s="697"/>
      <c r="CU328" s="697"/>
      <c r="CV328" s="697"/>
      <c r="CW328" s="697"/>
      <c r="CX328" s="697"/>
      <c r="CY328" s="697"/>
      <c r="CZ328" s="697"/>
      <c r="DA328" s="697"/>
      <c r="DB328" s="697"/>
    </row>
    <row r="329" spans="1:106" hidden="1" outlineLevel="1" x14ac:dyDescent="0.2">
      <c r="A329" s="709">
        <f t="shared" si="77"/>
        <v>38777</v>
      </c>
      <c r="B329" s="709" t="str">
        <f t="shared" si="78"/>
        <v>1Q06</v>
      </c>
      <c r="C329" s="709" t="str">
        <f t="shared" si="79"/>
        <v>2Q06</v>
      </c>
      <c r="D329" s="710">
        <f t="shared" si="82"/>
        <v>38853</v>
      </c>
      <c r="E329" s="710">
        <f t="shared" si="82"/>
        <v>38793</v>
      </c>
      <c r="F329" s="712">
        <v>62.64</v>
      </c>
      <c r="G329" s="713">
        <f t="shared" si="80"/>
        <v>1.4900000000000011</v>
      </c>
      <c r="H329" s="713">
        <f t="shared" si="81"/>
        <v>1.4900000000000011</v>
      </c>
      <c r="I329" s="697"/>
      <c r="J329" s="697"/>
      <c r="K329" s="697"/>
      <c r="L329" s="697"/>
      <c r="M329" s="697"/>
      <c r="N329" s="697"/>
      <c r="O329" s="697"/>
      <c r="P329" s="697"/>
      <c r="Q329" s="697"/>
      <c r="R329" s="697"/>
      <c r="S329" s="697"/>
      <c r="T329" s="697"/>
      <c r="U329" s="697"/>
      <c r="V329" s="697"/>
      <c r="W329" s="697"/>
      <c r="X329" s="697"/>
      <c r="Y329" s="697"/>
      <c r="Z329" s="697"/>
      <c r="AA329" s="697"/>
      <c r="AB329" s="697"/>
      <c r="AC329" s="697"/>
      <c r="AD329" s="697"/>
      <c r="AE329" s="697"/>
      <c r="AF329" s="697"/>
      <c r="AG329" s="697"/>
      <c r="AH329" s="697"/>
      <c r="AI329" s="697"/>
      <c r="AJ329" s="697"/>
      <c r="AK329" s="697"/>
      <c r="AL329" s="697"/>
      <c r="AM329" s="697"/>
      <c r="AN329" s="697"/>
      <c r="AO329" s="697"/>
      <c r="AP329" s="697"/>
      <c r="AQ329" s="697"/>
      <c r="AR329" s="697"/>
      <c r="AS329" s="697"/>
      <c r="AT329" s="697"/>
      <c r="AU329" s="697"/>
      <c r="AV329" s="697"/>
      <c r="AW329" s="697"/>
      <c r="AX329" s="697"/>
      <c r="AY329" s="697"/>
      <c r="AZ329" s="697"/>
      <c r="BA329" s="697"/>
      <c r="BB329" s="697"/>
      <c r="BC329" s="697"/>
      <c r="BD329" s="697"/>
      <c r="BE329" s="697"/>
      <c r="BF329" s="697"/>
      <c r="BG329" s="697"/>
      <c r="BH329" s="697"/>
      <c r="BI329" s="697"/>
      <c r="BJ329" s="697"/>
      <c r="BK329" s="697"/>
      <c r="BL329" s="697"/>
      <c r="BM329" s="697"/>
      <c r="BN329" s="697"/>
      <c r="BO329" s="697"/>
      <c r="BP329" s="697"/>
      <c r="BQ329" s="697"/>
      <c r="BR329" s="697"/>
      <c r="BS329" s="697"/>
      <c r="BT329" s="697"/>
      <c r="BU329" s="697"/>
      <c r="BV329" s="697"/>
      <c r="BW329" s="697"/>
      <c r="BX329" s="697"/>
      <c r="BY329" s="697"/>
      <c r="BZ329" s="697"/>
      <c r="CA329" s="697"/>
      <c r="CB329" s="697"/>
      <c r="CC329" s="697"/>
      <c r="CD329" s="697"/>
      <c r="CE329" s="697"/>
      <c r="CF329" s="697"/>
      <c r="CG329" s="697"/>
      <c r="CH329" s="697"/>
      <c r="CI329" s="697"/>
      <c r="CJ329" s="697"/>
      <c r="CK329" s="697"/>
      <c r="CL329" s="697"/>
      <c r="CM329" s="697"/>
      <c r="CN329" s="697"/>
      <c r="CO329" s="697"/>
      <c r="CP329" s="697"/>
      <c r="CQ329" s="697"/>
      <c r="CR329" s="697"/>
      <c r="CS329" s="697"/>
      <c r="CT329" s="697"/>
      <c r="CU329" s="697"/>
      <c r="CV329" s="697"/>
      <c r="CW329" s="697"/>
      <c r="CX329" s="697"/>
      <c r="CY329" s="697"/>
      <c r="CZ329" s="697"/>
      <c r="DA329" s="697"/>
      <c r="DB329" s="697"/>
    </row>
    <row r="330" spans="1:106" hidden="1" outlineLevel="1" x14ac:dyDescent="0.2">
      <c r="A330" s="709">
        <f t="shared" si="77"/>
        <v>38777</v>
      </c>
      <c r="B330" s="709" t="str">
        <f t="shared" si="78"/>
        <v>1Q06</v>
      </c>
      <c r="C330" s="709" t="str">
        <f t="shared" si="79"/>
        <v>2Q06</v>
      </c>
      <c r="D330" s="710">
        <f t="shared" si="82"/>
        <v>38860</v>
      </c>
      <c r="E330" s="710">
        <f t="shared" si="82"/>
        <v>38800</v>
      </c>
      <c r="F330" s="712">
        <v>61.36</v>
      </c>
      <c r="G330" s="713">
        <f t="shared" si="80"/>
        <v>1.4900000000000011</v>
      </c>
      <c r="H330" s="713">
        <f t="shared" si="81"/>
        <v>1.4900000000000011</v>
      </c>
      <c r="I330" s="697"/>
      <c r="J330" s="697"/>
      <c r="K330" s="697"/>
      <c r="L330" s="697"/>
      <c r="M330" s="697"/>
      <c r="N330" s="697"/>
      <c r="O330" s="697"/>
      <c r="P330" s="697"/>
      <c r="Q330" s="697"/>
      <c r="R330" s="697"/>
      <c r="S330" s="697"/>
      <c r="T330" s="697"/>
      <c r="U330" s="697"/>
      <c r="V330" s="697"/>
      <c r="W330" s="697"/>
      <c r="X330" s="697"/>
      <c r="Y330" s="697"/>
      <c r="Z330" s="697"/>
      <c r="AA330" s="697"/>
      <c r="AB330" s="697"/>
      <c r="AC330" s="697"/>
      <c r="AD330" s="697"/>
      <c r="AE330" s="697"/>
      <c r="AF330" s="697"/>
      <c r="AG330" s="697"/>
      <c r="AH330" s="697"/>
      <c r="AI330" s="697"/>
      <c r="AJ330" s="697"/>
      <c r="AK330" s="697"/>
      <c r="AL330" s="697"/>
      <c r="AM330" s="697"/>
      <c r="AN330" s="697"/>
      <c r="AO330" s="697"/>
      <c r="AP330" s="697"/>
      <c r="AQ330" s="697"/>
      <c r="AR330" s="697"/>
      <c r="AS330" s="697"/>
      <c r="AT330" s="697"/>
      <c r="AU330" s="697"/>
      <c r="AV330" s="697"/>
      <c r="AW330" s="697"/>
      <c r="AX330" s="697"/>
      <c r="AY330" s="697"/>
      <c r="AZ330" s="697"/>
      <c r="BA330" s="697"/>
      <c r="BB330" s="697"/>
      <c r="BC330" s="697"/>
      <c r="BD330" s="697"/>
      <c r="BE330" s="697"/>
      <c r="BF330" s="697"/>
      <c r="BG330" s="697"/>
      <c r="BH330" s="697"/>
      <c r="BI330" s="697"/>
      <c r="BJ330" s="697"/>
      <c r="BK330" s="697"/>
      <c r="BL330" s="697"/>
      <c r="BM330" s="697"/>
      <c r="BN330" s="697"/>
      <c r="BO330" s="697"/>
      <c r="BP330" s="697"/>
      <c r="BQ330" s="697"/>
      <c r="BR330" s="697"/>
      <c r="BS330" s="697"/>
      <c r="BT330" s="697"/>
      <c r="BU330" s="697"/>
      <c r="BV330" s="697"/>
      <c r="BW330" s="697"/>
      <c r="BX330" s="697"/>
      <c r="BY330" s="697"/>
      <c r="BZ330" s="697"/>
      <c r="CA330" s="697"/>
      <c r="CB330" s="697"/>
      <c r="CC330" s="697"/>
      <c r="CD330" s="697"/>
      <c r="CE330" s="697"/>
      <c r="CF330" s="697"/>
      <c r="CG330" s="697"/>
      <c r="CH330" s="697"/>
      <c r="CI330" s="697"/>
      <c r="CJ330" s="697"/>
      <c r="CK330" s="697"/>
      <c r="CL330" s="697"/>
      <c r="CM330" s="697"/>
      <c r="CN330" s="697"/>
      <c r="CO330" s="697"/>
      <c r="CP330" s="697"/>
      <c r="CQ330" s="697"/>
      <c r="CR330" s="697"/>
      <c r="CS330" s="697"/>
      <c r="CT330" s="697"/>
      <c r="CU330" s="697"/>
      <c r="CV330" s="697"/>
      <c r="CW330" s="697"/>
      <c r="CX330" s="697"/>
      <c r="CY330" s="697"/>
      <c r="CZ330" s="697"/>
      <c r="DA330" s="697"/>
      <c r="DB330" s="697"/>
    </row>
    <row r="331" spans="1:106" hidden="1" outlineLevel="1" x14ac:dyDescent="0.2">
      <c r="A331" s="709">
        <f t="shared" si="77"/>
        <v>38777</v>
      </c>
      <c r="B331" s="709" t="str">
        <f t="shared" si="78"/>
        <v>1Q06</v>
      </c>
      <c r="C331" s="709" t="str">
        <f t="shared" si="79"/>
        <v>2Q06</v>
      </c>
      <c r="D331" s="710">
        <f t="shared" si="82"/>
        <v>38867</v>
      </c>
      <c r="E331" s="710">
        <f t="shared" si="82"/>
        <v>38807</v>
      </c>
      <c r="F331" s="712">
        <v>65.67</v>
      </c>
      <c r="G331" s="713">
        <f t="shared" si="80"/>
        <v>1.4900000000000011</v>
      </c>
      <c r="H331" s="713">
        <f t="shared" si="81"/>
        <v>1.4900000000000011</v>
      </c>
      <c r="I331" s="697"/>
      <c r="J331" s="697"/>
      <c r="K331" s="697"/>
      <c r="L331" s="697"/>
      <c r="M331" s="697"/>
      <c r="N331" s="697"/>
      <c r="O331" s="697"/>
      <c r="P331" s="697"/>
      <c r="Q331" s="697"/>
      <c r="R331" s="697"/>
      <c r="S331" s="697"/>
      <c r="T331" s="697"/>
      <c r="U331" s="697"/>
      <c r="V331" s="697"/>
      <c r="W331" s="697"/>
      <c r="X331" s="697"/>
      <c r="Y331" s="697"/>
      <c r="Z331" s="697"/>
      <c r="AA331" s="697"/>
      <c r="AB331" s="697"/>
      <c r="AC331" s="697"/>
      <c r="AD331" s="697"/>
      <c r="AE331" s="697"/>
      <c r="AF331" s="697"/>
      <c r="AG331" s="697"/>
      <c r="AH331" s="697"/>
      <c r="AI331" s="697"/>
      <c r="AJ331" s="697"/>
      <c r="AK331" s="697"/>
      <c r="AL331" s="697"/>
      <c r="AM331" s="697"/>
      <c r="AN331" s="697"/>
      <c r="AO331" s="697"/>
      <c r="AP331" s="697"/>
      <c r="AQ331" s="697"/>
      <c r="AR331" s="697"/>
      <c r="AS331" s="697"/>
      <c r="AT331" s="697"/>
      <c r="AU331" s="697"/>
      <c r="AV331" s="697"/>
      <c r="AW331" s="697"/>
      <c r="AX331" s="697"/>
      <c r="AY331" s="697"/>
      <c r="AZ331" s="697"/>
      <c r="BA331" s="697"/>
      <c r="BB331" s="697"/>
      <c r="BC331" s="697"/>
      <c r="BD331" s="697"/>
      <c r="BE331" s="697"/>
      <c r="BF331" s="697"/>
      <c r="BG331" s="697"/>
      <c r="BH331" s="697"/>
      <c r="BI331" s="697"/>
      <c r="BJ331" s="697"/>
      <c r="BK331" s="697"/>
      <c r="BL331" s="697"/>
      <c r="BM331" s="697"/>
      <c r="BN331" s="697"/>
      <c r="BO331" s="697"/>
      <c r="BP331" s="697"/>
      <c r="BQ331" s="697"/>
      <c r="BR331" s="697"/>
      <c r="BS331" s="697"/>
      <c r="BT331" s="697"/>
      <c r="BU331" s="697"/>
      <c r="BV331" s="697"/>
      <c r="BW331" s="697"/>
      <c r="BX331" s="697"/>
      <c r="BY331" s="697"/>
      <c r="BZ331" s="697"/>
      <c r="CA331" s="697"/>
      <c r="CB331" s="697"/>
      <c r="CC331" s="697"/>
      <c r="CD331" s="697"/>
      <c r="CE331" s="697"/>
      <c r="CF331" s="697"/>
      <c r="CG331" s="697"/>
      <c r="CH331" s="697"/>
      <c r="CI331" s="697"/>
      <c r="CJ331" s="697"/>
      <c r="CK331" s="697"/>
      <c r="CL331" s="697"/>
      <c r="CM331" s="697"/>
      <c r="CN331" s="697"/>
      <c r="CO331" s="697"/>
      <c r="CP331" s="697"/>
      <c r="CQ331" s="697"/>
      <c r="CR331" s="697"/>
      <c r="CS331" s="697"/>
      <c r="CT331" s="697"/>
      <c r="CU331" s="697"/>
      <c r="CV331" s="697"/>
      <c r="CW331" s="697"/>
      <c r="CX331" s="697"/>
      <c r="CY331" s="697"/>
      <c r="CZ331" s="697"/>
      <c r="DA331" s="697"/>
      <c r="DB331" s="697"/>
    </row>
    <row r="332" spans="1:106" hidden="1" outlineLevel="1" x14ac:dyDescent="0.2">
      <c r="A332" s="709">
        <f t="shared" si="77"/>
        <v>38808</v>
      </c>
      <c r="B332" s="709" t="str">
        <f t="shared" si="78"/>
        <v>2Q06</v>
      </c>
      <c r="C332" s="709" t="str">
        <f t="shared" si="79"/>
        <v>2Q06</v>
      </c>
      <c r="D332" s="710">
        <f t="shared" si="82"/>
        <v>38874</v>
      </c>
      <c r="E332" s="710">
        <f t="shared" si="82"/>
        <v>38814</v>
      </c>
      <c r="F332" s="712">
        <v>66.56</v>
      </c>
      <c r="G332" s="713">
        <f t="shared" si="80"/>
        <v>1.4900000000000011</v>
      </c>
      <c r="H332" s="713">
        <f t="shared" si="81"/>
        <v>1.4900000000000011</v>
      </c>
      <c r="I332" s="697"/>
      <c r="J332" s="697"/>
      <c r="K332" s="697"/>
      <c r="L332" s="697"/>
      <c r="M332" s="697"/>
      <c r="N332" s="697"/>
      <c r="O332" s="697"/>
      <c r="P332" s="697"/>
      <c r="Q332" s="697"/>
      <c r="R332" s="697"/>
      <c r="S332" s="697"/>
      <c r="T332" s="697"/>
      <c r="U332" s="697"/>
      <c r="V332" s="697"/>
      <c r="W332" s="697"/>
      <c r="X332" s="697"/>
      <c r="Y332" s="697"/>
      <c r="Z332" s="697"/>
      <c r="AA332" s="697"/>
      <c r="AB332" s="697"/>
      <c r="AC332" s="697"/>
      <c r="AD332" s="697"/>
      <c r="AE332" s="697"/>
      <c r="AF332" s="697"/>
      <c r="AG332" s="697"/>
      <c r="AH332" s="697"/>
      <c r="AI332" s="697"/>
      <c r="AJ332" s="697"/>
      <c r="AK332" s="697"/>
      <c r="AL332" s="697"/>
      <c r="AM332" s="697"/>
      <c r="AN332" s="697"/>
      <c r="AO332" s="697"/>
      <c r="AP332" s="697"/>
      <c r="AQ332" s="697"/>
      <c r="AR332" s="697"/>
      <c r="AS332" s="697"/>
      <c r="AT332" s="697"/>
      <c r="AU332" s="697"/>
      <c r="AV332" s="697"/>
      <c r="AW332" s="697"/>
      <c r="AX332" s="697"/>
      <c r="AY332" s="697"/>
      <c r="AZ332" s="697"/>
      <c r="BA332" s="697"/>
      <c r="BB332" s="697"/>
      <c r="BC332" s="697"/>
      <c r="BD332" s="697"/>
      <c r="BE332" s="697"/>
      <c r="BF332" s="697"/>
      <c r="BG332" s="697"/>
      <c r="BH332" s="697"/>
      <c r="BI332" s="697"/>
      <c r="BJ332" s="697"/>
      <c r="BK332" s="697"/>
      <c r="BL332" s="697"/>
      <c r="BM332" s="697"/>
      <c r="BN332" s="697"/>
      <c r="BO332" s="697"/>
      <c r="BP332" s="697"/>
      <c r="BQ332" s="697"/>
      <c r="BR332" s="697"/>
      <c r="BS332" s="697"/>
      <c r="BT332" s="697"/>
      <c r="BU332" s="697"/>
      <c r="BV332" s="697"/>
      <c r="BW332" s="697"/>
      <c r="BX332" s="697"/>
      <c r="BY332" s="697"/>
      <c r="BZ332" s="697"/>
      <c r="CA332" s="697"/>
      <c r="CB332" s="697"/>
      <c r="CC332" s="697"/>
      <c r="CD332" s="697"/>
      <c r="CE332" s="697"/>
      <c r="CF332" s="697"/>
      <c r="CG332" s="697"/>
      <c r="CH332" s="697"/>
      <c r="CI332" s="697"/>
      <c r="CJ332" s="697"/>
      <c r="CK332" s="697"/>
      <c r="CL332" s="697"/>
      <c r="CM332" s="697"/>
      <c r="CN332" s="697"/>
      <c r="CO332" s="697"/>
      <c r="CP332" s="697"/>
      <c r="CQ332" s="697"/>
      <c r="CR332" s="697"/>
      <c r="CS332" s="697"/>
      <c r="CT332" s="697"/>
      <c r="CU332" s="697"/>
      <c r="CV332" s="697"/>
      <c r="CW332" s="697"/>
      <c r="CX332" s="697"/>
      <c r="CY332" s="697"/>
      <c r="CZ332" s="697"/>
      <c r="DA332" s="697"/>
      <c r="DB332" s="697"/>
    </row>
    <row r="333" spans="1:106" hidden="1" outlineLevel="1" x14ac:dyDescent="0.2">
      <c r="A333" s="709">
        <f t="shared" si="77"/>
        <v>38808</v>
      </c>
      <c r="B333" s="709" t="str">
        <f t="shared" si="78"/>
        <v>2Q06</v>
      </c>
      <c r="C333" s="709" t="str">
        <f t="shared" si="79"/>
        <v>2Q06</v>
      </c>
      <c r="D333" s="710">
        <f t="shared" si="82"/>
        <v>38881</v>
      </c>
      <c r="E333" s="710">
        <f t="shared" si="82"/>
        <v>38821</v>
      </c>
      <c r="F333" s="712">
        <v>68.849999999999994</v>
      </c>
      <c r="G333" s="713">
        <f t="shared" si="80"/>
        <v>1.4900000000000011</v>
      </c>
      <c r="H333" s="713">
        <f t="shared" si="81"/>
        <v>1.4900000000000011</v>
      </c>
      <c r="I333" s="697"/>
      <c r="J333" s="697"/>
      <c r="K333" s="697"/>
      <c r="L333" s="697"/>
      <c r="M333" s="697"/>
      <c r="N333" s="697"/>
      <c r="O333" s="697"/>
      <c r="P333" s="697"/>
      <c r="Q333" s="697"/>
      <c r="R333" s="697"/>
      <c r="S333" s="697"/>
      <c r="T333" s="697"/>
      <c r="U333" s="697"/>
      <c r="V333" s="697"/>
      <c r="W333" s="697"/>
      <c r="X333" s="697"/>
      <c r="Y333" s="697"/>
      <c r="Z333" s="697"/>
      <c r="AA333" s="697"/>
      <c r="AB333" s="697"/>
      <c r="AC333" s="697"/>
      <c r="AD333" s="697"/>
      <c r="AE333" s="697"/>
      <c r="AF333" s="697"/>
      <c r="AG333" s="697"/>
      <c r="AH333" s="697"/>
      <c r="AI333" s="697"/>
      <c r="AJ333" s="697"/>
      <c r="AK333" s="697"/>
      <c r="AL333" s="697"/>
      <c r="AM333" s="697"/>
      <c r="AN333" s="697"/>
      <c r="AO333" s="697"/>
      <c r="AP333" s="697"/>
      <c r="AQ333" s="697"/>
      <c r="AR333" s="697"/>
      <c r="AS333" s="697"/>
      <c r="AT333" s="697"/>
      <c r="AU333" s="697"/>
      <c r="AV333" s="697"/>
      <c r="AW333" s="697"/>
      <c r="AX333" s="697"/>
      <c r="AY333" s="697"/>
      <c r="AZ333" s="697"/>
      <c r="BA333" s="697"/>
      <c r="BB333" s="697"/>
      <c r="BC333" s="697"/>
      <c r="BD333" s="697"/>
      <c r="BE333" s="697"/>
      <c r="BF333" s="697"/>
      <c r="BG333" s="697"/>
      <c r="BH333" s="697"/>
      <c r="BI333" s="697"/>
      <c r="BJ333" s="697"/>
      <c r="BK333" s="697"/>
      <c r="BL333" s="697"/>
      <c r="BM333" s="697"/>
      <c r="BN333" s="697"/>
      <c r="BO333" s="697"/>
      <c r="BP333" s="697"/>
      <c r="BQ333" s="697"/>
      <c r="BR333" s="697"/>
      <c r="BS333" s="697"/>
      <c r="BT333" s="697"/>
      <c r="BU333" s="697"/>
      <c r="BV333" s="697"/>
      <c r="BW333" s="697"/>
      <c r="BX333" s="697"/>
      <c r="BY333" s="697"/>
      <c r="BZ333" s="697"/>
      <c r="CA333" s="697"/>
      <c r="CB333" s="697"/>
      <c r="CC333" s="697"/>
      <c r="CD333" s="697"/>
      <c r="CE333" s="697"/>
      <c r="CF333" s="697"/>
      <c r="CG333" s="697"/>
      <c r="CH333" s="697"/>
      <c r="CI333" s="697"/>
      <c r="CJ333" s="697"/>
      <c r="CK333" s="697"/>
      <c r="CL333" s="697"/>
      <c r="CM333" s="697"/>
      <c r="CN333" s="697"/>
      <c r="CO333" s="697"/>
      <c r="CP333" s="697"/>
      <c r="CQ333" s="697"/>
      <c r="CR333" s="697"/>
      <c r="CS333" s="697"/>
      <c r="CT333" s="697"/>
      <c r="CU333" s="697"/>
      <c r="CV333" s="697"/>
      <c r="CW333" s="697"/>
      <c r="CX333" s="697"/>
      <c r="CY333" s="697"/>
      <c r="CZ333" s="697"/>
      <c r="DA333" s="697"/>
      <c r="DB333" s="697"/>
    </row>
    <row r="334" spans="1:106" hidden="1" outlineLevel="1" x14ac:dyDescent="0.2">
      <c r="A334" s="709">
        <f t="shared" si="77"/>
        <v>38808</v>
      </c>
      <c r="B334" s="709" t="str">
        <f t="shared" si="78"/>
        <v>2Q06</v>
      </c>
      <c r="C334" s="709" t="str">
        <f t="shared" si="79"/>
        <v>2Q06</v>
      </c>
      <c r="D334" s="710">
        <f t="shared" si="82"/>
        <v>38888</v>
      </c>
      <c r="E334" s="710">
        <f t="shared" si="82"/>
        <v>38828</v>
      </c>
      <c r="F334" s="712">
        <v>71.87</v>
      </c>
      <c r="G334" s="713">
        <f t="shared" si="80"/>
        <v>1.4900000000000011</v>
      </c>
      <c r="H334" s="713">
        <f t="shared" si="81"/>
        <v>1.4900000000000011</v>
      </c>
      <c r="I334" s="697"/>
      <c r="J334" s="697"/>
      <c r="K334" s="697"/>
      <c r="L334" s="697"/>
      <c r="M334" s="697"/>
      <c r="N334" s="697"/>
      <c r="O334" s="697"/>
      <c r="P334" s="697"/>
      <c r="Q334" s="697"/>
      <c r="R334" s="697"/>
      <c r="S334" s="697"/>
      <c r="T334" s="697"/>
      <c r="U334" s="697"/>
      <c r="V334" s="697"/>
      <c r="W334" s="697"/>
      <c r="X334" s="697"/>
      <c r="Y334" s="697"/>
      <c r="Z334" s="697"/>
      <c r="AA334" s="697"/>
      <c r="AB334" s="697"/>
      <c r="AC334" s="697"/>
      <c r="AD334" s="697"/>
      <c r="AE334" s="697"/>
      <c r="AF334" s="697"/>
      <c r="AG334" s="697"/>
      <c r="AH334" s="697"/>
      <c r="AI334" s="697"/>
      <c r="AJ334" s="697"/>
      <c r="AK334" s="697"/>
      <c r="AL334" s="697"/>
      <c r="AM334" s="697"/>
      <c r="AN334" s="697"/>
      <c r="AO334" s="697"/>
      <c r="AP334" s="697"/>
      <c r="AQ334" s="697"/>
      <c r="AR334" s="697"/>
      <c r="AS334" s="697"/>
      <c r="AT334" s="697"/>
      <c r="AU334" s="697"/>
      <c r="AV334" s="697"/>
      <c r="AW334" s="697"/>
      <c r="AX334" s="697"/>
      <c r="AY334" s="697"/>
      <c r="AZ334" s="697"/>
      <c r="BA334" s="697"/>
      <c r="BB334" s="697"/>
      <c r="BC334" s="697"/>
      <c r="BD334" s="697"/>
      <c r="BE334" s="697"/>
      <c r="BF334" s="697"/>
      <c r="BG334" s="697"/>
      <c r="BH334" s="697"/>
      <c r="BI334" s="697"/>
      <c r="BJ334" s="697"/>
      <c r="BK334" s="697"/>
      <c r="BL334" s="697"/>
      <c r="BM334" s="697"/>
      <c r="BN334" s="697"/>
      <c r="BO334" s="697"/>
      <c r="BP334" s="697"/>
      <c r="BQ334" s="697"/>
      <c r="BR334" s="697"/>
      <c r="BS334" s="697"/>
      <c r="BT334" s="697"/>
      <c r="BU334" s="697"/>
      <c r="BV334" s="697"/>
      <c r="BW334" s="697"/>
      <c r="BX334" s="697"/>
      <c r="BY334" s="697"/>
      <c r="BZ334" s="697"/>
      <c r="CA334" s="697"/>
      <c r="CB334" s="697"/>
      <c r="CC334" s="697"/>
      <c r="CD334" s="697"/>
      <c r="CE334" s="697"/>
      <c r="CF334" s="697"/>
      <c r="CG334" s="697"/>
      <c r="CH334" s="697"/>
      <c r="CI334" s="697"/>
      <c r="CJ334" s="697"/>
      <c r="CK334" s="697"/>
      <c r="CL334" s="697"/>
      <c r="CM334" s="697"/>
      <c r="CN334" s="697"/>
      <c r="CO334" s="697"/>
      <c r="CP334" s="697"/>
      <c r="CQ334" s="697"/>
      <c r="CR334" s="697"/>
      <c r="CS334" s="697"/>
      <c r="CT334" s="697"/>
      <c r="CU334" s="697"/>
      <c r="CV334" s="697"/>
      <c r="CW334" s="697"/>
      <c r="CX334" s="697"/>
      <c r="CY334" s="697"/>
      <c r="CZ334" s="697"/>
      <c r="DA334" s="697"/>
      <c r="DB334" s="697"/>
    </row>
    <row r="335" spans="1:106" hidden="1" outlineLevel="1" x14ac:dyDescent="0.2">
      <c r="A335" s="709">
        <f t="shared" si="77"/>
        <v>38808</v>
      </c>
      <c r="B335" s="709" t="str">
        <f t="shared" si="78"/>
        <v>2Q06</v>
      </c>
      <c r="C335" s="709" t="str">
        <f t="shared" si="79"/>
        <v>2Q06</v>
      </c>
      <c r="D335" s="710">
        <f t="shared" si="82"/>
        <v>38895</v>
      </c>
      <c r="E335" s="710">
        <f t="shared" si="82"/>
        <v>38835</v>
      </c>
      <c r="F335" s="712">
        <v>70.38</v>
      </c>
      <c r="G335" s="713">
        <f t="shared" si="80"/>
        <v>1.4900000000000011</v>
      </c>
      <c r="H335" s="713">
        <f t="shared" si="81"/>
        <v>1.4900000000000011</v>
      </c>
      <c r="I335" s="697"/>
      <c r="J335" s="697"/>
      <c r="K335" s="697"/>
      <c r="L335" s="697"/>
      <c r="M335" s="697"/>
      <c r="N335" s="697"/>
      <c r="O335" s="697"/>
      <c r="P335" s="697"/>
      <c r="Q335" s="697"/>
      <c r="R335" s="697"/>
      <c r="S335" s="697"/>
      <c r="T335" s="697"/>
      <c r="U335" s="697"/>
      <c r="V335" s="697"/>
      <c r="W335" s="697"/>
      <c r="X335" s="697"/>
      <c r="Y335" s="697"/>
      <c r="Z335" s="697"/>
      <c r="AA335" s="697"/>
      <c r="AB335" s="697"/>
      <c r="AC335" s="697"/>
      <c r="AD335" s="697"/>
      <c r="AE335" s="697"/>
      <c r="AF335" s="697"/>
      <c r="AG335" s="697"/>
      <c r="AH335" s="697"/>
      <c r="AI335" s="697"/>
      <c r="AJ335" s="697"/>
      <c r="AK335" s="697"/>
      <c r="AL335" s="697"/>
      <c r="AM335" s="697"/>
      <c r="AN335" s="697"/>
      <c r="AO335" s="697"/>
      <c r="AP335" s="697"/>
      <c r="AQ335" s="697"/>
      <c r="AR335" s="697"/>
      <c r="AS335" s="697"/>
      <c r="AT335" s="697"/>
      <c r="AU335" s="697"/>
      <c r="AV335" s="697"/>
      <c r="AW335" s="697"/>
      <c r="AX335" s="697"/>
      <c r="AY335" s="697"/>
      <c r="AZ335" s="697"/>
      <c r="BA335" s="697"/>
      <c r="BB335" s="697"/>
      <c r="BC335" s="697"/>
      <c r="BD335" s="697"/>
      <c r="BE335" s="697"/>
      <c r="BF335" s="697"/>
      <c r="BG335" s="697"/>
      <c r="BH335" s="697"/>
      <c r="BI335" s="697"/>
      <c r="BJ335" s="697"/>
      <c r="BK335" s="697"/>
      <c r="BL335" s="697"/>
      <c r="BM335" s="697"/>
      <c r="BN335" s="697"/>
      <c r="BO335" s="697"/>
      <c r="BP335" s="697"/>
      <c r="BQ335" s="697"/>
      <c r="BR335" s="697"/>
      <c r="BS335" s="697"/>
      <c r="BT335" s="697"/>
      <c r="BU335" s="697"/>
      <c r="BV335" s="697"/>
      <c r="BW335" s="697"/>
      <c r="BX335" s="697"/>
      <c r="BY335" s="697"/>
      <c r="BZ335" s="697"/>
      <c r="CA335" s="697"/>
      <c r="CB335" s="697"/>
      <c r="CC335" s="697"/>
      <c r="CD335" s="697"/>
      <c r="CE335" s="697"/>
      <c r="CF335" s="697"/>
      <c r="CG335" s="697"/>
      <c r="CH335" s="697"/>
      <c r="CI335" s="697"/>
      <c r="CJ335" s="697"/>
      <c r="CK335" s="697"/>
      <c r="CL335" s="697"/>
      <c r="CM335" s="697"/>
      <c r="CN335" s="697"/>
      <c r="CO335" s="697"/>
      <c r="CP335" s="697"/>
      <c r="CQ335" s="697"/>
      <c r="CR335" s="697"/>
      <c r="CS335" s="697"/>
      <c r="CT335" s="697"/>
      <c r="CU335" s="697"/>
      <c r="CV335" s="697"/>
      <c r="CW335" s="697"/>
      <c r="CX335" s="697"/>
      <c r="CY335" s="697"/>
      <c r="CZ335" s="697"/>
      <c r="DA335" s="697"/>
      <c r="DB335" s="697"/>
    </row>
    <row r="336" spans="1:106" hidden="1" outlineLevel="1" x14ac:dyDescent="0.2">
      <c r="A336" s="709">
        <f t="shared" si="77"/>
        <v>38838</v>
      </c>
      <c r="B336" s="709" t="str">
        <f t="shared" si="78"/>
        <v>2Q06</v>
      </c>
      <c r="C336" s="709" t="str">
        <f t="shared" si="79"/>
        <v>3Q06</v>
      </c>
      <c r="D336" s="710">
        <f t="shared" si="82"/>
        <v>38902</v>
      </c>
      <c r="E336" s="710">
        <f t="shared" si="82"/>
        <v>38842</v>
      </c>
      <c r="F336" s="712">
        <v>72.14</v>
      </c>
      <c r="G336" s="713">
        <f t="shared" si="80"/>
        <v>1.4900000000000011</v>
      </c>
      <c r="H336" s="713">
        <f t="shared" si="81"/>
        <v>1.4900000000000011</v>
      </c>
      <c r="I336" s="697"/>
      <c r="J336" s="697"/>
      <c r="K336" s="697"/>
      <c r="L336" s="697"/>
      <c r="M336" s="697"/>
      <c r="N336" s="697"/>
      <c r="O336" s="697"/>
      <c r="P336" s="697"/>
      <c r="Q336" s="697"/>
      <c r="R336" s="697"/>
      <c r="S336" s="697"/>
      <c r="T336" s="697"/>
      <c r="U336" s="697"/>
      <c r="V336" s="697"/>
      <c r="W336" s="697"/>
      <c r="X336" s="697"/>
      <c r="Y336" s="697"/>
      <c r="Z336" s="697"/>
      <c r="AA336" s="697"/>
      <c r="AB336" s="697"/>
      <c r="AC336" s="697"/>
      <c r="AD336" s="697"/>
      <c r="AE336" s="697"/>
      <c r="AF336" s="697"/>
      <c r="AG336" s="697"/>
      <c r="AH336" s="697"/>
      <c r="AI336" s="697"/>
      <c r="AJ336" s="697"/>
      <c r="AK336" s="697"/>
      <c r="AL336" s="697"/>
      <c r="AM336" s="697"/>
      <c r="AN336" s="697"/>
      <c r="AO336" s="697"/>
      <c r="AP336" s="697"/>
      <c r="AQ336" s="697"/>
      <c r="AR336" s="697"/>
      <c r="AS336" s="697"/>
      <c r="AT336" s="697"/>
      <c r="AU336" s="697"/>
      <c r="AV336" s="697"/>
      <c r="AW336" s="697"/>
      <c r="AX336" s="697"/>
      <c r="AY336" s="697"/>
      <c r="AZ336" s="697"/>
      <c r="BA336" s="697"/>
      <c r="BB336" s="697"/>
      <c r="BC336" s="697"/>
      <c r="BD336" s="697"/>
      <c r="BE336" s="697"/>
      <c r="BF336" s="697"/>
      <c r="BG336" s="697"/>
      <c r="BH336" s="697"/>
      <c r="BI336" s="697"/>
      <c r="BJ336" s="697"/>
      <c r="BK336" s="697"/>
      <c r="BL336" s="697"/>
      <c r="BM336" s="697"/>
      <c r="BN336" s="697"/>
      <c r="BO336" s="697"/>
      <c r="BP336" s="697"/>
      <c r="BQ336" s="697"/>
      <c r="BR336" s="697"/>
      <c r="BS336" s="697"/>
      <c r="BT336" s="697"/>
      <c r="BU336" s="697"/>
      <c r="BV336" s="697"/>
      <c r="BW336" s="697"/>
      <c r="BX336" s="697"/>
      <c r="BY336" s="697"/>
      <c r="BZ336" s="697"/>
      <c r="CA336" s="697"/>
      <c r="CB336" s="697"/>
      <c r="CC336" s="697"/>
      <c r="CD336" s="697"/>
      <c r="CE336" s="697"/>
      <c r="CF336" s="697"/>
      <c r="CG336" s="697"/>
      <c r="CH336" s="697"/>
      <c r="CI336" s="697"/>
      <c r="CJ336" s="697"/>
      <c r="CK336" s="697"/>
      <c r="CL336" s="697"/>
      <c r="CM336" s="697"/>
      <c r="CN336" s="697"/>
      <c r="CO336" s="697"/>
      <c r="CP336" s="697"/>
      <c r="CQ336" s="697"/>
      <c r="CR336" s="697"/>
      <c r="CS336" s="697"/>
      <c r="CT336" s="697"/>
      <c r="CU336" s="697"/>
      <c r="CV336" s="697"/>
      <c r="CW336" s="697"/>
      <c r="CX336" s="697"/>
      <c r="CY336" s="697"/>
      <c r="CZ336" s="697"/>
      <c r="DA336" s="697"/>
      <c r="DB336" s="697"/>
    </row>
    <row r="337" spans="1:106" hidden="1" outlineLevel="1" x14ac:dyDescent="0.2">
      <c r="A337" s="709">
        <f t="shared" si="77"/>
        <v>38838</v>
      </c>
      <c r="B337" s="709" t="str">
        <f t="shared" si="78"/>
        <v>2Q06</v>
      </c>
      <c r="C337" s="709" t="str">
        <f t="shared" si="79"/>
        <v>3Q06</v>
      </c>
      <c r="D337" s="710">
        <f t="shared" si="82"/>
        <v>38909</v>
      </c>
      <c r="E337" s="710">
        <f t="shared" si="82"/>
        <v>38849</v>
      </c>
      <c r="F337" s="712">
        <v>71.5</v>
      </c>
      <c r="G337" s="713">
        <f t="shared" si="80"/>
        <v>1.4900000000000011</v>
      </c>
      <c r="H337" s="713">
        <f t="shared" si="81"/>
        <v>1.4900000000000011</v>
      </c>
      <c r="I337" s="697"/>
      <c r="J337" s="697"/>
      <c r="K337" s="697"/>
      <c r="L337" s="697"/>
      <c r="M337" s="697"/>
      <c r="N337" s="697"/>
      <c r="O337" s="697"/>
      <c r="P337" s="697"/>
      <c r="Q337" s="697"/>
      <c r="R337" s="697"/>
      <c r="S337" s="697"/>
      <c r="T337" s="697"/>
      <c r="U337" s="697"/>
      <c r="V337" s="697"/>
      <c r="W337" s="697"/>
      <c r="X337" s="697"/>
      <c r="Y337" s="697"/>
      <c r="Z337" s="697"/>
      <c r="AA337" s="697"/>
      <c r="AB337" s="697"/>
      <c r="AC337" s="697"/>
      <c r="AD337" s="697"/>
      <c r="AE337" s="697"/>
      <c r="AF337" s="697"/>
      <c r="AG337" s="697"/>
      <c r="AH337" s="697"/>
      <c r="AI337" s="697"/>
      <c r="AJ337" s="697"/>
      <c r="AK337" s="697"/>
      <c r="AL337" s="697"/>
      <c r="AM337" s="697"/>
      <c r="AN337" s="697"/>
      <c r="AO337" s="697"/>
      <c r="AP337" s="697"/>
      <c r="AQ337" s="697"/>
      <c r="AR337" s="697"/>
      <c r="AS337" s="697"/>
      <c r="AT337" s="697"/>
      <c r="AU337" s="697"/>
      <c r="AV337" s="697"/>
      <c r="AW337" s="697"/>
      <c r="AX337" s="697"/>
      <c r="AY337" s="697"/>
      <c r="AZ337" s="697"/>
      <c r="BA337" s="697"/>
      <c r="BB337" s="697"/>
      <c r="BC337" s="697"/>
      <c r="BD337" s="697"/>
      <c r="BE337" s="697"/>
      <c r="BF337" s="697"/>
      <c r="BG337" s="697"/>
      <c r="BH337" s="697"/>
      <c r="BI337" s="697"/>
      <c r="BJ337" s="697"/>
      <c r="BK337" s="697"/>
      <c r="BL337" s="697"/>
      <c r="BM337" s="697"/>
      <c r="BN337" s="697"/>
      <c r="BO337" s="697"/>
      <c r="BP337" s="697"/>
      <c r="BQ337" s="697"/>
      <c r="BR337" s="697"/>
      <c r="BS337" s="697"/>
      <c r="BT337" s="697"/>
      <c r="BU337" s="697"/>
      <c r="BV337" s="697"/>
      <c r="BW337" s="697"/>
      <c r="BX337" s="697"/>
      <c r="BY337" s="697"/>
      <c r="BZ337" s="697"/>
      <c r="CA337" s="697"/>
      <c r="CB337" s="697"/>
      <c r="CC337" s="697"/>
      <c r="CD337" s="697"/>
      <c r="CE337" s="697"/>
      <c r="CF337" s="697"/>
      <c r="CG337" s="697"/>
      <c r="CH337" s="697"/>
      <c r="CI337" s="697"/>
      <c r="CJ337" s="697"/>
      <c r="CK337" s="697"/>
      <c r="CL337" s="697"/>
      <c r="CM337" s="697"/>
      <c r="CN337" s="697"/>
      <c r="CO337" s="697"/>
      <c r="CP337" s="697"/>
      <c r="CQ337" s="697"/>
      <c r="CR337" s="697"/>
      <c r="CS337" s="697"/>
      <c r="CT337" s="697"/>
      <c r="CU337" s="697"/>
      <c r="CV337" s="697"/>
      <c r="CW337" s="697"/>
      <c r="CX337" s="697"/>
      <c r="CY337" s="697"/>
      <c r="CZ337" s="697"/>
      <c r="DA337" s="697"/>
      <c r="DB337" s="697"/>
    </row>
    <row r="338" spans="1:106" hidden="1" outlineLevel="1" x14ac:dyDescent="0.2">
      <c r="A338" s="709">
        <f t="shared" si="77"/>
        <v>38838</v>
      </c>
      <c r="B338" s="709" t="str">
        <f t="shared" si="78"/>
        <v>2Q06</v>
      </c>
      <c r="C338" s="709" t="str">
        <f t="shared" si="79"/>
        <v>3Q06</v>
      </c>
      <c r="D338" s="710">
        <f t="shared" si="82"/>
        <v>38916</v>
      </c>
      <c r="E338" s="710">
        <f t="shared" si="82"/>
        <v>38856</v>
      </c>
      <c r="F338" s="712">
        <v>69.069999999999993</v>
      </c>
      <c r="G338" s="713">
        <f t="shared" si="80"/>
        <v>1.4900000000000011</v>
      </c>
      <c r="H338" s="713">
        <f t="shared" si="81"/>
        <v>1.4900000000000011</v>
      </c>
      <c r="I338" s="697"/>
      <c r="J338" s="697"/>
      <c r="K338" s="697"/>
      <c r="L338" s="697"/>
      <c r="M338" s="697"/>
      <c r="N338" s="697"/>
      <c r="O338" s="697"/>
      <c r="P338" s="697"/>
      <c r="Q338" s="697"/>
      <c r="R338" s="697"/>
      <c r="S338" s="697"/>
      <c r="T338" s="697"/>
      <c r="U338" s="697"/>
      <c r="V338" s="697"/>
      <c r="W338" s="697"/>
      <c r="X338" s="697"/>
      <c r="Y338" s="697"/>
      <c r="Z338" s="697"/>
      <c r="AA338" s="697"/>
      <c r="AB338" s="697"/>
      <c r="AC338" s="697"/>
      <c r="AD338" s="697"/>
      <c r="AE338" s="697"/>
      <c r="AF338" s="697"/>
      <c r="AG338" s="697"/>
      <c r="AH338" s="697"/>
      <c r="AI338" s="697"/>
      <c r="AJ338" s="697"/>
      <c r="AK338" s="697"/>
      <c r="AL338" s="697"/>
      <c r="AM338" s="697"/>
      <c r="AN338" s="697"/>
      <c r="AO338" s="697"/>
      <c r="AP338" s="697"/>
      <c r="AQ338" s="697"/>
      <c r="AR338" s="697"/>
      <c r="AS338" s="697"/>
      <c r="AT338" s="697"/>
      <c r="AU338" s="697"/>
      <c r="AV338" s="697"/>
      <c r="AW338" s="697"/>
      <c r="AX338" s="697"/>
      <c r="AY338" s="697"/>
      <c r="AZ338" s="697"/>
      <c r="BA338" s="697"/>
      <c r="BB338" s="697"/>
      <c r="BC338" s="697"/>
      <c r="BD338" s="697"/>
      <c r="BE338" s="697"/>
      <c r="BF338" s="697"/>
      <c r="BG338" s="697"/>
      <c r="BH338" s="697"/>
      <c r="BI338" s="697"/>
      <c r="BJ338" s="697"/>
      <c r="BK338" s="697"/>
      <c r="BL338" s="697"/>
      <c r="BM338" s="697"/>
      <c r="BN338" s="697"/>
      <c r="BO338" s="697"/>
      <c r="BP338" s="697"/>
      <c r="BQ338" s="697"/>
      <c r="BR338" s="697"/>
      <c r="BS338" s="697"/>
      <c r="BT338" s="697"/>
      <c r="BU338" s="697"/>
      <c r="BV338" s="697"/>
      <c r="BW338" s="697"/>
      <c r="BX338" s="697"/>
      <c r="BY338" s="697"/>
      <c r="BZ338" s="697"/>
      <c r="CA338" s="697"/>
      <c r="CB338" s="697"/>
      <c r="CC338" s="697"/>
      <c r="CD338" s="697"/>
      <c r="CE338" s="697"/>
      <c r="CF338" s="697"/>
      <c r="CG338" s="697"/>
      <c r="CH338" s="697"/>
      <c r="CI338" s="697"/>
      <c r="CJ338" s="697"/>
      <c r="CK338" s="697"/>
      <c r="CL338" s="697"/>
      <c r="CM338" s="697"/>
      <c r="CN338" s="697"/>
      <c r="CO338" s="697"/>
      <c r="CP338" s="697"/>
      <c r="CQ338" s="697"/>
      <c r="CR338" s="697"/>
      <c r="CS338" s="697"/>
      <c r="CT338" s="697"/>
      <c r="CU338" s="697"/>
      <c r="CV338" s="697"/>
      <c r="CW338" s="697"/>
      <c r="CX338" s="697"/>
      <c r="CY338" s="697"/>
      <c r="CZ338" s="697"/>
      <c r="DA338" s="697"/>
      <c r="DB338" s="697"/>
    </row>
    <row r="339" spans="1:106" hidden="1" outlineLevel="1" x14ac:dyDescent="0.2">
      <c r="A339" s="709">
        <f t="shared" si="77"/>
        <v>38838</v>
      </c>
      <c r="B339" s="709" t="str">
        <f t="shared" si="78"/>
        <v>2Q06</v>
      </c>
      <c r="C339" s="709" t="str">
        <f t="shared" si="79"/>
        <v>3Q06</v>
      </c>
      <c r="D339" s="710">
        <f t="shared" si="82"/>
        <v>38923</v>
      </c>
      <c r="E339" s="710">
        <f t="shared" si="82"/>
        <v>38863</v>
      </c>
      <c r="F339" s="712">
        <v>70.349999999999994</v>
      </c>
      <c r="G339" s="713">
        <f t="shared" si="80"/>
        <v>1.4900000000000011</v>
      </c>
      <c r="H339" s="713">
        <f t="shared" si="81"/>
        <v>1.4900000000000011</v>
      </c>
      <c r="I339" s="697"/>
      <c r="J339" s="697"/>
      <c r="K339" s="697"/>
      <c r="L339" s="697"/>
      <c r="M339" s="697"/>
      <c r="N339" s="697"/>
      <c r="O339" s="697"/>
      <c r="P339" s="697"/>
      <c r="Q339" s="697"/>
      <c r="R339" s="697"/>
      <c r="S339" s="697"/>
      <c r="T339" s="697"/>
      <c r="U339" s="697"/>
      <c r="V339" s="697"/>
      <c r="W339" s="697"/>
      <c r="X339" s="697"/>
      <c r="Y339" s="697"/>
      <c r="Z339" s="697"/>
      <c r="AA339" s="697"/>
      <c r="AB339" s="697"/>
      <c r="AC339" s="697"/>
      <c r="AD339" s="697"/>
      <c r="AE339" s="697"/>
      <c r="AF339" s="697"/>
      <c r="AG339" s="697"/>
      <c r="AH339" s="697"/>
      <c r="AI339" s="697"/>
      <c r="AJ339" s="697"/>
      <c r="AK339" s="697"/>
      <c r="AL339" s="697"/>
      <c r="AM339" s="697"/>
      <c r="AN339" s="697"/>
      <c r="AO339" s="697"/>
      <c r="AP339" s="697"/>
      <c r="AQ339" s="697"/>
      <c r="AR339" s="697"/>
      <c r="AS339" s="697"/>
      <c r="AT339" s="697"/>
      <c r="AU339" s="697"/>
      <c r="AV339" s="697"/>
      <c r="AW339" s="697"/>
      <c r="AX339" s="697"/>
      <c r="AY339" s="697"/>
      <c r="AZ339" s="697"/>
      <c r="BA339" s="697"/>
      <c r="BB339" s="697"/>
      <c r="BC339" s="697"/>
      <c r="BD339" s="697"/>
      <c r="BE339" s="697"/>
      <c r="BF339" s="697"/>
      <c r="BG339" s="697"/>
      <c r="BH339" s="697"/>
      <c r="BI339" s="697"/>
      <c r="BJ339" s="697"/>
      <c r="BK339" s="697"/>
      <c r="BL339" s="697"/>
      <c r="BM339" s="697"/>
      <c r="BN339" s="697"/>
      <c r="BO339" s="697"/>
      <c r="BP339" s="697"/>
      <c r="BQ339" s="697"/>
      <c r="BR339" s="697"/>
      <c r="BS339" s="697"/>
      <c r="BT339" s="697"/>
      <c r="BU339" s="697"/>
      <c r="BV339" s="697"/>
      <c r="BW339" s="697"/>
      <c r="BX339" s="697"/>
      <c r="BY339" s="697"/>
      <c r="BZ339" s="697"/>
      <c r="CA339" s="697"/>
      <c r="CB339" s="697"/>
      <c r="CC339" s="697"/>
      <c r="CD339" s="697"/>
      <c r="CE339" s="697"/>
      <c r="CF339" s="697"/>
      <c r="CG339" s="697"/>
      <c r="CH339" s="697"/>
      <c r="CI339" s="697"/>
      <c r="CJ339" s="697"/>
      <c r="CK339" s="697"/>
      <c r="CL339" s="697"/>
      <c r="CM339" s="697"/>
      <c r="CN339" s="697"/>
      <c r="CO339" s="697"/>
      <c r="CP339" s="697"/>
      <c r="CQ339" s="697"/>
      <c r="CR339" s="697"/>
      <c r="CS339" s="697"/>
      <c r="CT339" s="697"/>
      <c r="CU339" s="697"/>
      <c r="CV339" s="697"/>
      <c r="CW339" s="697"/>
      <c r="CX339" s="697"/>
      <c r="CY339" s="697"/>
      <c r="CZ339" s="697"/>
      <c r="DA339" s="697"/>
      <c r="DB339" s="697"/>
    </row>
    <row r="340" spans="1:106" hidden="1" outlineLevel="1" x14ac:dyDescent="0.2">
      <c r="A340" s="709">
        <f t="shared" si="77"/>
        <v>38869</v>
      </c>
      <c r="B340" s="709" t="str">
        <f t="shared" si="78"/>
        <v>2Q06</v>
      </c>
      <c r="C340" s="709" t="str">
        <f t="shared" si="79"/>
        <v>3Q06</v>
      </c>
      <c r="D340" s="710">
        <f t="shared" si="82"/>
        <v>38930</v>
      </c>
      <c r="E340" s="710">
        <f t="shared" si="82"/>
        <v>38870</v>
      </c>
      <c r="F340" s="712">
        <v>71.53</v>
      </c>
      <c r="G340" s="713">
        <f t="shared" si="80"/>
        <v>1.4900000000000011</v>
      </c>
      <c r="H340" s="713">
        <f t="shared" si="81"/>
        <v>1.4900000000000011</v>
      </c>
      <c r="I340" s="697"/>
      <c r="J340" s="697"/>
      <c r="K340" s="697"/>
      <c r="L340" s="697"/>
      <c r="M340" s="697"/>
      <c r="N340" s="697"/>
      <c r="O340" s="697"/>
      <c r="P340" s="697"/>
      <c r="Q340" s="697"/>
      <c r="R340" s="697"/>
      <c r="S340" s="697"/>
      <c r="T340" s="697"/>
      <c r="U340" s="697"/>
      <c r="V340" s="697"/>
      <c r="W340" s="697"/>
      <c r="X340" s="697"/>
      <c r="Y340" s="697"/>
      <c r="Z340" s="697"/>
      <c r="AA340" s="697"/>
      <c r="AB340" s="697"/>
      <c r="AC340" s="697"/>
      <c r="AD340" s="697"/>
      <c r="AE340" s="697"/>
      <c r="AF340" s="697"/>
      <c r="AG340" s="697"/>
      <c r="AH340" s="697"/>
      <c r="AI340" s="697"/>
      <c r="AJ340" s="697"/>
      <c r="AK340" s="697"/>
      <c r="AL340" s="697"/>
      <c r="AM340" s="697"/>
      <c r="AN340" s="697"/>
      <c r="AO340" s="697"/>
      <c r="AP340" s="697"/>
      <c r="AQ340" s="697"/>
      <c r="AR340" s="697"/>
      <c r="AS340" s="697"/>
      <c r="AT340" s="697"/>
      <c r="AU340" s="697"/>
      <c r="AV340" s="697"/>
      <c r="AW340" s="697"/>
      <c r="AX340" s="697"/>
      <c r="AY340" s="697"/>
      <c r="AZ340" s="697"/>
      <c r="BA340" s="697"/>
      <c r="BB340" s="697"/>
      <c r="BC340" s="697"/>
      <c r="BD340" s="697"/>
      <c r="BE340" s="697"/>
      <c r="BF340" s="697"/>
      <c r="BG340" s="697"/>
      <c r="BH340" s="697"/>
      <c r="BI340" s="697"/>
      <c r="BJ340" s="697"/>
      <c r="BK340" s="697"/>
      <c r="BL340" s="697"/>
      <c r="BM340" s="697"/>
      <c r="BN340" s="697"/>
      <c r="BO340" s="697"/>
      <c r="BP340" s="697"/>
      <c r="BQ340" s="697"/>
      <c r="BR340" s="697"/>
      <c r="BS340" s="697"/>
      <c r="BT340" s="697"/>
      <c r="BU340" s="697"/>
      <c r="BV340" s="697"/>
      <c r="BW340" s="697"/>
      <c r="BX340" s="697"/>
      <c r="BY340" s="697"/>
      <c r="BZ340" s="697"/>
      <c r="CA340" s="697"/>
      <c r="CB340" s="697"/>
      <c r="CC340" s="697"/>
      <c r="CD340" s="697"/>
      <c r="CE340" s="697"/>
      <c r="CF340" s="697"/>
      <c r="CG340" s="697"/>
      <c r="CH340" s="697"/>
      <c r="CI340" s="697"/>
      <c r="CJ340" s="697"/>
      <c r="CK340" s="697"/>
      <c r="CL340" s="697"/>
      <c r="CM340" s="697"/>
      <c r="CN340" s="697"/>
      <c r="CO340" s="697"/>
      <c r="CP340" s="697"/>
      <c r="CQ340" s="697"/>
      <c r="CR340" s="697"/>
      <c r="CS340" s="697"/>
      <c r="CT340" s="697"/>
      <c r="CU340" s="697"/>
      <c r="CV340" s="697"/>
      <c r="CW340" s="697"/>
      <c r="CX340" s="697"/>
      <c r="CY340" s="697"/>
      <c r="CZ340" s="697"/>
      <c r="DA340" s="697"/>
      <c r="DB340" s="697"/>
    </row>
    <row r="341" spans="1:106" hidden="1" outlineLevel="1" x14ac:dyDescent="0.2">
      <c r="A341" s="709">
        <f t="shared" si="77"/>
        <v>38869</v>
      </c>
      <c r="B341" s="709" t="str">
        <f t="shared" si="78"/>
        <v>2Q06</v>
      </c>
      <c r="C341" s="709" t="str">
        <f t="shared" si="79"/>
        <v>3Q06</v>
      </c>
      <c r="D341" s="710">
        <f t="shared" ref="D341:E356" si="83">D340+7</f>
        <v>38937</v>
      </c>
      <c r="E341" s="710">
        <f t="shared" si="83"/>
        <v>38877</v>
      </c>
      <c r="F341" s="712">
        <v>71.540000000000006</v>
      </c>
      <c r="G341" s="713">
        <f t="shared" si="80"/>
        <v>1.4900000000000011</v>
      </c>
      <c r="H341" s="713">
        <f t="shared" si="81"/>
        <v>1.4900000000000011</v>
      </c>
      <c r="I341" s="697"/>
      <c r="J341" s="697"/>
      <c r="K341" s="697"/>
      <c r="L341" s="697"/>
      <c r="M341" s="697"/>
      <c r="N341" s="697"/>
      <c r="O341" s="697"/>
      <c r="P341" s="697"/>
      <c r="Q341" s="697"/>
      <c r="R341" s="697"/>
      <c r="S341" s="697"/>
      <c r="T341" s="697"/>
      <c r="U341" s="697"/>
      <c r="V341" s="697"/>
      <c r="W341" s="697"/>
      <c r="X341" s="697"/>
      <c r="Y341" s="697"/>
      <c r="Z341" s="697"/>
      <c r="AA341" s="697"/>
      <c r="AB341" s="697"/>
      <c r="AC341" s="697"/>
      <c r="AD341" s="697"/>
      <c r="AE341" s="697"/>
      <c r="AF341" s="697"/>
      <c r="AG341" s="697"/>
      <c r="AH341" s="697"/>
      <c r="AI341" s="697"/>
      <c r="AJ341" s="697"/>
      <c r="AK341" s="697"/>
      <c r="AL341" s="697"/>
      <c r="AM341" s="697"/>
      <c r="AN341" s="697"/>
      <c r="AO341" s="697"/>
      <c r="AP341" s="697"/>
      <c r="AQ341" s="697"/>
      <c r="AR341" s="697"/>
      <c r="AS341" s="697"/>
      <c r="AT341" s="697"/>
      <c r="AU341" s="697"/>
      <c r="AV341" s="697"/>
      <c r="AW341" s="697"/>
      <c r="AX341" s="697"/>
      <c r="AY341" s="697"/>
      <c r="AZ341" s="697"/>
      <c r="BA341" s="697"/>
      <c r="BB341" s="697"/>
      <c r="BC341" s="697"/>
      <c r="BD341" s="697"/>
      <c r="BE341" s="697"/>
      <c r="BF341" s="697"/>
      <c r="BG341" s="697"/>
      <c r="BH341" s="697"/>
      <c r="BI341" s="697"/>
      <c r="BJ341" s="697"/>
      <c r="BK341" s="697"/>
      <c r="BL341" s="697"/>
      <c r="BM341" s="697"/>
      <c r="BN341" s="697"/>
      <c r="BO341" s="697"/>
      <c r="BP341" s="697"/>
      <c r="BQ341" s="697"/>
      <c r="BR341" s="697"/>
      <c r="BS341" s="697"/>
      <c r="BT341" s="697"/>
      <c r="BU341" s="697"/>
      <c r="BV341" s="697"/>
      <c r="BW341" s="697"/>
      <c r="BX341" s="697"/>
      <c r="BY341" s="697"/>
      <c r="BZ341" s="697"/>
      <c r="CA341" s="697"/>
      <c r="CB341" s="697"/>
      <c r="CC341" s="697"/>
      <c r="CD341" s="697"/>
      <c r="CE341" s="697"/>
      <c r="CF341" s="697"/>
      <c r="CG341" s="697"/>
      <c r="CH341" s="697"/>
      <c r="CI341" s="697"/>
      <c r="CJ341" s="697"/>
      <c r="CK341" s="697"/>
      <c r="CL341" s="697"/>
      <c r="CM341" s="697"/>
      <c r="CN341" s="697"/>
      <c r="CO341" s="697"/>
      <c r="CP341" s="697"/>
      <c r="CQ341" s="697"/>
      <c r="CR341" s="697"/>
      <c r="CS341" s="697"/>
      <c r="CT341" s="697"/>
      <c r="CU341" s="697"/>
      <c r="CV341" s="697"/>
      <c r="CW341" s="697"/>
      <c r="CX341" s="697"/>
      <c r="CY341" s="697"/>
      <c r="CZ341" s="697"/>
      <c r="DA341" s="697"/>
      <c r="DB341" s="697"/>
    </row>
    <row r="342" spans="1:106" hidden="1" outlineLevel="1" x14ac:dyDescent="0.2">
      <c r="A342" s="709">
        <f t="shared" si="77"/>
        <v>38869</v>
      </c>
      <c r="B342" s="709" t="str">
        <f t="shared" si="78"/>
        <v>2Q06</v>
      </c>
      <c r="C342" s="709" t="str">
        <f t="shared" si="79"/>
        <v>3Q06</v>
      </c>
      <c r="D342" s="710">
        <f t="shared" si="83"/>
        <v>38944</v>
      </c>
      <c r="E342" s="710">
        <f t="shared" si="83"/>
        <v>38884</v>
      </c>
      <c r="F342" s="712">
        <v>69.48</v>
      </c>
      <c r="G342" s="713">
        <f t="shared" si="80"/>
        <v>1.4900000000000011</v>
      </c>
      <c r="H342" s="713">
        <f t="shared" si="81"/>
        <v>1.4900000000000011</v>
      </c>
      <c r="I342" s="697"/>
      <c r="J342" s="697"/>
      <c r="K342" s="697"/>
      <c r="L342" s="697"/>
      <c r="M342" s="697"/>
      <c r="N342" s="697"/>
      <c r="O342" s="697"/>
      <c r="P342" s="697"/>
      <c r="Q342" s="697"/>
      <c r="R342" s="697"/>
      <c r="S342" s="697"/>
      <c r="T342" s="697"/>
      <c r="U342" s="697"/>
      <c r="V342" s="697"/>
      <c r="W342" s="697"/>
      <c r="X342" s="697"/>
      <c r="Y342" s="697"/>
      <c r="Z342" s="697"/>
      <c r="AA342" s="697"/>
      <c r="AB342" s="697"/>
      <c r="AC342" s="697"/>
      <c r="AD342" s="697"/>
      <c r="AE342" s="697"/>
      <c r="AF342" s="697"/>
      <c r="AG342" s="697"/>
      <c r="AH342" s="697"/>
      <c r="AI342" s="697"/>
      <c r="AJ342" s="697"/>
      <c r="AK342" s="697"/>
      <c r="AL342" s="697"/>
      <c r="AM342" s="697"/>
      <c r="AN342" s="697"/>
      <c r="AO342" s="697"/>
      <c r="AP342" s="697"/>
      <c r="AQ342" s="697"/>
      <c r="AR342" s="697"/>
      <c r="AS342" s="697"/>
      <c r="AT342" s="697"/>
      <c r="AU342" s="697"/>
      <c r="AV342" s="697"/>
      <c r="AW342" s="697"/>
      <c r="AX342" s="697"/>
      <c r="AY342" s="697"/>
      <c r="AZ342" s="697"/>
      <c r="BA342" s="697"/>
      <c r="BB342" s="697"/>
      <c r="BC342" s="697"/>
      <c r="BD342" s="697"/>
      <c r="BE342" s="697"/>
      <c r="BF342" s="697"/>
      <c r="BG342" s="697"/>
      <c r="BH342" s="697"/>
      <c r="BI342" s="697"/>
      <c r="BJ342" s="697"/>
      <c r="BK342" s="697"/>
      <c r="BL342" s="697"/>
      <c r="BM342" s="697"/>
      <c r="BN342" s="697"/>
      <c r="BO342" s="697"/>
      <c r="BP342" s="697"/>
      <c r="BQ342" s="697"/>
      <c r="BR342" s="697"/>
      <c r="BS342" s="697"/>
      <c r="BT342" s="697"/>
      <c r="BU342" s="697"/>
      <c r="BV342" s="697"/>
      <c r="BW342" s="697"/>
      <c r="BX342" s="697"/>
      <c r="BY342" s="697"/>
      <c r="BZ342" s="697"/>
      <c r="CA342" s="697"/>
      <c r="CB342" s="697"/>
      <c r="CC342" s="697"/>
      <c r="CD342" s="697"/>
      <c r="CE342" s="697"/>
      <c r="CF342" s="697"/>
      <c r="CG342" s="697"/>
      <c r="CH342" s="697"/>
      <c r="CI342" s="697"/>
      <c r="CJ342" s="697"/>
      <c r="CK342" s="697"/>
      <c r="CL342" s="697"/>
      <c r="CM342" s="697"/>
      <c r="CN342" s="697"/>
      <c r="CO342" s="697"/>
      <c r="CP342" s="697"/>
      <c r="CQ342" s="697"/>
      <c r="CR342" s="697"/>
      <c r="CS342" s="697"/>
      <c r="CT342" s="697"/>
      <c r="CU342" s="697"/>
      <c r="CV342" s="697"/>
      <c r="CW342" s="697"/>
      <c r="CX342" s="697"/>
      <c r="CY342" s="697"/>
      <c r="CZ342" s="697"/>
      <c r="DA342" s="697"/>
      <c r="DB342" s="697"/>
    </row>
    <row r="343" spans="1:106" hidden="1" outlineLevel="1" x14ac:dyDescent="0.2">
      <c r="A343" s="709">
        <f t="shared" si="77"/>
        <v>38869</v>
      </c>
      <c r="B343" s="709" t="str">
        <f t="shared" si="78"/>
        <v>2Q06</v>
      </c>
      <c r="C343" s="709" t="str">
        <f t="shared" si="79"/>
        <v>3Q06</v>
      </c>
      <c r="D343" s="710">
        <f t="shared" si="83"/>
        <v>38951</v>
      </c>
      <c r="E343" s="710">
        <f t="shared" si="83"/>
        <v>38891</v>
      </c>
      <c r="F343" s="712">
        <v>69.94</v>
      </c>
      <c r="G343" s="713">
        <f t="shared" si="80"/>
        <v>1.4900000000000011</v>
      </c>
      <c r="H343" s="713">
        <f t="shared" si="81"/>
        <v>1.4900000000000011</v>
      </c>
      <c r="I343" s="697"/>
      <c r="J343" s="697"/>
      <c r="K343" s="697"/>
      <c r="L343" s="697"/>
      <c r="M343" s="697"/>
      <c r="N343" s="697"/>
      <c r="O343" s="697"/>
      <c r="P343" s="697"/>
      <c r="Q343" s="697"/>
      <c r="R343" s="697"/>
      <c r="S343" s="697"/>
      <c r="T343" s="697"/>
      <c r="U343" s="697"/>
      <c r="V343" s="697"/>
      <c r="W343" s="697"/>
      <c r="X343" s="697"/>
      <c r="Y343" s="697"/>
      <c r="Z343" s="697"/>
      <c r="AA343" s="697"/>
      <c r="AB343" s="697"/>
      <c r="AC343" s="697"/>
      <c r="AD343" s="697"/>
      <c r="AE343" s="697"/>
      <c r="AF343" s="697"/>
      <c r="AG343" s="697"/>
      <c r="AH343" s="697"/>
      <c r="AI343" s="697"/>
      <c r="AJ343" s="697"/>
      <c r="AK343" s="697"/>
      <c r="AL343" s="697"/>
      <c r="AM343" s="697"/>
      <c r="AN343" s="697"/>
      <c r="AO343" s="697"/>
      <c r="AP343" s="697"/>
      <c r="AQ343" s="697"/>
      <c r="AR343" s="697"/>
      <c r="AS343" s="697"/>
      <c r="AT343" s="697"/>
      <c r="AU343" s="697"/>
      <c r="AV343" s="697"/>
      <c r="AW343" s="697"/>
      <c r="AX343" s="697"/>
      <c r="AY343" s="697"/>
      <c r="AZ343" s="697"/>
      <c r="BA343" s="697"/>
      <c r="BB343" s="697"/>
      <c r="BC343" s="697"/>
      <c r="BD343" s="697"/>
      <c r="BE343" s="697"/>
      <c r="BF343" s="697"/>
      <c r="BG343" s="697"/>
      <c r="BH343" s="697"/>
      <c r="BI343" s="697"/>
      <c r="BJ343" s="697"/>
      <c r="BK343" s="697"/>
      <c r="BL343" s="697"/>
      <c r="BM343" s="697"/>
      <c r="BN343" s="697"/>
      <c r="BO343" s="697"/>
      <c r="BP343" s="697"/>
      <c r="BQ343" s="697"/>
      <c r="BR343" s="697"/>
      <c r="BS343" s="697"/>
      <c r="BT343" s="697"/>
      <c r="BU343" s="697"/>
      <c r="BV343" s="697"/>
      <c r="BW343" s="697"/>
      <c r="BX343" s="697"/>
      <c r="BY343" s="697"/>
      <c r="BZ343" s="697"/>
      <c r="CA343" s="697"/>
      <c r="CB343" s="697"/>
      <c r="CC343" s="697"/>
      <c r="CD343" s="697"/>
      <c r="CE343" s="697"/>
      <c r="CF343" s="697"/>
      <c r="CG343" s="697"/>
      <c r="CH343" s="697"/>
      <c r="CI343" s="697"/>
      <c r="CJ343" s="697"/>
      <c r="CK343" s="697"/>
      <c r="CL343" s="697"/>
      <c r="CM343" s="697"/>
      <c r="CN343" s="697"/>
      <c r="CO343" s="697"/>
      <c r="CP343" s="697"/>
      <c r="CQ343" s="697"/>
      <c r="CR343" s="697"/>
      <c r="CS343" s="697"/>
      <c r="CT343" s="697"/>
      <c r="CU343" s="697"/>
      <c r="CV343" s="697"/>
      <c r="CW343" s="697"/>
      <c r="CX343" s="697"/>
      <c r="CY343" s="697"/>
      <c r="CZ343" s="697"/>
      <c r="DA343" s="697"/>
      <c r="DB343" s="697"/>
    </row>
    <row r="344" spans="1:106" hidden="1" outlineLevel="1" x14ac:dyDescent="0.2">
      <c r="A344" s="709">
        <f t="shared" si="77"/>
        <v>38869</v>
      </c>
      <c r="B344" s="709" t="str">
        <f t="shared" si="78"/>
        <v>2Q06</v>
      </c>
      <c r="C344" s="709" t="str">
        <f t="shared" si="79"/>
        <v>3Q06</v>
      </c>
      <c r="D344" s="710">
        <f t="shared" si="83"/>
        <v>38958</v>
      </c>
      <c r="E344" s="710">
        <f t="shared" si="83"/>
        <v>38898</v>
      </c>
      <c r="F344" s="712">
        <v>72.650000000000006</v>
      </c>
      <c r="G344" s="713">
        <f t="shared" si="80"/>
        <v>1.4900000000000011</v>
      </c>
      <c r="H344" s="713">
        <f t="shared" si="81"/>
        <v>1.4900000000000011</v>
      </c>
      <c r="I344" s="697"/>
      <c r="J344" s="697"/>
      <c r="K344" s="697"/>
      <c r="L344" s="697"/>
      <c r="M344" s="697"/>
      <c r="N344" s="697"/>
      <c r="O344" s="697"/>
      <c r="P344" s="697"/>
      <c r="Q344" s="697"/>
      <c r="R344" s="697"/>
      <c r="S344" s="697"/>
      <c r="T344" s="697"/>
      <c r="U344" s="697"/>
      <c r="V344" s="697"/>
      <c r="W344" s="697"/>
      <c r="X344" s="697"/>
      <c r="Y344" s="697"/>
      <c r="Z344" s="697"/>
      <c r="AA344" s="697"/>
      <c r="AB344" s="697"/>
      <c r="AC344" s="697"/>
      <c r="AD344" s="697"/>
      <c r="AE344" s="697"/>
      <c r="AF344" s="697"/>
      <c r="AG344" s="697"/>
      <c r="AH344" s="697"/>
      <c r="AI344" s="697"/>
      <c r="AJ344" s="697"/>
      <c r="AK344" s="697"/>
      <c r="AL344" s="697"/>
      <c r="AM344" s="697"/>
      <c r="AN344" s="697"/>
      <c r="AO344" s="697"/>
      <c r="AP344" s="697"/>
      <c r="AQ344" s="697"/>
      <c r="AR344" s="697"/>
      <c r="AS344" s="697"/>
      <c r="AT344" s="697"/>
      <c r="AU344" s="697"/>
      <c r="AV344" s="697"/>
      <c r="AW344" s="697"/>
      <c r="AX344" s="697"/>
      <c r="AY344" s="697"/>
      <c r="AZ344" s="697"/>
      <c r="BA344" s="697"/>
      <c r="BB344" s="697"/>
      <c r="BC344" s="697"/>
      <c r="BD344" s="697"/>
      <c r="BE344" s="697"/>
      <c r="BF344" s="697"/>
      <c r="BG344" s="697"/>
      <c r="BH344" s="697"/>
      <c r="BI344" s="697"/>
      <c r="BJ344" s="697"/>
      <c r="BK344" s="697"/>
      <c r="BL344" s="697"/>
      <c r="BM344" s="697"/>
      <c r="BN344" s="697"/>
      <c r="BO344" s="697"/>
      <c r="BP344" s="697"/>
      <c r="BQ344" s="697"/>
      <c r="BR344" s="697"/>
      <c r="BS344" s="697"/>
      <c r="BT344" s="697"/>
      <c r="BU344" s="697"/>
      <c r="BV344" s="697"/>
      <c r="BW344" s="697"/>
      <c r="BX344" s="697"/>
      <c r="BY344" s="697"/>
      <c r="BZ344" s="697"/>
      <c r="CA344" s="697"/>
      <c r="CB344" s="697"/>
      <c r="CC344" s="697"/>
      <c r="CD344" s="697"/>
      <c r="CE344" s="697"/>
      <c r="CF344" s="697"/>
      <c r="CG344" s="697"/>
      <c r="CH344" s="697"/>
      <c r="CI344" s="697"/>
      <c r="CJ344" s="697"/>
      <c r="CK344" s="697"/>
      <c r="CL344" s="697"/>
      <c r="CM344" s="697"/>
      <c r="CN344" s="697"/>
      <c r="CO344" s="697"/>
      <c r="CP344" s="697"/>
      <c r="CQ344" s="697"/>
      <c r="CR344" s="697"/>
      <c r="CS344" s="697"/>
      <c r="CT344" s="697"/>
      <c r="CU344" s="697"/>
      <c r="CV344" s="697"/>
      <c r="CW344" s="697"/>
      <c r="CX344" s="697"/>
      <c r="CY344" s="697"/>
      <c r="CZ344" s="697"/>
      <c r="DA344" s="697"/>
      <c r="DB344" s="697"/>
    </row>
    <row r="345" spans="1:106" hidden="1" outlineLevel="1" x14ac:dyDescent="0.2">
      <c r="A345" s="709">
        <f t="shared" si="77"/>
        <v>38899</v>
      </c>
      <c r="B345" s="709" t="str">
        <f t="shared" si="78"/>
        <v>3Q06</v>
      </c>
      <c r="C345" s="709" t="str">
        <f t="shared" si="79"/>
        <v>3Q06</v>
      </c>
      <c r="D345" s="710">
        <f t="shared" si="83"/>
        <v>38965</v>
      </c>
      <c r="E345" s="710">
        <f t="shared" si="83"/>
        <v>38905</v>
      </c>
      <c r="F345" s="712">
        <v>74.650000000000006</v>
      </c>
      <c r="G345" s="713">
        <f t="shared" si="80"/>
        <v>1.4900000000000011</v>
      </c>
      <c r="H345" s="713">
        <f t="shared" si="81"/>
        <v>1.4900000000000011</v>
      </c>
      <c r="I345" s="697"/>
      <c r="J345" s="697"/>
      <c r="K345" s="697"/>
      <c r="L345" s="697"/>
      <c r="M345" s="697"/>
      <c r="N345" s="697"/>
      <c r="O345" s="697"/>
      <c r="P345" s="697"/>
      <c r="Q345" s="697"/>
      <c r="R345" s="697"/>
      <c r="S345" s="697"/>
      <c r="T345" s="697"/>
      <c r="U345" s="697"/>
      <c r="V345" s="697"/>
      <c r="W345" s="697"/>
      <c r="X345" s="697"/>
      <c r="Y345" s="697"/>
      <c r="Z345" s="697"/>
      <c r="AA345" s="697"/>
      <c r="AB345" s="697"/>
      <c r="AC345" s="697"/>
      <c r="AD345" s="697"/>
      <c r="AE345" s="697"/>
      <c r="AF345" s="697"/>
      <c r="AG345" s="697"/>
      <c r="AH345" s="697"/>
      <c r="AI345" s="697"/>
      <c r="AJ345" s="697"/>
      <c r="AK345" s="697"/>
      <c r="AL345" s="697"/>
      <c r="AM345" s="697"/>
      <c r="AN345" s="697"/>
      <c r="AO345" s="697"/>
      <c r="AP345" s="697"/>
      <c r="AQ345" s="697"/>
      <c r="AR345" s="697"/>
      <c r="AS345" s="697"/>
      <c r="AT345" s="697"/>
      <c r="AU345" s="697"/>
      <c r="AV345" s="697"/>
      <c r="AW345" s="697"/>
      <c r="AX345" s="697"/>
      <c r="AY345" s="697"/>
      <c r="AZ345" s="697"/>
      <c r="BA345" s="697"/>
      <c r="BB345" s="697"/>
      <c r="BC345" s="697"/>
      <c r="BD345" s="697"/>
      <c r="BE345" s="697"/>
      <c r="BF345" s="697"/>
      <c r="BG345" s="697"/>
      <c r="BH345" s="697"/>
      <c r="BI345" s="697"/>
      <c r="BJ345" s="697"/>
      <c r="BK345" s="697"/>
      <c r="BL345" s="697"/>
      <c r="BM345" s="697"/>
      <c r="BN345" s="697"/>
      <c r="BO345" s="697"/>
      <c r="BP345" s="697"/>
      <c r="BQ345" s="697"/>
      <c r="BR345" s="697"/>
      <c r="BS345" s="697"/>
      <c r="BT345" s="697"/>
      <c r="BU345" s="697"/>
      <c r="BV345" s="697"/>
      <c r="BW345" s="697"/>
      <c r="BX345" s="697"/>
      <c r="BY345" s="697"/>
      <c r="BZ345" s="697"/>
      <c r="CA345" s="697"/>
      <c r="CB345" s="697"/>
      <c r="CC345" s="697"/>
      <c r="CD345" s="697"/>
      <c r="CE345" s="697"/>
      <c r="CF345" s="697"/>
      <c r="CG345" s="697"/>
      <c r="CH345" s="697"/>
      <c r="CI345" s="697"/>
      <c r="CJ345" s="697"/>
      <c r="CK345" s="697"/>
      <c r="CL345" s="697"/>
      <c r="CM345" s="697"/>
      <c r="CN345" s="697"/>
      <c r="CO345" s="697"/>
      <c r="CP345" s="697"/>
      <c r="CQ345" s="697"/>
      <c r="CR345" s="697"/>
      <c r="CS345" s="697"/>
      <c r="CT345" s="697"/>
      <c r="CU345" s="697"/>
      <c r="CV345" s="697"/>
      <c r="CW345" s="697"/>
      <c r="CX345" s="697"/>
      <c r="CY345" s="697"/>
      <c r="CZ345" s="697"/>
      <c r="DA345" s="697"/>
      <c r="DB345" s="697"/>
    </row>
    <row r="346" spans="1:106" hidden="1" outlineLevel="1" x14ac:dyDescent="0.2">
      <c r="A346" s="709">
        <f t="shared" si="77"/>
        <v>38899</v>
      </c>
      <c r="B346" s="709" t="str">
        <f t="shared" si="78"/>
        <v>3Q06</v>
      </c>
      <c r="C346" s="709" t="str">
        <f t="shared" si="79"/>
        <v>3Q06</v>
      </c>
      <c r="D346" s="710">
        <f t="shared" si="83"/>
        <v>38972</v>
      </c>
      <c r="E346" s="710">
        <f t="shared" si="83"/>
        <v>38912</v>
      </c>
      <c r="F346" s="712">
        <v>75.209999999999994</v>
      </c>
      <c r="G346" s="713">
        <f t="shared" si="80"/>
        <v>1.4900000000000011</v>
      </c>
      <c r="H346" s="713">
        <f t="shared" si="81"/>
        <v>1.4900000000000011</v>
      </c>
      <c r="I346" s="697"/>
      <c r="J346" s="697"/>
      <c r="K346" s="697"/>
      <c r="L346" s="697"/>
      <c r="M346" s="697"/>
      <c r="N346" s="697"/>
      <c r="O346" s="697"/>
      <c r="P346" s="697"/>
      <c r="Q346" s="697"/>
      <c r="R346" s="697"/>
      <c r="S346" s="697"/>
      <c r="T346" s="697"/>
      <c r="U346" s="697"/>
      <c r="V346" s="697"/>
      <c r="W346" s="697"/>
      <c r="X346" s="697"/>
      <c r="Y346" s="697"/>
      <c r="Z346" s="697"/>
      <c r="AA346" s="697"/>
      <c r="AB346" s="697"/>
      <c r="AC346" s="697"/>
      <c r="AD346" s="697"/>
      <c r="AE346" s="697"/>
      <c r="AF346" s="697"/>
      <c r="AG346" s="697"/>
      <c r="AH346" s="697"/>
      <c r="AI346" s="697"/>
      <c r="AJ346" s="697"/>
      <c r="AK346" s="697"/>
      <c r="AL346" s="697"/>
      <c r="AM346" s="697"/>
      <c r="AN346" s="697"/>
      <c r="AO346" s="697"/>
      <c r="AP346" s="697"/>
      <c r="AQ346" s="697"/>
      <c r="AR346" s="697"/>
      <c r="AS346" s="697"/>
      <c r="AT346" s="697"/>
      <c r="AU346" s="697"/>
      <c r="AV346" s="697"/>
      <c r="AW346" s="697"/>
      <c r="AX346" s="697"/>
      <c r="AY346" s="697"/>
      <c r="AZ346" s="697"/>
      <c r="BA346" s="697"/>
      <c r="BB346" s="697"/>
      <c r="BC346" s="697"/>
      <c r="BD346" s="697"/>
      <c r="BE346" s="697"/>
      <c r="BF346" s="697"/>
      <c r="BG346" s="697"/>
      <c r="BH346" s="697"/>
      <c r="BI346" s="697"/>
      <c r="BJ346" s="697"/>
      <c r="BK346" s="697"/>
      <c r="BL346" s="697"/>
      <c r="BM346" s="697"/>
      <c r="BN346" s="697"/>
      <c r="BO346" s="697"/>
      <c r="BP346" s="697"/>
      <c r="BQ346" s="697"/>
      <c r="BR346" s="697"/>
      <c r="BS346" s="697"/>
      <c r="BT346" s="697"/>
      <c r="BU346" s="697"/>
      <c r="BV346" s="697"/>
      <c r="BW346" s="697"/>
      <c r="BX346" s="697"/>
      <c r="BY346" s="697"/>
      <c r="BZ346" s="697"/>
      <c r="CA346" s="697"/>
      <c r="CB346" s="697"/>
      <c r="CC346" s="697"/>
      <c r="CD346" s="697"/>
      <c r="CE346" s="697"/>
      <c r="CF346" s="697"/>
      <c r="CG346" s="697"/>
      <c r="CH346" s="697"/>
      <c r="CI346" s="697"/>
      <c r="CJ346" s="697"/>
      <c r="CK346" s="697"/>
      <c r="CL346" s="697"/>
      <c r="CM346" s="697"/>
      <c r="CN346" s="697"/>
      <c r="CO346" s="697"/>
      <c r="CP346" s="697"/>
      <c r="CQ346" s="697"/>
      <c r="CR346" s="697"/>
      <c r="CS346" s="697"/>
      <c r="CT346" s="697"/>
      <c r="CU346" s="697"/>
      <c r="CV346" s="697"/>
      <c r="CW346" s="697"/>
      <c r="CX346" s="697"/>
      <c r="CY346" s="697"/>
      <c r="CZ346" s="697"/>
      <c r="DA346" s="697"/>
      <c r="DB346" s="697"/>
    </row>
    <row r="347" spans="1:106" hidden="1" outlineLevel="1" x14ac:dyDescent="0.2">
      <c r="A347" s="709">
        <f t="shared" si="77"/>
        <v>38899</v>
      </c>
      <c r="B347" s="709" t="str">
        <f t="shared" si="78"/>
        <v>3Q06</v>
      </c>
      <c r="C347" s="709" t="str">
        <f t="shared" si="79"/>
        <v>3Q06</v>
      </c>
      <c r="D347" s="710">
        <f t="shared" si="83"/>
        <v>38979</v>
      </c>
      <c r="E347" s="710">
        <f t="shared" si="83"/>
        <v>38919</v>
      </c>
      <c r="F347" s="712">
        <v>73.98</v>
      </c>
      <c r="G347" s="713">
        <f t="shared" si="80"/>
        <v>1.4900000000000011</v>
      </c>
      <c r="H347" s="713">
        <f t="shared" si="81"/>
        <v>1.4900000000000011</v>
      </c>
      <c r="I347" s="697"/>
      <c r="J347" s="697"/>
      <c r="K347" s="697"/>
      <c r="L347" s="697"/>
      <c r="M347" s="697"/>
      <c r="N347" s="697"/>
      <c r="O347" s="697"/>
      <c r="P347" s="697"/>
      <c r="Q347" s="697"/>
      <c r="R347" s="697"/>
      <c r="S347" s="697"/>
      <c r="T347" s="697"/>
      <c r="U347" s="697"/>
      <c r="V347" s="697"/>
      <c r="W347" s="697"/>
      <c r="X347" s="697"/>
      <c r="Y347" s="697"/>
      <c r="Z347" s="697"/>
      <c r="AA347" s="697"/>
      <c r="AB347" s="697"/>
      <c r="AC347" s="697"/>
      <c r="AD347" s="697"/>
      <c r="AE347" s="697"/>
      <c r="AF347" s="697"/>
      <c r="AG347" s="697"/>
      <c r="AH347" s="697"/>
      <c r="AI347" s="697"/>
      <c r="AJ347" s="697"/>
      <c r="AK347" s="697"/>
      <c r="AL347" s="697"/>
      <c r="AM347" s="697"/>
      <c r="AN347" s="697"/>
      <c r="AO347" s="697"/>
      <c r="AP347" s="697"/>
      <c r="AQ347" s="697"/>
      <c r="AR347" s="697"/>
      <c r="AS347" s="697"/>
      <c r="AT347" s="697"/>
      <c r="AU347" s="697"/>
      <c r="AV347" s="697"/>
      <c r="AW347" s="697"/>
      <c r="AX347" s="697"/>
      <c r="AY347" s="697"/>
      <c r="AZ347" s="697"/>
      <c r="BA347" s="697"/>
      <c r="BB347" s="697"/>
      <c r="BC347" s="697"/>
      <c r="BD347" s="697"/>
      <c r="BE347" s="697"/>
      <c r="BF347" s="697"/>
      <c r="BG347" s="697"/>
      <c r="BH347" s="697"/>
      <c r="BI347" s="697"/>
      <c r="BJ347" s="697"/>
      <c r="BK347" s="697"/>
      <c r="BL347" s="697"/>
      <c r="BM347" s="697"/>
      <c r="BN347" s="697"/>
      <c r="BO347" s="697"/>
      <c r="BP347" s="697"/>
      <c r="BQ347" s="697"/>
      <c r="BR347" s="697"/>
      <c r="BS347" s="697"/>
      <c r="BT347" s="697"/>
      <c r="BU347" s="697"/>
      <c r="BV347" s="697"/>
      <c r="BW347" s="697"/>
      <c r="BX347" s="697"/>
      <c r="BY347" s="697"/>
      <c r="BZ347" s="697"/>
      <c r="CA347" s="697"/>
      <c r="CB347" s="697"/>
      <c r="CC347" s="697"/>
      <c r="CD347" s="697"/>
      <c r="CE347" s="697"/>
      <c r="CF347" s="697"/>
      <c r="CG347" s="697"/>
      <c r="CH347" s="697"/>
      <c r="CI347" s="697"/>
      <c r="CJ347" s="697"/>
      <c r="CK347" s="697"/>
      <c r="CL347" s="697"/>
      <c r="CM347" s="697"/>
      <c r="CN347" s="697"/>
      <c r="CO347" s="697"/>
      <c r="CP347" s="697"/>
      <c r="CQ347" s="697"/>
      <c r="CR347" s="697"/>
      <c r="CS347" s="697"/>
      <c r="CT347" s="697"/>
      <c r="CU347" s="697"/>
      <c r="CV347" s="697"/>
      <c r="CW347" s="697"/>
      <c r="CX347" s="697"/>
      <c r="CY347" s="697"/>
      <c r="CZ347" s="697"/>
      <c r="DA347" s="697"/>
      <c r="DB347" s="697"/>
    </row>
    <row r="348" spans="1:106" hidden="1" outlineLevel="1" x14ac:dyDescent="0.2">
      <c r="A348" s="709">
        <f t="shared" si="77"/>
        <v>38899</v>
      </c>
      <c r="B348" s="709" t="str">
        <f t="shared" si="78"/>
        <v>3Q06</v>
      </c>
      <c r="C348" s="709" t="str">
        <f t="shared" si="79"/>
        <v>3Q06</v>
      </c>
      <c r="D348" s="710">
        <f t="shared" si="83"/>
        <v>38986</v>
      </c>
      <c r="E348" s="710">
        <f t="shared" si="83"/>
        <v>38926</v>
      </c>
      <c r="F348" s="712">
        <v>73.87</v>
      </c>
      <c r="G348" s="713">
        <f t="shared" si="80"/>
        <v>1.4900000000000011</v>
      </c>
      <c r="H348" s="713">
        <f t="shared" si="81"/>
        <v>1.4900000000000011</v>
      </c>
      <c r="I348" s="697"/>
      <c r="J348" s="697"/>
      <c r="K348" s="697"/>
      <c r="L348" s="697"/>
      <c r="M348" s="697"/>
      <c r="N348" s="697"/>
      <c r="O348" s="697"/>
      <c r="P348" s="697"/>
      <c r="Q348" s="697"/>
      <c r="R348" s="697"/>
      <c r="S348" s="697"/>
      <c r="T348" s="697"/>
      <c r="U348" s="697"/>
      <c r="V348" s="697"/>
      <c r="W348" s="697"/>
      <c r="X348" s="697"/>
      <c r="Y348" s="697"/>
      <c r="Z348" s="697"/>
      <c r="AA348" s="697"/>
      <c r="AB348" s="697"/>
      <c r="AC348" s="697"/>
      <c r="AD348" s="697"/>
      <c r="AE348" s="697"/>
      <c r="AF348" s="697"/>
      <c r="AG348" s="697"/>
      <c r="AH348" s="697"/>
      <c r="AI348" s="697"/>
      <c r="AJ348" s="697"/>
      <c r="AK348" s="697"/>
      <c r="AL348" s="697"/>
      <c r="AM348" s="697"/>
      <c r="AN348" s="697"/>
      <c r="AO348" s="697"/>
      <c r="AP348" s="697"/>
      <c r="AQ348" s="697"/>
      <c r="AR348" s="697"/>
      <c r="AS348" s="697"/>
      <c r="AT348" s="697"/>
      <c r="AU348" s="697"/>
      <c r="AV348" s="697"/>
      <c r="AW348" s="697"/>
      <c r="AX348" s="697"/>
      <c r="AY348" s="697"/>
      <c r="AZ348" s="697"/>
      <c r="BA348" s="697"/>
      <c r="BB348" s="697"/>
      <c r="BC348" s="697"/>
      <c r="BD348" s="697"/>
      <c r="BE348" s="697"/>
      <c r="BF348" s="697"/>
      <c r="BG348" s="697"/>
      <c r="BH348" s="697"/>
      <c r="BI348" s="697"/>
      <c r="BJ348" s="697"/>
      <c r="BK348" s="697"/>
      <c r="BL348" s="697"/>
      <c r="BM348" s="697"/>
      <c r="BN348" s="697"/>
      <c r="BO348" s="697"/>
      <c r="BP348" s="697"/>
      <c r="BQ348" s="697"/>
      <c r="BR348" s="697"/>
      <c r="BS348" s="697"/>
      <c r="BT348" s="697"/>
      <c r="BU348" s="697"/>
      <c r="BV348" s="697"/>
      <c r="BW348" s="697"/>
      <c r="BX348" s="697"/>
      <c r="BY348" s="697"/>
      <c r="BZ348" s="697"/>
      <c r="CA348" s="697"/>
      <c r="CB348" s="697"/>
      <c r="CC348" s="697"/>
      <c r="CD348" s="697"/>
      <c r="CE348" s="697"/>
      <c r="CF348" s="697"/>
      <c r="CG348" s="697"/>
      <c r="CH348" s="697"/>
      <c r="CI348" s="697"/>
      <c r="CJ348" s="697"/>
      <c r="CK348" s="697"/>
      <c r="CL348" s="697"/>
      <c r="CM348" s="697"/>
      <c r="CN348" s="697"/>
      <c r="CO348" s="697"/>
      <c r="CP348" s="697"/>
      <c r="CQ348" s="697"/>
      <c r="CR348" s="697"/>
      <c r="CS348" s="697"/>
      <c r="CT348" s="697"/>
      <c r="CU348" s="697"/>
      <c r="CV348" s="697"/>
      <c r="CW348" s="697"/>
      <c r="CX348" s="697"/>
      <c r="CY348" s="697"/>
      <c r="CZ348" s="697"/>
      <c r="DA348" s="697"/>
      <c r="DB348" s="697"/>
    </row>
    <row r="349" spans="1:106" hidden="1" outlineLevel="1" x14ac:dyDescent="0.2">
      <c r="A349" s="709">
        <f t="shared" si="77"/>
        <v>38930</v>
      </c>
      <c r="B349" s="709" t="str">
        <f t="shared" si="78"/>
        <v>3Q06</v>
      </c>
      <c r="C349" s="709" t="str">
        <f t="shared" si="79"/>
        <v>4Q06</v>
      </c>
      <c r="D349" s="710">
        <f t="shared" si="83"/>
        <v>38993</v>
      </c>
      <c r="E349" s="710">
        <f t="shared" si="83"/>
        <v>38933</v>
      </c>
      <c r="F349" s="712">
        <v>75.2</v>
      </c>
      <c r="G349" s="713">
        <f t="shared" si="80"/>
        <v>1.4900000000000011</v>
      </c>
      <c r="H349" s="713">
        <f t="shared" si="81"/>
        <v>1.4900000000000011</v>
      </c>
      <c r="I349" s="697"/>
      <c r="J349" s="697"/>
      <c r="K349" s="697"/>
      <c r="L349" s="697"/>
      <c r="M349" s="697"/>
      <c r="N349" s="697"/>
      <c r="O349" s="697"/>
      <c r="P349" s="697"/>
      <c r="Q349" s="697"/>
      <c r="R349" s="697"/>
      <c r="S349" s="697"/>
      <c r="T349" s="697"/>
      <c r="U349" s="697"/>
      <c r="V349" s="697"/>
      <c r="W349" s="697"/>
      <c r="X349" s="697"/>
      <c r="Y349" s="697"/>
      <c r="Z349" s="697"/>
      <c r="AA349" s="697"/>
      <c r="AB349" s="697"/>
      <c r="AC349" s="697"/>
      <c r="AD349" s="697"/>
      <c r="AE349" s="697"/>
      <c r="AF349" s="697"/>
      <c r="AG349" s="697"/>
      <c r="AH349" s="697"/>
      <c r="AI349" s="697"/>
      <c r="AJ349" s="697"/>
      <c r="AK349" s="697"/>
      <c r="AL349" s="697"/>
      <c r="AM349" s="697"/>
      <c r="AN349" s="697"/>
      <c r="AO349" s="697"/>
      <c r="AP349" s="697"/>
      <c r="AQ349" s="697"/>
      <c r="AR349" s="697"/>
      <c r="AS349" s="697"/>
      <c r="AT349" s="697"/>
      <c r="AU349" s="697"/>
      <c r="AV349" s="697"/>
      <c r="AW349" s="697"/>
      <c r="AX349" s="697"/>
      <c r="AY349" s="697"/>
      <c r="AZ349" s="697"/>
      <c r="BA349" s="697"/>
      <c r="BB349" s="697"/>
      <c r="BC349" s="697"/>
      <c r="BD349" s="697"/>
      <c r="BE349" s="697"/>
      <c r="BF349" s="697"/>
      <c r="BG349" s="697"/>
      <c r="BH349" s="697"/>
      <c r="BI349" s="697"/>
      <c r="BJ349" s="697"/>
      <c r="BK349" s="697"/>
      <c r="BL349" s="697"/>
      <c r="BM349" s="697"/>
      <c r="BN349" s="697"/>
      <c r="BO349" s="697"/>
      <c r="BP349" s="697"/>
      <c r="BQ349" s="697"/>
      <c r="BR349" s="697"/>
      <c r="BS349" s="697"/>
      <c r="BT349" s="697"/>
      <c r="BU349" s="697"/>
      <c r="BV349" s="697"/>
      <c r="BW349" s="697"/>
      <c r="BX349" s="697"/>
      <c r="BY349" s="697"/>
      <c r="BZ349" s="697"/>
      <c r="CA349" s="697"/>
      <c r="CB349" s="697"/>
      <c r="CC349" s="697"/>
      <c r="CD349" s="697"/>
      <c r="CE349" s="697"/>
      <c r="CF349" s="697"/>
      <c r="CG349" s="697"/>
      <c r="CH349" s="697"/>
      <c r="CI349" s="697"/>
      <c r="CJ349" s="697"/>
      <c r="CK349" s="697"/>
      <c r="CL349" s="697"/>
      <c r="CM349" s="697"/>
      <c r="CN349" s="697"/>
      <c r="CO349" s="697"/>
      <c r="CP349" s="697"/>
      <c r="CQ349" s="697"/>
      <c r="CR349" s="697"/>
      <c r="CS349" s="697"/>
      <c r="CT349" s="697"/>
      <c r="CU349" s="697"/>
      <c r="CV349" s="697"/>
      <c r="CW349" s="697"/>
      <c r="CX349" s="697"/>
      <c r="CY349" s="697"/>
      <c r="CZ349" s="697"/>
      <c r="DA349" s="697"/>
      <c r="DB349" s="697"/>
    </row>
    <row r="350" spans="1:106" hidden="1" outlineLevel="1" x14ac:dyDescent="0.2">
      <c r="A350" s="709">
        <f t="shared" si="77"/>
        <v>38930</v>
      </c>
      <c r="B350" s="709" t="str">
        <f t="shared" si="78"/>
        <v>3Q06</v>
      </c>
      <c r="C350" s="709" t="str">
        <f t="shared" si="79"/>
        <v>4Q06</v>
      </c>
      <c r="D350" s="710">
        <f t="shared" si="83"/>
        <v>39000</v>
      </c>
      <c r="E350" s="710">
        <f t="shared" si="83"/>
        <v>38940</v>
      </c>
      <c r="F350" s="712">
        <v>75.63</v>
      </c>
      <c r="G350" s="713">
        <f t="shared" si="80"/>
        <v>1.4900000000000011</v>
      </c>
      <c r="H350" s="713">
        <f t="shared" si="81"/>
        <v>1.4900000000000011</v>
      </c>
      <c r="I350" s="697"/>
      <c r="J350" s="697"/>
      <c r="K350" s="697"/>
      <c r="L350" s="697"/>
      <c r="M350" s="697"/>
      <c r="N350" s="697"/>
      <c r="O350" s="697"/>
      <c r="P350" s="697"/>
      <c r="Q350" s="697"/>
      <c r="R350" s="697"/>
      <c r="S350" s="697"/>
      <c r="T350" s="697"/>
      <c r="U350" s="697"/>
      <c r="V350" s="697"/>
      <c r="W350" s="697"/>
      <c r="X350" s="697"/>
      <c r="Y350" s="697"/>
      <c r="Z350" s="697"/>
      <c r="AA350" s="697"/>
      <c r="AB350" s="697"/>
      <c r="AC350" s="697"/>
      <c r="AD350" s="697"/>
      <c r="AE350" s="697"/>
      <c r="AF350" s="697"/>
      <c r="AG350" s="697"/>
      <c r="AH350" s="697"/>
      <c r="AI350" s="697"/>
      <c r="AJ350" s="697"/>
      <c r="AK350" s="697"/>
      <c r="AL350" s="697"/>
      <c r="AM350" s="697"/>
      <c r="AN350" s="697"/>
      <c r="AO350" s="697"/>
      <c r="AP350" s="697"/>
      <c r="AQ350" s="697"/>
      <c r="AR350" s="697"/>
      <c r="AS350" s="697"/>
      <c r="AT350" s="697"/>
      <c r="AU350" s="697"/>
      <c r="AV350" s="697"/>
      <c r="AW350" s="697"/>
      <c r="AX350" s="697"/>
      <c r="AY350" s="697"/>
      <c r="AZ350" s="697"/>
      <c r="BA350" s="697"/>
      <c r="BB350" s="697"/>
      <c r="BC350" s="697"/>
      <c r="BD350" s="697"/>
      <c r="BE350" s="697"/>
      <c r="BF350" s="697"/>
      <c r="BG350" s="697"/>
      <c r="BH350" s="697"/>
      <c r="BI350" s="697"/>
      <c r="BJ350" s="697"/>
      <c r="BK350" s="697"/>
      <c r="BL350" s="697"/>
      <c r="BM350" s="697"/>
      <c r="BN350" s="697"/>
      <c r="BO350" s="697"/>
      <c r="BP350" s="697"/>
      <c r="BQ350" s="697"/>
      <c r="BR350" s="697"/>
      <c r="BS350" s="697"/>
      <c r="BT350" s="697"/>
      <c r="BU350" s="697"/>
      <c r="BV350" s="697"/>
      <c r="BW350" s="697"/>
      <c r="BX350" s="697"/>
      <c r="BY350" s="697"/>
      <c r="BZ350" s="697"/>
      <c r="CA350" s="697"/>
      <c r="CB350" s="697"/>
      <c r="CC350" s="697"/>
      <c r="CD350" s="697"/>
      <c r="CE350" s="697"/>
      <c r="CF350" s="697"/>
      <c r="CG350" s="697"/>
      <c r="CH350" s="697"/>
      <c r="CI350" s="697"/>
      <c r="CJ350" s="697"/>
      <c r="CK350" s="697"/>
      <c r="CL350" s="697"/>
      <c r="CM350" s="697"/>
      <c r="CN350" s="697"/>
      <c r="CO350" s="697"/>
      <c r="CP350" s="697"/>
      <c r="CQ350" s="697"/>
      <c r="CR350" s="697"/>
      <c r="CS350" s="697"/>
      <c r="CT350" s="697"/>
      <c r="CU350" s="697"/>
      <c r="CV350" s="697"/>
      <c r="CW350" s="697"/>
      <c r="CX350" s="697"/>
      <c r="CY350" s="697"/>
      <c r="CZ350" s="697"/>
      <c r="DA350" s="697"/>
      <c r="DB350" s="697"/>
    </row>
    <row r="351" spans="1:106" hidden="1" outlineLevel="1" x14ac:dyDescent="0.2">
      <c r="A351" s="709">
        <f t="shared" si="77"/>
        <v>38930</v>
      </c>
      <c r="B351" s="709" t="str">
        <f t="shared" si="78"/>
        <v>3Q06</v>
      </c>
      <c r="C351" s="709" t="str">
        <f t="shared" si="79"/>
        <v>4Q06</v>
      </c>
      <c r="D351" s="710">
        <f t="shared" si="83"/>
        <v>39007</v>
      </c>
      <c r="E351" s="710">
        <f t="shared" si="83"/>
        <v>38947</v>
      </c>
      <c r="F351" s="712">
        <v>71.790000000000006</v>
      </c>
      <c r="G351" s="713">
        <f t="shared" si="80"/>
        <v>1.4900000000000011</v>
      </c>
      <c r="H351" s="713">
        <f t="shared" si="81"/>
        <v>1.4900000000000011</v>
      </c>
      <c r="I351" s="697"/>
      <c r="J351" s="697"/>
      <c r="K351" s="697"/>
      <c r="L351" s="697"/>
      <c r="M351" s="697"/>
      <c r="N351" s="697"/>
      <c r="O351" s="697"/>
      <c r="P351" s="697"/>
      <c r="Q351" s="697"/>
      <c r="R351" s="697"/>
      <c r="S351" s="697"/>
      <c r="T351" s="697"/>
      <c r="U351" s="697"/>
      <c r="V351" s="697"/>
      <c r="W351" s="697"/>
      <c r="X351" s="697"/>
      <c r="Y351" s="697"/>
      <c r="Z351" s="697"/>
      <c r="AA351" s="697"/>
      <c r="AB351" s="697"/>
      <c r="AC351" s="697"/>
      <c r="AD351" s="697"/>
      <c r="AE351" s="697"/>
      <c r="AF351" s="697"/>
      <c r="AG351" s="697"/>
      <c r="AH351" s="697"/>
      <c r="AI351" s="697"/>
      <c r="AJ351" s="697"/>
      <c r="AK351" s="697"/>
      <c r="AL351" s="697"/>
      <c r="AM351" s="697"/>
      <c r="AN351" s="697"/>
      <c r="AO351" s="697"/>
      <c r="AP351" s="697"/>
      <c r="AQ351" s="697"/>
      <c r="AR351" s="697"/>
      <c r="AS351" s="697"/>
      <c r="AT351" s="697"/>
      <c r="AU351" s="697"/>
      <c r="AV351" s="697"/>
      <c r="AW351" s="697"/>
      <c r="AX351" s="697"/>
      <c r="AY351" s="697"/>
      <c r="AZ351" s="697"/>
      <c r="BA351" s="697"/>
      <c r="BB351" s="697"/>
      <c r="BC351" s="697"/>
      <c r="BD351" s="697"/>
      <c r="BE351" s="697"/>
      <c r="BF351" s="697"/>
      <c r="BG351" s="697"/>
      <c r="BH351" s="697"/>
      <c r="BI351" s="697"/>
      <c r="BJ351" s="697"/>
      <c r="BK351" s="697"/>
      <c r="BL351" s="697"/>
      <c r="BM351" s="697"/>
      <c r="BN351" s="697"/>
      <c r="BO351" s="697"/>
      <c r="BP351" s="697"/>
      <c r="BQ351" s="697"/>
      <c r="BR351" s="697"/>
      <c r="BS351" s="697"/>
      <c r="BT351" s="697"/>
      <c r="BU351" s="697"/>
      <c r="BV351" s="697"/>
      <c r="BW351" s="697"/>
      <c r="BX351" s="697"/>
      <c r="BY351" s="697"/>
      <c r="BZ351" s="697"/>
      <c r="CA351" s="697"/>
      <c r="CB351" s="697"/>
      <c r="CC351" s="697"/>
      <c r="CD351" s="697"/>
      <c r="CE351" s="697"/>
      <c r="CF351" s="697"/>
      <c r="CG351" s="697"/>
      <c r="CH351" s="697"/>
      <c r="CI351" s="697"/>
      <c r="CJ351" s="697"/>
      <c r="CK351" s="697"/>
      <c r="CL351" s="697"/>
      <c r="CM351" s="697"/>
      <c r="CN351" s="697"/>
      <c r="CO351" s="697"/>
      <c r="CP351" s="697"/>
      <c r="CQ351" s="697"/>
      <c r="CR351" s="697"/>
      <c r="CS351" s="697"/>
      <c r="CT351" s="697"/>
      <c r="CU351" s="697"/>
      <c r="CV351" s="697"/>
      <c r="CW351" s="697"/>
      <c r="CX351" s="697"/>
      <c r="CY351" s="697"/>
      <c r="CZ351" s="697"/>
      <c r="DA351" s="697"/>
      <c r="DB351" s="697"/>
    </row>
    <row r="352" spans="1:106" hidden="1" outlineLevel="1" x14ac:dyDescent="0.2">
      <c r="A352" s="709">
        <f t="shared" si="77"/>
        <v>38930</v>
      </c>
      <c r="B352" s="709" t="str">
        <f t="shared" si="78"/>
        <v>3Q06</v>
      </c>
      <c r="C352" s="709" t="str">
        <f t="shared" si="79"/>
        <v>4Q06</v>
      </c>
      <c r="D352" s="710">
        <f t="shared" si="83"/>
        <v>39014</v>
      </c>
      <c r="E352" s="710">
        <f t="shared" si="83"/>
        <v>38954</v>
      </c>
      <c r="F352" s="712">
        <v>72.12</v>
      </c>
      <c r="G352" s="713">
        <f t="shared" si="80"/>
        <v>1.4900000000000011</v>
      </c>
      <c r="H352" s="713">
        <f t="shared" si="81"/>
        <v>1.4900000000000011</v>
      </c>
      <c r="I352" s="697"/>
      <c r="J352" s="697"/>
      <c r="K352" s="697"/>
      <c r="L352" s="697"/>
      <c r="M352" s="697"/>
      <c r="N352" s="697"/>
      <c r="O352" s="697"/>
      <c r="P352" s="697"/>
      <c r="Q352" s="697"/>
      <c r="R352" s="697"/>
      <c r="S352" s="697"/>
      <c r="T352" s="697"/>
      <c r="U352" s="697"/>
      <c r="V352" s="697"/>
      <c r="W352" s="697"/>
      <c r="X352" s="697"/>
      <c r="Y352" s="697"/>
      <c r="Z352" s="697"/>
      <c r="AA352" s="697"/>
      <c r="AB352" s="697"/>
      <c r="AC352" s="697"/>
      <c r="AD352" s="697"/>
      <c r="AE352" s="697"/>
      <c r="AF352" s="697"/>
      <c r="AG352" s="697"/>
      <c r="AH352" s="697"/>
      <c r="AI352" s="697"/>
      <c r="AJ352" s="697"/>
      <c r="AK352" s="697"/>
      <c r="AL352" s="697"/>
      <c r="AM352" s="697"/>
      <c r="AN352" s="697"/>
      <c r="AO352" s="697"/>
      <c r="AP352" s="697"/>
      <c r="AQ352" s="697"/>
      <c r="AR352" s="697"/>
      <c r="AS352" s="697"/>
      <c r="AT352" s="697"/>
      <c r="AU352" s="697"/>
      <c r="AV352" s="697"/>
      <c r="AW352" s="697"/>
      <c r="AX352" s="697"/>
      <c r="AY352" s="697"/>
      <c r="AZ352" s="697"/>
      <c r="BA352" s="697"/>
      <c r="BB352" s="697"/>
      <c r="BC352" s="697"/>
      <c r="BD352" s="697"/>
      <c r="BE352" s="697"/>
      <c r="BF352" s="697"/>
      <c r="BG352" s="697"/>
      <c r="BH352" s="697"/>
      <c r="BI352" s="697"/>
      <c r="BJ352" s="697"/>
      <c r="BK352" s="697"/>
      <c r="BL352" s="697"/>
      <c r="BM352" s="697"/>
      <c r="BN352" s="697"/>
      <c r="BO352" s="697"/>
      <c r="BP352" s="697"/>
      <c r="BQ352" s="697"/>
      <c r="BR352" s="697"/>
      <c r="BS352" s="697"/>
      <c r="BT352" s="697"/>
      <c r="BU352" s="697"/>
      <c r="BV352" s="697"/>
      <c r="BW352" s="697"/>
      <c r="BX352" s="697"/>
      <c r="BY352" s="697"/>
      <c r="BZ352" s="697"/>
      <c r="CA352" s="697"/>
      <c r="CB352" s="697"/>
      <c r="CC352" s="697"/>
      <c r="CD352" s="697"/>
      <c r="CE352" s="697"/>
      <c r="CF352" s="697"/>
      <c r="CG352" s="697"/>
      <c r="CH352" s="697"/>
      <c r="CI352" s="697"/>
      <c r="CJ352" s="697"/>
      <c r="CK352" s="697"/>
      <c r="CL352" s="697"/>
      <c r="CM352" s="697"/>
      <c r="CN352" s="697"/>
      <c r="CO352" s="697"/>
      <c r="CP352" s="697"/>
      <c r="CQ352" s="697"/>
      <c r="CR352" s="697"/>
      <c r="CS352" s="697"/>
      <c r="CT352" s="697"/>
      <c r="CU352" s="697"/>
      <c r="CV352" s="697"/>
      <c r="CW352" s="697"/>
      <c r="CX352" s="697"/>
      <c r="CY352" s="697"/>
      <c r="CZ352" s="697"/>
      <c r="DA352" s="697"/>
      <c r="DB352" s="697"/>
    </row>
    <row r="353" spans="1:106" hidden="1" outlineLevel="1" x14ac:dyDescent="0.2">
      <c r="A353" s="709">
        <f t="shared" si="77"/>
        <v>38961</v>
      </c>
      <c r="B353" s="709" t="str">
        <f t="shared" si="78"/>
        <v>3Q06</v>
      </c>
      <c r="C353" s="709" t="str">
        <f t="shared" si="79"/>
        <v>4Q06</v>
      </c>
      <c r="D353" s="710">
        <f t="shared" si="83"/>
        <v>39021</v>
      </c>
      <c r="E353" s="710">
        <f t="shared" si="83"/>
        <v>38961</v>
      </c>
      <c r="F353" s="712">
        <v>70.010000000000005</v>
      </c>
      <c r="G353" s="713">
        <f t="shared" si="80"/>
        <v>1.4900000000000011</v>
      </c>
      <c r="H353" s="713">
        <f t="shared" si="81"/>
        <v>1.4900000000000011</v>
      </c>
      <c r="I353" s="697"/>
      <c r="J353" s="697"/>
      <c r="K353" s="697"/>
      <c r="L353" s="697"/>
      <c r="M353" s="697"/>
      <c r="N353" s="697"/>
      <c r="O353" s="697"/>
      <c r="P353" s="697"/>
      <c r="Q353" s="697"/>
      <c r="R353" s="697"/>
      <c r="S353" s="697"/>
      <c r="T353" s="697"/>
      <c r="U353" s="697"/>
      <c r="V353" s="697"/>
      <c r="W353" s="697"/>
      <c r="X353" s="697"/>
      <c r="Y353" s="697"/>
      <c r="Z353" s="697"/>
      <c r="AA353" s="697"/>
      <c r="AB353" s="697"/>
      <c r="AC353" s="697"/>
      <c r="AD353" s="697"/>
      <c r="AE353" s="697"/>
      <c r="AF353" s="697"/>
      <c r="AG353" s="697"/>
      <c r="AH353" s="697"/>
      <c r="AI353" s="697"/>
      <c r="AJ353" s="697"/>
      <c r="AK353" s="697"/>
      <c r="AL353" s="697"/>
      <c r="AM353" s="697"/>
      <c r="AN353" s="697"/>
      <c r="AO353" s="697"/>
      <c r="AP353" s="697"/>
      <c r="AQ353" s="697"/>
      <c r="AR353" s="697"/>
      <c r="AS353" s="697"/>
      <c r="AT353" s="697"/>
      <c r="AU353" s="697"/>
      <c r="AV353" s="697"/>
      <c r="AW353" s="697"/>
      <c r="AX353" s="697"/>
      <c r="AY353" s="697"/>
      <c r="AZ353" s="697"/>
      <c r="BA353" s="697"/>
      <c r="BB353" s="697"/>
      <c r="BC353" s="697"/>
      <c r="BD353" s="697"/>
      <c r="BE353" s="697"/>
      <c r="BF353" s="697"/>
      <c r="BG353" s="697"/>
      <c r="BH353" s="697"/>
      <c r="BI353" s="697"/>
      <c r="BJ353" s="697"/>
      <c r="BK353" s="697"/>
      <c r="BL353" s="697"/>
      <c r="BM353" s="697"/>
      <c r="BN353" s="697"/>
      <c r="BO353" s="697"/>
      <c r="BP353" s="697"/>
      <c r="BQ353" s="697"/>
      <c r="BR353" s="697"/>
      <c r="BS353" s="697"/>
      <c r="BT353" s="697"/>
      <c r="BU353" s="697"/>
      <c r="BV353" s="697"/>
      <c r="BW353" s="697"/>
      <c r="BX353" s="697"/>
      <c r="BY353" s="697"/>
      <c r="BZ353" s="697"/>
      <c r="CA353" s="697"/>
      <c r="CB353" s="697"/>
      <c r="CC353" s="697"/>
      <c r="CD353" s="697"/>
      <c r="CE353" s="697"/>
      <c r="CF353" s="697"/>
      <c r="CG353" s="697"/>
      <c r="CH353" s="697"/>
      <c r="CI353" s="697"/>
      <c r="CJ353" s="697"/>
      <c r="CK353" s="697"/>
      <c r="CL353" s="697"/>
      <c r="CM353" s="697"/>
      <c r="CN353" s="697"/>
      <c r="CO353" s="697"/>
      <c r="CP353" s="697"/>
      <c r="CQ353" s="697"/>
      <c r="CR353" s="697"/>
      <c r="CS353" s="697"/>
      <c r="CT353" s="697"/>
      <c r="CU353" s="697"/>
      <c r="CV353" s="697"/>
      <c r="CW353" s="697"/>
      <c r="CX353" s="697"/>
      <c r="CY353" s="697"/>
      <c r="CZ353" s="697"/>
      <c r="DA353" s="697"/>
      <c r="DB353" s="697"/>
    </row>
    <row r="354" spans="1:106" hidden="1" outlineLevel="1" x14ac:dyDescent="0.2">
      <c r="A354" s="709">
        <f t="shared" si="77"/>
        <v>38961</v>
      </c>
      <c r="B354" s="709" t="str">
        <f t="shared" si="78"/>
        <v>3Q06</v>
      </c>
      <c r="C354" s="709" t="str">
        <f t="shared" si="79"/>
        <v>4Q06</v>
      </c>
      <c r="D354" s="710">
        <f t="shared" si="83"/>
        <v>39028</v>
      </c>
      <c r="E354" s="710">
        <f t="shared" si="83"/>
        <v>38968</v>
      </c>
      <c r="F354" s="712">
        <v>67.53</v>
      </c>
      <c r="G354" s="713">
        <f t="shared" si="80"/>
        <v>1.4900000000000011</v>
      </c>
      <c r="H354" s="713">
        <f t="shared" si="81"/>
        <v>1.4900000000000011</v>
      </c>
      <c r="I354" s="697"/>
      <c r="J354" s="697"/>
      <c r="K354" s="697"/>
      <c r="L354" s="697"/>
      <c r="M354" s="697"/>
      <c r="N354" s="697"/>
      <c r="O354" s="697"/>
      <c r="P354" s="697"/>
      <c r="Q354" s="697"/>
      <c r="R354" s="697"/>
      <c r="S354" s="697"/>
      <c r="T354" s="697"/>
      <c r="U354" s="697"/>
      <c r="V354" s="697"/>
      <c r="W354" s="697"/>
      <c r="X354" s="697"/>
      <c r="Y354" s="697"/>
      <c r="Z354" s="697"/>
      <c r="AA354" s="697"/>
      <c r="AB354" s="697"/>
      <c r="AC354" s="697"/>
      <c r="AD354" s="697"/>
      <c r="AE354" s="697"/>
      <c r="AF354" s="697"/>
      <c r="AG354" s="697"/>
      <c r="AH354" s="697"/>
      <c r="AI354" s="697"/>
      <c r="AJ354" s="697"/>
      <c r="AK354" s="697"/>
      <c r="AL354" s="697"/>
      <c r="AM354" s="697"/>
      <c r="AN354" s="697"/>
      <c r="AO354" s="697"/>
      <c r="AP354" s="697"/>
      <c r="AQ354" s="697"/>
      <c r="AR354" s="697"/>
      <c r="AS354" s="697"/>
      <c r="AT354" s="697"/>
      <c r="AU354" s="697"/>
      <c r="AV354" s="697"/>
      <c r="AW354" s="697"/>
      <c r="AX354" s="697"/>
      <c r="AY354" s="697"/>
      <c r="AZ354" s="697"/>
      <c r="BA354" s="697"/>
      <c r="BB354" s="697"/>
      <c r="BC354" s="697"/>
      <c r="BD354" s="697"/>
      <c r="BE354" s="697"/>
      <c r="BF354" s="697"/>
      <c r="BG354" s="697"/>
      <c r="BH354" s="697"/>
      <c r="BI354" s="697"/>
      <c r="BJ354" s="697"/>
      <c r="BK354" s="697"/>
      <c r="BL354" s="697"/>
      <c r="BM354" s="697"/>
      <c r="BN354" s="697"/>
      <c r="BO354" s="697"/>
      <c r="BP354" s="697"/>
      <c r="BQ354" s="697"/>
      <c r="BR354" s="697"/>
      <c r="BS354" s="697"/>
      <c r="BT354" s="697"/>
      <c r="BU354" s="697"/>
      <c r="BV354" s="697"/>
      <c r="BW354" s="697"/>
      <c r="BX354" s="697"/>
      <c r="BY354" s="697"/>
      <c r="BZ354" s="697"/>
      <c r="CA354" s="697"/>
      <c r="CB354" s="697"/>
      <c r="CC354" s="697"/>
      <c r="CD354" s="697"/>
      <c r="CE354" s="697"/>
      <c r="CF354" s="697"/>
      <c r="CG354" s="697"/>
      <c r="CH354" s="697"/>
      <c r="CI354" s="697"/>
      <c r="CJ354" s="697"/>
      <c r="CK354" s="697"/>
      <c r="CL354" s="697"/>
      <c r="CM354" s="697"/>
      <c r="CN354" s="697"/>
      <c r="CO354" s="697"/>
      <c r="CP354" s="697"/>
      <c r="CQ354" s="697"/>
      <c r="CR354" s="697"/>
      <c r="CS354" s="697"/>
      <c r="CT354" s="697"/>
      <c r="CU354" s="697"/>
      <c r="CV354" s="697"/>
      <c r="CW354" s="697"/>
      <c r="CX354" s="697"/>
      <c r="CY354" s="697"/>
      <c r="CZ354" s="697"/>
      <c r="DA354" s="697"/>
      <c r="DB354" s="697"/>
    </row>
    <row r="355" spans="1:106" hidden="1" outlineLevel="1" x14ac:dyDescent="0.2">
      <c r="A355" s="709">
        <f t="shared" si="77"/>
        <v>38961</v>
      </c>
      <c r="B355" s="709" t="str">
        <f t="shared" si="78"/>
        <v>3Q06</v>
      </c>
      <c r="C355" s="709" t="str">
        <f t="shared" si="79"/>
        <v>4Q06</v>
      </c>
      <c r="D355" s="710">
        <f t="shared" si="83"/>
        <v>39035</v>
      </c>
      <c r="E355" s="710">
        <f t="shared" si="83"/>
        <v>38975</v>
      </c>
      <c r="F355" s="712">
        <v>63.98</v>
      </c>
      <c r="G355" s="713">
        <f t="shared" si="80"/>
        <v>1.4900000000000011</v>
      </c>
      <c r="H355" s="713">
        <f t="shared" si="81"/>
        <v>1.4900000000000011</v>
      </c>
      <c r="I355" s="697"/>
      <c r="J355" s="697"/>
      <c r="K355" s="697"/>
      <c r="L355" s="697"/>
      <c r="M355" s="697"/>
      <c r="N355" s="697"/>
      <c r="O355" s="697"/>
      <c r="P355" s="697"/>
      <c r="Q355" s="697"/>
      <c r="R355" s="697"/>
      <c r="S355" s="697"/>
      <c r="T355" s="697"/>
      <c r="U355" s="697"/>
      <c r="V355" s="697"/>
      <c r="W355" s="697"/>
      <c r="X355" s="697"/>
      <c r="Y355" s="697"/>
      <c r="Z355" s="697"/>
      <c r="AA355" s="697"/>
      <c r="AB355" s="697"/>
      <c r="AC355" s="697"/>
      <c r="AD355" s="697"/>
      <c r="AE355" s="697"/>
      <c r="AF355" s="697"/>
      <c r="AG355" s="697"/>
      <c r="AH355" s="697"/>
      <c r="AI355" s="697"/>
      <c r="AJ355" s="697"/>
      <c r="AK355" s="697"/>
      <c r="AL355" s="697"/>
      <c r="AM355" s="697"/>
      <c r="AN355" s="697"/>
      <c r="AO355" s="697"/>
      <c r="AP355" s="697"/>
      <c r="AQ355" s="697"/>
      <c r="AR355" s="697"/>
      <c r="AS355" s="697"/>
      <c r="AT355" s="697"/>
      <c r="AU355" s="697"/>
      <c r="AV355" s="697"/>
      <c r="AW355" s="697"/>
      <c r="AX355" s="697"/>
      <c r="AY355" s="697"/>
      <c r="AZ355" s="697"/>
      <c r="BA355" s="697"/>
      <c r="BB355" s="697"/>
      <c r="BC355" s="697"/>
      <c r="BD355" s="697"/>
      <c r="BE355" s="697"/>
      <c r="BF355" s="697"/>
      <c r="BG355" s="697"/>
      <c r="BH355" s="697"/>
      <c r="BI355" s="697"/>
      <c r="BJ355" s="697"/>
      <c r="BK355" s="697"/>
      <c r="BL355" s="697"/>
      <c r="BM355" s="697"/>
      <c r="BN355" s="697"/>
      <c r="BO355" s="697"/>
      <c r="BP355" s="697"/>
      <c r="BQ355" s="697"/>
      <c r="BR355" s="697"/>
      <c r="BS355" s="697"/>
      <c r="BT355" s="697"/>
      <c r="BU355" s="697"/>
      <c r="BV355" s="697"/>
      <c r="BW355" s="697"/>
      <c r="BX355" s="697"/>
      <c r="BY355" s="697"/>
      <c r="BZ355" s="697"/>
      <c r="CA355" s="697"/>
      <c r="CB355" s="697"/>
      <c r="CC355" s="697"/>
      <c r="CD355" s="697"/>
      <c r="CE355" s="697"/>
      <c r="CF355" s="697"/>
      <c r="CG355" s="697"/>
      <c r="CH355" s="697"/>
      <c r="CI355" s="697"/>
      <c r="CJ355" s="697"/>
      <c r="CK355" s="697"/>
      <c r="CL355" s="697"/>
      <c r="CM355" s="697"/>
      <c r="CN355" s="697"/>
      <c r="CO355" s="697"/>
      <c r="CP355" s="697"/>
      <c r="CQ355" s="697"/>
      <c r="CR355" s="697"/>
      <c r="CS355" s="697"/>
      <c r="CT355" s="697"/>
      <c r="CU355" s="697"/>
      <c r="CV355" s="697"/>
      <c r="CW355" s="697"/>
      <c r="CX355" s="697"/>
      <c r="CY355" s="697"/>
      <c r="CZ355" s="697"/>
      <c r="DA355" s="697"/>
      <c r="DB355" s="697"/>
    </row>
    <row r="356" spans="1:106" hidden="1" outlineLevel="1" x14ac:dyDescent="0.2">
      <c r="A356" s="709">
        <f t="shared" si="77"/>
        <v>38961</v>
      </c>
      <c r="B356" s="709" t="str">
        <f t="shared" si="78"/>
        <v>3Q06</v>
      </c>
      <c r="C356" s="709" t="str">
        <f t="shared" si="79"/>
        <v>4Q06</v>
      </c>
      <c r="D356" s="710">
        <f t="shared" si="83"/>
        <v>39042</v>
      </c>
      <c r="E356" s="710">
        <f t="shared" si="83"/>
        <v>38982</v>
      </c>
      <c r="F356" s="712">
        <v>61.4</v>
      </c>
      <c r="G356" s="713">
        <f t="shared" si="80"/>
        <v>1.4900000000000011</v>
      </c>
      <c r="H356" s="713">
        <f t="shared" si="81"/>
        <v>1.4900000000000011</v>
      </c>
      <c r="I356" s="697"/>
      <c r="J356" s="697"/>
      <c r="K356" s="697"/>
      <c r="L356" s="697"/>
      <c r="M356" s="697"/>
      <c r="N356" s="697"/>
      <c r="O356" s="697"/>
      <c r="P356" s="697"/>
      <c r="Q356" s="697"/>
      <c r="R356" s="697"/>
      <c r="S356" s="697"/>
      <c r="T356" s="697"/>
      <c r="U356" s="697"/>
      <c r="V356" s="697"/>
      <c r="W356" s="697"/>
      <c r="X356" s="697"/>
      <c r="Y356" s="697"/>
      <c r="Z356" s="697"/>
      <c r="AA356" s="697"/>
      <c r="AB356" s="697"/>
      <c r="AC356" s="697"/>
      <c r="AD356" s="697"/>
      <c r="AE356" s="697"/>
      <c r="AF356" s="697"/>
      <c r="AG356" s="697"/>
      <c r="AH356" s="697"/>
      <c r="AI356" s="697"/>
      <c r="AJ356" s="697"/>
      <c r="AK356" s="697"/>
      <c r="AL356" s="697"/>
      <c r="AM356" s="697"/>
      <c r="AN356" s="697"/>
      <c r="AO356" s="697"/>
      <c r="AP356" s="697"/>
      <c r="AQ356" s="697"/>
      <c r="AR356" s="697"/>
      <c r="AS356" s="697"/>
      <c r="AT356" s="697"/>
      <c r="AU356" s="697"/>
      <c r="AV356" s="697"/>
      <c r="AW356" s="697"/>
      <c r="AX356" s="697"/>
      <c r="AY356" s="697"/>
      <c r="AZ356" s="697"/>
      <c r="BA356" s="697"/>
      <c r="BB356" s="697"/>
      <c r="BC356" s="697"/>
      <c r="BD356" s="697"/>
      <c r="BE356" s="697"/>
      <c r="BF356" s="697"/>
      <c r="BG356" s="697"/>
      <c r="BH356" s="697"/>
      <c r="BI356" s="697"/>
      <c r="BJ356" s="697"/>
      <c r="BK356" s="697"/>
      <c r="BL356" s="697"/>
      <c r="BM356" s="697"/>
      <c r="BN356" s="697"/>
      <c r="BO356" s="697"/>
      <c r="BP356" s="697"/>
      <c r="BQ356" s="697"/>
      <c r="BR356" s="697"/>
      <c r="BS356" s="697"/>
      <c r="BT356" s="697"/>
      <c r="BU356" s="697"/>
      <c r="BV356" s="697"/>
      <c r="BW356" s="697"/>
      <c r="BX356" s="697"/>
      <c r="BY356" s="697"/>
      <c r="BZ356" s="697"/>
      <c r="CA356" s="697"/>
      <c r="CB356" s="697"/>
      <c r="CC356" s="697"/>
      <c r="CD356" s="697"/>
      <c r="CE356" s="697"/>
      <c r="CF356" s="697"/>
      <c r="CG356" s="697"/>
      <c r="CH356" s="697"/>
      <c r="CI356" s="697"/>
      <c r="CJ356" s="697"/>
      <c r="CK356" s="697"/>
      <c r="CL356" s="697"/>
      <c r="CM356" s="697"/>
      <c r="CN356" s="697"/>
      <c r="CO356" s="697"/>
      <c r="CP356" s="697"/>
      <c r="CQ356" s="697"/>
      <c r="CR356" s="697"/>
      <c r="CS356" s="697"/>
      <c r="CT356" s="697"/>
      <c r="CU356" s="697"/>
      <c r="CV356" s="697"/>
      <c r="CW356" s="697"/>
      <c r="CX356" s="697"/>
      <c r="CY356" s="697"/>
      <c r="CZ356" s="697"/>
      <c r="DA356" s="697"/>
      <c r="DB356" s="697"/>
    </row>
    <row r="357" spans="1:106" hidden="1" outlineLevel="1" x14ac:dyDescent="0.2">
      <c r="A357" s="709">
        <f t="shared" si="77"/>
        <v>38961</v>
      </c>
      <c r="B357" s="709" t="str">
        <f t="shared" si="78"/>
        <v>3Q06</v>
      </c>
      <c r="C357" s="709" t="str">
        <f t="shared" si="79"/>
        <v>4Q06</v>
      </c>
      <c r="D357" s="710">
        <f t="shared" ref="D357:E372" si="84">D356+7</f>
        <v>39049</v>
      </c>
      <c r="E357" s="710">
        <f t="shared" si="84"/>
        <v>38989</v>
      </c>
      <c r="F357" s="712">
        <v>61.94</v>
      </c>
      <c r="G357" s="713">
        <f t="shared" si="80"/>
        <v>1.4900000000000011</v>
      </c>
      <c r="H357" s="713">
        <f t="shared" si="81"/>
        <v>1.4900000000000011</v>
      </c>
      <c r="I357" s="697"/>
      <c r="J357" s="697"/>
      <c r="K357" s="697"/>
      <c r="L357" s="697"/>
      <c r="M357" s="697"/>
      <c r="N357" s="697"/>
      <c r="O357" s="697"/>
      <c r="P357" s="697"/>
      <c r="Q357" s="697"/>
      <c r="R357" s="697"/>
      <c r="S357" s="697"/>
      <c r="T357" s="697"/>
      <c r="U357" s="697"/>
      <c r="V357" s="697"/>
      <c r="W357" s="697"/>
      <c r="X357" s="697"/>
      <c r="Y357" s="697"/>
      <c r="Z357" s="697"/>
      <c r="AA357" s="697"/>
      <c r="AB357" s="697"/>
      <c r="AC357" s="697"/>
      <c r="AD357" s="697"/>
      <c r="AE357" s="697"/>
      <c r="AF357" s="697"/>
      <c r="AG357" s="697"/>
      <c r="AH357" s="697"/>
      <c r="AI357" s="697"/>
      <c r="AJ357" s="697"/>
      <c r="AK357" s="697"/>
      <c r="AL357" s="697"/>
      <c r="AM357" s="697"/>
      <c r="AN357" s="697"/>
      <c r="AO357" s="697"/>
      <c r="AP357" s="697"/>
      <c r="AQ357" s="697"/>
      <c r="AR357" s="697"/>
      <c r="AS357" s="697"/>
      <c r="AT357" s="697"/>
      <c r="AU357" s="697"/>
      <c r="AV357" s="697"/>
      <c r="AW357" s="697"/>
      <c r="AX357" s="697"/>
      <c r="AY357" s="697"/>
      <c r="AZ357" s="697"/>
      <c r="BA357" s="697"/>
      <c r="BB357" s="697"/>
      <c r="BC357" s="697"/>
      <c r="BD357" s="697"/>
      <c r="BE357" s="697"/>
      <c r="BF357" s="697"/>
      <c r="BG357" s="697"/>
      <c r="BH357" s="697"/>
      <c r="BI357" s="697"/>
      <c r="BJ357" s="697"/>
      <c r="BK357" s="697"/>
      <c r="BL357" s="697"/>
      <c r="BM357" s="697"/>
      <c r="BN357" s="697"/>
      <c r="BO357" s="697"/>
      <c r="BP357" s="697"/>
      <c r="BQ357" s="697"/>
      <c r="BR357" s="697"/>
      <c r="BS357" s="697"/>
      <c r="BT357" s="697"/>
      <c r="BU357" s="697"/>
      <c r="BV357" s="697"/>
      <c r="BW357" s="697"/>
      <c r="BX357" s="697"/>
      <c r="BY357" s="697"/>
      <c r="BZ357" s="697"/>
      <c r="CA357" s="697"/>
      <c r="CB357" s="697"/>
      <c r="CC357" s="697"/>
      <c r="CD357" s="697"/>
      <c r="CE357" s="697"/>
      <c r="CF357" s="697"/>
      <c r="CG357" s="697"/>
      <c r="CH357" s="697"/>
      <c r="CI357" s="697"/>
      <c r="CJ357" s="697"/>
      <c r="CK357" s="697"/>
      <c r="CL357" s="697"/>
      <c r="CM357" s="697"/>
      <c r="CN357" s="697"/>
      <c r="CO357" s="697"/>
      <c r="CP357" s="697"/>
      <c r="CQ357" s="697"/>
      <c r="CR357" s="697"/>
      <c r="CS357" s="697"/>
      <c r="CT357" s="697"/>
      <c r="CU357" s="697"/>
      <c r="CV357" s="697"/>
      <c r="CW357" s="697"/>
      <c r="CX357" s="697"/>
      <c r="CY357" s="697"/>
      <c r="CZ357" s="697"/>
      <c r="DA357" s="697"/>
      <c r="DB357" s="697"/>
    </row>
    <row r="358" spans="1:106" hidden="1" outlineLevel="1" x14ac:dyDescent="0.2">
      <c r="A358" s="709">
        <f t="shared" si="77"/>
        <v>38991</v>
      </c>
      <c r="B358" s="709" t="str">
        <f t="shared" si="78"/>
        <v>4Q06</v>
      </c>
      <c r="C358" s="709" t="str">
        <f t="shared" si="79"/>
        <v>4Q06</v>
      </c>
      <c r="D358" s="710">
        <f t="shared" si="84"/>
        <v>39056</v>
      </c>
      <c r="E358" s="710">
        <f t="shared" si="84"/>
        <v>38996</v>
      </c>
      <c r="F358" s="712">
        <v>59.77</v>
      </c>
      <c r="G358" s="713">
        <f t="shared" si="80"/>
        <v>1.4900000000000011</v>
      </c>
      <c r="H358" s="713">
        <f t="shared" si="81"/>
        <v>1.4900000000000011</v>
      </c>
      <c r="I358" s="697"/>
      <c r="J358" s="697"/>
      <c r="K358" s="697"/>
      <c r="L358" s="697"/>
      <c r="M358" s="697"/>
      <c r="N358" s="697"/>
      <c r="O358" s="697"/>
      <c r="P358" s="697"/>
      <c r="Q358" s="697"/>
      <c r="R358" s="697"/>
      <c r="S358" s="697"/>
      <c r="T358" s="697"/>
      <c r="U358" s="697"/>
      <c r="V358" s="697"/>
      <c r="W358" s="697"/>
      <c r="X358" s="697"/>
      <c r="Y358" s="697"/>
      <c r="Z358" s="697"/>
      <c r="AA358" s="697"/>
      <c r="AB358" s="697"/>
      <c r="AC358" s="697"/>
      <c r="AD358" s="697"/>
      <c r="AE358" s="697"/>
      <c r="AF358" s="697"/>
      <c r="AG358" s="697"/>
      <c r="AH358" s="697"/>
      <c r="AI358" s="697"/>
      <c r="AJ358" s="697"/>
      <c r="AK358" s="697"/>
      <c r="AL358" s="697"/>
      <c r="AM358" s="697"/>
      <c r="AN358" s="697"/>
      <c r="AO358" s="697"/>
      <c r="AP358" s="697"/>
      <c r="AQ358" s="697"/>
      <c r="AR358" s="697"/>
      <c r="AS358" s="697"/>
      <c r="AT358" s="697"/>
      <c r="AU358" s="697"/>
      <c r="AV358" s="697"/>
      <c r="AW358" s="697"/>
      <c r="AX358" s="697"/>
      <c r="AY358" s="697"/>
      <c r="AZ358" s="697"/>
      <c r="BA358" s="697"/>
      <c r="BB358" s="697"/>
      <c r="BC358" s="697"/>
      <c r="BD358" s="697"/>
      <c r="BE358" s="697"/>
      <c r="BF358" s="697"/>
      <c r="BG358" s="697"/>
      <c r="BH358" s="697"/>
      <c r="BI358" s="697"/>
      <c r="BJ358" s="697"/>
      <c r="BK358" s="697"/>
      <c r="BL358" s="697"/>
      <c r="BM358" s="697"/>
      <c r="BN358" s="697"/>
      <c r="BO358" s="697"/>
      <c r="BP358" s="697"/>
      <c r="BQ358" s="697"/>
      <c r="BR358" s="697"/>
      <c r="BS358" s="697"/>
      <c r="BT358" s="697"/>
      <c r="BU358" s="697"/>
      <c r="BV358" s="697"/>
      <c r="BW358" s="697"/>
      <c r="BX358" s="697"/>
      <c r="BY358" s="697"/>
      <c r="BZ358" s="697"/>
      <c r="CA358" s="697"/>
      <c r="CB358" s="697"/>
      <c r="CC358" s="697"/>
      <c r="CD358" s="697"/>
      <c r="CE358" s="697"/>
      <c r="CF358" s="697"/>
      <c r="CG358" s="697"/>
      <c r="CH358" s="697"/>
      <c r="CI358" s="697"/>
      <c r="CJ358" s="697"/>
      <c r="CK358" s="697"/>
      <c r="CL358" s="697"/>
      <c r="CM358" s="697"/>
      <c r="CN358" s="697"/>
      <c r="CO358" s="697"/>
      <c r="CP358" s="697"/>
      <c r="CQ358" s="697"/>
      <c r="CR358" s="697"/>
      <c r="CS358" s="697"/>
      <c r="CT358" s="697"/>
      <c r="CU358" s="697"/>
      <c r="CV358" s="697"/>
      <c r="CW358" s="697"/>
      <c r="CX358" s="697"/>
      <c r="CY358" s="697"/>
      <c r="CZ358" s="697"/>
      <c r="DA358" s="697"/>
      <c r="DB358" s="697"/>
    </row>
    <row r="359" spans="1:106" hidden="1" outlineLevel="1" x14ac:dyDescent="0.2">
      <c r="A359" s="709">
        <f t="shared" si="77"/>
        <v>38991</v>
      </c>
      <c r="B359" s="709" t="str">
        <f t="shared" si="78"/>
        <v>4Q06</v>
      </c>
      <c r="C359" s="709" t="str">
        <f t="shared" si="79"/>
        <v>4Q06</v>
      </c>
      <c r="D359" s="710">
        <f t="shared" si="84"/>
        <v>39063</v>
      </c>
      <c r="E359" s="710">
        <f t="shared" si="84"/>
        <v>39003</v>
      </c>
      <c r="F359" s="712">
        <v>58.58</v>
      </c>
      <c r="G359" s="713">
        <f t="shared" si="80"/>
        <v>1.4900000000000011</v>
      </c>
      <c r="H359" s="713">
        <f t="shared" si="81"/>
        <v>1.4900000000000011</v>
      </c>
      <c r="I359" s="697"/>
      <c r="J359" s="697"/>
      <c r="K359" s="697"/>
      <c r="L359" s="697"/>
      <c r="M359" s="697"/>
      <c r="N359" s="697"/>
      <c r="O359" s="697"/>
      <c r="P359" s="697"/>
      <c r="Q359" s="697"/>
      <c r="R359" s="697"/>
      <c r="S359" s="697"/>
      <c r="T359" s="697"/>
      <c r="U359" s="697"/>
      <c r="V359" s="697"/>
      <c r="W359" s="697"/>
      <c r="X359" s="697"/>
      <c r="Y359" s="697"/>
      <c r="Z359" s="697"/>
      <c r="AA359" s="697"/>
      <c r="AB359" s="697"/>
      <c r="AC359" s="697"/>
      <c r="AD359" s="697"/>
      <c r="AE359" s="697"/>
      <c r="AF359" s="697"/>
      <c r="AG359" s="697"/>
      <c r="AH359" s="697"/>
      <c r="AI359" s="697"/>
      <c r="AJ359" s="697"/>
      <c r="AK359" s="697"/>
      <c r="AL359" s="697"/>
      <c r="AM359" s="697"/>
      <c r="AN359" s="697"/>
      <c r="AO359" s="697"/>
      <c r="AP359" s="697"/>
      <c r="AQ359" s="697"/>
      <c r="AR359" s="697"/>
      <c r="AS359" s="697"/>
      <c r="AT359" s="697"/>
      <c r="AU359" s="697"/>
      <c r="AV359" s="697"/>
      <c r="AW359" s="697"/>
      <c r="AX359" s="697"/>
      <c r="AY359" s="697"/>
      <c r="AZ359" s="697"/>
      <c r="BA359" s="697"/>
      <c r="BB359" s="697"/>
      <c r="BC359" s="697"/>
      <c r="BD359" s="697"/>
      <c r="BE359" s="697"/>
      <c r="BF359" s="697"/>
      <c r="BG359" s="697"/>
      <c r="BH359" s="697"/>
      <c r="BI359" s="697"/>
      <c r="BJ359" s="697"/>
      <c r="BK359" s="697"/>
      <c r="BL359" s="697"/>
      <c r="BM359" s="697"/>
      <c r="BN359" s="697"/>
      <c r="BO359" s="697"/>
      <c r="BP359" s="697"/>
      <c r="BQ359" s="697"/>
      <c r="BR359" s="697"/>
      <c r="BS359" s="697"/>
      <c r="BT359" s="697"/>
      <c r="BU359" s="697"/>
      <c r="BV359" s="697"/>
      <c r="BW359" s="697"/>
      <c r="BX359" s="697"/>
      <c r="BY359" s="697"/>
      <c r="BZ359" s="697"/>
      <c r="CA359" s="697"/>
      <c r="CB359" s="697"/>
      <c r="CC359" s="697"/>
      <c r="CD359" s="697"/>
      <c r="CE359" s="697"/>
      <c r="CF359" s="697"/>
      <c r="CG359" s="697"/>
      <c r="CH359" s="697"/>
      <c r="CI359" s="697"/>
      <c r="CJ359" s="697"/>
      <c r="CK359" s="697"/>
      <c r="CL359" s="697"/>
      <c r="CM359" s="697"/>
      <c r="CN359" s="697"/>
      <c r="CO359" s="697"/>
      <c r="CP359" s="697"/>
      <c r="CQ359" s="697"/>
      <c r="CR359" s="697"/>
      <c r="CS359" s="697"/>
      <c r="CT359" s="697"/>
      <c r="CU359" s="697"/>
      <c r="CV359" s="697"/>
      <c r="CW359" s="697"/>
      <c r="CX359" s="697"/>
      <c r="CY359" s="697"/>
      <c r="CZ359" s="697"/>
      <c r="DA359" s="697"/>
      <c r="DB359" s="697"/>
    </row>
    <row r="360" spans="1:106" hidden="1" outlineLevel="1" x14ac:dyDescent="0.2">
      <c r="A360" s="709">
        <f t="shared" si="77"/>
        <v>38991</v>
      </c>
      <c r="B360" s="709" t="str">
        <f t="shared" si="78"/>
        <v>4Q06</v>
      </c>
      <c r="C360" s="709" t="str">
        <f t="shared" si="79"/>
        <v>4Q06</v>
      </c>
      <c r="D360" s="710">
        <f t="shared" si="84"/>
        <v>39070</v>
      </c>
      <c r="E360" s="710">
        <f t="shared" si="84"/>
        <v>39010</v>
      </c>
      <c r="F360" s="712">
        <v>58.48</v>
      </c>
      <c r="G360" s="713">
        <f t="shared" si="80"/>
        <v>1.4900000000000011</v>
      </c>
      <c r="H360" s="713">
        <f t="shared" si="81"/>
        <v>1.4900000000000011</v>
      </c>
      <c r="I360" s="697"/>
      <c r="J360" s="697"/>
      <c r="K360" s="697"/>
      <c r="L360" s="697"/>
      <c r="M360" s="697"/>
      <c r="N360" s="697"/>
      <c r="O360" s="697"/>
      <c r="P360" s="697"/>
      <c r="Q360" s="697"/>
      <c r="R360" s="697"/>
      <c r="S360" s="697"/>
      <c r="T360" s="697"/>
      <c r="U360" s="697"/>
      <c r="V360" s="697"/>
      <c r="W360" s="697"/>
      <c r="X360" s="697"/>
      <c r="Y360" s="697"/>
      <c r="Z360" s="697"/>
      <c r="AA360" s="697"/>
      <c r="AB360" s="697"/>
      <c r="AC360" s="697"/>
      <c r="AD360" s="697"/>
      <c r="AE360" s="697"/>
      <c r="AF360" s="697"/>
      <c r="AG360" s="697"/>
      <c r="AH360" s="697"/>
      <c r="AI360" s="697"/>
      <c r="AJ360" s="697"/>
      <c r="AK360" s="697"/>
      <c r="AL360" s="697"/>
      <c r="AM360" s="697"/>
      <c r="AN360" s="697"/>
      <c r="AO360" s="697"/>
      <c r="AP360" s="697"/>
      <c r="AQ360" s="697"/>
      <c r="AR360" s="697"/>
      <c r="AS360" s="697"/>
      <c r="AT360" s="697"/>
      <c r="AU360" s="697"/>
      <c r="AV360" s="697"/>
      <c r="AW360" s="697"/>
      <c r="AX360" s="697"/>
      <c r="AY360" s="697"/>
      <c r="AZ360" s="697"/>
      <c r="BA360" s="697"/>
      <c r="BB360" s="697"/>
      <c r="BC360" s="697"/>
      <c r="BD360" s="697"/>
      <c r="BE360" s="697"/>
      <c r="BF360" s="697"/>
      <c r="BG360" s="697"/>
      <c r="BH360" s="697"/>
      <c r="BI360" s="697"/>
      <c r="BJ360" s="697"/>
      <c r="BK360" s="697"/>
      <c r="BL360" s="697"/>
      <c r="BM360" s="697"/>
      <c r="BN360" s="697"/>
      <c r="BO360" s="697"/>
      <c r="BP360" s="697"/>
      <c r="BQ360" s="697"/>
      <c r="BR360" s="697"/>
      <c r="BS360" s="697"/>
      <c r="BT360" s="697"/>
      <c r="BU360" s="697"/>
      <c r="BV360" s="697"/>
      <c r="BW360" s="697"/>
      <c r="BX360" s="697"/>
      <c r="BY360" s="697"/>
      <c r="BZ360" s="697"/>
      <c r="CA360" s="697"/>
      <c r="CB360" s="697"/>
      <c r="CC360" s="697"/>
      <c r="CD360" s="697"/>
      <c r="CE360" s="697"/>
      <c r="CF360" s="697"/>
      <c r="CG360" s="697"/>
      <c r="CH360" s="697"/>
      <c r="CI360" s="697"/>
      <c r="CJ360" s="697"/>
      <c r="CK360" s="697"/>
      <c r="CL360" s="697"/>
      <c r="CM360" s="697"/>
      <c r="CN360" s="697"/>
      <c r="CO360" s="697"/>
      <c r="CP360" s="697"/>
      <c r="CQ360" s="697"/>
      <c r="CR360" s="697"/>
      <c r="CS360" s="697"/>
      <c r="CT360" s="697"/>
      <c r="CU360" s="697"/>
      <c r="CV360" s="697"/>
      <c r="CW360" s="697"/>
      <c r="CX360" s="697"/>
      <c r="CY360" s="697"/>
      <c r="CZ360" s="697"/>
      <c r="DA360" s="697"/>
      <c r="DB360" s="697"/>
    </row>
    <row r="361" spans="1:106" hidden="1" outlineLevel="1" x14ac:dyDescent="0.2">
      <c r="A361" s="709">
        <f t="shared" si="77"/>
        <v>38991</v>
      </c>
      <c r="B361" s="709" t="str">
        <f t="shared" si="78"/>
        <v>4Q06</v>
      </c>
      <c r="C361" s="709" t="str">
        <f t="shared" si="79"/>
        <v>4Q06</v>
      </c>
      <c r="D361" s="710">
        <f t="shared" si="84"/>
        <v>39077</v>
      </c>
      <c r="E361" s="710">
        <f t="shared" si="84"/>
        <v>39017</v>
      </c>
      <c r="F361" s="712">
        <v>58.88</v>
      </c>
      <c r="G361" s="713">
        <f t="shared" si="80"/>
        <v>1.4900000000000011</v>
      </c>
      <c r="H361" s="713">
        <f t="shared" si="81"/>
        <v>1.4900000000000011</v>
      </c>
      <c r="I361" s="697"/>
      <c r="J361" s="697"/>
      <c r="K361" s="697"/>
      <c r="L361" s="697"/>
      <c r="M361" s="697"/>
      <c r="N361" s="697"/>
      <c r="O361" s="697"/>
      <c r="P361" s="697"/>
      <c r="Q361" s="697"/>
      <c r="R361" s="697"/>
      <c r="S361" s="697"/>
      <c r="T361" s="697"/>
      <c r="U361" s="697"/>
      <c r="V361" s="697"/>
      <c r="W361" s="697"/>
      <c r="X361" s="697"/>
      <c r="Y361" s="697"/>
      <c r="Z361" s="697"/>
      <c r="AA361" s="697"/>
      <c r="AB361" s="697"/>
      <c r="AC361" s="697"/>
      <c r="AD361" s="697"/>
      <c r="AE361" s="697"/>
      <c r="AF361" s="697"/>
      <c r="AG361" s="697"/>
      <c r="AH361" s="697"/>
      <c r="AI361" s="697"/>
      <c r="AJ361" s="697"/>
      <c r="AK361" s="697"/>
      <c r="AL361" s="697"/>
      <c r="AM361" s="697"/>
      <c r="AN361" s="697"/>
      <c r="AO361" s="697"/>
      <c r="AP361" s="697"/>
      <c r="AQ361" s="697"/>
      <c r="AR361" s="697"/>
      <c r="AS361" s="697"/>
      <c r="AT361" s="697"/>
      <c r="AU361" s="697"/>
      <c r="AV361" s="697"/>
      <c r="AW361" s="697"/>
      <c r="AX361" s="697"/>
      <c r="AY361" s="697"/>
      <c r="AZ361" s="697"/>
      <c r="BA361" s="697"/>
      <c r="BB361" s="697"/>
      <c r="BC361" s="697"/>
      <c r="BD361" s="697"/>
      <c r="BE361" s="697"/>
      <c r="BF361" s="697"/>
      <c r="BG361" s="697"/>
      <c r="BH361" s="697"/>
      <c r="BI361" s="697"/>
      <c r="BJ361" s="697"/>
      <c r="BK361" s="697"/>
      <c r="BL361" s="697"/>
      <c r="BM361" s="697"/>
      <c r="BN361" s="697"/>
      <c r="BO361" s="697"/>
      <c r="BP361" s="697"/>
      <c r="BQ361" s="697"/>
      <c r="BR361" s="697"/>
      <c r="BS361" s="697"/>
      <c r="BT361" s="697"/>
      <c r="BU361" s="697"/>
      <c r="BV361" s="697"/>
      <c r="BW361" s="697"/>
      <c r="BX361" s="697"/>
      <c r="BY361" s="697"/>
      <c r="BZ361" s="697"/>
      <c r="CA361" s="697"/>
      <c r="CB361" s="697"/>
      <c r="CC361" s="697"/>
      <c r="CD361" s="697"/>
      <c r="CE361" s="697"/>
      <c r="CF361" s="697"/>
      <c r="CG361" s="697"/>
      <c r="CH361" s="697"/>
      <c r="CI361" s="697"/>
      <c r="CJ361" s="697"/>
      <c r="CK361" s="697"/>
      <c r="CL361" s="697"/>
      <c r="CM361" s="697"/>
      <c r="CN361" s="697"/>
      <c r="CO361" s="697"/>
      <c r="CP361" s="697"/>
      <c r="CQ361" s="697"/>
      <c r="CR361" s="697"/>
      <c r="CS361" s="697"/>
      <c r="CT361" s="697"/>
      <c r="CU361" s="697"/>
      <c r="CV361" s="697"/>
      <c r="CW361" s="697"/>
      <c r="CX361" s="697"/>
      <c r="CY361" s="697"/>
      <c r="CZ361" s="697"/>
      <c r="DA361" s="697"/>
      <c r="DB361" s="697"/>
    </row>
    <row r="362" spans="1:106" hidden="1" outlineLevel="1" x14ac:dyDescent="0.2">
      <c r="A362" s="709">
        <f t="shared" si="77"/>
        <v>39022</v>
      </c>
      <c r="B362" s="709" t="str">
        <f t="shared" si="78"/>
        <v>4Q06</v>
      </c>
      <c r="C362" s="709" t="str">
        <f t="shared" si="79"/>
        <v>1Q07</v>
      </c>
      <c r="D362" s="710">
        <f t="shared" si="84"/>
        <v>39084</v>
      </c>
      <c r="E362" s="710">
        <f t="shared" si="84"/>
        <v>39024</v>
      </c>
      <c r="F362" s="712">
        <v>58.55</v>
      </c>
      <c r="G362" s="713">
        <f t="shared" si="80"/>
        <v>1.4900000000000011</v>
      </c>
      <c r="H362" s="713">
        <f t="shared" si="81"/>
        <v>1.4900000000000011</v>
      </c>
      <c r="I362" s="697"/>
      <c r="J362" s="697"/>
      <c r="K362" s="697"/>
      <c r="L362" s="697"/>
      <c r="M362" s="697"/>
      <c r="N362" s="697"/>
      <c r="O362" s="697"/>
      <c r="P362" s="697"/>
      <c r="Q362" s="697"/>
      <c r="R362" s="697"/>
      <c r="S362" s="697"/>
      <c r="T362" s="697"/>
      <c r="U362" s="697"/>
      <c r="V362" s="697"/>
      <c r="W362" s="697"/>
      <c r="X362" s="697"/>
      <c r="Y362" s="697"/>
      <c r="Z362" s="697"/>
      <c r="AA362" s="697"/>
      <c r="AB362" s="697"/>
      <c r="AC362" s="697"/>
      <c r="AD362" s="697"/>
      <c r="AE362" s="697"/>
      <c r="AF362" s="697"/>
      <c r="AG362" s="697"/>
      <c r="AH362" s="697"/>
      <c r="AI362" s="697"/>
      <c r="AJ362" s="697"/>
      <c r="AK362" s="697"/>
      <c r="AL362" s="697"/>
      <c r="AM362" s="697"/>
      <c r="AN362" s="697"/>
      <c r="AO362" s="697"/>
      <c r="AP362" s="697"/>
      <c r="AQ362" s="697"/>
      <c r="AR362" s="697"/>
      <c r="AS362" s="697"/>
      <c r="AT362" s="697"/>
      <c r="AU362" s="697"/>
      <c r="AV362" s="697"/>
      <c r="AW362" s="697"/>
      <c r="AX362" s="697"/>
      <c r="AY362" s="697"/>
      <c r="AZ362" s="697"/>
      <c r="BA362" s="697"/>
      <c r="BB362" s="697"/>
      <c r="BC362" s="697"/>
      <c r="BD362" s="697"/>
      <c r="BE362" s="697"/>
      <c r="BF362" s="697"/>
      <c r="BG362" s="697"/>
      <c r="BH362" s="697"/>
      <c r="BI362" s="697"/>
      <c r="BJ362" s="697"/>
      <c r="BK362" s="697"/>
      <c r="BL362" s="697"/>
      <c r="BM362" s="697"/>
      <c r="BN362" s="697"/>
      <c r="BO362" s="697"/>
      <c r="BP362" s="697"/>
      <c r="BQ362" s="697"/>
      <c r="BR362" s="697"/>
      <c r="BS362" s="697"/>
      <c r="BT362" s="697"/>
      <c r="BU362" s="697"/>
      <c r="BV362" s="697"/>
      <c r="BW362" s="697"/>
      <c r="BX362" s="697"/>
      <c r="BY362" s="697"/>
      <c r="BZ362" s="697"/>
      <c r="CA362" s="697"/>
      <c r="CB362" s="697"/>
      <c r="CC362" s="697"/>
      <c r="CD362" s="697"/>
      <c r="CE362" s="697"/>
      <c r="CF362" s="697"/>
      <c r="CG362" s="697"/>
      <c r="CH362" s="697"/>
      <c r="CI362" s="697"/>
      <c r="CJ362" s="697"/>
      <c r="CK362" s="697"/>
      <c r="CL362" s="697"/>
      <c r="CM362" s="697"/>
      <c r="CN362" s="697"/>
      <c r="CO362" s="697"/>
      <c r="CP362" s="697"/>
      <c r="CQ362" s="697"/>
      <c r="CR362" s="697"/>
      <c r="CS362" s="697"/>
      <c r="CT362" s="697"/>
      <c r="CU362" s="697"/>
      <c r="CV362" s="697"/>
      <c r="CW362" s="697"/>
      <c r="CX362" s="697"/>
      <c r="CY362" s="697"/>
      <c r="CZ362" s="697"/>
      <c r="DA362" s="697"/>
      <c r="DB362" s="697"/>
    </row>
    <row r="363" spans="1:106" hidden="1" outlineLevel="1" x14ac:dyDescent="0.2">
      <c r="A363" s="709">
        <f t="shared" si="77"/>
        <v>39022</v>
      </c>
      <c r="B363" s="709" t="str">
        <f t="shared" si="78"/>
        <v>4Q06</v>
      </c>
      <c r="C363" s="709" t="str">
        <f t="shared" si="79"/>
        <v>1Q07</v>
      </c>
      <c r="D363" s="710">
        <f t="shared" si="84"/>
        <v>39091</v>
      </c>
      <c r="E363" s="710">
        <f t="shared" si="84"/>
        <v>39031</v>
      </c>
      <c r="F363" s="712">
        <v>59.96</v>
      </c>
      <c r="G363" s="713">
        <f t="shared" si="80"/>
        <v>1.4900000000000011</v>
      </c>
      <c r="H363" s="713">
        <f t="shared" si="81"/>
        <v>1.4900000000000011</v>
      </c>
      <c r="I363" s="697"/>
      <c r="J363" s="697"/>
      <c r="K363" s="697"/>
      <c r="L363" s="697"/>
      <c r="M363" s="697"/>
      <c r="N363" s="697"/>
      <c r="O363" s="697"/>
      <c r="P363" s="697"/>
      <c r="Q363" s="697"/>
      <c r="R363" s="697"/>
      <c r="S363" s="697"/>
      <c r="T363" s="697"/>
      <c r="U363" s="697"/>
      <c r="V363" s="697"/>
      <c r="W363" s="697"/>
      <c r="X363" s="697"/>
      <c r="Y363" s="697"/>
      <c r="Z363" s="697"/>
      <c r="AA363" s="697"/>
      <c r="AB363" s="697"/>
      <c r="AC363" s="697"/>
      <c r="AD363" s="697"/>
      <c r="AE363" s="697"/>
      <c r="AF363" s="697"/>
      <c r="AG363" s="697"/>
      <c r="AH363" s="697"/>
      <c r="AI363" s="697"/>
      <c r="AJ363" s="697"/>
      <c r="AK363" s="697"/>
      <c r="AL363" s="697"/>
      <c r="AM363" s="697"/>
      <c r="AN363" s="697"/>
      <c r="AO363" s="697"/>
      <c r="AP363" s="697"/>
      <c r="AQ363" s="697"/>
      <c r="AR363" s="697"/>
      <c r="AS363" s="697"/>
      <c r="AT363" s="697"/>
      <c r="AU363" s="697"/>
      <c r="AV363" s="697"/>
      <c r="AW363" s="697"/>
      <c r="AX363" s="697"/>
      <c r="AY363" s="697"/>
      <c r="AZ363" s="697"/>
      <c r="BA363" s="697"/>
      <c r="BB363" s="697"/>
      <c r="BC363" s="697"/>
      <c r="BD363" s="697"/>
      <c r="BE363" s="697"/>
      <c r="BF363" s="697"/>
      <c r="BG363" s="697"/>
      <c r="BH363" s="697"/>
      <c r="BI363" s="697"/>
      <c r="BJ363" s="697"/>
      <c r="BK363" s="697"/>
      <c r="BL363" s="697"/>
      <c r="BM363" s="697"/>
      <c r="BN363" s="697"/>
      <c r="BO363" s="697"/>
      <c r="BP363" s="697"/>
      <c r="BQ363" s="697"/>
      <c r="BR363" s="697"/>
      <c r="BS363" s="697"/>
      <c r="BT363" s="697"/>
      <c r="BU363" s="697"/>
      <c r="BV363" s="697"/>
      <c r="BW363" s="697"/>
      <c r="BX363" s="697"/>
      <c r="BY363" s="697"/>
      <c r="BZ363" s="697"/>
      <c r="CA363" s="697"/>
      <c r="CB363" s="697"/>
      <c r="CC363" s="697"/>
      <c r="CD363" s="697"/>
      <c r="CE363" s="697"/>
      <c r="CF363" s="697"/>
      <c r="CG363" s="697"/>
      <c r="CH363" s="697"/>
      <c r="CI363" s="697"/>
      <c r="CJ363" s="697"/>
      <c r="CK363" s="697"/>
      <c r="CL363" s="697"/>
      <c r="CM363" s="697"/>
      <c r="CN363" s="697"/>
      <c r="CO363" s="697"/>
      <c r="CP363" s="697"/>
      <c r="CQ363" s="697"/>
      <c r="CR363" s="697"/>
      <c r="CS363" s="697"/>
      <c r="CT363" s="697"/>
      <c r="CU363" s="697"/>
      <c r="CV363" s="697"/>
      <c r="CW363" s="697"/>
      <c r="CX363" s="697"/>
      <c r="CY363" s="697"/>
      <c r="CZ363" s="697"/>
      <c r="DA363" s="697"/>
      <c r="DB363" s="697"/>
    </row>
    <row r="364" spans="1:106" hidden="1" outlineLevel="1" x14ac:dyDescent="0.2">
      <c r="A364" s="709">
        <f t="shared" si="77"/>
        <v>39022</v>
      </c>
      <c r="B364" s="709" t="str">
        <f t="shared" si="78"/>
        <v>4Q06</v>
      </c>
      <c r="C364" s="709" t="str">
        <f t="shared" si="79"/>
        <v>1Q07</v>
      </c>
      <c r="D364" s="710">
        <f t="shared" si="84"/>
        <v>39098</v>
      </c>
      <c r="E364" s="710">
        <f t="shared" si="84"/>
        <v>39038</v>
      </c>
      <c r="F364" s="712">
        <v>57.56</v>
      </c>
      <c r="G364" s="713">
        <f t="shared" si="80"/>
        <v>1.4900000000000011</v>
      </c>
      <c r="H364" s="713">
        <f t="shared" si="81"/>
        <v>1.4900000000000011</v>
      </c>
      <c r="I364" s="697"/>
      <c r="J364" s="697"/>
      <c r="K364" s="697"/>
      <c r="L364" s="697"/>
      <c r="M364" s="697"/>
      <c r="N364" s="697"/>
      <c r="O364" s="697"/>
      <c r="P364" s="697"/>
      <c r="Q364" s="697"/>
      <c r="R364" s="697"/>
      <c r="S364" s="697"/>
      <c r="T364" s="697"/>
      <c r="U364" s="697"/>
      <c r="V364" s="697"/>
      <c r="W364" s="697"/>
      <c r="X364" s="697"/>
      <c r="Y364" s="697"/>
      <c r="Z364" s="697"/>
      <c r="AA364" s="697"/>
      <c r="AB364" s="697"/>
      <c r="AC364" s="697"/>
      <c r="AD364" s="697"/>
      <c r="AE364" s="697"/>
      <c r="AF364" s="697"/>
      <c r="AG364" s="697"/>
      <c r="AH364" s="697"/>
      <c r="AI364" s="697"/>
      <c r="AJ364" s="697"/>
      <c r="AK364" s="697"/>
      <c r="AL364" s="697"/>
      <c r="AM364" s="697"/>
      <c r="AN364" s="697"/>
      <c r="AO364" s="697"/>
      <c r="AP364" s="697"/>
      <c r="AQ364" s="697"/>
      <c r="AR364" s="697"/>
      <c r="AS364" s="697"/>
      <c r="AT364" s="697"/>
      <c r="AU364" s="697"/>
      <c r="AV364" s="697"/>
      <c r="AW364" s="697"/>
      <c r="AX364" s="697"/>
      <c r="AY364" s="697"/>
      <c r="AZ364" s="697"/>
      <c r="BA364" s="697"/>
      <c r="BB364" s="697"/>
      <c r="BC364" s="697"/>
      <c r="BD364" s="697"/>
      <c r="BE364" s="697"/>
      <c r="BF364" s="697"/>
      <c r="BG364" s="697"/>
      <c r="BH364" s="697"/>
      <c r="BI364" s="697"/>
      <c r="BJ364" s="697"/>
      <c r="BK364" s="697"/>
      <c r="BL364" s="697"/>
      <c r="BM364" s="697"/>
      <c r="BN364" s="697"/>
      <c r="BO364" s="697"/>
      <c r="BP364" s="697"/>
      <c r="BQ364" s="697"/>
      <c r="BR364" s="697"/>
      <c r="BS364" s="697"/>
      <c r="BT364" s="697"/>
      <c r="BU364" s="697"/>
      <c r="BV364" s="697"/>
      <c r="BW364" s="697"/>
      <c r="BX364" s="697"/>
      <c r="BY364" s="697"/>
      <c r="BZ364" s="697"/>
      <c r="CA364" s="697"/>
      <c r="CB364" s="697"/>
      <c r="CC364" s="697"/>
      <c r="CD364" s="697"/>
      <c r="CE364" s="697"/>
      <c r="CF364" s="697"/>
      <c r="CG364" s="697"/>
      <c r="CH364" s="697"/>
      <c r="CI364" s="697"/>
      <c r="CJ364" s="697"/>
      <c r="CK364" s="697"/>
      <c r="CL364" s="697"/>
      <c r="CM364" s="697"/>
      <c r="CN364" s="697"/>
      <c r="CO364" s="697"/>
      <c r="CP364" s="697"/>
      <c r="CQ364" s="697"/>
      <c r="CR364" s="697"/>
      <c r="CS364" s="697"/>
      <c r="CT364" s="697"/>
      <c r="CU364" s="697"/>
      <c r="CV364" s="697"/>
      <c r="CW364" s="697"/>
      <c r="CX364" s="697"/>
      <c r="CY364" s="697"/>
      <c r="CZ364" s="697"/>
      <c r="DA364" s="697"/>
      <c r="DB364" s="697"/>
    </row>
    <row r="365" spans="1:106" hidden="1" outlineLevel="1" x14ac:dyDescent="0.2">
      <c r="A365" s="709">
        <f t="shared" si="77"/>
        <v>39022</v>
      </c>
      <c r="B365" s="709" t="str">
        <f t="shared" si="78"/>
        <v>4Q06</v>
      </c>
      <c r="C365" s="709" t="str">
        <f t="shared" si="79"/>
        <v>1Q07</v>
      </c>
      <c r="D365" s="710">
        <f t="shared" si="84"/>
        <v>39105</v>
      </c>
      <c r="E365" s="710">
        <f t="shared" si="84"/>
        <v>39045</v>
      </c>
      <c r="F365" s="712">
        <v>57.24</v>
      </c>
      <c r="G365" s="713">
        <f t="shared" si="80"/>
        <v>1.4900000000000011</v>
      </c>
      <c r="H365" s="713">
        <f t="shared" si="81"/>
        <v>1.4900000000000011</v>
      </c>
      <c r="I365" s="697"/>
      <c r="J365" s="697"/>
      <c r="K365" s="697"/>
      <c r="L365" s="697"/>
      <c r="M365" s="697"/>
      <c r="N365" s="697"/>
      <c r="O365" s="697"/>
      <c r="P365" s="697"/>
      <c r="Q365" s="697"/>
      <c r="R365" s="697"/>
      <c r="S365" s="697"/>
      <c r="T365" s="697"/>
      <c r="U365" s="697"/>
      <c r="V365" s="697"/>
      <c r="W365" s="697"/>
      <c r="X365" s="697"/>
      <c r="Y365" s="697"/>
      <c r="Z365" s="697"/>
      <c r="AA365" s="697"/>
      <c r="AB365" s="697"/>
      <c r="AC365" s="697"/>
      <c r="AD365" s="697"/>
      <c r="AE365" s="697"/>
      <c r="AF365" s="697"/>
      <c r="AG365" s="697"/>
      <c r="AH365" s="697"/>
      <c r="AI365" s="697"/>
      <c r="AJ365" s="697"/>
      <c r="AK365" s="697"/>
      <c r="AL365" s="697"/>
      <c r="AM365" s="697"/>
      <c r="AN365" s="697"/>
      <c r="AO365" s="697"/>
      <c r="AP365" s="697"/>
      <c r="AQ365" s="697"/>
      <c r="AR365" s="697"/>
      <c r="AS365" s="697"/>
      <c r="AT365" s="697"/>
      <c r="AU365" s="697"/>
      <c r="AV365" s="697"/>
      <c r="AW365" s="697"/>
      <c r="AX365" s="697"/>
      <c r="AY365" s="697"/>
      <c r="AZ365" s="697"/>
      <c r="BA365" s="697"/>
      <c r="BB365" s="697"/>
      <c r="BC365" s="697"/>
      <c r="BD365" s="697"/>
      <c r="BE365" s="697"/>
      <c r="BF365" s="697"/>
      <c r="BG365" s="697"/>
      <c r="BH365" s="697"/>
      <c r="BI365" s="697"/>
      <c r="BJ365" s="697"/>
      <c r="BK365" s="697"/>
      <c r="BL365" s="697"/>
      <c r="BM365" s="697"/>
      <c r="BN365" s="697"/>
      <c r="BO365" s="697"/>
      <c r="BP365" s="697"/>
      <c r="BQ365" s="697"/>
      <c r="BR365" s="697"/>
      <c r="BS365" s="697"/>
      <c r="BT365" s="697"/>
      <c r="BU365" s="697"/>
      <c r="BV365" s="697"/>
      <c r="BW365" s="697"/>
      <c r="BX365" s="697"/>
      <c r="BY365" s="697"/>
      <c r="BZ365" s="697"/>
      <c r="CA365" s="697"/>
      <c r="CB365" s="697"/>
      <c r="CC365" s="697"/>
      <c r="CD365" s="697"/>
      <c r="CE365" s="697"/>
      <c r="CF365" s="697"/>
      <c r="CG365" s="697"/>
      <c r="CH365" s="697"/>
      <c r="CI365" s="697"/>
      <c r="CJ365" s="697"/>
      <c r="CK365" s="697"/>
      <c r="CL365" s="697"/>
      <c r="CM365" s="697"/>
      <c r="CN365" s="697"/>
      <c r="CO365" s="697"/>
      <c r="CP365" s="697"/>
      <c r="CQ365" s="697"/>
      <c r="CR365" s="697"/>
      <c r="CS365" s="697"/>
      <c r="CT365" s="697"/>
      <c r="CU365" s="697"/>
      <c r="CV365" s="697"/>
      <c r="CW365" s="697"/>
      <c r="CX365" s="697"/>
      <c r="CY365" s="697"/>
      <c r="CZ365" s="697"/>
      <c r="DA365" s="697"/>
      <c r="DB365" s="697"/>
    </row>
    <row r="366" spans="1:106" hidden="1" outlineLevel="1" x14ac:dyDescent="0.2">
      <c r="A366" s="709">
        <f t="shared" si="77"/>
        <v>39052</v>
      </c>
      <c r="B366" s="709" t="str">
        <f t="shared" si="78"/>
        <v>4Q06</v>
      </c>
      <c r="C366" s="709" t="str">
        <f t="shared" si="79"/>
        <v>1Q07</v>
      </c>
      <c r="D366" s="710">
        <f t="shared" si="84"/>
        <v>39112</v>
      </c>
      <c r="E366" s="710">
        <f t="shared" si="84"/>
        <v>39052</v>
      </c>
      <c r="F366" s="712">
        <v>62.02</v>
      </c>
      <c r="G366" s="713">
        <f t="shared" si="80"/>
        <v>1.4900000000000011</v>
      </c>
      <c r="H366" s="713">
        <f t="shared" si="81"/>
        <v>1.4900000000000011</v>
      </c>
      <c r="I366" s="697"/>
      <c r="J366" s="697"/>
      <c r="K366" s="697"/>
      <c r="L366" s="697"/>
      <c r="M366" s="697"/>
      <c r="N366" s="697"/>
      <c r="O366" s="697"/>
      <c r="P366" s="697"/>
      <c r="Q366" s="697"/>
      <c r="R366" s="697"/>
      <c r="S366" s="697"/>
      <c r="T366" s="697"/>
      <c r="U366" s="697"/>
      <c r="V366" s="697"/>
      <c r="W366" s="697"/>
      <c r="X366" s="697"/>
      <c r="Y366" s="697"/>
      <c r="Z366" s="697"/>
      <c r="AA366" s="697"/>
      <c r="AB366" s="697"/>
      <c r="AC366" s="697"/>
      <c r="AD366" s="697"/>
      <c r="AE366" s="697"/>
      <c r="AF366" s="697"/>
      <c r="AG366" s="697"/>
      <c r="AH366" s="697"/>
      <c r="AI366" s="697"/>
      <c r="AJ366" s="697"/>
      <c r="AK366" s="697"/>
      <c r="AL366" s="697"/>
      <c r="AM366" s="697"/>
      <c r="AN366" s="697"/>
      <c r="AO366" s="697"/>
      <c r="AP366" s="697"/>
      <c r="AQ366" s="697"/>
      <c r="AR366" s="697"/>
      <c r="AS366" s="697"/>
      <c r="AT366" s="697"/>
      <c r="AU366" s="697"/>
      <c r="AV366" s="697"/>
      <c r="AW366" s="697"/>
      <c r="AX366" s="697"/>
      <c r="AY366" s="697"/>
      <c r="AZ366" s="697"/>
      <c r="BA366" s="697"/>
      <c r="BB366" s="697"/>
      <c r="BC366" s="697"/>
      <c r="BD366" s="697"/>
      <c r="BE366" s="697"/>
      <c r="BF366" s="697"/>
      <c r="BG366" s="697"/>
      <c r="BH366" s="697"/>
      <c r="BI366" s="697"/>
      <c r="BJ366" s="697"/>
      <c r="BK366" s="697"/>
      <c r="BL366" s="697"/>
      <c r="BM366" s="697"/>
      <c r="BN366" s="697"/>
      <c r="BO366" s="697"/>
      <c r="BP366" s="697"/>
      <c r="BQ366" s="697"/>
      <c r="BR366" s="697"/>
      <c r="BS366" s="697"/>
      <c r="BT366" s="697"/>
      <c r="BU366" s="697"/>
      <c r="BV366" s="697"/>
      <c r="BW366" s="697"/>
      <c r="BX366" s="697"/>
      <c r="BY366" s="697"/>
      <c r="BZ366" s="697"/>
      <c r="CA366" s="697"/>
      <c r="CB366" s="697"/>
      <c r="CC366" s="697"/>
      <c r="CD366" s="697"/>
      <c r="CE366" s="697"/>
      <c r="CF366" s="697"/>
      <c r="CG366" s="697"/>
      <c r="CH366" s="697"/>
      <c r="CI366" s="697"/>
      <c r="CJ366" s="697"/>
      <c r="CK366" s="697"/>
      <c r="CL366" s="697"/>
      <c r="CM366" s="697"/>
      <c r="CN366" s="697"/>
      <c r="CO366" s="697"/>
      <c r="CP366" s="697"/>
      <c r="CQ366" s="697"/>
      <c r="CR366" s="697"/>
      <c r="CS366" s="697"/>
      <c r="CT366" s="697"/>
      <c r="CU366" s="697"/>
      <c r="CV366" s="697"/>
      <c r="CW366" s="697"/>
      <c r="CX366" s="697"/>
      <c r="CY366" s="697"/>
      <c r="CZ366" s="697"/>
      <c r="DA366" s="697"/>
      <c r="DB366" s="697"/>
    </row>
    <row r="367" spans="1:106" hidden="1" outlineLevel="1" x14ac:dyDescent="0.2">
      <c r="A367" s="709">
        <f t="shared" si="77"/>
        <v>39052</v>
      </c>
      <c r="B367" s="709" t="str">
        <f t="shared" si="78"/>
        <v>4Q06</v>
      </c>
      <c r="C367" s="709" t="str">
        <f t="shared" si="79"/>
        <v>1Q07</v>
      </c>
      <c r="D367" s="710">
        <f t="shared" si="84"/>
        <v>39119</v>
      </c>
      <c r="E367" s="710">
        <f t="shared" si="84"/>
        <v>39059</v>
      </c>
      <c r="F367" s="712">
        <v>62.32</v>
      </c>
      <c r="G367" s="713">
        <f t="shared" si="80"/>
        <v>1.4900000000000011</v>
      </c>
      <c r="H367" s="713">
        <f t="shared" si="81"/>
        <v>1.4900000000000011</v>
      </c>
      <c r="I367" s="697"/>
      <c r="J367" s="697"/>
      <c r="K367" s="697"/>
      <c r="L367" s="697"/>
      <c r="M367" s="697"/>
      <c r="N367" s="697"/>
      <c r="O367" s="697"/>
      <c r="P367" s="697"/>
      <c r="Q367" s="697"/>
      <c r="R367" s="697"/>
      <c r="S367" s="697"/>
      <c r="T367" s="697"/>
      <c r="U367" s="697"/>
      <c r="V367" s="697"/>
      <c r="W367" s="697"/>
      <c r="X367" s="697"/>
      <c r="Y367" s="697"/>
      <c r="Z367" s="697"/>
      <c r="AA367" s="697"/>
      <c r="AB367" s="697"/>
      <c r="AC367" s="697"/>
      <c r="AD367" s="697"/>
      <c r="AE367" s="697"/>
      <c r="AF367" s="697"/>
      <c r="AG367" s="697"/>
      <c r="AH367" s="697"/>
      <c r="AI367" s="697"/>
      <c r="AJ367" s="697"/>
      <c r="AK367" s="697"/>
      <c r="AL367" s="697"/>
      <c r="AM367" s="697"/>
      <c r="AN367" s="697"/>
      <c r="AO367" s="697"/>
      <c r="AP367" s="697"/>
      <c r="AQ367" s="697"/>
      <c r="AR367" s="697"/>
      <c r="AS367" s="697"/>
      <c r="AT367" s="697"/>
      <c r="AU367" s="697"/>
      <c r="AV367" s="697"/>
      <c r="AW367" s="697"/>
      <c r="AX367" s="697"/>
      <c r="AY367" s="697"/>
      <c r="AZ367" s="697"/>
      <c r="BA367" s="697"/>
      <c r="BB367" s="697"/>
      <c r="BC367" s="697"/>
      <c r="BD367" s="697"/>
      <c r="BE367" s="697"/>
      <c r="BF367" s="697"/>
      <c r="BG367" s="697"/>
      <c r="BH367" s="697"/>
      <c r="BI367" s="697"/>
      <c r="BJ367" s="697"/>
      <c r="BK367" s="697"/>
      <c r="BL367" s="697"/>
      <c r="BM367" s="697"/>
      <c r="BN367" s="697"/>
      <c r="BO367" s="697"/>
      <c r="BP367" s="697"/>
      <c r="BQ367" s="697"/>
      <c r="BR367" s="697"/>
      <c r="BS367" s="697"/>
      <c r="BT367" s="697"/>
      <c r="BU367" s="697"/>
      <c r="BV367" s="697"/>
      <c r="BW367" s="697"/>
      <c r="BX367" s="697"/>
      <c r="BY367" s="697"/>
      <c r="BZ367" s="697"/>
      <c r="CA367" s="697"/>
      <c r="CB367" s="697"/>
      <c r="CC367" s="697"/>
      <c r="CD367" s="697"/>
      <c r="CE367" s="697"/>
      <c r="CF367" s="697"/>
      <c r="CG367" s="697"/>
      <c r="CH367" s="697"/>
      <c r="CI367" s="697"/>
      <c r="CJ367" s="697"/>
      <c r="CK367" s="697"/>
      <c r="CL367" s="697"/>
      <c r="CM367" s="697"/>
      <c r="CN367" s="697"/>
      <c r="CO367" s="697"/>
      <c r="CP367" s="697"/>
      <c r="CQ367" s="697"/>
      <c r="CR367" s="697"/>
      <c r="CS367" s="697"/>
      <c r="CT367" s="697"/>
      <c r="CU367" s="697"/>
      <c r="CV367" s="697"/>
      <c r="CW367" s="697"/>
      <c r="CX367" s="697"/>
      <c r="CY367" s="697"/>
      <c r="CZ367" s="697"/>
      <c r="DA367" s="697"/>
      <c r="DB367" s="697"/>
    </row>
    <row r="368" spans="1:106" hidden="1" outlineLevel="1" x14ac:dyDescent="0.2">
      <c r="A368" s="709">
        <f t="shared" si="77"/>
        <v>39052</v>
      </c>
      <c r="B368" s="709" t="str">
        <f t="shared" si="78"/>
        <v>4Q06</v>
      </c>
      <c r="C368" s="709" t="str">
        <f t="shared" si="79"/>
        <v>1Q07</v>
      </c>
      <c r="D368" s="710">
        <f t="shared" si="84"/>
        <v>39126</v>
      </c>
      <c r="E368" s="710">
        <f t="shared" si="84"/>
        <v>39066</v>
      </c>
      <c r="F368" s="712">
        <v>61.91</v>
      </c>
      <c r="G368" s="713">
        <f t="shared" si="80"/>
        <v>1.4900000000000011</v>
      </c>
      <c r="H368" s="713">
        <f t="shared" si="81"/>
        <v>1.4900000000000011</v>
      </c>
      <c r="I368" s="697"/>
      <c r="J368" s="697"/>
      <c r="K368" s="697"/>
      <c r="L368" s="697"/>
      <c r="M368" s="697"/>
      <c r="N368" s="697"/>
      <c r="O368" s="697"/>
      <c r="P368" s="697"/>
      <c r="Q368" s="697"/>
      <c r="R368" s="697"/>
      <c r="S368" s="697"/>
      <c r="T368" s="697"/>
      <c r="U368" s="697"/>
      <c r="V368" s="697"/>
      <c r="W368" s="697"/>
      <c r="X368" s="697"/>
      <c r="Y368" s="697"/>
      <c r="Z368" s="697"/>
      <c r="AA368" s="697"/>
      <c r="AB368" s="697"/>
      <c r="AC368" s="697"/>
      <c r="AD368" s="697"/>
      <c r="AE368" s="697"/>
      <c r="AF368" s="697"/>
      <c r="AG368" s="697"/>
      <c r="AH368" s="697"/>
      <c r="AI368" s="697"/>
      <c r="AJ368" s="697"/>
      <c r="AK368" s="697"/>
      <c r="AL368" s="697"/>
      <c r="AM368" s="697"/>
      <c r="AN368" s="697"/>
      <c r="AO368" s="697"/>
      <c r="AP368" s="697"/>
      <c r="AQ368" s="697"/>
      <c r="AR368" s="697"/>
      <c r="AS368" s="697"/>
      <c r="AT368" s="697"/>
      <c r="AU368" s="697"/>
      <c r="AV368" s="697"/>
      <c r="AW368" s="697"/>
      <c r="AX368" s="697"/>
      <c r="AY368" s="697"/>
      <c r="AZ368" s="697"/>
      <c r="BA368" s="697"/>
      <c r="BB368" s="697"/>
      <c r="BC368" s="697"/>
      <c r="BD368" s="697"/>
      <c r="BE368" s="697"/>
      <c r="BF368" s="697"/>
      <c r="BG368" s="697"/>
      <c r="BH368" s="697"/>
      <c r="BI368" s="697"/>
      <c r="BJ368" s="697"/>
      <c r="BK368" s="697"/>
      <c r="BL368" s="697"/>
      <c r="BM368" s="697"/>
      <c r="BN368" s="697"/>
      <c r="BO368" s="697"/>
      <c r="BP368" s="697"/>
      <c r="BQ368" s="697"/>
      <c r="BR368" s="697"/>
      <c r="BS368" s="697"/>
      <c r="BT368" s="697"/>
      <c r="BU368" s="697"/>
      <c r="BV368" s="697"/>
      <c r="BW368" s="697"/>
      <c r="BX368" s="697"/>
      <c r="BY368" s="697"/>
      <c r="BZ368" s="697"/>
      <c r="CA368" s="697"/>
      <c r="CB368" s="697"/>
      <c r="CC368" s="697"/>
      <c r="CD368" s="697"/>
      <c r="CE368" s="697"/>
      <c r="CF368" s="697"/>
      <c r="CG368" s="697"/>
      <c r="CH368" s="697"/>
      <c r="CI368" s="697"/>
      <c r="CJ368" s="697"/>
      <c r="CK368" s="697"/>
      <c r="CL368" s="697"/>
      <c r="CM368" s="697"/>
      <c r="CN368" s="697"/>
      <c r="CO368" s="697"/>
      <c r="CP368" s="697"/>
      <c r="CQ368" s="697"/>
      <c r="CR368" s="697"/>
      <c r="CS368" s="697"/>
      <c r="CT368" s="697"/>
      <c r="CU368" s="697"/>
      <c r="CV368" s="697"/>
      <c r="CW368" s="697"/>
      <c r="CX368" s="697"/>
      <c r="CY368" s="697"/>
      <c r="CZ368" s="697"/>
      <c r="DA368" s="697"/>
      <c r="DB368" s="697"/>
    </row>
    <row r="369" spans="1:106" hidden="1" outlineLevel="1" x14ac:dyDescent="0.2">
      <c r="A369" s="709">
        <f t="shared" si="77"/>
        <v>39052</v>
      </c>
      <c r="B369" s="709" t="str">
        <f t="shared" si="78"/>
        <v>4Q06</v>
      </c>
      <c r="C369" s="709" t="str">
        <f t="shared" si="79"/>
        <v>1Q07</v>
      </c>
      <c r="D369" s="710">
        <f t="shared" si="84"/>
        <v>39133</v>
      </c>
      <c r="E369" s="710">
        <f t="shared" si="84"/>
        <v>39073</v>
      </c>
      <c r="F369" s="712">
        <v>62.4</v>
      </c>
      <c r="G369" s="713">
        <f t="shared" si="80"/>
        <v>1.4900000000000011</v>
      </c>
      <c r="H369" s="713">
        <f t="shared" si="81"/>
        <v>1.4900000000000011</v>
      </c>
      <c r="I369" s="697"/>
      <c r="J369" s="697"/>
      <c r="K369" s="697"/>
      <c r="L369" s="697"/>
      <c r="M369" s="697"/>
      <c r="N369" s="697"/>
      <c r="O369" s="697"/>
      <c r="P369" s="697"/>
      <c r="Q369" s="697"/>
      <c r="R369" s="697"/>
      <c r="S369" s="697"/>
      <c r="T369" s="697"/>
      <c r="U369" s="697"/>
      <c r="V369" s="697"/>
      <c r="W369" s="697"/>
      <c r="X369" s="697"/>
      <c r="Y369" s="697"/>
      <c r="Z369" s="697"/>
      <c r="AA369" s="697"/>
      <c r="AB369" s="697"/>
      <c r="AC369" s="697"/>
      <c r="AD369" s="697"/>
      <c r="AE369" s="697"/>
      <c r="AF369" s="697"/>
      <c r="AG369" s="697"/>
      <c r="AH369" s="697"/>
      <c r="AI369" s="697"/>
      <c r="AJ369" s="697"/>
      <c r="AK369" s="697"/>
      <c r="AL369" s="697"/>
      <c r="AM369" s="697"/>
      <c r="AN369" s="697"/>
      <c r="AO369" s="697"/>
      <c r="AP369" s="697"/>
      <c r="AQ369" s="697"/>
      <c r="AR369" s="697"/>
      <c r="AS369" s="697"/>
      <c r="AT369" s="697"/>
      <c r="AU369" s="697"/>
      <c r="AV369" s="697"/>
      <c r="AW369" s="697"/>
      <c r="AX369" s="697"/>
      <c r="AY369" s="697"/>
      <c r="AZ369" s="697"/>
      <c r="BA369" s="697"/>
      <c r="BB369" s="697"/>
      <c r="BC369" s="697"/>
      <c r="BD369" s="697"/>
      <c r="BE369" s="697"/>
      <c r="BF369" s="697"/>
      <c r="BG369" s="697"/>
      <c r="BH369" s="697"/>
      <c r="BI369" s="697"/>
      <c r="BJ369" s="697"/>
      <c r="BK369" s="697"/>
      <c r="BL369" s="697"/>
      <c r="BM369" s="697"/>
      <c r="BN369" s="697"/>
      <c r="BO369" s="697"/>
      <c r="BP369" s="697"/>
      <c r="BQ369" s="697"/>
      <c r="BR369" s="697"/>
      <c r="BS369" s="697"/>
      <c r="BT369" s="697"/>
      <c r="BU369" s="697"/>
      <c r="BV369" s="697"/>
      <c r="BW369" s="697"/>
      <c r="BX369" s="697"/>
      <c r="BY369" s="697"/>
      <c r="BZ369" s="697"/>
      <c r="CA369" s="697"/>
      <c r="CB369" s="697"/>
      <c r="CC369" s="697"/>
      <c r="CD369" s="697"/>
      <c r="CE369" s="697"/>
      <c r="CF369" s="697"/>
      <c r="CG369" s="697"/>
      <c r="CH369" s="697"/>
      <c r="CI369" s="697"/>
      <c r="CJ369" s="697"/>
      <c r="CK369" s="697"/>
      <c r="CL369" s="697"/>
      <c r="CM369" s="697"/>
      <c r="CN369" s="697"/>
      <c r="CO369" s="697"/>
      <c r="CP369" s="697"/>
      <c r="CQ369" s="697"/>
      <c r="CR369" s="697"/>
      <c r="CS369" s="697"/>
      <c r="CT369" s="697"/>
      <c r="CU369" s="697"/>
      <c r="CV369" s="697"/>
      <c r="CW369" s="697"/>
      <c r="CX369" s="697"/>
      <c r="CY369" s="697"/>
      <c r="CZ369" s="697"/>
      <c r="DA369" s="697"/>
      <c r="DB369" s="697"/>
    </row>
    <row r="370" spans="1:106" hidden="1" outlineLevel="1" x14ac:dyDescent="0.2">
      <c r="A370" s="709">
        <f t="shared" si="77"/>
        <v>39052</v>
      </c>
      <c r="B370" s="709" t="str">
        <f t="shared" si="78"/>
        <v>4Q06</v>
      </c>
      <c r="C370" s="709" t="str">
        <f t="shared" si="79"/>
        <v>1Q07</v>
      </c>
      <c r="D370" s="710">
        <f t="shared" si="84"/>
        <v>39140</v>
      </c>
      <c r="E370" s="710">
        <f t="shared" si="84"/>
        <v>39080</v>
      </c>
      <c r="F370" s="712">
        <v>60.66</v>
      </c>
      <c r="G370" s="713">
        <f t="shared" si="80"/>
        <v>1.4900000000000011</v>
      </c>
      <c r="H370" s="713">
        <f t="shared" si="81"/>
        <v>1.4900000000000011</v>
      </c>
      <c r="I370" s="697"/>
      <c r="J370" s="697"/>
      <c r="K370" s="697"/>
      <c r="L370" s="697"/>
      <c r="M370" s="697"/>
      <c r="N370" s="697"/>
      <c r="O370" s="697"/>
      <c r="P370" s="697"/>
      <c r="Q370" s="697"/>
      <c r="R370" s="697"/>
      <c r="S370" s="697"/>
      <c r="T370" s="697"/>
      <c r="U370" s="697"/>
      <c r="V370" s="697"/>
      <c r="W370" s="697"/>
      <c r="X370" s="697"/>
      <c r="Y370" s="697"/>
      <c r="Z370" s="697"/>
      <c r="AA370" s="697"/>
      <c r="AB370" s="697"/>
      <c r="AC370" s="697"/>
      <c r="AD370" s="697"/>
      <c r="AE370" s="697"/>
      <c r="AF370" s="697"/>
      <c r="AG370" s="697"/>
      <c r="AH370" s="697"/>
      <c r="AI370" s="697"/>
      <c r="AJ370" s="697"/>
      <c r="AK370" s="697"/>
      <c r="AL370" s="697"/>
      <c r="AM370" s="697"/>
      <c r="AN370" s="697"/>
      <c r="AO370" s="697"/>
      <c r="AP370" s="697"/>
      <c r="AQ370" s="697"/>
      <c r="AR370" s="697"/>
      <c r="AS370" s="697"/>
      <c r="AT370" s="697"/>
      <c r="AU370" s="697"/>
      <c r="AV370" s="697"/>
      <c r="AW370" s="697"/>
      <c r="AX370" s="697"/>
      <c r="AY370" s="697"/>
      <c r="AZ370" s="697"/>
      <c r="BA370" s="697"/>
      <c r="BB370" s="697"/>
      <c r="BC370" s="697"/>
      <c r="BD370" s="697"/>
      <c r="BE370" s="697"/>
      <c r="BF370" s="697"/>
      <c r="BG370" s="697"/>
      <c r="BH370" s="697"/>
      <c r="BI370" s="697"/>
      <c r="BJ370" s="697"/>
      <c r="BK370" s="697"/>
      <c r="BL370" s="697"/>
      <c r="BM370" s="697"/>
      <c r="BN370" s="697"/>
      <c r="BO370" s="697"/>
      <c r="BP370" s="697"/>
      <c r="BQ370" s="697"/>
      <c r="BR370" s="697"/>
      <c r="BS370" s="697"/>
      <c r="BT370" s="697"/>
      <c r="BU370" s="697"/>
      <c r="BV370" s="697"/>
      <c r="BW370" s="697"/>
      <c r="BX370" s="697"/>
      <c r="BY370" s="697"/>
      <c r="BZ370" s="697"/>
      <c r="CA370" s="697"/>
      <c r="CB370" s="697"/>
      <c r="CC370" s="697"/>
      <c r="CD370" s="697"/>
      <c r="CE370" s="697"/>
      <c r="CF370" s="697"/>
      <c r="CG370" s="697"/>
      <c r="CH370" s="697"/>
      <c r="CI370" s="697"/>
      <c r="CJ370" s="697"/>
      <c r="CK370" s="697"/>
      <c r="CL370" s="697"/>
      <c r="CM370" s="697"/>
      <c r="CN370" s="697"/>
      <c r="CO370" s="697"/>
      <c r="CP370" s="697"/>
      <c r="CQ370" s="697"/>
      <c r="CR370" s="697"/>
      <c r="CS370" s="697"/>
      <c r="CT370" s="697"/>
      <c r="CU370" s="697"/>
      <c r="CV370" s="697"/>
      <c r="CW370" s="697"/>
      <c r="CX370" s="697"/>
      <c r="CY370" s="697"/>
      <c r="CZ370" s="697"/>
      <c r="DA370" s="697"/>
      <c r="DB370" s="697"/>
    </row>
    <row r="371" spans="1:106" hidden="1" outlineLevel="1" x14ac:dyDescent="0.2">
      <c r="A371" s="709">
        <f t="shared" si="77"/>
        <v>39083</v>
      </c>
      <c r="B371" s="709" t="str">
        <f t="shared" si="78"/>
        <v>1Q07</v>
      </c>
      <c r="C371" s="709" t="str">
        <f t="shared" si="79"/>
        <v>1Q07</v>
      </c>
      <c r="D371" s="710">
        <f t="shared" si="84"/>
        <v>39147</v>
      </c>
      <c r="E371" s="710">
        <f t="shared" si="84"/>
        <v>39087</v>
      </c>
      <c r="F371" s="712">
        <v>57.76</v>
      </c>
      <c r="G371" s="713">
        <f t="shared" si="80"/>
        <v>1.4900000000000011</v>
      </c>
      <c r="H371" s="713">
        <f t="shared" si="81"/>
        <v>1.4900000000000011</v>
      </c>
      <c r="I371" s="697"/>
      <c r="J371" s="697"/>
      <c r="K371" s="697"/>
      <c r="L371" s="697"/>
      <c r="M371" s="697"/>
      <c r="N371" s="697"/>
      <c r="O371" s="697"/>
      <c r="P371" s="697"/>
      <c r="Q371" s="697"/>
      <c r="R371" s="697"/>
      <c r="S371" s="697"/>
      <c r="T371" s="697"/>
      <c r="U371" s="697"/>
      <c r="V371" s="697"/>
      <c r="W371" s="697"/>
      <c r="X371" s="697"/>
      <c r="Y371" s="697"/>
      <c r="Z371" s="697"/>
      <c r="AA371" s="697"/>
      <c r="AB371" s="697"/>
      <c r="AC371" s="697"/>
      <c r="AD371" s="697"/>
      <c r="AE371" s="697"/>
      <c r="AF371" s="697"/>
      <c r="AG371" s="697"/>
      <c r="AH371" s="697"/>
      <c r="AI371" s="697"/>
      <c r="AJ371" s="697"/>
      <c r="AK371" s="697"/>
      <c r="AL371" s="697"/>
      <c r="AM371" s="697"/>
      <c r="AN371" s="697"/>
      <c r="AO371" s="697"/>
      <c r="AP371" s="697"/>
      <c r="AQ371" s="697"/>
      <c r="AR371" s="697"/>
      <c r="AS371" s="697"/>
      <c r="AT371" s="697"/>
      <c r="AU371" s="697"/>
      <c r="AV371" s="697"/>
      <c r="AW371" s="697"/>
      <c r="AX371" s="697"/>
      <c r="AY371" s="697"/>
      <c r="AZ371" s="697"/>
      <c r="BA371" s="697"/>
      <c r="BB371" s="697"/>
      <c r="BC371" s="697"/>
      <c r="BD371" s="697"/>
      <c r="BE371" s="697"/>
      <c r="BF371" s="697"/>
      <c r="BG371" s="697"/>
      <c r="BH371" s="697"/>
      <c r="BI371" s="697"/>
      <c r="BJ371" s="697"/>
      <c r="BK371" s="697"/>
      <c r="BL371" s="697"/>
      <c r="BM371" s="697"/>
      <c r="BN371" s="697"/>
      <c r="BO371" s="697"/>
      <c r="BP371" s="697"/>
      <c r="BQ371" s="697"/>
      <c r="BR371" s="697"/>
      <c r="BS371" s="697"/>
      <c r="BT371" s="697"/>
      <c r="BU371" s="697"/>
      <c r="BV371" s="697"/>
      <c r="BW371" s="697"/>
      <c r="BX371" s="697"/>
      <c r="BY371" s="697"/>
      <c r="BZ371" s="697"/>
      <c r="CA371" s="697"/>
      <c r="CB371" s="697"/>
      <c r="CC371" s="697"/>
      <c r="CD371" s="697"/>
      <c r="CE371" s="697"/>
      <c r="CF371" s="697"/>
      <c r="CG371" s="697"/>
      <c r="CH371" s="697"/>
      <c r="CI371" s="697"/>
      <c r="CJ371" s="697"/>
      <c r="CK371" s="697"/>
      <c r="CL371" s="697"/>
      <c r="CM371" s="697"/>
      <c r="CN371" s="697"/>
      <c r="CO371" s="697"/>
      <c r="CP371" s="697"/>
      <c r="CQ371" s="697"/>
      <c r="CR371" s="697"/>
      <c r="CS371" s="697"/>
      <c r="CT371" s="697"/>
      <c r="CU371" s="697"/>
      <c r="CV371" s="697"/>
      <c r="CW371" s="697"/>
      <c r="CX371" s="697"/>
      <c r="CY371" s="697"/>
      <c r="CZ371" s="697"/>
      <c r="DA371" s="697"/>
      <c r="DB371" s="697"/>
    </row>
    <row r="372" spans="1:106" hidden="1" outlineLevel="1" x14ac:dyDescent="0.2">
      <c r="A372" s="709">
        <f t="shared" si="77"/>
        <v>39083</v>
      </c>
      <c r="B372" s="709" t="str">
        <f t="shared" si="78"/>
        <v>1Q07</v>
      </c>
      <c r="C372" s="709" t="str">
        <f t="shared" si="79"/>
        <v>1Q07</v>
      </c>
      <c r="D372" s="710">
        <f t="shared" si="84"/>
        <v>39154</v>
      </c>
      <c r="E372" s="710">
        <f t="shared" si="84"/>
        <v>39094</v>
      </c>
      <c r="F372" s="712">
        <v>54.11</v>
      </c>
      <c r="G372" s="713">
        <f t="shared" si="80"/>
        <v>1.4900000000000011</v>
      </c>
      <c r="H372" s="713">
        <f t="shared" si="81"/>
        <v>1.4900000000000011</v>
      </c>
      <c r="I372" s="697"/>
      <c r="J372" s="697"/>
      <c r="K372" s="697"/>
      <c r="L372" s="697"/>
      <c r="M372" s="697"/>
      <c r="N372" s="697"/>
      <c r="O372" s="697"/>
      <c r="P372" s="697"/>
      <c r="Q372" s="697"/>
      <c r="R372" s="697"/>
      <c r="S372" s="697"/>
      <c r="T372" s="697"/>
      <c r="U372" s="697"/>
      <c r="V372" s="697"/>
      <c r="W372" s="697"/>
      <c r="X372" s="697"/>
      <c r="Y372" s="697"/>
      <c r="Z372" s="697"/>
      <c r="AA372" s="697"/>
      <c r="AB372" s="697"/>
      <c r="AC372" s="697"/>
      <c r="AD372" s="697"/>
      <c r="AE372" s="697"/>
      <c r="AF372" s="697"/>
      <c r="AG372" s="697"/>
      <c r="AH372" s="697"/>
      <c r="AI372" s="697"/>
      <c r="AJ372" s="697"/>
      <c r="AK372" s="697"/>
      <c r="AL372" s="697"/>
      <c r="AM372" s="697"/>
      <c r="AN372" s="697"/>
      <c r="AO372" s="697"/>
      <c r="AP372" s="697"/>
      <c r="AQ372" s="697"/>
      <c r="AR372" s="697"/>
      <c r="AS372" s="697"/>
      <c r="AT372" s="697"/>
      <c r="AU372" s="697"/>
      <c r="AV372" s="697"/>
      <c r="AW372" s="697"/>
      <c r="AX372" s="697"/>
      <c r="AY372" s="697"/>
      <c r="AZ372" s="697"/>
      <c r="BA372" s="697"/>
      <c r="BB372" s="697"/>
      <c r="BC372" s="697"/>
      <c r="BD372" s="697"/>
      <c r="BE372" s="697"/>
      <c r="BF372" s="697"/>
      <c r="BG372" s="697"/>
      <c r="BH372" s="697"/>
      <c r="BI372" s="697"/>
      <c r="BJ372" s="697"/>
      <c r="BK372" s="697"/>
      <c r="BL372" s="697"/>
      <c r="BM372" s="697"/>
      <c r="BN372" s="697"/>
      <c r="BO372" s="697"/>
      <c r="BP372" s="697"/>
      <c r="BQ372" s="697"/>
      <c r="BR372" s="697"/>
      <c r="BS372" s="697"/>
      <c r="BT372" s="697"/>
      <c r="BU372" s="697"/>
      <c r="BV372" s="697"/>
      <c r="BW372" s="697"/>
      <c r="BX372" s="697"/>
      <c r="BY372" s="697"/>
      <c r="BZ372" s="697"/>
      <c r="CA372" s="697"/>
      <c r="CB372" s="697"/>
      <c r="CC372" s="697"/>
      <c r="CD372" s="697"/>
      <c r="CE372" s="697"/>
      <c r="CF372" s="697"/>
      <c r="CG372" s="697"/>
      <c r="CH372" s="697"/>
      <c r="CI372" s="697"/>
      <c r="CJ372" s="697"/>
      <c r="CK372" s="697"/>
      <c r="CL372" s="697"/>
      <c r="CM372" s="697"/>
      <c r="CN372" s="697"/>
      <c r="CO372" s="697"/>
      <c r="CP372" s="697"/>
      <c r="CQ372" s="697"/>
      <c r="CR372" s="697"/>
      <c r="CS372" s="697"/>
      <c r="CT372" s="697"/>
      <c r="CU372" s="697"/>
      <c r="CV372" s="697"/>
      <c r="CW372" s="697"/>
      <c r="CX372" s="697"/>
      <c r="CY372" s="697"/>
      <c r="CZ372" s="697"/>
      <c r="DA372" s="697"/>
      <c r="DB372" s="697"/>
    </row>
    <row r="373" spans="1:106" hidden="1" outlineLevel="1" x14ac:dyDescent="0.2">
      <c r="A373" s="709">
        <f t="shared" si="77"/>
        <v>39083</v>
      </c>
      <c r="B373" s="709" t="str">
        <f t="shared" si="78"/>
        <v>1Q07</v>
      </c>
      <c r="C373" s="709" t="str">
        <f t="shared" si="79"/>
        <v>1Q07</v>
      </c>
      <c r="D373" s="710">
        <f t="shared" ref="D373:E388" si="85">D372+7</f>
        <v>39161</v>
      </c>
      <c r="E373" s="710">
        <f t="shared" si="85"/>
        <v>39101</v>
      </c>
      <c r="F373" s="712">
        <v>51.51</v>
      </c>
      <c r="G373" s="713">
        <f t="shared" si="80"/>
        <v>1.4900000000000011</v>
      </c>
      <c r="H373" s="713">
        <f t="shared" si="81"/>
        <v>1.4900000000000011</v>
      </c>
      <c r="I373" s="697"/>
      <c r="J373" s="697"/>
      <c r="K373" s="697"/>
      <c r="L373" s="697"/>
      <c r="M373" s="697"/>
      <c r="N373" s="697"/>
      <c r="O373" s="697"/>
      <c r="P373" s="697"/>
      <c r="Q373" s="697"/>
      <c r="R373" s="697"/>
      <c r="S373" s="697"/>
      <c r="T373" s="697"/>
      <c r="U373" s="697"/>
      <c r="V373" s="697"/>
      <c r="W373" s="697"/>
      <c r="X373" s="697"/>
      <c r="Y373" s="697"/>
      <c r="Z373" s="697"/>
      <c r="AA373" s="697"/>
      <c r="AB373" s="697"/>
      <c r="AC373" s="697"/>
      <c r="AD373" s="697"/>
      <c r="AE373" s="697"/>
      <c r="AF373" s="697"/>
      <c r="AG373" s="697"/>
      <c r="AH373" s="697"/>
      <c r="AI373" s="697"/>
      <c r="AJ373" s="697"/>
      <c r="AK373" s="697"/>
      <c r="AL373" s="697"/>
      <c r="AM373" s="697"/>
      <c r="AN373" s="697"/>
      <c r="AO373" s="697"/>
      <c r="AP373" s="697"/>
      <c r="AQ373" s="697"/>
      <c r="AR373" s="697"/>
      <c r="AS373" s="697"/>
      <c r="AT373" s="697"/>
      <c r="AU373" s="697"/>
      <c r="AV373" s="697"/>
      <c r="AW373" s="697"/>
      <c r="AX373" s="697"/>
      <c r="AY373" s="697"/>
      <c r="AZ373" s="697"/>
      <c r="BA373" s="697"/>
      <c r="BB373" s="697"/>
      <c r="BC373" s="697"/>
      <c r="BD373" s="697"/>
      <c r="BE373" s="697"/>
      <c r="BF373" s="697"/>
      <c r="BG373" s="697"/>
      <c r="BH373" s="697"/>
      <c r="BI373" s="697"/>
      <c r="BJ373" s="697"/>
      <c r="BK373" s="697"/>
      <c r="BL373" s="697"/>
      <c r="BM373" s="697"/>
      <c r="BN373" s="697"/>
      <c r="BO373" s="697"/>
      <c r="BP373" s="697"/>
      <c r="BQ373" s="697"/>
      <c r="BR373" s="697"/>
      <c r="BS373" s="697"/>
      <c r="BT373" s="697"/>
      <c r="BU373" s="697"/>
      <c r="BV373" s="697"/>
      <c r="BW373" s="697"/>
      <c r="BX373" s="697"/>
      <c r="BY373" s="697"/>
      <c r="BZ373" s="697"/>
      <c r="CA373" s="697"/>
      <c r="CB373" s="697"/>
      <c r="CC373" s="697"/>
      <c r="CD373" s="697"/>
      <c r="CE373" s="697"/>
      <c r="CF373" s="697"/>
      <c r="CG373" s="697"/>
      <c r="CH373" s="697"/>
      <c r="CI373" s="697"/>
      <c r="CJ373" s="697"/>
      <c r="CK373" s="697"/>
      <c r="CL373" s="697"/>
      <c r="CM373" s="697"/>
      <c r="CN373" s="697"/>
      <c r="CO373" s="697"/>
      <c r="CP373" s="697"/>
      <c r="CQ373" s="697"/>
      <c r="CR373" s="697"/>
      <c r="CS373" s="697"/>
      <c r="CT373" s="697"/>
      <c r="CU373" s="697"/>
      <c r="CV373" s="697"/>
      <c r="CW373" s="697"/>
      <c r="CX373" s="697"/>
      <c r="CY373" s="697"/>
      <c r="CZ373" s="697"/>
      <c r="DA373" s="697"/>
      <c r="DB373" s="697"/>
    </row>
    <row r="374" spans="1:106" hidden="1" outlineLevel="1" x14ac:dyDescent="0.2">
      <c r="A374" s="709">
        <f t="shared" si="77"/>
        <v>39083</v>
      </c>
      <c r="B374" s="709" t="str">
        <f t="shared" si="78"/>
        <v>1Q07</v>
      </c>
      <c r="C374" s="709" t="str">
        <f t="shared" si="79"/>
        <v>1Q07</v>
      </c>
      <c r="D374" s="710">
        <f t="shared" si="85"/>
        <v>39168</v>
      </c>
      <c r="E374" s="710">
        <f t="shared" si="85"/>
        <v>39108</v>
      </c>
      <c r="F374" s="712">
        <v>53.57</v>
      </c>
      <c r="G374" s="713">
        <f t="shared" si="80"/>
        <v>1.4900000000000011</v>
      </c>
      <c r="H374" s="713">
        <f t="shared" si="81"/>
        <v>1.4900000000000011</v>
      </c>
      <c r="I374" s="697"/>
      <c r="J374" s="697"/>
      <c r="K374" s="697"/>
      <c r="L374" s="697"/>
      <c r="M374" s="697"/>
      <c r="N374" s="697"/>
      <c r="O374" s="697"/>
      <c r="P374" s="697"/>
      <c r="Q374" s="697"/>
      <c r="R374" s="697"/>
      <c r="S374" s="697"/>
      <c r="T374" s="697"/>
      <c r="U374" s="697"/>
      <c r="V374" s="697"/>
      <c r="W374" s="697"/>
      <c r="X374" s="697"/>
      <c r="Y374" s="697"/>
      <c r="Z374" s="697"/>
      <c r="AA374" s="697"/>
      <c r="AB374" s="697"/>
      <c r="AC374" s="697"/>
      <c r="AD374" s="697"/>
      <c r="AE374" s="697"/>
      <c r="AF374" s="697"/>
      <c r="AG374" s="697"/>
      <c r="AH374" s="697"/>
      <c r="AI374" s="697"/>
      <c r="AJ374" s="697"/>
      <c r="AK374" s="697"/>
      <c r="AL374" s="697"/>
      <c r="AM374" s="697"/>
      <c r="AN374" s="697"/>
      <c r="AO374" s="697"/>
      <c r="AP374" s="697"/>
      <c r="AQ374" s="697"/>
      <c r="AR374" s="697"/>
      <c r="AS374" s="697"/>
      <c r="AT374" s="697"/>
      <c r="AU374" s="697"/>
      <c r="AV374" s="697"/>
      <c r="AW374" s="697"/>
      <c r="AX374" s="697"/>
      <c r="AY374" s="697"/>
      <c r="AZ374" s="697"/>
      <c r="BA374" s="697"/>
      <c r="BB374" s="697"/>
      <c r="BC374" s="697"/>
      <c r="BD374" s="697"/>
      <c r="BE374" s="697"/>
      <c r="BF374" s="697"/>
      <c r="BG374" s="697"/>
      <c r="BH374" s="697"/>
      <c r="BI374" s="697"/>
      <c r="BJ374" s="697"/>
      <c r="BK374" s="697"/>
      <c r="BL374" s="697"/>
      <c r="BM374" s="697"/>
      <c r="BN374" s="697"/>
      <c r="BO374" s="697"/>
      <c r="BP374" s="697"/>
      <c r="BQ374" s="697"/>
      <c r="BR374" s="697"/>
      <c r="BS374" s="697"/>
      <c r="BT374" s="697"/>
      <c r="BU374" s="697"/>
      <c r="BV374" s="697"/>
      <c r="BW374" s="697"/>
      <c r="BX374" s="697"/>
      <c r="BY374" s="697"/>
      <c r="BZ374" s="697"/>
      <c r="CA374" s="697"/>
      <c r="CB374" s="697"/>
      <c r="CC374" s="697"/>
      <c r="CD374" s="697"/>
      <c r="CE374" s="697"/>
      <c r="CF374" s="697"/>
      <c r="CG374" s="697"/>
      <c r="CH374" s="697"/>
      <c r="CI374" s="697"/>
      <c r="CJ374" s="697"/>
      <c r="CK374" s="697"/>
      <c r="CL374" s="697"/>
      <c r="CM374" s="697"/>
      <c r="CN374" s="697"/>
      <c r="CO374" s="697"/>
      <c r="CP374" s="697"/>
      <c r="CQ374" s="697"/>
      <c r="CR374" s="697"/>
      <c r="CS374" s="697"/>
      <c r="CT374" s="697"/>
      <c r="CU374" s="697"/>
      <c r="CV374" s="697"/>
      <c r="CW374" s="697"/>
      <c r="CX374" s="697"/>
      <c r="CY374" s="697"/>
      <c r="CZ374" s="697"/>
      <c r="DA374" s="697"/>
      <c r="DB374" s="697"/>
    </row>
    <row r="375" spans="1:106" hidden="1" outlineLevel="1" x14ac:dyDescent="0.2">
      <c r="A375" s="709">
        <f t="shared" si="77"/>
        <v>39114</v>
      </c>
      <c r="B375" s="709" t="str">
        <f t="shared" si="78"/>
        <v>1Q07</v>
      </c>
      <c r="C375" s="709" t="str">
        <f t="shared" si="79"/>
        <v>2Q07</v>
      </c>
      <c r="D375" s="710">
        <f t="shared" si="85"/>
        <v>39175</v>
      </c>
      <c r="E375" s="710">
        <f t="shared" si="85"/>
        <v>39115</v>
      </c>
      <c r="F375" s="712">
        <v>57.11</v>
      </c>
      <c r="G375" s="713">
        <f t="shared" si="80"/>
        <v>1.4900000000000011</v>
      </c>
      <c r="H375" s="713">
        <f t="shared" si="81"/>
        <v>1.4900000000000011</v>
      </c>
      <c r="I375" s="697"/>
      <c r="J375" s="697"/>
      <c r="K375" s="697"/>
      <c r="L375" s="697"/>
      <c r="M375" s="697"/>
      <c r="N375" s="697"/>
      <c r="O375" s="697"/>
      <c r="P375" s="697"/>
      <c r="Q375" s="697"/>
      <c r="R375" s="697"/>
      <c r="S375" s="697"/>
      <c r="T375" s="697"/>
      <c r="U375" s="697"/>
      <c r="V375" s="697"/>
      <c r="W375" s="697"/>
      <c r="X375" s="697"/>
      <c r="Y375" s="697"/>
      <c r="Z375" s="697"/>
      <c r="AA375" s="697"/>
      <c r="AB375" s="697"/>
      <c r="AC375" s="697"/>
      <c r="AD375" s="697"/>
      <c r="AE375" s="697"/>
      <c r="AF375" s="697"/>
      <c r="AG375" s="697"/>
      <c r="AH375" s="697"/>
      <c r="AI375" s="697"/>
      <c r="AJ375" s="697"/>
      <c r="AK375" s="697"/>
      <c r="AL375" s="697"/>
      <c r="AM375" s="697"/>
      <c r="AN375" s="697"/>
      <c r="AO375" s="697"/>
      <c r="AP375" s="697"/>
      <c r="AQ375" s="697"/>
      <c r="AR375" s="697"/>
      <c r="AS375" s="697"/>
      <c r="AT375" s="697"/>
      <c r="AU375" s="697"/>
      <c r="AV375" s="697"/>
      <c r="AW375" s="697"/>
      <c r="AX375" s="697"/>
      <c r="AY375" s="697"/>
      <c r="AZ375" s="697"/>
      <c r="BA375" s="697"/>
      <c r="BB375" s="697"/>
      <c r="BC375" s="697"/>
      <c r="BD375" s="697"/>
      <c r="BE375" s="697"/>
      <c r="BF375" s="697"/>
      <c r="BG375" s="697"/>
      <c r="BH375" s="697"/>
      <c r="BI375" s="697"/>
      <c r="BJ375" s="697"/>
      <c r="BK375" s="697"/>
      <c r="BL375" s="697"/>
      <c r="BM375" s="697"/>
      <c r="BN375" s="697"/>
      <c r="BO375" s="697"/>
      <c r="BP375" s="697"/>
      <c r="BQ375" s="697"/>
      <c r="BR375" s="697"/>
      <c r="BS375" s="697"/>
      <c r="BT375" s="697"/>
      <c r="BU375" s="697"/>
      <c r="BV375" s="697"/>
      <c r="BW375" s="697"/>
      <c r="BX375" s="697"/>
      <c r="BY375" s="697"/>
      <c r="BZ375" s="697"/>
      <c r="CA375" s="697"/>
      <c r="CB375" s="697"/>
      <c r="CC375" s="697"/>
      <c r="CD375" s="697"/>
      <c r="CE375" s="697"/>
      <c r="CF375" s="697"/>
      <c r="CG375" s="697"/>
      <c r="CH375" s="697"/>
      <c r="CI375" s="697"/>
      <c r="CJ375" s="697"/>
      <c r="CK375" s="697"/>
      <c r="CL375" s="697"/>
      <c r="CM375" s="697"/>
      <c r="CN375" s="697"/>
      <c r="CO375" s="697"/>
      <c r="CP375" s="697"/>
      <c r="CQ375" s="697"/>
      <c r="CR375" s="697"/>
      <c r="CS375" s="697"/>
      <c r="CT375" s="697"/>
      <c r="CU375" s="697"/>
      <c r="CV375" s="697"/>
      <c r="CW375" s="697"/>
      <c r="CX375" s="697"/>
      <c r="CY375" s="697"/>
      <c r="CZ375" s="697"/>
      <c r="DA375" s="697"/>
      <c r="DB375" s="697"/>
    </row>
    <row r="376" spans="1:106" hidden="1" outlineLevel="1" x14ac:dyDescent="0.2">
      <c r="A376" s="709">
        <f t="shared" si="77"/>
        <v>39114</v>
      </c>
      <c r="B376" s="709" t="str">
        <f t="shared" si="78"/>
        <v>1Q07</v>
      </c>
      <c r="C376" s="709" t="str">
        <f t="shared" si="79"/>
        <v>2Q07</v>
      </c>
      <c r="D376" s="710">
        <f t="shared" si="85"/>
        <v>39182</v>
      </c>
      <c r="E376" s="710">
        <f t="shared" si="85"/>
        <v>39122</v>
      </c>
      <c r="F376" s="712">
        <v>58.99</v>
      </c>
      <c r="G376" s="713">
        <f t="shared" si="80"/>
        <v>1.4900000000000011</v>
      </c>
      <c r="H376" s="713">
        <f t="shared" si="81"/>
        <v>1.4900000000000011</v>
      </c>
      <c r="I376" s="697"/>
      <c r="J376" s="697"/>
      <c r="K376" s="697"/>
      <c r="L376" s="697"/>
      <c r="M376" s="697"/>
      <c r="N376" s="697"/>
      <c r="O376" s="697"/>
      <c r="P376" s="697"/>
      <c r="Q376" s="697"/>
      <c r="R376" s="697"/>
      <c r="S376" s="697"/>
      <c r="T376" s="697"/>
      <c r="U376" s="697"/>
      <c r="V376" s="697"/>
      <c r="W376" s="697"/>
      <c r="X376" s="697"/>
      <c r="Y376" s="697"/>
      <c r="Z376" s="697"/>
      <c r="AA376" s="697"/>
      <c r="AB376" s="697"/>
      <c r="AC376" s="697"/>
      <c r="AD376" s="697"/>
      <c r="AE376" s="697"/>
      <c r="AF376" s="697"/>
      <c r="AG376" s="697"/>
      <c r="AH376" s="697"/>
      <c r="AI376" s="697"/>
      <c r="AJ376" s="697"/>
      <c r="AK376" s="697"/>
      <c r="AL376" s="697"/>
      <c r="AM376" s="697"/>
      <c r="AN376" s="697"/>
      <c r="AO376" s="697"/>
      <c r="AP376" s="697"/>
      <c r="AQ376" s="697"/>
      <c r="AR376" s="697"/>
      <c r="AS376" s="697"/>
      <c r="AT376" s="697"/>
      <c r="AU376" s="697"/>
      <c r="AV376" s="697"/>
      <c r="AW376" s="697"/>
      <c r="AX376" s="697"/>
      <c r="AY376" s="697"/>
      <c r="AZ376" s="697"/>
      <c r="BA376" s="697"/>
      <c r="BB376" s="697"/>
      <c r="BC376" s="697"/>
      <c r="BD376" s="697"/>
      <c r="BE376" s="697"/>
      <c r="BF376" s="697"/>
      <c r="BG376" s="697"/>
      <c r="BH376" s="697"/>
      <c r="BI376" s="697"/>
      <c r="BJ376" s="697"/>
      <c r="BK376" s="697"/>
      <c r="BL376" s="697"/>
      <c r="BM376" s="697"/>
      <c r="BN376" s="697"/>
      <c r="BO376" s="697"/>
      <c r="BP376" s="697"/>
      <c r="BQ376" s="697"/>
      <c r="BR376" s="697"/>
      <c r="BS376" s="697"/>
      <c r="BT376" s="697"/>
      <c r="BU376" s="697"/>
      <c r="BV376" s="697"/>
      <c r="BW376" s="697"/>
      <c r="BX376" s="697"/>
      <c r="BY376" s="697"/>
      <c r="BZ376" s="697"/>
      <c r="CA376" s="697"/>
      <c r="CB376" s="697"/>
      <c r="CC376" s="697"/>
      <c r="CD376" s="697"/>
      <c r="CE376" s="697"/>
      <c r="CF376" s="697"/>
      <c r="CG376" s="697"/>
      <c r="CH376" s="697"/>
      <c r="CI376" s="697"/>
      <c r="CJ376" s="697"/>
      <c r="CK376" s="697"/>
      <c r="CL376" s="697"/>
      <c r="CM376" s="697"/>
      <c r="CN376" s="697"/>
      <c r="CO376" s="697"/>
      <c r="CP376" s="697"/>
      <c r="CQ376" s="697"/>
      <c r="CR376" s="697"/>
      <c r="CS376" s="697"/>
      <c r="CT376" s="697"/>
      <c r="CU376" s="697"/>
      <c r="CV376" s="697"/>
      <c r="CW376" s="697"/>
      <c r="CX376" s="697"/>
      <c r="CY376" s="697"/>
      <c r="CZ376" s="697"/>
      <c r="DA376" s="697"/>
      <c r="DB376" s="697"/>
    </row>
    <row r="377" spans="1:106" hidden="1" outlineLevel="1" x14ac:dyDescent="0.2">
      <c r="A377" s="709">
        <f t="shared" si="77"/>
        <v>39114</v>
      </c>
      <c r="B377" s="709" t="str">
        <f t="shared" si="78"/>
        <v>1Q07</v>
      </c>
      <c r="C377" s="709" t="str">
        <f t="shared" si="79"/>
        <v>2Q07</v>
      </c>
      <c r="D377" s="710">
        <f t="shared" si="85"/>
        <v>39189</v>
      </c>
      <c r="E377" s="710">
        <f t="shared" si="85"/>
        <v>39129</v>
      </c>
      <c r="F377" s="712">
        <v>58.41</v>
      </c>
      <c r="G377" s="713">
        <f t="shared" si="80"/>
        <v>1.4900000000000011</v>
      </c>
      <c r="H377" s="713">
        <f t="shared" si="81"/>
        <v>1.4900000000000011</v>
      </c>
      <c r="I377" s="697"/>
      <c r="J377" s="697"/>
      <c r="K377" s="697"/>
      <c r="L377" s="697"/>
      <c r="M377" s="697"/>
      <c r="N377" s="697"/>
      <c r="O377" s="697"/>
      <c r="P377" s="697"/>
      <c r="Q377" s="697"/>
      <c r="R377" s="697"/>
      <c r="S377" s="697"/>
      <c r="T377" s="697"/>
      <c r="U377" s="697"/>
      <c r="V377" s="697"/>
      <c r="W377" s="697"/>
      <c r="X377" s="697"/>
      <c r="Y377" s="697"/>
      <c r="Z377" s="697"/>
      <c r="AA377" s="697"/>
      <c r="AB377" s="697"/>
      <c r="AC377" s="697"/>
      <c r="AD377" s="697"/>
      <c r="AE377" s="697"/>
      <c r="AF377" s="697"/>
      <c r="AG377" s="697"/>
      <c r="AH377" s="697"/>
      <c r="AI377" s="697"/>
      <c r="AJ377" s="697"/>
      <c r="AK377" s="697"/>
      <c r="AL377" s="697"/>
      <c r="AM377" s="697"/>
      <c r="AN377" s="697"/>
      <c r="AO377" s="697"/>
      <c r="AP377" s="697"/>
      <c r="AQ377" s="697"/>
      <c r="AR377" s="697"/>
      <c r="AS377" s="697"/>
      <c r="AT377" s="697"/>
      <c r="AU377" s="697"/>
      <c r="AV377" s="697"/>
      <c r="AW377" s="697"/>
      <c r="AX377" s="697"/>
      <c r="AY377" s="697"/>
      <c r="AZ377" s="697"/>
      <c r="BA377" s="697"/>
      <c r="BB377" s="697"/>
      <c r="BC377" s="697"/>
      <c r="BD377" s="697"/>
      <c r="BE377" s="697"/>
      <c r="BF377" s="697"/>
      <c r="BG377" s="697"/>
      <c r="BH377" s="697"/>
      <c r="BI377" s="697"/>
      <c r="BJ377" s="697"/>
      <c r="BK377" s="697"/>
      <c r="BL377" s="697"/>
      <c r="BM377" s="697"/>
      <c r="BN377" s="697"/>
      <c r="BO377" s="697"/>
      <c r="BP377" s="697"/>
      <c r="BQ377" s="697"/>
      <c r="BR377" s="697"/>
      <c r="BS377" s="697"/>
      <c r="BT377" s="697"/>
      <c r="BU377" s="697"/>
      <c r="BV377" s="697"/>
      <c r="BW377" s="697"/>
      <c r="BX377" s="697"/>
      <c r="BY377" s="697"/>
      <c r="BZ377" s="697"/>
      <c r="CA377" s="697"/>
      <c r="CB377" s="697"/>
      <c r="CC377" s="697"/>
      <c r="CD377" s="697"/>
      <c r="CE377" s="697"/>
      <c r="CF377" s="697"/>
      <c r="CG377" s="697"/>
      <c r="CH377" s="697"/>
      <c r="CI377" s="697"/>
      <c r="CJ377" s="697"/>
      <c r="CK377" s="697"/>
      <c r="CL377" s="697"/>
      <c r="CM377" s="697"/>
      <c r="CN377" s="697"/>
      <c r="CO377" s="697"/>
      <c r="CP377" s="697"/>
      <c r="CQ377" s="697"/>
      <c r="CR377" s="697"/>
      <c r="CS377" s="697"/>
      <c r="CT377" s="697"/>
      <c r="CU377" s="697"/>
      <c r="CV377" s="697"/>
      <c r="CW377" s="697"/>
      <c r="CX377" s="697"/>
      <c r="CY377" s="697"/>
      <c r="CZ377" s="697"/>
      <c r="DA377" s="697"/>
      <c r="DB377" s="697"/>
    </row>
    <row r="378" spans="1:106" hidden="1" outlineLevel="1" x14ac:dyDescent="0.2">
      <c r="A378" s="709">
        <f t="shared" si="77"/>
        <v>39114</v>
      </c>
      <c r="B378" s="709" t="str">
        <f t="shared" si="78"/>
        <v>1Q07</v>
      </c>
      <c r="C378" s="709" t="str">
        <f t="shared" si="79"/>
        <v>2Q07</v>
      </c>
      <c r="D378" s="710">
        <f t="shared" si="85"/>
        <v>39196</v>
      </c>
      <c r="E378" s="710">
        <f t="shared" si="85"/>
        <v>39136</v>
      </c>
      <c r="F378" s="712">
        <v>59.57</v>
      </c>
      <c r="G378" s="713">
        <f t="shared" si="80"/>
        <v>1.4900000000000011</v>
      </c>
      <c r="H378" s="713">
        <f t="shared" si="81"/>
        <v>1.4900000000000011</v>
      </c>
      <c r="I378" s="697"/>
      <c r="J378" s="697"/>
      <c r="K378" s="697"/>
      <c r="L378" s="697"/>
      <c r="M378" s="697"/>
      <c r="N378" s="697"/>
      <c r="O378" s="697"/>
      <c r="P378" s="697"/>
      <c r="Q378" s="697"/>
      <c r="R378" s="697"/>
      <c r="S378" s="697"/>
      <c r="T378" s="697"/>
      <c r="U378" s="697"/>
      <c r="V378" s="697"/>
      <c r="W378" s="697"/>
      <c r="X378" s="697"/>
      <c r="Y378" s="697"/>
      <c r="Z378" s="697"/>
      <c r="AA378" s="697"/>
      <c r="AB378" s="697"/>
      <c r="AC378" s="697"/>
      <c r="AD378" s="697"/>
      <c r="AE378" s="697"/>
      <c r="AF378" s="697"/>
      <c r="AG378" s="697"/>
      <c r="AH378" s="697"/>
      <c r="AI378" s="697"/>
      <c r="AJ378" s="697"/>
      <c r="AK378" s="697"/>
      <c r="AL378" s="697"/>
      <c r="AM378" s="697"/>
      <c r="AN378" s="697"/>
      <c r="AO378" s="697"/>
      <c r="AP378" s="697"/>
      <c r="AQ378" s="697"/>
      <c r="AR378" s="697"/>
      <c r="AS378" s="697"/>
      <c r="AT378" s="697"/>
      <c r="AU378" s="697"/>
      <c r="AV378" s="697"/>
      <c r="AW378" s="697"/>
      <c r="AX378" s="697"/>
      <c r="AY378" s="697"/>
      <c r="AZ378" s="697"/>
      <c r="BA378" s="697"/>
      <c r="BB378" s="697"/>
      <c r="BC378" s="697"/>
      <c r="BD378" s="697"/>
      <c r="BE378" s="697"/>
      <c r="BF378" s="697"/>
      <c r="BG378" s="697"/>
      <c r="BH378" s="697"/>
      <c r="BI378" s="697"/>
      <c r="BJ378" s="697"/>
      <c r="BK378" s="697"/>
      <c r="BL378" s="697"/>
      <c r="BM378" s="697"/>
      <c r="BN378" s="697"/>
      <c r="BO378" s="697"/>
      <c r="BP378" s="697"/>
      <c r="BQ378" s="697"/>
      <c r="BR378" s="697"/>
      <c r="BS378" s="697"/>
      <c r="BT378" s="697"/>
      <c r="BU378" s="697"/>
      <c r="BV378" s="697"/>
      <c r="BW378" s="697"/>
      <c r="BX378" s="697"/>
      <c r="BY378" s="697"/>
      <c r="BZ378" s="697"/>
      <c r="CA378" s="697"/>
      <c r="CB378" s="697"/>
      <c r="CC378" s="697"/>
      <c r="CD378" s="697"/>
      <c r="CE378" s="697"/>
      <c r="CF378" s="697"/>
      <c r="CG378" s="697"/>
      <c r="CH378" s="697"/>
      <c r="CI378" s="697"/>
      <c r="CJ378" s="697"/>
      <c r="CK378" s="697"/>
      <c r="CL378" s="697"/>
      <c r="CM378" s="697"/>
      <c r="CN378" s="697"/>
      <c r="CO378" s="697"/>
      <c r="CP378" s="697"/>
      <c r="CQ378" s="697"/>
      <c r="CR378" s="697"/>
      <c r="CS378" s="697"/>
      <c r="CT378" s="697"/>
      <c r="CU378" s="697"/>
      <c r="CV378" s="697"/>
      <c r="CW378" s="697"/>
      <c r="CX378" s="697"/>
      <c r="CY378" s="697"/>
      <c r="CZ378" s="697"/>
      <c r="DA378" s="697"/>
      <c r="DB378" s="697"/>
    </row>
    <row r="379" spans="1:106" hidden="1" outlineLevel="1" x14ac:dyDescent="0.2">
      <c r="A379" s="709">
        <f t="shared" si="77"/>
        <v>39142</v>
      </c>
      <c r="B379" s="709" t="str">
        <f t="shared" si="78"/>
        <v>1Q07</v>
      </c>
      <c r="C379" s="709" t="str">
        <f t="shared" si="79"/>
        <v>2Q07</v>
      </c>
      <c r="D379" s="710">
        <f t="shared" si="85"/>
        <v>39203</v>
      </c>
      <c r="E379" s="710">
        <f t="shared" si="85"/>
        <v>39143</v>
      </c>
      <c r="F379" s="712">
        <v>61.64</v>
      </c>
      <c r="G379" s="713">
        <f t="shared" si="80"/>
        <v>1.4900000000000011</v>
      </c>
      <c r="H379" s="713">
        <f t="shared" si="81"/>
        <v>1.4900000000000011</v>
      </c>
      <c r="I379" s="697"/>
      <c r="J379" s="697"/>
      <c r="K379" s="697"/>
      <c r="L379" s="697"/>
      <c r="M379" s="697"/>
      <c r="N379" s="697"/>
      <c r="O379" s="697"/>
      <c r="P379" s="697"/>
      <c r="Q379" s="697"/>
      <c r="R379" s="697"/>
      <c r="S379" s="697"/>
      <c r="T379" s="697"/>
      <c r="U379" s="697"/>
      <c r="V379" s="697"/>
      <c r="W379" s="697"/>
      <c r="X379" s="697"/>
      <c r="Y379" s="697"/>
      <c r="Z379" s="697"/>
      <c r="AA379" s="697"/>
      <c r="AB379" s="697"/>
      <c r="AC379" s="697"/>
      <c r="AD379" s="697"/>
      <c r="AE379" s="697"/>
      <c r="AF379" s="697"/>
      <c r="AG379" s="697"/>
      <c r="AH379" s="697"/>
      <c r="AI379" s="697"/>
      <c r="AJ379" s="697"/>
      <c r="AK379" s="697"/>
      <c r="AL379" s="697"/>
      <c r="AM379" s="697"/>
      <c r="AN379" s="697"/>
      <c r="AO379" s="697"/>
      <c r="AP379" s="697"/>
      <c r="AQ379" s="697"/>
      <c r="AR379" s="697"/>
      <c r="AS379" s="697"/>
      <c r="AT379" s="697"/>
      <c r="AU379" s="697"/>
      <c r="AV379" s="697"/>
      <c r="AW379" s="697"/>
      <c r="AX379" s="697"/>
      <c r="AY379" s="697"/>
      <c r="AZ379" s="697"/>
      <c r="BA379" s="697"/>
      <c r="BB379" s="697"/>
      <c r="BC379" s="697"/>
      <c r="BD379" s="697"/>
      <c r="BE379" s="697"/>
      <c r="BF379" s="697"/>
      <c r="BG379" s="697"/>
      <c r="BH379" s="697"/>
      <c r="BI379" s="697"/>
      <c r="BJ379" s="697"/>
      <c r="BK379" s="697"/>
      <c r="BL379" s="697"/>
      <c r="BM379" s="697"/>
      <c r="BN379" s="697"/>
      <c r="BO379" s="697"/>
      <c r="BP379" s="697"/>
      <c r="BQ379" s="697"/>
      <c r="BR379" s="697"/>
      <c r="BS379" s="697"/>
      <c r="BT379" s="697"/>
      <c r="BU379" s="697"/>
      <c r="BV379" s="697"/>
      <c r="BW379" s="697"/>
      <c r="BX379" s="697"/>
      <c r="BY379" s="697"/>
      <c r="BZ379" s="697"/>
      <c r="CA379" s="697"/>
      <c r="CB379" s="697"/>
      <c r="CC379" s="697"/>
      <c r="CD379" s="697"/>
      <c r="CE379" s="697"/>
      <c r="CF379" s="697"/>
      <c r="CG379" s="697"/>
      <c r="CH379" s="697"/>
      <c r="CI379" s="697"/>
      <c r="CJ379" s="697"/>
      <c r="CK379" s="697"/>
      <c r="CL379" s="697"/>
      <c r="CM379" s="697"/>
      <c r="CN379" s="697"/>
      <c r="CO379" s="697"/>
      <c r="CP379" s="697"/>
      <c r="CQ379" s="697"/>
      <c r="CR379" s="697"/>
      <c r="CS379" s="697"/>
      <c r="CT379" s="697"/>
      <c r="CU379" s="697"/>
      <c r="CV379" s="697"/>
      <c r="CW379" s="697"/>
      <c r="CX379" s="697"/>
      <c r="CY379" s="697"/>
      <c r="CZ379" s="697"/>
      <c r="DA379" s="697"/>
      <c r="DB379" s="697"/>
    </row>
    <row r="380" spans="1:106" hidden="1" outlineLevel="1" x14ac:dyDescent="0.2">
      <c r="A380" s="709">
        <f t="shared" si="77"/>
        <v>39142</v>
      </c>
      <c r="B380" s="709" t="str">
        <f t="shared" si="78"/>
        <v>1Q07</v>
      </c>
      <c r="C380" s="709" t="str">
        <f t="shared" si="79"/>
        <v>2Q07</v>
      </c>
      <c r="D380" s="710">
        <f t="shared" si="85"/>
        <v>39210</v>
      </c>
      <c r="E380" s="710">
        <f t="shared" si="85"/>
        <v>39150</v>
      </c>
      <c r="F380" s="712">
        <v>60.85</v>
      </c>
      <c r="G380" s="713">
        <f t="shared" si="80"/>
        <v>1.4900000000000011</v>
      </c>
      <c r="H380" s="713">
        <f t="shared" si="81"/>
        <v>1.4900000000000011</v>
      </c>
      <c r="I380" s="697"/>
      <c r="J380" s="697"/>
      <c r="K380" s="697"/>
      <c r="L380" s="697"/>
      <c r="M380" s="697"/>
      <c r="N380" s="697"/>
      <c r="O380" s="697"/>
      <c r="P380" s="697"/>
      <c r="Q380" s="697"/>
      <c r="R380" s="697"/>
      <c r="S380" s="697"/>
      <c r="T380" s="697"/>
      <c r="U380" s="697"/>
      <c r="V380" s="697"/>
      <c r="W380" s="697"/>
      <c r="X380" s="697"/>
      <c r="Y380" s="697"/>
      <c r="Z380" s="697"/>
      <c r="AA380" s="697"/>
      <c r="AB380" s="697"/>
      <c r="AC380" s="697"/>
      <c r="AD380" s="697"/>
      <c r="AE380" s="697"/>
      <c r="AF380" s="697"/>
      <c r="AG380" s="697"/>
      <c r="AH380" s="697"/>
      <c r="AI380" s="697"/>
      <c r="AJ380" s="697"/>
      <c r="AK380" s="697"/>
      <c r="AL380" s="697"/>
      <c r="AM380" s="697"/>
      <c r="AN380" s="697"/>
      <c r="AO380" s="697"/>
      <c r="AP380" s="697"/>
      <c r="AQ380" s="697"/>
      <c r="AR380" s="697"/>
      <c r="AS380" s="697"/>
      <c r="AT380" s="697"/>
      <c r="AU380" s="697"/>
      <c r="AV380" s="697"/>
      <c r="AW380" s="697"/>
      <c r="AX380" s="697"/>
      <c r="AY380" s="697"/>
      <c r="AZ380" s="697"/>
      <c r="BA380" s="697"/>
      <c r="BB380" s="697"/>
      <c r="BC380" s="697"/>
      <c r="BD380" s="697"/>
      <c r="BE380" s="697"/>
      <c r="BF380" s="697"/>
      <c r="BG380" s="697"/>
      <c r="BH380" s="697"/>
      <c r="BI380" s="697"/>
      <c r="BJ380" s="697"/>
      <c r="BK380" s="697"/>
      <c r="BL380" s="697"/>
      <c r="BM380" s="697"/>
      <c r="BN380" s="697"/>
      <c r="BO380" s="697"/>
      <c r="BP380" s="697"/>
      <c r="BQ380" s="697"/>
      <c r="BR380" s="697"/>
      <c r="BS380" s="697"/>
      <c r="BT380" s="697"/>
      <c r="BU380" s="697"/>
      <c r="BV380" s="697"/>
      <c r="BW380" s="697"/>
      <c r="BX380" s="697"/>
      <c r="BY380" s="697"/>
      <c r="BZ380" s="697"/>
      <c r="CA380" s="697"/>
      <c r="CB380" s="697"/>
      <c r="CC380" s="697"/>
      <c r="CD380" s="697"/>
      <c r="CE380" s="697"/>
      <c r="CF380" s="697"/>
      <c r="CG380" s="697"/>
      <c r="CH380" s="697"/>
      <c r="CI380" s="697"/>
      <c r="CJ380" s="697"/>
      <c r="CK380" s="697"/>
      <c r="CL380" s="697"/>
      <c r="CM380" s="697"/>
      <c r="CN380" s="697"/>
      <c r="CO380" s="697"/>
      <c r="CP380" s="697"/>
      <c r="CQ380" s="697"/>
      <c r="CR380" s="697"/>
      <c r="CS380" s="697"/>
      <c r="CT380" s="697"/>
      <c r="CU380" s="697"/>
      <c r="CV380" s="697"/>
      <c r="CW380" s="697"/>
      <c r="CX380" s="697"/>
      <c r="CY380" s="697"/>
      <c r="CZ380" s="697"/>
      <c r="DA380" s="697"/>
      <c r="DB380" s="697"/>
    </row>
    <row r="381" spans="1:106" hidden="1" outlineLevel="1" x14ac:dyDescent="0.2">
      <c r="A381" s="709">
        <f t="shared" si="77"/>
        <v>39142</v>
      </c>
      <c r="B381" s="709" t="str">
        <f t="shared" si="78"/>
        <v>1Q07</v>
      </c>
      <c r="C381" s="709" t="str">
        <f t="shared" si="79"/>
        <v>2Q07</v>
      </c>
      <c r="D381" s="710">
        <f t="shared" si="85"/>
        <v>39217</v>
      </c>
      <c r="E381" s="710">
        <f t="shared" si="85"/>
        <v>39157</v>
      </c>
      <c r="F381" s="712">
        <v>57.94</v>
      </c>
      <c r="G381" s="713">
        <f t="shared" si="80"/>
        <v>1.4900000000000011</v>
      </c>
      <c r="H381" s="713">
        <f t="shared" si="81"/>
        <v>1.4900000000000011</v>
      </c>
      <c r="I381" s="697"/>
      <c r="J381" s="697"/>
      <c r="K381" s="697"/>
      <c r="L381" s="697"/>
      <c r="M381" s="697"/>
      <c r="N381" s="697"/>
      <c r="O381" s="697"/>
      <c r="P381" s="697"/>
      <c r="Q381" s="697"/>
      <c r="R381" s="697"/>
      <c r="S381" s="697"/>
      <c r="T381" s="697"/>
      <c r="U381" s="697"/>
      <c r="V381" s="697"/>
      <c r="W381" s="697"/>
      <c r="X381" s="697"/>
      <c r="Y381" s="697"/>
      <c r="Z381" s="697"/>
      <c r="AA381" s="697"/>
      <c r="AB381" s="697"/>
      <c r="AC381" s="697"/>
      <c r="AD381" s="697"/>
      <c r="AE381" s="697"/>
      <c r="AF381" s="697"/>
      <c r="AG381" s="697"/>
      <c r="AH381" s="697"/>
      <c r="AI381" s="697"/>
      <c r="AJ381" s="697"/>
      <c r="AK381" s="697"/>
      <c r="AL381" s="697"/>
      <c r="AM381" s="697"/>
      <c r="AN381" s="697"/>
      <c r="AO381" s="697"/>
      <c r="AP381" s="697"/>
      <c r="AQ381" s="697"/>
      <c r="AR381" s="697"/>
      <c r="AS381" s="697"/>
      <c r="AT381" s="697"/>
      <c r="AU381" s="697"/>
      <c r="AV381" s="697"/>
      <c r="AW381" s="697"/>
      <c r="AX381" s="697"/>
      <c r="AY381" s="697"/>
      <c r="AZ381" s="697"/>
      <c r="BA381" s="697"/>
      <c r="BB381" s="697"/>
      <c r="BC381" s="697"/>
      <c r="BD381" s="697"/>
      <c r="BE381" s="697"/>
      <c r="BF381" s="697"/>
      <c r="BG381" s="697"/>
      <c r="BH381" s="697"/>
      <c r="BI381" s="697"/>
      <c r="BJ381" s="697"/>
      <c r="BK381" s="697"/>
      <c r="BL381" s="697"/>
      <c r="BM381" s="697"/>
      <c r="BN381" s="697"/>
      <c r="BO381" s="697"/>
      <c r="BP381" s="697"/>
      <c r="BQ381" s="697"/>
      <c r="BR381" s="697"/>
      <c r="BS381" s="697"/>
      <c r="BT381" s="697"/>
      <c r="BU381" s="697"/>
      <c r="BV381" s="697"/>
      <c r="BW381" s="697"/>
      <c r="BX381" s="697"/>
      <c r="BY381" s="697"/>
      <c r="BZ381" s="697"/>
      <c r="CA381" s="697"/>
      <c r="CB381" s="697"/>
      <c r="CC381" s="697"/>
      <c r="CD381" s="697"/>
      <c r="CE381" s="697"/>
      <c r="CF381" s="697"/>
      <c r="CG381" s="697"/>
      <c r="CH381" s="697"/>
      <c r="CI381" s="697"/>
      <c r="CJ381" s="697"/>
      <c r="CK381" s="697"/>
      <c r="CL381" s="697"/>
      <c r="CM381" s="697"/>
      <c r="CN381" s="697"/>
      <c r="CO381" s="697"/>
      <c r="CP381" s="697"/>
      <c r="CQ381" s="697"/>
      <c r="CR381" s="697"/>
      <c r="CS381" s="697"/>
      <c r="CT381" s="697"/>
      <c r="CU381" s="697"/>
      <c r="CV381" s="697"/>
      <c r="CW381" s="697"/>
      <c r="CX381" s="697"/>
      <c r="CY381" s="697"/>
      <c r="CZ381" s="697"/>
      <c r="DA381" s="697"/>
      <c r="DB381" s="697"/>
    </row>
    <row r="382" spans="1:106" hidden="1" outlineLevel="1" x14ac:dyDescent="0.2">
      <c r="A382" s="709">
        <f t="shared" si="77"/>
        <v>39142</v>
      </c>
      <c r="B382" s="709" t="str">
        <f t="shared" si="78"/>
        <v>1Q07</v>
      </c>
      <c r="C382" s="709" t="str">
        <f t="shared" si="79"/>
        <v>2Q07</v>
      </c>
      <c r="D382" s="710">
        <f t="shared" si="85"/>
        <v>39224</v>
      </c>
      <c r="E382" s="710">
        <f t="shared" si="85"/>
        <v>39164</v>
      </c>
      <c r="F382" s="712">
        <v>58.26</v>
      </c>
      <c r="G382" s="713">
        <f t="shared" si="80"/>
        <v>1.4900000000000011</v>
      </c>
      <c r="H382" s="713">
        <f t="shared" si="81"/>
        <v>1.4900000000000011</v>
      </c>
      <c r="I382" s="697"/>
      <c r="J382" s="697"/>
      <c r="K382" s="697"/>
      <c r="L382" s="697"/>
      <c r="M382" s="697"/>
      <c r="N382" s="697"/>
      <c r="O382" s="697"/>
      <c r="P382" s="697"/>
      <c r="Q382" s="697"/>
      <c r="R382" s="697"/>
      <c r="S382" s="697"/>
      <c r="T382" s="697"/>
      <c r="U382" s="697"/>
      <c r="V382" s="697"/>
      <c r="W382" s="697"/>
      <c r="X382" s="697"/>
      <c r="Y382" s="697"/>
      <c r="Z382" s="697"/>
      <c r="AA382" s="697"/>
      <c r="AB382" s="697"/>
      <c r="AC382" s="697"/>
      <c r="AD382" s="697"/>
      <c r="AE382" s="697"/>
      <c r="AF382" s="697"/>
      <c r="AG382" s="697"/>
      <c r="AH382" s="697"/>
      <c r="AI382" s="697"/>
      <c r="AJ382" s="697"/>
      <c r="AK382" s="697"/>
      <c r="AL382" s="697"/>
      <c r="AM382" s="697"/>
      <c r="AN382" s="697"/>
      <c r="AO382" s="697"/>
      <c r="AP382" s="697"/>
      <c r="AQ382" s="697"/>
      <c r="AR382" s="697"/>
      <c r="AS382" s="697"/>
      <c r="AT382" s="697"/>
      <c r="AU382" s="697"/>
      <c r="AV382" s="697"/>
      <c r="AW382" s="697"/>
      <c r="AX382" s="697"/>
      <c r="AY382" s="697"/>
      <c r="AZ382" s="697"/>
      <c r="BA382" s="697"/>
      <c r="BB382" s="697"/>
      <c r="BC382" s="697"/>
      <c r="BD382" s="697"/>
      <c r="BE382" s="697"/>
      <c r="BF382" s="697"/>
      <c r="BG382" s="697"/>
      <c r="BH382" s="697"/>
      <c r="BI382" s="697"/>
      <c r="BJ382" s="697"/>
      <c r="BK382" s="697"/>
      <c r="BL382" s="697"/>
      <c r="BM382" s="697"/>
      <c r="BN382" s="697"/>
      <c r="BO382" s="697"/>
      <c r="BP382" s="697"/>
      <c r="BQ382" s="697"/>
      <c r="BR382" s="697"/>
      <c r="BS382" s="697"/>
      <c r="BT382" s="697"/>
      <c r="BU382" s="697"/>
      <c r="BV382" s="697"/>
      <c r="BW382" s="697"/>
      <c r="BX382" s="697"/>
      <c r="BY382" s="697"/>
      <c r="BZ382" s="697"/>
      <c r="CA382" s="697"/>
      <c r="CB382" s="697"/>
      <c r="CC382" s="697"/>
      <c r="CD382" s="697"/>
      <c r="CE382" s="697"/>
      <c r="CF382" s="697"/>
      <c r="CG382" s="697"/>
      <c r="CH382" s="697"/>
      <c r="CI382" s="697"/>
      <c r="CJ382" s="697"/>
      <c r="CK382" s="697"/>
      <c r="CL382" s="697"/>
      <c r="CM382" s="697"/>
      <c r="CN382" s="697"/>
      <c r="CO382" s="697"/>
      <c r="CP382" s="697"/>
      <c r="CQ382" s="697"/>
      <c r="CR382" s="697"/>
      <c r="CS382" s="697"/>
      <c r="CT382" s="697"/>
      <c r="CU382" s="697"/>
      <c r="CV382" s="697"/>
      <c r="CW382" s="697"/>
      <c r="CX382" s="697"/>
      <c r="CY382" s="697"/>
      <c r="CZ382" s="697"/>
      <c r="DA382" s="697"/>
      <c r="DB382" s="697"/>
    </row>
    <row r="383" spans="1:106" hidden="1" outlineLevel="1" x14ac:dyDescent="0.2">
      <c r="A383" s="709">
        <f t="shared" si="77"/>
        <v>39142</v>
      </c>
      <c r="B383" s="709" t="str">
        <f t="shared" si="78"/>
        <v>1Q07</v>
      </c>
      <c r="C383" s="709" t="str">
        <f t="shared" si="79"/>
        <v>2Q07</v>
      </c>
      <c r="D383" s="710">
        <f t="shared" si="85"/>
        <v>39231</v>
      </c>
      <c r="E383" s="710">
        <f t="shared" si="85"/>
        <v>39171</v>
      </c>
      <c r="F383" s="712">
        <v>64.180000000000007</v>
      </c>
      <c r="G383" s="713">
        <f t="shared" si="80"/>
        <v>1.4900000000000011</v>
      </c>
      <c r="H383" s="713">
        <f t="shared" si="81"/>
        <v>1.4900000000000011</v>
      </c>
      <c r="I383" s="697"/>
      <c r="J383" s="697"/>
      <c r="K383" s="697"/>
      <c r="L383" s="697"/>
      <c r="M383" s="697"/>
      <c r="N383" s="697"/>
      <c r="O383" s="697"/>
      <c r="P383" s="697"/>
      <c r="Q383" s="697"/>
      <c r="R383" s="697"/>
      <c r="S383" s="697"/>
      <c r="T383" s="697"/>
      <c r="U383" s="697"/>
      <c r="V383" s="697"/>
      <c r="W383" s="697"/>
      <c r="X383" s="697"/>
      <c r="Y383" s="697"/>
      <c r="Z383" s="697"/>
      <c r="AA383" s="697"/>
      <c r="AB383" s="697"/>
      <c r="AC383" s="697"/>
      <c r="AD383" s="697"/>
      <c r="AE383" s="697"/>
      <c r="AF383" s="697"/>
      <c r="AG383" s="697"/>
      <c r="AH383" s="697"/>
      <c r="AI383" s="697"/>
      <c r="AJ383" s="697"/>
      <c r="AK383" s="697"/>
      <c r="AL383" s="697"/>
      <c r="AM383" s="697"/>
      <c r="AN383" s="697"/>
      <c r="AO383" s="697"/>
      <c r="AP383" s="697"/>
      <c r="AQ383" s="697"/>
      <c r="AR383" s="697"/>
      <c r="AS383" s="697"/>
      <c r="AT383" s="697"/>
      <c r="AU383" s="697"/>
      <c r="AV383" s="697"/>
      <c r="AW383" s="697"/>
      <c r="AX383" s="697"/>
      <c r="AY383" s="697"/>
      <c r="AZ383" s="697"/>
      <c r="BA383" s="697"/>
      <c r="BB383" s="697"/>
      <c r="BC383" s="697"/>
      <c r="BD383" s="697"/>
      <c r="BE383" s="697"/>
      <c r="BF383" s="697"/>
      <c r="BG383" s="697"/>
      <c r="BH383" s="697"/>
      <c r="BI383" s="697"/>
      <c r="BJ383" s="697"/>
      <c r="BK383" s="697"/>
      <c r="BL383" s="697"/>
      <c r="BM383" s="697"/>
      <c r="BN383" s="697"/>
      <c r="BO383" s="697"/>
      <c r="BP383" s="697"/>
      <c r="BQ383" s="697"/>
      <c r="BR383" s="697"/>
      <c r="BS383" s="697"/>
      <c r="BT383" s="697"/>
      <c r="BU383" s="697"/>
      <c r="BV383" s="697"/>
      <c r="BW383" s="697"/>
      <c r="BX383" s="697"/>
      <c r="BY383" s="697"/>
      <c r="BZ383" s="697"/>
      <c r="CA383" s="697"/>
      <c r="CB383" s="697"/>
      <c r="CC383" s="697"/>
      <c r="CD383" s="697"/>
      <c r="CE383" s="697"/>
      <c r="CF383" s="697"/>
      <c r="CG383" s="697"/>
      <c r="CH383" s="697"/>
      <c r="CI383" s="697"/>
      <c r="CJ383" s="697"/>
      <c r="CK383" s="697"/>
      <c r="CL383" s="697"/>
      <c r="CM383" s="697"/>
      <c r="CN383" s="697"/>
      <c r="CO383" s="697"/>
      <c r="CP383" s="697"/>
      <c r="CQ383" s="697"/>
      <c r="CR383" s="697"/>
      <c r="CS383" s="697"/>
      <c r="CT383" s="697"/>
      <c r="CU383" s="697"/>
      <c r="CV383" s="697"/>
      <c r="CW383" s="697"/>
      <c r="CX383" s="697"/>
      <c r="CY383" s="697"/>
      <c r="CZ383" s="697"/>
      <c r="DA383" s="697"/>
      <c r="DB383" s="697"/>
    </row>
    <row r="384" spans="1:106" hidden="1" outlineLevel="1" x14ac:dyDescent="0.2">
      <c r="A384" s="709">
        <f t="shared" si="77"/>
        <v>39173</v>
      </c>
      <c r="B384" s="709" t="str">
        <f t="shared" si="78"/>
        <v>2Q07</v>
      </c>
      <c r="C384" s="709" t="str">
        <f t="shared" si="79"/>
        <v>2Q07</v>
      </c>
      <c r="D384" s="710">
        <f t="shared" si="85"/>
        <v>39238</v>
      </c>
      <c r="E384" s="710">
        <f t="shared" si="85"/>
        <v>39178</v>
      </c>
      <c r="F384" s="712">
        <v>64.819999999999993</v>
      </c>
      <c r="G384" s="713">
        <f t="shared" si="80"/>
        <v>1.4900000000000011</v>
      </c>
      <c r="H384" s="713">
        <f t="shared" si="81"/>
        <v>1.4900000000000011</v>
      </c>
      <c r="I384" s="697"/>
      <c r="J384" s="697"/>
      <c r="K384" s="697"/>
      <c r="L384" s="697"/>
      <c r="M384" s="697"/>
      <c r="N384" s="697"/>
      <c r="O384" s="697"/>
      <c r="P384" s="697"/>
      <c r="Q384" s="697"/>
      <c r="R384" s="697"/>
      <c r="S384" s="697"/>
      <c r="T384" s="697"/>
      <c r="U384" s="697"/>
      <c r="V384" s="697"/>
      <c r="W384" s="697"/>
      <c r="X384" s="697"/>
      <c r="Y384" s="697"/>
      <c r="Z384" s="697"/>
      <c r="AA384" s="697"/>
      <c r="AB384" s="697"/>
      <c r="AC384" s="697"/>
      <c r="AD384" s="697"/>
      <c r="AE384" s="697"/>
      <c r="AF384" s="697"/>
      <c r="AG384" s="697"/>
      <c r="AH384" s="697"/>
      <c r="AI384" s="697"/>
      <c r="AJ384" s="697"/>
      <c r="AK384" s="697"/>
      <c r="AL384" s="697"/>
      <c r="AM384" s="697"/>
      <c r="AN384" s="697"/>
      <c r="AO384" s="697"/>
      <c r="AP384" s="697"/>
      <c r="AQ384" s="697"/>
      <c r="AR384" s="697"/>
      <c r="AS384" s="697"/>
      <c r="AT384" s="697"/>
      <c r="AU384" s="697"/>
      <c r="AV384" s="697"/>
      <c r="AW384" s="697"/>
      <c r="AX384" s="697"/>
      <c r="AY384" s="697"/>
      <c r="AZ384" s="697"/>
      <c r="BA384" s="697"/>
      <c r="BB384" s="697"/>
      <c r="BC384" s="697"/>
      <c r="BD384" s="697"/>
      <c r="BE384" s="697"/>
      <c r="BF384" s="697"/>
      <c r="BG384" s="697"/>
      <c r="BH384" s="697"/>
      <c r="BI384" s="697"/>
      <c r="BJ384" s="697"/>
      <c r="BK384" s="697"/>
      <c r="BL384" s="697"/>
      <c r="BM384" s="697"/>
      <c r="BN384" s="697"/>
      <c r="BO384" s="697"/>
      <c r="BP384" s="697"/>
      <c r="BQ384" s="697"/>
      <c r="BR384" s="697"/>
      <c r="BS384" s="697"/>
      <c r="BT384" s="697"/>
      <c r="BU384" s="697"/>
      <c r="BV384" s="697"/>
      <c r="BW384" s="697"/>
      <c r="BX384" s="697"/>
      <c r="BY384" s="697"/>
      <c r="BZ384" s="697"/>
      <c r="CA384" s="697"/>
      <c r="CB384" s="697"/>
      <c r="CC384" s="697"/>
      <c r="CD384" s="697"/>
      <c r="CE384" s="697"/>
      <c r="CF384" s="697"/>
      <c r="CG384" s="697"/>
      <c r="CH384" s="697"/>
      <c r="CI384" s="697"/>
      <c r="CJ384" s="697"/>
      <c r="CK384" s="697"/>
      <c r="CL384" s="697"/>
      <c r="CM384" s="697"/>
      <c r="CN384" s="697"/>
      <c r="CO384" s="697"/>
      <c r="CP384" s="697"/>
      <c r="CQ384" s="697"/>
      <c r="CR384" s="697"/>
      <c r="CS384" s="697"/>
      <c r="CT384" s="697"/>
      <c r="CU384" s="697"/>
      <c r="CV384" s="697"/>
      <c r="CW384" s="697"/>
      <c r="CX384" s="697"/>
      <c r="CY384" s="697"/>
      <c r="CZ384" s="697"/>
      <c r="DA384" s="697"/>
      <c r="DB384" s="697"/>
    </row>
    <row r="385" spans="1:106" hidden="1" outlineLevel="1" x14ac:dyDescent="0.2">
      <c r="A385" s="709">
        <f t="shared" si="77"/>
        <v>39173</v>
      </c>
      <c r="B385" s="709" t="str">
        <f t="shared" si="78"/>
        <v>2Q07</v>
      </c>
      <c r="C385" s="709" t="str">
        <f t="shared" si="79"/>
        <v>2Q07</v>
      </c>
      <c r="D385" s="710">
        <f t="shared" si="85"/>
        <v>39245</v>
      </c>
      <c r="E385" s="710">
        <f t="shared" si="85"/>
        <v>39185</v>
      </c>
      <c r="F385" s="712">
        <v>62.58</v>
      </c>
      <c r="G385" s="713">
        <f t="shared" si="80"/>
        <v>1.4900000000000011</v>
      </c>
      <c r="H385" s="713">
        <f t="shared" si="81"/>
        <v>1.4900000000000011</v>
      </c>
      <c r="I385" s="697"/>
      <c r="J385" s="697"/>
      <c r="K385" s="697"/>
      <c r="L385" s="697"/>
      <c r="M385" s="697"/>
      <c r="N385" s="697"/>
      <c r="O385" s="697"/>
      <c r="P385" s="697"/>
      <c r="Q385" s="697"/>
      <c r="R385" s="697"/>
      <c r="S385" s="697"/>
      <c r="T385" s="697"/>
      <c r="U385" s="697"/>
      <c r="V385" s="697"/>
      <c r="W385" s="697"/>
      <c r="X385" s="697"/>
      <c r="Y385" s="697"/>
      <c r="Z385" s="697"/>
      <c r="AA385" s="697"/>
      <c r="AB385" s="697"/>
      <c r="AC385" s="697"/>
      <c r="AD385" s="697"/>
      <c r="AE385" s="697"/>
      <c r="AF385" s="697"/>
      <c r="AG385" s="697"/>
      <c r="AH385" s="697"/>
      <c r="AI385" s="697"/>
      <c r="AJ385" s="697"/>
      <c r="AK385" s="697"/>
      <c r="AL385" s="697"/>
      <c r="AM385" s="697"/>
      <c r="AN385" s="697"/>
      <c r="AO385" s="697"/>
      <c r="AP385" s="697"/>
      <c r="AQ385" s="697"/>
      <c r="AR385" s="697"/>
      <c r="AS385" s="697"/>
      <c r="AT385" s="697"/>
      <c r="AU385" s="697"/>
      <c r="AV385" s="697"/>
      <c r="AW385" s="697"/>
      <c r="AX385" s="697"/>
      <c r="AY385" s="697"/>
      <c r="AZ385" s="697"/>
      <c r="BA385" s="697"/>
      <c r="BB385" s="697"/>
      <c r="BC385" s="697"/>
      <c r="BD385" s="697"/>
      <c r="BE385" s="697"/>
      <c r="BF385" s="697"/>
      <c r="BG385" s="697"/>
      <c r="BH385" s="697"/>
      <c r="BI385" s="697"/>
      <c r="BJ385" s="697"/>
      <c r="BK385" s="697"/>
      <c r="BL385" s="697"/>
      <c r="BM385" s="697"/>
      <c r="BN385" s="697"/>
      <c r="BO385" s="697"/>
      <c r="BP385" s="697"/>
      <c r="BQ385" s="697"/>
      <c r="BR385" s="697"/>
      <c r="BS385" s="697"/>
      <c r="BT385" s="697"/>
      <c r="BU385" s="697"/>
      <c r="BV385" s="697"/>
      <c r="BW385" s="697"/>
      <c r="BX385" s="697"/>
      <c r="BY385" s="697"/>
      <c r="BZ385" s="697"/>
      <c r="CA385" s="697"/>
      <c r="CB385" s="697"/>
      <c r="CC385" s="697"/>
      <c r="CD385" s="697"/>
      <c r="CE385" s="697"/>
      <c r="CF385" s="697"/>
      <c r="CG385" s="697"/>
      <c r="CH385" s="697"/>
      <c r="CI385" s="697"/>
      <c r="CJ385" s="697"/>
      <c r="CK385" s="697"/>
      <c r="CL385" s="697"/>
      <c r="CM385" s="697"/>
      <c r="CN385" s="697"/>
      <c r="CO385" s="697"/>
      <c r="CP385" s="697"/>
      <c r="CQ385" s="697"/>
      <c r="CR385" s="697"/>
      <c r="CS385" s="697"/>
      <c r="CT385" s="697"/>
      <c r="CU385" s="697"/>
      <c r="CV385" s="697"/>
      <c r="CW385" s="697"/>
      <c r="CX385" s="697"/>
      <c r="CY385" s="697"/>
      <c r="CZ385" s="697"/>
      <c r="DA385" s="697"/>
      <c r="DB385" s="697"/>
    </row>
    <row r="386" spans="1:106" hidden="1" outlineLevel="1" x14ac:dyDescent="0.2">
      <c r="A386" s="709">
        <f t="shared" si="77"/>
        <v>39173</v>
      </c>
      <c r="B386" s="709" t="str">
        <f t="shared" si="78"/>
        <v>2Q07</v>
      </c>
      <c r="C386" s="709" t="str">
        <f t="shared" si="79"/>
        <v>2Q07</v>
      </c>
      <c r="D386" s="710">
        <f t="shared" si="85"/>
        <v>39252</v>
      </c>
      <c r="E386" s="710">
        <f t="shared" si="85"/>
        <v>39192</v>
      </c>
      <c r="F386" s="712">
        <v>63.06</v>
      </c>
      <c r="G386" s="713">
        <f t="shared" si="80"/>
        <v>1.4900000000000011</v>
      </c>
      <c r="H386" s="713">
        <f t="shared" si="81"/>
        <v>1.4900000000000011</v>
      </c>
      <c r="I386" s="697"/>
      <c r="J386" s="697"/>
      <c r="K386" s="697"/>
      <c r="L386" s="697"/>
      <c r="M386" s="697"/>
      <c r="N386" s="697"/>
      <c r="O386" s="697"/>
      <c r="P386" s="697"/>
      <c r="Q386" s="697"/>
      <c r="R386" s="697"/>
      <c r="S386" s="697"/>
      <c r="T386" s="697"/>
      <c r="U386" s="697"/>
      <c r="V386" s="697"/>
      <c r="W386" s="697"/>
      <c r="X386" s="697"/>
      <c r="Y386" s="697"/>
      <c r="Z386" s="697"/>
      <c r="AA386" s="697"/>
      <c r="AB386" s="697"/>
      <c r="AC386" s="697"/>
      <c r="AD386" s="697"/>
      <c r="AE386" s="697"/>
      <c r="AF386" s="697"/>
      <c r="AG386" s="697"/>
      <c r="AH386" s="697"/>
      <c r="AI386" s="697"/>
      <c r="AJ386" s="697"/>
      <c r="AK386" s="697"/>
      <c r="AL386" s="697"/>
      <c r="AM386" s="697"/>
      <c r="AN386" s="697"/>
      <c r="AO386" s="697"/>
      <c r="AP386" s="697"/>
      <c r="AQ386" s="697"/>
      <c r="AR386" s="697"/>
      <c r="AS386" s="697"/>
      <c r="AT386" s="697"/>
      <c r="AU386" s="697"/>
      <c r="AV386" s="697"/>
      <c r="AW386" s="697"/>
      <c r="AX386" s="697"/>
      <c r="AY386" s="697"/>
      <c r="AZ386" s="697"/>
      <c r="BA386" s="697"/>
      <c r="BB386" s="697"/>
      <c r="BC386" s="697"/>
      <c r="BD386" s="697"/>
      <c r="BE386" s="697"/>
      <c r="BF386" s="697"/>
      <c r="BG386" s="697"/>
      <c r="BH386" s="697"/>
      <c r="BI386" s="697"/>
      <c r="BJ386" s="697"/>
      <c r="BK386" s="697"/>
      <c r="BL386" s="697"/>
      <c r="BM386" s="697"/>
      <c r="BN386" s="697"/>
      <c r="BO386" s="697"/>
      <c r="BP386" s="697"/>
      <c r="BQ386" s="697"/>
      <c r="BR386" s="697"/>
      <c r="BS386" s="697"/>
      <c r="BT386" s="697"/>
      <c r="BU386" s="697"/>
      <c r="BV386" s="697"/>
      <c r="BW386" s="697"/>
      <c r="BX386" s="697"/>
      <c r="BY386" s="697"/>
      <c r="BZ386" s="697"/>
      <c r="CA386" s="697"/>
      <c r="CB386" s="697"/>
      <c r="CC386" s="697"/>
      <c r="CD386" s="697"/>
      <c r="CE386" s="697"/>
      <c r="CF386" s="697"/>
      <c r="CG386" s="697"/>
      <c r="CH386" s="697"/>
      <c r="CI386" s="697"/>
      <c r="CJ386" s="697"/>
      <c r="CK386" s="697"/>
      <c r="CL386" s="697"/>
      <c r="CM386" s="697"/>
      <c r="CN386" s="697"/>
      <c r="CO386" s="697"/>
      <c r="CP386" s="697"/>
      <c r="CQ386" s="697"/>
      <c r="CR386" s="697"/>
      <c r="CS386" s="697"/>
      <c r="CT386" s="697"/>
      <c r="CU386" s="697"/>
      <c r="CV386" s="697"/>
      <c r="CW386" s="697"/>
      <c r="CX386" s="697"/>
      <c r="CY386" s="697"/>
      <c r="CZ386" s="697"/>
      <c r="DA386" s="697"/>
      <c r="DB386" s="697"/>
    </row>
    <row r="387" spans="1:106" hidden="1" outlineLevel="1" x14ac:dyDescent="0.2">
      <c r="A387" s="709">
        <f t="shared" si="77"/>
        <v>39173</v>
      </c>
      <c r="B387" s="709" t="str">
        <f t="shared" si="78"/>
        <v>2Q07</v>
      </c>
      <c r="C387" s="709" t="str">
        <f t="shared" si="79"/>
        <v>2Q07</v>
      </c>
      <c r="D387" s="710">
        <f t="shared" si="85"/>
        <v>39259</v>
      </c>
      <c r="E387" s="710">
        <f t="shared" si="85"/>
        <v>39199</v>
      </c>
      <c r="F387" s="712">
        <v>65.260000000000005</v>
      </c>
      <c r="G387" s="713">
        <f t="shared" si="80"/>
        <v>1.4900000000000011</v>
      </c>
      <c r="H387" s="713">
        <f t="shared" si="81"/>
        <v>1.4900000000000011</v>
      </c>
      <c r="I387" s="697"/>
      <c r="J387" s="697"/>
      <c r="K387" s="697"/>
      <c r="L387" s="697"/>
      <c r="M387" s="697"/>
      <c r="N387" s="697"/>
      <c r="O387" s="697"/>
      <c r="P387" s="697"/>
      <c r="Q387" s="697"/>
      <c r="R387" s="697"/>
      <c r="S387" s="697"/>
      <c r="T387" s="697"/>
      <c r="U387" s="697"/>
      <c r="V387" s="697"/>
      <c r="W387" s="697"/>
      <c r="X387" s="697"/>
      <c r="Y387" s="697"/>
      <c r="Z387" s="697"/>
      <c r="AA387" s="697"/>
      <c r="AB387" s="697"/>
      <c r="AC387" s="697"/>
      <c r="AD387" s="697"/>
      <c r="AE387" s="697"/>
      <c r="AF387" s="697"/>
      <c r="AG387" s="697"/>
      <c r="AH387" s="697"/>
      <c r="AI387" s="697"/>
      <c r="AJ387" s="697"/>
      <c r="AK387" s="697"/>
      <c r="AL387" s="697"/>
      <c r="AM387" s="697"/>
      <c r="AN387" s="697"/>
      <c r="AO387" s="697"/>
      <c r="AP387" s="697"/>
      <c r="AQ387" s="697"/>
      <c r="AR387" s="697"/>
      <c r="AS387" s="697"/>
      <c r="AT387" s="697"/>
      <c r="AU387" s="697"/>
      <c r="AV387" s="697"/>
      <c r="AW387" s="697"/>
      <c r="AX387" s="697"/>
      <c r="AY387" s="697"/>
      <c r="AZ387" s="697"/>
      <c r="BA387" s="697"/>
      <c r="BB387" s="697"/>
      <c r="BC387" s="697"/>
      <c r="BD387" s="697"/>
      <c r="BE387" s="697"/>
      <c r="BF387" s="697"/>
      <c r="BG387" s="697"/>
      <c r="BH387" s="697"/>
      <c r="BI387" s="697"/>
      <c r="BJ387" s="697"/>
      <c r="BK387" s="697"/>
      <c r="BL387" s="697"/>
      <c r="BM387" s="697"/>
      <c r="BN387" s="697"/>
      <c r="BO387" s="697"/>
      <c r="BP387" s="697"/>
      <c r="BQ387" s="697"/>
      <c r="BR387" s="697"/>
      <c r="BS387" s="697"/>
      <c r="BT387" s="697"/>
      <c r="BU387" s="697"/>
      <c r="BV387" s="697"/>
      <c r="BW387" s="697"/>
      <c r="BX387" s="697"/>
      <c r="BY387" s="697"/>
      <c r="BZ387" s="697"/>
      <c r="CA387" s="697"/>
      <c r="CB387" s="697"/>
      <c r="CC387" s="697"/>
      <c r="CD387" s="697"/>
      <c r="CE387" s="697"/>
      <c r="CF387" s="697"/>
      <c r="CG387" s="697"/>
      <c r="CH387" s="697"/>
      <c r="CI387" s="697"/>
      <c r="CJ387" s="697"/>
      <c r="CK387" s="697"/>
      <c r="CL387" s="697"/>
      <c r="CM387" s="697"/>
      <c r="CN387" s="697"/>
      <c r="CO387" s="697"/>
      <c r="CP387" s="697"/>
      <c r="CQ387" s="697"/>
      <c r="CR387" s="697"/>
      <c r="CS387" s="697"/>
      <c r="CT387" s="697"/>
      <c r="CU387" s="697"/>
      <c r="CV387" s="697"/>
      <c r="CW387" s="697"/>
      <c r="CX387" s="697"/>
      <c r="CY387" s="697"/>
      <c r="CZ387" s="697"/>
      <c r="DA387" s="697"/>
      <c r="DB387" s="697"/>
    </row>
    <row r="388" spans="1:106" hidden="1" outlineLevel="1" x14ac:dyDescent="0.2">
      <c r="A388" s="709">
        <f t="shared" ref="A388:A451" si="86">DATE(YEAR(E388),MONTH(E388),1)</f>
        <v>39203</v>
      </c>
      <c r="B388" s="709" t="str">
        <f t="shared" ref="B388:B451" si="87">VLOOKUP(MONTH(A388),$N$4:$O$16,2,FALSE) &amp; "Q" &amp; RIGHT(YEAR(A388),2)</f>
        <v>2Q07</v>
      </c>
      <c r="C388" s="709" t="str">
        <f t="shared" ref="C388:C451" si="88">VLOOKUP(MONTH(D388),$N$4:$O$16,2,FALSE) &amp; "Q" &amp; RIGHT(YEAR(D388),2)</f>
        <v>3Q07</v>
      </c>
      <c r="D388" s="710">
        <f t="shared" si="85"/>
        <v>39266</v>
      </c>
      <c r="E388" s="710">
        <f t="shared" si="85"/>
        <v>39206</v>
      </c>
      <c r="F388" s="712">
        <v>63.82</v>
      </c>
      <c r="G388" s="713">
        <f t="shared" ref="G388:G451" si="89">INDEX($I$4:$K$153,MATCH(F388,$I$4:$I$153,1),3)</f>
        <v>1.4900000000000011</v>
      </c>
      <c r="H388" s="713">
        <f t="shared" ref="H388:H451" si="90">G389</f>
        <v>1.4900000000000011</v>
      </c>
      <c r="I388" s="697"/>
      <c r="J388" s="697"/>
      <c r="K388" s="697"/>
      <c r="L388" s="697"/>
      <c r="M388" s="697"/>
      <c r="N388" s="697"/>
      <c r="O388" s="697"/>
      <c r="P388" s="697"/>
      <c r="Q388" s="697"/>
      <c r="R388" s="697"/>
      <c r="S388" s="697"/>
      <c r="T388" s="697"/>
      <c r="U388" s="697"/>
      <c r="V388" s="697"/>
      <c r="W388" s="697"/>
      <c r="X388" s="697"/>
      <c r="Y388" s="697"/>
      <c r="Z388" s="697"/>
      <c r="AA388" s="697"/>
      <c r="AB388" s="697"/>
      <c r="AC388" s="697"/>
      <c r="AD388" s="697"/>
      <c r="AE388" s="697"/>
      <c r="AF388" s="697"/>
      <c r="AG388" s="697"/>
      <c r="AH388" s="697"/>
      <c r="AI388" s="697"/>
      <c r="AJ388" s="697"/>
      <c r="AK388" s="697"/>
      <c r="AL388" s="697"/>
      <c r="AM388" s="697"/>
      <c r="AN388" s="697"/>
      <c r="AO388" s="697"/>
      <c r="AP388" s="697"/>
      <c r="AQ388" s="697"/>
      <c r="AR388" s="697"/>
      <c r="AS388" s="697"/>
      <c r="AT388" s="697"/>
      <c r="AU388" s="697"/>
      <c r="AV388" s="697"/>
      <c r="AW388" s="697"/>
      <c r="AX388" s="697"/>
      <c r="AY388" s="697"/>
      <c r="AZ388" s="697"/>
      <c r="BA388" s="697"/>
      <c r="BB388" s="697"/>
      <c r="BC388" s="697"/>
      <c r="BD388" s="697"/>
      <c r="BE388" s="697"/>
      <c r="BF388" s="697"/>
      <c r="BG388" s="697"/>
      <c r="BH388" s="697"/>
      <c r="BI388" s="697"/>
      <c r="BJ388" s="697"/>
      <c r="BK388" s="697"/>
      <c r="BL388" s="697"/>
      <c r="BM388" s="697"/>
      <c r="BN388" s="697"/>
      <c r="BO388" s="697"/>
      <c r="BP388" s="697"/>
      <c r="BQ388" s="697"/>
      <c r="BR388" s="697"/>
      <c r="BS388" s="697"/>
      <c r="BT388" s="697"/>
      <c r="BU388" s="697"/>
      <c r="BV388" s="697"/>
      <c r="BW388" s="697"/>
      <c r="BX388" s="697"/>
      <c r="BY388" s="697"/>
      <c r="BZ388" s="697"/>
      <c r="CA388" s="697"/>
      <c r="CB388" s="697"/>
      <c r="CC388" s="697"/>
      <c r="CD388" s="697"/>
      <c r="CE388" s="697"/>
      <c r="CF388" s="697"/>
      <c r="CG388" s="697"/>
      <c r="CH388" s="697"/>
      <c r="CI388" s="697"/>
      <c r="CJ388" s="697"/>
      <c r="CK388" s="697"/>
      <c r="CL388" s="697"/>
      <c r="CM388" s="697"/>
      <c r="CN388" s="697"/>
      <c r="CO388" s="697"/>
      <c r="CP388" s="697"/>
      <c r="CQ388" s="697"/>
      <c r="CR388" s="697"/>
      <c r="CS388" s="697"/>
      <c r="CT388" s="697"/>
      <c r="CU388" s="697"/>
      <c r="CV388" s="697"/>
      <c r="CW388" s="697"/>
      <c r="CX388" s="697"/>
      <c r="CY388" s="697"/>
      <c r="CZ388" s="697"/>
      <c r="DA388" s="697"/>
      <c r="DB388" s="697"/>
    </row>
    <row r="389" spans="1:106" hidden="1" outlineLevel="1" x14ac:dyDescent="0.2">
      <c r="A389" s="709">
        <f t="shared" si="86"/>
        <v>39203</v>
      </c>
      <c r="B389" s="709" t="str">
        <f t="shared" si="87"/>
        <v>2Q07</v>
      </c>
      <c r="C389" s="709" t="str">
        <f t="shared" si="88"/>
        <v>3Q07</v>
      </c>
      <c r="D389" s="710">
        <f t="shared" ref="D389:E404" si="91">D388+7</f>
        <v>39273</v>
      </c>
      <c r="E389" s="710">
        <f t="shared" si="91"/>
        <v>39213</v>
      </c>
      <c r="F389" s="712">
        <v>61.9</v>
      </c>
      <c r="G389" s="713">
        <f t="shared" si="89"/>
        <v>1.4900000000000011</v>
      </c>
      <c r="H389" s="713">
        <f t="shared" si="90"/>
        <v>1.4900000000000011</v>
      </c>
      <c r="I389" s="697"/>
      <c r="J389" s="697"/>
      <c r="K389" s="697"/>
      <c r="L389" s="697"/>
      <c r="M389" s="697"/>
      <c r="N389" s="697"/>
      <c r="O389" s="697"/>
      <c r="P389" s="697"/>
      <c r="Q389" s="697"/>
      <c r="R389" s="697"/>
      <c r="S389" s="697"/>
      <c r="T389" s="697"/>
      <c r="U389" s="697"/>
      <c r="V389" s="697"/>
      <c r="W389" s="697"/>
      <c r="X389" s="697"/>
      <c r="Y389" s="697"/>
      <c r="Z389" s="697"/>
      <c r="AA389" s="697"/>
      <c r="AB389" s="697"/>
      <c r="AC389" s="697"/>
      <c r="AD389" s="697"/>
      <c r="AE389" s="697"/>
      <c r="AF389" s="697"/>
      <c r="AG389" s="697"/>
      <c r="AH389" s="697"/>
      <c r="AI389" s="697"/>
      <c r="AJ389" s="697"/>
      <c r="AK389" s="697"/>
      <c r="AL389" s="697"/>
      <c r="AM389" s="697"/>
      <c r="AN389" s="697"/>
      <c r="AO389" s="697"/>
      <c r="AP389" s="697"/>
      <c r="AQ389" s="697"/>
      <c r="AR389" s="697"/>
      <c r="AS389" s="697"/>
      <c r="AT389" s="697"/>
      <c r="AU389" s="697"/>
      <c r="AV389" s="697"/>
      <c r="AW389" s="697"/>
      <c r="AX389" s="697"/>
      <c r="AY389" s="697"/>
      <c r="AZ389" s="697"/>
      <c r="BA389" s="697"/>
      <c r="BB389" s="697"/>
      <c r="BC389" s="697"/>
      <c r="BD389" s="697"/>
      <c r="BE389" s="697"/>
      <c r="BF389" s="697"/>
      <c r="BG389" s="697"/>
      <c r="BH389" s="697"/>
      <c r="BI389" s="697"/>
      <c r="BJ389" s="697"/>
      <c r="BK389" s="697"/>
      <c r="BL389" s="697"/>
      <c r="BM389" s="697"/>
      <c r="BN389" s="697"/>
      <c r="BO389" s="697"/>
      <c r="BP389" s="697"/>
      <c r="BQ389" s="697"/>
      <c r="BR389" s="697"/>
      <c r="BS389" s="697"/>
      <c r="BT389" s="697"/>
      <c r="BU389" s="697"/>
      <c r="BV389" s="697"/>
      <c r="BW389" s="697"/>
      <c r="BX389" s="697"/>
      <c r="BY389" s="697"/>
      <c r="BZ389" s="697"/>
      <c r="CA389" s="697"/>
      <c r="CB389" s="697"/>
      <c r="CC389" s="697"/>
      <c r="CD389" s="697"/>
      <c r="CE389" s="697"/>
      <c r="CF389" s="697"/>
      <c r="CG389" s="697"/>
      <c r="CH389" s="697"/>
      <c r="CI389" s="697"/>
      <c r="CJ389" s="697"/>
      <c r="CK389" s="697"/>
      <c r="CL389" s="697"/>
      <c r="CM389" s="697"/>
      <c r="CN389" s="697"/>
      <c r="CO389" s="697"/>
      <c r="CP389" s="697"/>
      <c r="CQ389" s="697"/>
      <c r="CR389" s="697"/>
      <c r="CS389" s="697"/>
      <c r="CT389" s="697"/>
      <c r="CU389" s="697"/>
      <c r="CV389" s="697"/>
      <c r="CW389" s="697"/>
      <c r="CX389" s="697"/>
      <c r="CY389" s="697"/>
      <c r="CZ389" s="697"/>
      <c r="DA389" s="697"/>
      <c r="DB389" s="697"/>
    </row>
    <row r="390" spans="1:106" hidden="1" outlineLevel="1" x14ac:dyDescent="0.2">
      <c r="A390" s="709">
        <f t="shared" si="86"/>
        <v>39203</v>
      </c>
      <c r="B390" s="709" t="str">
        <f t="shared" si="87"/>
        <v>2Q07</v>
      </c>
      <c r="C390" s="709" t="str">
        <f t="shared" si="88"/>
        <v>3Q07</v>
      </c>
      <c r="D390" s="710">
        <f t="shared" si="91"/>
        <v>39280</v>
      </c>
      <c r="E390" s="710">
        <f t="shared" si="91"/>
        <v>39220</v>
      </c>
      <c r="F390" s="712">
        <v>63.61</v>
      </c>
      <c r="G390" s="713">
        <f t="shared" si="89"/>
        <v>1.4900000000000011</v>
      </c>
      <c r="H390" s="713">
        <f t="shared" si="90"/>
        <v>1.4900000000000011</v>
      </c>
      <c r="I390" s="697"/>
      <c r="J390" s="697"/>
      <c r="K390" s="697"/>
      <c r="L390" s="697"/>
      <c r="M390" s="697"/>
      <c r="N390" s="697"/>
      <c r="O390" s="697"/>
      <c r="P390" s="697"/>
      <c r="Q390" s="697"/>
      <c r="R390" s="697"/>
      <c r="S390" s="697"/>
      <c r="T390" s="697"/>
      <c r="U390" s="697"/>
      <c r="V390" s="697"/>
      <c r="W390" s="697"/>
      <c r="X390" s="697"/>
      <c r="Y390" s="697"/>
      <c r="Z390" s="697"/>
      <c r="AA390" s="697"/>
      <c r="AB390" s="697"/>
      <c r="AC390" s="697"/>
      <c r="AD390" s="697"/>
      <c r="AE390" s="697"/>
      <c r="AF390" s="697"/>
      <c r="AG390" s="697"/>
      <c r="AH390" s="697"/>
      <c r="AI390" s="697"/>
      <c r="AJ390" s="697"/>
      <c r="AK390" s="697"/>
      <c r="AL390" s="697"/>
      <c r="AM390" s="697"/>
      <c r="AN390" s="697"/>
      <c r="AO390" s="697"/>
      <c r="AP390" s="697"/>
      <c r="AQ390" s="697"/>
      <c r="AR390" s="697"/>
      <c r="AS390" s="697"/>
      <c r="AT390" s="697"/>
      <c r="AU390" s="697"/>
      <c r="AV390" s="697"/>
      <c r="AW390" s="697"/>
      <c r="AX390" s="697"/>
      <c r="AY390" s="697"/>
      <c r="AZ390" s="697"/>
      <c r="BA390" s="697"/>
      <c r="BB390" s="697"/>
      <c r="BC390" s="697"/>
      <c r="BD390" s="697"/>
      <c r="BE390" s="697"/>
      <c r="BF390" s="697"/>
      <c r="BG390" s="697"/>
      <c r="BH390" s="697"/>
      <c r="BI390" s="697"/>
      <c r="BJ390" s="697"/>
      <c r="BK390" s="697"/>
      <c r="BL390" s="697"/>
      <c r="BM390" s="697"/>
      <c r="BN390" s="697"/>
      <c r="BO390" s="697"/>
      <c r="BP390" s="697"/>
      <c r="BQ390" s="697"/>
      <c r="BR390" s="697"/>
      <c r="BS390" s="697"/>
      <c r="BT390" s="697"/>
      <c r="BU390" s="697"/>
      <c r="BV390" s="697"/>
      <c r="BW390" s="697"/>
      <c r="BX390" s="697"/>
      <c r="BY390" s="697"/>
      <c r="BZ390" s="697"/>
      <c r="CA390" s="697"/>
      <c r="CB390" s="697"/>
      <c r="CC390" s="697"/>
      <c r="CD390" s="697"/>
      <c r="CE390" s="697"/>
      <c r="CF390" s="697"/>
      <c r="CG390" s="697"/>
      <c r="CH390" s="697"/>
      <c r="CI390" s="697"/>
      <c r="CJ390" s="697"/>
      <c r="CK390" s="697"/>
      <c r="CL390" s="697"/>
      <c r="CM390" s="697"/>
      <c r="CN390" s="697"/>
      <c r="CO390" s="697"/>
      <c r="CP390" s="697"/>
      <c r="CQ390" s="697"/>
      <c r="CR390" s="697"/>
      <c r="CS390" s="697"/>
      <c r="CT390" s="697"/>
      <c r="CU390" s="697"/>
      <c r="CV390" s="697"/>
      <c r="CW390" s="697"/>
      <c r="CX390" s="697"/>
      <c r="CY390" s="697"/>
      <c r="CZ390" s="697"/>
      <c r="DA390" s="697"/>
      <c r="DB390" s="697"/>
    </row>
    <row r="391" spans="1:106" hidden="1" outlineLevel="1" x14ac:dyDescent="0.2">
      <c r="A391" s="709">
        <f t="shared" si="86"/>
        <v>39203</v>
      </c>
      <c r="B391" s="709" t="str">
        <f t="shared" si="87"/>
        <v>2Q07</v>
      </c>
      <c r="C391" s="709" t="str">
        <f t="shared" si="88"/>
        <v>3Q07</v>
      </c>
      <c r="D391" s="710">
        <f t="shared" si="91"/>
        <v>39287</v>
      </c>
      <c r="E391" s="710">
        <f t="shared" si="91"/>
        <v>39227</v>
      </c>
      <c r="F391" s="712">
        <v>64.89</v>
      </c>
      <c r="G391" s="713">
        <f t="shared" si="89"/>
        <v>1.4900000000000011</v>
      </c>
      <c r="H391" s="713">
        <f t="shared" si="90"/>
        <v>1.4900000000000011</v>
      </c>
      <c r="I391" s="697"/>
      <c r="J391" s="697"/>
      <c r="K391" s="697"/>
      <c r="L391" s="697"/>
      <c r="M391" s="697"/>
      <c r="N391" s="697"/>
      <c r="O391" s="697"/>
      <c r="P391" s="697"/>
      <c r="Q391" s="697"/>
      <c r="R391" s="697"/>
      <c r="S391" s="697"/>
      <c r="T391" s="697"/>
      <c r="U391" s="697"/>
      <c r="V391" s="697"/>
      <c r="W391" s="697"/>
      <c r="X391" s="697"/>
      <c r="Y391" s="697"/>
      <c r="Z391" s="697"/>
      <c r="AA391" s="697"/>
      <c r="AB391" s="697"/>
      <c r="AC391" s="697"/>
      <c r="AD391" s="697"/>
      <c r="AE391" s="697"/>
      <c r="AF391" s="697"/>
      <c r="AG391" s="697"/>
      <c r="AH391" s="697"/>
      <c r="AI391" s="697"/>
      <c r="AJ391" s="697"/>
      <c r="AK391" s="697"/>
      <c r="AL391" s="697"/>
      <c r="AM391" s="697"/>
      <c r="AN391" s="697"/>
      <c r="AO391" s="697"/>
      <c r="AP391" s="697"/>
      <c r="AQ391" s="697"/>
      <c r="AR391" s="697"/>
      <c r="AS391" s="697"/>
      <c r="AT391" s="697"/>
      <c r="AU391" s="697"/>
      <c r="AV391" s="697"/>
      <c r="AW391" s="697"/>
      <c r="AX391" s="697"/>
      <c r="AY391" s="697"/>
      <c r="AZ391" s="697"/>
      <c r="BA391" s="697"/>
      <c r="BB391" s="697"/>
      <c r="BC391" s="697"/>
      <c r="BD391" s="697"/>
      <c r="BE391" s="697"/>
      <c r="BF391" s="697"/>
      <c r="BG391" s="697"/>
      <c r="BH391" s="697"/>
      <c r="BI391" s="697"/>
      <c r="BJ391" s="697"/>
      <c r="BK391" s="697"/>
      <c r="BL391" s="697"/>
      <c r="BM391" s="697"/>
      <c r="BN391" s="697"/>
      <c r="BO391" s="697"/>
      <c r="BP391" s="697"/>
      <c r="BQ391" s="697"/>
      <c r="BR391" s="697"/>
      <c r="BS391" s="697"/>
      <c r="BT391" s="697"/>
      <c r="BU391" s="697"/>
      <c r="BV391" s="697"/>
      <c r="BW391" s="697"/>
      <c r="BX391" s="697"/>
      <c r="BY391" s="697"/>
      <c r="BZ391" s="697"/>
      <c r="CA391" s="697"/>
      <c r="CB391" s="697"/>
      <c r="CC391" s="697"/>
      <c r="CD391" s="697"/>
      <c r="CE391" s="697"/>
      <c r="CF391" s="697"/>
      <c r="CG391" s="697"/>
      <c r="CH391" s="697"/>
      <c r="CI391" s="697"/>
      <c r="CJ391" s="697"/>
      <c r="CK391" s="697"/>
      <c r="CL391" s="697"/>
      <c r="CM391" s="697"/>
      <c r="CN391" s="697"/>
      <c r="CO391" s="697"/>
      <c r="CP391" s="697"/>
      <c r="CQ391" s="697"/>
      <c r="CR391" s="697"/>
      <c r="CS391" s="697"/>
      <c r="CT391" s="697"/>
      <c r="CU391" s="697"/>
      <c r="CV391" s="697"/>
      <c r="CW391" s="697"/>
      <c r="CX391" s="697"/>
      <c r="CY391" s="697"/>
      <c r="CZ391" s="697"/>
      <c r="DA391" s="697"/>
      <c r="DB391" s="697"/>
    </row>
    <row r="392" spans="1:106" hidden="1" outlineLevel="1" x14ac:dyDescent="0.2">
      <c r="A392" s="709">
        <f t="shared" si="86"/>
        <v>39234</v>
      </c>
      <c r="B392" s="709" t="str">
        <f t="shared" si="87"/>
        <v>2Q07</v>
      </c>
      <c r="C392" s="709" t="str">
        <f t="shared" si="88"/>
        <v>3Q07</v>
      </c>
      <c r="D392" s="710">
        <f t="shared" si="91"/>
        <v>39294</v>
      </c>
      <c r="E392" s="710">
        <f t="shared" si="91"/>
        <v>39234</v>
      </c>
      <c r="F392" s="712">
        <v>63.94</v>
      </c>
      <c r="G392" s="713">
        <f t="shared" si="89"/>
        <v>1.4900000000000011</v>
      </c>
      <c r="H392" s="713">
        <f t="shared" si="90"/>
        <v>1.4900000000000011</v>
      </c>
      <c r="I392" s="697"/>
      <c r="J392" s="697"/>
      <c r="K392" s="697"/>
      <c r="L392" s="697"/>
      <c r="M392" s="697"/>
      <c r="N392" s="697"/>
      <c r="O392" s="697"/>
      <c r="P392" s="697"/>
      <c r="Q392" s="697"/>
      <c r="R392" s="697"/>
      <c r="S392" s="697"/>
      <c r="T392" s="697"/>
      <c r="U392" s="697"/>
      <c r="V392" s="697"/>
      <c r="W392" s="697"/>
      <c r="X392" s="697"/>
      <c r="Y392" s="697"/>
      <c r="Z392" s="697"/>
      <c r="AA392" s="697"/>
      <c r="AB392" s="697"/>
      <c r="AC392" s="697"/>
      <c r="AD392" s="697"/>
      <c r="AE392" s="697"/>
      <c r="AF392" s="697"/>
      <c r="AG392" s="697"/>
      <c r="AH392" s="697"/>
      <c r="AI392" s="697"/>
      <c r="AJ392" s="697"/>
      <c r="AK392" s="697"/>
      <c r="AL392" s="697"/>
      <c r="AM392" s="697"/>
      <c r="AN392" s="697"/>
      <c r="AO392" s="697"/>
      <c r="AP392" s="697"/>
      <c r="AQ392" s="697"/>
      <c r="AR392" s="697"/>
      <c r="AS392" s="697"/>
      <c r="AT392" s="697"/>
      <c r="AU392" s="697"/>
      <c r="AV392" s="697"/>
      <c r="AW392" s="697"/>
      <c r="AX392" s="697"/>
      <c r="AY392" s="697"/>
      <c r="AZ392" s="697"/>
      <c r="BA392" s="697"/>
      <c r="BB392" s="697"/>
      <c r="BC392" s="697"/>
      <c r="BD392" s="697"/>
      <c r="BE392" s="697"/>
      <c r="BF392" s="697"/>
      <c r="BG392" s="697"/>
      <c r="BH392" s="697"/>
      <c r="BI392" s="697"/>
      <c r="BJ392" s="697"/>
      <c r="BK392" s="697"/>
      <c r="BL392" s="697"/>
      <c r="BM392" s="697"/>
      <c r="BN392" s="697"/>
      <c r="BO392" s="697"/>
      <c r="BP392" s="697"/>
      <c r="BQ392" s="697"/>
      <c r="BR392" s="697"/>
      <c r="BS392" s="697"/>
      <c r="BT392" s="697"/>
      <c r="BU392" s="697"/>
      <c r="BV392" s="697"/>
      <c r="BW392" s="697"/>
      <c r="BX392" s="697"/>
      <c r="BY392" s="697"/>
      <c r="BZ392" s="697"/>
      <c r="CA392" s="697"/>
      <c r="CB392" s="697"/>
      <c r="CC392" s="697"/>
      <c r="CD392" s="697"/>
      <c r="CE392" s="697"/>
      <c r="CF392" s="697"/>
      <c r="CG392" s="697"/>
      <c r="CH392" s="697"/>
      <c r="CI392" s="697"/>
      <c r="CJ392" s="697"/>
      <c r="CK392" s="697"/>
      <c r="CL392" s="697"/>
      <c r="CM392" s="697"/>
      <c r="CN392" s="697"/>
      <c r="CO392" s="697"/>
      <c r="CP392" s="697"/>
      <c r="CQ392" s="697"/>
      <c r="CR392" s="697"/>
      <c r="CS392" s="697"/>
      <c r="CT392" s="697"/>
      <c r="CU392" s="697"/>
      <c r="CV392" s="697"/>
      <c r="CW392" s="697"/>
      <c r="CX392" s="697"/>
      <c r="CY392" s="697"/>
      <c r="CZ392" s="697"/>
      <c r="DA392" s="697"/>
      <c r="DB392" s="697"/>
    </row>
    <row r="393" spans="1:106" hidden="1" outlineLevel="1" x14ac:dyDescent="0.2">
      <c r="A393" s="709">
        <f t="shared" si="86"/>
        <v>39234</v>
      </c>
      <c r="B393" s="709" t="str">
        <f t="shared" si="87"/>
        <v>2Q07</v>
      </c>
      <c r="C393" s="709" t="str">
        <f t="shared" si="88"/>
        <v>3Q07</v>
      </c>
      <c r="D393" s="710">
        <f t="shared" si="91"/>
        <v>39301</v>
      </c>
      <c r="E393" s="710">
        <f t="shared" si="91"/>
        <v>39241</v>
      </c>
      <c r="F393" s="712">
        <v>65.900000000000006</v>
      </c>
      <c r="G393" s="713">
        <f t="shared" si="89"/>
        <v>1.4900000000000011</v>
      </c>
      <c r="H393" s="713">
        <f t="shared" si="90"/>
        <v>1.4900000000000011</v>
      </c>
      <c r="I393" s="697"/>
      <c r="J393" s="697"/>
      <c r="K393" s="697"/>
      <c r="L393" s="697"/>
      <c r="M393" s="697"/>
      <c r="N393" s="697"/>
      <c r="O393" s="697"/>
      <c r="P393" s="697"/>
      <c r="Q393" s="697"/>
      <c r="R393" s="697"/>
      <c r="S393" s="697"/>
      <c r="T393" s="697"/>
      <c r="U393" s="697"/>
      <c r="V393" s="697"/>
      <c r="W393" s="697"/>
      <c r="X393" s="697"/>
      <c r="Y393" s="697"/>
      <c r="Z393" s="697"/>
      <c r="AA393" s="697"/>
      <c r="AB393" s="697"/>
      <c r="AC393" s="697"/>
      <c r="AD393" s="697"/>
      <c r="AE393" s="697"/>
      <c r="AF393" s="697"/>
      <c r="AG393" s="697"/>
      <c r="AH393" s="697"/>
      <c r="AI393" s="697"/>
      <c r="AJ393" s="697"/>
      <c r="AK393" s="697"/>
      <c r="AL393" s="697"/>
      <c r="AM393" s="697"/>
      <c r="AN393" s="697"/>
      <c r="AO393" s="697"/>
      <c r="AP393" s="697"/>
      <c r="AQ393" s="697"/>
      <c r="AR393" s="697"/>
      <c r="AS393" s="697"/>
      <c r="AT393" s="697"/>
      <c r="AU393" s="697"/>
      <c r="AV393" s="697"/>
      <c r="AW393" s="697"/>
      <c r="AX393" s="697"/>
      <c r="AY393" s="697"/>
      <c r="AZ393" s="697"/>
      <c r="BA393" s="697"/>
      <c r="BB393" s="697"/>
      <c r="BC393" s="697"/>
      <c r="BD393" s="697"/>
      <c r="BE393" s="697"/>
      <c r="BF393" s="697"/>
      <c r="BG393" s="697"/>
      <c r="BH393" s="697"/>
      <c r="BI393" s="697"/>
      <c r="BJ393" s="697"/>
      <c r="BK393" s="697"/>
      <c r="BL393" s="697"/>
      <c r="BM393" s="697"/>
      <c r="BN393" s="697"/>
      <c r="BO393" s="697"/>
      <c r="BP393" s="697"/>
      <c r="BQ393" s="697"/>
      <c r="BR393" s="697"/>
      <c r="BS393" s="697"/>
      <c r="BT393" s="697"/>
      <c r="BU393" s="697"/>
      <c r="BV393" s="697"/>
      <c r="BW393" s="697"/>
      <c r="BX393" s="697"/>
      <c r="BY393" s="697"/>
      <c r="BZ393" s="697"/>
      <c r="CA393" s="697"/>
      <c r="CB393" s="697"/>
      <c r="CC393" s="697"/>
      <c r="CD393" s="697"/>
      <c r="CE393" s="697"/>
      <c r="CF393" s="697"/>
      <c r="CG393" s="697"/>
      <c r="CH393" s="697"/>
      <c r="CI393" s="697"/>
      <c r="CJ393" s="697"/>
      <c r="CK393" s="697"/>
      <c r="CL393" s="697"/>
      <c r="CM393" s="697"/>
      <c r="CN393" s="697"/>
      <c r="CO393" s="697"/>
      <c r="CP393" s="697"/>
      <c r="CQ393" s="697"/>
      <c r="CR393" s="697"/>
      <c r="CS393" s="697"/>
      <c r="CT393" s="697"/>
      <c r="CU393" s="697"/>
      <c r="CV393" s="697"/>
      <c r="CW393" s="697"/>
      <c r="CX393" s="697"/>
      <c r="CY393" s="697"/>
      <c r="CZ393" s="697"/>
      <c r="DA393" s="697"/>
      <c r="DB393" s="697"/>
    </row>
    <row r="394" spans="1:106" hidden="1" outlineLevel="1" x14ac:dyDescent="0.2">
      <c r="A394" s="709">
        <f t="shared" si="86"/>
        <v>39234</v>
      </c>
      <c r="B394" s="709" t="str">
        <f t="shared" si="87"/>
        <v>2Q07</v>
      </c>
      <c r="C394" s="709" t="str">
        <f t="shared" si="88"/>
        <v>3Q07</v>
      </c>
      <c r="D394" s="710">
        <f t="shared" si="91"/>
        <v>39308</v>
      </c>
      <c r="E394" s="710">
        <f t="shared" si="91"/>
        <v>39248</v>
      </c>
      <c r="F394" s="712">
        <v>66.62</v>
      </c>
      <c r="G394" s="713">
        <f t="shared" si="89"/>
        <v>1.4900000000000011</v>
      </c>
      <c r="H394" s="713">
        <f t="shared" si="90"/>
        <v>1.4900000000000011</v>
      </c>
      <c r="I394" s="697"/>
      <c r="J394" s="697"/>
      <c r="K394" s="697"/>
      <c r="L394" s="697"/>
      <c r="M394" s="697"/>
      <c r="N394" s="697"/>
      <c r="O394" s="697"/>
      <c r="P394" s="697"/>
      <c r="Q394" s="697"/>
      <c r="R394" s="697"/>
      <c r="S394" s="697"/>
      <c r="T394" s="697"/>
      <c r="U394" s="697"/>
      <c r="V394" s="697"/>
      <c r="W394" s="697"/>
      <c r="X394" s="697"/>
      <c r="Y394" s="697"/>
      <c r="Z394" s="697"/>
      <c r="AA394" s="697"/>
      <c r="AB394" s="697"/>
      <c r="AC394" s="697"/>
      <c r="AD394" s="697"/>
      <c r="AE394" s="697"/>
      <c r="AF394" s="697"/>
      <c r="AG394" s="697"/>
      <c r="AH394" s="697"/>
      <c r="AI394" s="697"/>
      <c r="AJ394" s="697"/>
      <c r="AK394" s="697"/>
      <c r="AL394" s="697"/>
      <c r="AM394" s="697"/>
      <c r="AN394" s="697"/>
      <c r="AO394" s="697"/>
      <c r="AP394" s="697"/>
      <c r="AQ394" s="697"/>
      <c r="AR394" s="697"/>
      <c r="AS394" s="697"/>
      <c r="AT394" s="697"/>
      <c r="AU394" s="697"/>
      <c r="AV394" s="697"/>
      <c r="AW394" s="697"/>
      <c r="AX394" s="697"/>
      <c r="AY394" s="697"/>
      <c r="AZ394" s="697"/>
      <c r="BA394" s="697"/>
      <c r="BB394" s="697"/>
      <c r="BC394" s="697"/>
      <c r="BD394" s="697"/>
      <c r="BE394" s="697"/>
      <c r="BF394" s="697"/>
      <c r="BG394" s="697"/>
      <c r="BH394" s="697"/>
      <c r="BI394" s="697"/>
      <c r="BJ394" s="697"/>
      <c r="BK394" s="697"/>
      <c r="BL394" s="697"/>
      <c r="BM394" s="697"/>
      <c r="BN394" s="697"/>
      <c r="BO394" s="697"/>
      <c r="BP394" s="697"/>
      <c r="BQ394" s="697"/>
      <c r="BR394" s="697"/>
      <c r="BS394" s="697"/>
      <c r="BT394" s="697"/>
      <c r="BU394" s="697"/>
      <c r="BV394" s="697"/>
      <c r="BW394" s="697"/>
      <c r="BX394" s="697"/>
      <c r="BY394" s="697"/>
      <c r="BZ394" s="697"/>
      <c r="CA394" s="697"/>
      <c r="CB394" s="697"/>
      <c r="CC394" s="697"/>
      <c r="CD394" s="697"/>
      <c r="CE394" s="697"/>
      <c r="CF394" s="697"/>
      <c r="CG394" s="697"/>
      <c r="CH394" s="697"/>
      <c r="CI394" s="697"/>
      <c r="CJ394" s="697"/>
      <c r="CK394" s="697"/>
      <c r="CL394" s="697"/>
      <c r="CM394" s="697"/>
      <c r="CN394" s="697"/>
      <c r="CO394" s="697"/>
      <c r="CP394" s="697"/>
      <c r="CQ394" s="697"/>
      <c r="CR394" s="697"/>
      <c r="CS394" s="697"/>
      <c r="CT394" s="697"/>
      <c r="CU394" s="697"/>
      <c r="CV394" s="697"/>
      <c r="CW394" s="697"/>
      <c r="CX394" s="697"/>
      <c r="CY394" s="697"/>
      <c r="CZ394" s="697"/>
      <c r="DA394" s="697"/>
      <c r="DB394" s="697"/>
    </row>
    <row r="395" spans="1:106" hidden="1" outlineLevel="1" x14ac:dyDescent="0.2">
      <c r="A395" s="709">
        <f t="shared" si="86"/>
        <v>39234</v>
      </c>
      <c r="B395" s="709" t="str">
        <f t="shared" si="87"/>
        <v>2Q07</v>
      </c>
      <c r="C395" s="709" t="str">
        <f t="shared" si="88"/>
        <v>3Q07</v>
      </c>
      <c r="D395" s="710">
        <f t="shared" si="91"/>
        <v>39315</v>
      </c>
      <c r="E395" s="710">
        <f t="shared" si="91"/>
        <v>39255</v>
      </c>
      <c r="F395" s="712">
        <v>68.78</v>
      </c>
      <c r="G395" s="713">
        <f t="shared" si="89"/>
        <v>1.4900000000000011</v>
      </c>
      <c r="H395" s="713">
        <f t="shared" si="90"/>
        <v>1.4900000000000011</v>
      </c>
      <c r="I395" s="697"/>
      <c r="J395" s="697"/>
      <c r="K395" s="697"/>
      <c r="L395" s="697"/>
      <c r="M395" s="697"/>
      <c r="N395" s="697"/>
      <c r="O395" s="697"/>
      <c r="P395" s="697"/>
      <c r="Q395" s="697"/>
      <c r="R395" s="697"/>
      <c r="S395" s="697"/>
      <c r="T395" s="697"/>
      <c r="U395" s="697"/>
      <c r="V395" s="697"/>
      <c r="W395" s="697"/>
      <c r="X395" s="697"/>
      <c r="Y395" s="697"/>
      <c r="Z395" s="697"/>
      <c r="AA395" s="697"/>
      <c r="AB395" s="697"/>
      <c r="AC395" s="697"/>
      <c r="AD395" s="697"/>
      <c r="AE395" s="697"/>
      <c r="AF395" s="697"/>
      <c r="AG395" s="697"/>
      <c r="AH395" s="697"/>
      <c r="AI395" s="697"/>
      <c r="AJ395" s="697"/>
      <c r="AK395" s="697"/>
      <c r="AL395" s="697"/>
      <c r="AM395" s="697"/>
      <c r="AN395" s="697"/>
      <c r="AO395" s="697"/>
      <c r="AP395" s="697"/>
      <c r="AQ395" s="697"/>
      <c r="AR395" s="697"/>
      <c r="AS395" s="697"/>
      <c r="AT395" s="697"/>
      <c r="AU395" s="697"/>
      <c r="AV395" s="697"/>
      <c r="AW395" s="697"/>
      <c r="AX395" s="697"/>
      <c r="AY395" s="697"/>
      <c r="AZ395" s="697"/>
      <c r="BA395" s="697"/>
      <c r="BB395" s="697"/>
      <c r="BC395" s="697"/>
      <c r="BD395" s="697"/>
      <c r="BE395" s="697"/>
      <c r="BF395" s="697"/>
      <c r="BG395" s="697"/>
      <c r="BH395" s="697"/>
      <c r="BI395" s="697"/>
      <c r="BJ395" s="697"/>
      <c r="BK395" s="697"/>
      <c r="BL395" s="697"/>
      <c r="BM395" s="697"/>
      <c r="BN395" s="697"/>
      <c r="BO395" s="697"/>
      <c r="BP395" s="697"/>
      <c r="BQ395" s="697"/>
      <c r="BR395" s="697"/>
      <c r="BS395" s="697"/>
      <c r="BT395" s="697"/>
      <c r="BU395" s="697"/>
      <c r="BV395" s="697"/>
      <c r="BW395" s="697"/>
      <c r="BX395" s="697"/>
      <c r="BY395" s="697"/>
      <c r="BZ395" s="697"/>
      <c r="CA395" s="697"/>
      <c r="CB395" s="697"/>
      <c r="CC395" s="697"/>
      <c r="CD395" s="697"/>
      <c r="CE395" s="697"/>
      <c r="CF395" s="697"/>
      <c r="CG395" s="697"/>
      <c r="CH395" s="697"/>
      <c r="CI395" s="697"/>
      <c r="CJ395" s="697"/>
      <c r="CK395" s="697"/>
      <c r="CL395" s="697"/>
      <c r="CM395" s="697"/>
      <c r="CN395" s="697"/>
      <c r="CO395" s="697"/>
      <c r="CP395" s="697"/>
      <c r="CQ395" s="697"/>
      <c r="CR395" s="697"/>
      <c r="CS395" s="697"/>
      <c r="CT395" s="697"/>
      <c r="CU395" s="697"/>
      <c r="CV395" s="697"/>
      <c r="CW395" s="697"/>
      <c r="CX395" s="697"/>
      <c r="CY395" s="697"/>
      <c r="CZ395" s="697"/>
      <c r="DA395" s="697"/>
      <c r="DB395" s="697"/>
    </row>
    <row r="396" spans="1:106" hidden="1" outlineLevel="1" x14ac:dyDescent="0.2">
      <c r="A396" s="709">
        <f t="shared" si="86"/>
        <v>39234</v>
      </c>
      <c r="B396" s="709" t="str">
        <f t="shared" si="87"/>
        <v>2Q07</v>
      </c>
      <c r="C396" s="709" t="str">
        <f t="shared" si="88"/>
        <v>3Q07</v>
      </c>
      <c r="D396" s="710">
        <f t="shared" si="91"/>
        <v>39322</v>
      </c>
      <c r="E396" s="710">
        <f t="shared" si="91"/>
        <v>39262</v>
      </c>
      <c r="F396" s="712">
        <v>69.13</v>
      </c>
      <c r="G396" s="713">
        <f t="shared" si="89"/>
        <v>1.4900000000000011</v>
      </c>
      <c r="H396" s="713">
        <f t="shared" si="90"/>
        <v>1.4900000000000011</v>
      </c>
      <c r="I396" s="697"/>
      <c r="J396" s="697"/>
      <c r="K396" s="697"/>
      <c r="L396" s="697"/>
      <c r="M396" s="697"/>
      <c r="N396" s="697"/>
      <c r="O396" s="697"/>
      <c r="P396" s="697"/>
      <c r="Q396" s="697"/>
      <c r="R396" s="697"/>
      <c r="S396" s="697"/>
      <c r="T396" s="697"/>
      <c r="U396" s="697"/>
      <c r="V396" s="697"/>
      <c r="W396" s="697"/>
      <c r="X396" s="697"/>
      <c r="Y396" s="697"/>
      <c r="Z396" s="697"/>
      <c r="AA396" s="697"/>
      <c r="AB396" s="697"/>
      <c r="AC396" s="697"/>
      <c r="AD396" s="697"/>
      <c r="AE396" s="697"/>
      <c r="AF396" s="697"/>
      <c r="AG396" s="697"/>
      <c r="AH396" s="697"/>
      <c r="AI396" s="697"/>
      <c r="AJ396" s="697"/>
      <c r="AK396" s="697"/>
      <c r="AL396" s="697"/>
      <c r="AM396" s="697"/>
      <c r="AN396" s="697"/>
      <c r="AO396" s="697"/>
      <c r="AP396" s="697"/>
      <c r="AQ396" s="697"/>
      <c r="AR396" s="697"/>
      <c r="AS396" s="697"/>
      <c r="AT396" s="697"/>
      <c r="AU396" s="697"/>
      <c r="AV396" s="697"/>
      <c r="AW396" s="697"/>
      <c r="AX396" s="697"/>
      <c r="AY396" s="697"/>
      <c r="AZ396" s="697"/>
      <c r="BA396" s="697"/>
      <c r="BB396" s="697"/>
      <c r="BC396" s="697"/>
      <c r="BD396" s="697"/>
      <c r="BE396" s="697"/>
      <c r="BF396" s="697"/>
      <c r="BG396" s="697"/>
      <c r="BH396" s="697"/>
      <c r="BI396" s="697"/>
      <c r="BJ396" s="697"/>
      <c r="BK396" s="697"/>
      <c r="BL396" s="697"/>
      <c r="BM396" s="697"/>
      <c r="BN396" s="697"/>
      <c r="BO396" s="697"/>
      <c r="BP396" s="697"/>
      <c r="BQ396" s="697"/>
      <c r="BR396" s="697"/>
      <c r="BS396" s="697"/>
      <c r="BT396" s="697"/>
      <c r="BU396" s="697"/>
      <c r="BV396" s="697"/>
      <c r="BW396" s="697"/>
      <c r="BX396" s="697"/>
      <c r="BY396" s="697"/>
      <c r="BZ396" s="697"/>
      <c r="CA396" s="697"/>
      <c r="CB396" s="697"/>
      <c r="CC396" s="697"/>
      <c r="CD396" s="697"/>
      <c r="CE396" s="697"/>
      <c r="CF396" s="697"/>
      <c r="CG396" s="697"/>
      <c r="CH396" s="697"/>
      <c r="CI396" s="697"/>
      <c r="CJ396" s="697"/>
      <c r="CK396" s="697"/>
      <c r="CL396" s="697"/>
      <c r="CM396" s="697"/>
      <c r="CN396" s="697"/>
      <c r="CO396" s="697"/>
      <c r="CP396" s="697"/>
      <c r="CQ396" s="697"/>
      <c r="CR396" s="697"/>
      <c r="CS396" s="697"/>
      <c r="CT396" s="697"/>
      <c r="CU396" s="697"/>
      <c r="CV396" s="697"/>
      <c r="CW396" s="697"/>
      <c r="CX396" s="697"/>
      <c r="CY396" s="697"/>
      <c r="CZ396" s="697"/>
      <c r="DA396" s="697"/>
      <c r="DB396" s="697"/>
    </row>
    <row r="397" spans="1:106" hidden="1" outlineLevel="1" x14ac:dyDescent="0.2">
      <c r="A397" s="709">
        <f t="shared" si="86"/>
        <v>39264</v>
      </c>
      <c r="B397" s="709" t="str">
        <f t="shared" si="87"/>
        <v>3Q07</v>
      </c>
      <c r="C397" s="709" t="str">
        <f t="shared" si="88"/>
        <v>3Q07</v>
      </c>
      <c r="D397" s="710">
        <f t="shared" si="91"/>
        <v>39329</v>
      </c>
      <c r="E397" s="710">
        <f t="shared" si="91"/>
        <v>39269</v>
      </c>
      <c r="F397" s="712">
        <v>71.78</v>
      </c>
      <c r="G397" s="713">
        <f t="shared" si="89"/>
        <v>1.4900000000000011</v>
      </c>
      <c r="H397" s="713">
        <f t="shared" si="90"/>
        <v>1.4900000000000011</v>
      </c>
      <c r="I397" s="697"/>
      <c r="J397" s="697"/>
      <c r="K397" s="697"/>
      <c r="L397" s="697"/>
      <c r="M397" s="697"/>
      <c r="N397" s="697"/>
      <c r="O397" s="697"/>
      <c r="P397" s="697"/>
      <c r="Q397" s="697"/>
      <c r="R397" s="697"/>
      <c r="S397" s="697"/>
      <c r="T397" s="697"/>
      <c r="U397" s="697"/>
      <c r="V397" s="697"/>
      <c r="W397" s="697"/>
      <c r="X397" s="697"/>
      <c r="Y397" s="697"/>
      <c r="Z397" s="697"/>
      <c r="AA397" s="697"/>
      <c r="AB397" s="697"/>
      <c r="AC397" s="697"/>
      <c r="AD397" s="697"/>
      <c r="AE397" s="697"/>
      <c r="AF397" s="697"/>
      <c r="AG397" s="697"/>
      <c r="AH397" s="697"/>
      <c r="AI397" s="697"/>
      <c r="AJ397" s="697"/>
      <c r="AK397" s="697"/>
      <c r="AL397" s="697"/>
      <c r="AM397" s="697"/>
      <c r="AN397" s="697"/>
      <c r="AO397" s="697"/>
      <c r="AP397" s="697"/>
      <c r="AQ397" s="697"/>
      <c r="AR397" s="697"/>
      <c r="AS397" s="697"/>
      <c r="AT397" s="697"/>
      <c r="AU397" s="697"/>
      <c r="AV397" s="697"/>
      <c r="AW397" s="697"/>
      <c r="AX397" s="697"/>
      <c r="AY397" s="697"/>
      <c r="AZ397" s="697"/>
      <c r="BA397" s="697"/>
      <c r="BB397" s="697"/>
      <c r="BC397" s="697"/>
      <c r="BD397" s="697"/>
      <c r="BE397" s="697"/>
      <c r="BF397" s="697"/>
      <c r="BG397" s="697"/>
      <c r="BH397" s="697"/>
      <c r="BI397" s="697"/>
      <c r="BJ397" s="697"/>
      <c r="BK397" s="697"/>
      <c r="BL397" s="697"/>
      <c r="BM397" s="697"/>
      <c r="BN397" s="697"/>
      <c r="BO397" s="697"/>
      <c r="BP397" s="697"/>
      <c r="BQ397" s="697"/>
      <c r="BR397" s="697"/>
      <c r="BS397" s="697"/>
      <c r="BT397" s="697"/>
      <c r="BU397" s="697"/>
      <c r="BV397" s="697"/>
      <c r="BW397" s="697"/>
      <c r="BX397" s="697"/>
      <c r="BY397" s="697"/>
      <c r="BZ397" s="697"/>
      <c r="CA397" s="697"/>
      <c r="CB397" s="697"/>
      <c r="CC397" s="697"/>
      <c r="CD397" s="697"/>
      <c r="CE397" s="697"/>
      <c r="CF397" s="697"/>
      <c r="CG397" s="697"/>
      <c r="CH397" s="697"/>
      <c r="CI397" s="697"/>
      <c r="CJ397" s="697"/>
      <c r="CK397" s="697"/>
      <c r="CL397" s="697"/>
      <c r="CM397" s="697"/>
      <c r="CN397" s="697"/>
      <c r="CO397" s="697"/>
      <c r="CP397" s="697"/>
      <c r="CQ397" s="697"/>
      <c r="CR397" s="697"/>
      <c r="CS397" s="697"/>
      <c r="CT397" s="697"/>
      <c r="CU397" s="697"/>
      <c r="CV397" s="697"/>
      <c r="CW397" s="697"/>
      <c r="CX397" s="697"/>
      <c r="CY397" s="697"/>
      <c r="CZ397" s="697"/>
      <c r="DA397" s="697"/>
      <c r="DB397" s="697"/>
    </row>
    <row r="398" spans="1:106" hidden="1" outlineLevel="1" x14ac:dyDescent="0.2">
      <c r="A398" s="709">
        <f t="shared" si="86"/>
        <v>39264</v>
      </c>
      <c r="B398" s="709" t="str">
        <f t="shared" si="87"/>
        <v>3Q07</v>
      </c>
      <c r="C398" s="709" t="str">
        <f t="shared" si="88"/>
        <v>3Q07</v>
      </c>
      <c r="D398" s="710">
        <f t="shared" si="91"/>
        <v>39336</v>
      </c>
      <c r="E398" s="710">
        <f t="shared" si="91"/>
        <v>39276</v>
      </c>
      <c r="F398" s="712">
        <v>72.790000000000006</v>
      </c>
      <c r="G398" s="713">
        <f t="shared" si="89"/>
        <v>1.4900000000000011</v>
      </c>
      <c r="H398" s="713">
        <f t="shared" si="90"/>
        <v>1.4900000000000011</v>
      </c>
      <c r="I398" s="697"/>
      <c r="J398" s="697"/>
      <c r="K398" s="697"/>
      <c r="L398" s="697"/>
      <c r="M398" s="697"/>
      <c r="N398" s="697"/>
      <c r="O398" s="697"/>
      <c r="P398" s="697"/>
      <c r="Q398" s="697"/>
      <c r="R398" s="697"/>
      <c r="S398" s="697"/>
      <c r="T398" s="697"/>
      <c r="U398" s="697"/>
      <c r="V398" s="697"/>
      <c r="W398" s="697"/>
      <c r="X398" s="697"/>
      <c r="Y398" s="697"/>
      <c r="Z398" s="697"/>
      <c r="AA398" s="697"/>
      <c r="AB398" s="697"/>
      <c r="AC398" s="697"/>
      <c r="AD398" s="697"/>
      <c r="AE398" s="697"/>
      <c r="AF398" s="697"/>
      <c r="AG398" s="697"/>
      <c r="AH398" s="697"/>
      <c r="AI398" s="697"/>
      <c r="AJ398" s="697"/>
      <c r="AK398" s="697"/>
      <c r="AL398" s="697"/>
      <c r="AM398" s="697"/>
      <c r="AN398" s="697"/>
      <c r="AO398" s="697"/>
      <c r="AP398" s="697"/>
      <c r="AQ398" s="697"/>
      <c r="AR398" s="697"/>
      <c r="AS398" s="697"/>
      <c r="AT398" s="697"/>
      <c r="AU398" s="697"/>
      <c r="AV398" s="697"/>
      <c r="AW398" s="697"/>
      <c r="AX398" s="697"/>
      <c r="AY398" s="697"/>
      <c r="AZ398" s="697"/>
      <c r="BA398" s="697"/>
      <c r="BB398" s="697"/>
      <c r="BC398" s="697"/>
      <c r="BD398" s="697"/>
      <c r="BE398" s="697"/>
      <c r="BF398" s="697"/>
      <c r="BG398" s="697"/>
      <c r="BH398" s="697"/>
      <c r="BI398" s="697"/>
      <c r="BJ398" s="697"/>
      <c r="BK398" s="697"/>
      <c r="BL398" s="697"/>
      <c r="BM398" s="697"/>
      <c r="BN398" s="697"/>
      <c r="BO398" s="697"/>
      <c r="BP398" s="697"/>
      <c r="BQ398" s="697"/>
      <c r="BR398" s="697"/>
      <c r="BS398" s="697"/>
      <c r="BT398" s="697"/>
      <c r="BU398" s="697"/>
      <c r="BV398" s="697"/>
      <c r="BW398" s="697"/>
      <c r="BX398" s="697"/>
      <c r="BY398" s="697"/>
      <c r="BZ398" s="697"/>
      <c r="CA398" s="697"/>
      <c r="CB398" s="697"/>
      <c r="CC398" s="697"/>
      <c r="CD398" s="697"/>
      <c r="CE398" s="697"/>
      <c r="CF398" s="697"/>
      <c r="CG398" s="697"/>
      <c r="CH398" s="697"/>
      <c r="CI398" s="697"/>
      <c r="CJ398" s="697"/>
      <c r="CK398" s="697"/>
      <c r="CL398" s="697"/>
      <c r="CM398" s="697"/>
      <c r="CN398" s="697"/>
      <c r="CO398" s="697"/>
      <c r="CP398" s="697"/>
      <c r="CQ398" s="697"/>
      <c r="CR398" s="697"/>
      <c r="CS398" s="697"/>
      <c r="CT398" s="697"/>
      <c r="CU398" s="697"/>
      <c r="CV398" s="697"/>
      <c r="CW398" s="697"/>
      <c r="CX398" s="697"/>
      <c r="CY398" s="697"/>
      <c r="CZ398" s="697"/>
      <c r="DA398" s="697"/>
      <c r="DB398" s="697"/>
    </row>
    <row r="399" spans="1:106" hidden="1" outlineLevel="1" x14ac:dyDescent="0.2">
      <c r="A399" s="709">
        <f t="shared" si="86"/>
        <v>39264</v>
      </c>
      <c r="B399" s="709" t="str">
        <f t="shared" si="87"/>
        <v>3Q07</v>
      </c>
      <c r="C399" s="709" t="str">
        <f t="shared" si="88"/>
        <v>3Q07</v>
      </c>
      <c r="D399" s="710">
        <f t="shared" si="91"/>
        <v>39343</v>
      </c>
      <c r="E399" s="710">
        <f t="shared" si="91"/>
        <v>39283</v>
      </c>
      <c r="F399" s="712">
        <v>74.92</v>
      </c>
      <c r="G399" s="713">
        <f t="shared" si="89"/>
        <v>1.4900000000000011</v>
      </c>
      <c r="H399" s="713">
        <f t="shared" si="90"/>
        <v>1.4900000000000011</v>
      </c>
      <c r="I399" s="697"/>
      <c r="J399" s="697"/>
      <c r="K399" s="697"/>
      <c r="L399" s="697"/>
      <c r="M399" s="697"/>
      <c r="N399" s="697"/>
      <c r="O399" s="697"/>
      <c r="P399" s="697"/>
      <c r="Q399" s="697"/>
      <c r="R399" s="697"/>
      <c r="S399" s="697"/>
      <c r="T399" s="697"/>
      <c r="U399" s="697"/>
      <c r="V399" s="697"/>
      <c r="W399" s="697"/>
      <c r="X399" s="697"/>
      <c r="Y399" s="697"/>
      <c r="Z399" s="697"/>
      <c r="AA399" s="697"/>
      <c r="AB399" s="697"/>
      <c r="AC399" s="697"/>
      <c r="AD399" s="697"/>
      <c r="AE399" s="697"/>
      <c r="AF399" s="697"/>
      <c r="AG399" s="697"/>
      <c r="AH399" s="697"/>
      <c r="AI399" s="697"/>
      <c r="AJ399" s="697"/>
      <c r="AK399" s="697"/>
      <c r="AL399" s="697"/>
      <c r="AM399" s="697"/>
      <c r="AN399" s="697"/>
      <c r="AO399" s="697"/>
      <c r="AP399" s="697"/>
      <c r="AQ399" s="697"/>
      <c r="AR399" s="697"/>
      <c r="AS399" s="697"/>
      <c r="AT399" s="697"/>
      <c r="AU399" s="697"/>
      <c r="AV399" s="697"/>
      <c r="AW399" s="697"/>
      <c r="AX399" s="697"/>
      <c r="AY399" s="697"/>
      <c r="AZ399" s="697"/>
      <c r="BA399" s="697"/>
      <c r="BB399" s="697"/>
      <c r="BC399" s="697"/>
      <c r="BD399" s="697"/>
      <c r="BE399" s="697"/>
      <c r="BF399" s="697"/>
      <c r="BG399" s="697"/>
      <c r="BH399" s="697"/>
      <c r="BI399" s="697"/>
      <c r="BJ399" s="697"/>
      <c r="BK399" s="697"/>
      <c r="BL399" s="697"/>
      <c r="BM399" s="697"/>
      <c r="BN399" s="697"/>
      <c r="BO399" s="697"/>
      <c r="BP399" s="697"/>
      <c r="BQ399" s="697"/>
      <c r="BR399" s="697"/>
      <c r="BS399" s="697"/>
      <c r="BT399" s="697"/>
      <c r="BU399" s="697"/>
      <c r="BV399" s="697"/>
      <c r="BW399" s="697"/>
      <c r="BX399" s="697"/>
      <c r="BY399" s="697"/>
      <c r="BZ399" s="697"/>
      <c r="CA399" s="697"/>
      <c r="CB399" s="697"/>
      <c r="CC399" s="697"/>
      <c r="CD399" s="697"/>
      <c r="CE399" s="697"/>
      <c r="CF399" s="697"/>
      <c r="CG399" s="697"/>
      <c r="CH399" s="697"/>
      <c r="CI399" s="697"/>
      <c r="CJ399" s="697"/>
      <c r="CK399" s="697"/>
      <c r="CL399" s="697"/>
      <c r="CM399" s="697"/>
      <c r="CN399" s="697"/>
      <c r="CO399" s="697"/>
      <c r="CP399" s="697"/>
      <c r="CQ399" s="697"/>
      <c r="CR399" s="697"/>
      <c r="CS399" s="697"/>
      <c r="CT399" s="697"/>
      <c r="CU399" s="697"/>
      <c r="CV399" s="697"/>
      <c r="CW399" s="697"/>
      <c r="CX399" s="697"/>
      <c r="CY399" s="697"/>
      <c r="CZ399" s="697"/>
      <c r="DA399" s="697"/>
      <c r="DB399" s="697"/>
    </row>
    <row r="400" spans="1:106" hidden="1" outlineLevel="1" x14ac:dyDescent="0.2">
      <c r="A400" s="709">
        <f t="shared" si="86"/>
        <v>39264</v>
      </c>
      <c r="B400" s="709" t="str">
        <f t="shared" si="87"/>
        <v>3Q07</v>
      </c>
      <c r="C400" s="709" t="str">
        <f t="shared" si="88"/>
        <v>3Q07</v>
      </c>
      <c r="D400" s="710">
        <f t="shared" si="91"/>
        <v>39350</v>
      </c>
      <c r="E400" s="710">
        <f t="shared" si="91"/>
        <v>39290</v>
      </c>
      <c r="F400" s="712">
        <v>75.150000000000006</v>
      </c>
      <c r="G400" s="713">
        <f t="shared" si="89"/>
        <v>1.4900000000000011</v>
      </c>
      <c r="H400" s="713">
        <f t="shared" si="90"/>
        <v>1.4900000000000011</v>
      </c>
      <c r="I400" s="697"/>
      <c r="J400" s="697"/>
      <c r="K400" s="697"/>
      <c r="L400" s="697"/>
      <c r="M400" s="697"/>
      <c r="N400" s="697"/>
      <c r="O400" s="697"/>
      <c r="P400" s="697"/>
      <c r="Q400" s="697"/>
      <c r="R400" s="697"/>
      <c r="S400" s="697"/>
      <c r="T400" s="697"/>
      <c r="U400" s="697"/>
      <c r="V400" s="697"/>
      <c r="W400" s="697"/>
      <c r="X400" s="697"/>
      <c r="Y400" s="697"/>
      <c r="Z400" s="697"/>
      <c r="AA400" s="697"/>
      <c r="AB400" s="697"/>
      <c r="AC400" s="697"/>
      <c r="AD400" s="697"/>
      <c r="AE400" s="697"/>
      <c r="AF400" s="697"/>
      <c r="AG400" s="697"/>
      <c r="AH400" s="697"/>
      <c r="AI400" s="697"/>
      <c r="AJ400" s="697"/>
      <c r="AK400" s="697"/>
      <c r="AL400" s="697"/>
      <c r="AM400" s="697"/>
      <c r="AN400" s="697"/>
      <c r="AO400" s="697"/>
      <c r="AP400" s="697"/>
      <c r="AQ400" s="697"/>
      <c r="AR400" s="697"/>
      <c r="AS400" s="697"/>
      <c r="AT400" s="697"/>
      <c r="AU400" s="697"/>
      <c r="AV400" s="697"/>
      <c r="AW400" s="697"/>
      <c r="AX400" s="697"/>
      <c r="AY400" s="697"/>
      <c r="AZ400" s="697"/>
      <c r="BA400" s="697"/>
      <c r="BB400" s="697"/>
      <c r="BC400" s="697"/>
      <c r="BD400" s="697"/>
      <c r="BE400" s="697"/>
      <c r="BF400" s="697"/>
      <c r="BG400" s="697"/>
      <c r="BH400" s="697"/>
      <c r="BI400" s="697"/>
      <c r="BJ400" s="697"/>
      <c r="BK400" s="697"/>
      <c r="BL400" s="697"/>
      <c r="BM400" s="697"/>
      <c r="BN400" s="697"/>
      <c r="BO400" s="697"/>
      <c r="BP400" s="697"/>
      <c r="BQ400" s="697"/>
      <c r="BR400" s="697"/>
      <c r="BS400" s="697"/>
      <c r="BT400" s="697"/>
      <c r="BU400" s="697"/>
      <c r="BV400" s="697"/>
      <c r="BW400" s="697"/>
      <c r="BX400" s="697"/>
      <c r="BY400" s="697"/>
      <c r="BZ400" s="697"/>
      <c r="CA400" s="697"/>
      <c r="CB400" s="697"/>
      <c r="CC400" s="697"/>
      <c r="CD400" s="697"/>
      <c r="CE400" s="697"/>
      <c r="CF400" s="697"/>
      <c r="CG400" s="697"/>
      <c r="CH400" s="697"/>
      <c r="CI400" s="697"/>
      <c r="CJ400" s="697"/>
      <c r="CK400" s="697"/>
      <c r="CL400" s="697"/>
      <c r="CM400" s="697"/>
      <c r="CN400" s="697"/>
      <c r="CO400" s="697"/>
      <c r="CP400" s="697"/>
      <c r="CQ400" s="697"/>
      <c r="CR400" s="697"/>
      <c r="CS400" s="697"/>
      <c r="CT400" s="697"/>
      <c r="CU400" s="697"/>
      <c r="CV400" s="697"/>
      <c r="CW400" s="697"/>
      <c r="CX400" s="697"/>
      <c r="CY400" s="697"/>
      <c r="CZ400" s="697"/>
      <c r="DA400" s="697"/>
      <c r="DB400" s="697"/>
    </row>
    <row r="401" spans="1:106" hidden="1" outlineLevel="1" x14ac:dyDescent="0.2">
      <c r="A401" s="709">
        <f t="shared" si="86"/>
        <v>39295</v>
      </c>
      <c r="B401" s="709" t="str">
        <f t="shared" si="87"/>
        <v>3Q07</v>
      </c>
      <c r="C401" s="709" t="str">
        <f t="shared" si="88"/>
        <v>4Q07</v>
      </c>
      <c r="D401" s="710">
        <f t="shared" si="91"/>
        <v>39357</v>
      </c>
      <c r="E401" s="710">
        <f t="shared" si="91"/>
        <v>39297</v>
      </c>
      <c r="F401" s="712">
        <v>76.75</v>
      </c>
      <c r="G401" s="713">
        <f t="shared" si="89"/>
        <v>1.4900000000000011</v>
      </c>
      <c r="H401" s="713">
        <f t="shared" si="90"/>
        <v>1.4900000000000011</v>
      </c>
      <c r="I401" s="697"/>
      <c r="J401" s="697"/>
      <c r="K401" s="697"/>
      <c r="L401" s="697"/>
      <c r="M401" s="697"/>
      <c r="N401" s="697"/>
      <c r="O401" s="697"/>
      <c r="P401" s="697"/>
      <c r="Q401" s="697"/>
      <c r="R401" s="697"/>
      <c r="S401" s="697"/>
      <c r="T401" s="697"/>
      <c r="U401" s="697"/>
      <c r="V401" s="697"/>
      <c r="W401" s="697"/>
      <c r="X401" s="697"/>
      <c r="Y401" s="697"/>
      <c r="Z401" s="697"/>
      <c r="AA401" s="697"/>
      <c r="AB401" s="697"/>
      <c r="AC401" s="697"/>
      <c r="AD401" s="697"/>
      <c r="AE401" s="697"/>
      <c r="AF401" s="697"/>
      <c r="AG401" s="697"/>
      <c r="AH401" s="697"/>
      <c r="AI401" s="697"/>
      <c r="AJ401" s="697"/>
      <c r="AK401" s="697"/>
      <c r="AL401" s="697"/>
      <c r="AM401" s="697"/>
      <c r="AN401" s="697"/>
      <c r="AO401" s="697"/>
      <c r="AP401" s="697"/>
      <c r="AQ401" s="697"/>
      <c r="AR401" s="697"/>
      <c r="AS401" s="697"/>
      <c r="AT401" s="697"/>
      <c r="AU401" s="697"/>
      <c r="AV401" s="697"/>
      <c r="AW401" s="697"/>
      <c r="AX401" s="697"/>
      <c r="AY401" s="697"/>
      <c r="AZ401" s="697"/>
      <c r="BA401" s="697"/>
      <c r="BB401" s="697"/>
      <c r="BC401" s="697"/>
      <c r="BD401" s="697"/>
      <c r="BE401" s="697"/>
      <c r="BF401" s="697"/>
      <c r="BG401" s="697"/>
      <c r="BH401" s="697"/>
      <c r="BI401" s="697"/>
      <c r="BJ401" s="697"/>
      <c r="BK401" s="697"/>
      <c r="BL401" s="697"/>
      <c r="BM401" s="697"/>
      <c r="BN401" s="697"/>
      <c r="BO401" s="697"/>
      <c r="BP401" s="697"/>
      <c r="BQ401" s="697"/>
      <c r="BR401" s="697"/>
      <c r="BS401" s="697"/>
      <c r="BT401" s="697"/>
      <c r="BU401" s="697"/>
      <c r="BV401" s="697"/>
      <c r="BW401" s="697"/>
      <c r="BX401" s="697"/>
      <c r="BY401" s="697"/>
      <c r="BZ401" s="697"/>
      <c r="CA401" s="697"/>
      <c r="CB401" s="697"/>
      <c r="CC401" s="697"/>
      <c r="CD401" s="697"/>
      <c r="CE401" s="697"/>
      <c r="CF401" s="697"/>
      <c r="CG401" s="697"/>
      <c r="CH401" s="697"/>
      <c r="CI401" s="697"/>
      <c r="CJ401" s="697"/>
      <c r="CK401" s="697"/>
      <c r="CL401" s="697"/>
      <c r="CM401" s="697"/>
      <c r="CN401" s="697"/>
      <c r="CO401" s="697"/>
      <c r="CP401" s="697"/>
      <c r="CQ401" s="697"/>
      <c r="CR401" s="697"/>
      <c r="CS401" s="697"/>
      <c r="CT401" s="697"/>
      <c r="CU401" s="697"/>
      <c r="CV401" s="697"/>
      <c r="CW401" s="697"/>
      <c r="CX401" s="697"/>
      <c r="CY401" s="697"/>
      <c r="CZ401" s="697"/>
      <c r="DA401" s="697"/>
      <c r="DB401" s="697"/>
    </row>
    <row r="402" spans="1:106" hidden="1" outlineLevel="1" x14ac:dyDescent="0.2">
      <c r="A402" s="709">
        <f t="shared" si="86"/>
        <v>39295</v>
      </c>
      <c r="B402" s="709" t="str">
        <f t="shared" si="87"/>
        <v>3Q07</v>
      </c>
      <c r="C402" s="709" t="str">
        <f t="shared" si="88"/>
        <v>4Q07</v>
      </c>
      <c r="D402" s="710">
        <f t="shared" si="91"/>
        <v>39364</v>
      </c>
      <c r="E402" s="710">
        <f t="shared" si="91"/>
        <v>39304</v>
      </c>
      <c r="F402" s="712">
        <v>71.92</v>
      </c>
      <c r="G402" s="713">
        <f t="shared" si="89"/>
        <v>1.4900000000000011</v>
      </c>
      <c r="H402" s="713">
        <f t="shared" si="90"/>
        <v>1.4900000000000011</v>
      </c>
      <c r="I402" s="697"/>
      <c r="J402" s="697"/>
      <c r="K402" s="697"/>
      <c r="L402" s="697"/>
      <c r="M402" s="697"/>
      <c r="N402" s="697"/>
      <c r="O402" s="697"/>
      <c r="P402" s="697"/>
      <c r="Q402" s="697"/>
      <c r="R402" s="697"/>
      <c r="S402" s="697"/>
      <c r="T402" s="697"/>
      <c r="U402" s="697"/>
      <c r="V402" s="697"/>
      <c r="W402" s="697"/>
      <c r="X402" s="697"/>
      <c r="Y402" s="697"/>
      <c r="Z402" s="697"/>
      <c r="AA402" s="697"/>
      <c r="AB402" s="697"/>
      <c r="AC402" s="697"/>
      <c r="AD402" s="697"/>
      <c r="AE402" s="697"/>
      <c r="AF402" s="697"/>
      <c r="AG402" s="697"/>
      <c r="AH402" s="697"/>
      <c r="AI402" s="697"/>
      <c r="AJ402" s="697"/>
      <c r="AK402" s="697"/>
      <c r="AL402" s="697"/>
      <c r="AM402" s="697"/>
      <c r="AN402" s="697"/>
      <c r="AO402" s="697"/>
      <c r="AP402" s="697"/>
      <c r="AQ402" s="697"/>
      <c r="AR402" s="697"/>
      <c r="AS402" s="697"/>
      <c r="AT402" s="697"/>
      <c r="AU402" s="697"/>
      <c r="AV402" s="697"/>
      <c r="AW402" s="697"/>
      <c r="AX402" s="697"/>
      <c r="AY402" s="697"/>
      <c r="AZ402" s="697"/>
      <c r="BA402" s="697"/>
      <c r="BB402" s="697"/>
      <c r="BC402" s="697"/>
      <c r="BD402" s="697"/>
      <c r="BE402" s="697"/>
      <c r="BF402" s="697"/>
      <c r="BG402" s="697"/>
      <c r="BH402" s="697"/>
      <c r="BI402" s="697"/>
      <c r="BJ402" s="697"/>
      <c r="BK402" s="697"/>
      <c r="BL402" s="697"/>
      <c r="BM402" s="697"/>
      <c r="BN402" s="697"/>
      <c r="BO402" s="697"/>
      <c r="BP402" s="697"/>
      <c r="BQ402" s="697"/>
      <c r="BR402" s="697"/>
      <c r="BS402" s="697"/>
      <c r="BT402" s="697"/>
      <c r="BU402" s="697"/>
      <c r="BV402" s="697"/>
      <c r="BW402" s="697"/>
      <c r="BX402" s="697"/>
      <c r="BY402" s="697"/>
      <c r="BZ402" s="697"/>
      <c r="CA402" s="697"/>
      <c r="CB402" s="697"/>
      <c r="CC402" s="697"/>
      <c r="CD402" s="697"/>
      <c r="CE402" s="697"/>
      <c r="CF402" s="697"/>
      <c r="CG402" s="697"/>
      <c r="CH402" s="697"/>
      <c r="CI402" s="697"/>
      <c r="CJ402" s="697"/>
      <c r="CK402" s="697"/>
      <c r="CL402" s="697"/>
      <c r="CM402" s="697"/>
      <c r="CN402" s="697"/>
      <c r="CO402" s="697"/>
      <c r="CP402" s="697"/>
      <c r="CQ402" s="697"/>
      <c r="CR402" s="697"/>
      <c r="CS402" s="697"/>
      <c r="CT402" s="697"/>
      <c r="CU402" s="697"/>
      <c r="CV402" s="697"/>
      <c r="CW402" s="697"/>
      <c r="CX402" s="697"/>
      <c r="CY402" s="697"/>
      <c r="CZ402" s="697"/>
      <c r="DA402" s="697"/>
      <c r="DB402" s="697"/>
    </row>
    <row r="403" spans="1:106" hidden="1" outlineLevel="1" x14ac:dyDescent="0.2">
      <c r="A403" s="709">
        <f t="shared" si="86"/>
        <v>39295</v>
      </c>
      <c r="B403" s="709" t="str">
        <f t="shared" si="87"/>
        <v>3Q07</v>
      </c>
      <c r="C403" s="709" t="str">
        <f t="shared" si="88"/>
        <v>4Q07</v>
      </c>
      <c r="D403" s="710">
        <f t="shared" si="91"/>
        <v>39371</v>
      </c>
      <c r="E403" s="710">
        <f t="shared" si="91"/>
        <v>39311</v>
      </c>
      <c r="F403" s="712">
        <v>72.05</v>
      </c>
      <c r="G403" s="713">
        <f t="shared" si="89"/>
        <v>1.4900000000000011</v>
      </c>
      <c r="H403" s="713">
        <f t="shared" si="90"/>
        <v>1.4900000000000011</v>
      </c>
      <c r="I403" s="697"/>
      <c r="J403" s="697"/>
      <c r="K403" s="697"/>
      <c r="L403" s="697"/>
      <c r="M403" s="697"/>
      <c r="N403" s="697"/>
      <c r="O403" s="697"/>
      <c r="P403" s="697"/>
      <c r="Q403" s="697"/>
      <c r="R403" s="697"/>
      <c r="S403" s="697"/>
      <c r="T403" s="697"/>
      <c r="U403" s="697"/>
      <c r="V403" s="697"/>
      <c r="W403" s="697"/>
      <c r="X403" s="697"/>
      <c r="Y403" s="697"/>
      <c r="Z403" s="697"/>
      <c r="AA403" s="697"/>
      <c r="AB403" s="697"/>
      <c r="AC403" s="697"/>
      <c r="AD403" s="697"/>
      <c r="AE403" s="697"/>
      <c r="AF403" s="697"/>
      <c r="AG403" s="697"/>
      <c r="AH403" s="697"/>
      <c r="AI403" s="697"/>
      <c r="AJ403" s="697"/>
      <c r="AK403" s="697"/>
      <c r="AL403" s="697"/>
      <c r="AM403" s="697"/>
      <c r="AN403" s="697"/>
      <c r="AO403" s="697"/>
      <c r="AP403" s="697"/>
      <c r="AQ403" s="697"/>
      <c r="AR403" s="697"/>
      <c r="AS403" s="697"/>
      <c r="AT403" s="697"/>
      <c r="AU403" s="697"/>
      <c r="AV403" s="697"/>
      <c r="AW403" s="697"/>
      <c r="AX403" s="697"/>
      <c r="AY403" s="697"/>
      <c r="AZ403" s="697"/>
      <c r="BA403" s="697"/>
      <c r="BB403" s="697"/>
      <c r="BC403" s="697"/>
      <c r="BD403" s="697"/>
      <c r="BE403" s="697"/>
      <c r="BF403" s="697"/>
      <c r="BG403" s="697"/>
      <c r="BH403" s="697"/>
      <c r="BI403" s="697"/>
      <c r="BJ403" s="697"/>
      <c r="BK403" s="697"/>
      <c r="BL403" s="697"/>
      <c r="BM403" s="697"/>
      <c r="BN403" s="697"/>
      <c r="BO403" s="697"/>
      <c r="BP403" s="697"/>
      <c r="BQ403" s="697"/>
      <c r="BR403" s="697"/>
      <c r="BS403" s="697"/>
      <c r="BT403" s="697"/>
      <c r="BU403" s="697"/>
      <c r="BV403" s="697"/>
      <c r="BW403" s="697"/>
      <c r="BX403" s="697"/>
      <c r="BY403" s="697"/>
      <c r="BZ403" s="697"/>
      <c r="CA403" s="697"/>
      <c r="CB403" s="697"/>
      <c r="CC403" s="697"/>
      <c r="CD403" s="697"/>
      <c r="CE403" s="697"/>
      <c r="CF403" s="697"/>
      <c r="CG403" s="697"/>
      <c r="CH403" s="697"/>
      <c r="CI403" s="697"/>
      <c r="CJ403" s="697"/>
      <c r="CK403" s="697"/>
      <c r="CL403" s="697"/>
      <c r="CM403" s="697"/>
      <c r="CN403" s="697"/>
      <c r="CO403" s="697"/>
      <c r="CP403" s="697"/>
      <c r="CQ403" s="697"/>
      <c r="CR403" s="697"/>
      <c r="CS403" s="697"/>
      <c r="CT403" s="697"/>
      <c r="CU403" s="697"/>
      <c r="CV403" s="697"/>
      <c r="CW403" s="697"/>
      <c r="CX403" s="697"/>
      <c r="CY403" s="697"/>
      <c r="CZ403" s="697"/>
      <c r="DA403" s="697"/>
      <c r="DB403" s="697"/>
    </row>
    <row r="404" spans="1:106" hidden="1" outlineLevel="1" x14ac:dyDescent="0.2">
      <c r="A404" s="709">
        <f t="shared" si="86"/>
        <v>39295</v>
      </c>
      <c r="B404" s="709" t="str">
        <f t="shared" si="87"/>
        <v>3Q07</v>
      </c>
      <c r="C404" s="709" t="str">
        <f t="shared" si="88"/>
        <v>4Q07</v>
      </c>
      <c r="D404" s="710">
        <f t="shared" si="91"/>
        <v>39378</v>
      </c>
      <c r="E404" s="710">
        <f t="shared" si="91"/>
        <v>39318</v>
      </c>
      <c r="F404" s="712">
        <v>70.19</v>
      </c>
      <c r="G404" s="713">
        <f t="shared" si="89"/>
        <v>1.4900000000000011</v>
      </c>
      <c r="H404" s="713">
        <f t="shared" si="90"/>
        <v>1.4900000000000011</v>
      </c>
      <c r="I404" s="697"/>
      <c r="J404" s="697"/>
      <c r="K404" s="697"/>
      <c r="L404" s="697"/>
      <c r="M404" s="697"/>
      <c r="N404" s="697"/>
      <c r="O404" s="697"/>
      <c r="P404" s="697"/>
      <c r="Q404" s="697"/>
      <c r="R404" s="697"/>
      <c r="S404" s="697"/>
      <c r="T404" s="697"/>
      <c r="U404" s="697"/>
      <c r="V404" s="697"/>
      <c r="W404" s="697"/>
      <c r="X404" s="697"/>
      <c r="Y404" s="697"/>
      <c r="Z404" s="697"/>
      <c r="AA404" s="697"/>
      <c r="AB404" s="697"/>
      <c r="AC404" s="697"/>
      <c r="AD404" s="697"/>
      <c r="AE404" s="697"/>
      <c r="AF404" s="697"/>
      <c r="AG404" s="697"/>
      <c r="AH404" s="697"/>
      <c r="AI404" s="697"/>
      <c r="AJ404" s="697"/>
      <c r="AK404" s="697"/>
      <c r="AL404" s="697"/>
      <c r="AM404" s="697"/>
      <c r="AN404" s="697"/>
      <c r="AO404" s="697"/>
      <c r="AP404" s="697"/>
      <c r="AQ404" s="697"/>
      <c r="AR404" s="697"/>
      <c r="AS404" s="697"/>
      <c r="AT404" s="697"/>
      <c r="AU404" s="697"/>
      <c r="AV404" s="697"/>
      <c r="AW404" s="697"/>
      <c r="AX404" s="697"/>
      <c r="AY404" s="697"/>
      <c r="AZ404" s="697"/>
      <c r="BA404" s="697"/>
      <c r="BB404" s="697"/>
      <c r="BC404" s="697"/>
      <c r="BD404" s="697"/>
      <c r="BE404" s="697"/>
      <c r="BF404" s="697"/>
      <c r="BG404" s="697"/>
      <c r="BH404" s="697"/>
      <c r="BI404" s="697"/>
      <c r="BJ404" s="697"/>
      <c r="BK404" s="697"/>
      <c r="BL404" s="697"/>
      <c r="BM404" s="697"/>
      <c r="BN404" s="697"/>
      <c r="BO404" s="697"/>
      <c r="BP404" s="697"/>
      <c r="BQ404" s="697"/>
      <c r="BR404" s="697"/>
      <c r="BS404" s="697"/>
      <c r="BT404" s="697"/>
      <c r="BU404" s="697"/>
      <c r="BV404" s="697"/>
      <c r="BW404" s="697"/>
      <c r="BX404" s="697"/>
      <c r="BY404" s="697"/>
      <c r="BZ404" s="697"/>
      <c r="CA404" s="697"/>
      <c r="CB404" s="697"/>
      <c r="CC404" s="697"/>
      <c r="CD404" s="697"/>
      <c r="CE404" s="697"/>
      <c r="CF404" s="697"/>
      <c r="CG404" s="697"/>
      <c r="CH404" s="697"/>
      <c r="CI404" s="697"/>
      <c r="CJ404" s="697"/>
      <c r="CK404" s="697"/>
      <c r="CL404" s="697"/>
      <c r="CM404" s="697"/>
      <c r="CN404" s="697"/>
      <c r="CO404" s="697"/>
      <c r="CP404" s="697"/>
      <c r="CQ404" s="697"/>
      <c r="CR404" s="697"/>
      <c r="CS404" s="697"/>
      <c r="CT404" s="697"/>
      <c r="CU404" s="697"/>
      <c r="CV404" s="697"/>
      <c r="CW404" s="697"/>
      <c r="CX404" s="697"/>
      <c r="CY404" s="697"/>
      <c r="CZ404" s="697"/>
      <c r="DA404" s="697"/>
      <c r="DB404" s="697"/>
    </row>
    <row r="405" spans="1:106" hidden="1" outlineLevel="1" x14ac:dyDescent="0.2">
      <c r="A405" s="709">
        <f t="shared" si="86"/>
        <v>39295</v>
      </c>
      <c r="B405" s="709" t="str">
        <f t="shared" si="87"/>
        <v>3Q07</v>
      </c>
      <c r="C405" s="709" t="str">
        <f t="shared" si="88"/>
        <v>4Q07</v>
      </c>
      <c r="D405" s="710">
        <f t="shared" ref="D405:E420" si="92">D404+7</f>
        <v>39385</v>
      </c>
      <c r="E405" s="710">
        <f t="shared" si="92"/>
        <v>39325</v>
      </c>
      <c r="F405" s="712">
        <v>72.930000000000007</v>
      </c>
      <c r="G405" s="713">
        <f t="shared" si="89"/>
        <v>1.4900000000000011</v>
      </c>
      <c r="H405" s="713">
        <f t="shared" si="90"/>
        <v>1.4900000000000011</v>
      </c>
      <c r="I405" s="697"/>
      <c r="J405" s="697"/>
      <c r="K405" s="697"/>
      <c r="L405" s="697"/>
      <c r="M405" s="697"/>
      <c r="N405" s="697"/>
      <c r="O405" s="697"/>
      <c r="P405" s="697"/>
      <c r="Q405" s="697"/>
      <c r="R405" s="697"/>
      <c r="S405" s="697"/>
      <c r="T405" s="697"/>
      <c r="U405" s="697"/>
      <c r="V405" s="697"/>
      <c r="W405" s="697"/>
      <c r="X405" s="697"/>
      <c r="Y405" s="697"/>
      <c r="Z405" s="697"/>
      <c r="AA405" s="697"/>
      <c r="AB405" s="697"/>
      <c r="AC405" s="697"/>
      <c r="AD405" s="697"/>
      <c r="AE405" s="697"/>
      <c r="AF405" s="697"/>
      <c r="AG405" s="697"/>
      <c r="AH405" s="697"/>
      <c r="AI405" s="697"/>
      <c r="AJ405" s="697"/>
      <c r="AK405" s="697"/>
      <c r="AL405" s="697"/>
      <c r="AM405" s="697"/>
      <c r="AN405" s="697"/>
      <c r="AO405" s="697"/>
      <c r="AP405" s="697"/>
      <c r="AQ405" s="697"/>
      <c r="AR405" s="697"/>
      <c r="AS405" s="697"/>
      <c r="AT405" s="697"/>
      <c r="AU405" s="697"/>
      <c r="AV405" s="697"/>
      <c r="AW405" s="697"/>
      <c r="AX405" s="697"/>
      <c r="AY405" s="697"/>
      <c r="AZ405" s="697"/>
      <c r="BA405" s="697"/>
      <c r="BB405" s="697"/>
      <c r="BC405" s="697"/>
      <c r="BD405" s="697"/>
      <c r="BE405" s="697"/>
      <c r="BF405" s="697"/>
      <c r="BG405" s="697"/>
      <c r="BH405" s="697"/>
      <c r="BI405" s="697"/>
      <c r="BJ405" s="697"/>
      <c r="BK405" s="697"/>
      <c r="BL405" s="697"/>
      <c r="BM405" s="697"/>
      <c r="BN405" s="697"/>
      <c r="BO405" s="697"/>
      <c r="BP405" s="697"/>
      <c r="BQ405" s="697"/>
      <c r="BR405" s="697"/>
      <c r="BS405" s="697"/>
      <c r="BT405" s="697"/>
      <c r="BU405" s="697"/>
      <c r="BV405" s="697"/>
      <c r="BW405" s="697"/>
      <c r="BX405" s="697"/>
      <c r="BY405" s="697"/>
      <c r="BZ405" s="697"/>
      <c r="CA405" s="697"/>
      <c r="CB405" s="697"/>
      <c r="CC405" s="697"/>
      <c r="CD405" s="697"/>
      <c r="CE405" s="697"/>
      <c r="CF405" s="697"/>
      <c r="CG405" s="697"/>
      <c r="CH405" s="697"/>
      <c r="CI405" s="697"/>
      <c r="CJ405" s="697"/>
      <c r="CK405" s="697"/>
      <c r="CL405" s="697"/>
      <c r="CM405" s="697"/>
      <c r="CN405" s="697"/>
      <c r="CO405" s="697"/>
      <c r="CP405" s="697"/>
      <c r="CQ405" s="697"/>
      <c r="CR405" s="697"/>
      <c r="CS405" s="697"/>
      <c r="CT405" s="697"/>
      <c r="CU405" s="697"/>
      <c r="CV405" s="697"/>
      <c r="CW405" s="697"/>
      <c r="CX405" s="697"/>
      <c r="CY405" s="697"/>
      <c r="CZ405" s="697"/>
      <c r="DA405" s="697"/>
      <c r="DB405" s="697"/>
    </row>
    <row r="406" spans="1:106" hidden="1" outlineLevel="1" x14ac:dyDescent="0.2">
      <c r="A406" s="709">
        <f t="shared" si="86"/>
        <v>39326</v>
      </c>
      <c r="B406" s="709" t="str">
        <f t="shared" si="87"/>
        <v>3Q07</v>
      </c>
      <c r="C406" s="709" t="str">
        <f t="shared" si="88"/>
        <v>4Q07</v>
      </c>
      <c r="D406" s="710">
        <f t="shared" si="92"/>
        <v>39392</v>
      </c>
      <c r="E406" s="710">
        <f t="shared" si="92"/>
        <v>39332</v>
      </c>
      <c r="F406" s="712">
        <v>75.959999999999994</v>
      </c>
      <c r="G406" s="713">
        <f t="shared" si="89"/>
        <v>1.4900000000000011</v>
      </c>
      <c r="H406" s="713">
        <f t="shared" si="90"/>
        <v>1.4900000000000011</v>
      </c>
      <c r="I406" s="697"/>
      <c r="J406" s="697"/>
      <c r="K406" s="697"/>
      <c r="L406" s="697"/>
      <c r="M406" s="697"/>
      <c r="N406" s="697"/>
      <c r="O406" s="697"/>
      <c r="P406" s="697"/>
      <c r="Q406" s="697"/>
      <c r="R406" s="697"/>
      <c r="S406" s="697"/>
      <c r="T406" s="697"/>
      <c r="U406" s="697"/>
      <c r="V406" s="697"/>
      <c r="W406" s="697"/>
      <c r="X406" s="697"/>
      <c r="Y406" s="697"/>
      <c r="Z406" s="697"/>
      <c r="AA406" s="697"/>
      <c r="AB406" s="697"/>
      <c r="AC406" s="697"/>
      <c r="AD406" s="697"/>
      <c r="AE406" s="697"/>
      <c r="AF406" s="697"/>
      <c r="AG406" s="697"/>
      <c r="AH406" s="697"/>
      <c r="AI406" s="697"/>
      <c r="AJ406" s="697"/>
      <c r="AK406" s="697"/>
      <c r="AL406" s="697"/>
      <c r="AM406" s="697"/>
      <c r="AN406" s="697"/>
      <c r="AO406" s="697"/>
      <c r="AP406" s="697"/>
      <c r="AQ406" s="697"/>
      <c r="AR406" s="697"/>
      <c r="AS406" s="697"/>
      <c r="AT406" s="697"/>
      <c r="AU406" s="697"/>
      <c r="AV406" s="697"/>
      <c r="AW406" s="697"/>
      <c r="AX406" s="697"/>
      <c r="AY406" s="697"/>
      <c r="AZ406" s="697"/>
      <c r="BA406" s="697"/>
      <c r="BB406" s="697"/>
      <c r="BC406" s="697"/>
      <c r="BD406" s="697"/>
      <c r="BE406" s="697"/>
      <c r="BF406" s="697"/>
      <c r="BG406" s="697"/>
      <c r="BH406" s="697"/>
      <c r="BI406" s="697"/>
      <c r="BJ406" s="697"/>
      <c r="BK406" s="697"/>
      <c r="BL406" s="697"/>
      <c r="BM406" s="697"/>
      <c r="BN406" s="697"/>
      <c r="BO406" s="697"/>
      <c r="BP406" s="697"/>
      <c r="BQ406" s="697"/>
      <c r="BR406" s="697"/>
      <c r="BS406" s="697"/>
      <c r="BT406" s="697"/>
      <c r="BU406" s="697"/>
      <c r="BV406" s="697"/>
      <c r="BW406" s="697"/>
      <c r="BX406" s="697"/>
      <c r="BY406" s="697"/>
      <c r="BZ406" s="697"/>
      <c r="CA406" s="697"/>
      <c r="CB406" s="697"/>
      <c r="CC406" s="697"/>
      <c r="CD406" s="697"/>
      <c r="CE406" s="697"/>
      <c r="CF406" s="697"/>
      <c r="CG406" s="697"/>
      <c r="CH406" s="697"/>
      <c r="CI406" s="697"/>
      <c r="CJ406" s="697"/>
      <c r="CK406" s="697"/>
      <c r="CL406" s="697"/>
      <c r="CM406" s="697"/>
      <c r="CN406" s="697"/>
      <c r="CO406" s="697"/>
      <c r="CP406" s="697"/>
      <c r="CQ406" s="697"/>
      <c r="CR406" s="697"/>
      <c r="CS406" s="697"/>
      <c r="CT406" s="697"/>
      <c r="CU406" s="697"/>
      <c r="CV406" s="697"/>
      <c r="CW406" s="697"/>
      <c r="CX406" s="697"/>
      <c r="CY406" s="697"/>
      <c r="CZ406" s="697"/>
      <c r="DA406" s="697"/>
      <c r="DB406" s="697"/>
    </row>
    <row r="407" spans="1:106" hidden="1" outlineLevel="1" x14ac:dyDescent="0.2">
      <c r="A407" s="709">
        <f t="shared" si="86"/>
        <v>39326</v>
      </c>
      <c r="B407" s="709" t="str">
        <f t="shared" si="87"/>
        <v>3Q07</v>
      </c>
      <c r="C407" s="709" t="str">
        <f t="shared" si="88"/>
        <v>4Q07</v>
      </c>
      <c r="D407" s="710">
        <f t="shared" si="92"/>
        <v>39399</v>
      </c>
      <c r="E407" s="710">
        <f t="shared" si="92"/>
        <v>39339</v>
      </c>
      <c r="F407" s="712">
        <v>78.95</v>
      </c>
      <c r="G407" s="713">
        <f t="shared" si="89"/>
        <v>1.4900000000000011</v>
      </c>
      <c r="H407" s="713">
        <f t="shared" si="90"/>
        <v>1.4900000000000011</v>
      </c>
      <c r="I407" s="697"/>
      <c r="J407" s="697"/>
      <c r="K407" s="697"/>
      <c r="L407" s="697"/>
      <c r="M407" s="697"/>
      <c r="N407" s="697"/>
      <c r="O407" s="697"/>
      <c r="P407" s="697"/>
      <c r="Q407" s="697"/>
      <c r="R407" s="697"/>
      <c r="S407" s="697"/>
      <c r="T407" s="697"/>
      <c r="U407" s="697"/>
      <c r="V407" s="697"/>
      <c r="W407" s="697"/>
      <c r="X407" s="697"/>
      <c r="Y407" s="697"/>
      <c r="Z407" s="697"/>
      <c r="AA407" s="697"/>
      <c r="AB407" s="697"/>
      <c r="AC407" s="697"/>
      <c r="AD407" s="697"/>
      <c r="AE407" s="697"/>
      <c r="AF407" s="697"/>
      <c r="AG407" s="697"/>
      <c r="AH407" s="697"/>
      <c r="AI407" s="697"/>
      <c r="AJ407" s="697"/>
      <c r="AK407" s="697"/>
      <c r="AL407" s="697"/>
      <c r="AM407" s="697"/>
      <c r="AN407" s="697"/>
      <c r="AO407" s="697"/>
      <c r="AP407" s="697"/>
      <c r="AQ407" s="697"/>
      <c r="AR407" s="697"/>
      <c r="AS407" s="697"/>
      <c r="AT407" s="697"/>
      <c r="AU407" s="697"/>
      <c r="AV407" s="697"/>
      <c r="AW407" s="697"/>
      <c r="AX407" s="697"/>
      <c r="AY407" s="697"/>
      <c r="AZ407" s="697"/>
      <c r="BA407" s="697"/>
      <c r="BB407" s="697"/>
      <c r="BC407" s="697"/>
      <c r="BD407" s="697"/>
      <c r="BE407" s="697"/>
      <c r="BF407" s="697"/>
      <c r="BG407" s="697"/>
      <c r="BH407" s="697"/>
      <c r="BI407" s="697"/>
      <c r="BJ407" s="697"/>
      <c r="BK407" s="697"/>
      <c r="BL407" s="697"/>
      <c r="BM407" s="697"/>
      <c r="BN407" s="697"/>
      <c r="BO407" s="697"/>
      <c r="BP407" s="697"/>
      <c r="BQ407" s="697"/>
      <c r="BR407" s="697"/>
      <c r="BS407" s="697"/>
      <c r="BT407" s="697"/>
      <c r="BU407" s="697"/>
      <c r="BV407" s="697"/>
      <c r="BW407" s="697"/>
      <c r="BX407" s="697"/>
      <c r="BY407" s="697"/>
      <c r="BZ407" s="697"/>
      <c r="CA407" s="697"/>
      <c r="CB407" s="697"/>
      <c r="CC407" s="697"/>
      <c r="CD407" s="697"/>
      <c r="CE407" s="697"/>
      <c r="CF407" s="697"/>
      <c r="CG407" s="697"/>
      <c r="CH407" s="697"/>
      <c r="CI407" s="697"/>
      <c r="CJ407" s="697"/>
      <c r="CK407" s="697"/>
      <c r="CL407" s="697"/>
      <c r="CM407" s="697"/>
      <c r="CN407" s="697"/>
      <c r="CO407" s="697"/>
      <c r="CP407" s="697"/>
      <c r="CQ407" s="697"/>
      <c r="CR407" s="697"/>
      <c r="CS407" s="697"/>
      <c r="CT407" s="697"/>
      <c r="CU407" s="697"/>
      <c r="CV407" s="697"/>
      <c r="CW407" s="697"/>
      <c r="CX407" s="697"/>
      <c r="CY407" s="697"/>
      <c r="CZ407" s="697"/>
      <c r="DA407" s="697"/>
      <c r="DB407" s="697"/>
    </row>
    <row r="408" spans="1:106" hidden="1" outlineLevel="1" x14ac:dyDescent="0.2">
      <c r="A408" s="709">
        <f t="shared" si="86"/>
        <v>39326</v>
      </c>
      <c r="B408" s="709" t="str">
        <f t="shared" si="87"/>
        <v>3Q07</v>
      </c>
      <c r="C408" s="709" t="str">
        <f t="shared" si="88"/>
        <v>4Q07</v>
      </c>
      <c r="D408" s="710">
        <f t="shared" si="92"/>
        <v>39406</v>
      </c>
      <c r="E408" s="710">
        <f t="shared" si="92"/>
        <v>39346</v>
      </c>
      <c r="F408" s="712">
        <v>82.26</v>
      </c>
      <c r="G408" s="713">
        <f t="shared" si="89"/>
        <v>1.4900000000000011</v>
      </c>
      <c r="H408" s="713">
        <f t="shared" si="90"/>
        <v>1.4900000000000011</v>
      </c>
      <c r="I408" s="697"/>
      <c r="J408" s="697"/>
      <c r="K408" s="697"/>
      <c r="L408" s="697"/>
      <c r="M408" s="697"/>
      <c r="N408" s="697"/>
      <c r="O408" s="697"/>
      <c r="P408" s="697"/>
      <c r="Q408" s="697"/>
      <c r="R408" s="697"/>
      <c r="S408" s="697"/>
      <c r="T408" s="697"/>
      <c r="U408" s="697"/>
      <c r="V408" s="697"/>
      <c r="W408" s="697"/>
      <c r="X408" s="697"/>
      <c r="Y408" s="697"/>
      <c r="Z408" s="697"/>
      <c r="AA408" s="697"/>
      <c r="AB408" s="697"/>
      <c r="AC408" s="697"/>
      <c r="AD408" s="697"/>
      <c r="AE408" s="697"/>
      <c r="AF408" s="697"/>
      <c r="AG408" s="697"/>
      <c r="AH408" s="697"/>
      <c r="AI408" s="697"/>
      <c r="AJ408" s="697"/>
      <c r="AK408" s="697"/>
      <c r="AL408" s="697"/>
      <c r="AM408" s="697"/>
      <c r="AN408" s="697"/>
      <c r="AO408" s="697"/>
      <c r="AP408" s="697"/>
      <c r="AQ408" s="697"/>
      <c r="AR408" s="697"/>
      <c r="AS408" s="697"/>
      <c r="AT408" s="697"/>
      <c r="AU408" s="697"/>
      <c r="AV408" s="697"/>
      <c r="AW408" s="697"/>
      <c r="AX408" s="697"/>
      <c r="AY408" s="697"/>
      <c r="AZ408" s="697"/>
      <c r="BA408" s="697"/>
      <c r="BB408" s="697"/>
      <c r="BC408" s="697"/>
      <c r="BD408" s="697"/>
      <c r="BE408" s="697"/>
      <c r="BF408" s="697"/>
      <c r="BG408" s="697"/>
      <c r="BH408" s="697"/>
      <c r="BI408" s="697"/>
      <c r="BJ408" s="697"/>
      <c r="BK408" s="697"/>
      <c r="BL408" s="697"/>
      <c r="BM408" s="697"/>
      <c r="BN408" s="697"/>
      <c r="BO408" s="697"/>
      <c r="BP408" s="697"/>
      <c r="BQ408" s="697"/>
      <c r="BR408" s="697"/>
      <c r="BS408" s="697"/>
      <c r="BT408" s="697"/>
      <c r="BU408" s="697"/>
      <c r="BV408" s="697"/>
      <c r="BW408" s="697"/>
      <c r="BX408" s="697"/>
      <c r="BY408" s="697"/>
      <c r="BZ408" s="697"/>
      <c r="CA408" s="697"/>
      <c r="CB408" s="697"/>
      <c r="CC408" s="697"/>
      <c r="CD408" s="697"/>
      <c r="CE408" s="697"/>
      <c r="CF408" s="697"/>
      <c r="CG408" s="697"/>
      <c r="CH408" s="697"/>
      <c r="CI408" s="697"/>
      <c r="CJ408" s="697"/>
      <c r="CK408" s="697"/>
      <c r="CL408" s="697"/>
      <c r="CM408" s="697"/>
      <c r="CN408" s="697"/>
      <c r="CO408" s="697"/>
      <c r="CP408" s="697"/>
      <c r="CQ408" s="697"/>
      <c r="CR408" s="697"/>
      <c r="CS408" s="697"/>
      <c r="CT408" s="697"/>
      <c r="CU408" s="697"/>
      <c r="CV408" s="697"/>
      <c r="CW408" s="697"/>
      <c r="CX408" s="697"/>
      <c r="CY408" s="697"/>
      <c r="CZ408" s="697"/>
      <c r="DA408" s="697"/>
      <c r="DB408" s="697"/>
    </row>
    <row r="409" spans="1:106" hidden="1" outlineLevel="1" x14ac:dyDescent="0.2">
      <c r="A409" s="709">
        <f t="shared" si="86"/>
        <v>39326</v>
      </c>
      <c r="B409" s="709" t="str">
        <f t="shared" si="87"/>
        <v>3Q07</v>
      </c>
      <c r="C409" s="709" t="str">
        <f t="shared" si="88"/>
        <v>4Q07</v>
      </c>
      <c r="D409" s="710">
        <f t="shared" si="92"/>
        <v>39413</v>
      </c>
      <c r="E409" s="710">
        <f t="shared" si="92"/>
        <v>39353</v>
      </c>
      <c r="F409" s="712">
        <v>81.7</v>
      </c>
      <c r="G409" s="713">
        <f t="shared" si="89"/>
        <v>1.4900000000000011</v>
      </c>
      <c r="H409" s="713">
        <f t="shared" si="90"/>
        <v>1.4900000000000011</v>
      </c>
      <c r="I409" s="697"/>
      <c r="J409" s="697"/>
      <c r="K409" s="697"/>
      <c r="L409" s="697"/>
      <c r="M409" s="697"/>
      <c r="N409" s="697"/>
      <c r="O409" s="697"/>
      <c r="P409" s="697"/>
      <c r="Q409" s="697"/>
      <c r="R409" s="697"/>
      <c r="S409" s="697"/>
      <c r="T409" s="697"/>
      <c r="U409" s="697"/>
      <c r="V409" s="697"/>
      <c r="W409" s="697"/>
      <c r="X409" s="697"/>
      <c r="Y409" s="697"/>
      <c r="Z409" s="697"/>
      <c r="AA409" s="697"/>
      <c r="AB409" s="697"/>
      <c r="AC409" s="697"/>
      <c r="AD409" s="697"/>
      <c r="AE409" s="697"/>
      <c r="AF409" s="697"/>
      <c r="AG409" s="697"/>
      <c r="AH409" s="697"/>
      <c r="AI409" s="697"/>
      <c r="AJ409" s="697"/>
      <c r="AK409" s="697"/>
      <c r="AL409" s="697"/>
      <c r="AM409" s="697"/>
      <c r="AN409" s="697"/>
      <c r="AO409" s="697"/>
      <c r="AP409" s="697"/>
      <c r="AQ409" s="697"/>
      <c r="AR409" s="697"/>
      <c r="AS409" s="697"/>
      <c r="AT409" s="697"/>
      <c r="AU409" s="697"/>
      <c r="AV409" s="697"/>
      <c r="AW409" s="697"/>
      <c r="AX409" s="697"/>
      <c r="AY409" s="697"/>
      <c r="AZ409" s="697"/>
      <c r="BA409" s="697"/>
      <c r="BB409" s="697"/>
      <c r="BC409" s="697"/>
      <c r="BD409" s="697"/>
      <c r="BE409" s="697"/>
      <c r="BF409" s="697"/>
      <c r="BG409" s="697"/>
      <c r="BH409" s="697"/>
      <c r="BI409" s="697"/>
      <c r="BJ409" s="697"/>
      <c r="BK409" s="697"/>
      <c r="BL409" s="697"/>
      <c r="BM409" s="697"/>
      <c r="BN409" s="697"/>
      <c r="BO409" s="697"/>
      <c r="BP409" s="697"/>
      <c r="BQ409" s="697"/>
      <c r="BR409" s="697"/>
      <c r="BS409" s="697"/>
      <c r="BT409" s="697"/>
      <c r="BU409" s="697"/>
      <c r="BV409" s="697"/>
      <c r="BW409" s="697"/>
      <c r="BX409" s="697"/>
      <c r="BY409" s="697"/>
      <c r="BZ409" s="697"/>
      <c r="CA409" s="697"/>
      <c r="CB409" s="697"/>
      <c r="CC409" s="697"/>
      <c r="CD409" s="697"/>
      <c r="CE409" s="697"/>
      <c r="CF409" s="697"/>
      <c r="CG409" s="697"/>
      <c r="CH409" s="697"/>
      <c r="CI409" s="697"/>
      <c r="CJ409" s="697"/>
      <c r="CK409" s="697"/>
      <c r="CL409" s="697"/>
      <c r="CM409" s="697"/>
      <c r="CN409" s="697"/>
      <c r="CO409" s="697"/>
      <c r="CP409" s="697"/>
      <c r="CQ409" s="697"/>
      <c r="CR409" s="697"/>
      <c r="CS409" s="697"/>
      <c r="CT409" s="697"/>
      <c r="CU409" s="697"/>
      <c r="CV409" s="697"/>
      <c r="CW409" s="697"/>
      <c r="CX409" s="697"/>
      <c r="CY409" s="697"/>
      <c r="CZ409" s="697"/>
      <c r="DA409" s="697"/>
      <c r="DB409" s="697"/>
    </row>
    <row r="410" spans="1:106" hidden="1" outlineLevel="1" x14ac:dyDescent="0.2">
      <c r="A410" s="709">
        <f t="shared" si="86"/>
        <v>39356</v>
      </c>
      <c r="B410" s="709" t="str">
        <f t="shared" si="87"/>
        <v>4Q07</v>
      </c>
      <c r="C410" s="709" t="str">
        <f t="shared" si="88"/>
        <v>4Q07</v>
      </c>
      <c r="D410" s="710">
        <f t="shared" si="92"/>
        <v>39420</v>
      </c>
      <c r="E410" s="710">
        <f t="shared" si="92"/>
        <v>39360</v>
      </c>
      <c r="F410" s="712">
        <v>80.59</v>
      </c>
      <c r="G410" s="713">
        <f t="shared" si="89"/>
        <v>1.4900000000000011</v>
      </c>
      <c r="H410" s="713">
        <f t="shared" si="90"/>
        <v>1.4900000000000011</v>
      </c>
      <c r="I410" s="697"/>
      <c r="J410" s="697"/>
      <c r="K410" s="697"/>
      <c r="L410" s="697"/>
      <c r="M410" s="697"/>
      <c r="N410" s="697"/>
      <c r="O410" s="697"/>
      <c r="P410" s="697"/>
      <c r="Q410" s="697"/>
      <c r="R410" s="697"/>
      <c r="S410" s="697"/>
      <c r="T410" s="697"/>
      <c r="U410" s="697"/>
      <c r="V410" s="697"/>
      <c r="W410" s="697"/>
      <c r="X410" s="697"/>
      <c r="Y410" s="697"/>
      <c r="Z410" s="697"/>
      <c r="AA410" s="697"/>
      <c r="AB410" s="697"/>
      <c r="AC410" s="697"/>
      <c r="AD410" s="697"/>
      <c r="AE410" s="697"/>
      <c r="AF410" s="697"/>
      <c r="AG410" s="697"/>
      <c r="AH410" s="697"/>
      <c r="AI410" s="697"/>
      <c r="AJ410" s="697"/>
      <c r="AK410" s="697"/>
      <c r="AL410" s="697"/>
      <c r="AM410" s="697"/>
      <c r="AN410" s="697"/>
      <c r="AO410" s="697"/>
      <c r="AP410" s="697"/>
      <c r="AQ410" s="697"/>
      <c r="AR410" s="697"/>
      <c r="AS410" s="697"/>
      <c r="AT410" s="697"/>
      <c r="AU410" s="697"/>
      <c r="AV410" s="697"/>
      <c r="AW410" s="697"/>
      <c r="AX410" s="697"/>
      <c r="AY410" s="697"/>
      <c r="AZ410" s="697"/>
      <c r="BA410" s="697"/>
      <c r="BB410" s="697"/>
      <c r="BC410" s="697"/>
      <c r="BD410" s="697"/>
      <c r="BE410" s="697"/>
      <c r="BF410" s="697"/>
      <c r="BG410" s="697"/>
      <c r="BH410" s="697"/>
      <c r="BI410" s="697"/>
      <c r="BJ410" s="697"/>
      <c r="BK410" s="697"/>
      <c r="BL410" s="697"/>
      <c r="BM410" s="697"/>
      <c r="BN410" s="697"/>
      <c r="BO410" s="697"/>
      <c r="BP410" s="697"/>
      <c r="BQ410" s="697"/>
      <c r="BR410" s="697"/>
      <c r="BS410" s="697"/>
      <c r="BT410" s="697"/>
      <c r="BU410" s="697"/>
      <c r="BV410" s="697"/>
      <c r="BW410" s="697"/>
      <c r="BX410" s="697"/>
      <c r="BY410" s="697"/>
      <c r="BZ410" s="697"/>
      <c r="CA410" s="697"/>
      <c r="CB410" s="697"/>
      <c r="CC410" s="697"/>
      <c r="CD410" s="697"/>
      <c r="CE410" s="697"/>
      <c r="CF410" s="697"/>
      <c r="CG410" s="697"/>
      <c r="CH410" s="697"/>
      <c r="CI410" s="697"/>
      <c r="CJ410" s="697"/>
      <c r="CK410" s="697"/>
      <c r="CL410" s="697"/>
      <c r="CM410" s="697"/>
      <c r="CN410" s="697"/>
      <c r="CO410" s="697"/>
      <c r="CP410" s="697"/>
      <c r="CQ410" s="697"/>
      <c r="CR410" s="697"/>
      <c r="CS410" s="697"/>
      <c r="CT410" s="697"/>
      <c r="CU410" s="697"/>
      <c r="CV410" s="697"/>
      <c r="CW410" s="697"/>
      <c r="CX410" s="697"/>
      <c r="CY410" s="697"/>
      <c r="CZ410" s="697"/>
      <c r="DA410" s="697"/>
      <c r="DB410" s="697"/>
    </row>
    <row r="411" spans="1:106" hidden="1" outlineLevel="1" x14ac:dyDescent="0.2">
      <c r="A411" s="709">
        <f t="shared" si="86"/>
        <v>39356</v>
      </c>
      <c r="B411" s="709" t="str">
        <f t="shared" si="87"/>
        <v>4Q07</v>
      </c>
      <c r="C411" s="709" t="str">
        <f t="shared" si="88"/>
        <v>4Q07</v>
      </c>
      <c r="D411" s="710">
        <f t="shared" si="92"/>
        <v>39427</v>
      </c>
      <c r="E411" s="710">
        <f t="shared" si="92"/>
        <v>39367</v>
      </c>
      <c r="F411" s="712">
        <v>81.459999999999994</v>
      </c>
      <c r="G411" s="713">
        <f t="shared" si="89"/>
        <v>1.4900000000000011</v>
      </c>
      <c r="H411" s="713">
        <f t="shared" si="90"/>
        <v>1.4900000000000011</v>
      </c>
      <c r="I411" s="697"/>
      <c r="J411" s="697"/>
      <c r="K411" s="697"/>
      <c r="L411" s="697"/>
      <c r="M411" s="697"/>
      <c r="N411" s="697"/>
      <c r="O411" s="697"/>
      <c r="P411" s="697"/>
      <c r="Q411" s="697"/>
      <c r="R411" s="697"/>
      <c r="S411" s="697"/>
      <c r="T411" s="697"/>
      <c r="U411" s="697"/>
      <c r="V411" s="697"/>
      <c r="W411" s="697"/>
      <c r="X411" s="697"/>
      <c r="Y411" s="697"/>
      <c r="Z411" s="697"/>
      <c r="AA411" s="697"/>
      <c r="AB411" s="697"/>
      <c r="AC411" s="697"/>
      <c r="AD411" s="697"/>
      <c r="AE411" s="697"/>
      <c r="AF411" s="697"/>
      <c r="AG411" s="697"/>
      <c r="AH411" s="697"/>
      <c r="AI411" s="697"/>
      <c r="AJ411" s="697"/>
      <c r="AK411" s="697"/>
      <c r="AL411" s="697"/>
      <c r="AM411" s="697"/>
      <c r="AN411" s="697"/>
      <c r="AO411" s="697"/>
      <c r="AP411" s="697"/>
      <c r="AQ411" s="697"/>
      <c r="AR411" s="697"/>
      <c r="AS411" s="697"/>
      <c r="AT411" s="697"/>
      <c r="AU411" s="697"/>
      <c r="AV411" s="697"/>
      <c r="AW411" s="697"/>
      <c r="AX411" s="697"/>
      <c r="AY411" s="697"/>
      <c r="AZ411" s="697"/>
      <c r="BA411" s="697"/>
      <c r="BB411" s="697"/>
      <c r="BC411" s="697"/>
      <c r="BD411" s="697"/>
      <c r="BE411" s="697"/>
      <c r="BF411" s="697"/>
      <c r="BG411" s="697"/>
      <c r="BH411" s="697"/>
      <c r="BI411" s="697"/>
      <c r="BJ411" s="697"/>
      <c r="BK411" s="697"/>
      <c r="BL411" s="697"/>
      <c r="BM411" s="697"/>
      <c r="BN411" s="697"/>
      <c r="BO411" s="697"/>
      <c r="BP411" s="697"/>
      <c r="BQ411" s="697"/>
      <c r="BR411" s="697"/>
      <c r="BS411" s="697"/>
      <c r="BT411" s="697"/>
      <c r="BU411" s="697"/>
      <c r="BV411" s="697"/>
      <c r="BW411" s="697"/>
      <c r="BX411" s="697"/>
      <c r="BY411" s="697"/>
      <c r="BZ411" s="697"/>
      <c r="CA411" s="697"/>
      <c r="CB411" s="697"/>
      <c r="CC411" s="697"/>
      <c r="CD411" s="697"/>
      <c r="CE411" s="697"/>
      <c r="CF411" s="697"/>
      <c r="CG411" s="697"/>
      <c r="CH411" s="697"/>
      <c r="CI411" s="697"/>
      <c r="CJ411" s="697"/>
      <c r="CK411" s="697"/>
      <c r="CL411" s="697"/>
      <c r="CM411" s="697"/>
      <c r="CN411" s="697"/>
      <c r="CO411" s="697"/>
      <c r="CP411" s="697"/>
      <c r="CQ411" s="697"/>
      <c r="CR411" s="697"/>
      <c r="CS411" s="697"/>
      <c r="CT411" s="697"/>
      <c r="CU411" s="697"/>
      <c r="CV411" s="697"/>
      <c r="CW411" s="697"/>
      <c r="CX411" s="697"/>
      <c r="CY411" s="697"/>
      <c r="CZ411" s="697"/>
      <c r="DA411" s="697"/>
      <c r="DB411" s="697"/>
    </row>
    <row r="412" spans="1:106" hidden="1" outlineLevel="1" x14ac:dyDescent="0.2">
      <c r="A412" s="709">
        <f t="shared" si="86"/>
        <v>39356</v>
      </c>
      <c r="B412" s="709" t="str">
        <f t="shared" si="87"/>
        <v>4Q07</v>
      </c>
      <c r="C412" s="709" t="str">
        <f t="shared" si="88"/>
        <v>4Q07</v>
      </c>
      <c r="D412" s="710">
        <f t="shared" si="92"/>
        <v>39434</v>
      </c>
      <c r="E412" s="710">
        <f t="shared" si="92"/>
        <v>39374</v>
      </c>
      <c r="F412" s="712">
        <v>87.8</v>
      </c>
      <c r="G412" s="713">
        <f t="shared" si="89"/>
        <v>1.4900000000000011</v>
      </c>
      <c r="H412" s="713">
        <f t="shared" si="90"/>
        <v>1.4900000000000011</v>
      </c>
      <c r="I412" s="697"/>
      <c r="J412" s="697"/>
      <c r="K412" s="697"/>
      <c r="L412" s="697"/>
      <c r="M412" s="697"/>
      <c r="N412" s="697"/>
      <c r="O412" s="697"/>
      <c r="P412" s="697"/>
      <c r="Q412" s="697"/>
      <c r="R412" s="697"/>
      <c r="S412" s="697"/>
      <c r="T412" s="697"/>
      <c r="U412" s="697"/>
      <c r="V412" s="697"/>
      <c r="W412" s="697"/>
      <c r="X412" s="697"/>
      <c r="Y412" s="697"/>
      <c r="Z412" s="697"/>
      <c r="AA412" s="697"/>
      <c r="AB412" s="697"/>
      <c r="AC412" s="697"/>
      <c r="AD412" s="697"/>
      <c r="AE412" s="697"/>
      <c r="AF412" s="697"/>
      <c r="AG412" s="697"/>
      <c r="AH412" s="697"/>
      <c r="AI412" s="697"/>
      <c r="AJ412" s="697"/>
      <c r="AK412" s="697"/>
      <c r="AL412" s="697"/>
      <c r="AM412" s="697"/>
      <c r="AN412" s="697"/>
      <c r="AO412" s="697"/>
      <c r="AP412" s="697"/>
      <c r="AQ412" s="697"/>
      <c r="AR412" s="697"/>
      <c r="AS412" s="697"/>
      <c r="AT412" s="697"/>
      <c r="AU412" s="697"/>
      <c r="AV412" s="697"/>
      <c r="AW412" s="697"/>
      <c r="AX412" s="697"/>
      <c r="AY412" s="697"/>
      <c r="AZ412" s="697"/>
      <c r="BA412" s="697"/>
      <c r="BB412" s="697"/>
      <c r="BC412" s="697"/>
      <c r="BD412" s="697"/>
      <c r="BE412" s="697"/>
      <c r="BF412" s="697"/>
      <c r="BG412" s="697"/>
      <c r="BH412" s="697"/>
      <c r="BI412" s="697"/>
      <c r="BJ412" s="697"/>
      <c r="BK412" s="697"/>
      <c r="BL412" s="697"/>
      <c r="BM412" s="697"/>
      <c r="BN412" s="697"/>
      <c r="BO412" s="697"/>
      <c r="BP412" s="697"/>
      <c r="BQ412" s="697"/>
      <c r="BR412" s="697"/>
      <c r="BS412" s="697"/>
      <c r="BT412" s="697"/>
      <c r="BU412" s="697"/>
      <c r="BV412" s="697"/>
      <c r="BW412" s="697"/>
      <c r="BX412" s="697"/>
      <c r="BY412" s="697"/>
      <c r="BZ412" s="697"/>
      <c r="CA412" s="697"/>
      <c r="CB412" s="697"/>
      <c r="CC412" s="697"/>
      <c r="CD412" s="697"/>
      <c r="CE412" s="697"/>
      <c r="CF412" s="697"/>
      <c r="CG412" s="697"/>
      <c r="CH412" s="697"/>
      <c r="CI412" s="697"/>
      <c r="CJ412" s="697"/>
      <c r="CK412" s="697"/>
      <c r="CL412" s="697"/>
      <c r="CM412" s="697"/>
      <c r="CN412" s="697"/>
      <c r="CO412" s="697"/>
      <c r="CP412" s="697"/>
      <c r="CQ412" s="697"/>
      <c r="CR412" s="697"/>
      <c r="CS412" s="697"/>
      <c r="CT412" s="697"/>
      <c r="CU412" s="697"/>
      <c r="CV412" s="697"/>
      <c r="CW412" s="697"/>
      <c r="CX412" s="697"/>
      <c r="CY412" s="697"/>
      <c r="CZ412" s="697"/>
      <c r="DA412" s="697"/>
      <c r="DB412" s="697"/>
    </row>
    <row r="413" spans="1:106" hidden="1" outlineLevel="1" x14ac:dyDescent="0.2">
      <c r="A413" s="709">
        <f t="shared" si="86"/>
        <v>39356</v>
      </c>
      <c r="B413" s="709" t="str">
        <f t="shared" si="87"/>
        <v>4Q07</v>
      </c>
      <c r="C413" s="709" t="str">
        <f t="shared" si="88"/>
        <v>4Q07</v>
      </c>
      <c r="D413" s="710">
        <f t="shared" si="92"/>
        <v>39441</v>
      </c>
      <c r="E413" s="710">
        <f t="shared" si="92"/>
        <v>39381</v>
      </c>
      <c r="F413" s="712">
        <v>89.23</v>
      </c>
      <c r="G413" s="713">
        <f t="shared" si="89"/>
        <v>1.4900000000000011</v>
      </c>
      <c r="H413" s="713">
        <f t="shared" si="90"/>
        <v>1.4900000000000011</v>
      </c>
      <c r="I413" s="697"/>
      <c r="J413" s="697"/>
      <c r="K413" s="697"/>
      <c r="L413" s="697"/>
      <c r="M413" s="697"/>
      <c r="N413" s="697"/>
      <c r="O413" s="697"/>
      <c r="P413" s="697"/>
      <c r="Q413" s="697"/>
      <c r="R413" s="697"/>
      <c r="S413" s="697"/>
      <c r="T413" s="697"/>
      <c r="U413" s="697"/>
      <c r="V413" s="697"/>
      <c r="W413" s="697"/>
      <c r="X413" s="697"/>
      <c r="Y413" s="697"/>
      <c r="Z413" s="697"/>
      <c r="AA413" s="697"/>
      <c r="AB413" s="697"/>
      <c r="AC413" s="697"/>
      <c r="AD413" s="697"/>
      <c r="AE413" s="697"/>
      <c r="AF413" s="697"/>
      <c r="AG413" s="697"/>
      <c r="AH413" s="697"/>
      <c r="AI413" s="697"/>
      <c r="AJ413" s="697"/>
      <c r="AK413" s="697"/>
      <c r="AL413" s="697"/>
      <c r="AM413" s="697"/>
      <c r="AN413" s="697"/>
      <c r="AO413" s="697"/>
      <c r="AP413" s="697"/>
      <c r="AQ413" s="697"/>
      <c r="AR413" s="697"/>
      <c r="AS413" s="697"/>
      <c r="AT413" s="697"/>
      <c r="AU413" s="697"/>
      <c r="AV413" s="697"/>
      <c r="AW413" s="697"/>
      <c r="AX413" s="697"/>
      <c r="AY413" s="697"/>
      <c r="AZ413" s="697"/>
      <c r="BA413" s="697"/>
      <c r="BB413" s="697"/>
      <c r="BC413" s="697"/>
      <c r="BD413" s="697"/>
      <c r="BE413" s="697"/>
      <c r="BF413" s="697"/>
      <c r="BG413" s="697"/>
      <c r="BH413" s="697"/>
      <c r="BI413" s="697"/>
      <c r="BJ413" s="697"/>
      <c r="BK413" s="697"/>
      <c r="BL413" s="697"/>
      <c r="BM413" s="697"/>
      <c r="BN413" s="697"/>
      <c r="BO413" s="697"/>
      <c r="BP413" s="697"/>
      <c r="BQ413" s="697"/>
      <c r="BR413" s="697"/>
      <c r="BS413" s="697"/>
      <c r="BT413" s="697"/>
      <c r="BU413" s="697"/>
      <c r="BV413" s="697"/>
      <c r="BW413" s="697"/>
      <c r="BX413" s="697"/>
      <c r="BY413" s="697"/>
      <c r="BZ413" s="697"/>
      <c r="CA413" s="697"/>
      <c r="CB413" s="697"/>
      <c r="CC413" s="697"/>
      <c r="CD413" s="697"/>
      <c r="CE413" s="697"/>
      <c r="CF413" s="697"/>
      <c r="CG413" s="697"/>
      <c r="CH413" s="697"/>
      <c r="CI413" s="697"/>
      <c r="CJ413" s="697"/>
      <c r="CK413" s="697"/>
      <c r="CL413" s="697"/>
      <c r="CM413" s="697"/>
      <c r="CN413" s="697"/>
      <c r="CO413" s="697"/>
      <c r="CP413" s="697"/>
      <c r="CQ413" s="697"/>
      <c r="CR413" s="697"/>
      <c r="CS413" s="697"/>
      <c r="CT413" s="697"/>
      <c r="CU413" s="697"/>
      <c r="CV413" s="697"/>
      <c r="CW413" s="697"/>
      <c r="CX413" s="697"/>
      <c r="CY413" s="697"/>
      <c r="CZ413" s="697"/>
      <c r="DA413" s="697"/>
      <c r="DB413" s="697"/>
    </row>
    <row r="414" spans="1:106" hidden="1" outlineLevel="1" x14ac:dyDescent="0.2">
      <c r="A414" s="709">
        <f t="shared" si="86"/>
        <v>39387</v>
      </c>
      <c r="B414" s="709" t="str">
        <f t="shared" si="87"/>
        <v>4Q07</v>
      </c>
      <c r="C414" s="709" t="str">
        <f t="shared" si="88"/>
        <v>1Q08</v>
      </c>
      <c r="D414" s="710">
        <f t="shared" si="92"/>
        <v>39448</v>
      </c>
      <c r="E414" s="710">
        <f t="shared" si="92"/>
        <v>39388</v>
      </c>
      <c r="F414" s="712">
        <v>93.46</v>
      </c>
      <c r="G414" s="713">
        <f t="shared" si="89"/>
        <v>1.4900000000000011</v>
      </c>
      <c r="H414" s="713">
        <f t="shared" si="90"/>
        <v>1.4900000000000011</v>
      </c>
      <c r="I414" s="697"/>
      <c r="J414" s="697"/>
      <c r="K414" s="697"/>
      <c r="L414" s="697"/>
      <c r="M414" s="697"/>
      <c r="N414" s="697"/>
      <c r="O414" s="697"/>
      <c r="P414" s="697"/>
      <c r="Q414" s="697"/>
      <c r="R414" s="697"/>
      <c r="S414" s="697"/>
      <c r="T414" s="697"/>
      <c r="U414" s="697"/>
      <c r="V414" s="697"/>
      <c r="W414" s="697"/>
      <c r="X414" s="697"/>
      <c r="Y414" s="697"/>
      <c r="Z414" s="697"/>
      <c r="AA414" s="697"/>
      <c r="AB414" s="697"/>
      <c r="AC414" s="697"/>
      <c r="AD414" s="697"/>
      <c r="AE414" s="697"/>
      <c r="AF414" s="697"/>
      <c r="AG414" s="697"/>
      <c r="AH414" s="697"/>
      <c r="AI414" s="697"/>
      <c r="AJ414" s="697"/>
      <c r="AK414" s="697"/>
      <c r="AL414" s="697"/>
      <c r="AM414" s="697"/>
      <c r="AN414" s="697"/>
      <c r="AO414" s="697"/>
      <c r="AP414" s="697"/>
      <c r="AQ414" s="697"/>
      <c r="AR414" s="697"/>
      <c r="AS414" s="697"/>
      <c r="AT414" s="697"/>
      <c r="AU414" s="697"/>
      <c r="AV414" s="697"/>
      <c r="AW414" s="697"/>
      <c r="AX414" s="697"/>
      <c r="AY414" s="697"/>
      <c r="AZ414" s="697"/>
      <c r="BA414" s="697"/>
      <c r="BB414" s="697"/>
      <c r="BC414" s="697"/>
      <c r="BD414" s="697"/>
      <c r="BE414" s="697"/>
      <c r="BF414" s="697"/>
      <c r="BG414" s="697"/>
      <c r="BH414" s="697"/>
      <c r="BI414" s="697"/>
      <c r="BJ414" s="697"/>
      <c r="BK414" s="697"/>
      <c r="BL414" s="697"/>
      <c r="BM414" s="697"/>
      <c r="BN414" s="697"/>
      <c r="BO414" s="697"/>
      <c r="BP414" s="697"/>
      <c r="BQ414" s="697"/>
      <c r="BR414" s="697"/>
      <c r="BS414" s="697"/>
      <c r="BT414" s="697"/>
      <c r="BU414" s="697"/>
      <c r="BV414" s="697"/>
      <c r="BW414" s="697"/>
      <c r="BX414" s="697"/>
      <c r="BY414" s="697"/>
      <c r="BZ414" s="697"/>
      <c r="CA414" s="697"/>
      <c r="CB414" s="697"/>
      <c r="CC414" s="697"/>
      <c r="CD414" s="697"/>
      <c r="CE414" s="697"/>
      <c r="CF414" s="697"/>
      <c r="CG414" s="697"/>
      <c r="CH414" s="697"/>
      <c r="CI414" s="697"/>
      <c r="CJ414" s="697"/>
      <c r="CK414" s="697"/>
      <c r="CL414" s="697"/>
      <c r="CM414" s="697"/>
      <c r="CN414" s="697"/>
      <c r="CO414" s="697"/>
      <c r="CP414" s="697"/>
      <c r="CQ414" s="697"/>
      <c r="CR414" s="697"/>
      <c r="CS414" s="697"/>
      <c r="CT414" s="697"/>
      <c r="CU414" s="697"/>
      <c r="CV414" s="697"/>
      <c r="CW414" s="697"/>
      <c r="CX414" s="697"/>
      <c r="CY414" s="697"/>
      <c r="CZ414" s="697"/>
      <c r="DA414" s="697"/>
      <c r="DB414" s="697"/>
    </row>
    <row r="415" spans="1:106" hidden="1" outlineLevel="1" x14ac:dyDescent="0.2">
      <c r="A415" s="709">
        <f t="shared" si="86"/>
        <v>39387</v>
      </c>
      <c r="B415" s="709" t="str">
        <f t="shared" si="87"/>
        <v>4Q07</v>
      </c>
      <c r="C415" s="709" t="str">
        <f t="shared" si="88"/>
        <v>1Q08</v>
      </c>
      <c r="D415" s="710">
        <f t="shared" si="92"/>
        <v>39455</v>
      </c>
      <c r="E415" s="710">
        <f t="shared" si="92"/>
        <v>39395</v>
      </c>
      <c r="F415" s="712">
        <v>95.81</v>
      </c>
      <c r="G415" s="713">
        <f t="shared" si="89"/>
        <v>1.4900000000000011</v>
      </c>
      <c r="H415" s="713">
        <f t="shared" si="90"/>
        <v>1.4900000000000011</v>
      </c>
      <c r="I415" s="697"/>
      <c r="J415" s="697"/>
      <c r="K415" s="697"/>
      <c r="L415" s="697"/>
      <c r="M415" s="697"/>
      <c r="N415" s="697"/>
      <c r="O415" s="697"/>
      <c r="P415" s="697"/>
      <c r="Q415" s="697"/>
      <c r="R415" s="697"/>
      <c r="S415" s="697"/>
      <c r="T415" s="697"/>
      <c r="U415" s="697"/>
      <c r="V415" s="697"/>
      <c r="W415" s="697"/>
      <c r="X415" s="697"/>
      <c r="Y415" s="697"/>
      <c r="Z415" s="697"/>
      <c r="AA415" s="697"/>
      <c r="AB415" s="697"/>
      <c r="AC415" s="697"/>
      <c r="AD415" s="697"/>
      <c r="AE415" s="697"/>
      <c r="AF415" s="697"/>
      <c r="AG415" s="697"/>
      <c r="AH415" s="697"/>
      <c r="AI415" s="697"/>
      <c r="AJ415" s="697"/>
      <c r="AK415" s="697"/>
      <c r="AL415" s="697"/>
      <c r="AM415" s="697"/>
      <c r="AN415" s="697"/>
      <c r="AO415" s="697"/>
      <c r="AP415" s="697"/>
      <c r="AQ415" s="697"/>
      <c r="AR415" s="697"/>
      <c r="AS415" s="697"/>
      <c r="AT415" s="697"/>
      <c r="AU415" s="697"/>
      <c r="AV415" s="697"/>
      <c r="AW415" s="697"/>
      <c r="AX415" s="697"/>
      <c r="AY415" s="697"/>
      <c r="AZ415" s="697"/>
      <c r="BA415" s="697"/>
      <c r="BB415" s="697"/>
      <c r="BC415" s="697"/>
      <c r="BD415" s="697"/>
      <c r="BE415" s="697"/>
      <c r="BF415" s="697"/>
      <c r="BG415" s="697"/>
      <c r="BH415" s="697"/>
      <c r="BI415" s="697"/>
      <c r="BJ415" s="697"/>
      <c r="BK415" s="697"/>
      <c r="BL415" s="697"/>
      <c r="BM415" s="697"/>
      <c r="BN415" s="697"/>
      <c r="BO415" s="697"/>
      <c r="BP415" s="697"/>
      <c r="BQ415" s="697"/>
      <c r="BR415" s="697"/>
      <c r="BS415" s="697"/>
      <c r="BT415" s="697"/>
      <c r="BU415" s="697"/>
      <c r="BV415" s="697"/>
      <c r="BW415" s="697"/>
      <c r="BX415" s="697"/>
      <c r="BY415" s="697"/>
      <c r="BZ415" s="697"/>
      <c r="CA415" s="697"/>
      <c r="CB415" s="697"/>
      <c r="CC415" s="697"/>
      <c r="CD415" s="697"/>
      <c r="CE415" s="697"/>
      <c r="CF415" s="697"/>
      <c r="CG415" s="697"/>
      <c r="CH415" s="697"/>
      <c r="CI415" s="697"/>
      <c r="CJ415" s="697"/>
      <c r="CK415" s="697"/>
      <c r="CL415" s="697"/>
      <c r="CM415" s="697"/>
      <c r="CN415" s="697"/>
      <c r="CO415" s="697"/>
      <c r="CP415" s="697"/>
      <c r="CQ415" s="697"/>
      <c r="CR415" s="697"/>
      <c r="CS415" s="697"/>
      <c r="CT415" s="697"/>
      <c r="CU415" s="697"/>
      <c r="CV415" s="697"/>
      <c r="CW415" s="697"/>
      <c r="CX415" s="697"/>
      <c r="CY415" s="697"/>
      <c r="CZ415" s="697"/>
      <c r="DA415" s="697"/>
      <c r="DB415" s="697"/>
    </row>
    <row r="416" spans="1:106" hidden="1" outlineLevel="1" x14ac:dyDescent="0.2">
      <c r="A416" s="709">
        <f t="shared" si="86"/>
        <v>39387</v>
      </c>
      <c r="B416" s="709" t="str">
        <f t="shared" si="87"/>
        <v>4Q07</v>
      </c>
      <c r="C416" s="709" t="str">
        <f t="shared" si="88"/>
        <v>1Q08</v>
      </c>
      <c r="D416" s="710">
        <f t="shared" si="92"/>
        <v>39462</v>
      </c>
      <c r="E416" s="710">
        <f t="shared" si="92"/>
        <v>39402</v>
      </c>
      <c r="F416" s="712">
        <v>93.56</v>
      </c>
      <c r="G416" s="713">
        <f t="shared" si="89"/>
        <v>1.4900000000000011</v>
      </c>
      <c r="H416" s="713">
        <f t="shared" si="90"/>
        <v>1.4900000000000011</v>
      </c>
      <c r="I416" s="697"/>
      <c r="J416" s="697"/>
      <c r="K416" s="697"/>
      <c r="L416" s="697"/>
      <c r="M416" s="697"/>
      <c r="N416" s="697"/>
      <c r="O416" s="697"/>
      <c r="P416" s="697"/>
      <c r="Q416" s="697"/>
      <c r="R416" s="697"/>
      <c r="S416" s="697"/>
      <c r="T416" s="697"/>
      <c r="U416" s="697"/>
      <c r="V416" s="697"/>
      <c r="W416" s="697"/>
      <c r="X416" s="697"/>
      <c r="Y416" s="697"/>
      <c r="Z416" s="697"/>
      <c r="AA416" s="697"/>
      <c r="AB416" s="697"/>
      <c r="AC416" s="697"/>
      <c r="AD416" s="697"/>
      <c r="AE416" s="697"/>
      <c r="AF416" s="697"/>
      <c r="AG416" s="697"/>
      <c r="AH416" s="697"/>
      <c r="AI416" s="697"/>
      <c r="AJ416" s="697"/>
      <c r="AK416" s="697"/>
      <c r="AL416" s="697"/>
      <c r="AM416" s="697"/>
      <c r="AN416" s="697"/>
      <c r="AO416" s="697"/>
      <c r="AP416" s="697"/>
      <c r="AQ416" s="697"/>
      <c r="AR416" s="697"/>
      <c r="AS416" s="697"/>
      <c r="AT416" s="697"/>
      <c r="AU416" s="697"/>
      <c r="AV416" s="697"/>
      <c r="AW416" s="697"/>
      <c r="AX416" s="697"/>
      <c r="AY416" s="697"/>
      <c r="AZ416" s="697"/>
      <c r="BA416" s="697"/>
      <c r="BB416" s="697"/>
      <c r="BC416" s="697"/>
      <c r="BD416" s="697"/>
      <c r="BE416" s="697"/>
      <c r="BF416" s="697"/>
      <c r="BG416" s="697"/>
      <c r="BH416" s="697"/>
      <c r="BI416" s="697"/>
      <c r="BJ416" s="697"/>
      <c r="BK416" s="697"/>
      <c r="BL416" s="697"/>
      <c r="BM416" s="697"/>
      <c r="BN416" s="697"/>
      <c r="BO416" s="697"/>
      <c r="BP416" s="697"/>
      <c r="BQ416" s="697"/>
      <c r="BR416" s="697"/>
      <c r="BS416" s="697"/>
      <c r="BT416" s="697"/>
      <c r="BU416" s="697"/>
      <c r="BV416" s="697"/>
      <c r="BW416" s="697"/>
      <c r="BX416" s="697"/>
      <c r="BY416" s="697"/>
      <c r="BZ416" s="697"/>
      <c r="CA416" s="697"/>
      <c r="CB416" s="697"/>
      <c r="CC416" s="697"/>
      <c r="CD416" s="697"/>
      <c r="CE416" s="697"/>
      <c r="CF416" s="697"/>
      <c r="CG416" s="697"/>
      <c r="CH416" s="697"/>
      <c r="CI416" s="697"/>
      <c r="CJ416" s="697"/>
      <c r="CK416" s="697"/>
      <c r="CL416" s="697"/>
      <c r="CM416" s="697"/>
      <c r="CN416" s="697"/>
      <c r="CO416" s="697"/>
      <c r="CP416" s="697"/>
      <c r="CQ416" s="697"/>
      <c r="CR416" s="697"/>
      <c r="CS416" s="697"/>
      <c r="CT416" s="697"/>
      <c r="CU416" s="697"/>
      <c r="CV416" s="697"/>
      <c r="CW416" s="697"/>
      <c r="CX416" s="697"/>
      <c r="CY416" s="697"/>
      <c r="CZ416" s="697"/>
      <c r="DA416" s="697"/>
      <c r="DB416" s="697"/>
    </row>
    <row r="417" spans="1:106" hidden="1" outlineLevel="1" x14ac:dyDescent="0.2">
      <c r="A417" s="709">
        <f t="shared" si="86"/>
        <v>39387</v>
      </c>
      <c r="B417" s="709" t="str">
        <f t="shared" si="87"/>
        <v>4Q07</v>
      </c>
      <c r="C417" s="709" t="str">
        <f t="shared" si="88"/>
        <v>1Q08</v>
      </c>
      <c r="D417" s="710">
        <f t="shared" si="92"/>
        <v>39469</v>
      </c>
      <c r="E417" s="710">
        <f t="shared" si="92"/>
        <v>39409</v>
      </c>
      <c r="F417" s="712">
        <v>97.93</v>
      </c>
      <c r="G417" s="713">
        <f t="shared" si="89"/>
        <v>1.4900000000000011</v>
      </c>
      <c r="H417" s="713">
        <f t="shared" si="90"/>
        <v>1.4900000000000011</v>
      </c>
      <c r="I417" s="697"/>
      <c r="J417" s="697"/>
      <c r="K417" s="697"/>
      <c r="L417" s="697"/>
      <c r="M417" s="697"/>
      <c r="N417" s="697"/>
      <c r="O417" s="697"/>
      <c r="P417" s="697"/>
      <c r="Q417" s="697"/>
      <c r="R417" s="697"/>
      <c r="S417" s="697"/>
      <c r="T417" s="697"/>
      <c r="U417" s="697"/>
      <c r="V417" s="697"/>
      <c r="W417" s="697"/>
      <c r="X417" s="697"/>
      <c r="Y417" s="697"/>
      <c r="Z417" s="697"/>
      <c r="AA417" s="697"/>
      <c r="AB417" s="697"/>
      <c r="AC417" s="697"/>
      <c r="AD417" s="697"/>
      <c r="AE417" s="697"/>
      <c r="AF417" s="697"/>
      <c r="AG417" s="697"/>
      <c r="AH417" s="697"/>
      <c r="AI417" s="697"/>
      <c r="AJ417" s="697"/>
      <c r="AK417" s="697"/>
      <c r="AL417" s="697"/>
      <c r="AM417" s="697"/>
      <c r="AN417" s="697"/>
      <c r="AO417" s="697"/>
      <c r="AP417" s="697"/>
      <c r="AQ417" s="697"/>
      <c r="AR417" s="697"/>
      <c r="AS417" s="697"/>
      <c r="AT417" s="697"/>
      <c r="AU417" s="697"/>
      <c r="AV417" s="697"/>
      <c r="AW417" s="697"/>
      <c r="AX417" s="697"/>
      <c r="AY417" s="697"/>
      <c r="AZ417" s="697"/>
      <c r="BA417" s="697"/>
      <c r="BB417" s="697"/>
      <c r="BC417" s="697"/>
      <c r="BD417" s="697"/>
      <c r="BE417" s="697"/>
      <c r="BF417" s="697"/>
      <c r="BG417" s="697"/>
      <c r="BH417" s="697"/>
      <c r="BI417" s="697"/>
      <c r="BJ417" s="697"/>
      <c r="BK417" s="697"/>
      <c r="BL417" s="697"/>
      <c r="BM417" s="697"/>
      <c r="BN417" s="697"/>
      <c r="BO417" s="697"/>
      <c r="BP417" s="697"/>
      <c r="BQ417" s="697"/>
      <c r="BR417" s="697"/>
      <c r="BS417" s="697"/>
      <c r="BT417" s="697"/>
      <c r="BU417" s="697"/>
      <c r="BV417" s="697"/>
      <c r="BW417" s="697"/>
      <c r="BX417" s="697"/>
      <c r="BY417" s="697"/>
      <c r="BZ417" s="697"/>
      <c r="CA417" s="697"/>
      <c r="CB417" s="697"/>
      <c r="CC417" s="697"/>
      <c r="CD417" s="697"/>
      <c r="CE417" s="697"/>
      <c r="CF417" s="697"/>
      <c r="CG417" s="697"/>
      <c r="CH417" s="697"/>
      <c r="CI417" s="697"/>
      <c r="CJ417" s="697"/>
      <c r="CK417" s="697"/>
      <c r="CL417" s="697"/>
      <c r="CM417" s="697"/>
      <c r="CN417" s="697"/>
      <c r="CO417" s="697"/>
      <c r="CP417" s="697"/>
      <c r="CQ417" s="697"/>
      <c r="CR417" s="697"/>
      <c r="CS417" s="697"/>
      <c r="CT417" s="697"/>
      <c r="CU417" s="697"/>
      <c r="CV417" s="697"/>
      <c r="CW417" s="697"/>
      <c r="CX417" s="697"/>
      <c r="CY417" s="697"/>
      <c r="CZ417" s="697"/>
      <c r="DA417" s="697"/>
      <c r="DB417" s="697"/>
    </row>
    <row r="418" spans="1:106" hidden="1" outlineLevel="1" x14ac:dyDescent="0.2">
      <c r="A418" s="709">
        <f t="shared" si="86"/>
        <v>39387</v>
      </c>
      <c r="B418" s="709" t="str">
        <f t="shared" si="87"/>
        <v>4Q07</v>
      </c>
      <c r="C418" s="709" t="str">
        <f t="shared" si="88"/>
        <v>1Q08</v>
      </c>
      <c r="D418" s="710">
        <f t="shared" si="92"/>
        <v>39476</v>
      </c>
      <c r="E418" s="710">
        <f t="shared" si="92"/>
        <v>39416</v>
      </c>
      <c r="F418" s="712">
        <v>92.47</v>
      </c>
      <c r="G418" s="713">
        <f t="shared" si="89"/>
        <v>1.4900000000000011</v>
      </c>
      <c r="H418" s="713">
        <f t="shared" si="90"/>
        <v>1.4900000000000011</v>
      </c>
      <c r="I418" s="697"/>
      <c r="J418" s="697"/>
      <c r="K418" s="697"/>
      <c r="L418" s="697"/>
      <c r="M418" s="697"/>
      <c r="N418" s="697"/>
      <c r="O418" s="697"/>
      <c r="P418" s="697"/>
      <c r="Q418" s="697"/>
      <c r="R418" s="697"/>
      <c r="S418" s="697"/>
      <c r="T418" s="697"/>
      <c r="U418" s="697"/>
      <c r="V418" s="697"/>
      <c r="W418" s="697"/>
      <c r="X418" s="697"/>
      <c r="Y418" s="697"/>
      <c r="Z418" s="697"/>
      <c r="AA418" s="697"/>
      <c r="AB418" s="697"/>
      <c r="AC418" s="697"/>
      <c r="AD418" s="697"/>
      <c r="AE418" s="697"/>
      <c r="AF418" s="697"/>
      <c r="AG418" s="697"/>
      <c r="AH418" s="697"/>
      <c r="AI418" s="697"/>
      <c r="AJ418" s="697"/>
      <c r="AK418" s="697"/>
      <c r="AL418" s="697"/>
      <c r="AM418" s="697"/>
      <c r="AN418" s="697"/>
      <c r="AO418" s="697"/>
      <c r="AP418" s="697"/>
      <c r="AQ418" s="697"/>
      <c r="AR418" s="697"/>
      <c r="AS418" s="697"/>
      <c r="AT418" s="697"/>
      <c r="AU418" s="697"/>
      <c r="AV418" s="697"/>
      <c r="AW418" s="697"/>
      <c r="AX418" s="697"/>
      <c r="AY418" s="697"/>
      <c r="AZ418" s="697"/>
      <c r="BA418" s="697"/>
      <c r="BB418" s="697"/>
      <c r="BC418" s="697"/>
      <c r="BD418" s="697"/>
      <c r="BE418" s="697"/>
      <c r="BF418" s="697"/>
      <c r="BG418" s="697"/>
      <c r="BH418" s="697"/>
      <c r="BI418" s="697"/>
      <c r="BJ418" s="697"/>
      <c r="BK418" s="697"/>
      <c r="BL418" s="697"/>
      <c r="BM418" s="697"/>
      <c r="BN418" s="697"/>
      <c r="BO418" s="697"/>
      <c r="BP418" s="697"/>
      <c r="BQ418" s="697"/>
      <c r="BR418" s="697"/>
      <c r="BS418" s="697"/>
      <c r="BT418" s="697"/>
      <c r="BU418" s="697"/>
      <c r="BV418" s="697"/>
      <c r="BW418" s="697"/>
      <c r="BX418" s="697"/>
      <c r="BY418" s="697"/>
      <c r="BZ418" s="697"/>
      <c r="CA418" s="697"/>
      <c r="CB418" s="697"/>
      <c r="CC418" s="697"/>
      <c r="CD418" s="697"/>
      <c r="CE418" s="697"/>
      <c r="CF418" s="697"/>
      <c r="CG418" s="697"/>
      <c r="CH418" s="697"/>
      <c r="CI418" s="697"/>
      <c r="CJ418" s="697"/>
      <c r="CK418" s="697"/>
      <c r="CL418" s="697"/>
      <c r="CM418" s="697"/>
      <c r="CN418" s="697"/>
      <c r="CO418" s="697"/>
      <c r="CP418" s="697"/>
      <c r="CQ418" s="697"/>
      <c r="CR418" s="697"/>
      <c r="CS418" s="697"/>
      <c r="CT418" s="697"/>
      <c r="CU418" s="697"/>
      <c r="CV418" s="697"/>
      <c r="CW418" s="697"/>
      <c r="CX418" s="697"/>
      <c r="CY418" s="697"/>
      <c r="CZ418" s="697"/>
      <c r="DA418" s="697"/>
      <c r="DB418" s="697"/>
    </row>
    <row r="419" spans="1:106" hidden="1" outlineLevel="1" x14ac:dyDescent="0.2">
      <c r="A419" s="709">
        <f t="shared" si="86"/>
        <v>39417</v>
      </c>
      <c r="B419" s="709" t="str">
        <f t="shared" si="87"/>
        <v>4Q07</v>
      </c>
      <c r="C419" s="709" t="str">
        <f t="shared" si="88"/>
        <v>1Q08</v>
      </c>
      <c r="D419" s="710">
        <f t="shared" si="92"/>
        <v>39483</v>
      </c>
      <c r="E419" s="710">
        <f t="shared" si="92"/>
        <v>39423</v>
      </c>
      <c r="F419" s="712">
        <v>88.71</v>
      </c>
      <c r="G419" s="713">
        <f t="shared" si="89"/>
        <v>1.4900000000000011</v>
      </c>
      <c r="H419" s="713">
        <f t="shared" si="90"/>
        <v>1.4900000000000011</v>
      </c>
      <c r="I419" s="697"/>
      <c r="J419" s="697"/>
      <c r="K419" s="697"/>
      <c r="L419" s="697"/>
      <c r="M419" s="697"/>
      <c r="N419" s="697"/>
      <c r="O419" s="697"/>
      <c r="P419" s="697"/>
      <c r="Q419" s="697"/>
      <c r="R419" s="697"/>
      <c r="S419" s="697"/>
      <c r="T419" s="697"/>
      <c r="U419" s="697"/>
      <c r="V419" s="697"/>
      <c r="W419" s="697"/>
      <c r="X419" s="697"/>
      <c r="Y419" s="697"/>
      <c r="Z419" s="697"/>
      <c r="AA419" s="697"/>
      <c r="AB419" s="697"/>
      <c r="AC419" s="697"/>
      <c r="AD419" s="697"/>
      <c r="AE419" s="697"/>
      <c r="AF419" s="697"/>
      <c r="AG419" s="697"/>
      <c r="AH419" s="697"/>
      <c r="AI419" s="697"/>
      <c r="AJ419" s="697"/>
      <c r="AK419" s="697"/>
      <c r="AL419" s="697"/>
      <c r="AM419" s="697"/>
      <c r="AN419" s="697"/>
      <c r="AO419" s="697"/>
      <c r="AP419" s="697"/>
      <c r="AQ419" s="697"/>
      <c r="AR419" s="697"/>
      <c r="AS419" s="697"/>
      <c r="AT419" s="697"/>
      <c r="AU419" s="697"/>
      <c r="AV419" s="697"/>
      <c r="AW419" s="697"/>
      <c r="AX419" s="697"/>
      <c r="AY419" s="697"/>
      <c r="AZ419" s="697"/>
      <c r="BA419" s="697"/>
      <c r="BB419" s="697"/>
      <c r="BC419" s="697"/>
      <c r="BD419" s="697"/>
      <c r="BE419" s="697"/>
      <c r="BF419" s="697"/>
      <c r="BG419" s="697"/>
      <c r="BH419" s="697"/>
      <c r="BI419" s="697"/>
      <c r="BJ419" s="697"/>
      <c r="BK419" s="697"/>
      <c r="BL419" s="697"/>
      <c r="BM419" s="697"/>
      <c r="BN419" s="697"/>
      <c r="BO419" s="697"/>
      <c r="BP419" s="697"/>
      <c r="BQ419" s="697"/>
      <c r="BR419" s="697"/>
      <c r="BS419" s="697"/>
      <c r="BT419" s="697"/>
      <c r="BU419" s="697"/>
      <c r="BV419" s="697"/>
      <c r="BW419" s="697"/>
      <c r="BX419" s="697"/>
      <c r="BY419" s="697"/>
      <c r="BZ419" s="697"/>
      <c r="CA419" s="697"/>
      <c r="CB419" s="697"/>
      <c r="CC419" s="697"/>
      <c r="CD419" s="697"/>
      <c r="CE419" s="697"/>
      <c r="CF419" s="697"/>
      <c r="CG419" s="697"/>
      <c r="CH419" s="697"/>
      <c r="CI419" s="697"/>
      <c r="CJ419" s="697"/>
      <c r="CK419" s="697"/>
      <c r="CL419" s="697"/>
      <c r="CM419" s="697"/>
      <c r="CN419" s="697"/>
      <c r="CO419" s="697"/>
      <c r="CP419" s="697"/>
      <c r="CQ419" s="697"/>
      <c r="CR419" s="697"/>
      <c r="CS419" s="697"/>
      <c r="CT419" s="697"/>
      <c r="CU419" s="697"/>
      <c r="CV419" s="697"/>
      <c r="CW419" s="697"/>
      <c r="CX419" s="697"/>
      <c r="CY419" s="697"/>
      <c r="CZ419" s="697"/>
      <c r="DA419" s="697"/>
      <c r="DB419" s="697"/>
    </row>
    <row r="420" spans="1:106" hidden="1" outlineLevel="1" x14ac:dyDescent="0.2">
      <c r="A420" s="709">
        <f t="shared" si="86"/>
        <v>39417</v>
      </c>
      <c r="B420" s="709" t="str">
        <f t="shared" si="87"/>
        <v>4Q07</v>
      </c>
      <c r="C420" s="709" t="str">
        <f t="shared" si="88"/>
        <v>1Q08</v>
      </c>
      <c r="D420" s="710">
        <f t="shared" si="92"/>
        <v>39490</v>
      </c>
      <c r="E420" s="710">
        <f t="shared" si="92"/>
        <v>39430</v>
      </c>
      <c r="F420" s="712">
        <v>91.18</v>
      </c>
      <c r="G420" s="713">
        <f t="shared" si="89"/>
        <v>1.4900000000000011</v>
      </c>
      <c r="H420" s="713">
        <f t="shared" si="90"/>
        <v>1.4900000000000011</v>
      </c>
      <c r="I420" s="697"/>
      <c r="J420" s="697"/>
      <c r="K420" s="697"/>
      <c r="L420" s="697"/>
      <c r="M420" s="697"/>
      <c r="N420" s="697"/>
      <c r="O420" s="697"/>
      <c r="P420" s="697"/>
      <c r="Q420" s="697"/>
      <c r="R420" s="697"/>
      <c r="S420" s="697"/>
      <c r="T420" s="697"/>
      <c r="U420" s="697"/>
      <c r="V420" s="697"/>
      <c r="W420" s="697"/>
      <c r="X420" s="697"/>
      <c r="Y420" s="697"/>
      <c r="Z420" s="697"/>
      <c r="AA420" s="697"/>
      <c r="AB420" s="697"/>
      <c r="AC420" s="697"/>
      <c r="AD420" s="697"/>
      <c r="AE420" s="697"/>
      <c r="AF420" s="697"/>
      <c r="AG420" s="697"/>
      <c r="AH420" s="697"/>
      <c r="AI420" s="697"/>
      <c r="AJ420" s="697"/>
      <c r="AK420" s="697"/>
      <c r="AL420" s="697"/>
      <c r="AM420" s="697"/>
      <c r="AN420" s="697"/>
      <c r="AO420" s="697"/>
      <c r="AP420" s="697"/>
      <c r="AQ420" s="697"/>
      <c r="AR420" s="697"/>
      <c r="AS420" s="697"/>
      <c r="AT420" s="697"/>
      <c r="AU420" s="697"/>
      <c r="AV420" s="697"/>
      <c r="AW420" s="697"/>
      <c r="AX420" s="697"/>
      <c r="AY420" s="697"/>
      <c r="AZ420" s="697"/>
      <c r="BA420" s="697"/>
      <c r="BB420" s="697"/>
      <c r="BC420" s="697"/>
      <c r="BD420" s="697"/>
      <c r="BE420" s="697"/>
      <c r="BF420" s="697"/>
      <c r="BG420" s="697"/>
      <c r="BH420" s="697"/>
      <c r="BI420" s="697"/>
      <c r="BJ420" s="697"/>
      <c r="BK420" s="697"/>
      <c r="BL420" s="697"/>
      <c r="BM420" s="697"/>
      <c r="BN420" s="697"/>
      <c r="BO420" s="697"/>
      <c r="BP420" s="697"/>
      <c r="BQ420" s="697"/>
      <c r="BR420" s="697"/>
      <c r="BS420" s="697"/>
      <c r="BT420" s="697"/>
      <c r="BU420" s="697"/>
      <c r="BV420" s="697"/>
      <c r="BW420" s="697"/>
      <c r="BX420" s="697"/>
      <c r="BY420" s="697"/>
      <c r="BZ420" s="697"/>
      <c r="CA420" s="697"/>
      <c r="CB420" s="697"/>
      <c r="CC420" s="697"/>
      <c r="CD420" s="697"/>
      <c r="CE420" s="697"/>
      <c r="CF420" s="697"/>
      <c r="CG420" s="697"/>
      <c r="CH420" s="697"/>
      <c r="CI420" s="697"/>
      <c r="CJ420" s="697"/>
      <c r="CK420" s="697"/>
      <c r="CL420" s="697"/>
      <c r="CM420" s="697"/>
      <c r="CN420" s="697"/>
      <c r="CO420" s="697"/>
      <c r="CP420" s="697"/>
      <c r="CQ420" s="697"/>
      <c r="CR420" s="697"/>
      <c r="CS420" s="697"/>
      <c r="CT420" s="697"/>
      <c r="CU420" s="697"/>
      <c r="CV420" s="697"/>
      <c r="CW420" s="697"/>
      <c r="CX420" s="697"/>
      <c r="CY420" s="697"/>
      <c r="CZ420" s="697"/>
      <c r="DA420" s="697"/>
      <c r="DB420" s="697"/>
    </row>
    <row r="421" spans="1:106" hidden="1" outlineLevel="1" x14ac:dyDescent="0.2">
      <c r="A421" s="709">
        <f t="shared" si="86"/>
        <v>39417</v>
      </c>
      <c r="B421" s="709" t="str">
        <f t="shared" si="87"/>
        <v>4Q07</v>
      </c>
      <c r="C421" s="709" t="str">
        <f t="shared" si="88"/>
        <v>1Q08</v>
      </c>
      <c r="D421" s="710">
        <f t="shared" ref="D421:E436" si="93">D420+7</f>
        <v>39497</v>
      </c>
      <c r="E421" s="710">
        <f t="shared" si="93"/>
        <v>39437</v>
      </c>
      <c r="F421" s="712">
        <v>91.16</v>
      </c>
      <c r="G421" s="713">
        <f t="shared" si="89"/>
        <v>1.4900000000000011</v>
      </c>
      <c r="H421" s="713">
        <f t="shared" si="90"/>
        <v>1.4900000000000011</v>
      </c>
      <c r="I421" s="697"/>
      <c r="J421" s="697"/>
      <c r="K421" s="697"/>
      <c r="L421" s="697"/>
      <c r="M421" s="697"/>
      <c r="N421" s="697"/>
      <c r="O421" s="697"/>
      <c r="P421" s="697"/>
      <c r="Q421" s="697"/>
      <c r="R421" s="697"/>
      <c r="S421" s="697"/>
      <c r="T421" s="697"/>
      <c r="U421" s="697"/>
      <c r="V421" s="697"/>
      <c r="W421" s="697"/>
      <c r="X421" s="697"/>
      <c r="Y421" s="697"/>
      <c r="Z421" s="697"/>
      <c r="AA421" s="697"/>
      <c r="AB421" s="697"/>
      <c r="AC421" s="697"/>
      <c r="AD421" s="697"/>
      <c r="AE421" s="697"/>
      <c r="AF421" s="697"/>
      <c r="AG421" s="697"/>
      <c r="AH421" s="697"/>
      <c r="AI421" s="697"/>
      <c r="AJ421" s="697"/>
      <c r="AK421" s="697"/>
      <c r="AL421" s="697"/>
      <c r="AM421" s="697"/>
      <c r="AN421" s="697"/>
      <c r="AO421" s="697"/>
      <c r="AP421" s="697"/>
      <c r="AQ421" s="697"/>
      <c r="AR421" s="697"/>
      <c r="AS421" s="697"/>
      <c r="AT421" s="697"/>
      <c r="AU421" s="697"/>
      <c r="AV421" s="697"/>
      <c r="AW421" s="697"/>
      <c r="AX421" s="697"/>
      <c r="AY421" s="697"/>
      <c r="AZ421" s="697"/>
      <c r="BA421" s="697"/>
      <c r="BB421" s="697"/>
      <c r="BC421" s="697"/>
      <c r="BD421" s="697"/>
      <c r="BE421" s="697"/>
      <c r="BF421" s="697"/>
      <c r="BG421" s="697"/>
      <c r="BH421" s="697"/>
      <c r="BI421" s="697"/>
      <c r="BJ421" s="697"/>
      <c r="BK421" s="697"/>
      <c r="BL421" s="697"/>
      <c r="BM421" s="697"/>
      <c r="BN421" s="697"/>
      <c r="BO421" s="697"/>
      <c r="BP421" s="697"/>
      <c r="BQ421" s="697"/>
      <c r="BR421" s="697"/>
      <c r="BS421" s="697"/>
      <c r="BT421" s="697"/>
      <c r="BU421" s="697"/>
      <c r="BV421" s="697"/>
      <c r="BW421" s="697"/>
      <c r="BX421" s="697"/>
      <c r="BY421" s="697"/>
      <c r="BZ421" s="697"/>
      <c r="CA421" s="697"/>
      <c r="CB421" s="697"/>
      <c r="CC421" s="697"/>
      <c r="CD421" s="697"/>
      <c r="CE421" s="697"/>
      <c r="CF421" s="697"/>
      <c r="CG421" s="697"/>
      <c r="CH421" s="697"/>
      <c r="CI421" s="697"/>
      <c r="CJ421" s="697"/>
      <c r="CK421" s="697"/>
      <c r="CL421" s="697"/>
      <c r="CM421" s="697"/>
      <c r="CN421" s="697"/>
      <c r="CO421" s="697"/>
      <c r="CP421" s="697"/>
      <c r="CQ421" s="697"/>
      <c r="CR421" s="697"/>
      <c r="CS421" s="697"/>
      <c r="CT421" s="697"/>
      <c r="CU421" s="697"/>
      <c r="CV421" s="697"/>
      <c r="CW421" s="697"/>
      <c r="CX421" s="697"/>
      <c r="CY421" s="697"/>
      <c r="CZ421" s="697"/>
      <c r="DA421" s="697"/>
      <c r="DB421" s="697"/>
    </row>
    <row r="422" spans="1:106" hidden="1" outlineLevel="1" x14ac:dyDescent="0.2">
      <c r="A422" s="709">
        <f t="shared" si="86"/>
        <v>39417</v>
      </c>
      <c r="B422" s="709" t="str">
        <f t="shared" si="87"/>
        <v>4Q07</v>
      </c>
      <c r="C422" s="709" t="str">
        <f t="shared" si="88"/>
        <v>1Q08</v>
      </c>
      <c r="D422" s="710">
        <f t="shared" si="93"/>
        <v>39504</v>
      </c>
      <c r="E422" s="710">
        <f t="shared" si="93"/>
        <v>39444</v>
      </c>
      <c r="F422" s="712">
        <v>95.64</v>
      </c>
      <c r="G422" s="713">
        <f t="shared" si="89"/>
        <v>1.4900000000000011</v>
      </c>
      <c r="H422" s="713">
        <f t="shared" si="90"/>
        <v>1.4900000000000011</v>
      </c>
      <c r="I422" s="697"/>
      <c r="J422" s="697"/>
      <c r="K422" s="697"/>
      <c r="L422" s="697"/>
      <c r="M422" s="697"/>
      <c r="N422" s="697"/>
      <c r="O422" s="697"/>
      <c r="P422" s="697"/>
      <c r="Q422" s="697"/>
      <c r="R422" s="697"/>
      <c r="S422" s="697"/>
      <c r="T422" s="697"/>
      <c r="U422" s="697"/>
      <c r="V422" s="697"/>
      <c r="W422" s="697"/>
      <c r="X422" s="697"/>
      <c r="Y422" s="697"/>
      <c r="Z422" s="697"/>
      <c r="AA422" s="697"/>
      <c r="AB422" s="697"/>
      <c r="AC422" s="697"/>
      <c r="AD422" s="697"/>
      <c r="AE422" s="697"/>
      <c r="AF422" s="697"/>
      <c r="AG422" s="697"/>
      <c r="AH422" s="697"/>
      <c r="AI422" s="697"/>
      <c r="AJ422" s="697"/>
      <c r="AK422" s="697"/>
      <c r="AL422" s="697"/>
      <c r="AM422" s="697"/>
      <c r="AN422" s="697"/>
      <c r="AO422" s="697"/>
      <c r="AP422" s="697"/>
      <c r="AQ422" s="697"/>
      <c r="AR422" s="697"/>
      <c r="AS422" s="697"/>
      <c r="AT422" s="697"/>
      <c r="AU422" s="697"/>
      <c r="AV422" s="697"/>
      <c r="AW422" s="697"/>
      <c r="AX422" s="697"/>
      <c r="AY422" s="697"/>
      <c r="AZ422" s="697"/>
      <c r="BA422" s="697"/>
      <c r="BB422" s="697"/>
      <c r="BC422" s="697"/>
      <c r="BD422" s="697"/>
      <c r="BE422" s="697"/>
      <c r="BF422" s="697"/>
      <c r="BG422" s="697"/>
      <c r="BH422" s="697"/>
      <c r="BI422" s="697"/>
      <c r="BJ422" s="697"/>
      <c r="BK422" s="697"/>
      <c r="BL422" s="697"/>
      <c r="BM422" s="697"/>
      <c r="BN422" s="697"/>
      <c r="BO422" s="697"/>
      <c r="BP422" s="697"/>
      <c r="BQ422" s="697"/>
      <c r="BR422" s="697"/>
      <c r="BS422" s="697"/>
      <c r="BT422" s="697"/>
      <c r="BU422" s="697"/>
      <c r="BV422" s="697"/>
      <c r="BW422" s="697"/>
      <c r="BX422" s="697"/>
      <c r="BY422" s="697"/>
      <c r="BZ422" s="697"/>
      <c r="CA422" s="697"/>
      <c r="CB422" s="697"/>
      <c r="CC422" s="697"/>
      <c r="CD422" s="697"/>
      <c r="CE422" s="697"/>
      <c r="CF422" s="697"/>
      <c r="CG422" s="697"/>
      <c r="CH422" s="697"/>
      <c r="CI422" s="697"/>
      <c r="CJ422" s="697"/>
      <c r="CK422" s="697"/>
      <c r="CL422" s="697"/>
      <c r="CM422" s="697"/>
      <c r="CN422" s="697"/>
      <c r="CO422" s="697"/>
      <c r="CP422" s="697"/>
      <c r="CQ422" s="697"/>
      <c r="CR422" s="697"/>
      <c r="CS422" s="697"/>
      <c r="CT422" s="697"/>
      <c r="CU422" s="697"/>
      <c r="CV422" s="697"/>
      <c r="CW422" s="697"/>
      <c r="CX422" s="697"/>
      <c r="CY422" s="697"/>
      <c r="CZ422" s="697"/>
      <c r="DA422" s="697"/>
      <c r="DB422" s="697"/>
    </row>
    <row r="423" spans="1:106" hidden="1" outlineLevel="1" x14ac:dyDescent="0.2">
      <c r="A423" s="709">
        <f t="shared" si="86"/>
        <v>39448</v>
      </c>
      <c r="B423" s="709" t="str">
        <f t="shared" si="87"/>
        <v>1Q08</v>
      </c>
      <c r="C423" s="709" t="str">
        <f t="shared" si="88"/>
        <v>1Q08</v>
      </c>
      <c r="D423" s="710">
        <f t="shared" si="93"/>
        <v>39511</v>
      </c>
      <c r="E423" s="710">
        <f t="shared" si="93"/>
        <v>39451</v>
      </c>
      <c r="F423" s="712">
        <v>98.17</v>
      </c>
      <c r="G423" s="713">
        <f t="shared" si="89"/>
        <v>1.4900000000000011</v>
      </c>
      <c r="H423" s="713">
        <f t="shared" si="90"/>
        <v>1.4900000000000011</v>
      </c>
      <c r="I423" s="697"/>
      <c r="J423" s="697"/>
      <c r="K423" s="697"/>
      <c r="L423" s="697"/>
      <c r="M423" s="697"/>
      <c r="N423" s="697"/>
      <c r="O423" s="697"/>
      <c r="P423" s="697"/>
      <c r="Q423" s="697"/>
      <c r="R423" s="697"/>
      <c r="S423" s="697"/>
      <c r="T423" s="697"/>
      <c r="U423" s="697"/>
      <c r="V423" s="697"/>
      <c r="W423" s="697"/>
      <c r="X423" s="697"/>
      <c r="Y423" s="697"/>
      <c r="Z423" s="697"/>
      <c r="AA423" s="697"/>
      <c r="AB423" s="697"/>
      <c r="AC423" s="697"/>
      <c r="AD423" s="697"/>
      <c r="AE423" s="697"/>
      <c r="AF423" s="697"/>
      <c r="AG423" s="697"/>
      <c r="AH423" s="697"/>
      <c r="AI423" s="697"/>
      <c r="AJ423" s="697"/>
      <c r="AK423" s="697"/>
      <c r="AL423" s="697"/>
      <c r="AM423" s="697"/>
      <c r="AN423" s="697"/>
      <c r="AO423" s="697"/>
      <c r="AP423" s="697"/>
      <c r="AQ423" s="697"/>
      <c r="AR423" s="697"/>
      <c r="AS423" s="697"/>
      <c r="AT423" s="697"/>
      <c r="AU423" s="697"/>
      <c r="AV423" s="697"/>
      <c r="AW423" s="697"/>
      <c r="AX423" s="697"/>
      <c r="AY423" s="697"/>
      <c r="AZ423" s="697"/>
      <c r="BA423" s="697"/>
      <c r="BB423" s="697"/>
      <c r="BC423" s="697"/>
      <c r="BD423" s="697"/>
      <c r="BE423" s="697"/>
      <c r="BF423" s="697"/>
      <c r="BG423" s="697"/>
      <c r="BH423" s="697"/>
      <c r="BI423" s="697"/>
      <c r="BJ423" s="697"/>
      <c r="BK423" s="697"/>
      <c r="BL423" s="697"/>
      <c r="BM423" s="697"/>
      <c r="BN423" s="697"/>
      <c r="BO423" s="697"/>
      <c r="BP423" s="697"/>
      <c r="BQ423" s="697"/>
      <c r="BR423" s="697"/>
      <c r="BS423" s="697"/>
      <c r="BT423" s="697"/>
      <c r="BU423" s="697"/>
      <c r="BV423" s="697"/>
      <c r="BW423" s="697"/>
      <c r="BX423" s="697"/>
      <c r="BY423" s="697"/>
      <c r="BZ423" s="697"/>
      <c r="CA423" s="697"/>
      <c r="CB423" s="697"/>
      <c r="CC423" s="697"/>
      <c r="CD423" s="697"/>
      <c r="CE423" s="697"/>
      <c r="CF423" s="697"/>
      <c r="CG423" s="697"/>
      <c r="CH423" s="697"/>
      <c r="CI423" s="697"/>
      <c r="CJ423" s="697"/>
      <c r="CK423" s="697"/>
      <c r="CL423" s="697"/>
      <c r="CM423" s="697"/>
      <c r="CN423" s="697"/>
      <c r="CO423" s="697"/>
      <c r="CP423" s="697"/>
      <c r="CQ423" s="697"/>
      <c r="CR423" s="697"/>
      <c r="CS423" s="697"/>
      <c r="CT423" s="697"/>
      <c r="CU423" s="697"/>
      <c r="CV423" s="697"/>
      <c r="CW423" s="697"/>
      <c r="CX423" s="697"/>
      <c r="CY423" s="697"/>
      <c r="CZ423" s="697"/>
      <c r="DA423" s="697"/>
      <c r="DB423" s="697"/>
    </row>
    <row r="424" spans="1:106" hidden="1" outlineLevel="1" x14ac:dyDescent="0.2">
      <c r="A424" s="709">
        <f t="shared" si="86"/>
        <v>39448</v>
      </c>
      <c r="B424" s="709" t="str">
        <f t="shared" si="87"/>
        <v>1Q08</v>
      </c>
      <c r="C424" s="709" t="str">
        <f t="shared" si="88"/>
        <v>1Q08</v>
      </c>
      <c r="D424" s="710">
        <f t="shared" si="93"/>
        <v>39518</v>
      </c>
      <c r="E424" s="710">
        <f t="shared" si="93"/>
        <v>39458</v>
      </c>
      <c r="F424" s="712">
        <v>94.76</v>
      </c>
      <c r="G424" s="713">
        <f t="shared" si="89"/>
        <v>1.4900000000000011</v>
      </c>
      <c r="H424" s="713">
        <f t="shared" si="90"/>
        <v>1.4900000000000011</v>
      </c>
      <c r="I424" s="697"/>
      <c r="J424" s="697"/>
      <c r="K424" s="697"/>
      <c r="L424" s="697"/>
      <c r="M424" s="697"/>
      <c r="N424" s="697"/>
      <c r="O424" s="697"/>
      <c r="P424" s="697"/>
      <c r="Q424" s="697"/>
      <c r="R424" s="697"/>
      <c r="S424" s="697"/>
      <c r="T424" s="697"/>
      <c r="U424" s="697"/>
      <c r="V424" s="697"/>
      <c r="W424" s="697"/>
      <c r="X424" s="697"/>
      <c r="Y424" s="697"/>
      <c r="Z424" s="697"/>
      <c r="AA424" s="697"/>
      <c r="AB424" s="697"/>
      <c r="AC424" s="697"/>
      <c r="AD424" s="697"/>
      <c r="AE424" s="697"/>
      <c r="AF424" s="697"/>
      <c r="AG424" s="697"/>
      <c r="AH424" s="697"/>
      <c r="AI424" s="697"/>
      <c r="AJ424" s="697"/>
      <c r="AK424" s="697"/>
      <c r="AL424" s="697"/>
      <c r="AM424" s="697"/>
      <c r="AN424" s="697"/>
      <c r="AO424" s="697"/>
      <c r="AP424" s="697"/>
      <c r="AQ424" s="697"/>
      <c r="AR424" s="697"/>
      <c r="AS424" s="697"/>
      <c r="AT424" s="697"/>
      <c r="AU424" s="697"/>
      <c r="AV424" s="697"/>
      <c r="AW424" s="697"/>
      <c r="AX424" s="697"/>
      <c r="AY424" s="697"/>
      <c r="AZ424" s="697"/>
      <c r="BA424" s="697"/>
      <c r="BB424" s="697"/>
      <c r="BC424" s="697"/>
      <c r="BD424" s="697"/>
      <c r="BE424" s="697"/>
      <c r="BF424" s="697"/>
      <c r="BG424" s="697"/>
      <c r="BH424" s="697"/>
      <c r="BI424" s="697"/>
      <c r="BJ424" s="697"/>
      <c r="BK424" s="697"/>
      <c r="BL424" s="697"/>
      <c r="BM424" s="697"/>
      <c r="BN424" s="697"/>
      <c r="BO424" s="697"/>
      <c r="BP424" s="697"/>
      <c r="BQ424" s="697"/>
      <c r="BR424" s="697"/>
      <c r="BS424" s="697"/>
      <c r="BT424" s="697"/>
      <c r="BU424" s="697"/>
      <c r="BV424" s="697"/>
      <c r="BW424" s="697"/>
      <c r="BX424" s="697"/>
      <c r="BY424" s="697"/>
      <c r="BZ424" s="697"/>
      <c r="CA424" s="697"/>
      <c r="CB424" s="697"/>
      <c r="CC424" s="697"/>
      <c r="CD424" s="697"/>
      <c r="CE424" s="697"/>
      <c r="CF424" s="697"/>
      <c r="CG424" s="697"/>
      <c r="CH424" s="697"/>
      <c r="CI424" s="697"/>
      <c r="CJ424" s="697"/>
      <c r="CK424" s="697"/>
      <c r="CL424" s="697"/>
      <c r="CM424" s="697"/>
      <c r="CN424" s="697"/>
      <c r="CO424" s="697"/>
      <c r="CP424" s="697"/>
      <c r="CQ424" s="697"/>
      <c r="CR424" s="697"/>
      <c r="CS424" s="697"/>
      <c r="CT424" s="697"/>
      <c r="CU424" s="697"/>
      <c r="CV424" s="697"/>
      <c r="CW424" s="697"/>
      <c r="CX424" s="697"/>
      <c r="CY424" s="697"/>
      <c r="CZ424" s="697"/>
      <c r="DA424" s="697"/>
      <c r="DB424" s="697"/>
    </row>
    <row r="425" spans="1:106" hidden="1" outlineLevel="1" x14ac:dyDescent="0.2">
      <c r="A425" s="709">
        <f t="shared" si="86"/>
        <v>39448</v>
      </c>
      <c r="B425" s="709" t="str">
        <f t="shared" si="87"/>
        <v>1Q08</v>
      </c>
      <c r="C425" s="709" t="str">
        <f t="shared" si="88"/>
        <v>1Q08</v>
      </c>
      <c r="D425" s="710">
        <f t="shared" si="93"/>
        <v>39525</v>
      </c>
      <c r="E425" s="710">
        <f t="shared" si="93"/>
        <v>39465</v>
      </c>
      <c r="F425" s="712">
        <v>91.51</v>
      </c>
      <c r="G425" s="713">
        <f t="shared" si="89"/>
        <v>1.4900000000000011</v>
      </c>
      <c r="H425" s="713">
        <f t="shared" si="90"/>
        <v>1.4900000000000011</v>
      </c>
      <c r="I425" s="697"/>
      <c r="J425" s="697"/>
      <c r="K425" s="697"/>
      <c r="L425" s="697"/>
      <c r="M425" s="697"/>
      <c r="N425" s="697"/>
      <c r="O425" s="697"/>
      <c r="P425" s="697"/>
      <c r="Q425" s="697"/>
      <c r="R425" s="697"/>
      <c r="S425" s="697"/>
      <c r="T425" s="697"/>
      <c r="U425" s="697"/>
      <c r="V425" s="697"/>
      <c r="W425" s="697"/>
      <c r="X425" s="697"/>
      <c r="Y425" s="697"/>
      <c r="Z425" s="697"/>
      <c r="AA425" s="697"/>
      <c r="AB425" s="697"/>
      <c r="AC425" s="697"/>
      <c r="AD425" s="697"/>
      <c r="AE425" s="697"/>
      <c r="AF425" s="697"/>
      <c r="AG425" s="697"/>
      <c r="AH425" s="697"/>
      <c r="AI425" s="697"/>
      <c r="AJ425" s="697"/>
      <c r="AK425" s="697"/>
      <c r="AL425" s="697"/>
      <c r="AM425" s="697"/>
      <c r="AN425" s="697"/>
      <c r="AO425" s="697"/>
      <c r="AP425" s="697"/>
      <c r="AQ425" s="697"/>
      <c r="AR425" s="697"/>
      <c r="AS425" s="697"/>
      <c r="AT425" s="697"/>
      <c r="AU425" s="697"/>
      <c r="AV425" s="697"/>
      <c r="AW425" s="697"/>
      <c r="AX425" s="697"/>
      <c r="AY425" s="697"/>
      <c r="AZ425" s="697"/>
      <c r="BA425" s="697"/>
      <c r="BB425" s="697"/>
      <c r="BC425" s="697"/>
      <c r="BD425" s="697"/>
      <c r="BE425" s="697"/>
      <c r="BF425" s="697"/>
      <c r="BG425" s="697"/>
      <c r="BH425" s="697"/>
      <c r="BI425" s="697"/>
      <c r="BJ425" s="697"/>
      <c r="BK425" s="697"/>
      <c r="BL425" s="697"/>
      <c r="BM425" s="697"/>
      <c r="BN425" s="697"/>
      <c r="BO425" s="697"/>
      <c r="BP425" s="697"/>
      <c r="BQ425" s="697"/>
      <c r="BR425" s="697"/>
      <c r="BS425" s="697"/>
      <c r="BT425" s="697"/>
      <c r="BU425" s="697"/>
      <c r="BV425" s="697"/>
      <c r="BW425" s="697"/>
      <c r="BX425" s="697"/>
      <c r="BY425" s="697"/>
      <c r="BZ425" s="697"/>
      <c r="CA425" s="697"/>
      <c r="CB425" s="697"/>
      <c r="CC425" s="697"/>
      <c r="CD425" s="697"/>
      <c r="CE425" s="697"/>
      <c r="CF425" s="697"/>
      <c r="CG425" s="697"/>
      <c r="CH425" s="697"/>
      <c r="CI425" s="697"/>
      <c r="CJ425" s="697"/>
      <c r="CK425" s="697"/>
      <c r="CL425" s="697"/>
      <c r="CM425" s="697"/>
      <c r="CN425" s="697"/>
      <c r="CO425" s="697"/>
      <c r="CP425" s="697"/>
      <c r="CQ425" s="697"/>
      <c r="CR425" s="697"/>
      <c r="CS425" s="697"/>
      <c r="CT425" s="697"/>
      <c r="CU425" s="697"/>
      <c r="CV425" s="697"/>
      <c r="CW425" s="697"/>
      <c r="CX425" s="697"/>
      <c r="CY425" s="697"/>
      <c r="CZ425" s="697"/>
      <c r="DA425" s="697"/>
      <c r="DB425" s="697"/>
    </row>
    <row r="426" spans="1:106" hidden="1" outlineLevel="1" x14ac:dyDescent="0.2">
      <c r="A426" s="709">
        <f t="shared" si="86"/>
        <v>39448</v>
      </c>
      <c r="B426" s="709" t="str">
        <f t="shared" si="87"/>
        <v>1Q08</v>
      </c>
      <c r="C426" s="709" t="str">
        <f t="shared" si="88"/>
        <v>1Q08</v>
      </c>
      <c r="D426" s="710">
        <f t="shared" si="93"/>
        <v>39532</v>
      </c>
      <c r="E426" s="710">
        <f t="shared" si="93"/>
        <v>39472</v>
      </c>
      <c r="F426" s="712">
        <v>89.41</v>
      </c>
      <c r="G426" s="713">
        <f t="shared" si="89"/>
        <v>1.4900000000000011</v>
      </c>
      <c r="H426" s="713">
        <f t="shared" si="90"/>
        <v>1.4900000000000011</v>
      </c>
      <c r="I426" s="697"/>
      <c r="J426" s="697"/>
      <c r="K426" s="697"/>
      <c r="L426" s="697"/>
      <c r="M426" s="697"/>
      <c r="N426" s="697"/>
      <c r="O426" s="697"/>
      <c r="P426" s="697"/>
      <c r="Q426" s="697"/>
      <c r="R426" s="697"/>
      <c r="S426" s="697"/>
      <c r="T426" s="697"/>
      <c r="U426" s="697"/>
      <c r="V426" s="697"/>
      <c r="W426" s="697"/>
      <c r="X426" s="697"/>
      <c r="Y426" s="697"/>
      <c r="Z426" s="697"/>
      <c r="AA426" s="697"/>
      <c r="AB426" s="697"/>
      <c r="AC426" s="697"/>
      <c r="AD426" s="697"/>
      <c r="AE426" s="697"/>
      <c r="AF426" s="697"/>
      <c r="AG426" s="697"/>
      <c r="AH426" s="697"/>
      <c r="AI426" s="697"/>
      <c r="AJ426" s="697"/>
      <c r="AK426" s="697"/>
      <c r="AL426" s="697"/>
      <c r="AM426" s="697"/>
      <c r="AN426" s="697"/>
      <c r="AO426" s="697"/>
      <c r="AP426" s="697"/>
      <c r="AQ426" s="697"/>
      <c r="AR426" s="697"/>
      <c r="AS426" s="697"/>
      <c r="AT426" s="697"/>
      <c r="AU426" s="697"/>
      <c r="AV426" s="697"/>
      <c r="AW426" s="697"/>
      <c r="AX426" s="697"/>
      <c r="AY426" s="697"/>
      <c r="AZ426" s="697"/>
      <c r="BA426" s="697"/>
      <c r="BB426" s="697"/>
      <c r="BC426" s="697"/>
      <c r="BD426" s="697"/>
      <c r="BE426" s="697"/>
      <c r="BF426" s="697"/>
      <c r="BG426" s="697"/>
      <c r="BH426" s="697"/>
      <c r="BI426" s="697"/>
      <c r="BJ426" s="697"/>
      <c r="BK426" s="697"/>
      <c r="BL426" s="697"/>
      <c r="BM426" s="697"/>
      <c r="BN426" s="697"/>
      <c r="BO426" s="697"/>
      <c r="BP426" s="697"/>
      <c r="BQ426" s="697"/>
      <c r="BR426" s="697"/>
      <c r="BS426" s="697"/>
      <c r="BT426" s="697"/>
      <c r="BU426" s="697"/>
      <c r="BV426" s="697"/>
      <c r="BW426" s="697"/>
      <c r="BX426" s="697"/>
      <c r="BY426" s="697"/>
      <c r="BZ426" s="697"/>
      <c r="CA426" s="697"/>
      <c r="CB426" s="697"/>
      <c r="CC426" s="697"/>
      <c r="CD426" s="697"/>
      <c r="CE426" s="697"/>
      <c r="CF426" s="697"/>
      <c r="CG426" s="697"/>
      <c r="CH426" s="697"/>
      <c r="CI426" s="697"/>
      <c r="CJ426" s="697"/>
      <c r="CK426" s="697"/>
      <c r="CL426" s="697"/>
      <c r="CM426" s="697"/>
      <c r="CN426" s="697"/>
      <c r="CO426" s="697"/>
      <c r="CP426" s="697"/>
      <c r="CQ426" s="697"/>
      <c r="CR426" s="697"/>
      <c r="CS426" s="697"/>
      <c r="CT426" s="697"/>
      <c r="CU426" s="697"/>
      <c r="CV426" s="697"/>
      <c r="CW426" s="697"/>
      <c r="CX426" s="697"/>
      <c r="CY426" s="697"/>
      <c r="CZ426" s="697"/>
      <c r="DA426" s="697"/>
      <c r="DB426" s="697"/>
    </row>
    <row r="427" spans="1:106" hidden="1" outlineLevel="1" x14ac:dyDescent="0.2">
      <c r="A427" s="709">
        <f t="shared" si="86"/>
        <v>39479</v>
      </c>
      <c r="B427" s="709" t="str">
        <f t="shared" si="87"/>
        <v>1Q08</v>
      </c>
      <c r="C427" s="709" t="str">
        <f t="shared" si="88"/>
        <v>2Q08</v>
      </c>
      <c r="D427" s="710">
        <f t="shared" si="93"/>
        <v>39539</v>
      </c>
      <c r="E427" s="710">
        <f t="shared" si="93"/>
        <v>39479</v>
      </c>
      <c r="F427" s="712">
        <v>91.14</v>
      </c>
      <c r="G427" s="713">
        <f t="shared" si="89"/>
        <v>1.4900000000000011</v>
      </c>
      <c r="H427" s="713">
        <f t="shared" si="90"/>
        <v>1.4900000000000011</v>
      </c>
      <c r="I427" s="697"/>
      <c r="J427" s="697"/>
      <c r="K427" s="697"/>
      <c r="L427" s="697"/>
      <c r="M427" s="697"/>
      <c r="N427" s="697"/>
      <c r="O427" s="697"/>
      <c r="P427" s="697"/>
      <c r="Q427" s="697"/>
      <c r="R427" s="697"/>
      <c r="S427" s="697"/>
      <c r="T427" s="697"/>
      <c r="U427" s="697"/>
      <c r="V427" s="697"/>
      <c r="W427" s="697"/>
      <c r="X427" s="697"/>
      <c r="Y427" s="697"/>
      <c r="Z427" s="697"/>
      <c r="AA427" s="697"/>
      <c r="AB427" s="697"/>
      <c r="AC427" s="697"/>
      <c r="AD427" s="697"/>
      <c r="AE427" s="697"/>
      <c r="AF427" s="697"/>
      <c r="AG427" s="697"/>
      <c r="AH427" s="697"/>
      <c r="AI427" s="697"/>
      <c r="AJ427" s="697"/>
      <c r="AK427" s="697"/>
      <c r="AL427" s="697"/>
      <c r="AM427" s="697"/>
      <c r="AN427" s="697"/>
      <c r="AO427" s="697"/>
      <c r="AP427" s="697"/>
      <c r="AQ427" s="697"/>
      <c r="AR427" s="697"/>
      <c r="AS427" s="697"/>
      <c r="AT427" s="697"/>
      <c r="AU427" s="697"/>
      <c r="AV427" s="697"/>
      <c r="AW427" s="697"/>
      <c r="AX427" s="697"/>
      <c r="AY427" s="697"/>
      <c r="AZ427" s="697"/>
      <c r="BA427" s="697"/>
      <c r="BB427" s="697"/>
      <c r="BC427" s="697"/>
      <c r="BD427" s="697"/>
      <c r="BE427" s="697"/>
      <c r="BF427" s="697"/>
      <c r="BG427" s="697"/>
      <c r="BH427" s="697"/>
      <c r="BI427" s="697"/>
      <c r="BJ427" s="697"/>
      <c r="BK427" s="697"/>
      <c r="BL427" s="697"/>
      <c r="BM427" s="697"/>
      <c r="BN427" s="697"/>
      <c r="BO427" s="697"/>
      <c r="BP427" s="697"/>
      <c r="BQ427" s="697"/>
      <c r="BR427" s="697"/>
      <c r="BS427" s="697"/>
      <c r="BT427" s="697"/>
      <c r="BU427" s="697"/>
      <c r="BV427" s="697"/>
      <c r="BW427" s="697"/>
      <c r="BX427" s="697"/>
      <c r="BY427" s="697"/>
      <c r="BZ427" s="697"/>
      <c r="CA427" s="697"/>
      <c r="CB427" s="697"/>
      <c r="CC427" s="697"/>
      <c r="CD427" s="697"/>
      <c r="CE427" s="697"/>
      <c r="CF427" s="697"/>
      <c r="CG427" s="697"/>
      <c r="CH427" s="697"/>
      <c r="CI427" s="697"/>
      <c r="CJ427" s="697"/>
      <c r="CK427" s="697"/>
      <c r="CL427" s="697"/>
      <c r="CM427" s="697"/>
      <c r="CN427" s="697"/>
      <c r="CO427" s="697"/>
      <c r="CP427" s="697"/>
      <c r="CQ427" s="697"/>
      <c r="CR427" s="697"/>
      <c r="CS427" s="697"/>
      <c r="CT427" s="697"/>
      <c r="CU427" s="697"/>
      <c r="CV427" s="697"/>
      <c r="CW427" s="697"/>
      <c r="CX427" s="697"/>
      <c r="CY427" s="697"/>
      <c r="CZ427" s="697"/>
      <c r="DA427" s="697"/>
      <c r="DB427" s="697"/>
    </row>
    <row r="428" spans="1:106" hidden="1" outlineLevel="1" x14ac:dyDescent="0.2">
      <c r="A428" s="709">
        <f t="shared" si="86"/>
        <v>39479</v>
      </c>
      <c r="B428" s="709" t="str">
        <f t="shared" si="87"/>
        <v>1Q08</v>
      </c>
      <c r="C428" s="709" t="str">
        <f t="shared" si="88"/>
        <v>2Q08</v>
      </c>
      <c r="D428" s="710">
        <f t="shared" si="93"/>
        <v>39546</v>
      </c>
      <c r="E428" s="710">
        <f t="shared" si="93"/>
        <v>39486</v>
      </c>
      <c r="F428" s="712">
        <v>89.08</v>
      </c>
      <c r="G428" s="713">
        <f t="shared" si="89"/>
        <v>1.4900000000000011</v>
      </c>
      <c r="H428" s="713">
        <f t="shared" si="90"/>
        <v>1.4900000000000011</v>
      </c>
      <c r="I428" s="697"/>
      <c r="J428" s="697"/>
      <c r="K428" s="697"/>
      <c r="L428" s="697"/>
      <c r="M428" s="697"/>
      <c r="N428" s="697"/>
      <c r="O428" s="697"/>
      <c r="P428" s="697"/>
      <c r="Q428" s="697"/>
      <c r="R428" s="697"/>
      <c r="S428" s="697"/>
      <c r="T428" s="697"/>
      <c r="U428" s="697"/>
      <c r="V428" s="697"/>
      <c r="W428" s="697"/>
      <c r="X428" s="697"/>
      <c r="Y428" s="697"/>
      <c r="Z428" s="697"/>
      <c r="AA428" s="697"/>
      <c r="AB428" s="697"/>
      <c r="AC428" s="697"/>
      <c r="AD428" s="697"/>
      <c r="AE428" s="697"/>
      <c r="AF428" s="697"/>
      <c r="AG428" s="697"/>
      <c r="AH428" s="697"/>
      <c r="AI428" s="697"/>
      <c r="AJ428" s="697"/>
      <c r="AK428" s="697"/>
      <c r="AL428" s="697"/>
      <c r="AM428" s="697"/>
      <c r="AN428" s="697"/>
      <c r="AO428" s="697"/>
      <c r="AP428" s="697"/>
      <c r="AQ428" s="697"/>
      <c r="AR428" s="697"/>
      <c r="AS428" s="697"/>
      <c r="AT428" s="697"/>
      <c r="AU428" s="697"/>
      <c r="AV428" s="697"/>
      <c r="AW428" s="697"/>
      <c r="AX428" s="697"/>
      <c r="AY428" s="697"/>
      <c r="AZ428" s="697"/>
      <c r="BA428" s="697"/>
      <c r="BB428" s="697"/>
      <c r="BC428" s="697"/>
      <c r="BD428" s="697"/>
      <c r="BE428" s="697"/>
      <c r="BF428" s="697"/>
      <c r="BG428" s="697"/>
      <c r="BH428" s="697"/>
      <c r="BI428" s="697"/>
      <c r="BJ428" s="697"/>
      <c r="BK428" s="697"/>
      <c r="BL428" s="697"/>
      <c r="BM428" s="697"/>
      <c r="BN428" s="697"/>
      <c r="BO428" s="697"/>
      <c r="BP428" s="697"/>
      <c r="BQ428" s="697"/>
      <c r="BR428" s="697"/>
      <c r="BS428" s="697"/>
      <c r="BT428" s="697"/>
      <c r="BU428" s="697"/>
      <c r="BV428" s="697"/>
      <c r="BW428" s="697"/>
      <c r="BX428" s="697"/>
      <c r="BY428" s="697"/>
      <c r="BZ428" s="697"/>
      <c r="CA428" s="697"/>
      <c r="CB428" s="697"/>
      <c r="CC428" s="697"/>
      <c r="CD428" s="697"/>
      <c r="CE428" s="697"/>
      <c r="CF428" s="697"/>
      <c r="CG428" s="697"/>
      <c r="CH428" s="697"/>
      <c r="CI428" s="697"/>
      <c r="CJ428" s="697"/>
      <c r="CK428" s="697"/>
      <c r="CL428" s="697"/>
      <c r="CM428" s="697"/>
      <c r="CN428" s="697"/>
      <c r="CO428" s="697"/>
      <c r="CP428" s="697"/>
      <c r="CQ428" s="697"/>
      <c r="CR428" s="697"/>
      <c r="CS428" s="697"/>
      <c r="CT428" s="697"/>
      <c r="CU428" s="697"/>
      <c r="CV428" s="697"/>
      <c r="CW428" s="697"/>
      <c r="CX428" s="697"/>
      <c r="CY428" s="697"/>
      <c r="CZ428" s="697"/>
      <c r="DA428" s="697"/>
      <c r="DB428" s="697"/>
    </row>
    <row r="429" spans="1:106" hidden="1" outlineLevel="1" x14ac:dyDescent="0.2">
      <c r="A429" s="709">
        <f t="shared" si="86"/>
        <v>39479</v>
      </c>
      <c r="B429" s="709" t="str">
        <f t="shared" si="87"/>
        <v>1Q08</v>
      </c>
      <c r="C429" s="709" t="str">
        <f t="shared" si="88"/>
        <v>2Q08</v>
      </c>
      <c r="D429" s="710">
        <f t="shared" si="93"/>
        <v>39553</v>
      </c>
      <c r="E429" s="710">
        <f t="shared" si="93"/>
        <v>39493</v>
      </c>
      <c r="F429" s="712">
        <v>94.13</v>
      </c>
      <c r="G429" s="713">
        <f t="shared" si="89"/>
        <v>1.4900000000000011</v>
      </c>
      <c r="H429" s="713">
        <f t="shared" si="90"/>
        <v>1.4900000000000011</v>
      </c>
      <c r="I429" s="697"/>
      <c r="J429" s="697"/>
      <c r="K429" s="697"/>
      <c r="L429" s="697"/>
      <c r="M429" s="697"/>
      <c r="N429" s="697"/>
      <c r="O429" s="697"/>
      <c r="P429" s="697"/>
      <c r="Q429" s="697"/>
      <c r="R429" s="697"/>
      <c r="S429" s="697"/>
      <c r="T429" s="697"/>
      <c r="U429" s="697"/>
      <c r="V429" s="697"/>
      <c r="W429" s="697"/>
      <c r="X429" s="697"/>
      <c r="Y429" s="697"/>
      <c r="Z429" s="697"/>
      <c r="AA429" s="697"/>
      <c r="AB429" s="697"/>
      <c r="AC429" s="697"/>
      <c r="AD429" s="697"/>
      <c r="AE429" s="697"/>
      <c r="AF429" s="697"/>
      <c r="AG429" s="697"/>
      <c r="AH429" s="697"/>
      <c r="AI429" s="697"/>
      <c r="AJ429" s="697"/>
      <c r="AK429" s="697"/>
      <c r="AL429" s="697"/>
      <c r="AM429" s="697"/>
      <c r="AN429" s="697"/>
      <c r="AO429" s="697"/>
      <c r="AP429" s="697"/>
      <c r="AQ429" s="697"/>
      <c r="AR429" s="697"/>
      <c r="AS429" s="697"/>
      <c r="AT429" s="697"/>
      <c r="AU429" s="697"/>
      <c r="AV429" s="697"/>
      <c r="AW429" s="697"/>
      <c r="AX429" s="697"/>
      <c r="AY429" s="697"/>
      <c r="AZ429" s="697"/>
      <c r="BA429" s="697"/>
      <c r="BB429" s="697"/>
      <c r="BC429" s="697"/>
      <c r="BD429" s="697"/>
      <c r="BE429" s="697"/>
      <c r="BF429" s="697"/>
      <c r="BG429" s="697"/>
      <c r="BH429" s="697"/>
      <c r="BI429" s="697"/>
      <c r="BJ429" s="697"/>
      <c r="BK429" s="697"/>
      <c r="BL429" s="697"/>
      <c r="BM429" s="697"/>
      <c r="BN429" s="697"/>
      <c r="BO429" s="697"/>
      <c r="BP429" s="697"/>
      <c r="BQ429" s="697"/>
      <c r="BR429" s="697"/>
      <c r="BS429" s="697"/>
      <c r="BT429" s="697"/>
      <c r="BU429" s="697"/>
      <c r="BV429" s="697"/>
      <c r="BW429" s="697"/>
      <c r="BX429" s="697"/>
      <c r="BY429" s="697"/>
      <c r="BZ429" s="697"/>
      <c r="CA429" s="697"/>
      <c r="CB429" s="697"/>
      <c r="CC429" s="697"/>
      <c r="CD429" s="697"/>
      <c r="CE429" s="697"/>
      <c r="CF429" s="697"/>
      <c r="CG429" s="697"/>
      <c r="CH429" s="697"/>
      <c r="CI429" s="697"/>
      <c r="CJ429" s="697"/>
      <c r="CK429" s="697"/>
      <c r="CL429" s="697"/>
      <c r="CM429" s="697"/>
      <c r="CN429" s="697"/>
      <c r="CO429" s="697"/>
      <c r="CP429" s="697"/>
      <c r="CQ429" s="697"/>
      <c r="CR429" s="697"/>
      <c r="CS429" s="697"/>
      <c r="CT429" s="697"/>
      <c r="CU429" s="697"/>
      <c r="CV429" s="697"/>
      <c r="CW429" s="697"/>
      <c r="CX429" s="697"/>
      <c r="CY429" s="697"/>
      <c r="CZ429" s="697"/>
      <c r="DA429" s="697"/>
      <c r="DB429" s="697"/>
    </row>
    <row r="430" spans="1:106" hidden="1" outlineLevel="1" x14ac:dyDescent="0.2">
      <c r="A430" s="709">
        <f t="shared" si="86"/>
        <v>39479</v>
      </c>
      <c r="B430" s="709" t="str">
        <f t="shared" si="87"/>
        <v>1Q08</v>
      </c>
      <c r="C430" s="709" t="str">
        <f t="shared" si="88"/>
        <v>2Q08</v>
      </c>
      <c r="D430" s="710">
        <f t="shared" si="93"/>
        <v>39560</v>
      </c>
      <c r="E430" s="710">
        <f t="shared" si="93"/>
        <v>39500</v>
      </c>
      <c r="F430" s="712">
        <v>99.61</v>
      </c>
      <c r="G430" s="713">
        <f t="shared" si="89"/>
        <v>1.4900000000000011</v>
      </c>
      <c r="H430" s="713">
        <f t="shared" si="90"/>
        <v>1.4900000000000011</v>
      </c>
      <c r="I430" s="697"/>
      <c r="J430" s="697"/>
      <c r="K430" s="697"/>
      <c r="L430" s="697"/>
      <c r="M430" s="697"/>
      <c r="N430" s="697"/>
      <c r="O430" s="697"/>
      <c r="P430" s="697"/>
      <c r="Q430" s="697"/>
      <c r="R430" s="697"/>
      <c r="S430" s="697"/>
      <c r="T430" s="697"/>
      <c r="U430" s="697"/>
      <c r="V430" s="697"/>
      <c r="W430" s="697"/>
      <c r="X430" s="697"/>
      <c r="Y430" s="697"/>
      <c r="Z430" s="697"/>
      <c r="AA430" s="697"/>
      <c r="AB430" s="697"/>
      <c r="AC430" s="697"/>
      <c r="AD430" s="697"/>
      <c r="AE430" s="697"/>
      <c r="AF430" s="697"/>
      <c r="AG430" s="697"/>
      <c r="AH430" s="697"/>
      <c r="AI430" s="697"/>
      <c r="AJ430" s="697"/>
      <c r="AK430" s="697"/>
      <c r="AL430" s="697"/>
      <c r="AM430" s="697"/>
      <c r="AN430" s="697"/>
      <c r="AO430" s="697"/>
      <c r="AP430" s="697"/>
      <c r="AQ430" s="697"/>
      <c r="AR430" s="697"/>
      <c r="AS430" s="697"/>
      <c r="AT430" s="697"/>
      <c r="AU430" s="697"/>
      <c r="AV430" s="697"/>
      <c r="AW430" s="697"/>
      <c r="AX430" s="697"/>
      <c r="AY430" s="697"/>
      <c r="AZ430" s="697"/>
      <c r="BA430" s="697"/>
      <c r="BB430" s="697"/>
      <c r="BC430" s="697"/>
      <c r="BD430" s="697"/>
      <c r="BE430" s="697"/>
      <c r="BF430" s="697"/>
      <c r="BG430" s="697"/>
      <c r="BH430" s="697"/>
      <c r="BI430" s="697"/>
      <c r="BJ430" s="697"/>
      <c r="BK430" s="697"/>
      <c r="BL430" s="697"/>
      <c r="BM430" s="697"/>
      <c r="BN430" s="697"/>
      <c r="BO430" s="697"/>
      <c r="BP430" s="697"/>
      <c r="BQ430" s="697"/>
      <c r="BR430" s="697"/>
      <c r="BS430" s="697"/>
      <c r="BT430" s="697"/>
      <c r="BU430" s="697"/>
      <c r="BV430" s="697"/>
      <c r="BW430" s="697"/>
      <c r="BX430" s="697"/>
      <c r="BY430" s="697"/>
      <c r="BZ430" s="697"/>
      <c r="CA430" s="697"/>
      <c r="CB430" s="697"/>
      <c r="CC430" s="697"/>
      <c r="CD430" s="697"/>
      <c r="CE430" s="697"/>
      <c r="CF430" s="697"/>
      <c r="CG430" s="697"/>
      <c r="CH430" s="697"/>
      <c r="CI430" s="697"/>
      <c r="CJ430" s="697"/>
      <c r="CK430" s="697"/>
      <c r="CL430" s="697"/>
      <c r="CM430" s="697"/>
      <c r="CN430" s="697"/>
      <c r="CO430" s="697"/>
      <c r="CP430" s="697"/>
      <c r="CQ430" s="697"/>
      <c r="CR430" s="697"/>
      <c r="CS430" s="697"/>
      <c r="CT430" s="697"/>
      <c r="CU430" s="697"/>
      <c r="CV430" s="697"/>
      <c r="CW430" s="697"/>
      <c r="CX430" s="697"/>
      <c r="CY430" s="697"/>
      <c r="CZ430" s="697"/>
      <c r="DA430" s="697"/>
      <c r="DB430" s="697"/>
    </row>
    <row r="431" spans="1:106" hidden="1" outlineLevel="1" x14ac:dyDescent="0.2">
      <c r="A431" s="709">
        <f t="shared" si="86"/>
        <v>39479</v>
      </c>
      <c r="B431" s="709" t="str">
        <f t="shared" si="87"/>
        <v>1Q08</v>
      </c>
      <c r="C431" s="709" t="str">
        <f t="shared" si="88"/>
        <v>2Q08</v>
      </c>
      <c r="D431" s="710">
        <f t="shared" si="93"/>
        <v>39567</v>
      </c>
      <c r="E431" s="710">
        <f t="shared" si="93"/>
        <v>39507</v>
      </c>
      <c r="F431" s="712">
        <v>100.84</v>
      </c>
      <c r="G431" s="713">
        <f t="shared" si="89"/>
        <v>1.4900000000000011</v>
      </c>
      <c r="H431" s="713">
        <f t="shared" si="90"/>
        <v>1.4900000000000011</v>
      </c>
      <c r="I431" s="697"/>
      <c r="J431" s="697"/>
      <c r="K431" s="697"/>
      <c r="L431" s="697"/>
      <c r="M431" s="697"/>
      <c r="N431" s="697"/>
      <c r="O431" s="697"/>
      <c r="P431" s="697"/>
      <c r="Q431" s="697"/>
      <c r="R431" s="697"/>
      <c r="S431" s="697"/>
      <c r="T431" s="697"/>
      <c r="U431" s="697"/>
      <c r="V431" s="697"/>
      <c r="W431" s="697"/>
      <c r="X431" s="697"/>
      <c r="Y431" s="697"/>
      <c r="Z431" s="697"/>
      <c r="AA431" s="697"/>
      <c r="AB431" s="697"/>
      <c r="AC431" s="697"/>
      <c r="AD431" s="697"/>
      <c r="AE431" s="697"/>
      <c r="AF431" s="697"/>
      <c r="AG431" s="697"/>
      <c r="AH431" s="697"/>
      <c r="AI431" s="697"/>
      <c r="AJ431" s="697"/>
      <c r="AK431" s="697"/>
      <c r="AL431" s="697"/>
      <c r="AM431" s="697"/>
      <c r="AN431" s="697"/>
      <c r="AO431" s="697"/>
      <c r="AP431" s="697"/>
      <c r="AQ431" s="697"/>
      <c r="AR431" s="697"/>
      <c r="AS431" s="697"/>
      <c r="AT431" s="697"/>
      <c r="AU431" s="697"/>
      <c r="AV431" s="697"/>
      <c r="AW431" s="697"/>
      <c r="AX431" s="697"/>
      <c r="AY431" s="697"/>
      <c r="AZ431" s="697"/>
      <c r="BA431" s="697"/>
      <c r="BB431" s="697"/>
      <c r="BC431" s="697"/>
      <c r="BD431" s="697"/>
      <c r="BE431" s="697"/>
      <c r="BF431" s="697"/>
      <c r="BG431" s="697"/>
      <c r="BH431" s="697"/>
      <c r="BI431" s="697"/>
      <c r="BJ431" s="697"/>
      <c r="BK431" s="697"/>
      <c r="BL431" s="697"/>
      <c r="BM431" s="697"/>
      <c r="BN431" s="697"/>
      <c r="BO431" s="697"/>
      <c r="BP431" s="697"/>
      <c r="BQ431" s="697"/>
      <c r="BR431" s="697"/>
      <c r="BS431" s="697"/>
      <c r="BT431" s="697"/>
      <c r="BU431" s="697"/>
      <c r="BV431" s="697"/>
      <c r="BW431" s="697"/>
      <c r="BX431" s="697"/>
      <c r="BY431" s="697"/>
      <c r="BZ431" s="697"/>
      <c r="CA431" s="697"/>
      <c r="CB431" s="697"/>
      <c r="CC431" s="697"/>
      <c r="CD431" s="697"/>
      <c r="CE431" s="697"/>
      <c r="CF431" s="697"/>
      <c r="CG431" s="697"/>
      <c r="CH431" s="697"/>
      <c r="CI431" s="697"/>
      <c r="CJ431" s="697"/>
      <c r="CK431" s="697"/>
      <c r="CL431" s="697"/>
      <c r="CM431" s="697"/>
      <c r="CN431" s="697"/>
      <c r="CO431" s="697"/>
      <c r="CP431" s="697"/>
      <c r="CQ431" s="697"/>
      <c r="CR431" s="697"/>
      <c r="CS431" s="697"/>
      <c r="CT431" s="697"/>
      <c r="CU431" s="697"/>
      <c r="CV431" s="697"/>
      <c r="CW431" s="697"/>
      <c r="CX431" s="697"/>
      <c r="CY431" s="697"/>
      <c r="CZ431" s="697"/>
      <c r="DA431" s="697"/>
      <c r="DB431" s="697"/>
    </row>
    <row r="432" spans="1:106" hidden="1" outlineLevel="1" x14ac:dyDescent="0.2">
      <c r="A432" s="709">
        <f t="shared" si="86"/>
        <v>39508</v>
      </c>
      <c r="B432" s="709" t="str">
        <f t="shared" si="87"/>
        <v>1Q08</v>
      </c>
      <c r="C432" s="709" t="str">
        <f t="shared" si="88"/>
        <v>2Q08</v>
      </c>
      <c r="D432" s="710">
        <f t="shared" si="93"/>
        <v>39574</v>
      </c>
      <c r="E432" s="710">
        <f t="shared" si="93"/>
        <v>39514</v>
      </c>
      <c r="F432" s="712">
        <v>103.44</v>
      </c>
      <c r="G432" s="713">
        <f t="shared" si="89"/>
        <v>1.4900000000000011</v>
      </c>
      <c r="H432" s="713">
        <f t="shared" si="90"/>
        <v>1.4900000000000011</v>
      </c>
      <c r="I432" s="697"/>
      <c r="J432" s="697"/>
      <c r="K432" s="697"/>
      <c r="L432" s="697"/>
      <c r="M432" s="697"/>
      <c r="N432" s="697"/>
      <c r="O432" s="697"/>
      <c r="P432" s="697"/>
      <c r="Q432" s="697"/>
      <c r="R432" s="697"/>
      <c r="S432" s="697"/>
      <c r="T432" s="697"/>
      <c r="U432" s="697"/>
      <c r="V432" s="697"/>
      <c r="W432" s="697"/>
      <c r="X432" s="697"/>
      <c r="Y432" s="697"/>
      <c r="Z432" s="697"/>
      <c r="AA432" s="697"/>
      <c r="AB432" s="697"/>
      <c r="AC432" s="697"/>
      <c r="AD432" s="697"/>
      <c r="AE432" s="697"/>
      <c r="AF432" s="697"/>
      <c r="AG432" s="697"/>
      <c r="AH432" s="697"/>
      <c r="AI432" s="697"/>
      <c r="AJ432" s="697"/>
      <c r="AK432" s="697"/>
      <c r="AL432" s="697"/>
      <c r="AM432" s="697"/>
      <c r="AN432" s="697"/>
      <c r="AO432" s="697"/>
      <c r="AP432" s="697"/>
      <c r="AQ432" s="697"/>
      <c r="AR432" s="697"/>
      <c r="AS432" s="697"/>
      <c r="AT432" s="697"/>
      <c r="AU432" s="697"/>
      <c r="AV432" s="697"/>
      <c r="AW432" s="697"/>
      <c r="AX432" s="697"/>
      <c r="AY432" s="697"/>
      <c r="AZ432" s="697"/>
      <c r="BA432" s="697"/>
      <c r="BB432" s="697"/>
      <c r="BC432" s="697"/>
      <c r="BD432" s="697"/>
      <c r="BE432" s="697"/>
      <c r="BF432" s="697"/>
      <c r="BG432" s="697"/>
      <c r="BH432" s="697"/>
      <c r="BI432" s="697"/>
      <c r="BJ432" s="697"/>
      <c r="BK432" s="697"/>
      <c r="BL432" s="697"/>
      <c r="BM432" s="697"/>
      <c r="BN432" s="697"/>
      <c r="BO432" s="697"/>
      <c r="BP432" s="697"/>
      <c r="BQ432" s="697"/>
      <c r="BR432" s="697"/>
      <c r="BS432" s="697"/>
      <c r="BT432" s="697"/>
      <c r="BU432" s="697"/>
      <c r="BV432" s="697"/>
      <c r="BW432" s="697"/>
      <c r="BX432" s="697"/>
      <c r="BY432" s="697"/>
      <c r="BZ432" s="697"/>
      <c r="CA432" s="697"/>
      <c r="CB432" s="697"/>
      <c r="CC432" s="697"/>
      <c r="CD432" s="697"/>
      <c r="CE432" s="697"/>
      <c r="CF432" s="697"/>
      <c r="CG432" s="697"/>
      <c r="CH432" s="697"/>
      <c r="CI432" s="697"/>
      <c r="CJ432" s="697"/>
      <c r="CK432" s="697"/>
      <c r="CL432" s="697"/>
      <c r="CM432" s="697"/>
      <c r="CN432" s="697"/>
      <c r="CO432" s="697"/>
      <c r="CP432" s="697"/>
      <c r="CQ432" s="697"/>
      <c r="CR432" s="697"/>
      <c r="CS432" s="697"/>
      <c r="CT432" s="697"/>
      <c r="CU432" s="697"/>
      <c r="CV432" s="697"/>
      <c r="CW432" s="697"/>
      <c r="CX432" s="697"/>
      <c r="CY432" s="697"/>
      <c r="CZ432" s="697"/>
      <c r="DA432" s="697"/>
      <c r="DB432" s="697"/>
    </row>
    <row r="433" spans="1:106" hidden="1" outlineLevel="1" x14ac:dyDescent="0.2">
      <c r="A433" s="709">
        <f t="shared" si="86"/>
        <v>39508</v>
      </c>
      <c r="B433" s="709" t="str">
        <f t="shared" si="87"/>
        <v>1Q08</v>
      </c>
      <c r="C433" s="709" t="str">
        <f t="shared" si="88"/>
        <v>2Q08</v>
      </c>
      <c r="D433" s="710">
        <f t="shared" si="93"/>
        <v>39581</v>
      </c>
      <c r="E433" s="710">
        <f t="shared" si="93"/>
        <v>39521</v>
      </c>
      <c r="F433" s="712">
        <v>109.35</v>
      </c>
      <c r="G433" s="713">
        <f t="shared" si="89"/>
        <v>1.4900000000000011</v>
      </c>
      <c r="H433" s="713">
        <f t="shared" si="90"/>
        <v>1.4900000000000011</v>
      </c>
      <c r="I433" s="697"/>
      <c r="J433" s="697"/>
      <c r="K433" s="697"/>
      <c r="L433" s="697"/>
      <c r="M433" s="697"/>
      <c r="N433" s="697"/>
      <c r="O433" s="697"/>
      <c r="P433" s="697"/>
      <c r="Q433" s="697"/>
      <c r="R433" s="697"/>
      <c r="S433" s="697"/>
      <c r="T433" s="697"/>
      <c r="U433" s="697"/>
      <c r="V433" s="697"/>
      <c r="W433" s="697"/>
      <c r="X433" s="697"/>
      <c r="Y433" s="697"/>
      <c r="Z433" s="697"/>
      <c r="AA433" s="697"/>
      <c r="AB433" s="697"/>
      <c r="AC433" s="697"/>
      <c r="AD433" s="697"/>
      <c r="AE433" s="697"/>
      <c r="AF433" s="697"/>
      <c r="AG433" s="697"/>
      <c r="AH433" s="697"/>
      <c r="AI433" s="697"/>
      <c r="AJ433" s="697"/>
      <c r="AK433" s="697"/>
      <c r="AL433" s="697"/>
      <c r="AM433" s="697"/>
      <c r="AN433" s="697"/>
      <c r="AO433" s="697"/>
      <c r="AP433" s="697"/>
      <c r="AQ433" s="697"/>
      <c r="AR433" s="697"/>
      <c r="AS433" s="697"/>
      <c r="AT433" s="697"/>
      <c r="AU433" s="697"/>
      <c r="AV433" s="697"/>
      <c r="AW433" s="697"/>
      <c r="AX433" s="697"/>
      <c r="AY433" s="697"/>
      <c r="AZ433" s="697"/>
      <c r="BA433" s="697"/>
      <c r="BB433" s="697"/>
      <c r="BC433" s="697"/>
      <c r="BD433" s="697"/>
      <c r="BE433" s="697"/>
      <c r="BF433" s="697"/>
      <c r="BG433" s="697"/>
      <c r="BH433" s="697"/>
      <c r="BI433" s="697"/>
      <c r="BJ433" s="697"/>
      <c r="BK433" s="697"/>
      <c r="BL433" s="697"/>
      <c r="BM433" s="697"/>
      <c r="BN433" s="697"/>
      <c r="BO433" s="697"/>
      <c r="BP433" s="697"/>
      <c r="BQ433" s="697"/>
      <c r="BR433" s="697"/>
      <c r="BS433" s="697"/>
      <c r="BT433" s="697"/>
      <c r="BU433" s="697"/>
      <c r="BV433" s="697"/>
      <c r="BW433" s="697"/>
      <c r="BX433" s="697"/>
      <c r="BY433" s="697"/>
      <c r="BZ433" s="697"/>
      <c r="CA433" s="697"/>
      <c r="CB433" s="697"/>
      <c r="CC433" s="697"/>
      <c r="CD433" s="697"/>
      <c r="CE433" s="697"/>
      <c r="CF433" s="697"/>
      <c r="CG433" s="697"/>
      <c r="CH433" s="697"/>
      <c r="CI433" s="697"/>
      <c r="CJ433" s="697"/>
      <c r="CK433" s="697"/>
      <c r="CL433" s="697"/>
      <c r="CM433" s="697"/>
      <c r="CN433" s="697"/>
      <c r="CO433" s="697"/>
      <c r="CP433" s="697"/>
      <c r="CQ433" s="697"/>
      <c r="CR433" s="697"/>
      <c r="CS433" s="697"/>
      <c r="CT433" s="697"/>
      <c r="CU433" s="697"/>
      <c r="CV433" s="697"/>
      <c r="CW433" s="697"/>
      <c r="CX433" s="697"/>
      <c r="CY433" s="697"/>
      <c r="CZ433" s="697"/>
      <c r="DA433" s="697"/>
      <c r="DB433" s="697"/>
    </row>
    <row r="434" spans="1:106" hidden="1" outlineLevel="1" x14ac:dyDescent="0.2">
      <c r="A434" s="709">
        <f t="shared" si="86"/>
        <v>39508</v>
      </c>
      <c r="B434" s="709" t="str">
        <f t="shared" si="87"/>
        <v>1Q08</v>
      </c>
      <c r="C434" s="709" t="str">
        <f t="shared" si="88"/>
        <v>2Q08</v>
      </c>
      <c r="D434" s="710">
        <f t="shared" si="93"/>
        <v>39588</v>
      </c>
      <c r="E434" s="710">
        <f t="shared" si="93"/>
        <v>39528</v>
      </c>
      <c r="F434" s="712">
        <v>105.28</v>
      </c>
      <c r="G434" s="713">
        <f t="shared" si="89"/>
        <v>1.4900000000000011</v>
      </c>
      <c r="H434" s="713">
        <f t="shared" si="90"/>
        <v>1.4900000000000011</v>
      </c>
      <c r="I434" s="697"/>
      <c r="J434" s="697"/>
      <c r="K434" s="697"/>
      <c r="L434" s="697"/>
      <c r="M434" s="697"/>
      <c r="N434" s="697"/>
      <c r="O434" s="697"/>
      <c r="P434" s="697"/>
      <c r="Q434" s="697"/>
      <c r="R434" s="697"/>
      <c r="S434" s="697"/>
      <c r="T434" s="697"/>
      <c r="U434" s="697"/>
      <c r="V434" s="697"/>
      <c r="W434" s="697"/>
      <c r="X434" s="697"/>
      <c r="Y434" s="697"/>
      <c r="Z434" s="697"/>
      <c r="AA434" s="697"/>
      <c r="AB434" s="697"/>
      <c r="AC434" s="697"/>
      <c r="AD434" s="697"/>
      <c r="AE434" s="697"/>
      <c r="AF434" s="697"/>
      <c r="AG434" s="697"/>
      <c r="AH434" s="697"/>
      <c r="AI434" s="697"/>
      <c r="AJ434" s="697"/>
      <c r="AK434" s="697"/>
      <c r="AL434" s="697"/>
      <c r="AM434" s="697"/>
      <c r="AN434" s="697"/>
      <c r="AO434" s="697"/>
      <c r="AP434" s="697"/>
      <c r="AQ434" s="697"/>
      <c r="AR434" s="697"/>
      <c r="AS434" s="697"/>
      <c r="AT434" s="697"/>
      <c r="AU434" s="697"/>
      <c r="AV434" s="697"/>
      <c r="AW434" s="697"/>
      <c r="AX434" s="697"/>
      <c r="AY434" s="697"/>
      <c r="AZ434" s="697"/>
      <c r="BA434" s="697"/>
      <c r="BB434" s="697"/>
      <c r="BC434" s="697"/>
      <c r="BD434" s="697"/>
      <c r="BE434" s="697"/>
      <c r="BF434" s="697"/>
      <c r="BG434" s="697"/>
      <c r="BH434" s="697"/>
      <c r="BI434" s="697"/>
      <c r="BJ434" s="697"/>
      <c r="BK434" s="697"/>
      <c r="BL434" s="697"/>
      <c r="BM434" s="697"/>
      <c r="BN434" s="697"/>
      <c r="BO434" s="697"/>
      <c r="BP434" s="697"/>
      <c r="BQ434" s="697"/>
      <c r="BR434" s="697"/>
      <c r="BS434" s="697"/>
      <c r="BT434" s="697"/>
      <c r="BU434" s="697"/>
      <c r="BV434" s="697"/>
      <c r="BW434" s="697"/>
      <c r="BX434" s="697"/>
      <c r="BY434" s="697"/>
      <c r="BZ434" s="697"/>
      <c r="CA434" s="697"/>
      <c r="CB434" s="697"/>
      <c r="CC434" s="697"/>
      <c r="CD434" s="697"/>
      <c r="CE434" s="697"/>
      <c r="CF434" s="697"/>
      <c r="CG434" s="697"/>
      <c r="CH434" s="697"/>
      <c r="CI434" s="697"/>
      <c r="CJ434" s="697"/>
      <c r="CK434" s="697"/>
      <c r="CL434" s="697"/>
      <c r="CM434" s="697"/>
      <c r="CN434" s="697"/>
      <c r="CO434" s="697"/>
      <c r="CP434" s="697"/>
      <c r="CQ434" s="697"/>
      <c r="CR434" s="697"/>
      <c r="CS434" s="697"/>
      <c r="CT434" s="697"/>
      <c r="CU434" s="697"/>
      <c r="CV434" s="697"/>
      <c r="CW434" s="697"/>
      <c r="CX434" s="697"/>
      <c r="CY434" s="697"/>
      <c r="CZ434" s="697"/>
      <c r="DA434" s="697"/>
      <c r="DB434" s="697"/>
    </row>
    <row r="435" spans="1:106" hidden="1" outlineLevel="1" x14ac:dyDescent="0.2">
      <c r="A435" s="709">
        <f t="shared" si="86"/>
        <v>39508</v>
      </c>
      <c r="B435" s="709" t="str">
        <f t="shared" si="87"/>
        <v>1Q08</v>
      </c>
      <c r="C435" s="709" t="str">
        <f t="shared" si="88"/>
        <v>2Q08</v>
      </c>
      <c r="D435" s="710">
        <f t="shared" si="93"/>
        <v>39595</v>
      </c>
      <c r="E435" s="710">
        <f t="shared" si="93"/>
        <v>39535</v>
      </c>
      <c r="F435" s="712">
        <v>104.49</v>
      </c>
      <c r="G435" s="713">
        <f t="shared" si="89"/>
        <v>1.4900000000000011</v>
      </c>
      <c r="H435" s="713">
        <f t="shared" si="90"/>
        <v>1.4900000000000011</v>
      </c>
      <c r="I435" s="697"/>
      <c r="J435" s="697"/>
      <c r="K435" s="697"/>
      <c r="L435" s="697"/>
      <c r="M435" s="697"/>
      <c r="N435" s="697"/>
      <c r="O435" s="697"/>
      <c r="P435" s="697"/>
      <c r="Q435" s="697"/>
      <c r="R435" s="697"/>
      <c r="S435" s="697"/>
      <c r="T435" s="697"/>
      <c r="U435" s="697"/>
      <c r="V435" s="697"/>
      <c r="W435" s="697"/>
      <c r="X435" s="697"/>
      <c r="Y435" s="697"/>
      <c r="Z435" s="697"/>
      <c r="AA435" s="697"/>
      <c r="AB435" s="697"/>
      <c r="AC435" s="697"/>
      <c r="AD435" s="697"/>
      <c r="AE435" s="697"/>
      <c r="AF435" s="697"/>
      <c r="AG435" s="697"/>
      <c r="AH435" s="697"/>
      <c r="AI435" s="697"/>
      <c r="AJ435" s="697"/>
      <c r="AK435" s="697"/>
      <c r="AL435" s="697"/>
      <c r="AM435" s="697"/>
      <c r="AN435" s="697"/>
      <c r="AO435" s="697"/>
      <c r="AP435" s="697"/>
      <c r="AQ435" s="697"/>
      <c r="AR435" s="697"/>
      <c r="AS435" s="697"/>
      <c r="AT435" s="697"/>
      <c r="AU435" s="697"/>
      <c r="AV435" s="697"/>
      <c r="AW435" s="697"/>
      <c r="AX435" s="697"/>
      <c r="AY435" s="697"/>
      <c r="AZ435" s="697"/>
      <c r="BA435" s="697"/>
      <c r="BB435" s="697"/>
      <c r="BC435" s="697"/>
      <c r="BD435" s="697"/>
      <c r="BE435" s="697"/>
      <c r="BF435" s="697"/>
      <c r="BG435" s="697"/>
      <c r="BH435" s="697"/>
      <c r="BI435" s="697"/>
      <c r="BJ435" s="697"/>
      <c r="BK435" s="697"/>
      <c r="BL435" s="697"/>
      <c r="BM435" s="697"/>
      <c r="BN435" s="697"/>
      <c r="BO435" s="697"/>
      <c r="BP435" s="697"/>
      <c r="BQ435" s="697"/>
      <c r="BR435" s="697"/>
      <c r="BS435" s="697"/>
      <c r="BT435" s="697"/>
      <c r="BU435" s="697"/>
      <c r="BV435" s="697"/>
      <c r="BW435" s="697"/>
      <c r="BX435" s="697"/>
      <c r="BY435" s="697"/>
      <c r="BZ435" s="697"/>
      <c r="CA435" s="697"/>
      <c r="CB435" s="697"/>
      <c r="CC435" s="697"/>
      <c r="CD435" s="697"/>
      <c r="CE435" s="697"/>
      <c r="CF435" s="697"/>
      <c r="CG435" s="697"/>
      <c r="CH435" s="697"/>
      <c r="CI435" s="697"/>
      <c r="CJ435" s="697"/>
      <c r="CK435" s="697"/>
      <c r="CL435" s="697"/>
      <c r="CM435" s="697"/>
      <c r="CN435" s="697"/>
      <c r="CO435" s="697"/>
      <c r="CP435" s="697"/>
      <c r="CQ435" s="697"/>
      <c r="CR435" s="697"/>
      <c r="CS435" s="697"/>
      <c r="CT435" s="697"/>
      <c r="CU435" s="697"/>
      <c r="CV435" s="697"/>
      <c r="CW435" s="697"/>
      <c r="CX435" s="697"/>
      <c r="CY435" s="697"/>
      <c r="CZ435" s="697"/>
      <c r="DA435" s="697"/>
      <c r="DB435" s="697"/>
    </row>
    <row r="436" spans="1:106" hidden="1" outlineLevel="1" x14ac:dyDescent="0.2">
      <c r="A436" s="709">
        <f t="shared" si="86"/>
        <v>39539</v>
      </c>
      <c r="B436" s="709" t="str">
        <f t="shared" si="87"/>
        <v>2Q08</v>
      </c>
      <c r="C436" s="709" t="str">
        <f t="shared" si="88"/>
        <v>2Q08</v>
      </c>
      <c r="D436" s="710">
        <f t="shared" si="93"/>
        <v>39602</v>
      </c>
      <c r="E436" s="710">
        <f t="shared" si="93"/>
        <v>39542</v>
      </c>
      <c r="F436" s="712">
        <v>103.46</v>
      </c>
      <c r="G436" s="713">
        <f t="shared" si="89"/>
        <v>1.4900000000000011</v>
      </c>
      <c r="H436" s="713">
        <f t="shared" si="90"/>
        <v>1.4900000000000011</v>
      </c>
      <c r="I436" s="697"/>
      <c r="J436" s="697"/>
      <c r="K436" s="697"/>
      <c r="L436" s="697"/>
      <c r="M436" s="697"/>
      <c r="N436" s="697"/>
      <c r="O436" s="697"/>
      <c r="P436" s="697"/>
      <c r="Q436" s="697"/>
      <c r="R436" s="697"/>
      <c r="S436" s="697"/>
      <c r="T436" s="697"/>
      <c r="U436" s="697"/>
      <c r="V436" s="697"/>
      <c r="W436" s="697"/>
      <c r="X436" s="697"/>
      <c r="Y436" s="697"/>
      <c r="Z436" s="697"/>
      <c r="AA436" s="697"/>
      <c r="AB436" s="697"/>
      <c r="AC436" s="697"/>
      <c r="AD436" s="697"/>
      <c r="AE436" s="697"/>
      <c r="AF436" s="697"/>
      <c r="AG436" s="697"/>
      <c r="AH436" s="697"/>
      <c r="AI436" s="697"/>
      <c r="AJ436" s="697"/>
      <c r="AK436" s="697"/>
      <c r="AL436" s="697"/>
      <c r="AM436" s="697"/>
      <c r="AN436" s="697"/>
      <c r="AO436" s="697"/>
      <c r="AP436" s="697"/>
      <c r="AQ436" s="697"/>
      <c r="AR436" s="697"/>
      <c r="AS436" s="697"/>
      <c r="AT436" s="697"/>
      <c r="AU436" s="697"/>
      <c r="AV436" s="697"/>
      <c r="AW436" s="697"/>
      <c r="AX436" s="697"/>
      <c r="AY436" s="697"/>
      <c r="AZ436" s="697"/>
      <c r="BA436" s="697"/>
      <c r="BB436" s="697"/>
      <c r="BC436" s="697"/>
      <c r="BD436" s="697"/>
      <c r="BE436" s="697"/>
      <c r="BF436" s="697"/>
      <c r="BG436" s="697"/>
      <c r="BH436" s="697"/>
      <c r="BI436" s="697"/>
      <c r="BJ436" s="697"/>
      <c r="BK436" s="697"/>
      <c r="BL436" s="697"/>
      <c r="BM436" s="697"/>
      <c r="BN436" s="697"/>
      <c r="BO436" s="697"/>
      <c r="BP436" s="697"/>
      <c r="BQ436" s="697"/>
      <c r="BR436" s="697"/>
      <c r="BS436" s="697"/>
      <c r="BT436" s="697"/>
      <c r="BU436" s="697"/>
      <c r="BV436" s="697"/>
      <c r="BW436" s="697"/>
      <c r="BX436" s="697"/>
      <c r="BY436" s="697"/>
      <c r="BZ436" s="697"/>
      <c r="CA436" s="697"/>
      <c r="CB436" s="697"/>
      <c r="CC436" s="697"/>
      <c r="CD436" s="697"/>
      <c r="CE436" s="697"/>
      <c r="CF436" s="697"/>
      <c r="CG436" s="697"/>
      <c r="CH436" s="697"/>
      <c r="CI436" s="697"/>
      <c r="CJ436" s="697"/>
      <c r="CK436" s="697"/>
      <c r="CL436" s="697"/>
      <c r="CM436" s="697"/>
      <c r="CN436" s="697"/>
      <c r="CO436" s="697"/>
      <c r="CP436" s="697"/>
      <c r="CQ436" s="697"/>
      <c r="CR436" s="697"/>
      <c r="CS436" s="697"/>
      <c r="CT436" s="697"/>
      <c r="CU436" s="697"/>
      <c r="CV436" s="697"/>
      <c r="CW436" s="697"/>
      <c r="CX436" s="697"/>
      <c r="CY436" s="697"/>
      <c r="CZ436" s="697"/>
      <c r="DA436" s="697"/>
      <c r="DB436" s="697"/>
    </row>
    <row r="437" spans="1:106" hidden="1" outlineLevel="1" x14ac:dyDescent="0.2">
      <c r="A437" s="709">
        <f t="shared" si="86"/>
        <v>39539</v>
      </c>
      <c r="B437" s="709" t="str">
        <f t="shared" si="87"/>
        <v>2Q08</v>
      </c>
      <c r="C437" s="709" t="str">
        <f t="shared" si="88"/>
        <v>2Q08</v>
      </c>
      <c r="D437" s="710">
        <f t="shared" ref="D437:E452" si="94">D436+7</f>
        <v>39609</v>
      </c>
      <c r="E437" s="710">
        <f t="shared" si="94"/>
        <v>39549</v>
      </c>
      <c r="F437" s="712">
        <v>109.71</v>
      </c>
      <c r="G437" s="713">
        <f t="shared" si="89"/>
        <v>1.4900000000000011</v>
      </c>
      <c r="H437" s="713">
        <f t="shared" si="90"/>
        <v>1.4900000000000011</v>
      </c>
      <c r="I437" s="697"/>
      <c r="J437" s="697"/>
      <c r="K437" s="697"/>
      <c r="L437" s="697"/>
      <c r="M437" s="697"/>
      <c r="N437" s="697"/>
      <c r="O437" s="697"/>
      <c r="P437" s="697"/>
      <c r="Q437" s="697"/>
      <c r="R437" s="697"/>
      <c r="S437" s="697"/>
      <c r="T437" s="697"/>
      <c r="U437" s="697"/>
      <c r="V437" s="697"/>
      <c r="W437" s="697"/>
      <c r="X437" s="697"/>
      <c r="Y437" s="697"/>
      <c r="Z437" s="697"/>
      <c r="AA437" s="697"/>
      <c r="AB437" s="697"/>
      <c r="AC437" s="697"/>
      <c r="AD437" s="697"/>
      <c r="AE437" s="697"/>
      <c r="AF437" s="697"/>
      <c r="AG437" s="697"/>
      <c r="AH437" s="697"/>
      <c r="AI437" s="697"/>
      <c r="AJ437" s="697"/>
      <c r="AK437" s="697"/>
      <c r="AL437" s="697"/>
      <c r="AM437" s="697"/>
      <c r="AN437" s="697"/>
      <c r="AO437" s="697"/>
      <c r="AP437" s="697"/>
      <c r="AQ437" s="697"/>
      <c r="AR437" s="697"/>
      <c r="AS437" s="697"/>
      <c r="AT437" s="697"/>
      <c r="AU437" s="697"/>
      <c r="AV437" s="697"/>
      <c r="AW437" s="697"/>
      <c r="AX437" s="697"/>
      <c r="AY437" s="697"/>
      <c r="AZ437" s="697"/>
      <c r="BA437" s="697"/>
      <c r="BB437" s="697"/>
      <c r="BC437" s="697"/>
      <c r="BD437" s="697"/>
      <c r="BE437" s="697"/>
      <c r="BF437" s="697"/>
      <c r="BG437" s="697"/>
      <c r="BH437" s="697"/>
      <c r="BI437" s="697"/>
      <c r="BJ437" s="697"/>
      <c r="BK437" s="697"/>
      <c r="BL437" s="697"/>
      <c r="BM437" s="697"/>
      <c r="BN437" s="697"/>
      <c r="BO437" s="697"/>
      <c r="BP437" s="697"/>
      <c r="BQ437" s="697"/>
      <c r="BR437" s="697"/>
      <c r="BS437" s="697"/>
      <c r="BT437" s="697"/>
      <c r="BU437" s="697"/>
      <c r="BV437" s="697"/>
      <c r="BW437" s="697"/>
      <c r="BX437" s="697"/>
      <c r="BY437" s="697"/>
      <c r="BZ437" s="697"/>
      <c r="CA437" s="697"/>
      <c r="CB437" s="697"/>
      <c r="CC437" s="697"/>
      <c r="CD437" s="697"/>
      <c r="CE437" s="697"/>
      <c r="CF437" s="697"/>
      <c r="CG437" s="697"/>
      <c r="CH437" s="697"/>
      <c r="CI437" s="697"/>
      <c r="CJ437" s="697"/>
      <c r="CK437" s="697"/>
      <c r="CL437" s="697"/>
      <c r="CM437" s="697"/>
      <c r="CN437" s="697"/>
      <c r="CO437" s="697"/>
      <c r="CP437" s="697"/>
      <c r="CQ437" s="697"/>
      <c r="CR437" s="697"/>
      <c r="CS437" s="697"/>
      <c r="CT437" s="697"/>
      <c r="CU437" s="697"/>
      <c r="CV437" s="697"/>
      <c r="CW437" s="697"/>
      <c r="CX437" s="697"/>
      <c r="CY437" s="697"/>
      <c r="CZ437" s="697"/>
      <c r="DA437" s="697"/>
      <c r="DB437" s="697"/>
    </row>
    <row r="438" spans="1:106" hidden="1" outlineLevel="1" x14ac:dyDescent="0.2">
      <c r="A438" s="709">
        <f t="shared" si="86"/>
        <v>39539</v>
      </c>
      <c r="B438" s="709" t="str">
        <f t="shared" si="87"/>
        <v>2Q08</v>
      </c>
      <c r="C438" s="709" t="str">
        <f t="shared" si="88"/>
        <v>2Q08</v>
      </c>
      <c r="D438" s="710">
        <f t="shared" si="94"/>
        <v>39616</v>
      </c>
      <c r="E438" s="710">
        <f t="shared" si="94"/>
        <v>39556</v>
      </c>
      <c r="F438" s="712">
        <v>114.33</v>
      </c>
      <c r="G438" s="713">
        <f t="shared" si="89"/>
        <v>1.4900000000000011</v>
      </c>
      <c r="H438" s="713">
        <f t="shared" si="90"/>
        <v>1.4900000000000011</v>
      </c>
      <c r="I438" s="697"/>
      <c r="J438" s="697"/>
      <c r="K438" s="697"/>
      <c r="L438" s="697"/>
      <c r="M438" s="697"/>
      <c r="N438" s="697"/>
      <c r="O438" s="697"/>
      <c r="P438" s="697"/>
      <c r="Q438" s="697"/>
      <c r="R438" s="697"/>
      <c r="S438" s="697"/>
      <c r="T438" s="697"/>
      <c r="U438" s="697"/>
      <c r="V438" s="697"/>
      <c r="W438" s="697"/>
      <c r="X438" s="697"/>
      <c r="Y438" s="697"/>
      <c r="Z438" s="697"/>
      <c r="AA438" s="697"/>
      <c r="AB438" s="697"/>
      <c r="AC438" s="697"/>
      <c r="AD438" s="697"/>
      <c r="AE438" s="697"/>
      <c r="AF438" s="697"/>
      <c r="AG438" s="697"/>
      <c r="AH438" s="697"/>
      <c r="AI438" s="697"/>
      <c r="AJ438" s="697"/>
      <c r="AK438" s="697"/>
      <c r="AL438" s="697"/>
      <c r="AM438" s="697"/>
      <c r="AN438" s="697"/>
      <c r="AO438" s="697"/>
      <c r="AP438" s="697"/>
      <c r="AQ438" s="697"/>
      <c r="AR438" s="697"/>
      <c r="AS438" s="697"/>
      <c r="AT438" s="697"/>
      <c r="AU438" s="697"/>
      <c r="AV438" s="697"/>
      <c r="AW438" s="697"/>
      <c r="AX438" s="697"/>
      <c r="AY438" s="697"/>
      <c r="AZ438" s="697"/>
      <c r="BA438" s="697"/>
      <c r="BB438" s="697"/>
      <c r="BC438" s="697"/>
      <c r="BD438" s="697"/>
      <c r="BE438" s="697"/>
      <c r="BF438" s="697"/>
      <c r="BG438" s="697"/>
      <c r="BH438" s="697"/>
      <c r="BI438" s="697"/>
      <c r="BJ438" s="697"/>
      <c r="BK438" s="697"/>
      <c r="BL438" s="697"/>
      <c r="BM438" s="697"/>
      <c r="BN438" s="697"/>
      <c r="BO438" s="697"/>
      <c r="BP438" s="697"/>
      <c r="BQ438" s="697"/>
      <c r="BR438" s="697"/>
      <c r="BS438" s="697"/>
      <c r="BT438" s="697"/>
      <c r="BU438" s="697"/>
      <c r="BV438" s="697"/>
      <c r="BW438" s="697"/>
      <c r="BX438" s="697"/>
      <c r="BY438" s="697"/>
      <c r="BZ438" s="697"/>
      <c r="CA438" s="697"/>
      <c r="CB438" s="697"/>
      <c r="CC438" s="697"/>
      <c r="CD438" s="697"/>
      <c r="CE438" s="697"/>
      <c r="CF438" s="697"/>
      <c r="CG438" s="697"/>
      <c r="CH438" s="697"/>
      <c r="CI438" s="697"/>
      <c r="CJ438" s="697"/>
      <c r="CK438" s="697"/>
      <c r="CL438" s="697"/>
      <c r="CM438" s="697"/>
      <c r="CN438" s="697"/>
      <c r="CO438" s="697"/>
      <c r="CP438" s="697"/>
      <c r="CQ438" s="697"/>
      <c r="CR438" s="697"/>
      <c r="CS438" s="697"/>
      <c r="CT438" s="697"/>
      <c r="CU438" s="697"/>
      <c r="CV438" s="697"/>
      <c r="CW438" s="697"/>
      <c r="CX438" s="697"/>
      <c r="CY438" s="697"/>
      <c r="CZ438" s="697"/>
      <c r="DA438" s="697"/>
      <c r="DB438" s="697"/>
    </row>
    <row r="439" spans="1:106" hidden="1" outlineLevel="1" x14ac:dyDescent="0.2">
      <c r="A439" s="709">
        <f t="shared" si="86"/>
        <v>39539</v>
      </c>
      <c r="B439" s="709" t="str">
        <f t="shared" si="87"/>
        <v>2Q08</v>
      </c>
      <c r="C439" s="709" t="str">
        <f t="shared" si="88"/>
        <v>2Q08</v>
      </c>
      <c r="D439" s="710">
        <f t="shared" si="94"/>
        <v>39623</v>
      </c>
      <c r="E439" s="710">
        <f t="shared" si="94"/>
        <v>39563</v>
      </c>
      <c r="F439" s="712">
        <v>118.53</v>
      </c>
      <c r="G439" s="713">
        <f t="shared" si="89"/>
        <v>1.4900000000000011</v>
      </c>
      <c r="H439" s="713">
        <f t="shared" si="90"/>
        <v>1.4900000000000011</v>
      </c>
      <c r="I439" s="697"/>
      <c r="J439" s="697"/>
      <c r="K439" s="697"/>
      <c r="L439" s="697"/>
      <c r="M439" s="697"/>
      <c r="N439" s="697"/>
      <c r="O439" s="697"/>
      <c r="P439" s="697"/>
      <c r="Q439" s="697"/>
      <c r="R439" s="697"/>
      <c r="S439" s="697"/>
      <c r="T439" s="697"/>
      <c r="U439" s="697"/>
      <c r="V439" s="697"/>
      <c r="W439" s="697"/>
      <c r="X439" s="697"/>
      <c r="Y439" s="697"/>
      <c r="Z439" s="697"/>
      <c r="AA439" s="697"/>
      <c r="AB439" s="697"/>
      <c r="AC439" s="697"/>
      <c r="AD439" s="697"/>
      <c r="AE439" s="697"/>
      <c r="AF439" s="697"/>
      <c r="AG439" s="697"/>
      <c r="AH439" s="697"/>
      <c r="AI439" s="697"/>
      <c r="AJ439" s="697"/>
      <c r="AK439" s="697"/>
      <c r="AL439" s="697"/>
      <c r="AM439" s="697"/>
      <c r="AN439" s="697"/>
      <c r="AO439" s="697"/>
      <c r="AP439" s="697"/>
      <c r="AQ439" s="697"/>
      <c r="AR439" s="697"/>
      <c r="AS439" s="697"/>
      <c r="AT439" s="697"/>
      <c r="AU439" s="697"/>
      <c r="AV439" s="697"/>
      <c r="AW439" s="697"/>
      <c r="AX439" s="697"/>
      <c r="AY439" s="697"/>
      <c r="AZ439" s="697"/>
      <c r="BA439" s="697"/>
      <c r="BB439" s="697"/>
      <c r="BC439" s="697"/>
      <c r="BD439" s="697"/>
      <c r="BE439" s="697"/>
      <c r="BF439" s="697"/>
      <c r="BG439" s="697"/>
      <c r="BH439" s="697"/>
      <c r="BI439" s="697"/>
      <c r="BJ439" s="697"/>
      <c r="BK439" s="697"/>
      <c r="BL439" s="697"/>
      <c r="BM439" s="697"/>
      <c r="BN439" s="697"/>
      <c r="BO439" s="697"/>
      <c r="BP439" s="697"/>
      <c r="BQ439" s="697"/>
      <c r="BR439" s="697"/>
      <c r="BS439" s="697"/>
      <c r="BT439" s="697"/>
      <c r="BU439" s="697"/>
      <c r="BV439" s="697"/>
      <c r="BW439" s="697"/>
      <c r="BX439" s="697"/>
      <c r="BY439" s="697"/>
      <c r="BZ439" s="697"/>
      <c r="CA439" s="697"/>
      <c r="CB439" s="697"/>
      <c r="CC439" s="697"/>
      <c r="CD439" s="697"/>
      <c r="CE439" s="697"/>
      <c r="CF439" s="697"/>
      <c r="CG439" s="697"/>
      <c r="CH439" s="697"/>
      <c r="CI439" s="697"/>
      <c r="CJ439" s="697"/>
      <c r="CK439" s="697"/>
      <c r="CL439" s="697"/>
      <c r="CM439" s="697"/>
      <c r="CN439" s="697"/>
      <c r="CO439" s="697"/>
      <c r="CP439" s="697"/>
      <c r="CQ439" s="697"/>
      <c r="CR439" s="697"/>
      <c r="CS439" s="697"/>
      <c r="CT439" s="697"/>
      <c r="CU439" s="697"/>
      <c r="CV439" s="697"/>
      <c r="CW439" s="697"/>
      <c r="CX439" s="697"/>
      <c r="CY439" s="697"/>
      <c r="CZ439" s="697"/>
      <c r="DA439" s="697"/>
      <c r="DB439" s="697"/>
    </row>
    <row r="440" spans="1:106" hidden="1" outlineLevel="1" x14ac:dyDescent="0.2">
      <c r="A440" s="709">
        <f t="shared" si="86"/>
        <v>39569</v>
      </c>
      <c r="B440" s="709" t="str">
        <f t="shared" si="87"/>
        <v>2Q08</v>
      </c>
      <c r="C440" s="709" t="str">
        <f t="shared" si="88"/>
        <v>3Q08</v>
      </c>
      <c r="D440" s="710">
        <f t="shared" si="94"/>
        <v>39630</v>
      </c>
      <c r="E440" s="710">
        <f t="shared" si="94"/>
        <v>39570</v>
      </c>
      <c r="F440" s="712">
        <v>115.42</v>
      </c>
      <c r="G440" s="713">
        <f t="shared" si="89"/>
        <v>1.4900000000000011</v>
      </c>
      <c r="H440" s="713">
        <f t="shared" si="90"/>
        <v>1.4900000000000011</v>
      </c>
      <c r="I440" s="697"/>
      <c r="J440" s="697"/>
      <c r="K440" s="697"/>
      <c r="L440" s="697"/>
      <c r="M440" s="697"/>
      <c r="N440" s="697"/>
      <c r="O440" s="697"/>
      <c r="P440" s="697"/>
      <c r="Q440" s="697"/>
      <c r="R440" s="697"/>
      <c r="S440" s="697"/>
      <c r="T440" s="697"/>
      <c r="U440" s="697"/>
      <c r="V440" s="697"/>
      <c r="W440" s="697"/>
      <c r="X440" s="697"/>
      <c r="Y440" s="697"/>
      <c r="Z440" s="697"/>
      <c r="AA440" s="697"/>
      <c r="AB440" s="697"/>
      <c r="AC440" s="697"/>
      <c r="AD440" s="697"/>
      <c r="AE440" s="697"/>
      <c r="AF440" s="697"/>
      <c r="AG440" s="697"/>
      <c r="AH440" s="697"/>
      <c r="AI440" s="697"/>
      <c r="AJ440" s="697"/>
      <c r="AK440" s="697"/>
      <c r="AL440" s="697"/>
      <c r="AM440" s="697"/>
      <c r="AN440" s="697"/>
      <c r="AO440" s="697"/>
      <c r="AP440" s="697"/>
      <c r="AQ440" s="697"/>
      <c r="AR440" s="697"/>
      <c r="AS440" s="697"/>
      <c r="AT440" s="697"/>
      <c r="AU440" s="697"/>
      <c r="AV440" s="697"/>
      <c r="AW440" s="697"/>
      <c r="AX440" s="697"/>
      <c r="AY440" s="697"/>
      <c r="AZ440" s="697"/>
      <c r="BA440" s="697"/>
      <c r="BB440" s="697"/>
      <c r="BC440" s="697"/>
      <c r="BD440" s="697"/>
      <c r="BE440" s="697"/>
      <c r="BF440" s="697"/>
      <c r="BG440" s="697"/>
      <c r="BH440" s="697"/>
      <c r="BI440" s="697"/>
      <c r="BJ440" s="697"/>
      <c r="BK440" s="697"/>
      <c r="BL440" s="697"/>
      <c r="BM440" s="697"/>
      <c r="BN440" s="697"/>
      <c r="BO440" s="697"/>
      <c r="BP440" s="697"/>
      <c r="BQ440" s="697"/>
      <c r="BR440" s="697"/>
      <c r="BS440" s="697"/>
      <c r="BT440" s="697"/>
      <c r="BU440" s="697"/>
      <c r="BV440" s="697"/>
      <c r="BW440" s="697"/>
      <c r="BX440" s="697"/>
      <c r="BY440" s="697"/>
      <c r="BZ440" s="697"/>
      <c r="CA440" s="697"/>
      <c r="CB440" s="697"/>
      <c r="CC440" s="697"/>
      <c r="CD440" s="697"/>
      <c r="CE440" s="697"/>
      <c r="CF440" s="697"/>
      <c r="CG440" s="697"/>
      <c r="CH440" s="697"/>
      <c r="CI440" s="697"/>
      <c r="CJ440" s="697"/>
      <c r="CK440" s="697"/>
      <c r="CL440" s="697"/>
      <c r="CM440" s="697"/>
      <c r="CN440" s="697"/>
      <c r="CO440" s="697"/>
      <c r="CP440" s="697"/>
      <c r="CQ440" s="697"/>
      <c r="CR440" s="697"/>
      <c r="CS440" s="697"/>
      <c r="CT440" s="697"/>
      <c r="CU440" s="697"/>
      <c r="CV440" s="697"/>
      <c r="CW440" s="697"/>
      <c r="CX440" s="697"/>
      <c r="CY440" s="697"/>
      <c r="CZ440" s="697"/>
      <c r="DA440" s="697"/>
      <c r="DB440" s="697"/>
    </row>
    <row r="441" spans="1:106" hidden="1" outlineLevel="1" x14ac:dyDescent="0.2">
      <c r="A441" s="709">
        <f t="shared" si="86"/>
        <v>39569</v>
      </c>
      <c r="B441" s="709" t="str">
        <f t="shared" si="87"/>
        <v>2Q08</v>
      </c>
      <c r="C441" s="709" t="str">
        <f t="shared" si="88"/>
        <v>3Q08</v>
      </c>
      <c r="D441" s="710">
        <f t="shared" si="94"/>
        <v>39637</v>
      </c>
      <c r="E441" s="710">
        <f t="shared" si="94"/>
        <v>39577</v>
      </c>
      <c r="F441" s="712">
        <v>123.01</v>
      </c>
      <c r="G441" s="713">
        <f t="shared" si="89"/>
        <v>1.4900000000000011</v>
      </c>
      <c r="H441" s="713">
        <f t="shared" si="90"/>
        <v>1.4900000000000011</v>
      </c>
      <c r="I441" s="697"/>
      <c r="J441" s="697"/>
      <c r="K441" s="697"/>
      <c r="L441" s="697"/>
      <c r="M441" s="697"/>
      <c r="N441" s="697"/>
      <c r="O441" s="697"/>
      <c r="P441" s="697"/>
      <c r="Q441" s="697"/>
      <c r="R441" s="697"/>
      <c r="S441" s="697"/>
      <c r="T441" s="697"/>
      <c r="U441" s="697"/>
      <c r="V441" s="697"/>
      <c r="W441" s="697"/>
      <c r="X441" s="697"/>
      <c r="Y441" s="697"/>
      <c r="Z441" s="697"/>
      <c r="AA441" s="697"/>
      <c r="AB441" s="697"/>
      <c r="AC441" s="697"/>
      <c r="AD441" s="697"/>
      <c r="AE441" s="697"/>
      <c r="AF441" s="697"/>
      <c r="AG441" s="697"/>
      <c r="AH441" s="697"/>
      <c r="AI441" s="697"/>
      <c r="AJ441" s="697"/>
      <c r="AK441" s="697"/>
      <c r="AL441" s="697"/>
      <c r="AM441" s="697"/>
      <c r="AN441" s="697"/>
      <c r="AO441" s="697"/>
      <c r="AP441" s="697"/>
      <c r="AQ441" s="697"/>
      <c r="AR441" s="697"/>
      <c r="AS441" s="697"/>
      <c r="AT441" s="697"/>
      <c r="AU441" s="697"/>
      <c r="AV441" s="697"/>
      <c r="AW441" s="697"/>
      <c r="AX441" s="697"/>
      <c r="AY441" s="697"/>
      <c r="AZ441" s="697"/>
      <c r="BA441" s="697"/>
      <c r="BB441" s="697"/>
      <c r="BC441" s="697"/>
      <c r="BD441" s="697"/>
      <c r="BE441" s="697"/>
      <c r="BF441" s="697"/>
      <c r="BG441" s="697"/>
      <c r="BH441" s="697"/>
      <c r="BI441" s="697"/>
      <c r="BJ441" s="697"/>
      <c r="BK441" s="697"/>
      <c r="BL441" s="697"/>
      <c r="BM441" s="697"/>
      <c r="BN441" s="697"/>
      <c r="BO441" s="697"/>
      <c r="BP441" s="697"/>
      <c r="BQ441" s="697"/>
      <c r="BR441" s="697"/>
      <c r="BS441" s="697"/>
      <c r="BT441" s="697"/>
      <c r="BU441" s="697"/>
      <c r="BV441" s="697"/>
      <c r="BW441" s="697"/>
      <c r="BX441" s="697"/>
      <c r="BY441" s="697"/>
      <c r="BZ441" s="697"/>
      <c r="CA441" s="697"/>
      <c r="CB441" s="697"/>
      <c r="CC441" s="697"/>
      <c r="CD441" s="697"/>
      <c r="CE441" s="697"/>
      <c r="CF441" s="697"/>
      <c r="CG441" s="697"/>
      <c r="CH441" s="697"/>
      <c r="CI441" s="697"/>
      <c r="CJ441" s="697"/>
      <c r="CK441" s="697"/>
      <c r="CL441" s="697"/>
      <c r="CM441" s="697"/>
      <c r="CN441" s="697"/>
      <c r="CO441" s="697"/>
      <c r="CP441" s="697"/>
      <c r="CQ441" s="697"/>
      <c r="CR441" s="697"/>
      <c r="CS441" s="697"/>
      <c r="CT441" s="697"/>
      <c r="CU441" s="697"/>
      <c r="CV441" s="697"/>
      <c r="CW441" s="697"/>
      <c r="CX441" s="697"/>
      <c r="CY441" s="697"/>
      <c r="CZ441" s="697"/>
      <c r="DA441" s="697"/>
      <c r="DB441" s="697"/>
    </row>
    <row r="442" spans="1:106" hidden="1" outlineLevel="1" x14ac:dyDescent="0.2">
      <c r="A442" s="709">
        <f t="shared" si="86"/>
        <v>39569</v>
      </c>
      <c r="B442" s="709" t="str">
        <f t="shared" si="87"/>
        <v>2Q08</v>
      </c>
      <c r="C442" s="709" t="str">
        <f t="shared" si="88"/>
        <v>3Q08</v>
      </c>
      <c r="D442" s="710">
        <f t="shared" si="94"/>
        <v>39644</v>
      </c>
      <c r="E442" s="710">
        <f t="shared" si="94"/>
        <v>39584</v>
      </c>
      <c r="F442" s="712">
        <v>124.96</v>
      </c>
      <c r="G442" s="713">
        <f t="shared" si="89"/>
        <v>1.4900000000000011</v>
      </c>
      <c r="H442" s="713">
        <f t="shared" si="90"/>
        <v>1.4900000000000011</v>
      </c>
      <c r="I442" s="697"/>
      <c r="J442" s="697"/>
      <c r="K442" s="697"/>
      <c r="L442" s="697"/>
      <c r="M442" s="697"/>
      <c r="N442" s="697"/>
      <c r="O442" s="697"/>
      <c r="P442" s="697"/>
      <c r="Q442" s="697"/>
      <c r="R442" s="697"/>
      <c r="S442" s="697"/>
      <c r="T442" s="697"/>
      <c r="U442" s="697"/>
      <c r="V442" s="697"/>
      <c r="W442" s="697"/>
      <c r="X442" s="697"/>
      <c r="Y442" s="697"/>
      <c r="Z442" s="697"/>
      <c r="AA442" s="697"/>
      <c r="AB442" s="697"/>
      <c r="AC442" s="697"/>
      <c r="AD442" s="697"/>
      <c r="AE442" s="697"/>
      <c r="AF442" s="697"/>
      <c r="AG442" s="697"/>
      <c r="AH442" s="697"/>
      <c r="AI442" s="697"/>
      <c r="AJ442" s="697"/>
      <c r="AK442" s="697"/>
      <c r="AL442" s="697"/>
      <c r="AM442" s="697"/>
      <c r="AN442" s="697"/>
      <c r="AO442" s="697"/>
      <c r="AP442" s="697"/>
      <c r="AQ442" s="697"/>
      <c r="AR442" s="697"/>
      <c r="AS442" s="697"/>
      <c r="AT442" s="697"/>
      <c r="AU442" s="697"/>
      <c r="AV442" s="697"/>
      <c r="AW442" s="697"/>
      <c r="AX442" s="697"/>
      <c r="AY442" s="697"/>
      <c r="AZ442" s="697"/>
      <c r="BA442" s="697"/>
      <c r="BB442" s="697"/>
      <c r="BC442" s="697"/>
      <c r="BD442" s="697"/>
      <c r="BE442" s="697"/>
      <c r="BF442" s="697"/>
      <c r="BG442" s="697"/>
      <c r="BH442" s="697"/>
      <c r="BI442" s="697"/>
      <c r="BJ442" s="697"/>
      <c r="BK442" s="697"/>
      <c r="BL442" s="697"/>
      <c r="BM442" s="697"/>
      <c r="BN442" s="697"/>
      <c r="BO442" s="697"/>
      <c r="BP442" s="697"/>
      <c r="BQ442" s="697"/>
      <c r="BR442" s="697"/>
      <c r="BS442" s="697"/>
      <c r="BT442" s="697"/>
      <c r="BU442" s="697"/>
      <c r="BV442" s="697"/>
      <c r="BW442" s="697"/>
      <c r="BX442" s="697"/>
      <c r="BY442" s="697"/>
      <c r="BZ442" s="697"/>
      <c r="CA442" s="697"/>
      <c r="CB442" s="697"/>
      <c r="CC442" s="697"/>
      <c r="CD442" s="697"/>
      <c r="CE442" s="697"/>
      <c r="CF442" s="697"/>
      <c r="CG442" s="697"/>
      <c r="CH442" s="697"/>
      <c r="CI442" s="697"/>
      <c r="CJ442" s="697"/>
      <c r="CK442" s="697"/>
      <c r="CL442" s="697"/>
      <c r="CM442" s="697"/>
      <c r="CN442" s="697"/>
      <c r="CO442" s="697"/>
      <c r="CP442" s="697"/>
      <c r="CQ442" s="697"/>
      <c r="CR442" s="697"/>
      <c r="CS442" s="697"/>
      <c r="CT442" s="697"/>
      <c r="CU442" s="697"/>
      <c r="CV442" s="697"/>
      <c r="CW442" s="697"/>
      <c r="CX442" s="697"/>
      <c r="CY442" s="697"/>
      <c r="CZ442" s="697"/>
      <c r="DA442" s="697"/>
      <c r="DB442" s="697"/>
    </row>
    <row r="443" spans="1:106" hidden="1" outlineLevel="1" x14ac:dyDescent="0.2">
      <c r="A443" s="709">
        <f t="shared" si="86"/>
        <v>39569</v>
      </c>
      <c r="B443" s="709" t="str">
        <f t="shared" si="87"/>
        <v>2Q08</v>
      </c>
      <c r="C443" s="709" t="str">
        <f t="shared" si="88"/>
        <v>3Q08</v>
      </c>
      <c r="D443" s="710">
        <f t="shared" si="94"/>
        <v>39651</v>
      </c>
      <c r="E443" s="710">
        <f t="shared" si="94"/>
        <v>39591</v>
      </c>
      <c r="F443" s="712">
        <v>130.13999999999999</v>
      </c>
      <c r="G443" s="713">
        <f t="shared" si="89"/>
        <v>1.4900000000000011</v>
      </c>
      <c r="H443" s="713">
        <f t="shared" si="90"/>
        <v>1.4900000000000011</v>
      </c>
      <c r="I443" s="697"/>
      <c r="J443" s="697"/>
      <c r="K443" s="697"/>
      <c r="L443" s="697"/>
      <c r="M443" s="697"/>
      <c r="N443" s="697"/>
      <c r="O443" s="697"/>
      <c r="P443" s="697"/>
      <c r="Q443" s="697"/>
      <c r="R443" s="697"/>
      <c r="S443" s="697"/>
      <c r="T443" s="697"/>
      <c r="U443" s="697"/>
      <c r="V443" s="697"/>
      <c r="W443" s="697"/>
      <c r="X443" s="697"/>
      <c r="Y443" s="697"/>
      <c r="Z443" s="697"/>
      <c r="AA443" s="697"/>
      <c r="AB443" s="697"/>
      <c r="AC443" s="697"/>
      <c r="AD443" s="697"/>
      <c r="AE443" s="697"/>
      <c r="AF443" s="697"/>
      <c r="AG443" s="697"/>
      <c r="AH443" s="697"/>
      <c r="AI443" s="697"/>
      <c r="AJ443" s="697"/>
      <c r="AK443" s="697"/>
      <c r="AL443" s="697"/>
      <c r="AM443" s="697"/>
      <c r="AN443" s="697"/>
      <c r="AO443" s="697"/>
      <c r="AP443" s="697"/>
      <c r="AQ443" s="697"/>
      <c r="AR443" s="697"/>
      <c r="AS443" s="697"/>
      <c r="AT443" s="697"/>
      <c r="AU443" s="697"/>
      <c r="AV443" s="697"/>
      <c r="AW443" s="697"/>
      <c r="AX443" s="697"/>
      <c r="AY443" s="697"/>
      <c r="AZ443" s="697"/>
      <c r="BA443" s="697"/>
      <c r="BB443" s="697"/>
      <c r="BC443" s="697"/>
      <c r="BD443" s="697"/>
      <c r="BE443" s="697"/>
      <c r="BF443" s="697"/>
      <c r="BG443" s="697"/>
      <c r="BH443" s="697"/>
      <c r="BI443" s="697"/>
      <c r="BJ443" s="697"/>
      <c r="BK443" s="697"/>
      <c r="BL443" s="697"/>
      <c r="BM443" s="697"/>
      <c r="BN443" s="697"/>
      <c r="BO443" s="697"/>
      <c r="BP443" s="697"/>
      <c r="BQ443" s="697"/>
      <c r="BR443" s="697"/>
      <c r="BS443" s="697"/>
      <c r="BT443" s="697"/>
      <c r="BU443" s="697"/>
      <c r="BV443" s="697"/>
      <c r="BW443" s="697"/>
      <c r="BX443" s="697"/>
      <c r="BY443" s="697"/>
      <c r="BZ443" s="697"/>
      <c r="CA443" s="697"/>
      <c r="CB443" s="697"/>
      <c r="CC443" s="697"/>
      <c r="CD443" s="697"/>
      <c r="CE443" s="697"/>
      <c r="CF443" s="697"/>
      <c r="CG443" s="697"/>
      <c r="CH443" s="697"/>
      <c r="CI443" s="697"/>
      <c r="CJ443" s="697"/>
      <c r="CK443" s="697"/>
      <c r="CL443" s="697"/>
      <c r="CM443" s="697"/>
      <c r="CN443" s="697"/>
      <c r="CO443" s="697"/>
      <c r="CP443" s="697"/>
      <c r="CQ443" s="697"/>
      <c r="CR443" s="697"/>
      <c r="CS443" s="697"/>
      <c r="CT443" s="697"/>
      <c r="CU443" s="697"/>
      <c r="CV443" s="697"/>
      <c r="CW443" s="697"/>
      <c r="CX443" s="697"/>
      <c r="CY443" s="697"/>
      <c r="CZ443" s="697"/>
      <c r="DA443" s="697"/>
      <c r="DB443" s="697"/>
    </row>
    <row r="444" spans="1:106" hidden="1" outlineLevel="1" x14ac:dyDescent="0.2">
      <c r="A444" s="709">
        <f t="shared" si="86"/>
        <v>39569</v>
      </c>
      <c r="B444" s="709" t="str">
        <f t="shared" si="87"/>
        <v>2Q08</v>
      </c>
      <c r="C444" s="709" t="str">
        <f t="shared" si="88"/>
        <v>3Q08</v>
      </c>
      <c r="D444" s="710">
        <f t="shared" si="94"/>
        <v>39658</v>
      </c>
      <c r="E444" s="710">
        <f t="shared" si="94"/>
        <v>39598</v>
      </c>
      <c r="F444" s="712">
        <v>128.47</v>
      </c>
      <c r="G444" s="713">
        <f t="shared" si="89"/>
        <v>1.4900000000000011</v>
      </c>
      <c r="H444" s="713">
        <f t="shared" si="90"/>
        <v>1.4900000000000011</v>
      </c>
      <c r="I444" s="697"/>
      <c r="J444" s="697"/>
      <c r="K444" s="697"/>
      <c r="L444" s="697"/>
      <c r="M444" s="697"/>
      <c r="N444" s="697"/>
      <c r="O444" s="697"/>
      <c r="P444" s="697"/>
      <c r="Q444" s="697"/>
      <c r="R444" s="697"/>
      <c r="S444" s="697"/>
      <c r="T444" s="697"/>
      <c r="U444" s="697"/>
      <c r="V444" s="697"/>
      <c r="W444" s="697"/>
      <c r="X444" s="697"/>
      <c r="Y444" s="697"/>
      <c r="Z444" s="697"/>
      <c r="AA444" s="697"/>
      <c r="AB444" s="697"/>
      <c r="AC444" s="697"/>
      <c r="AD444" s="697"/>
      <c r="AE444" s="697"/>
      <c r="AF444" s="697"/>
      <c r="AG444" s="697"/>
      <c r="AH444" s="697"/>
      <c r="AI444" s="697"/>
      <c r="AJ444" s="697"/>
      <c r="AK444" s="697"/>
      <c r="AL444" s="697"/>
      <c r="AM444" s="697"/>
      <c r="AN444" s="697"/>
      <c r="AO444" s="697"/>
      <c r="AP444" s="697"/>
      <c r="AQ444" s="697"/>
      <c r="AR444" s="697"/>
      <c r="AS444" s="697"/>
      <c r="AT444" s="697"/>
      <c r="AU444" s="697"/>
      <c r="AV444" s="697"/>
      <c r="AW444" s="697"/>
      <c r="AX444" s="697"/>
      <c r="AY444" s="697"/>
      <c r="AZ444" s="697"/>
      <c r="BA444" s="697"/>
      <c r="BB444" s="697"/>
      <c r="BC444" s="697"/>
      <c r="BD444" s="697"/>
      <c r="BE444" s="697"/>
      <c r="BF444" s="697"/>
      <c r="BG444" s="697"/>
      <c r="BH444" s="697"/>
      <c r="BI444" s="697"/>
      <c r="BJ444" s="697"/>
      <c r="BK444" s="697"/>
      <c r="BL444" s="697"/>
      <c r="BM444" s="697"/>
      <c r="BN444" s="697"/>
      <c r="BO444" s="697"/>
      <c r="BP444" s="697"/>
      <c r="BQ444" s="697"/>
      <c r="BR444" s="697"/>
      <c r="BS444" s="697"/>
      <c r="BT444" s="697"/>
      <c r="BU444" s="697"/>
      <c r="BV444" s="697"/>
      <c r="BW444" s="697"/>
      <c r="BX444" s="697"/>
      <c r="BY444" s="697"/>
      <c r="BZ444" s="697"/>
      <c r="CA444" s="697"/>
      <c r="CB444" s="697"/>
      <c r="CC444" s="697"/>
      <c r="CD444" s="697"/>
      <c r="CE444" s="697"/>
      <c r="CF444" s="697"/>
      <c r="CG444" s="697"/>
      <c r="CH444" s="697"/>
      <c r="CI444" s="697"/>
      <c r="CJ444" s="697"/>
      <c r="CK444" s="697"/>
      <c r="CL444" s="697"/>
      <c r="CM444" s="697"/>
      <c r="CN444" s="697"/>
      <c r="CO444" s="697"/>
      <c r="CP444" s="697"/>
      <c r="CQ444" s="697"/>
      <c r="CR444" s="697"/>
      <c r="CS444" s="697"/>
      <c r="CT444" s="697"/>
      <c r="CU444" s="697"/>
      <c r="CV444" s="697"/>
      <c r="CW444" s="697"/>
      <c r="CX444" s="697"/>
      <c r="CY444" s="697"/>
      <c r="CZ444" s="697"/>
      <c r="DA444" s="697"/>
      <c r="DB444" s="697"/>
    </row>
    <row r="445" spans="1:106" hidden="1" outlineLevel="1" x14ac:dyDescent="0.2">
      <c r="A445" s="709">
        <f t="shared" si="86"/>
        <v>39600</v>
      </c>
      <c r="B445" s="709" t="str">
        <f t="shared" si="87"/>
        <v>2Q08</v>
      </c>
      <c r="C445" s="709" t="str">
        <f t="shared" si="88"/>
        <v>3Q08</v>
      </c>
      <c r="D445" s="710">
        <f t="shared" si="94"/>
        <v>39665</v>
      </c>
      <c r="E445" s="710">
        <f t="shared" si="94"/>
        <v>39605</v>
      </c>
      <c r="F445" s="712">
        <v>128.16</v>
      </c>
      <c r="G445" s="713">
        <f t="shared" si="89"/>
        <v>1.4900000000000011</v>
      </c>
      <c r="H445" s="713">
        <f t="shared" si="90"/>
        <v>1.4900000000000011</v>
      </c>
      <c r="I445" s="697"/>
      <c r="J445" s="697"/>
      <c r="K445" s="697"/>
      <c r="L445" s="697"/>
      <c r="M445" s="697"/>
      <c r="N445" s="697"/>
      <c r="O445" s="697"/>
      <c r="P445" s="697"/>
      <c r="Q445" s="697"/>
      <c r="R445" s="697"/>
      <c r="S445" s="697"/>
      <c r="T445" s="697"/>
      <c r="U445" s="697"/>
      <c r="V445" s="697"/>
      <c r="W445" s="697"/>
      <c r="X445" s="697"/>
      <c r="Y445" s="697"/>
      <c r="Z445" s="697"/>
      <c r="AA445" s="697"/>
      <c r="AB445" s="697"/>
      <c r="AC445" s="697"/>
      <c r="AD445" s="697"/>
      <c r="AE445" s="697"/>
      <c r="AF445" s="697"/>
      <c r="AG445" s="697"/>
      <c r="AH445" s="697"/>
      <c r="AI445" s="697"/>
      <c r="AJ445" s="697"/>
      <c r="AK445" s="697"/>
      <c r="AL445" s="697"/>
      <c r="AM445" s="697"/>
      <c r="AN445" s="697"/>
      <c r="AO445" s="697"/>
      <c r="AP445" s="697"/>
      <c r="AQ445" s="697"/>
      <c r="AR445" s="697"/>
      <c r="AS445" s="697"/>
      <c r="AT445" s="697"/>
      <c r="AU445" s="697"/>
      <c r="AV445" s="697"/>
      <c r="AW445" s="697"/>
      <c r="AX445" s="697"/>
      <c r="AY445" s="697"/>
      <c r="AZ445" s="697"/>
      <c r="BA445" s="697"/>
      <c r="BB445" s="697"/>
      <c r="BC445" s="697"/>
      <c r="BD445" s="697"/>
      <c r="BE445" s="697"/>
      <c r="BF445" s="697"/>
      <c r="BG445" s="697"/>
      <c r="BH445" s="697"/>
      <c r="BI445" s="697"/>
      <c r="BJ445" s="697"/>
      <c r="BK445" s="697"/>
      <c r="BL445" s="697"/>
      <c r="BM445" s="697"/>
      <c r="BN445" s="697"/>
      <c r="BO445" s="697"/>
      <c r="BP445" s="697"/>
      <c r="BQ445" s="697"/>
      <c r="BR445" s="697"/>
      <c r="BS445" s="697"/>
      <c r="BT445" s="697"/>
      <c r="BU445" s="697"/>
      <c r="BV445" s="697"/>
      <c r="BW445" s="697"/>
      <c r="BX445" s="697"/>
      <c r="BY445" s="697"/>
      <c r="BZ445" s="697"/>
      <c r="CA445" s="697"/>
      <c r="CB445" s="697"/>
      <c r="CC445" s="697"/>
      <c r="CD445" s="697"/>
      <c r="CE445" s="697"/>
      <c r="CF445" s="697"/>
      <c r="CG445" s="697"/>
      <c r="CH445" s="697"/>
      <c r="CI445" s="697"/>
      <c r="CJ445" s="697"/>
      <c r="CK445" s="697"/>
      <c r="CL445" s="697"/>
      <c r="CM445" s="697"/>
      <c r="CN445" s="697"/>
      <c r="CO445" s="697"/>
      <c r="CP445" s="697"/>
      <c r="CQ445" s="697"/>
      <c r="CR445" s="697"/>
      <c r="CS445" s="697"/>
      <c r="CT445" s="697"/>
      <c r="CU445" s="697"/>
      <c r="CV445" s="697"/>
      <c r="CW445" s="697"/>
      <c r="CX445" s="697"/>
      <c r="CY445" s="697"/>
      <c r="CZ445" s="697"/>
      <c r="DA445" s="697"/>
      <c r="DB445" s="697"/>
    </row>
    <row r="446" spans="1:106" hidden="1" outlineLevel="1" x14ac:dyDescent="0.2">
      <c r="A446" s="709">
        <f t="shared" si="86"/>
        <v>39600</v>
      </c>
      <c r="B446" s="709" t="str">
        <f t="shared" si="87"/>
        <v>2Q08</v>
      </c>
      <c r="C446" s="709" t="str">
        <f t="shared" si="88"/>
        <v>3Q08</v>
      </c>
      <c r="D446" s="710">
        <f t="shared" si="94"/>
        <v>39672</v>
      </c>
      <c r="E446" s="710">
        <f t="shared" si="94"/>
        <v>39612</v>
      </c>
      <c r="F446" s="712">
        <v>134.80000000000001</v>
      </c>
      <c r="G446" s="713">
        <f t="shared" si="89"/>
        <v>1.4900000000000011</v>
      </c>
      <c r="H446" s="713">
        <f t="shared" si="90"/>
        <v>1.4900000000000011</v>
      </c>
      <c r="I446" s="697"/>
      <c r="J446" s="697"/>
      <c r="K446" s="697"/>
      <c r="L446" s="697"/>
      <c r="M446" s="697"/>
      <c r="N446" s="697"/>
      <c r="O446" s="697"/>
      <c r="P446" s="697"/>
      <c r="Q446" s="697"/>
      <c r="R446" s="697"/>
      <c r="S446" s="697"/>
      <c r="T446" s="697"/>
      <c r="U446" s="697"/>
      <c r="V446" s="697"/>
      <c r="W446" s="697"/>
      <c r="X446" s="697"/>
      <c r="Y446" s="697"/>
      <c r="Z446" s="697"/>
      <c r="AA446" s="697"/>
      <c r="AB446" s="697"/>
      <c r="AC446" s="697"/>
      <c r="AD446" s="697"/>
      <c r="AE446" s="697"/>
      <c r="AF446" s="697"/>
      <c r="AG446" s="697"/>
      <c r="AH446" s="697"/>
      <c r="AI446" s="697"/>
      <c r="AJ446" s="697"/>
      <c r="AK446" s="697"/>
      <c r="AL446" s="697"/>
      <c r="AM446" s="697"/>
      <c r="AN446" s="697"/>
      <c r="AO446" s="697"/>
      <c r="AP446" s="697"/>
      <c r="AQ446" s="697"/>
      <c r="AR446" s="697"/>
      <c r="AS446" s="697"/>
      <c r="AT446" s="697"/>
      <c r="AU446" s="697"/>
      <c r="AV446" s="697"/>
      <c r="AW446" s="697"/>
      <c r="AX446" s="697"/>
      <c r="AY446" s="697"/>
      <c r="AZ446" s="697"/>
      <c r="BA446" s="697"/>
      <c r="BB446" s="697"/>
      <c r="BC446" s="697"/>
      <c r="BD446" s="697"/>
      <c r="BE446" s="697"/>
      <c r="BF446" s="697"/>
      <c r="BG446" s="697"/>
      <c r="BH446" s="697"/>
      <c r="BI446" s="697"/>
      <c r="BJ446" s="697"/>
      <c r="BK446" s="697"/>
      <c r="BL446" s="697"/>
      <c r="BM446" s="697"/>
      <c r="BN446" s="697"/>
      <c r="BO446" s="697"/>
      <c r="BP446" s="697"/>
      <c r="BQ446" s="697"/>
      <c r="BR446" s="697"/>
      <c r="BS446" s="697"/>
      <c r="BT446" s="697"/>
      <c r="BU446" s="697"/>
      <c r="BV446" s="697"/>
      <c r="BW446" s="697"/>
      <c r="BX446" s="697"/>
      <c r="BY446" s="697"/>
      <c r="BZ446" s="697"/>
      <c r="CA446" s="697"/>
      <c r="CB446" s="697"/>
      <c r="CC446" s="697"/>
      <c r="CD446" s="697"/>
      <c r="CE446" s="697"/>
      <c r="CF446" s="697"/>
      <c r="CG446" s="697"/>
      <c r="CH446" s="697"/>
      <c r="CI446" s="697"/>
      <c r="CJ446" s="697"/>
      <c r="CK446" s="697"/>
      <c r="CL446" s="697"/>
      <c r="CM446" s="697"/>
      <c r="CN446" s="697"/>
      <c r="CO446" s="697"/>
      <c r="CP446" s="697"/>
      <c r="CQ446" s="697"/>
      <c r="CR446" s="697"/>
      <c r="CS446" s="697"/>
      <c r="CT446" s="697"/>
      <c r="CU446" s="697"/>
      <c r="CV446" s="697"/>
      <c r="CW446" s="697"/>
      <c r="CX446" s="697"/>
      <c r="CY446" s="697"/>
      <c r="CZ446" s="697"/>
      <c r="DA446" s="697"/>
      <c r="DB446" s="697"/>
    </row>
    <row r="447" spans="1:106" hidden="1" outlineLevel="1" x14ac:dyDescent="0.2">
      <c r="A447" s="709">
        <f t="shared" si="86"/>
        <v>39600</v>
      </c>
      <c r="B447" s="709" t="str">
        <f t="shared" si="87"/>
        <v>2Q08</v>
      </c>
      <c r="C447" s="709" t="str">
        <f t="shared" si="88"/>
        <v>3Q08</v>
      </c>
      <c r="D447" s="710">
        <f t="shared" si="94"/>
        <v>39679</v>
      </c>
      <c r="E447" s="710">
        <f t="shared" si="94"/>
        <v>39619</v>
      </c>
      <c r="F447" s="712">
        <v>134.34</v>
      </c>
      <c r="G447" s="713">
        <f t="shared" si="89"/>
        <v>1.4900000000000011</v>
      </c>
      <c r="H447" s="713">
        <f t="shared" si="90"/>
        <v>1.4900000000000011</v>
      </c>
      <c r="I447" s="697"/>
      <c r="J447" s="697"/>
      <c r="K447" s="697"/>
      <c r="L447" s="697"/>
      <c r="M447" s="697"/>
      <c r="N447" s="697"/>
      <c r="O447" s="697"/>
      <c r="P447" s="697"/>
      <c r="Q447" s="697"/>
      <c r="R447" s="697"/>
      <c r="S447" s="697"/>
      <c r="T447" s="697"/>
      <c r="U447" s="697"/>
      <c r="V447" s="697"/>
      <c r="W447" s="697"/>
      <c r="X447" s="697"/>
      <c r="Y447" s="697"/>
      <c r="Z447" s="697"/>
      <c r="AA447" s="697"/>
      <c r="AB447" s="697"/>
      <c r="AC447" s="697"/>
      <c r="AD447" s="697"/>
      <c r="AE447" s="697"/>
      <c r="AF447" s="697"/>
      <c r="AG447" s="697"/>
      <c r="AH447" s="697"/>
      <c r="AI447" s="697"/>
      <c r="AJ447" s="697"/>
      <c r="AK447" s="697"/>
      <c r="AL447" s="697"/>
      <c r="AM447" s="697"/>
      <c r="AN447" s="697"/>
      <c r="AO447" s="697"/>
      <c r="AP447" s="697"/>
      <c r="AQ447" s="697"/>
      <c r="AR447" s="697"/>
      <c r="AS447" s="697"/>
      <c r="AT447" s="697"/>
      <c r="AU447" s="697"/>
      <c r="AV447" s="697"/>
      <c r="AW447" s="697"/>
      <c r="AX447" s="697"/>
      <c r="AY447" s="697"/>
      <c r="AZ447" s="697"/>
      <c r="BA447" s="697"/>
      <c r="BB447" s="697"/>
      <c r="BC447" s="697"/>
      <c r="BD447" s="697"/>
      <c r="BE447" s="697"/>
      <c r="BF447" s="697"/>
      <c r="BG447" s="697"/>
      <c r="BH447" s="697"/>
      <c r="BI447" s="697"/>
      <c r="BJ447" s="697"/>
      <c r="BK447" s="697"/>
      <c r="BL447" s="697"/>
      <c r="BM447" s="697"/>
      <c r="BN447" s="697"/>
      <c r="BO447" s="697"/>
      <c r="BP447" s="697"/>
      <c r="BQ447" s="697"/>
      <c r="BR447" s="697"/>
      <c r="BS447" s="697"/>
      <c r="BT447" s="697"/>
      <c r="BU447" s="697"/>
      <c r="BV447" s="697"/>
      <c r="BW447" s="697"/>
      <c r="BX447" s="697"/>
      <c r="BY447" s="697"/>
      <c r="BZ447" s="697"/>
      <c r="CA447" s="697"/>
      <c r="CB447" s="697"/>
      <c r="CC447" s="697"/>
      <c r="CD447" s="697"/>
      <c r="CE447" s="697"/>
      <c r="CF447" s="697"/>
      <c r="CG447" s="697"/>
      <c r="CH447" s="697"/>
      <c r="CI447" s="697"/>
      <c r="CJ447" s="697"/>
      <c r="CK447" s="697"/>
      <c r="CL447" s="697"/>
      <c r="CM447" s="697"/>
      <c r="CN447" s="697"/>
      <c r="CO447" s="697"/>
      <c r="CP447" s="697"/>
      <c r="CQ447" s="697"/>
      <c r="CR447" s="697"/>
      <c r="CS447" s="697"/>
      <c r="CT447" s="697"/>
      <c r="CU447" s="697"/>
      <c r="CV447" s="697"/>
      <c r="CW447" s="697"/>
      <c r="CX447" s="697"/>
      <c r="CY447" s="697"/>
      <c r="CZ447" s="697"/>
      <c r="DA447" s="697"/>
      <c r="DB447" s="697"/>
    </row>
    <row r="448" spans="1:106" hidden="1" outlineLevel="1" x14ac:dyDescent="0.2">
      <c r="A448" s="709">
        <f t="shared" si="86"/>
        <v>39600</v>
      </c>
      <c r="B448" s="709" t="str">
        <f t="shared" si="87"/>
        <v>2Q08</v>
      </c>
      <c r="C448" s="709" t="str">
        <f t="shared" si="88"/>
        <v>3Q08</v>
      </c>
      <c r="D448" s="710">
        <f t="shared" si="94"/>
        <v>39686</v>
      </c>
      <c r="E448" s="710">
        <f t="shared" si="94"/>
        <v>39626</v>
      </c>
      <c r="F448" s="712">
        <v>137</v>
      </c>
      <c r="G448" s="713">
        <f t="shared" si="89"/>
        <v>1.4900000000000011</v>
      </c>
      <c r="H448" s="713">
        <f t="shared" si="90"/>
        <v>1.4900000000000011</v>
      </c>
      <c r="I448" s="697"/>
      <c r="J448" s="697"/>
      <c r="K448" s="697"/>
      <c r="L448" s="697"/>
      <c r="M448" s="697"/>
      <c r="N448" s="697"/>
      <c r="O448" s="697"/>
      <c r="P448" s="697"/>
      <c r="Q448" s="697"/>
      <c r="R448" s="697"/>
      <c r="S448" s="697"/>
      <c r="T448" s="697"/>
      <c r="U448" s="697"/>
      <c r="V448" s="697"/>
      <c r="W448" s="697"/>
      <c r="X448" s="697"/>
      <c r="Y448" s="697"/>
      <c r="Z448" s="697"/>
      <c r="AA448" s="697"/>
      <c r="AB448" s="697"/>
      <c r="AC448" s="697"/>
      <c r="AD448" s="697"/>
      <c r="AE448" s="697"/>
      <c r="AF448" s="697"/>
      <c r="AG448" s="697"/>
      <c r="AH448" s="697"/>
      <c r="AI448" s="697"/>
      <c r="AJ448" s="697"/>
      <c r="AK448" s="697"/>
      <c r="AL448" s="697"/>
      <c r="AM448" s="697"/>
      <c r="AN448" s="697"/>
      <c r="AO448" s="697"/>
      <c r="AP448" s="697"/>
      <c r="AQ448" s="697"/>
      <c r="AR448" s="697"/>
      <c r="AS448" s="697"/>
      <c r="AT448" s="697"/>
      <c r="AU448" s="697"/>
      <c r="AV448" s="697"/>
      <c r="AW448" s="697"/>
      <c r="AX448" s="697"/>
      <c r="AY448" s="697"/>
      <c r="AZ448" s="697"/>
      <c r="BA448" s="697"/>
      <c r="BB448" s="697"/>
      <c r="BC448" s="697"/>
      <c r="BD448" s="697"/>
      <c r="BE448" s="697"/>
      <c r="BF448" s="697"/>
      <c r="BG448" s="697"/>
      <c r="BH448" s="697"/>
      <c r="BI448" s="697"/>
      <c r="BJ448" s="697"/>
      <c r="BK448" s="697"/>
      <c r="BL448" s="697"/>
      <c r="BM448" s="697"/>
      <c r="BN448" s="697"/>
      <c r="BO448" s="697"/>
      <c r="BP448" s="697"/>
      <c r="BQ448" s="697"/>
      <c r="BR448" s="697"/>
      <c r="BS448" s="697"/>
      <c r="BT448" s="697"/>
      <c r="BU448" s="697"/>
      <c r="BV448" s="697"/>
      <c r="BW448" s="697"/>
      <c r="BX448" s="697"/>
      <c r="BY448" s="697"/>
      <c r="BZ448" s="697"/>
      <c r="CA448" s="697"/>
      <c r="CB448" s="697"/>
      <c r="CC448" s="697"/>
      <c r="CD448" s="697"/>
      <c r="CE448" s="697"/>
      <c r="CF448" s="697"/>
      <c r="CG448" s="697"/>
      <c r="CH448" s="697"/>
      <c r="CI448" s="697"/>
      <c r="CJ448" s="697"/>
      <c r="CK448" s="697"/>
      <c r="CL448" s="697"/>
      <c r="CM448" s="697"/>
      <c r="CN448" s="697"/>
      <c r="CO448" s="697"/>
      <c r="CP448" s="697"/>
      <c r="CQ448" s="697"/>
      <c r="CR448" s="697"/>
      <c r="CS448" s="697"/>
      <c r="CT448" s="697"/>
      <c r="CU448" s="697"/>
      <c r="CV448" s="697"/>
      <c r="CW448" s="697"/>
      <c r="CX448" s="697"/>
      <c r="CY448" s="697"/>
      <c r="CZ448" s="697"/>
      <c r="DA448" s="697"/>
      <c r="DB448" s="697"/>
    </row>
    <row r="449" spans="1:106" hidden="1" outlineLevel="1" x14ac:dyDescent="0.2">
      <c r="A449" s="709">
        <f t="shared" si="86"/>
        <v>39630</v>
      </c>
      <c r="B449" s="709" t="str">
        <f t="shared" si="87"/>
        <v>3Q08</v>
      </c>
      <c r="C449" s="709" t="str">
        <f t="shared" si="88"/>
        <v>3Q08</v>
      </c>
      <c r="D449" s="710">
        <f t="shared" si="94"/>
        <v>39693</v>
      </c>
      <c r="E449" s="710">
        <f t="shared" si="94"/>
        <v>39633</v>
      </c>
      <c r="F449" s="712">
        <v>142.52000000000001</v>
      </c>
      <c r="G449" s="713">
        <f t="shared" si="89"/>
        <v>1.4900000000000011</v>
      </c>
      <c r="H449" s="713">
        <f t="shared" si="90"/>
        <v>1.4900000000000011</v>
      </c>
      <c r="I449" s="697"/>
      <c r="J449" s="697"/>
      <c r="K449" s="697"/>
      <c r="L449" s="697"/>
      <c r="M449" s="697"/>
      <c r="N449" s="697"/>
      <c r="O449" s="697"/>
      <c r="P449" s="697"/>
      <c r="Q449" s="697"/>
      <c r="R449" s="697"/>
      <c r="S449" s="697"/>
      <c r="T449" s="697"/>
      <c r="U449" s="697"/>
      <c r="V449" s="697"/>
      <c r="W449" s="697"/>
      <c r="X449" s="697"/>
      <c r="Y449" s="697"/>
      <c r="Z449" s="697"/>
      <c r="AA449" s="697"/>
      <c r="AB449" s="697"/>
      <c r="AC449" s="697"/>
      <c r="AD449" s="697"/>
      <c r="AE449" s="697"/>
      <c r="AF449" s="697"/>
      <c r="AG449" s="697"/>
      <c r="AH449" s="697"/>
      <c r="AI449" s="697"/>
      <c r="AJ449" s="697"/>
      <c r="AK449" s="697"/>
      <c r="AL449" s="697"/>
      <c r="AM449" s="697"/>
      <c r="AN449" s="697"/>
      <c r="AO449" s="697"/>
      <c r="AP449" s="697"/>
      <c r="AQ449" s="697"/>
      <c r="AR449" s="697"/>
      <c r="AS449" s="697"/>
      <c r="AT449" s="697"/>
      <c r="AU449" s="697"/>
      <c r="AV449" s="697"/>
      <c r="AW449" s="697"/>
      <c r="AX449" s="697"/>
      <c r="AY449" s="697"/>
      <c r="AZ449" s="697"/>
      <c r="BA449" s="697"/>
      <c r="BB449" s="697"/>
      <c r="BC449" s="697"/>
      <c r="BD449" s="697"/>
      <c r="BE449" s="697"/>
      <c r="BF449" s="697"/>
      <c r="BG449" s="697"/>
      <c r="BH449" s="697"/>
      <c r="BI449" s="697"/>
      <c r="BJ449" s="697"/>
      <c r="BK449" s="697"/>
      <c r="BL449" s="697"/>
      <c r="BM449" s="697"/>
      <c r="BN449" s="697"/>
      <c r="BO449" s="697"/>
      <c r="BP449" s="697"/>
      <c r="BQ449" s="697"/>
      <c r="BR449" s="697"/>
      <c r="BS449" s="697"/>
      <c r="BT449" s="697"/>
      <c r="BU449" s="697"/>
      <c r="BV449" s="697"/>
      <c r="BW449" s="697"/>
      <c r="BX449" s="697"/>
      <c r="BY449" s="697"/>
      <c r="BZ449" s="697"/>
      <c r="CA449" s="697"/>
      <c r="CB449" s="697"/>
      <c r="CC449" s="697"/>
      <c r="CD449" s="697"/>
      <c r="CE449" s="697"/>
      <c r="CF449" s="697"/>
      <c r="CG449" s="697"/>
      <c r="CH449" s="697"/>
      <c r="CI449" s="697"/>
      <c r="CJ449" s="697"/>
      <c r="CK449" s="697"/>
      <c r="CL449" s="697"/>
      <c r="CM449" s="697"/>
      <c r="CN449" s="697"/>
      <c r="CO449" s="697"/>
      <c r="CP449" s="697"/>
      <c r="CQ449" s="697"/>
      <c r="CR449" s="697"/>
      <c r="CS449" s="697"/>
      <c r="CT449" s="697"/>
      <c r="CU449" s="697"/>
      <c r="CV449" s="697"/>
      <c r="CW449" s="697"/>
      <c r="CX449" s="697"/>
      <c r="CY449" s="697"/>
      <c r="CZ449" s="697"/>
      <c r="DA449" s="697"/>
      <c r="DB449" s="697"/>
    </row>
    <row r="450" spans="1:106" hidden="1" outlineLevel="1" x14ac:dyDescent="0.2">
      <c r="A450" s="709">
        <f t="shared" si="86"/>
        <v>39630</v>
      </c>
      <c r="B450" s="709" t="str">
        <f t="shared" si="87"/>
        <v>3Q08</v>
      </c>
      <c r="C450" s="709" t="str">
        <f t="shared" si="88"/>
        <v>3Q08</v>
      </c>
      <c r="D450" s="710">
        <f t="shared" si="94"/>
        <v>39700</v>
      </c>
      <c r="E450" s="710">
        <f t="shared" si="94"/>
        <v>39640</v>
      </c>
      <c r="F450" s="712">
        <v>139.94999999999999</v>
      </c>
      <c r="G450" s="713">
        <f t="shared" si="89"/>
        <v>1.4900000000000011</v>
      </c>
      <c r="H450" s="713">
        <f t="shared" si="90"/>
        <v>1.4900000000000011</v>
      </c>
      <c r="I450" s="697"/>
      <c r="J450" s="697"/>
      <c r="K450" s="697"/>
      <c r="L450" s="697"/>
      <c r="M450" s="697"/>
      <c r="N450" s="697"/>
      <c r="O450" s="697"/>
      <c r="P450" s="697"/>
      <c r="Q450" s="697"/>
      <c r="R450" s="697"/>
      <c r="S450" s="697"/>
      <c r="T450" s="697"/>
      <c r="U450" s="697"/>
      <c r="V450" s="697"/>
      <c r="W450" s="697"/>
      <c r="X450" s="697"/>
      <c r="Y450" s="697"/>
      <c r="Z450" s="697"/>
      <c r="AA450" s="697"/>
      <c r="AB450" s="697"/>
      <c r="AC450" s="697"/>
      <c r="AD450" s="697"/>
      <c r="AE450" s="697"/>
      <c r="AF450" s="697"/>
      <c r="AG450" s="697"/>
      <c r="AH450" s="697"/>
      <c r="AI450" s="697"/>
      <c r="AJ450" s="697"/>
      <c r="AK450" s="697"/>
      <c r="AL450" s="697"/>
      <c r="AM450" s="697"/>
      <c r="AN450" s="697"/>
      <c r="AO450" s="697"/>
      <c r="AP450" s="697"/>
      <c r="AQ450" s="697"/>
      <c r="AR450" s="697"/>
      <c r="AS450" s="697"/>
      <c r="AT450" s="697"/>
      <c r="AU450" s="697"/>
      <c r="AV450" s="697"/>
      <c r="AW450" s="697"/>
      <c r="AX450" s="697"/>
      <c r="AY450" s="697"/>
      <c r="AZ450" s="697"/>
      <c r="BA450" s="697"/>
      <c r="BB450" s="697"/>
      <c r="BC450" s="697"/>
      <c r="BD450" s="697"/>
      <c r="BE450" s="697"/>
      <c r="BF450" s="697"/>
      <c r="BG450" s="697"/>
      <c r="BH450" s="697"/>
      <c r="BI450" s="697"/>
      <c r="BJ450" s="697"/>
      <c r="BK450" s="697"/>
      <c r="BL450" s="697"/>
      <c r="BM450" s="697"/>
      <c r="BN450" s="697"/>
      <c r="BO450" s="697"/>
      <c r="BP450" s="697"/>
      <c r="BQ450" s="697"/>
      <c r="BR450" s="697"/>
      <c r="BS450" s="697"/>
      <c r="BT450" s="697"/>
      <c r="BU450" s="697"/>
      <c r="BV450" s="697"/>
      <c r="BW450" s="697"/>
      <c r="BX450" s="697"/>
      <c r="BY450" s="697"/>
      <c r="BZ450" s="697"/>
      <c r="CA450" s="697"/>
      <c r="CB450" s="697"/>
      <c r="CC450" s="697"/>
      <c r="CD450" s="697"/>
      <c r="CE450" s="697"/>
      <c r="CF450" s="697"/>
      <c r="CG450" s="697"/>
      <c r="CH450" s="697"/>
      <c r="CI450" s="697"/>
      <c r="CJ450" s="697"/>
      <c r="CK450" s="697"/>
      <c r="CL450" s="697"/>
      <c r="CM450" s="697"/>
      <c r="CN450" s="697"/>
      <c r="CO450" s="697"/>
      <c r="CP450" s="697"/>
      <c r="CQ450" s="697"/>
      <c r="CR450" s="697"/>
      <c r="CS450" s="697"/>
      <c r="CT450" s="697"/>
      <c r="CU450" s="697"/>
      <c r="CV450" s="697"/>
      <c r="CW450" s="697"/>
      <c r="CX450" s="697"/>
      <c r="CY450" s="697"/>
      <c r="CZ450" s="697"/>
      <c r="DA450" s="697"/>
      <c r="DB450" s="697"/>
    </row>
    <row r="451" spans="1:106" hidden="1" outlineLevel="1" x14ac:dyDescent="0.2">
      <c r="A451" s="709">
        <f t="shared" si="86"/>
        <v>39630</v>
      </c>
      <c r="B451" s="709" t="str">
        <f t="shared" si="87"/>
        <v>3Q08</v>
      </c>
      <c r="C451" s="709" t="str">
        <f t="shared" si="88"/>
        <v>3Q08</v>
      </c>
      <c r="D451" s="710">
        <f t="shared" si="94"/>
        <v>39707</v>
      </c>
      <c r="E451" s="710">
        <f t="shared" si="94"/>
        <v>39647</v>
      </c>
      <c r="F451" s="712">
        <v>135.37</v>
      </c>
      <c r="G451" s="713">
        <f t="shared" si="89"/>
        <v>1.4900000000000011</v>
      </c>
      <c r="H451" s="713">
        <f t="shared" si="90"/>
        <v>1.4900000000000011</v>
      </c>
      <c r="I451" s="697"/>
      <c r="J451" s="697"/>
      <c r="K451" s="697"/>
      <c r="L451" s="697"/>
      <c r="M451" s="697"/>
      <c r="N451" s="697"/>
      <c r="O451" s="697"/>
      <c r="P451" s="697"/>
      <c r="Q451" s="697"/>
      <c r="R451" s="697"/>
      <c r="S451" s="697"/>
      <c r="T451" s="697"/>
      <c r="U451" s="697"/>
      <c r="V451" s="697"/>
      <c r="W451" s="697"/>
      <c r="X451" s="697"/>
      <c r="Y451" s="697"/>
      <c r="Z451" s="697"/>
      <c r="AA451" s="697"/>
      <c r="AB451" s="697"/>
      <c r="AC451" s="697"/>
      <c r="AD451" s="697"/>
      <c r="AE451" s="697"/>
      <c r="AF451" s="697"/>
      <c r="AG451" s="697"/>
      <c r="AH451" s="697"/>
      <c r="AI451" s="697"/>
      <c r="AJ451" s="697"/>
      <c r="AK451" s="697"/>
      <c r="AL451" s="697"/>
      <c r="AM451" s="697"/>
      <c r="AN451" s="697"/>
      <c r="AO451" s="697"/>
      <c r="AP451" s="697"/>
      <c r="AQ451" s="697"/>
      <c r="AR451" s="697"/>
      <c r="AS451" s="697"/>
      <c r="AT451" s="697"/>
      <c r="AU451" s="697"/>
      <c r="AV451" s="697"/>
      <c r="AW451" s="697"/>
      <c r="AX451" s="697"/>
      <c r="AY451" s="697"/>
      <c r="AZ451" s="697"/>
      <c r="BA451" s="697"/>
      <c r="BB451" s="697"/>
      <c r="BC451" s="697"/>
      <c r="BD451" s="697"/>
      <c r="BE451" s="697"/>
      <c r="BF451" s="697"/>
      <c r="BG451" s="697"/>
      <c r="BH451" s="697"/>
      <c r="BI451" s="697"/>
      <c r="BJ451" s="697"/>
      <c r="BK451" s="697"/>
      <c r="BL451" s="697"/>
      <c r="BM451" s="697"/>
      <c r="BN451" s="697"/>
      <c r="BO451" s="697"/>
      <c r="BP451" s="697"/>
      <c r="BQ451" s="697"/>
      <c r="BR451" s="697"/>
      <c r="BS451" s="697"/>
      <c r="BT451" s="697"/>
      <c r="BU451" s="697"/>
      <c r="BV451" s="697"/>
      <c r="BW451" s="697"/>
      <c r="BX451" s="697"/>
      <c r="BY451" s="697"/>
      <c r="BZ451" s="697"/>
      <c r="CA451" s="697"/>
      <c r="CB451" s="697"/>
      <c r="CC451" s="697"/>
      <c r="CD451" s="697"/>
      <c r="CE451" s="697"/>
      <c r="CF451" s="697"/>
      <c r="CG451" s="697"/>
      <c r="CH451" s="697"/>
      <c r="CI451" s="697"/>
      <c r="CJ451" s="697"/>
      <c r="CK451" s="697"/>
      <c r="CL451" s="697"/>
      <c r="CM451" s="697"/>
      <c r="CN451" s="697"/>
      <c r="CO451" s="697"/>
      <c r="CP451" s="697"/>
      <c r="CQ451" s="697"/>
      <c r="CR451" s="697"/>
      <c r="CS451" s="697"/>
      <c r="CT451" s="697"/>
      <c r="CU451" s="697"/>
      <c r="CV451" s="697"/>
      <c r="CW451" s="697"/>
      <c r="CX451" s="697"/>
      <c r="CY451" s="697"/>
      <c r="CZ451" s="697"/>
      <c r="DA451" s="697"/>
      <c r="DB451" s="697"/>
    </row>
    <row r="452" spans="1:106" hidden="1" outlineLevel="1" x14ac:dyDescent="0.2">
      <c r="A452" s="709">
        <f t="shared" ref="A452:A515" si="95">DATE(YEAR(E452),MONTH(E452),1)</f>
        <v>39630</v>
      </c>
      <c r="B452" s="709" t="str">
        <f t="shared" ref="B452:B515" si="96">VLOOKUP(MONTH(A452),$N$4:$O$16,2,FALSE) &amp; "Q" &amp; RIGHT(YEAR(A452),2)</f>
        <v>3Q08</v>
      </c>
      <c r="C452" s="709" t="str">
        <f t="shared" ref="C452:C515" si="97">VLOOKUP(MONTH(D452),$N$4:$O$16,2,FALSE) &amp; "Q" &amp; RIGHT(YEAR(D452),2)</f>
        <v>3Q08</v>
      </c>
      <c r="D452" s="710">
        <f t="shared" si="94"/>
        <v>39714</v>
      </c>
      <c r="E452" s="710">
        <f t="shared" si="94"/>
        <v>39654</v>
      </c>
      <c r="F452" s="712">
        <v>125.92</v>
      </c>
      <c r="G452" s="713">
        <f t="shared" ref="G452:G515" si="98">INDEX($I$4:$K$153,MATCH(F452,$I$4:$I$153,1),3)</f>
        <v>1.4900000000000011</v>
      </c>
      <c r="H452" s="713">
        <f t="shared" ref="H452:H515" si="99">G453</f>
        <v>1.4900000000000011</v>
      </c>
      <c r="I452" s="697"/>
      <c r="J452" s="697"/>
      <c r="K452" s="697"/>
      <c r="L452" s="697"/>
      <c r="M452" s="697"/>
      <c r="N452" s="697"/>
      <c r="O452" s="697"/>
      <c r="P452" s="697"/>
      <c r="Q452" s="697"/>
      <c r="R452" s="697"/>
      <c r="S452" s="697"/>
      <c r="T452" s="697"/>
      <c r="U452" s="697"/>
      <c r="V452" s="697"/>
      <c r="W452" s="697"/>
      <c r="X452" s="697"/>
      <c r="Y452" s="697"/>
      <c r="Z452" s="697"/>
      <c r="AA452" s="697"/>
      <c r="AB452" s="697"/>
      <c r="AC452" s="697"/>
      <c r="AD452" s="697"/>
      <c r="AE452" s="697"/>
      <c r="AF452" s="697"/>
      <c r="AG452" s="697"/>
      <c r="AH452" s="697"/>
      <c r="AI452" s="697"/>
      <c r="AJ452" s="697"/>
      <c r="AK452" s="697"/>
      <c r="AL452" s="697"/>
      <c r="AM452" s="697"/>
      <c r="AN452" s="697"/>
      <c r="AO452" s="697"/>
      <c r="AP452" s="697"/>
      <c r="AQ452" s="697"/>
      <c r="AR452" s="697"/>
      <c r="AS452" s="697"/>
      <c r="AT452" s="697"/>
      <c r="AU452" s="697"/>
      <c r="AV452" s="697"/>
      <c r="AW452" s="697"/>
      <c r="AX452" s="697"/>
      <c r="AY452" s="697"/>
      <c r="AZ452" s="697"/>
      <c r="BA452" s="697"/>
      <c r="BB452" s="697"/>
      <c r="BC452" s="697"/>
      <c r="BD452" s="697"/>
      <c r="BE452" s="697"/>
      <c r="BF452" s="697"/>
      <c r="BG452" s="697"/>
      <c r="BH452" s="697"/>
      <c r="BI452" s="697"/>
      <c r="BJ452" s="697"/>
      <c r="BK452" s="697"/>
      <c r="BL452" s="697"/>
      <c r="BM452" s="697"/>
      <c r="BN452" s="697"/>
      <c r="BO452" s="697"/>
      <c r="BP452" s="697"/>
      <c r="BQ452" s="697"/>
      <c r="BR452" s="697"/>
      <c r="BS452" s="697"/>
      <c r="BT452" s="697"/>
      <c r="BU452" s="697"/>
      <c r="BV452" s="697"/>
      <c r="BW452" s="697"/>
      <c r="BX452" s="697"/>
      <c r="BY452" s="697"/>
      <c r="BZ452" s="697"/>
      <c r="CA452" s="697"/>
      <c r="CB452" s="697"/>
      <c r="CC452" s="697"/>
      <c r="CD452" s="697"/>
      <c r="CE452" s="697"/>
      <c r="CF452" s="697"/>
      <c r="CG452" s="697"/>
      <c r="CH452" s="697"/>
      <c r="CI452" s="697"/>
      <c r="CJ452" s="697"/>
      <c r="CK452" s="697"/>
      <c r="CL452" s="697"/>
      <c r="CM452" s="697"/>
      <c r="CN452" s="697"/>
      <c r="CO452" s="697"/>
      <c r="CP452" s="697"/>
      <c r="CQ452" s="697"/>
      <c r="CR452" s="697"/>
      <c r="CS452" s="697"/>
      <c r="CT452" s="697"/>
      <c r="CU452" s="697"/>
      <c r="CV452" s="697"/>
      <c r="CW452" s="697"/>
      <c r="CX452" s="697"/>
      <c r="CY452" s="697"/>
      <c r="CZ452" s="697"/>
      <c r="DA452" s="697"/>
      <c r="DB452" s="697"/>
    </row>
    <row r="453" spans="1:106" hidden="1" outlineLevel="1" x14ac:dyDescent="0.2">
      <c r="A453" s="709">
        <f t="shared" si="95"/>
        <v>39661</v>
      </c>
      <c r="B453" s="709" t="str">
        <f t="shared" si="96"/>
        <v>3Q08</v>
      </c>
      <c r="C453" s="709" t="str">
        <f t="shared" si="97"/>
        <v>3Q08</v>
      </c>
      <c r="D453" s="710">
        <f t="shared" ref="D453:E468" si="100">D452+7</f>
        <v>39721</v>
      </c>
      <c r="E453" s="710">
        <f t="shared" si="100"/>
        <v>39661</v>
      </c>
      <c r="F453" s="712">
        <v>124.57</v>
      </c>
      <c r="G453" s="713">
        <f t="shared" si="98"/>
        <v>1.4900000000000011</v>
      </c>
      <c r="H453" s="713">
        <f t="shared" si="99"/>
        <v>1.4900000000000011</v>
      </c>
      <c r="I453" s="697"/>
      <c r="J453" s="697"/>
      <c r="K453" s="697"/>
      <c r="L453" s="697"/>
      <c r="M453" s="697"/>
      <c r="N453" s="697"/>
      <c r="O453" s="697"/>
      <c r="P453" s="697"/>
      <c r="Q453" s="697"/>
      <c r="R453" s="697"/>
      <c r="S453" s="697"/>
      <c r="T453" s="697"/>
      <c r="U453" s="697"/>
      <c r="V453" s="697"/>
      <c r="W453" s="697"/>
      <c r="X453" s="697"/>
      <c r="Y453" s="697"/>
      <c r="Z453" s="697"/>
      <c r="AA453" s="697"/>
      <c r="AB453" s="697"/>
      <c r="AC453" s="697"/>
      <c r="AD453" s="697"/>
      <c r="AE453" s="697"/>
      <c r="AF453" s="697"/>
      <c r="AG453" s="697"/>
      <c r="AH453" s="697"/>
      <c r="AI453" s="697"/>
      <c r="AJ453" s="697"/>
      <c r="AK453" s="697"/>
      <c r="AL453" s="697"/>
      <c r="AM453" s="697"/>
      <c r="AN453" s="697"/>
      <c r="AO453" s="697"/>
      <c r="AP453" s="697"/>
      <c r="AQ453" s="697"/>
      <c r="AR453" s="697"/>
      <c r="AS453" s="697"/>
      <c r="AT453" s="697"/>
      <c r="AU453" s="697"/>
      <c r="AV453" s="697"/>
      <c r="AW453" s="697"/>
      <c r="AX453" s="697"/>
      <c r="AY453" s="697"/>
      <c r="AZ453" s="697"/>
      <c r="BA453" s="697"/>
      <c r="BB453" s="697"/>
      <c r="BC453" s="697"/>
      <c r="BD453" s="697"/>
      <c r="BE453" s="697"/>
      <c r="BF453" s="697"/>
      <c r="BG453" s="697"/>
      <c r="BH453" s="697"/>
      <c r="BI453" s="697"/>
      <c r="BJ453" s="697"/>
      <c r="BK453" s="697"/>
      <c r="BL453" s="697"/>
      <c r="BM453" s="697"/>
      <c r="BN453" s="697"/>
      <c r="BO453" s="697"/>
      <c r="BP453" s="697"/>
      <c r="BQ453" s="697"/>
      <c r="BR453" s="697"/>
      <c r="BS453" s="697"/>
      <c r="BT453" s="697"/>
      <c r="BU453" s="697"/>
      <c r="BV453" s="697"/>
      <c r="BW453" s="697"/>
      <c r="BX453" s="697"/>
      <c r="BY453" s="697"/>
      <c r="BZ453" s="697"/>
      <c r="CA453" s="697"/>
      <c r="CB453" s="697"/>
      <c r="CC453" s="697"/>
      <c r="CD453" s="697"/>
      <c r="CE453" s="697"/>
      <c r="CF453" s="697"/>
      <c r="CG453" s="697"/>
      <c r="CH453" s="697"/>
      <c r="CI453" s="697"/>
      <c r="CJ453" s="697"/>
      <c r="CK453" s="697"/>
      <c r="CL453" s="697"/>
      <c r="CM453" s="697"/>
      <c r="CN453" s="697"/>
      <c r="CO453" s="697"/>
      <c r="CP453" s="697"/>
      <c r="CQ453" s="697"/>
      <c r="CR453" s="697"/>
      <c r="CS453" s="697"/>
      <c r="CT453" s="697"/>
      <c r="CU453" s="697"/>
      <c r="CV453" s="697"/>
      <c r="CW453" s="697"/>
      <c r="CX453" s="697"/>
      <c r="CY453" s="697"/>
      <c r="CZ453" s="697"/>
      <c r="DA453" s="697"/>
      <c r="DB453" s="697"/>
    </row>
    <row r="454" spans="1:106" hidden="1" outlineLevel="1" x14ac:dyDescent="0.2">
      <c r="A454" s="709">
        <f t="shared" si="95"/>
        <v>39661</v>
      </c>
      <c r="B454" s="709" t="str">
        <f t="shared" si="96"/>
        <v>3Q08</v>
      </c>
      <c r="C454" s="709" t="str">
        <f t="shared" si="97"/>
        <v>4Q08</v>
      </c>
      <c r="D454" s="710">
        <f t="shared" si="100"/>
        <v>39728</v>
      </c>
      <c r="E454" s="710">
        <f t="shared" si="100"/>
        <v>39668</v>
      </c>
      <c r="F454" s="712">
        <v>118.8</v>
      </c>
      <c r="G454" s="713">
        <f t="shared" si="98"/>
        <v>1.4900000000000011</v>
      </c>
      <c r="H454" s="713">
        <f t="shared" si="99"/>
        <v>1.4900000000000011</v>
      </c>
      <c r="I454" s="697"/>
      <c r="J454" s="697"/>
      <c r="K454" s="697"/>
      <c r="L454" s="697"/>
      <c r="M454" s="697"/>
      <c r="N454" s="697"/>
      <c r="O454" s="697"/>
      <c r="P454" s="697"/>
      <c r="Q454" s="697"/>
      <c r="R454" s="697"/>
      <c r="S454" s="697"/>
      <c r="T454" s="697"/>
      <c r="U454" s="697"/>
      <c r="V454" s="697"/>
      <c r="W454" s="697"/>
      <c r="X454" s="697"/>
      <c r="Y454" s="697"/>
      <c r="Z454" s="697"/>
      <c r="AA454" s="697"/>
      <c r="AB454" s="697"/>
      <c r="AC454" s="697"/>
      <c r="AD454" s="697"/>
      <c r="AE454" s="697"/>
      <c r="AF454" s="697"/>
      <c r="AG454" s="697"/>
      <c r="AH454" s="697"/>
      <c r="AI454" s="697"/>
      <c r="AJ454" s="697"/>
      <c r="AK454" s="697"/>
      <c r="AL454" s="697"/>
      <c r="AM454" s="697"/>
      <c r="AN454" s="697"/>
      <c r="AO454" s="697"/>
      <c r="AP454" s="697"/>
      <c r="AQ454" s="697"/>
      <c r="AR454" s="697"/>
      <c r="AS454" s="697"/>
      <c r="AT454" s="697"/>
      <c r="AU454" s="697"/>
      <c r="AV454" s="697"/>
      <c r="AW454" s="697"/>
      <c r="AX454" s="697"/>
      <c r="AY454" s="697"/>
      <c r="AZ454" s="697"/>
      <c r="BA454" s="697"/>
      <c r="BB454" s="697"/>
      <c r="BC454" s="697"/>
      <c r="BD454" s="697"/>
      <c r="BE454" s="697"/>
      <c r="BF454" s="697"/>
      <c r="BG454" s="697"/>
      <c r="BH454" s="697"/>
      <c r="BI454" s="697"/>
      <c r="BJ454" s="697"/>
      <c r="BK454" s="697"/>
      <c r="BL454" s="697"/>
      <c r="BM454" s="697"/>
      <c r="BN454" s="697"/>
      <c r="BO454" s="697"/>
      <c r="BP454" s="697"/>
      <c r="BQ454" s="697"/>
      <c r="BR454" s="697"/>
      <c r="BS454" s="697"/>
      <c r="BT454" s="697"/>
      <c r="BU454" s="697"/>
      <c r="BV454" s="697"/>
      <c r="BW454" s="697"/>
      <c r="BX454" s="697"/>
      <c r="BY454" s="697"/>
      <c r="BZ454" s="697"/>
      <c r="CA454" s="697"/>
      <c r="CB454" s="697"/>
      <c r="CC454" s="697"/>
      <c r="CD454" s="697"/>
      <c r="CE454" s="697"/>
      <c r="CF454" s="697"/>
      <c r="CG454" s="697"/>
      <c r="CH454" s="697"/>
      <c r="CI454" s="697"/>
      <c r="CJ454" s="697"/>
      <c r="CK454" s="697"/>
      <c r="CL454" s="697"/>
      <c r="CM454" s="697"/>
      <c r="CN454" s="697"/>
      <c r="CO454" s="697"/>
      <c r="CP454" s="697"/>
      <c r="CQ454" s="697"/>
      <c r="CR454" s="697"/>
      <c r="CS454" s="697"/>
      <c r="CT454" s="697"/>
      <c r="CU454" s="697"/>
      <c r="CV454" s="697"/>
      <c r="CW454" s="697"/>
      <c r="CX454" s="697"/>
      <c r="CY454" s="697"/>
      <c r="CZ454" s="697"/>
      <c r="DA454" s="697"/>
      <c r="DB454" s="697"/>
    </row>
    <row r="455" spans="1:106" hidden="1" outlineLevel="1" x14ac:dyDescent="0.2">
      <c r="A455" s="709">
        <f t="shared" si="95"/>
        <v>39661</v>
      </c>
      <c r="B455" s="709" t="str">
        <f t="shared" si="96"/>
        <v>3Q08</v>
      </c>
      <c r="C455" s="709" t="str">
        <f t="shared" si="97"/>
        <v>4Q08</v>
      </c>
      <c r="D455" s="710">
        <f t="shared" si="100"/>
        <v>39735</v>
      </c>
      <c r="E455" s="710">
        <f t="shared" si="100"/>
        <v>39675</v>
      </c>
      <c r="F455" s="712">
        <v>114.4</v>
      </c>
      <c r="G455" s="713">
        <f t="shared" si="98"/>
        <v>1.4900000000000011</v>
      </c>
      <c r="H455" s="713">
        <f t="shared" si="99"/>
        <v>1.4900000000000011</v>
      </c>
      <c r="I455" s="697"/>
      <c r="J455" s="697"/>
      <c r="K455" s="697"/>
      <c r="L455" s="697"/>
      <c r="M455" s="697"/>
      <c r="N455" s="697"/>
      <c r="O455" s="697"/>
      <c r="P455" s="697"/>
      <c r="Q455" s="697"/>
      <c r="R455" s="697"/>
      <c r="S455" s="697"/>
      <c r="T455" s="697"/>
      <c r="U455" s="697"/>
      <c r="V455" s="697"/>
      <c r="W455" s="697"/>
      <c r="X455" s="697"/>
      <c r="Y455" s="697"/>
      <c r="Z455" s="697"/>
      <c r="AA455" s="697"/>
      <c r="AB455" s="697"/>
      <c r="AC455" s="697"/>
      <c r="AD455" s="697"/>
      <c r="AE455" s="697"/>
      <c r="AF455" s="697"/>
      <c r="AG455" s="697"/>
      <c r="AH455" s="697"/>
      <c r="AI455" s="697"/>
      <c r="AJ455" s="697"/>
      <c r="AK455" s="697"/>
      <c r="AL455" s="697"/>
      <c r="AM455" s="697"/>
      <c r="AN455" s="697"/>
      <c r="AO455" s="697"/>
      <c r="AP455" s="697"/>
      <c r="AQ455" s="697"/>
      <c r="AR455" s="697"/>
      <c r="AS455" s="697"/>
      <c r="AT455" s="697"/>
      <c r="AU455" s="697"/>
      <c r="AV455" s="697"/>
      <c r="AW455" s="697"/>
      <c r="AX455" s="697"/>
      <c r="AY455" s="697"/>
      <c r="AZ455" s="697"/>
      <c r="BA455" s="697"/>
      <c r="BB455" s="697"/>
      <c r="BC455" s="697"/>
      <c r="BD455" s="697"/>
      <c r="BE455" s="697"/>
      <c r="BF455" s="697"/>
      <c r="BG455" s="697"/>
      <c r="BH455" s="697"/>
      <c r="BI455" s="697"/>
      <c r="BJ455" s="697"/>
      <c r="BK455" s="697"/>
      <c r="BL455" s="697"/>
      <c r="BM455" s="697"/>
      <c r="BN455" s="697"/>
      <c r="BO455" s="697"/>
      <c r="BP455" s="697"/>
      <c r="BQ455" s="697"/>
      <c r="BR455" s="697"/>
      <c r="BS455" s="697"/>
      <c r="BT455" s="697"/>
      <c r="BU455" s="697"/>
      <c r="BV455" s="697"/>
      <c r="BW455" s="697"/>
      <c r="BX455" s="697"/>
      <c r="BY455" s="697"/>
      <c r="BZ455" s="697"/>
      <c r="CA455" s="697"/>
      <c r="CB455" s="697"/>
      <c r="CC455" s="697"/>
      <c r="CD455" s="697"/>
      <c r="CE455" s="697"/>
      <c r="CF455" s="697"/>
      <c r="CG455" s="697"/>
      <c r="CH455" s="697"/>
      <c r="CI455" s="697"/>
      <c r="CJ455" s="697"/>
      <c r="CK455" s="697"/>
      <c r="CL455" s="697"/>
      <c r="CM455" s="697"/>
      <c r="CN455" s="697"/>
      <c r="CO455" s="697"/>
      <c r="CP455" s="697"/>
      <c r="CQ455" s="697"/>
      <c r="CR455" s="697"/>
      <c r="CS455" s="697"/>
      <c r="CT455" s="697"/>
      <c r="CU455" s="697"/>
      <c r="CV455" s="697"/>
      <c r="CW455" s="697"/>
      <c r="CX455" s="697"/>
      <c r="CY455" s="697"/>
      <c r="CZ455" s="697"/>
      <c r="DA455" s="697"/>
      <c r="DB455" s="697"/>
    </row>
    <row r="456" spans="1:106" hidden="1" outlineLevel="1" x14ac:dyDescent="0.2">
      <c r="A456" s="709">
        <f t="shared" si="95"/>
        <v>39661</v>
      </c>
      <c r="B456" s="709" t="str">
        <f t="shared" si="96"/>
        <v>3Q08</v>
      </c>
      <c r="C456" s="709" t="str">
        <f t="shared" si="97"/>
        <v>4Q08</v>
      </c>
      <c r="D456" s="710">
        <f t="shared" si="100"/>
        <v>39742</v>
      </c>
      <c r="E456" s="710">
        <f t="shared" si="100"/>
        <v>39682</v>
      </c>
      <c r="F456" s="712">
        <v>115.7</v>
      </c>
      <c r="G456" s="713">
        <f t="shared" si="98"/>
        <v>1.4900000000000011</v>
      </c>
      <c r="H456" s="713">
        <f t="shared" si="99"/>
        <v>1.4900000000000011</v>
      </c>
      <c r="I456" s="697"/>
      <c r="J456" s="697"/>
      <c r="K456" s="697"/>
      <c r="L456" s="697"/>
      <c r="M456" s="697"/>
      <c r="N456" s="697"/>
      <c r="O456" s="697"/>
      <c r="P456" s="697"/>
      <c r="Q456" s="697"/>
      <c r="R456" s="697"/>
      <c r="S456" s="697"/>
      <c r="T456" s="697"/>
      <c r="U456" s="697"/>
      <c r="V456" s="697"/>
      <c r="W456" s="697"/>
      <c r="X456" s="697"/>
      <c r="Y456" s="697"/>
      <c r="Z456" s="697"/>
      <c r="AA456" s="697"/>
      <c r="AB456" s="697"/>
      <c r="AC456" s="697"/>
      <c r="AD456" s="697"/>
      <c r="AE456" s="697"/>
      <c r="AF456" s="697"/>
      <c r="AG456" s="697"/>
      <c r="AH456" s="697"/>
      <c r="AI456" s="697"/>
      <c r="AJ456" s="697"/>
      <c r="AK456" s="697"/>
      <c r="AL456" s="697"/>
      <c r="AM456" s="697"/>
      <c r="AN456" s="697"/>
      <c r="AO456" s="697"/>
      <c r="AP456" s="697"/>
      <c r="AQ456" s="697"/>
      <c r="AR456" s="697"/>
      <c r="AS456" s="697"/>
      <c r="AT456" s="697"/>
      <c r="AU456" s="697"/>
      <c r="AV456" s="697"/>
      <c r="AW456" s="697"/>
      <c r="AX456" s="697"/>
      <c r="AY456" s="697"/>
      <c r="AZ456" s="697"/>
      <c r="BA456" s="697"/>
      <c r="BB456" s="697"/>
      <c r="BC456" s="697"/>
      <c r="BD456" s="697"/>
      <c r="BE456" s="697"/>
      <c r="BF456" s="697"/>
      <c r="BG456" s="697"/>
      <c r="BH456" s="697"/>
      <c r="BI456" s="697"/>
      <c r="BJ456" s="697"/>
      <c r="BK456" s="697"/>
      <c r="BL456" s="697"/>
      <c r="BM456" s="697"/>
      <c r="BN456" s="697"/>
      <c r="BO456" s="697"/>
      <c r="BP456" s="697"/>
      <c r="BQ456" s="697"/>
      <c r="BR456" s="697"/>
      <c r="BS456" s="697"/>
      <c r="BT456" s="697"/>
      <c r="BU456" s="697"/>
      <c r="BV456" s="697"/>
      <c r="BW456" s="697"/>
      <c r="BX456" s="697"/>
      <c r="BY456" s="697"/>
      <c r="BZ456" s="697"/>
      <c r="CA456" s="697"/>
      <c r="CB456" s="697"/>
      <c r="CC456" s="697"/>
      <c r="CD456" s="697"/>
      <c r="CE456" s="697"/>
      <c r="CF456" s="697"/>
      <c r="CG456" s="697"/>
      <c r="CH456" s="697"/>
      <c r="CI456" s="697"/>
      <c r="CJ456" s="697"/>
      <c r="CK456" s="697"/>
      <c r="CL456" s="697"/>
      <c r="CM456" s="697"/>
      <c r="CN456" s="697"/>
      <c r="CO456" s="697"/>
      <c r="CP456" s="697"/>
      <c r="CQ456" s="697"/>
      <c r="CR456" s="697"/>
      <c r="CS456" s="697"/>
      <c r="CT456" s="697"/>
      <c r="CU456" s="697"/>
      <c r="CV456" s="697"/>
      <c r="CW456" s="697"/>
      <c r="CX456" s="697"/>
      <c r="CY456" s="697"/>
      <c r="CZ456" s="697"/>
      <c r="DA456" s="697"/>
      <c r="DB456" s="697"/>
    </row>
    <row r="457" spans="1:106" hidden="1" outlineLevel="1" x14ac:dyDescent="0.2">
      <c r="A457" s="709">
        <f t="shared" si="95"/>
        <v>39661</v>
      </c>
      <c r="B457" s="709" t="str">
        <f t="shared" si="96"/>
        <v>3Q08</v>
      </c>
      <c r="C457" s="709" t="str">
        <f t="shared" si="97"/>
        <v>4Q08</v>
      </c>
      <c r="D457" s="710">
        <f t="shared" si="100"/>
        <v>39749</v>
      </c>
      <c r="E457" s="710">
        <f t="shared" si="100"/>
        <v>39689</v>
      </c>
      <c r="F457" s="712">
        <v>116.09</v>
      </c>
      <c r="G457" s="713">
        <f t="shared" si="98"/>
        <v>1.4900000000000011</v>
      </c>
      <c r="H457" s="713">
        <f t="shared" si="99"/>
        <v>1.4900000000000011</v>
      </c>
      <c r="I457" s="697"/>
      <c r="J457" s="697"/>
      <c r="K457" s="697"/>
      <c r="L457" s="697"/>
      <c r="M457" s="697"/>
      <c r="N457" s="697"/>
      <c r="O457" s="697"/>
      <c r="P457" s="697"/>
      <c r="Q457" s="697"/>
      <c r="R457" s="697"/>
      <c r="S457" s="697"/>
      <c r="T457" s="697"/>
      <c r="U457" s="697"/>
      <c r="V457" s="697"/>
      <c r="W457" s="697"/>
      <c r="X457" s="697"/>
      <c r="Y457" s="697"/>
      <c r="Z457" s="697"/>
      <c r="AA457" s="697"/>
      <c r="AB457" s="697"/>
      <c r="AC457" s="697"/>
      <c r="AD457" s="697"/>
      <c r="AE457" s="697"/>
      <c r="AF457" s="697"/>
      <c r="AG457" s="697"/>
      <c r="AH457" s="697"/>
      <c r="AI457" s="697"/>
      <c r="AJ457" s="697"/>
      <c r="AK457" s="697"/>
      <c r="AL457" s="697"/>
      <c r="AM457" s="697"/>
      <c r="AN457" s="697"/>
      <c r="AO457" s="697"/>
      <c r="AP457" s="697"/>
      <c r="AQ457" s="697"/>
      <c r="AR457" s="697"/>
      <c r="AS457" s="697"/>
      <c r="AT457" s="697"/>
      <c r="AU457" s="697"/>
      <c r="AV457" s="697"/>
      <c r="AW457" s="697"/>
      <c r="AX457" s="697"/>
      <c r="AY457" s="697"/>
      <c r="AZ457" s="697"/>
      <c r="BA457" s="697"/>
      <c r="BB457" s="697"/>
      <c r="BC457" s="697"/>
      <c r="BD457" s="697"/>
      <c r="BE457" s="697"/>
      <c r="BF457" s="697"/>
      <c r="BG457" s="697"/>
      <c r="BH457" s="697"/>
      <c r="BI457" s="697"/>
      <c r="BJ457" s="697"/>
      <c r="BK457" s="697"/>
      <c r="BL457" s="697"/>
      <c r="BM457" s="697"/>
      <c r="BN457" s="697"/>
      <c r="BO457" s="697"/>
      <c r="BP457" s="697"/>
      <c r="BQ457" s="697"/>
      <c r="BR457" s="697"/>
      <c r="BS457" s="697"/>
      <c r="BT457" s="697"/>
      <c r="BU457" s="697"/>
      <c r="BV457" s="697"/>
      <c r="BW457" s="697"/>
      <c r="BX457" s="697"/>
      <c r="BY457" s="697"/>
      <c r="BZ457" s="697"/>
      <c r="CA457" s="697"/>
      <c r="CB457" s="697"/>
      <c r="CC457" s="697"/>
      <c r="CD457" s="697"/>
      <c r="CE457" s="697"/>
      <c r="CF457" s="697"/>
      <c r="CG457" s="697"/>
      <c r="CH457" s="697"/>
      <c r="CI457" s="697"/>
      <c r="CJ457" s="697"/>
      <c r="CK457" s="697"/>
      <c r="CL457" s="697"/>
      <c r="CM457" s="697"/>
      <c r="CN457" s="697"/>
      <c r="CO457" s="697"/>
      <c r="CP457" s="697"/>
      <c r="CQ457" s="697"/>
      <c r="CR457" s="697"/>
      <c r="CS457" s="697"/>
      <c r="CT457" s="697"/>
      <c r="CU457" s="697"/>
      <c r="CV457" s="697"/>
      <c r="CW457" s="697"/>
      <c r="CX457" s="697"/>
      <c r="CY457" s="697"/>
      <c r="CZ457" s="697"/>
      <c r="DA457" s="697"/>
      <c r="DB457" s="697"/>
    </row>
    <row r="458" spans="1:106" hidden="1" outlineLevel="1" x14ac:dyDescent="0.2">
      <c r="A458" s="709">
        <f t="shared" si="95"/>
        <v>39692</v>
      </c>
      <c r="B458" s="709" t="str">
        <f t="shared" si="96"/>
        <v>3Q08</v>
      </c>
      <c r="C458" s="709" t="str">
        <f t="shared" si="97"/>
        <v>4Q08</v>
      </c>
      <c r="D458" s="710">
        <f t="shared" si="100"/>
        <v>39756</v>
      </c>
      <c r="E458" s="710">
        <f t="shared" si="100"/>
        <v>39696</v>
      </c>
      <c r="F458" s="712">
        <v>108.37</v>
      </c>
      <c r="G458" s="713">
        <f t="shared" si="98"/>
        <v>1.4900000000000011</v>
      </c>
      <c r="H458" s="713">
        <f t="shared" si="99"/>
        <v>1.4900000000000011</v>
      </c>
      <c r="I458" s="697"/>
      <c r="J458" s="697"/>
      <c r="K458" s="697"/>
      <c r="L458" s="697"/>
      <c r="M458" s="697"/>
      <c r="N458" s="697"/>
      <c r="O458" s="697"/>
      <c r="P458" s="697"/>
      <c r="Q458" s="697"/>
      <c r="R458" s="697"/>
      <c r="S458" s="697"/>
      <c r="T458" s="697"/>
      <c r="U458" s="697"/>
      <c r="V458" s="697"/>
      <c r="W458" s="697"/>
      <c r="X458" s="697"/>
      <c r="Y458" s="697"/>
      <c r="Z458" s="697"/>
      <c r="AA458" s="697"/>
      <c r="AB458" s="697"/>
      <c r="AC458" s="697"/>
      <c r="AD458" s="697"/>
      <c r="AE458" s="697"/>
      <c r="AF458" s="697"/>
      <c r="AG458" s="697"/>
      <c r="AH458" s="697"/>
      <c r="AI458" s="697"/>
      <c r="AJ458" s="697"/>
      <c r="AK458" s="697"/>
      <c r="AL458" s="697"/>
      <c r="AM458" s="697"/>
      <c r="AN458" s="697"/>
      <c r="AO458" s="697"/>
      <c r="AP458" s="697"/>
      <c r="AQ458" s="697"/>
      <c r="AR458" s="697"/>
      <c r="AS458" s="697"/>
      <c r="AT458" s="697"/>
      <c r="AU458" s="697"/>
      <c r="AV458" s="697"/>
      <c r="AW458" s="697"/>
      <c r="AX458" s="697"/>
      <c r="AY458" s="697"/>
      <c r="AZ458" s="697"/>
      <c r="BA458" s="697"/>
      <c r="BB458" s="697"/>
      <c r="BC458" s="697"/>
      <c r="BD458" s="697"/>
      <c r="BE458" s="697"/>
      <c r="BF458" s="697"/>
      <c r="BG458" s="697"/>
      <c r="BH458" s="697"/>
      <c r="BI458" s="697"/>
      <c r="BJ458" s="697"/>
      <c r="BK458" s="697"/>
      <c r="BL458" s="697"/>
      <c r="BM458" s="697"/>
      <c r="BN458" s="697"/>
      <c r="BO458" s="697"/>
      <c r="BP458" s="697"/>
      <c r="BQ458" s="697"/>
      <c r="BR458" s="697"/>
      <c r="BS458" s="697"/>
      <c r="BT458" s="697"/>
      <c r="BU458" s="697"/>
      <c r="BV458" s="697"/>
      <c r="BW458" s="697"/>
      <c r="BX458" s="697"/>
      <c r="BY458" s="697"/>
      <c r="BZ458" s="697"/>
      <c r="CA458" s="697"/>
      <c r="CB458" s="697"/>
      <c r="CC458" s="697"/>
      <c r="CD458" s="697"/>
      <c r="CE458" s="697"/>
      <c r="CF458" s="697"/>
      <c r="CG458" s="697"/>
      <c r="CH458" s="697"/>
      <c r="CI458" s="697"/>
      <c r="CJ458" s="697"/>
      <c r="CK458" s="697"/>
      <c r="CL458" s="697"/>
      <c r="CM458" s="697"/>
      <c r="CN458" s="697"/>
      <c r="CO458" s="697"/>
      <c r="CP458" s="697"/>
      <c r="CQ458" s="697"/>
      <c r="CR458" s="697"/>
      <c r="CS458" s="697"/>
      <c r="CT458" s="697"/>
      <c r="CU458" s="697"/>
      <c r="CV458" s="697"/>
      <c r="CW458" s="697"/>
      <c r="CX458" s="697"/>
      <c r="CY458" s="697"/>
      <c r="CZ458" s="697"/>
      <c r="DA458" s="697"/>
      <c r="DB458" s="697"/>
    </row>
    <row r="459" spans="1:106" hidden="1" outlineLevel="1" x14ac:dyDescent="0.2">
      <c r="A459" s="709">
        <f t="shared" si="95"/>
        <v>39692</v>
      </c>
      <c r="B459" s="709" t="str">
        <f t="shared" si="96"/>
        <v>3Q08</v>
      </c>
      <c r="C459" s="709" t="str">
        <f t="shared" si="97"/>
        <v>4Q08</v>
      </c>
      <c r="D459" s="710">
        <f t="shared" si="100"/>
        <v>39763</v>
      </c>
      <c r="E459" s="710">
        <f t="shared" si="100"/>
        <v>39703</v>
      </c>
      <c r="F459" s="712">
        <v>102.88</v>
      </c>
      <c r="G459" s="713">
        <f t="shared" si="98"/>
        <v>1.4900000000000011</v>
      </c>
      <c r="H459" s="713">
        <f t="shared" si="99"/>
        <v>1.4900000000000011</v>
      </c>
      <c r="I459" s="697"/>
      <c r="J459" s="697"/>
      <c r="K459" s="697"/>
      <c r="L459" s="697"/>
      <c r="M459" s="697"/>
      <c r="N459" s="697"/>
      <c r="O459" s="697"/>
      <c r="P459" s="697"/>
      <c r="Q459" s="697"/>
      <c r="R459" s="697"/>
      <c r="S459" s="697"/>
      <c r="T459" s="697"/>
      <c r="U459" s="697"/>
      <c r="V459" s="697"/>
      <c r="W459" s="697"/>
      <c r="X459" s="697"/>
      <c r="Y459" s="697"/>
      <c r="Z459" s="697"/>
      <c r="AA459" s="697"/>
      <c r="AB459" s="697"/>
      <c r="AC459" s="697"/>
      <c r="AD459" s="697"/>
      <c r="AE459" s="697"/>
      <c r="AF459" s="697"/>
      <c r="AG459" s="697"/>
      <c r="AH459" s="697"/>
      <c r="AI459" s="697"/>
      <c r="AJ459" s="697"/>
      <c r="AK459" s="697"/>
      <c r="AL459" s="697"/>
      <c r="AM459" s="697"/>
      <c r="AN459" s="697"/>
      <c r="AO459" s="697"/>
      <c r="AP459" s="697"/>
      <c r="AQ459" s="697"/>
      <c r="AR459" s="697"/>
      <c r="AS459" s="697"/>
      <c r="AT459" s="697"/>
      <c r="AU459" s="697"/>
      <c r="AV459" s="697"/>
      <c r="AW459" s="697"/>
      <c r="AX459" s="697"/>
      <c r="AY459" s="697"/>
      <c r="AZ459" s="697"/>
      <c r="BA459" s="697"/>
      <c r="BB459" s="697"/>
      <c r="BC459" s="697"/>
      <c r="BD459" s="697"/>
      <c r="BE459" s="697"/>
      <c r="BF459" s="697"/>
      <c r="BG459" s="697"/>
      <c r="BH459" s="697"/>
      <c r="BI459" s="697"/>
      <c r="BJ459" s="697"/>
      <c r="BK459" s="697"/>
      <c r="BL459" s="697"/>
      <c r="BM459" s="697"/>
      <c r="BN459" s="697"/>
      <c r="BO459" s="697"/>
      <c r="BP459" s="697"/>
      <c r="BQ459" s="697"/>
      <c r="BR459" s="697"/>
      <c r="BS459" s="697"/>
      <c r="BT459" s="697"/>
      <c r="BU459" s="697"/>
      <c r="BV459" s="697"/>
      <c r="BW459" s="697"/>
      <c r="BX459" s="697"/>
      <c r="BY459" s="697"/>
      <c r="BZ459" s="697"/>
      <c r="CA459" s="697"/>
      <c r="CB459" s="697"/>
      <c r="CC459" s="697"/>
      <c r="CD459" s="697"/>
      <c r="CE459" s="697"/>
      <c r="CF459" s="697"/>
      <c r="CG459" s="697"/>
      <c r="CH459" s="697"/>
      <c r="CI459" s="697"/>
      <c r="CJ459" s="697"/>
      <c r="CK459" s="697"/>
      <c r="CL459" s="697"/>
      <c r="CM459" s="697"/>
      <c r="CN459" s="697"/>
      <c r="CO459" s="697"/>
      <c r="CP459" s="697"/>
      <c r="CQ459" s="697"/>
      <c r="CR459" s="697"/>
      <c r="CS459" s="697"/>
      <c r="CT459" s="697"/>
      <c r="CU459" s="697"/>
      <c r="CV459" s="697"/>
      <c r="CW459" s="697"/>
      <c r="CX459" s="697"/>
      <c r="CY459" s="697"/>
      <c r="CZ459" s="697"/>
      <c r="DA459" s="697"/>
      <c r="DB459" s="697"/>
    </row>
    <row r="460" spans="1:106" hidden="1" outlineLevel="1" x14ac:dyDescent="0.2">
      <c r="A460" s="709">
        <f t="shared" si="95"/>
        <v>39692</v>
      </c>
      <c r="B460" s="709" t="str">
        <f t="shared" si="96"/>
        <v>3Q08</v>
      </c>
      <c r="C460" s="709" t="str">
        <f t="shared" si="97"/>
        <v>4Q08</v>
      </c>
      <c r="D460" s="710">
        <f t="shared" si="100"/>
        <v>39770</v>
      </c>
      <c r="E460" s="710">
        <f t="shared" si="100"/>
        <v>39710</v>
      </c>
      <c r="F460" s="712">
        <v>97.19</v>
      </c>
      <c r="G460" s="713">
        <f t="shared" si="98"/>
        <v>1.4900000000000011</v>
      </c>
      <c r="H460" s="713">
        <f t="shared" si="99"/>
        <v>1.4900000000000011</v>
      </c>
      <c r="I460" s="697"/>
      <c r="J460" s="697"/>
      <c r="K460" s="697"/>
      <c r="L460" s="697"/>
      <c r="M460" s="697"/>
      <c r="N460" s="697"/>
      <c r="O460" s="697"/>
      <c r="P460" s="697"/>
      <c r="Q460" s="697"/>
      <c r="R460" s="697"/>
      <c r="S460" s="697"/>
      <c r="T460" s="697"/>
      <c r="U460" s="697"/>
      <c r="V460" s="697"/>
      <c r="W460" s="697"/>
      <c r="X460" s="697"/>
      <c r="Y460" s="697"/>
      <c r="Z460" s="697"/>
      <c r="AA460" s="697"/>
      <c r="AB460" s="697"/>
      <c r="AC460" s="697"/>
      <c r="AD460" s="697"/>
      <c r="AE460" s="697"/>
      <c r="AF460" s="697"/>
      <c r="AG460" s="697"/>
      <c r="AH460" s="697"/>
      <c r="AI460" s="697"/>
      <c r="AJ460" s="697"/>
      <c r="AK460" s="697"/>
      <c r="AL460" s="697"/>
      <c r="AM460" s="697"/>
      <c r="AN460" s="697"/>
      <c r="AO460" s="697"/>
      <c r="AP460" s="697"/>
      <c r="AQ460" s="697"/>
      <c r="AR460" s="697"/>
      <c r="AS460" s="697"/>
      <c r="AT460" s="697"/>
      <c r="AU460" s="697"/>
      <c r="AV460" s="697"/>
      <c r="AW460" s="697"/>
      <c r="AX460" s="697"/>
      <c r="AY460" s="697"/>
      <c r="AZ460" s="697"/>
      <c r="BA460" s="697"/>
      <c r="BB460" s="697"/>
      <c r="BC460" s="697"/>
      <c r="BD460" s="697"/>
      <c r="BE460" s="697"/>
      <c r="BF460" s="697"/>
      <c r="BG460" s="697"/>
      <c r="BH460" s="697"/>
      <c r="BI460" s="697"/>
      <c r="BJ460" s="697"/>
      <c r="BK460" s="697"/>
      <c r="BL460" s="697"/>
      <c r="BM460" s="697"/>
      <c r="BN460" s="697"/>
      <c r="BO460" s="697"/>
      <c r="BP460" s="697"/>
      <c r="BQ460" s="697"/>
      <c r="BR460" s="697"/>
      <c r="BS460" s="697"/>
      <c r="BT460" s="697"/>
      <c r="BU460" s="697"/>
      <c r="BV460" s="697"/>
      <c r="BW460" s="697"/>
      <c r="BX460" s="697"/>
      <c r="BY460" s="697"/>
      <c r="BZ460" s="697"/>
      <c r="CA460" s="697"/>
      <c r="CB460" s="697"/>
      <c r="CC460" s="697"/>
      <c r="CD460" s="697"/>
      <c r="CE460" s="697"/>
      <c r="CF460" s="697"/>
      <c r="CG460" s="697"/>
      <c r="CH460" s="697"/>
      <c r="CI460" s="697"/>
      <c r="CJ460" s="697"/>
      <c r="CK460" s="697"/>
      <c r="CL460" s="697"/>
      <c r="CM460" s="697"/>
      <c r="CN460" s="697"/>
      <c r="CO460" s="697"/>
      <c r="CP460" s="697"/>
      <c r="CQ460" s="697"/>
      <c r="CR460" s="697"/>
      <c r="CS460" s="697"/>
      <c r="CT460" s="697"/>
      <c r="CU460" s="697"/>
      <c r="CV460" s="697"/>
      <c r="CW460" s="697"/>
      <c r="CX460" s="697"/>
      <c r="CY460" s="697"/>
      <c r="CZ460" s="697"/>
      <c r="DA460" s="697"/>
      <c r="DB460" s="697"/>
    </row>
    <row r="461" spans="1:106" hidden="1" outlineLevel="1" x14ac:dyDescent="0.2">
      <c r="A461" s="709">
        <f t="shared" si="95"/>
        <v>39692</v>
      </c>
      <c r="B461" s="709" t="str">
        <f t="shared" si="96"/>
        <v>3Q08</v>
      </c>
      <c r="C461" s="709" t="str">
        <f t="shared" si="97"/>
        <v>4Q08</v>
      </c>
      <c r="D461" s="710">
        <f t="shared" si="100"/>
        <v>39777</v>
      </c>
      <c r="E461" s="710">
        <f t="shared" si="100"/>
        <v>39717</v>
      </c>
      <c r="F461" s="712">
        <v>111.12</v>
      </c>
      <c r="G461" s="713">
        <f t="shared" si="98"/>
        <v>1.4900000000000011</v>
      </c>
      <c r="H461" s="713">
        <f t="shared" si="99"/>
        <v>1.4900000000000011</v>
      </c>
      <c r="I461" s="697"/>
      <c r="J461" s="697"/>
      <c r="K461" s="697"/>
      <c r="L461" s="697"/>
      <c r="M461" s="697"/>
      <c r="N461" s="697"/>
      <c r="O461" s="697"/>
      <c r="P461" s="697"/>
      <c r="Q461" s="697"/>
      <c r="R461" s="697"/>
      <c r="S461" s="697"/>
      <c r="T461" s="697"/>
      <c r="U461" s="697"/>
      <c r="V461" s="697"/>
      <c r="W461" s="697"/>
      <c r="X461" s="697"/>
      <c r="Y461" s="697"/>
      <c r="Z461" s="697"/>
      <c r="AA461" s="697"/>
      <c r="AB461" s="697"/>
      <c r="AC461" s="697"/>
      <c r="AD461" s="697"/>
      <c r="AE461" s="697"/>
      <c r="AF461" s="697"/>
      <c r="AG461" s="697"/>
      <c r="AH461" s="697"/>
      <c r="AI461" s="697"/>
      <c r="AJ461" s="697"/>
      <c r="AK461" s="697"/>
      <c r="AL461" s="697"/>
      <c r="AM461" s="697"/>
      <c r="AN461" s="697"/>
      <c r="AO461" s="697"/>
      <c r="AP461" s="697"/>
      <c r="AQ461" s="697"/>
      <c r="AR461" s="697"/>
      <c r="AS461" s="697"/>
      <c r="AT461" s="697"/>
      <c r="AU461" s="697"/>
      <c r="AV461" s="697"/>
      <c r="AW461" s="697"/>
      <c r="AX461" s="697"/>
      <c r="AY461" s="697"/>
      <c r="AZ461" s="697"/>
      <c r="BA461" s="697"/>
      <c r="BB461" s="697"/>
      <c r="BC461" s="697"/>
      <c r="BD461" s="697"/>
      <c r="BE461" s="697"/>
      <c r="BF461" s="697"/>
      <c r="BG461" s="697"/>
      <c r="BH461" s="697"/>
      <c r="BI461" s="697"/>
      <c r="BJ461" s="697"/>
      <c r="BK461" s="697"/>
      <c r="BL461" s="697"/>
      <c r="BM461" s="697"/>
      <c r="BN461" s="697"/>
      <c r="BO461" s="697"/>
      <c r="BP461" s="697"/>
      <c r="BQ461" s="697"/>
      <c r="BR461" s="697"/>
      <c r="BS461" s="697"/>
      <c r="BT461" s="697"/>
      <c r="BU461" s="697"/>
      <c r="BV461" s="697"/>
      <c r="BW461" s="697"/>
      <c r="BX461" s="697"/>
      <c r="BY461" s="697"/>
      <c r="BZ461" s="697"/>
      <c r="CA461" s="697"/>
      <c r="CB461" s="697"/>
      <c r="CC461" s="697"/>
      <c r="CD461" s="697"/>
      <c r="CE461" s="697"/>
      <c r="CF461" s="697"/>
      <c r="CG461" s="697"/>
      <c r="CH461" s="697"/>
      <c r="CI461" s="697"/>
      <c r="CJ461" s="697"/>
      <c r="CK461" s="697"/>
      <c r="CL461" s="697"/>
      <c r="CM461" s="697"/>
      <c r="CN461" s="697"/>
      <c r="CO461" s="697"/>
      <c r="CP461" s="697"/>
      <c r="CQ461" s="697"/>
      <c r="CR461" s="697"/>
      <c r="CS461" s="697"/>
      <c r="CT461" s="697"/>
      <c r="CU461" s="697"/>
      <c r="CV461" s="697"/>
      <c r="CW461" s="697"/>
      <c r="CX461" s="697"/>
      <c r="CY461" s="697"/>
      <c r="CZ461" s="697"/>
      <c r="DA461" s="697"/>
      <c r="DB461" s="697"/>
    </row>
    <row r="462" spans="1:106" hidden="1" outlineLevel="1" x14ac:dyDescent="0.2">
      <c r="A462" s="709">
        <f t="shared" si="95"/>
        <v>39722</v>
      </c>
      <c r="B462" s="709" t="str">
        <f t="shared" si="96"/>
        <v>4Q08</v>
      </c>
      <c r="C462" s="709" t="str">
        <f t="shared" si="97"/>
        <v>4Q08</v>
      </c>
      <c r="D462" s="710">
        <f t="shared" si="100"/>
        <v>39784</v>
      </c>
      <c r="E462" s="710">
        <f t="shared" si="100"/>
        <v>39724</v>
      </c>
      <c r="F462" s="712">
        <v>96.59</v>
      </c>
      <c r="G462" s="713">
        <f t="shared" si="98"/>
        <v>1.4900000000000011</v>
      </c>
      <c r="H462" s="713">
        <f t="shared" si="99"/>
        <v>1.4900000000000011</v>
      </c>
      <c r="I462" s="697"/>
      <c r="J462" s="697"/>
      <c r="K462" s="697"/>
      <c r="L462" s="697"/>
      <c r="M462" s="697"/>
      <c r="N462" s="697"/>
      <c r="O462" s="697"/>
      <c r="P462" s="697"/>
      <c r="Q462" s="697"/>
      <c r="R462" s="697"/>
      <c r="S462" s="697"/>
      <c r="T462" s="697"/>
      <c r="U462" s="697"/>
      <c r="V462" s="697"/>
      <c r="W462" s="697"/>
      <c r="X462" s="697"/>
      <c r="Y462" s="697"/>
      <c r="Z462" s="697"/>
      <c r="AA462" s="697"/>
      <c r="AB462" s="697"/>
      <c r="AC462" s="697"/>
      <c r="AD462" s="697"/>
      <c r="AE462" s="697"/>
      <c r="AF462" s="697"/>
      <c r="AG462" s="697"/>
      <c r="AH462" s="697"/>
      <c r="AI462" s="697"/>
      <c r="AJ462" s="697"/>
      <c r="AK462" s="697"/>
      <c r="AL462" s="697"/>
      <c r="AM462" s="697"/>
      <c r="AN462" s="697"/>
      <c r="AO462" s="697"/>
      <c r="AP462" s="697"/>
      <c r="AQ462" s="697"/>
      <c r="AR462" s="697"/>
      <c r="AS462" s="697"/>
      <c r="AT462" s="697"/>
      <c r="AU462" s="697"/>
      <c r="AV462" s="697"/>
      <c r="AW462" s="697"/>
      <c r="AX462" s="697"/>
      <c r="AY462" s="697"/>
      <c r="AZ462" s="697"/>
      <c r="BA462" s="697"/>
      <c r="BB462" s="697"/>
      <c r="BC462" s="697"/>
      <c r="BD462" s="697"/>
      <c r="BE462" s="697"/>
      <c r="BF462" s="697"/>
      <c r="BG462" s="697"/>
      <c r="BH462" s="697"/>
      <c r="BI462" s="697"/>
      <c r="BJ462" s="697"/>
      <c r="BK462" s="697"/>
      <c r="BL462" s="697"/>
      <c r="BM462" s="697"/>
      <c r="BN462" s="697"/>
      <c r="BO462" s="697"/>
      <c r="BP462" s="697"/>
      <c r="BQ462" s="697"/>
      <c r="BR462" s="697"/>
      <c r="BS462" s="697"/>
      <c r="BT462" s="697"/>
      <c r="BU462" s="697"/>
      <c r="BV462" s="697"/>
      <c r="BW462" s="697"/>
      <c r="BX462" s="697"/>
      <c r="BY462" s="697"/>
      <c r="BZ462" s="697"/>
      <c r="CA462" s="697"/>
      <c r="CB462" s="697"/>
      <c r="CC462" s="697"/>
      <c r="CD462" s="697"/>
      <c r="CE462" s="697"/>
      <c r="CF462" s="697"/>
      <c r="CG462" s="697"/>
      <c r="CH462" s="697"/>
      <c r="CI462" s="697"/>
      <c r="CJ462" s="697"/>
      <c r="CK462" s="697"/>
      <c r="CL462" s="697"/>
      <c r="CM462" s="697"/>
      <c r="CN462" s="697"/>
      <c r="CO462" s="697"/>
      <c r="CP462" s="697"/>
      <c r="CQ462" s="697"/>
      <c r="CR462" s="697"/>
      <c r="CS462" s="697"/>
      <c r="CT462" s="697"/>
      <c r="CU462" s="697"/>
      <c r="CV462" s="697"/>
      <c r="CW462" s="697"/>
      <c r="CX462" s="697"/>
      <c r="CY462" s="697"/>
      <c r="CZ462" s="697"/>
      <c r="DA462" s="697"/>
      <c r="DB462" s="697"/>
    </row>
    <row r="463" spans="1:106" hidden="1" outlineLevel="1" x14ac:dyDescent="0.2">
      <c r="A463" s="709">
        <f t="shared" si="95"/>
        <v>39722</v>
      </c>
      <c r="B463" s="709" t="str">
        <f t="shared" si="96"/>
        <v>4Q08</v>
      </c>
      <c r="C463" s="709" t="str">
        <f t="shared" si="97"/>
        <v>4Q08</v>
      </c>
      <c r="D463" s="710">
        <f t="shared" si="100"/>
        <v>39791</v>
      </c>
      <c r="E463" s="710">
        <f t="shared" si="100"/>
        <v>39731</v>
      </c>
      <c r="F463" s="712">
        <v>86.24</v>
      </c>
      <c r="G463" s="713">
        <f t="shared" si="98"/>
        <v>1.4900000000000011</v>
      </c>
      <c r="H463" s="713">
        <f t="shared" si="99"/>
        <v>1.4900000000000011</v>
      </c>
      <c r="I463" s="697"/>
      <c r="J463" s="697"/>
      <c r="K463" s="697"/>
      <c r="L463" s="697"/>
      <c r="M463" s="697"/>
      <c r="N463" s="697"/>
      <c r="O463" s="697"/>
      <c r="P463" s="697"/>
      <c r="Q463" s="697"/>
      <c r="R463" s="697"/>
      <c r="S463" s="697"/>
      <c r="T463" s="697"/>
      <c r="U463" s="697"/>
      <c r="V463" s="697"/>
      <c r="W463" s="697"/>
      <c r="X463" s="697"/>
      <c r="Y463" s="697"/>
      <c r="Z463" s="697"/>
      <c r="AA463" s="697"/>
      <c r="AB463" s="697"/>
      <c r="AC463" s="697"/>
      <c r="AD463" s="697"/>
      <c r="AE463" s="697"/>
      <c r="AF463" s="697"/>
      <c r="AG463" s="697"/>
      <c r="AH463" s="697"/>
      <c r="AI463" s="697"/>
      <c r="AJ463" s="697"/>
      <c r="AK463" s="697"/>
      <c r="AL463" s="697"/>
      <c r="AM463" s="697"/>
      <c r="AN463" s="697"/>
      <c r="AO463" s="697"/>
      <c r="AP463" s="697"/>
      <c r="AQ463" s="697"/>
      <c r="AR463" s="697"/>
      <c r="AS463" s="697"/>
      <c r="AT463" s="697"/>
      <c r="AU463" s="697"/>
      <c r="AV463" s="697"/>
      <c r="AW463" s="697"/>
      <c r="AX463" s="697"/>
      <c r="AY463" s="697"/>
      <c r="AZ463" s="697"/>
      <c r="BA463" s="697"/>
      <c r="BB463" s="697"/>
      <c r="BC463" s="697"/>
      <c r="BD463" s="697"/>
      <c r="BE463" s="697"/>
      <c r="BF463" s="697"/>
      <c r="BG463" s="697"/>
      <c r="BH463" s="697"/>
      <c r="BI463" s="697"/>
      <c r="BJ463" s="697"/>
      <c r="BK463" s="697"/>
      <c r="BL463" s="697"/>
      <c r="BM463" s="697"/>
      <c r="BN463" s="697"/>
      <c r="BO463" s="697"/>
      <c r="BP463" s="697"/>
      <c r="BQ463" s="697"/>
      <c r="BR463" s="697"/>
      <c r="BS463" s="697"/>
      <c r="BT463" s="697"/>
      <c r="BU463" s="697"/>
      <c r="BV463" s="697"/>
      <c r="BW463" s="697"/>
      <c r="BX463" s="697"/>
      <c r="BY463" s="697"/>
      <c r="BZ463" s="697"/>
      <c r="CA463" s="697"/>
      <c r="CB463" s="697"/>
      <c r="CC463" s="697"/>
      <c r="CD463" s="697"/>
      <c r="CE463" s="697"/>
      <c r="CF463" s="697"/>
      <c r="CG463" s="697"/>
      <c r="CH463" s="697"/>
      <c r="CI463" s="697"/>
      <c r="CJ463" s="697"/>
      <c r="CK463" s="697"/>
      <c r="CL463" s="697"/>
      <c r="CM463" s="697"/>
      <c r="CN463" s="697"/>
      <c r="CO463" s="697"/>
      <c r="CP463" s="697"/>
      <c r="CQ463" s="697"/>
      <c r="CR463" s="697"/>
      <c r="CS463" s="697"/>
      <c r="CT463" s="697"/>
      <c r="CU463" s="697"/>
      <c r="CV463" s="697"/>
      <c r="CW463" s="697"/>
      <c r="CX463" s="697"/>
      <c r="CY463" s="697"/>
      <c r="CZ463" s="697"/>
      <c r="DA463" s="697"/>
      <c r="DB463" s="697"/>
    </row>
    <row r="464" spans="1:106" hidden="1" outlineLevel="1" x14ac:dyDescent="0.2">
      <c r="A464" s="709">
        <f t="shared" si="95"/>
        <v>39722</v>
      </c>
      <c r="B464" s="709" t="str">
        <f t="shared" si="96"/>
        <v>4Q08</v>
      </c>
      <c r="C464" s="709" t="str">
        <f t="shared" si="97"/>
        <v>4Q08</v>
      </c>
      <c r="D464" s="710">
        <f t="shared" si="100"/>
        <v>39798</v>
      </c>
      <c r="E464" s="710">
        <f t="shared" si="100"/>
        <v>39738</v>
      </c>
      <c r="F464" s="712">
        <v>75.19</v>
      </c>
      <c r="G464" s="713">
        <f t="shared" si="98"/>
        <v>1.4900000000000011</v>
      </c>
      <c r="H464" s="713">
        <f t="shared" si="99"/>
        <v>1.4900000000000011</v>
      </c>
      <c r="I464" s="697"/>
      <c r="J464" s="697"/>
      <c r="K464" s="697"/>
      <c r="L464" s="697"/>
      <c r="M464" s="697"/>
      <c r="N464" s="697"/>
      <c r="O464" s="697"/>
      <c r="P464" s="697"/>
      <c r="Q464" s="697"/>
      <c r="R464" s="697"/>
      <c r="S464" s="697"/>
      <c r="T464" s="697"/>
      <c r="U464" s="697"/>
      <c r="V464" s="697"/>
      <c r="W464" s="697"/>
      <c r="X464" s="697"/>
      <c r="Y464" s="697"/>
      <c r="Z464" s="697"/>
      <c r="AA464" s="697"/>
      <c r="AB464" s="697"/>
      <c r="AC464" s="697"/>
      <c r="AD464" s="697"/>
      <c r="AE464" s="697"/>
      <c r="AF464" s="697"/>
      <c r="AG464" s="697"/>
      <c r="AH464" s="697"/>
      <c r="AI464" s="697"/>
      <c r="AJ464" s="697"/>
      <c r="AK464" s="697"/>
      <c r="AL464" s="697"/>
      <c r="AM464" s="697"/>
      <c r="AN464" s="697"/>
      <c r="AO464" s="697"/>
      <c r="AP464" s="697"/>
      <c r="AQ464" s="697"/>
      <c r="AR464" s="697"/>
      <c r="AS464" s="697"/>
      <c r="AT464" s="697"/>
      <c r="AU464" s="697"/>
      <c r="AV464" s="697"/>
      <c r="AW464" s="697"/>
      <c r="AX464" s="697"/>
      <c r="AY464" s="697"/>
      <c r="AZ464" s="697"/>
      <c r="BA464" s="697"/>
      <c r="BB464" s="697"/>
      <c r="BC464" s="697"/>
      <c r="BD464" s="697"/>
      <c r="BE464" s="697"/>
      <c r="BF464" s="697"/>
      <c r="BG464" s="697"/>
      <c r="BH464" s="697"/>
      <c r="BI464" s="697"/>
      <c r="BJ464" s="697"/>
      <c r="BK464" s="697"/>
      <c r="BL464" s="697"/>
      <c r="BM464" s="697"/>
      <c r="BN464" s="697"/>
      <c r="BO464" s="697"/>
      <c r="BP464" s="697"/>
      <c r="BQ464" s="697"/>
      <c r="BR464" s="697"/>
      <c r="BS464" s="697"/>
      <c r="BT464" s="697"/>
      <c r="BU464" s="697"/>
      <c r="BV464" s="697"/>
      <c r="BW464" s="697"/>
      <c r="BX464" s="697"/>
      <c r="BY464" s="697"/>
      <c r="BZ464" s="697"/>
      <c r="CA464" s="697"/>
      <c r="CB464" s="697"/>
      <c r="CC464" s="697"/>
      <c r="CD464" s="697"/>
      <c r="CE464" s="697"/>
      <c r="CF464" s="697"/>
      <c r="CG464" s="697"/>
      <c r="CH464" s="697"/>
      <c r="CI464" s="697"/>
      <c r="CJ464" s="697"/>
      <c r="CK464" s="697"/>
      <c r="CL464" s="697"/>
      <c r="CM464" s="697"/>
      <c r="CN464" s="697"/>
      <c r="CO464" s="697"/>
      <c r="CP464" s="697"/>
      <c r="CQ464" s="697"/>
      <c r="CR464" s="697"/>
      <c r="CS464" s="697"/>
      <c r="CT464" s="697"/>
      <c r="CU464" s="697"/>
      <c r="CV464" s="697"/>
      <c r="CW464" s="697"/>
      <c r="CX464" s="697"/>
      <c r="CY464" s="697"/>
      <c r="CZ464" s="697"/>
      <c r="DA464" s="697"/>
      <c r="DB464" s="697"/>
    </row>
    <row r="465" spans="1:106" hidden="1" outlineLevel="1" x14ac:dyDescent="0.2">
      <c r="A465" s="709">
        <f t="shared" si="95"/>
        <v>39722</v>
      </c>
      <c r="B465" s="709" t="str">
        <f t="shared" si="96"/>
        <v>4Q08</v>
      </c>
      <c r="C465" s="709" t="str">
        <f t="shared" si="97"/>
        <v>4Q08</v>
      </c>
      <c r="D465" s="710">
        <f t="shared" si="100"/>
        <v>39805</v>
      </c>
      <c r="E465" s="710">
        <f t="shared" si="100"/>
        <v>39745</v>
      </c>
      <c r="F465" s="712">
        <v>68.56</v>
      </c>
      <c r="G465" s="713">
        <f t="shared" si="98"/>
        <v>1.4900000000000011</v>
      </c>
      <c r="H465" s="713">
        <f t="shared" si="99"/>
        <v>1.4900000000000011</v>
      </c>
      <c r="I465" s="697"/>
      <c r="J465" s="697"/>
      <c r="K465" s="697"/>
      <c r="L465" s="697"/>
      <c r="M465" s="697"/>
      <c r="N465" s="697"/>
      <c r="O465" s="697"/>
      <c r="P465" s="697"/>
      <c r="Q465" s="697"/>
      <c r="R465" s="697"/>
      <c r="S465" s="697"/>
      <c r="T465" s="697"/>
      <c r="U465" s="697"/>
      <c r="V465" s="697"/>
      <c r="W465" s="697"/>
      <c r="X465" s="697"/>
      <c r="Y465" s="697"/>
      <c r="Z465" s="697"/>
      <c r="AA465" s="697"/>
      <c r="AB465" s="697"/>
      <c r="AC465" s="697"/>
      <c r="AD465" s="697"/>
      <c r="AE465" s="697"/>
      <c r="AF465" s="697"/>
      <c r="AG465" s="697"/>
      <c r="AH465" s="697"/>
      <c r="AI465" s="697"/>
      <c r="AJ465" s="697"/>
      <c r="AK465" s="697"/>
      <c r="AL465" s="697"/>
      <c r="AM465" s="697"/>
      <c r="AN465" s="697"/>
      <c r="AO465" s="697"/>
      <c r="AP465" s="697"/>
      <c r="AQ465" s="697"/>
      <c r="AR465" s="697"/>
      <c r="AS465" s="697"/>
      <c r="AT465" s="697"/>
      <c r="AU465" s="697"/>
      <c r="AV465" s="697"/>
      <c r="AW465" s="697"/>
      <c r="AX465" s="697"/>
      <c r="AY465" s="697"/>
      <c r="AZ465" s="697"/>
      <c r="BA465" s="697"/>
      <c r="BB465" s="697"/>
      <c r="BC465" s="697"/>
      <c r="BD465" s="697"/>
      <c r="BE465" s="697"/>
      <c r="BF465" s="697"/>
      <c r="BG465" s="697"/>
      <c r="BH465" s="697"/>
      <c r="BI465" s="697"/>
      <c r="BJ465" s="697"/>
      <c r="BK465" s="697"/>
      <c r="BL465" s="697"/>
      <c r="BM465" s="697"/>
      <c r="BN465" s="697"/>
      <c r="BO465" s="697"/>
      <c r="BP465" s="697"/>
      <c r="BQ465" s="697"/>
      <c r="BR465" s="697"/>
      <c r="BS465" s="697"/>
      <c r="BT465" s="697"/>
      <c r="BU465" s="697"/>
      <c r="BV465" s="697"/>
      <c r="BW465" s="697"/>
      <c r="BX465" s="697"/>
      <c r="BY465" s="697"/>
      <c r="BZ465" s="697"/>
      <c r="CA465" s="697"/>
      <c r="CB465" s="697"/>
      <c r="CC465" s="697"/>
      <c r="CD465" s="697"/>
      <c r="CE465" s="697"/>
      <c r="CF465" s="697"/>
      <c r="CG465" s="697"/>
      <c r="CH465" s="697"/>
      <c r="CI465" s="697"/>
      <c r="CJ465" s="697"/>
      <c r="CK465" s="697"/>
      <c r="CL465" s="697"/>
      <c r="CM465" s="697"/>
      <c r="CN465" s="697"/>
      <c r="CO465" s="697"/>
      <c r="CP465" s="697"/>
      <c r="CQ465" s="697"/>
      <c r="CR465" s="697"/>
      <c r="CS465" s="697"/>
      <c r="CT465" s="697"/>
      <c r="CU465" s="697"/>
      <c r="CV465" s="697"/>
      <c r="CW465" s="697"/>
      <c r="CX465" s="697"/>
      <c r="CY465" s="697"/>
      <c r="CZ465" s="697"/>
      <c r="DA465" s="697"/>
      <c r="DB465" s="697"/>
    </row>
    <row r="466" spans="1:106" hidden="1" outlineLevel="1" x14ac:dyDescent="0.2">
      <c r="A466" s="709">
        <f t="shared" si="95"/>
        <v>39722</v>
      </c>
      <c r="B466" s="709" t="str">
        <f t="shared" si="96"/>
        <v>4Q08</v>
      </c>
      <c r="C466" s="709" t="str">
        <f t="shared" si="97"/>
        <v>4Q08</v>
      </c>
      <c r="D466" s="710">
        <f t="shared" si="100"/>
        <v>39812</v>
      </c>
      <c r="E466" s="710">
        <f t="shared" si="100"/>
        <v>39752</v>
      </c>
      <c r="F466" s="712">
        <v>65.209999999999994</v>
      </c>
      <c r="G466" s="713">
        <f t="shared" si="98"/>
        <v>1.4900000000000011</v>
      </c>
      <c r="H466" s="713">
        <f t="shared" si="99"/>
        <v>1.4900000000000011</v>
      </c>
      <c r="I466" s="697"/>
      <c r="J466" s="697"/>
      <c r="K466" s="697"/>
      <c r="L466" s="697"/>
      <c r="M466" s="697"/>
      <c r="N466" s="697"/>
      <c r="O466" s="697"/>
      <c r="P466" s="697"/>
      <c r="Q466" s="697"/>
      <c r="R466" s="697"/>
      <c r="S466" s="697"/>
      <c r="T466" s="697"/>
      <c r="U466" s="697"/>
      <c r="V466" s="697"/>
      <c r="W466" s="697"/>
      <c r="X466" s="697"/>
      <c r="Y466" s="697"/>
      <c r="Z466" s="697"/>
      <c r="AA466" s="697"/>
      <c r="AB466" s="697"/>
      <c r="AC466" s="697"/>
      <c r="AD466" s="697"/>
      <c r="AE466" s="697"/>
      <c r="AF466" s="697"/>
      <c r="AG466" s="697"/>
      <c r="AH466" s="697"/>
      <c r="AI466" s="697"/>
      <c r="AJ466" s="697"/>
      <c r="AK466" s="697"/>
      <c r="AL466" s="697"/>
      <c r="AM466" s="697"/>
      <c r="AN466" s="697"/>
      <c r="AO466" s="697"/>
      <c r="AP466" s="697"/>
      <c r="AQ466" s="697"/>
      <c r="AR466" s="697"/>
      <c r="AS466" s="697"/>
      <c r="AT466" s="697"/>
      <c r="AU466" s="697"/>
      <c r="AV466" s="697"/>
      <c r="AW466" s="697"/>
      <c r="AX466" s="697"/>
      <c r="AY466" s="697"/>
      <c r="AZ466" s="697"/>
      <c r="BA466" s="697"/>
      <c r="BB466" s="697"/>
      <c r="BC466" s="697"/>
      <c r="BD466" s="697"/>
      <c r="BE466" s="697"/>
      <c r="BF466" s="697"/>
      <c r="BG466" s="697"/>
      <c r="BH466" s="697"/>
      <c r="BI466" s="697"/>
      <c r="BJ466" s="697"/>
      <c r="BK466" s="697"/>
      <c r="BL466" s="697"/>
      <c r="BM466" s="697"/>
      <c r="BN466" s="697"/>
      <c r="BO466" s="697"/>
      <c r="BP466" s="697"/>
      <c r="BQ466" s="697"/>
      <c r="BR466" s="697"/>
      <c r="BS466" s="697"/>
      <c r="BT466" s="697"/>
      <c r="BU466" s="697"/>
      <c r="BV466" s="697"/>
      <c r="BW466" s="697"/>
      <c r="BX466" s="697"/>
      <c r="BY466" s="697"/>
      <c r="BZ466" s="697"/>
      <c r="CA466" s="697"/>
      <c r="CB466" s="697"/>
      <c r="CC466" s="697"/>
      <c r="CD466" s="697"/>
      <c r="CE466" s="697"/>
      <c r="CF466" s="697"/>
      <c r="CG466" s="697"/>
      <c r="CH466" s="697"/>
      <c r="CI466" s="697"/>
      <c r="CJ466" s="697"/>
      <c r="CK466" s="697"/>
      <c r="CL466" s="697"/>
      <c r="CM466" s="697"/>
      <c r="CN466" s="697"/>
      <c r="CO466" s="697"/>
      <c r="CP466" s="697"/>
      <c r="CQ466" s="697"/>
      <c r="CR466" s="697"/>
      <c r="CS466" s="697"/>
      <c r="CT466" s="697"/>
      <c r="CU466" s="697"/>
      <c r="CV466" s="697"/>
      <c r="CW466" s="697"/>
      <c r="CX466" s="697"/>
      <c r="CY466" s="697"/>
      <c r="CZ466" s="697"/>
      <c r="DA466" s="697"/>
      <c r="DB466" s="697"/>
    </row>
    <row r="467" spans="1:106" hidden="1" outlineLevel="1" x14ac:dyDescent="0.2">
      <c r="A467" s="709">
        <f t="shared" si="95"/>
        <v>39753</v>
      </c>
      <c r="B467" s="709" t="str">
        <f t="shared" si="96"/>
        <v>4Q08</v>
      </c>
      <c r="C467" s="709" t="str">
        <f t="shared" si="97"/>
        <v>1Q09</v>
      </c>
      <c r="D467" s="710">
        <f t="shared" si="100"/>
        <v>39819</v>
      </c>
      <c r="E467" s="710">
        <f t="shared" si="100"/>
        <v>39759</v>
      </c>
      <c r="F467" s="712">
        <v>64.31</v>
      </c>
      <c r="G467" s="713">
        <f t="shared" si="98"/>
        <v>1.4900000000000011</v>
      </c>
      <c r="H467" s="713">
        <f t="shared" si="99"/>
        <v>1.4900000000000011</v>
      </c>
      <c r="I467" s="697"/>
      <c r="J467" s="697"/>
      <c r="K467" s="697"/>
      <c r="L467" s="697"/>
      <c r="M467" s="697"/>
      <c r="N467" s="697"/>
      <c r="O467" s="697"/>
      <c r="P467" s="697"/>
      <c r="Q467" s="697"/>
      <c r="R467" s="697"/>
      <c r="S467" s="697"/>
      <c r="T467" s="697"/>
      <c r="U467" s="697"/>
      <c r="V467" s="697"/>
      <c r="W467" s="697"/>
      <c r="X467" s="697"/>
      <c r="Y467" s="697"/>
      <c r="Z467" s="697"/>
      <c r="AA467" s="697"/>
      <c r="AB467" s="697"/>
      <c r="AC467" s="697"/>
      <c r="AD467" s="697"/>
      <c r="AE467" s="697"/>
      <c r="AF467" s="697"/>
      <c r="AG467" s="697"/>
      <c r="AH467" s="697"/>
      <c r="AI467" s="697"/>
      <c r="AJ467" s="697"/>
      <c r="AK467" s="697"/>
      <c r="AL467" s="697"/>
      <c r="AM467" s="697"/>
      <c r="AN467" s="697"/>
      <c r="AO467" s="697"/>
      <c r="AP467" s="697"/>
      <c r="AQ467" s="697"/>
      <c r="AR467" s="697"/>
      <c r="AS467" s="697"/>
      <c r="AT467" s="697"/>
      <c r="AU467" s="697"/>
      <c r="AV467" s="697"/>
      <c r="AW467" s="697"/>
      <c r="AX467" s="697"/>
      <c r="AY467" s="697"/>
      <c r="AZ467" s="697"/>
      <c r="BA467" s="697"/>
      <c r="BB467" s="697"/>
      <c r="BC467" s="697"/>
      <c r="BD467" s="697"/>
      <c r="BE467" s="697"/>
      <c r="BF467" s="697"/>
      <c r="BG467" s="697"/>
      <c r="BH467" s="697"/>
      <c r="BI467" s="697"/>
      <c r="BJ467" s="697"/>
      <c r="BK467" s="697"/>
      <c r="BL467" s="697"/>
      <c r="BM467" s="697"/>
      <c r="BN467" s="697"/>
      <c r="BO467" s="697"/>
      <c r="BP467" s="697"/>
      <c r="BQ467" s="697"/>
      <c r="BR467" s="697"/>
      <c r="BS467" s="697"/>
      <c r="BT467" s="697"/>
      <c r="BU467" s="697"/>
      <c r="BV467" s="697"/>
      <c r="BW467" s="697"/>
      <c r="BX467" s="697"/>
      <c r="BY467" s="697"/>
      <c r="BZ467" s="697"/>
      <c r="CA467" s="697"/>
      <c r="CB467" s="697"/>
      <c r="CC467" s="697"/>
      <c r="CD467" s="697"/>
      <c r="CE467" s="697"/>
      <c r="CF467" s="697"/>
      <c r="CG467" s="697"/>
      <c r="CH467" s="697"/>
      <c r="CI467" s="697"/>
      <c r="CJ467" s="697"/>
      <c r="CK467" s="697"/>
      <c r="CL467" s="697"/>
      <c r="CM467" s="697"/>
      <c r="CN467" s="697"/>
      <c r="CO467" s="697"/>
      <c r="CP467" s="697"/>
      <c r="CQ467" s="697"/>
      <c r="CR467" s="697"/>
      <c r="CS467" s="697"/>
      <c r="CT467" s="697"/>
      <c r="CU467" s="697"/>
      <c r="CV467" s="697"/>
      <c r="CW467" s="697"/>
      <c r="CX467" s="697"/>
      <c r="CY467" s="697"/>
      <c r="CZ467" s="697"/>
      <c r="DA467" s="697"/>
      <c r="DB467" s="697"/>
    </row>
    <row r="468" spans="1:106" hidden="1" outlineLevel="1" x14ac:dyDescent="0.2">
      <c r="A468" s="709">
        <f t="shared" si="95"/>
        <v>39753</v>
      </c>
      <c r="B468" s="709" t="str">
        <f t="shared" si="96"/>
        <v>4Q08</v>
      </c>
      <c r="C468" s="709" t="str">
        <f t="shared" si="97"/>
        <v>1Q09</v>
      </c>
      <c r="D468" s="710">
        <f t="shared" si="100"/>
        <v>39826</v>
      </c>
      <c r="E468" s="710">
        <f t="shared" si="100"/>
        <v>39766</v>
      </c>
      <c r="F468" s="712">
        <v>58.6</v>
      </c>
      <c r="G468" s="713">
        <f t="shared" si="98"/>
        <v>1.4900000000000011</v>
      </c>
      <c r="H468" s="713">
        <f t="shared" si="99"/>
        <v>1.4900000000000011</v>
      </c>
      <c r="I468" s="697"/>
      <c r="J468" s="697"/>
      <c r="K468" s="697"/>
      <c r="L468" s="697"/>
      <c r="M468" s="697"/>
      <c r="N468" s="697"/>
      <c r="O468" s="697"/>
      <c r="P468" s="697"/>
      <c r="Q468" s="697"/>
      <c r="R468" s="697"/>
      <c r="S468" s="697"/>
      <c r="T468" s="697"/>
      <c r="U468" s="697"/>
      <c r="V468" s="697"/>
      <c r="W468" s="697"/>
      <c r="X468" s="697"/>
      <c r="Y468" s="697"/>
      <c r="Z468" s="697"/>
      <c r="AA468" s="697"/>
      <c r="AB468" s="697"/>
      <c r="AC468" s="697"/>
      <c r="AD468" s="697"/>
      <c r="AE468" s="697"/>
      <c r="AF468" s="697"/>
      <c r="AG468" s="697"/>
      <c r="AH468" s="697"/>
      <c r="AI468" s="697"/>
      <c r="AJ468" s="697"/>
      <c r="AK468" s="697"/>
      <c r="AL468" s="697"/>
      <c r="AM468" s="697"/>
      <c r="AN468" s="697"/>
      <c r="AO468" s="697"/>
      <c r="AP468" s="697"/>
      <c r="AQ468" s="697"/>
      <c r="AR468" s="697"/>
      <c r="AS468" s="697"/>
      <c r="AT468" s="697"/>
      <c r="AU468" s="697"/>
      <c r="AV468" s="697"/>
      <c r="AW468" s="697"/>
      <c r="AX468" s="697"/>
      <c r="AY468" s="697"/>
      <c r="AZ468" s="697"/>
      <c r="BA468" s="697"/>
      <c r="BB468" s="697"/>
      <c r="BC468" s="697"/>
      <c r="BD468" s="697"/>
      <c r="BE468" s="697"/>
      <c r="BF468" s="697"/>
      <c r="BG468" s="697"/>
      <c r="BH468" s="697"/>
      <c r="BI468" s="697"/>
      <c r="BJ468" s="697"/>
      <c r="BK468" s="697"/>
      <c r="BL468" s="697"/>
      <c r="BM468" s="697"/>
      <c r="BN468" s="697"/>
      <c r="BO468" s="697"/>
      <c r="BP468" s="697"/>
      <c r="BQ468" s="697"/>
      <c r="BR468" s="697"/>
      <c r="BS468" s="697"/>
      <c r="BT468" s="697"/>
      <c r="BU468" s="697"/>
      <c r="BV468" s="697"/>
      <c r="BW468" s="697"/>
      <c r="BX468" s="697"/>
      <c r="BY468" s="697"/>
      <c r="BZ468" s="697"/>
      <c r="CA468" s="697"/>
      <c r="CB468" s="697"/>
      <c r="CC468" s="697"/>
      <c r="CD468" s="697"/>
      <c r="CE468" s="697"/>
      <c r="CF468" s="697"/>
      <c r="CG468" s="697"/>
      <c r="CH468" s="697"/>
      <c r="CI468" s="697"/>
      <c r="CJ468" s="697"/>
      <c r="CK468" s="697"/>
      <c r="CL468" s="697"/>
      <c r="CM468" s="697"/>
      <c r="CN468" s="697"/>
      <c r="CO468" s="697"/>
      <c r="CP468" s="697"/>
      <c r="CQ468" s="697"/>
      <c r="CR468" s="697"/>
      <c r="CS468" s="697"/>
      <c r="CT468" s="697"/>
      <c r="CU468" s="697"/>
      <c r="CV468" s="697"/>
      <c r="CW468" s="697"/>
      <c r="CX468" s="697"/>
      <c r="CY468" s="697"/>
      <c r="CZ468" s="697"/>
      <c r="DA468" s="697"/>
      <c r="DB468" s="697"/>
    </row>
    <row r="469" spans="1:106" hidden="1" outlineLevel="1" x14ac:dyDescent="0.2">
      <c r="A469" s="709">
        <f t="shared" si="95"/>
        <v>39753</v>
      </c>
      <c r="B469" s="709" t="str">
        <f t="shared" si="96"/>
        <v>4Q08</v>
      </c>
      <c r="C469" s="709" t="str">
        <f t="shared" si="97"/>
        <v>1Q09</v>
      </c>
      <c r="D469" s="710">
        <f t="shared" ref="D469:E484" si="101">D468+7</f>
        <v>39833</v>
      </c>
      <c r="E469" s="710">
        <f t="shared" si="101"/>
        <v>39773</v>
      </c>
      <c r="F469" s="712">
        <v>52.26</v>
      </c>
      <c r="G469" s="713">
        <f t="shared" si="98"/>
        <v>1.4900000000000011</v>
      </c>
      <c r="H469" s="713">
        <f t="shared" si="99"/>
        <v>1.4900000000000011</v>
      </c>
      <c r="I469" s="697"/>
      <c r="J469" s="697"/>
      <c r="K469" s="697"/>
      <c r="L469" s="697"/>
      <c r="M469" s="697"/>
      <c r="N469" s="697"/>
      <c r="O469" s="697"/>
      <c r="P469" s="697"/>
      <c r="Q469" s="697"/>
      <c r="R469" s="697"/>
      <c r="S469" s="697"/>
      <c r="T469" s="697"/>
      <c r="U469" s="697"/>
      <c r="V469" s="697"/>
      <c r="W469" s="697"/>
      <c r="X469" s="697"/>
      <c r="Y469" s="697"/>
      <c r="Z469" s="697"/>
      <c r="AA469" s="697"/>
      <c r="AB469" s="697"/>
      <c r="AC469" s="697"/>
      <c r="AD469" s="697"/>
      <c r="AE469" s="697"/>
      <c r="AF469" s="697"/>
      <c r="AG469" s="697"/>
      <c r="AH469" s="697"/>
      <c r="AI469" s="697"/>
      <c r="AJ469" s="697"/>
      <c r="AK469" s="697"/>
      <c r="AL469" s="697"/>
      <c r="AM469" s="697"/>
      <c r="AN469" s="697"/>
      <c r="AO469" s="697"/>
      <c r="AP469" s="697"/>
      <c r="AQ469" s="697"/>
      <c r="AR469" s="697"/>
      <c r="AS469" s="697"/>
      <c r="AT469" s="697"/>
      <c r="AU469" s="697"/>
      <c r="AV469" s="697"/>
      <c r="AW469" s="697"/>
      <c r="AX469" s="697"/>
      <c r="AY469" s="697"/>
      <c r="AZ469" s="697"/>
      <c r="BA469" s="697"/>
      <c r="BB469" s="697"/>
      <c r="BC469" s="697"/>
      <c r="BD469" s="697"/>
      <c r="BE469" s="697"/>
      <c r="BF469" s="697"/>
      <c r="BG469" s="697"/>
      <c r="BH469" s="697"/>
      <c r="BI469" s="697"/>
      <c r="BJ469" s="697"/>
      <c r="BK469" s="697"/>
      <c r="BL469" s="697"/>
      <c r="BM469" s="697"/>
      <c r="BN469" s="697"/>
      <c r="BO469" s="697"/>
      <c r="BP469" s="697"/>
      <c r="BQ469" s="697"/>
      <c r="BR469" s="697"/>
      <c r="BS469" s="697"/>
      <c r="BT469" s="697"/>
      <c r="BU469" s="697"/>
      <c r="BV469" s="697"/>
      <c r="BW469" s="697"/>
      <c r="BX469" s="697"/>
      <c r="BY469" s="697"/>
      <c r="BZ469" s="697"/>
      <c r="CA469" s="697"/>
      <c r="CB469" s="697"/>
      <c r="CC469" s="697"/>
      <c r="CD469" s="697"/>
      <c r="CE469" s="697"/>
      <c r="CF469" s="697"/>
      <c r="CG469" s="697"/>
      <c r="CH469" s="697"/>
      <c r="CI469" s="697"/>
      <c r="CJ469" s="697"/>
      <c r="CK469" s="697"/>
      <c r="CL469" s="697"/>
      <c r="CM469" s="697"/>
      <c r="CN469" s="697"/>
      <c r="CO469" s="697"/>
      <c r="CP469" s="697"/>
      <c r="CQ469" s="697"/>
      <c r="CR469" s="697"/>
      <c r="CS469" s="697"/>
      <c r="CT469" s="697"/>
      <c r="CU469" s="697"/>
      <c r="CV469" s="697"/>
      <c r="CW469" s="697"/>
      <c r="CX469" s="697"/>
      <c r="CY469" s="697"/>
      <c r="CZ469" s="697"/>
      <c r="DA469" s="697"/>
      <c r="DB469" s="697"/>
    </row>
    <row r="470" spans="1:106" hidden="1" outlineLevel="1" x14ac:dyDescent="0.2">
      <c r="A470" s="709">
        <f t="shared" si="95"/>
        <v>39753</v>
      </c>
      <c r="B470" s="709" t="str">
        <f t="shared" si="96"/>
        <v>4Q08</v>
      </c>
      <c r="C470" s="709" t="str">
        <f t="shared" si="97"/>
        <v>1Q09</v>
      </c>
      <c r="D470" s="710">
        <f t="shared" si="101"/>
        <v>39840</v>
      </c>
      <c r="E470" s="710">
        <f t="shared" si="101"/>
        <v>39780</v>
      </c>
      <c r="F470" s="712">
        <v>53.27</v>
      </c>
      <c r="G470" s="713">
        <f t="shared" si="98"/>
        <v>1.4900000000000011</v>
      </c>
      <c r="H470" s="713">
        <f t="shared" si="99"/>
        <v>1.4900000000000011</v>
      </c>
      <c r="I470" s="697"/>
      <c r="J470" s="697"/>
      <c r="K470" s="697"/>
      <c r="L470" s="697"/>
      <c r="M470" s="697"/>
      <c r="N470" s="697"/>
      <c r="O470" s="697"/>
      <c r="P470" s="697"/>
      <c r="Q470" s="697"/>
      <c r="R470" s="697"/>
      <c r="S470" s="697"/>
      <c r="T470" s="697"/>
      <c r="U470" s="697"/>
      <c r="V470" s="697"/>
      <c r="W470" s="697"/>
      <c r="X470" s="697"/>
      <c r="Y470" s="697"/>
      <c r="Z470" s="697"/>
      <c r="AA470" s="697"/>
      <c r="AB470" s="697"/>
      <c r="AC470" s="697"/>
      <c r="AD470" s="697"/>
      <c r="AE470" s="697"/>
      <c r="AF470" s="697"/>
      <c r="AG470" s="697"/>
      <c r="AH470" s="697"/>
      <c r="AI470" s="697"/>
      <c r="AJ470" s="697"/>
      <c r="AK470" s="697"/>
      <c r="AL470" s="697"/>
      <c r="AM470" s="697"/>
      <c r="AN470" s="697"/>
      <c r="AO470" s="697"/>
      <c r="AP470" s="697"/>
      <c r="AQ470" s="697"/>
      <c r="AR470" s="697"/>
      <c r="AS470" s="697"/>
      <c r="AT470" s="697"/>
      <c r="AU470" s="697"/>
      <c r="AV470" s="697"/>
      <c r="AW470" s="697"/>
      <c r="AX470" s="697"/>
      <c r="AY470" s="697"/>
      <c r="AZ470" s="697"/>
      <c r="BA470" s="697"/>
      <c r="BB470" s="697"/>
      <c r="BC470" s="697"/>
      <c r="BD470" s="697"/>
      <c r="BE470" s="697"/>
      <c r="BF470" s="697"/>
      <c r="BG470" s="697"/>
      <c r="BH470" s="697"/>
      <c r="BI470" s="697"/>
      <c r="BJ470" s="697"/>
      <c r="BK470" s="697"/>
      <c r="BL470" s="697"/>
      <c r="BM470" s="697"/>
      <c r="BN470" s="697"/>
      <c r="BO470" s="697"/>
      <c r="BP470" s="697"/>
      <c r="BQ470" s="697"/>
      <c r="BR470" s="697"/>
      <c r="BS470" s="697"/>
      <c r="BT470" s="697"/>
      <c r="BU470" s="697"/>
      <c r="BV470" s="697"/>
      <c r="BW470" s="697"/>
      <c r="BX470" s="697"/>
      <c r="BY470" s="697"/>
      <c r="BZ470" s="697"/>
      <c r="CA470" s="697"/>
      <c r="CB470" s="697"/>
      <c r="CC470" s="697"/>
      <c r="CD470" s="697"/>
      <c r="CE470" s="697"/>
      <c r="CF470" s="697"/>
      <c r="CG470" s="697"/>
      <c r="CH470" s="697"/>
      <c r="CI470" s="697"/>
      <c r="CJ470" s="697"/>
      <c r="CK470" s="697"/>
      <c r="CL470" s="697"/>
      <c r="CM470" s="697"/>
      <c r="CN470" s="697"/>
      <c r="CO470" s="697"/>
      <c r="CP470" s="697"/>
      <c r="CQ470" s="697"/>
      <c r="CR470" s="697"/>
      <c r="CS470" s="697"/>
      <c r="CT470" s="697"/>
      <c r="CU470" s="697"/>
      <c r="CV470" s="697"/>
      <c r="CW470" s="697"/>
      <c r="CX470" s="697"/>
      <c r="CY470" s="697"/>
      <c r="CZ470" s="697"/>
      <c r="DA470" s="697"/>
      <c r="DB470" s="697"/>
    </row>
    <row r="471" spans="1:106" hidden="1" outlineLevel="1" x14ac:dyDescent="0.2">
      <c r="A471" s="709">
        <f t="shared" si="95"/>
        <v>39783</v>
      </c>
      <c r="B471" s="709" t="str">
        <f t="shared" si="96"/>
        <v>4Q08</v>
      </c>
      <c r="C471" s="709" t="str">
        <f t="shared" si="97"/>
        <v>1Q09</v>
      </c>
      <c r="D471" s="710">
        <f t="shared" si="101"/>
        <v>39847</v>
      </c>
      <c r="E471" s="710">
        <f t="shared" si="101"/>
        <v>39787</v>
      </c>
      <c r="F471" s="712">
        <v>45.6</v>
      </c>
      <c r="G471" s="713">
        <f t="shared" si="98"/>
        <v>1.4900000000000011</v>
      </c>
      <c r="H471" s="713">
        <f t="shared" si="99"/>
        <v>1.4900000000000011</v>
      </c>
      <c r="I471" s="697"/>
      <c r="J471" s="697"/>
      <c r="K471" s="697"/>
      <c r="L471" s="697"/>
      <c r="M471" s="697"/>
      <c r="N471" s="697"/>
      <c r="O471" s="697"/>
      <c r="P471" s="697"/>
      <c r="Q471" s="697"/>
      <c r="R471" s="697"/>
      <c r="S471" s="697"/>
      <c r="T471" s="697"/>
      <c r="U471" s="697"/>
      <c r="V471" s="697"/>
      <c r="W471" s="697"/>
      <c r="X471" s="697"/>
      <c r="Y471" s="697"/>
      <c r="Z471" s="697"/>
      <c r="AA471" s="697"/>
      <c r="AB471" s="697"/>
      <c r="AC471" s="697"/>
      <c r="AD471" s="697"/>
      <c r="AE471" s="697"/>
      <c r="AF471" s="697"/>
      <c r="AG471" s="697"/>
      <c r="AH471" s="697"/>
      <c r="AI471" s="697"/>
      <c r="AJ471" s="697"/>
      <c r="AK471" s="697"/>
      <c r="AL471" s="697"/>
      <c r="AM471" s="697"/>
      <c r="AN471" s="697"/>
      <c r="AO471" s="697"/>
      <c r="AP471" s="697"/>
      <c r="AQ471" s="697"/>
      <c r="AR471" s="697"/>
      <c r="AS471" s="697"/>
      <c r="AT471" s="697"/>
      <c r="AU471" s="697"/>
      <c r="AV471" s="697"/>
      <c r="AW471" s="697"/>
      <c r="AX471" s="697"/>
      <c r="AY471" s="697"/>
      <c r="AZ471" s="697"/>
      <c r="BA471" s="697"/>
      <c r="BB471" s="697"/>
      <c r="BC471" s="697"/>
      <c r="BD471" s="697"/>
      <c r="BE471" s="697"/>
      <c r="BF471" s="697"/>
      <c r="BG471" s="697"/>
      <c r="BH471" s="697"/>
      <c r="BI471" s="697"/>
      <c r="BJ471" s="697"/>
      <c r="BK471" s="697"/>
      <c r="BL471" s="697"/>
      <c r="BM471" s="697"/>
      <c r="BN471" s="697"/>
      <c r="BO471" s="697"/>
      <c r="BP471" s="697"/>
      <c r="BQ471" s="697"/>
      <c r="BR471" s="697"/>
      <c r="BS471" s="697"/>
      <c r="BT471" s="697"/>
      <c r="BU471" s="697"/>
      <c r="BV471" s="697"/>
      <c r="BW471" s="697"/>
      <c r="BX471" s="697"/>
      <c r="BY471" s="697"/>
      <c r="BZ471" s="697"/>
      <c r="CA471" s="697"/>
      <c r="CB471" s="697"/>
      <c r="CC471" s="697"/>
      <c r="CD471" s="697"/>
      <c r="CE471" s="697"/>
      <c r="CF471" s="697"/>
      <c r="CG471" s="697"/>
      <c r="CH471" s="697"/>
      <c r="CI471" s="697"/>
      <c r="CJ471" s="697"/>
      <c r="CK471" s="697"/>
      <c r="CL471" s="697"/>
      <c r="CM471" s="697"/>
      <c r="CN471" s="697"/>
      <c r="CO471" s="697"/>
      <c r="CP471" s="697"/>
      <c r="CQ471" s="697"/>
      <c r="CR471" s="697"/>
      <c r="CS471" s="697"/>
      <c r="CT471" s="697"/>
      <c r="CU471" s="697"/>
      <c r="CV471" s="697"/>
      <c r="CW471" s="697"/>
      <c r="CX471" s="697"/>
      <c r="CY471" s="697"/>
      <c r="CZ471" s="697"/>
      <c r="DA471" s="697"/>
      <c r="DB471" s="697"/>
    </row>
    <row r="472" spans="1:106" hidden="1" outlineLevel="1" x14ac:dyDescent="0.2">
      <c r="A472" s="709">
        <f t="shared" si="95"/>
        <v>39783</v>
      </c>
      <c r="B472" s="709" t="str">
        <f t="shared" si="96"/>
        <v>4Q08</v>
      </c>
      <c r="C472" s="709" t="str">
        <f t="shared" si="97"/>
        <v>1Q09</v>
      </c>
      <c r="D472" s="710">
        <f t="shared" si="101"/>
        <v>39854</v>
      </c>
      <c r="E472" s="710">
        <f t="shared" si="101"/>
        <v>39794</v>
      </c>
      <c r="F472" s="712">
        <v>44.57</v>
      </c>
      <c r="G472" s="713">
        <f t="shared" si="98"/>
        <v>1.4900000000000011</v>
      </c>
      <c r="H472" s="713">
        <f t="shared" si="99"/>
        <v>1.4900000000000011</v>
      </c>
      <c r="I472" s="697"/>
      <c r="J472" s="697"/>
      <c r="K472" s="697"/>
      <c r="L472" s="697"/>
      <c r="M472" s="697"/>
      <c r="N472" s="697"/>
      <c r="O472" s="697"/>
      <c r="P472" s="697"/>
      <c r="Q472" s="697"/>
      <c r="R472" s="697"/>
      <c r="S472" s="697"/>
      <c r="T472" s="697"/>
      <c r="U472" s="697"/>
      <c r="V472" s="697"/>
      <c r="W472" s="697"/>
      <c r="X472" s="697"/>
      <c r="Y472" s="697"/>
      <c r="Z472" s="697"/>
      <c r="AA472" s="697"/>
      <c r="AB472" s="697"/>
      <c r="AC472" s="697"/>
      <c r="AD472" s="697"/>
      <c r="AE472" s="697"/>
      <c r="AF472" s="697"/>
      <c r="AG472" s="697"/>
      <c r="AH472" s="697"/>
      <c r="AI472" s="697"/>
      <c r="AJ472" s="697"/>
      <c r="AK472" s="697"/>
      <c r="AL472" s="697"/>
      <c r="AM472" s="697"/>
      <c r="AN472" s="697"/>
      <c r="AO472" s="697"/>
      <c r="AP472" s="697"/>
      <c r="AQ472" s="697"/>
      <c r="AR472" s="697"/>
      <c r="AS472" s="697"/>
      <c r="AT472" s="697"/>
      <c r="AU472" s="697"/>
      <c r="AV472" s="697"/>
      <c r="AW472" s="697"/>
      <c r="AX472" s="697"/>
      <c r="AY472" s="697"/>
      <c r="AZ472" s="697"/>
      <c r="BA472" s="697"/>
      <c r="BB472" s="697"/>
      <c r="BC472" s="697"/>
      <c r="BD472" s="697"/>
      <c r="BE472" s="697"/>
      <c r="BF472" s="697"/>
      <c r="BG472" s="697"/>
      <c r="BH472" s="697"/>
      <c r="BI472" s="697"/>
      <c r="BJ472" s="697"/>
      <c r="BK472" s="697"/>
      <c r="BL472" s="697"/>
      <c r="BM472" s="697"/>
      <c r="BN472" s="697"/>
      <c r="BO472" s="697"/>
      <c r="BP472" s="697"/>
      <c r="BQ472" s="697"/>
      <c r="BR472" s="697"/>
      <c r="BS472" s="697"/>
      <c r="BT472" s="697"/>
      <c r="BU472" s="697"/>
      <c r="BV472" s="697"/>
      <c r="BW472" s="697"/>
      <c r="BX472" s="697"/>
      <c r="BY472" s="697"/>
      <c r="BZ472" s="697"/>
      <c r="CA472" s="697"/>
      <c r="CB472" s="697"/>
      <c r="CC472" s="697"/>
      <c r="CD472" s="697"/>
      <c r="CE472" s="697"/>
      <c r="CF472" s="697"/>
      <c r="CG472" s="697"/>
      <c r="CH472" s="697"/>
      <c r="CI472" s="697"/>
      <c r="CJ472" s="697"/>
      <c r="CK472" s="697"/>
      <c r="CL472" s="697"/>
      <c r="CM472" s="697"/>
      <c r="CN472" s="697"/>
      <c r="CO472" s="697"/>
      <c r="CP472" s="697"/>
      <c r="CQ472" s="697"/>
      <c r="CR472" s="697"/>
      <c r="CS472" s="697"/>
      <c r="CT472" s="697"/>
      <c r="CU472" s="697"/>
      <c r="CV472" s="697"/>
      <c r="CW472" s="697"/>
      <c r="CX472" s="697"/>
      <c r="CY472" s="697"/>
      <c r="CZ472" s="697"/>
      <c r="DA472" s="697"/>
      <c r="DB472" s="697"/>
    </row>
    <row r="473" spans="1:106" hidden="1" outlineLevel="1" x14ac:dyDescent="0.2">
      <c r="A473" s="709">
        <f t="shared" si="95"/>
        <v>39783</v>
      </c>
      <c r="B473" s="709" t="str">
        <f t="shared" si="96"/>
        <v>4Q08</v>
      </c>
      <c r="C473" s="709" t="str">
        <f t="shared" si="97"/>
        <v>1Q09</v>
      </c>
      <c r="D473" s="710">
        <f t="shared" si="101"/>
        <v>39861</v>
      </c>
      <c r="E473" s="710">
        <f t="shared" si="101"/>
        <v>39801</v>
      </c>
      <c r="F473" s="712">
        <v>39.700000000000003</v>
      </c>
      <c r="G473" s="713">
        <f t="shared" si="98"/>
        <v>1.4900000000000011</v>
      </c>
      <c r="H473" s="713">
        <f t="shared" si="99"/>
        <v>1.4900000000000011</v>
      </c>
      <c r="I473" s="697"/>
      <c r="J473" s="697"/>
      <c r="K473" s="697"/>
      <c r="L473" s="697"/>
      <c r="M473" s="697"/>
      <c r="N473" s="697"/>
      <c r="O473" s="697"/>
      <c r="P473" s="697"/>
      <c r="Q473" s="697"/>
      <c r="R473" s="697"/>
      <c r="S473" s="697"/>
      <c r="T473" s="697"/>
      <c r="U473" s="697"/>
      <c r="V473" s="697"/>
      <c r="W473" s="697"/>
      <c r="X473" s="697"/>
      <c r="Y473" s="697"/>
      <c r="Z473" s="697"/>
      <c r="AA473" s="697"/>
      <c r="AB473" s="697"/>
      <c r="AC473" s="697"/>
      <c r="AD473" s="697"/>
      <c r="AE473" s="697"/>
      <c r="AF473" s="697"/>
      <c r="AG473" s="697"/>
      <c r="AH473" s="697"/>
      <c r="AI473" s="697"/>
      <c r="AJ473" s="697"/>
      <c r="AK473" s="697"/>
      <c r="AL473" s="697"/>
      <c r="AM473" s="697"/>
      <c r="AN473" s="697"/>
      <c r="AO473" s="697"/>
      <c r="AP473" s="697"/>
      <c r="AQ473" s="697"/>
      <c r="AR473" s="697"/>
      <c r="AS473" s="697"/>
      <c r="AT473" s="697"/>
      <c r="AU473" s="697"/>
      <c r="AV473" s="697"/>
      <c r="AW473" s="697"/>
      <c r="AX473" s="697"/>
      <c r="AY473" s="697"/>
      <c r="AZ473" s="697"/>
      <c r="BA473" s="697"/>
      <c r="BB473" s="697"/>
      <c r="BC473" s="697"/>
      <c r="BD473" s="697"/>
      <c r="BE473" s="697"/>
      <c r="BF473" s="697"/>
      <c r="BG473" s="697"/>
      <c r="BH473" s="697"/>
      <c r="BI473" s="697"/>
      <c r="BJ473" s="697"/>
      <c r="BK473" s="697"/>
      <c r="BL473" s="697"/>
      <c r="BM473" s="697"/>
      <c r="BN473" s="697"/>
      <c r="BO473" s="697"/>
      <c r="BP473" s="697"/>
      <c r="BQ473" s="697"/>
      <c r="BR473" s="697"/>
      <c r="BS473" s="697"/>
      <c r="BT473" s="697"/>
      <c r="BU473" s="697"/>
      <c r="BV473" s="697"/>
      <c r="BW473" s="697"/>
      <c r="BX473" s="697"/>
      <c r="BY473" s="697"/>
      <c r="BZ473" s="697"/>
      <c r="CA473" s="697"/>
      <c r="CB473" s="697"/>
      <c r="CC473" s="697"/>
      <c r="CD473" s="697"/>
      <c r="CE473" s="697"/>
      <c r="CF473" s="697"/>
      <c r="CG473" s="697"/>
      <c r="CH473" s="697"/>
      <c r="CI473" s="697"/>
      <c r="CJ473" s="697"/>
      <c r="CK473" s="697"/>
      <c r="CL473" s="697"/>
      <c r="CM473" s="697"/>
      <c r="CN473" s="697"/>
      <c r="CO473" s="697"/>
      <c r="CP473" s="697"/>
      <c r="CQ473" s="697"/>
      <c r="CR473" s="697"/>
      <c r="CS473" s="697"/>
      <c r="CT473" s="697"/>
      <c r="CU473" s="697"/>
      <c r="CV473" s="697"/>
      <c r="CW473" s="697"/>
      <c r="CX473" s="697"/>
      <c r="CY473" s="697"/>
      <c r="CZ473" s="697"/>
      <c r="DA473" s="697"/>
      <c r="DB473" s="697"/>
    </row>
    <row r="474" spans="1:106" hidden="1" outlineLevel="1" x14ac:dyDescent="0.2">
      <c r="A474" s="709">
        <f t="shared" si="95"/>
        <v>39783</v>
      </c>
      <c r="B474" s="709" t="str">
        <f t="shared" si="96"/>
        <v>4Q08</v>
      </c>
      <c r="C474" s="709" t="str">
        <f t="shared" si="97"/>
        <v>1Q09</v>
      </c>
      <c r="D474" s="710">
        <f t="shared" si="101"/>
        <v>39868</v>
      </c>
      <c r="E474" s="710">
        <f t="shared" si="101"/>
        <v>39808</v>
      </c>
      <c r="F474" s="712">
        <v>32.979999999999997</v>
      </c>
      <c r="G474" s="713">
        <f t="shared" si="98"/>
        <v>1.4900000000000011</v>
      </c>
      <c r="H474" s="713">
        <f t="shared" si="99"/>
        <v>1.4900000000000011</v>
      </c>
      <c r="I474" s="697"/>
      <c r="J474" s="697"/>
      <c r="K474" s="697"/>
      <c r="L474" s="697"/>
      <c r="M474" s="697"/>
      <c r="N474" s="697"/>
      <c r="O474" s="697"/>
      <c r="P474" s="697"/>
      <c r="Q474" s="697"/>
      <c r="R474" s="697"/>
      <c r="S474" s="697"/>
      <c r="T474" s="697"/>
      <c r="U474" s="697"/>
      <c r="V474" s="697"/>
      <c r="W474" s="697"/>
      <c r="X474" s="697"/>
      <c r="Y474" s="697"/>
      <c r="Z474" s="697"/>
      <c r="AA474" s="697"/>
      <c r="AB474" s="697"/>
      <c r="AC474" s="697"/>
      <c r="AD474" s="697"/>
      <c r="AE474" s="697"/>
      <c r="AF474" s="697"/>
      <c r="AG474" s="697"/>
      <c r="AH474" s="697"/>
      <c r="AI474" s="697"/>
      <c r="AJ474" s="697"/>
      <c r="AK474" s="697"/>
      <c r="AL474" s="697"/>
      <c r="AM474" s="697"/>
      <c r="AN474" s="697"/>
      <c r="AO474" s="697"/>
      <c r="AP474" s="697"/>
      <c r="AQ474" s="697"/>
      <c r="AR474" s="697"/>
      <c r="AS474" s="697"/>
      <c r="AT474" s="697"/>
      <c r="AU474" s="697"/>
      <c r="AV474" s="697"/>
      <c r="AW474" s="697"/>
      <c r="AX474" s="697"/>
      <c r="AY474" s="697"/>
      <c r="AZ474" s="697"/>
      <c r="BA474" s="697"/>
      <c r="BB474" s="697"/>
      <c r="BC474" s="697"/>
      <c r="BD474" s="697"/>
      <c r="BE474" s="697"/>
      <c r="BF474" s="697"/>
      <c r="BG474" s="697"/>
      <c r="BH474" s="697"/>
      <c r="BI474" s="697"/>
      <c r="BJ474" s="697"/>
      <c r="BK474" s="697"/>
      <c r="BL474" s="697"/>
      <c r="BM474" s="697"/>
      <c r="BN474" s="697"/>
      <c r="BO474" s="697"/>
      <c r="BP474" s="697"/>
      <c r="BQ474" s="697"/>
      <c r="BR474" s="697"/>
      <c r="BS474" s="697"/>
      <c r="BT474" s="697"/>
      <c r="BU474" s="697"/>
      <c r="BV474" s="697"/>
      <c r="BW474" s="697"/>
      <c r="BX474" s="697"/>
      <c r="BY474" s="697"/>
      <c r="BZ474" s="697"/>
      <c r="CA474" s="697"/>
      <c r="CB474" s="697"/>
      <c r="CC474" s="697"/>
      <c r="CD474" s="697"/>
      <c r="CE474" s="697"/>
      <c r="CF474" s="697"/>
      <c r="CG474" s="697"/>
      <c r="CH474" s="697"/>
      <c r="CI474" s="697"/>
      <c r="CJ474" s="697"/>
      <c r="CK474" s="697"/>
      <c r="CL474" s="697"/>
      <c r="CM474" s="697"/>
      <c r="CN474" s="697"/>
      <c r="CO474" s="697"/>
      <c r="CP474" s="697"/>
      <c r="CQ474" s="697"/>
      <c r="CR474" s="697"/>
      <c r="CS474" s="697"/>
      <c r="CT474" s="697"/>
      <c r="CU474" s="697"/>
      <c r="CV474" s="697"/>
      <c r="CW474" s="697"/>
      <c r="CX474" s="697"/>
      <c r="CY474" s="697"/>
      <c r="CZ474" s="697"/>
      <c r="DA474" s="697"/>
      <c r="DB474" s="697"/>
    </row>
    <row r="475" spans="1:106" hidden="1" outlineLevel="1" x14ac:dyDescent="0.2">
      <c r="A475" s="709">
        <f t="shared" si="95"/>
        <v>39814</v>
      </c>
      <c r="B475" s="709" t="str">
        <f t="shared" si="96"/>
        <v>1Q09</v>
      </c>
      <c r="C475" s="709" t="str">
        <f t="shared" si="97"/>
        <v>1Q09</v>
      </c>
      <c r="D475" s="710">
        <f t="shared" si="101"/>
        <v>39875</v>
      </c>
      <c r="E475" s="710">
        <f t="shared" si="101"/>
        <v>39815</v>
      </c>
      <c r="F475" s="712">
        <v>42.4</v>
      </c>
      <c r="G475" s="713">
        <f t="shared" si="98"/>
        <v>1.4900000000000011</v>
      </c>
      <c r="H475" s="713">
        <f t="shared" si="99"/>
        <v>1.4900000000000011</v>
      </c>
      <c r="I475" s="697"/>
      <c r="J475" s="697"/>
      <c r="K475" s="697"/>
      <c r="L475" s="697"/>
      <c r="M475" s="697"/>
      <c r="N475" s="697"/>
      <c r="O475" s="697"/>
      <c r="P475" s="697"/>
      <c r="Q475" s="697"/>
      <c r="R475" s="697"/>
      <c r="S475" s="697"/>
      <c r="T475" s="697"/>
      <c r="U475" s="697"/>
      <c r="V475" s="697"/>
      <c r="W475" s="697"/>
      <c r="X475" s="697"/>
      <c r="Y475" s="697"/>
      <c r="Z475" s="697"/>
      <c r="AA475" s="697"/>
      <c r="AB475" s="697"/>
      <c r="AC475" s="697"/>
      <c r="AD475" s="697"/>
      <c r="AE475" s="697"/>
      <c r="AF475" s="697"/>
      <c r="AG475" s="697"/>
      <c r="AH475" s="697"/>
      <c r="AI475" s="697"/>
      <c r="AJ475" s="697"/>
      <c r="AK475" s="697"/>
      <c r="AL475" s="697"/>
      <c r="AM475" s="697"/>
      <c r="AN475" s="697"/>
      <c r="AO475" s="697"/>
      <c r="AP475" s="697"/>
      <c r="AQ475" s="697"/>
      <c r="AR475" s="697"/>
      <c r="AS475" s="697"/>
      <c r="AT475" s="697"/>
      <c r="AU475" s="697"/>
      <c r="AV475" s="697"/>
      <c r="AW475" s="697"/>
      <c r="AX475" s="697"/>
      <c r="AY475" s="697"/>
      <c r="AZ475" s="697"/>
      <c r="BA475" s="697"/>
      <c r="BB475" s="697"/>
      <c r="BC475" s="697"/>
      <c r="BD475" s="697"/>
      <c r="BE475" s="697"/>
      <c r="BF475" s="697"/>
      <c r="BG475" s="697"/>
      <c r="BH475" s="697"/>
      <c r="BI475" s="697"/>
      <c r="BJ475" s="697"/>
      <c r="BK475" s="697"/>
      <c r="BL475" s="697"/>
      <c r="BM475" s="697"/>
      <c r="BN475" s="697"/>
      <c r="BO475" s="697"/>
      <c r="BP475" s="697"/>
      <c r="BQ475" s="697"/>
      <c r="BR475" s="697"/>
      <c r="BS475" s="697"/>
      <c r="BT475" s="697"/>
      <c r="BU475" s="697"/>
      <c r="BV475" s="697"/>
      <c r="BW475" s="697"/>
      <c r="BX475" s="697"/>
      <c r="BY475" s="697"/>
      <c r="BZ475" s="697"/>
      <c r="CA475" s="697"/>
      <c r="CB475" s="697"/>
      <c r="CC475" s="697"/>
      <c r="CD475" s="697"/>
      <c r="CE475" s="697"/>
      <c r="CF475" s="697"/>
      <c r="CG475" s="697"/>
      <c r="CH475" s="697"/>
      <c r="CI475" s="697"/>
      <c r="CJ475" s="697"/>
      <c r="CK475" s="697"/>
      <c r="CL475" s="697"/>
      <c r="CM475" s="697"/>
      <c r="CN475" s="697"/>
      <c r="CO475" s="697"/>
      <c r="CP475" s="697"/>
      <c r="CQ475" s="697"/>
      <c r="CR475" s="697"/>
      <c r="CS475" s="697"/>
      <c r="CT475" s="697"/>
      <c r="CU475" s="697"/>
      <c r="CV475" s="697"/>
      <c r="CW475" s="697"/>
      <c r="CX475" s="697"/>
      <c r="CY475" s="697"/>
      <c r="CZ475" s="697"/>
      <c r="DA475" s="697"/>
      <c r="DB475" s="697"/>
    </row>
    <row r="476" spans="1:106" hidden="1" outlineLevel="1" x14ac:dyDescent="0.2">
      <c r="A476" s="709">
        <f t="shared" si="95"/>
        <v>39814</v>
      </c>
      <c r="B476" s="709" t="str">
        <f t="shared" si="96"/>
        <v>1Q09</v>
      </c>
      <c r="C476" s="709" t="str">
        <f t="shared" si="97"/>
        <v>1Q09</v>
      </c>
      <c r="D476" s="710">
        <f t="shared" si="101"/>
        <v>39882</v>
      </c>
      <c r="E476" s="710">
        <f t="shared" si="101"/>
        <v>39822</v>
      </c>
      <c r="F476" s="712">
        <v>44.46</v>
      </c>
      <c r="G476" s="713">
        <f t="shared" si="98"/>
        <v>1.4900000000000011</v>
      </c>
      <c r="H476" s="713">
        <f t="shared" si="99"/>
        <v>1.4900000000000011</v>
      </c>
      <c r="I476" s="697"/>
      <c r="J476" s="697"/>
      <c r="K476" s="697"/>
      <c r="L476" s="697"/>
      <c r="M476" s="697"/>
      <c r="N476" s="697"/>
      <c r="O476" s="697"/>
      <c r="P476" s="697"/>
      <c r="Q476" s="697"/>
      <c r="R476" s="697"/>
      <c r="S476" s="697"/>
      <c r="T476" s="697"/>
      <c r="U476" s="697"/>
      <c r="V476" s="697"/>
      <c r="W476" s="697"/>
      <c r="X476" s="697"/>
      <c r="Y476" s="697"/>
      <c r="Z476" s="697"/>
      <c r="AA476" s="697"/>
      <c r="AB476" s="697"/>
      <c r="AC476" s="697"/>
      <c r="AD476" s="697"/>
      <c r="AE476" s="697"/>
      <c r="AF476" s="697"/>
      <c r="AG476" s="697"/>
      <c r="AH476" s="697"/>
      <c r="AI476" s="697"/>
      <c r="AJ476" s="697"/>
      <c r="AK476" s="697"/>
      <c r="AL476" s="697"/>
      <c r="AM476" s="697"/>
      <c r="AN476" s="697"/>
      <c r="AO476" s="697"/>
      <c r="AP476" s="697"/>
      <c r="AQ476" s="697"/>
      <c r="AR476" s="697"/>
      <c r="AS476" s="697"/>
      <c r="AT476" s="697"/>
      <c r="AU476" s="697"/>
      <c r="AV476" s="697"/>
      <c r="AW476" s="697"/>
      <c r="AX476" s="697"/>
      <c r="AY476" s="697"/>
      <c r="AZ476" s="697"/>
      <c r="BA476" s="697"/>
      <c r="BB476" s="697"/>
      <c r="BC476" s="697"/>
      <c r="BD476" s="697"/>
      <c r="BE476" s="697"/>
      <c r="BF476" s="697"/>
      <c r="BG476" s="697"/>
      <c r="BH476" s="697"/>
      <c r="BI476" s="697"/>
      <c r="BJ476" s="697"/>
      <c r="BK476" s="697"/>
      <c r="BL476" s="697"/>
      <c r="BM476" s="697"/>
      <c r="BN476" s="697"/>
      <c r="BO476" s="697"/>
      <c r="BP476" s="697"/>
      <c r="BQ476" s="697"/>
      <c r="BR476" s="697"/>
      <c r="BS476" s="697"/>
      <c r="BT476" s="697"/>
      <c r="BU476" s="697"/>
      <c r="BV476" s="697"/>
      <c r="BW476" s="697"/>
      <c r="BX476" s="697"/>
      <c r="BY476" s="697"/>
      <c r="BZ476" s="697"/>
      <c r="CA476" s="697"/>
      <c r="CB476" s="697"/>
      <c r="CC476" s="697"/>
      <c r="CD476" s="697"/>
      <c r="CE476" s="697"/>
      <c r="CF476" s="697"/>
      <c r="CG476" s="697"/>
      <c r="CH476" s="697"/>
      <c r="CI476" s="697"/>
      <c r="CJ476" s="697"/>
      <c r="CK476" s="697"/>
      <c r="CL476" s="697"/>
      <c r="CM476" s="697"/>
      <c r="CN476" s="697"/>
      <c r="CO476" s="697"/>
      <c r="CP476" s="697"/>
      <c r="CQ476" s="697"/>
      <c r="CR476" s="697"/>
      <c r="CS476" s="697"/>
      <c r="CT476" s="697"/>
      <c r="CU476" s="697"/>
      <c r="CV476" s="697"/>
      <c r="CW476" s="697"/>
      <c r="CX476" s="697"/>
      <c r="CY476" s="697"/>
      <c r="CZ476" s="697"/>
      <c r="DA476" s="697"/>
      <c r="DB476" s="697"/>
    </row>
    <row r="477" spans="1:106" hidden="1" outlineLevel="1" x14ac:dyDescent="0.2">
      <c r="A477" s="709">
        <f t="shared" si="95"/>
        <v>39814</v>
      </c>
      <c r="B477" s="709" t="str">
        <f t="shared" si="96"/>
        <v>1Q09</v>
      </c>
      <c r="C477" s="709" t="str">
        <f t="shared" si="97"/>
        <v>1Q09</v>
      </c>
      <c r="D477" s="710">
        <f t="shared" si="101"/>
        <v>39889</v>
      </c>
      <c r="E477" s="710">
        <f t="shared" si="101"/>
        <v>39829</v>
      </c>
      <c r="F477" s="712">
        <v>36.729999999999997</v>
      </c>
      <c r="G477" s="713">
        <f t="shared" si="98"/>
        <v>1.4900000000000011</v>
      </c>
      <c r="H477" s="713">
        <f t="shared" si="99"/>
        <v>1.4900000000000011</v>
      </c>
      <c r="I477" s="697"/>
      <c r="J477" s="697"/>
      <c r="K477" s="697"/>
      <c r="L477" s="697"/>
      <c r="M477" s="697"/>
      <c r="N477" s="697"/>
      <c r="O477" s="697"/>
      <c r="P477" s="697"/>
      <c r="Q477" s="697"/>
      <c r="R477" s="697"/>
      <c r="S477" s="697"/>
      <c r="T477" s="697"/>
      <c r="U477" s="697"/>
      <c r="V477" s="697"/>
      <c r="W477" s="697"/>
      <c r="X477" s="697"/>
      <c r="Y477" s="697"/>
      <c r="Z477" s="697"/>
      <c r="AA477" s="697"/>
      <c r="AB477" s="697"/>
      <c r="AC477" s="697"/>
      <c r="AD477" s="697"/>
      <c r="AE477" s="697"/>
      <c r="AF477" s="697"/>
      <c r="AG477" s="697"/>
      <c r="AH477" s="697"/>
      <c r="AI477" s="697"/>
      <c r="AJ477" s="697"/>
      <c r="AK477" s="697"/>
      <c r="AL477" s="697"/>
      <c r="AM477" s="697"/>
      <c r="AN477" s="697"/>
      <c r="AO477" s="697"/>
      <c r="AP477" s="697"/>
      <c r="AQ477" s="697"/>
      <c r="AR477" s="697"/>
      <c r="AS477" s="697"/>
      <c r="AT477" s="697"/>
      <c r="AU477" s="697"/>
      <c r="AV477" s="697"/>
      <c r="AW477" s="697"/>
      <c r="AX477" s="697"/>
      <c r="AY477" s="697"/>
      <c r="AZ477" s="697"/>
      <c r="BA477" s="697"/>
      <c r="BB477" s="697"/>
      <c r="BC477" s="697"/>
      <c r="BD477" s="697"/>
      <c r="BE477" s="697"/>
      <c r="BF477" s="697"/>
      <c r="BG477" s="697"/>
      <c r="BH477" s="697"/>
      <c r="BI477" s="697"/>
      <c r="BJ477" s="697"/>
      <c r="BK477" s="697"/>
      <c r="BL477" s="697"/>
      <c r="BM477" s="697"/>
      <c r="BN477" s="697"/>
      <c r="BO477" s="697"/>
      <c r="BP477" s="697"/>
      <c r="BQ477" s="697"/>
      <c r="BR477" s="697"/>
      <c r="BS477" s="697"/>
      <c r="BT477" s="697"/>
      <c r="BU477" s="697"/>
      <c r="BV477" s="697"/>
      <c r="BW477" s="697"/>
      <c r="BX477" s="697"/>
      <c r="BY477" s="697"/>
      <c r="BZ477" s="697"/>
      <c r="CA477" s="697"/>
      <c r="CB477" s="697"/>
      <c r="CC477" s="697"/>
      <c r="CD477" s="697"/>
      <c r="CE477" s="697"/>
      <c r="CF477" s="697"/>
      <c r="CG477" s="697"/>
      <c r="CH477" s="697"/>
      <c r="CI477" s="697"/>
      <c r="CJ477" s="697"/>
      <c r="CK477" s="697"/>
      <c r="CL477" s="697"/>
      <c r="CM477" s="697"/>
      <c r="CN477" s="697"/>
      <c r="CO477" s="697"/>
      <c r="CP477" s="697"/>
      <c r="CQ477" s="697"/>
      <c r="CR477" s="697"/>
      <c r="CS477" s="697"/>
      <c r="CT477" s="697"/>
      <c r="CU477" s="697"/>
      <c r="CV477" s="697"/>
      <c r="CW477" s="697"/>
      <c r="CX477" s="697"/>
      <c r="CY477" s="697"/>
      <c r="CZ477" s="697"/>
      <c r="DA477" s="697"/>
      <c r="DB477" s="697"/>
    </row>
    <row r="478" spans="1:106" hidden="1" outlineLevel="1" x14ac:dyDescent="0.2">
      <c r="A478" s="709">
        <f t="shared" si="95"/>
        <v>39814</v>
      </c>
      <c r="B478" s="709" t="str">
        <f t="shared" si="96"/>
        <v>1Q09</v>
      </c>
      <c r="C478" s="709" t="str">
        <f t="shared" si="97"/>
        <v>1Q09</v>
      </c>
      <c r="D478" s="710">
        <f t="shared" si="101"/>
        <v>39896</v>
      </c>
      <c r="E478" s="710">
        <f t="shared" si="101"/>
        <v>39836</v>
      </c>
      <c r="F478" s="712">
        <v>42.15</v>
      </c>
      <c r="G478" s="713">
        <f t="shared" si="98"/>
        <v>1.4900000000000011</v>
      </c>
      <c r="H478" s="713">
        <f t="shared" si="99"/>
        <v>1.4900000000000011</v>
      </c>
      <c r="I478" s="697"/>
      <c r="J478" s="697"/>
      <c r="K478" s="697"/>
      <c r="L478" s="697"/>
      <c r="M478" s="697"/>
      <c r="N478" s="697"/>
      <c r="O478" s="697"/>
      <c r="P478" s="697"/>
      <c r="Q478" s="697"/>
      <c r="R478" s="697"/>
      <c r="S478" s="697"/>
      <c r="T478" s="697"/>
      <c r="U478" s="697"/>
      <c r="V478" s="697"/>
      <c r="W478" s="697"/>
      <c r="X478" s="697"/>
      <c r="Y478" s="697"/>
      <c r="Z478" s="697"/>
      <c r="AA478" s="697"/>
      <c r="AB478" s="697"/>
      <c r="AC478" s="697"/>
      <c r="AD478" s="697"/>
      <c r="AE478" s="697"/>
      <c r="AF478" s="697"/>
      <c r="AG478" s="697"/>
      <c r="AH478" s="697"/>
      <c r="AI478" s="697"/>
      <c r="AJ478" s="697"/>
      <c r="AK478" s="697"/>
      <c r="AL478" s="697"/>
      <c r="AM478" s="697"/>
      <c r="AN478" s="697"/>
      <c r="AO478" s="697"/>
      <c r="AP478" s="697"/>
      <c r="AQ478" s="697"/>
      <c r="AR478" s="697"/>
      <c r="AS478" s="697"/>
      <c r="AT478" s="697"/>
      <c r="AU478" s="697"/>
      <c r="AV478" s="697"/>
      <c r="AW478" s="697"/>
      <c r="AX478" s="697"/>
      <c r="AY478" s="697"/>
      <c r="AZ478" s="697"/>
      <c r="BA478" s="697"/>
      <c r="BB478" s="697"/>
      <c r="BC478" s="697"/>
      <c r="BD478" s="697"/>
      <c r="BE478" s="697"/>
      <c r="BF478" s="697"/>
      <c r="BG478" s="697"/>
      <c r="BH478" s="697"/>
      <c r="BI478" s="697"/>
      <c r="BJ478" s="697"/>
      <c r="BK478" s="697"/>
      <c r="BL478" s="697"/>
      <c r="BM478" s="697"/>
      <c r="BN478" s="697"/>
      <c r="BO478" s="697"/>
      <c r="BP478" s="697"/>
      <c r="BQ478" s="697"/>
      <c r="BR478" s="697"/>
      <c r="BS478" s="697"/>
      <c r="BT478" s="697"/>
      <c r="BU478" s="697"/>
      <c r="BV478" s="697"/>
      <c r="BW478" s="697"/>
      <c r="BX478" s="697"/>
      <c r="BY478" s="697"/>
      <c r="BZ478" s="697"/>
      <c r="CA478" s="697"/>
      <c r="CB478" s="697"/>
      <c r="CC478" s="697"/>
      <c r="CD478" s="697"/>
      <c r="CE478" s="697"/>
      <c r="CF478" s="697"/>
      <c r="CG478" s="697"/>
      <c r="CH478" s="697"/>
      <c r="CI478" s="697"/>
      <c r="CJ478" s="697"/>
      <c r="CK478" s="697"/>
      <c r="CL478" s="697"/>
      <c r="CM478" s="697"/>
      <c r="CN478" s="697"/>
      <c r="CO478" s="697"/>
      <c r="CP478" s="697"/>
      <c r="CQ478" s="697"/>
      <c r="CR478" s="697"/>
      <c r="CS478" s="697"/>
      <c r="CT478" s="697"/>
      <c r="CU478" s="697"/>
      <c r="CV478" s="697"/>
      <c r="CW478" s="697"/>
      <c r="CX478" s="697"/>
      <c r="CY478" s="697"/>
      <c r="CZ478" s="697"/>
      <c r="DA478" s="697"/>
      <c r="DB478" s="697"/>
    </row>
    <row r="479" spans="1:106" hidden="1" outlineLevel="1" x14ac:dyDescent="0.2">
      <c r="A479" s="709">
        <f t="shared" si="95"/>
        <v>39814</v>
      </c>
      <c r="B479" s="709" t="str">
        <f t="shared" si="96"/>
        <v>1Q09</v>
      </c>
      <c r="C479" s="709" t="str">
        <f t="shared" si="97"/>
        <v>1Q09</v>
      </c>
      <c r="D479" s="710">
        <f t="shared" si="101"/>
        <v>39903</v>
      </c>
      <c r="E479" s="710">
        <f t="shared" si="101"/>
        <v>39843</v>
      </c>
      <c r="F479" s="712">
        <v>42.7</v>
      </c>
      <c r="G479" s="713">
        <f t="shared" si="98"/>
        <v>1.4900000000000011</v>
      </c>
      <c r="H479" s="713">
        <f t="shared" si="99"/>
        <v>1.4900000000000011</v>
      </c>
      <c r="I479" s="697"/>
      <c r="J479" s="697"/>
      <c r="K479" s="697"/>
      <c r="L479" s="697"/>
      <c r="M479" s="697"/>
      <c r="N479" s="697"/>
      <c r="O479" s="697"/>
      <c r="P479" s="697"/>
      <c r="Q479" s="697"/>
      <c r="R479" s="697"/>
      <c r="S479" s="697"/>
      <c r="T479" s="697"/>
      <c r="U479" s="697"/>
      <c r="V479" s="697"/>
      <c r="W479" s="697"/>
      <c r="X479" s="697"/>
      <c r="Y479" s="697"/>
      <c r="Z479" s="697"/>
      <c r="AA479" s="697"/>
      <c r="AB479" s="697"/>
      <c r="AC479" s="697"/>
      <c r="AD479" s="697"/>
      <c r="AE479" s="697"/>
      <c r="AF479" s="697"/>
      <c r="AG479" s="697"/>
      <c r="AH479" s="697"/>
      <c r="AI479" s="697"/>
      <c r="AJ479" s="697"/>
      <c r="AK479" s="697"/>
      <c r="AL479" s="697"/>
      <c r="AM479" s="697"/>
      <c r="AN479" s="697"/>
      <c r="AO479" s="697"/>
      <c r="AP479" s="697"/>
      <c r="AQ479" s="697"/>
      <c r="AR479" s="697"/>
      <c r="AS479" s="697"/>
      <c r="AT479" s="697"/>
      <c r="AU479" s="697"/>
      <c r="AV479" s="697"/>
      <c r="AW479" s="697"/>
      <c r="AX479" s="697"/>
      <c r="AY479" s="697"/>
      <c r="AZ479" s="697"/>
      <c r="BA479" s="697"/>
      <c r="BB479" s="697"/>
      <c r="BC479" s="697"/>
      <c r="BD479" s="697"/>
      <c r="BE479" s="697"/>
      <c r="BF479" s="697"/>
      <c r="BG479" s="697"/>
      <c r="BH479" s="697"/>
      <c r="BI479" s="697"/>
      <c r="BJ479" s="697"/>
      <c r="BK479" s="697"/>
      <c r="BL479" s="697"/>
      <c r="BM479" s="697"/>
      <c r="BN479" s="697"/>
      <c r="BO479" s="697"/>
      <c r="BP479" s="697"/>
      <c r="BQ479" s="697"/>
      <c r="BR479" s="697"/>
      <c r="BS479" s="697"/>
      <c r="BT479" s="697"/>
      <c r="BU479" s="697"/>
      <c r="BV479" s="697"/>
      <c r="BW479" s="697"/>
      <c r="BX479" s="697"/>
      <c r="BY479" s="697"/>
      <c r="BZ479" s="697"/>
      <c r="CA479" s="697"/>
      <c r="CB479" s="697"/>
      <c r="CC479" s="697"/>
      <c r="CD479" s="697"/>
      <c r="CE479" s="697"/>
      <c r="CF479" s="697"/>
      <c r="CG479" s="697"/>
      <c r="CH479" s="697"/>
      <c r="CI479" s="697"/>
      <c r="CJ479" s="697"/>
      <c r="CK479" s="697"/>
      <c r="CL479" s="697"/>
      <c r="CM479" s="697"/>
      <c r="CN479" s="697"/>
      <c r="CO479" s="697"/>
      <c r="CP479" s="697"/>
      <c r="CQ479" s="697"/>
      <c r="CR479" s="697"/>
      <c r="CS479" s="697"/>
      <c r="CT479" s="697"/>
      <c r="CU479" s="697"/>
      <c r="CV479" s="697"/>
      <c r="CW479" s="697"/>
      <c r="CX479" s="697"/>
      <c r="CY479" s="697"/>
      <c r="CZ479" s="697"/>
      <c r="DA479" s="697"/>
      <c r="DB479" s="697"/>
    </row>
    <row r="480" spans="1:106" hidden="1" outlineLevel="1" x14ac:dyDescent="0.2">
      <c r="A480" s="709">
        <f t="shared" si="95"/>
        <v>39845</v>
      </c>
      <c r="B480" s="709" t="str">
        <f t="shared" si="96"/>
        <v>1Q09</v>
      </c>
      <c r="C480" s="709" t="str">
        <f t="shared" si="97"/>
        <v>2Q09</v>
      </c>
      <c r="D480" s="710">
        <f t="shared" si="101"/>
        <v>39910</v>
      </c>
      <c r="E480" s="710">
        <f t="shared" si="101"/>
        <v>39850</v>
      </c>
      <c r="F480" s="712">
        <v>40.78</v>
      </c>
      <c r="G480" s="713">
        <f t="shared" si="98"/>
        <v>1.4900000000000011</v>
      </c>
      <c r="H480" s="713">
        <f t="shared" si="99"/>
        <v>1.4900000000000011</v>
      </c>
      <c r="I480" s="697"/>
      <c r="J480" s="697"/>
      <c r="K480" s="697"/>
      <c r="L480" s="697"/>
      <c r="M480" s="697"/>
      <c r="N480" s="697"/>
      <c r="O480" s="697"/>
      <c r="P480" s="697"/>
      <c r="Q480" s="697"/>
      <c r="R480" s="697"/>
      <c r="S480" s="697"/>
      <c r="T480" s="697"/>
      <c r="U480" s="697"/>
      <c r="V480" s="697"/>
      <c r="W480" s="697"/>
      <c r="X480" s="697"/>
      <c r="Y480" s="697"/>
      <c r="Z480" s="697"/>
      <c r="AA480" s="697"/>
      <c r="AB480" s="697"/>
      <c r="AC480" s="697"/>
      <c r="AD480" s="697"/>
      <c r="AE480" s="697"/>
      <c r="AF480" s="697"/>
      <c r="AG480" s="697"/>
      <c r="AH480" s="697"/>
      <c r="AI480" s="697"/>
      <c r="AJ480" s="697"/>
      <c r="AK480" s="697"/>
      <c r="AL480" s="697"/>
      <c r="AM480" s="697"/>
      <c r="AN480" s="697"/>
      <c r="AO480" s="697"/>
      <c r="AP480" s="697"/>
      <c r="AQ480" s="697"/>
      <c r="AR480" s="697"/>
      <c r="AS480" s="697"/>
      <c r="AT480" s="697"/>
      <c r="AU480" s="697"/>
      <c r="AV480" s="697"/>
      <c r="AW480" s="697"/>
      <c r="AX480" s="697"/>
      <c r="AY480" s="697"/>
      <c r="AZ480" s="697"/>
      <c r="BA480" s="697"/>
      <c r="BB480" s="697"/>
      <c r="BC480" s="697"/>
      <c r="BD480" s="697"/>
      <c r="BE480" s="697"/>
      <c r="BF480" s="697"/>
      <c r="BG480" s="697"/>
      <c r="BH480" s="697"/>
      <c r="BI480" s="697"/>
      <c r="BJ480" s="697"/>
      <c r="BK480" s="697"/>
      <c r="BL480" s="697"/>
      <c r="BM480" s="697"/>
      <c r="BN480" s="697"/>
      <c r="BO480" s="697"/>
      <c r="BP480" s="697"/>
      <c r="BQ480" s="697"/>
      <c r="BR480" s="697"/>
      <c r="BS480" s="697"/>
      <c r="BT480" s="697"/>
      <c r="BU480" s="697"/>
      <c r="BV480" s="697"/>
      <c r="BW480" s="697"/>
      <c r="BX480" s="697"/>
      <c r="BY480" s="697"/>
      <c r="BZ480" s="697"/>
      <c r="CA480" s="697"/>
      <c r="CB480" s="697"/>
      <c r="CC480" s="697"/>
      <c r="CD480" s="697"/>
      <c r="CE480" s="697"/>
      <c r="CF480" s="697"/>
      <c r="CG480" s="697"/>
      <c r="CH480" s="697"/>
      <c r="CI480" s="697"/>
      <c r="CJ480" s="697"/>
      <c r="CK480" s="697"/>
      <c r="CL480" s="697"/>
      <c r="CM480" s="697"/>
      <c r="CN480" s="697"/>
      <c r="CO480" s="697"/>
      <c r="CP480" s="697"/>
      <c r="CQ480" s="697"/>
      <c r="CR480" s="697"/>
      <c r="CS480" s="697"/>
      <c r="CT480" s="697"/>
      <c r="CU480" s="697"/>
      <c r="CV480" s="697"/>
      <c r="CW480" s="697"/>
      <c r="CX480" s="697"/>
      <c r="CY480" s="697"/>
      <c r="CZ480" s="697"/>
      <c r="DA480" s="697"/>
      <c r="DB480" s="697"/>
    </row>
    <row r="481" spans="1:106" hidden="1" outlineLevel="1" x14ac:dyDescent="0.2">
      <c r="A481" s="709">
        <f t="shared" si="95"/>
        <v>39845</v>
      </c>
      <c r="B481" s="709" t="str">
        <f t="shared" si="96"/>
        <v>1Q09</v>
      </c>
      <c r="C481" s="709" t="str">
        <f t="shared" si="97"/>
        <v>2Q09</v>
      </c>
      <c r="D481" s="710">
        <f t="shared" si="101"/>
        <v>39917</v>
      </c>
      <c r="E481" s="710">
        <f t="shared" si="101"/>
        <v>39857</v>
      </c>
      <c r="F481" s="712">
        <v>36.94</v>
      </c>
      <c r="G481" s="713">
        <f t="shared" si="98"/>
        <v>1.4900000000000011</v>
      </c>
      <c r="H481" s="713">
        <f t="shared" si="99"/>
        <v>1.4900000000000011</v>
      </c>
      <c r="I481" s="697"/>
      <c r="J481" s="697"/>
      <c r="K481" s="697"/>
      <c r="L481" s="697"/>
      <c r="M481" s="697"/>
      <c r="N481" s="697"/>
      <c r="O481" s="697"/>
      <c r="P481" s="697"/>
      <c r="Q481" s="697"/>
      <c r="R481" s="697"/>
      <c r="S481" s="697"/>
      <c r="T481" s="697"/>
      <c r="U481" s="697"/>
      <c r="V481" s="697"/>
      <c r="W481" s="697"/>
      <c r="X481" s="697"/>
      <c r="Y481" s="697"/>
      <c r="Z481" s="697"/>
      <c r="AA481" s="697"/>
      <c r="AB481" s="697"/>
      <c r="AC481" s="697"/>
      <c r="AD481" s="697"/>
      <c r="AE481" s="697"/>
      <c r="AF481" s="697"/>
      <c r="AG481" s="697"/>
      <c r="AH481" s="697"/>
      <c r="AI481" s="697"/>
      <c r="AJ481" s="697"/>
      <c r="AK481" s="697"/>
      <c r="AL481" s="697"/>
      <c r="AM481" s="697"/>
      <c r="AN481" s="697"/>
      <c r="AO481" s="697"/>
      <c r="AP481" s="697"/>
      <c r="AQ481" s="697"/>
      <c r="AR481" s="697"/>
      <c r="AS481" s="697"/>
      <c r="AT481" s="697"/>
      <c r="AU481" s="697"/>
      <c r="AV481" s="697"/>
      <c r="AW481" s="697"/>
      <c r="AX481" s="697"/>
      <c r="AY481" s="697"/>
      <c r="AZ481" s="697"/>
      <c r="BA481" s="697"/>
      <c r="BB481" s="697"/>
      <c r="BC481" s="697"/>
      <c r="BD481" s="697"/>
      <c r="BE481" s="697"/>
      <c r="BF481" s="697"/>
      <c r="BG481" s="697"/>
      <c r="BH481" s="697"/>
      <c r="BI481" s="697"/>
      <c r="BJ481" s="697"/>
      <c r="BK481" s="697"/>
      <c r="BL481" s="697"/>
      <c r="BM481" s="697"/>
      <c r="BN481" s="697"/>
      <c r="BO481" s="697"/>
      <c r="BP481" s="697"/>
      <c r="BQ481" s="697"/>
      <c r="BR481" s="697"/>
      <c r="BS481" s="697"/>
      <c r="BT481" s="697"/>
      <c r="BU481" s="697"/>
      <c r="BV481" s="697"/>
      <c r="BW481" s="697"/>
      <c r="BX481" s="697"/>
      <c r="BY481" s="697"/>
      <c r="BZ481" s="697"/>
      <c r="CA481" s="697"/>
      <c r="CB481" s="697"/>
      <c r="CC481" s="697"/>
      <c r="CD481" s="697"/>
      <c r="CE481" s="697"/>
      <c r="CF481" s="697"/>
      <c r="CG481" s="697"/>
      <c r="CH481" s="697"/>
      <c r="CI481" s="697"/>
      <c r="CJ481" s="697"/>
      <c r="CK481" s="697"/>
      <c r="CL481" s="697"/>
      <c r="CM481" s="697"/>
      <c r="CN481" s="697"/>
      <c r="CO481" s="697"/>
      <c r="CP481" s="697"/>
      <c r="CQ481" s="697"/>
      <c r="CR481" s="697"/>
      <c r="CS481" s="697"/>
      <c r="CT481" s="697"/>
      <c r="CU481" s="697"/>
      <c r="CV481" s="697"/>
      <c r="CW481" s="697"/>
      <c r="CX481" s="697"/>
      <c r="CY481" s="697"/>
      <c r="CZ481" s="697"/>
      <c r="DA481" s="697"/>
      <c r="DB481" s="697"/>
    </row>
    <row r="482" spans="1:106" hidden="1" outlineLevel="1" x14ac:dyDescent="0.2">
      <c r="A482" s="709">
        <f t="shared" si="95"/>
        <v>39845</v>
      </c>
      <c r="B482" s="709" t="str">
        <f t="shared" si="96"/>
        <v>1Q09</v>
      </c>
      <c r="C482" s="709" t="str">
        <f t="shared" si="97"/>
        <v>2Q09</v>
      </c>
      <c r="D482" s="710">
        <f t="shared" si="101"/>
        <v>39924</v>
      </c>
      <c r="E482" s="710">
        <f t="shared" si="101"/>
        <v>39864</v>
      </c>
      <c r="F482" s="712">
        <v>37.15</v>
      </c>
      <c r="G482" s="713">
        <f t="shared" si="98"/>
        <v>1.4900000000000011</v>
      </c>
      <c r="H482" s="713">
        <f t="shared" si="99"/>
        <v>1.4900000000000011</v>
      </c>
      <c r="I482" s="697"/>
      <c r="J482" s="697"/>
      <c r="K482" s="697"/>
      <c r="L482" s="697"/>
      <c r="M482" s="697"/>
      <c r="N482" s="697"/>
      <c r="O482" s="697"/>
      <c r="P482" s="697"/>
      <c r="Q482" s="697"/>
      <c r="R482" s="697"/>
      <c r="S482" s="697"/>
      <c r="T482" s="697"/>
      <c r="U482" s="697"/>
      <c r="V482" s="697"/>
      <c r="W482" s="697"/>
      <c r="X482" s="697"/>
      <c r="Y482" s="697"/>
      <c r="Z482" s="697"/>
      <c r="AA482" s="697"/>
      <c r="AB482" s="697"/>
      <c r="AC482" s="697"/>
      <c r="AD482" s="697"/>
      <c r="AE482" s="697"/>
      <c r="AF482" s="697"/>
      <c r="AG482" s="697"/>
      <c r="AH482" s="697"/>
      <c r="AI482" s="697"/>
      <c r="AJ482" s="697"/>
      <c r="AK482" s="697"/>
      <c r="AL482" s="697"/>
      <c r="AM482" s="697"/>
      <c r="AN482" s="697"/>
      <c r="AO482" s="697"/>
      <c r="AP482" s="697"/>
      <c r="AQ482" s="697"/>
      <c r="AR482" s="697"/>
      <c r="AS482" s="697"/>
      <c r="AT482" s="697"/>
      <c r="AU482" s="697"/>
      <c r="AV482" s="697"/>
      <c r="AW482" s="697"/>
      <c r="AX482" s="697"/>
      <c r="AY482" s="697"/>
      <c r="AZ482" s="697"/>
      <c r="BA482" s="697"/>
      <c r="BB482" s="697"/>
      <c r="BC482" s="697"/>
      <c r="BD482" s="697"/>
      <c r="BE482" s="697"/>
      <c r="BF482" s="697"/>
      <c r="BG482" s="697"/>
      <c r="BH482" s="697"/>
      <c r="BI482" s="697"/>
      <c r="BJ482" s="697"/>
      <c r="BK482" s="697"/>
      <c r="BL482" s="697"/>
      <c r="BM482" s="697"/>
      <c r="BN482" s="697"/>
      <c r="BO482" s="697"/>
      <c r="BP482" s="697"/>
      <c r="BQ482" s="697"/>
      <c r="BR482" s="697"/>
      <c r="BS482" s="697"/>
      <c r="BT482" s="697"/>
      <c r="BU482" s="697"/>
      <c r="BV482" s="697"/>
      <c r="BW482" s="697"/>
      <c r="BX482" s="697"/>
      <c r="BY482" s="697"/>
      <c r="BZ482" s="697"/>
      <c r="CA482" s="697"/>
      <c r="CB482" s="697"/>
      <c r="CC482" s="697"/>
      <c r="CD482" s="697"/>
      <c r="CE482" s="697"/>
      <c r="CF482" s="697"/>
      <c r="CG482" s="697"/>
      <c r="CH482" s="697"/>
      <c r="CI482" s="697"/>
      <c r="CJ482" s="697"/>
      <c r="CK482" s="697"/>
      <c r="CL482" s="697"/>
      <c r="CM482" s="697"/>
      <c r="CN482" s="697"/>
      <c r="CO482" s="697"/>
      <c r="CP482" s="697"/>
      <c r="CQ482" s="697"/>
      <c r="CR482" s="697"/>
      <c r="CS482" s="697"/>
      <c r="CT482" s="697"/>
      <c r="CU482" s="697"/>
      <c r="CV482" s="697"/>
      <c r="CW482" s="697"/>
      <c r="CX482" s="697"/>
      <c r="CY482" s="697"/>
      <c r="CZ482" s="697"/>
      <c r="DA482" s="697"/>
      <c r="DB482" s="697"/>
    </row>
    <row r="483" spans="1:106" hidden="1" outlineLevel="1" x14ac:dyDescent="0.2">
      <c r="A483" s="709">
        <f t="shared" si="95"/>
        <v>39845</v>
      </c>
      <c r="B483" s="709" t="str">
        <f t="shared" si="96"/>
        <v>1Q09</v>
      </c>
      <c r="C483" s="709" t="str">
        <f t="shared" si="97"/>
        <v>2Q09</v>
      </c>
      <c r="D483" s="710">
        <f t="shared" si="101"/>
        <v>39931</v>
      </c>
      <c r="E483" s="710">
        <f t="shared" si="101"/>
        <v>39871</v>
      </c>
      <c r="F483" s="712">
        <v>41.1</v>
      </c>
      <c r="G483" s="713">
        <f t="shared" si="98"/>
        <v>1.4900000000000011</v>
      </c>
      <c r="H483" s="713">
        <f t="shared" si="99"/>
        <v>1.4900000000000011</v>
      </c>
      <c r="I483" s="697"/>
      <c r="J483" s="697"/>
      <c r="K483" s="697"/>
      <c r="L483" s="697"/>
      <c r="M483" s="697"/>
      <c r="N483" s="697"/>
      <c r="O483" s="697"/>
      <c r="P483" s="697"/>
      <c r="Q483" s="697"/>
      <c r="R483" s="697"/>
      <c r="S483" s="697"/>
      <c r="T483" s="697"/>
      <c r="U483" s="697"/>
      <c r="V483" s="697"/>
      <c r="W483" s="697"/>
      <c r="X483" s="697"/>
      <c r="Y483" s="697"/>
      <c r="Z483" s="697"/>
      <c r="AA483" s="697"/>
      <c r="AB483" s="697"/>
      <c r="AC483" s="697"/>
      <c r="AD483" s="697"/>
      <c r="AE483" s="697"/>
      <c r="AF483" s="697"/>
      <c r="AG483" s="697"/>
      <c r="AH483" s="697"/>
      <c r="AI483" s="697"/>
      <c r="AJ483" s="697"/>
      <c r="AK483" s="697"/>
      <c r="AL483" s="697"/>
      <c r="AM483" s="697"/>
      <c r="AN483" s="697"/>
      <c r="AO483" s="697"/>
      <c r="AP483" s="697"/>
      <c r="AQ483" s="697"/>
      <c r="AR483" s="697"/>
      <c r="AS483" s="697"/>
      <c r="AT483" s="697"/>
      <c r="AU483" s="697"/>
      <c r="AV483" s="697"/>
      <c r="AW483" s="697"/>
      <c r="AX483" s="697"/>
      <c r="AY483" s="697"/>
      <c r="AZ483" s="697"/>
      <c r="BA483" s="697"/>
      <c r="BB483" s="697"/>
      <c r="BC483" s="697"/>
      <c r="BD483" s="697"/>
      <c r="BE483" s="697"/>
      <c r="BF483" s="697"/>
      <c r="BG483" s="697"/>
      <c r="BH483" s="697"/>
      <c r="BI483" s="697"/>
      <c r="BJ483" s="697"/>
      <c r="BK483" s="697"/>
      <c r="BL483" s="697"/>
      <c r="BM483" s="697"/>
      <c r="BN483" s="697"/>
      <c r="BO483" s="697"/>
      <c r="BP483" s="697"/>
      <c r="BQ483" s="697"/>
      <c r="BR483" s="697"/>
      <c r="BS483" s="697"/>
      <c r="BT483" s="697"/>
      <c r="BU483" s="697"/>
      <c r="BV483" s="697"/>
      <c r="BW483" s="697"/>
      <c r="BX483" s="697"/>
      <c r="BY483" s="697"/>
      <c r="BZ483" s="697"/>
      <c r="CA483" s="697"/>
      <c r="CB483" s="697"/>
      <c r="CC483" s="697"/>
      <c r="CD483" s="697"/>
      <c r="CE483" s="697"/>
      <c r="CF483" s="697"/>
      <c r="CG483" s="697"/>
      <c r="CH483" s="697"/>
      <c r="CI483" s="697"/>
      <c r="CJ483" s="697"/>
      <c r="CK483" s="697"/>
      <c r="CL483" s="697"/>
      <c r="CM483" s="697"/>
      <c r="CN483" s="697"/>
      <c r="CO483" s="697"/>
      <c r="CP483" s="697"/>
      <c r="CQ483" s="697"/>
      <c r="CR483" s="697"/>
      <c r="CS483" s="697"/>
      <c r="CT483" s="697"/>
      <c r="CU483" s="697"/>
      <c r="CV483" s="697"/>
      <c r="CW483" s="697"/>
      <c r="CX483" s="697"/>
      <c r="CY483" s="697"/>
      <c r="CZ483" s="697"/>
      <c r="DA483" s="697"/>
      <c r="DB483" s="697"/>
    </row>
    <row r="484" spans="1:106" hidden="1" outlineLevel="1" x14ac:dyDescent="0.2">
      <c r="A484" s="709">
        <f t="shared" si="95"/>
        <v>39873</v>
      </c>
      <c r="B484" s="709" t="str">
        <f t="shared" si="96"/>
        <v>1Q09</v>
      </c>
      <c r="C484" s="709" t="str">
        <f t="shared" si="97"/>
        <v>2Q09</v>
      </c>
      <c r="D484" s="710">
        <f t="shared" si="101"/>
        <v>39938</v>
      </c>
      <c r="E484" s="710">
        <f t="shared" si="101"/>
        <v>39878</v>
      </c>
      <c r="F484" s="712">
        <v>43.18</v>
      </c>
      <c r="G484" s="713">
        <f t="shared" si="98"/>
        <v>1.4900000000000011</v>
      </c>
      <c r="H484" s="713">
        <f t="shared" si="99"/>
        <v>1.4900000000000011</v>
      </c>
      <c r="I484" s="697"/>
      <c r="J484" s="697"/>
      <c r="K484" s="697"/>
      <c r="L484" s="697"/>
      <c r="M484" s="697"/>
      <c r="N484" s="697"/>
      <c r="O484" s="697"/>
      <c r="P484" s="697"/>
      <c r="Q484" s="697"/>
      <c r="R484" s="697"/>
      <c r="S484" s="697"/>
      <c r="T484" s="697"/>
      <c r="U484" s="697"/>
      <c r="V484" s="697"/>
      <c r="W484" s="697"/>
      <c r="X484" s="697"/>
      <c r="Y484" s="697"/>
      <c r="Z484" s="697"/>
      <c r="AA484" s="697"/>
      <c r="AB484" s="697"/>
      <c r="AC484" s="697"/>
      <c r="AD484" s="697"/>
      <c r="AE484" s="697"/>
      <c r="AF484" s="697"/>
      <c r="AG484" s="697"/>
      <c r="AH484" s="697"/>
      <c r="AI484" s="697"/>
      <c r="AJ484" s="697"/>
      <c r="AK484" s="697"/>
      <c r="AL484" s="697"/>
      <c r="AM484" s="697"/>
      <c r="AN484" s="697"/>
      <c r="AO484" s="697"/>
      <c r="AP484" s="697"/>
      <c r="AQ484" s="697"/>
      <c r="AR484" s="697"/>
      <c r="AS484" s="697"/>
      <c r="AT484" s="697"/>
      <c r="AU484" s="697"/>
      <c r="AV484" s="697"/>
      <c r="AW484" s="697"/>
      <c r="AX484" s="697"/>
      <c r="AY484" s="697"/>
      <c r="AZ484" s="697"/>
      <c r="BA484" s="697"/>
      <c r="BB484" s="697"/>
      <c r="BC484" s="697"/>
      <c r="BD484" s="697"/>
      <c r="BE484" s="697"/>
      <c r="BF484" s="697"/>
      <c r="BG484" s="697"/>
      <c r="BH484" s="697"/>
      <c r="BI484" s="697"/>
      <c r="BJ484" s="697"/>
      <c r="BK484" s="697"/>
      <c r="BL484" s="697"/>
      <c r="BM484" s="697"/>
      <c r="BN484" s="697"/>
      <c r="BO484" s="697"/>
      <c r="BP484" s="697"/>
      <c r="BQ484" s="697"/>
      <c r="BR484" s="697"/>
      <c r="BS484" s="697"/>
      <c r="BT484" s="697"/>
      <c r="BU484" s="697"/>
      <c r="BV484" s="697"/>
      <c r="BW484" s="697"/>
      <c r="BX484" s="697"/>
      <c r="BY484" s="697"/>
      <c r="BZ484" s="697"/>
      <c r="CA484" s="697"/>
      <c r="CB484" s="697"/>
      <c r="CC484" s="697"/>
      <c r="CD484" s="697"/>
      <c r="CE484" s="697"/>
      <c r="CF484" s="697"/>
      <c r="CG484" s="697"/>
      <c r="CH484" s="697"/>
      <c r="CI484" s="697"/>
      <c r="CJ484" s="697"/>
      <c r="CK484" s="697"/>
      <c r="CL484" s="697"/>
      <c r="CM484" s="697"/>
      <c r="CN484" s="697"/>
      <c r="CO484" s="697"/>
      <c r="CP484" s="697"/>
      <c r="CQ484" s="697"/>
      <c r="CR484" s="697"/>
      <c r="CS484" s="697"/>
      <c r="CT484" s="697"/>
      <c r="CU484" s="697"/>
      <c r="CV484" s="697"/>
      <c r="CW484" s="697"/>
      <c r="CX484" s="697"/>
      <c r="CY484" s="697"/>
      <c r="CZ484" s="697"/>
      <c r="DA484" s="697"/>
      <c r="DB484" s="697"/>
    </row>
    <row r="485" spans="1:106" hidden="1" outlineLevel="1" x14ac:dyDescent="0.2">
      <c r="A485" s="709">
        <f t="shared" si="95"/>
        <v>39873</v>
      </c>
      <c r="B485" s="709" t="str">
        <f t="shared" si="96"/>
        <v>1Q09</v>
      </c>
      <c r="C485" s="709" t="str">
        <f t="shared" si="97"/>
        <v>2Q09</v>
      </c>
      <c r="D485" s="710">
        <f t="shared" ref="D485:E500" si="102">D484+7</f>
        <v>39945</v>
      </c>
      <c r="E485" s="710">
        <f t="shared" si="102"/>
        <v>39885</v>
      </c>
      <c r="F485" s="712">
        <v>45.66</v>
      </c>
      <c r="G485" s="713">
        <f t="shared" si="98"/>
        <v>1.4900000000000011</v>
      </c>
      <c r="H485" s="713">
        <f t="shared" si="99"/>
        <v>1.4900000000000011</v>
      </c>
      <c r="I485" s="697"/>
      <c r="J485" s="697"/>
      <c r="K485" s="697"/>
      <c r="L485" s="697"/>
      <c r="M485" s="697"/>
      <c r="N485" s="697"/>
      <c r="O485" s="697"/>
      <c r="P485" s="697"/>
      <c r="Q485" s="697"/>
      <c r="R485" s="697"/>
      <c r="S485" s="697"/>
      <c r="T485" s="697"/>
      <c r="U485" s="697"/>
      <c r="V485" s="697"/>
      <c r="W485" s="697"/>
      <c r="X485" s="697"/>
      <c r="Y485" s="697"/>
      <c r="Z485" s="697"/>
      <c r="AA485" s="697"/>
      <c r="AB485" s="697"/>
      <c r="AC485" s="697"/>
      <c r="AD485" s="697"/>
      <c r="AE485" s="697"/>
      <c r="AF485" s="697"/>
      <c r="AG485" s="697"/>
      <c r="AH485" s="697"/>
      <c r="AI485" s="697"/>
      <c r="AJ485" s="697"/>
      <c r="AK485" s="697"/>
      <c r="AL485" s="697"/>
      <c r="AM485" s="697"/>
      <c r="AN485" s="697"/>
      <c r="AO485" s="697"/>
      <c r="AP485" s="697"/>
      <c r="AQ485" s="697"/>
      <c r="AR485" s="697"/>
      <c r="AS485" s="697"/>
      <c r="AT485" s="697"/>
      <c r="AU485" s="697"/>
      <c r="AV485" s="697"/>
      <c r="AW485" s="697"/>
      <c r="AX485" s="697"/>
      <c r="AY485" s="697"/>
      <c r="AZ485" s="697"/>
      <c r="BA485" s="697"/>
      <c r="BB485" s="697"/>
      <c r="BC485" s="697"/>
      <c r="BD485" s="697"/>
      <c r="BE485" s="697"/>
      <c r="BF485" s="697"/>
      <c r="BG485" s="697"/>
      <c r="BH485" s="697"/>
      <c r="BI485" s="697"/>
      <c r="BJ485" s="697"/>
      <c r="BK485" s="697"/>
      <c r="BL485" s="697"/>
      <c r="BM485" s="697"/>
      <c r="BN485" s="697"/>
      <c r="BO485" s="697"/>
      <c r="BP485" s="697"/>
      <c r="BQ485" s="697"/>
      <c r="BR485" s="697"/>
      <c r="BS485" s="697"/>
      <c r="BT485" s="697"/>
      <c r="BU485" s="697"/>
      <c r="BV485" s="697"/>
      <c r="BW485" s="697"/>
      <c r="BX485" s="697"/>
      <c r="BY485" s="697"/>
      <c r="BZ485" s="697"/>
      <c r="CA485" s="697"/>
      <c r="CB485" s="697"/>
      <c r="CC485" s="697"/>
      <c r="CD485" s="697"/>
      <c r="CE485" s="697"/>
      <c r="CF485" s="697"/>
      <c r="CG485" s="697"/>
      <c r="CH485" s="697"/>
      <c r="CI485" s="697"/>
      <c r="CJ485" s="697"/>
      <c r="CK485" s="697"/>
      <c r="CL485" s="697"/>
      <c r="CM485" s="697"/>
      <c r="CN485" s="697"/>
      <c r="CO485" s="697"/>
      <c r="CP485" s="697"/>
      <c r="CQ485" s="697"/>
      <c r="CR485" s="697"/>
      <c r="CS485" s="697"/>
      <c r="CT485" s="697"/>
      <c r="CU485" s="697"/>
      <c r="CV485" s="697"/>
      <c r="CW485" s="697"/>
      <c r="CX485" s="697"/>
      <c r="CY485" s="697"/>
      <c r="CZ485" s="697"/>
      <c r="DA485" s="697"/>
      <c r="DB485" s="697"/>
    </row>
    <row r="486" spans="1:106" hidden="1" outlineLevel="1" x14ac:dyDescent="0.2">
      <c r="A486" s="709">
        <f t="shared" si="95"/>
        <v>39873</v>
      </c>
      <c r="B486" s="709" t="str">
        <f t="shared" si="96"/>
        <v>1Q09</v>
      </c>
      <c r="C486" s="709" t="str">
        <f t="shared" si="97"/>
        <v>2Q09</v>
      </c>
      <c r="D486" s="710">
        <f t="shared" si="102"/>
        <v>39952</v>
      </c>
      <c r="E486" s="710">
        <f t="shared" si="102"/>
        <v>39892</v>
      </c>
      <c r="F486" s="712">
        <v>49.49</v>
      </c>
      <c r="G486" s="713">
        <f t="shared" si="98"/>
        <v>1.4900000000000011</v>
      </c>
      <c r="H486" s="713">
        <f t="shared" si="99"/>
        <v>1.4900000000000011</v>
      </c>
      <c r="I486" s="697"/>
      <c r="J486" s="697"/>
      <c r="K486" s="697"/>
      <c r="L486" s="697"/>
      <c r="M486" s="697"/>
      <c r="N486" s="697"/>
      <c r="O486" s="697"/>
      <c r="P486" s="697"/>
      <c r="Q486" s="697"/>
      <c r="R486" s="697"/>
      <c r="S486" s="697"/>
      <c r="T486" s="697"/>
      <c r="U486" s="697"/>
      <c r="V486" s="697"/>
      <c r="W486" s="697"/>
      <c r="X486" s="697"/>
      <c r="Y486" s="697"/>
      <c r="Z486" s="697"/>
      <c r="AA486" s="697"/>
      <c r="AB486" s="697"/>
      <c r="AC486" s="697"/>
      <c r="AD486" s="697"/>
      <c r="AE486" s="697"/>
      <c r="AF486" s="697"/>
      <c r="AG486" s="697"/>
      <c r="AH486" s="697"/>
      <c r="AI486" s="697"/>
      <c r="AJ486" s="697"/>
      <c r="AK486" s="697"/>
      <c r="AL486" s="697"/>
      <c r="AM486" s="697"/>
      <c r="AN486" s="697"/>
      <c r="AO486" s="697"/>
      <c r="AP486" s="697"/>
      <c r="AQ486" s="697"/>
      <c r="AR486" s="697"/>
      <c r="AS486" s="697"/>
      <c r="AT486" s="697"/>
      <c r="AU486" s="697"/>
      <c r="AV486" s="697"/>
      <c r="AW486" s="697"/>
      <c r="AX486" s="697"/>
      <c r="AY486" s="697"/>
      <c r="AZ486" s="697"/>
      <c r="BA486" s="697"/>
      <c r="BB486" s="697"/>
      <c r="BC486" s="697"/>
      <c r="BD486" s="697"/>
      <c r="BE486" s="697"/>
      <c r="BF486" s="697"/>
      <c r="BG486" s="697"/>
      <c r="BH486" s="697"/>
      <c r="BI486" s="697"/>
      <c r="BJ486" s="697"/>
      <c r="BK486" s="697"/>
      <c r="BL486" s="697"/>
      <c r="BM486" s="697"/>
      <c r="BN486" s="697"/>
      <c r="BO486" s="697"/>
      <c r="BP486" s="697"/>
      <c r="BQ486" s="697"/>
      <c r="BR486" s="697"/>
      <c r="BS486" s="697"/>
      <c r="BT486" s="697"/>
      <c r="BU486" s="697"/>
      <c r="BV486" s="697"/>
      <c r="BW486" s="697"/>
      <c r="BX486" s="697"/>
      <c r="BY486" s="697"/>
      <c r="BZ486" s="697"/>
      <c r="CA486" s="697"/>
      <c r="CB486" s="697"/>
      <c r="CC486" s="697"/>
      <c r="CD486" s="697"/>
      <c r="CE486" s="697"/>
      <c r="CF486" s="697"/>
      <c r="CG486" s="697"/>
      <c r="CH486" s="697"/>
      <c r="CI486" s="697"/>
      <c r="CJ486" s="697"/>
      <c r="CK486" s="697"/>
      <c r="CL486" s="697"/>
      <c r="CM486" s="697"/>
      <c r="CN486" s="697"/>
      <c r="CO486" s="697"/>
      <c r="CP486" s="697"/>
      <c r="CQ486" s="697"/>
      <c r="CR486" s="697"/>
      <c r="CS486" s="697"/>
      <c r="CT486" s="697"/>
      <c r="CU486" s="697"/>
      <c r="CV486" s="697"/>
      <c r="CW486" s="697"/>
      <c r="CX486" s="697"/>
      <c r="CY486" s="697"/>
      <c r="CZ486" s="697"/>
      <c r="DA486" s="697"/>
      <c r="DB486" s="697"/>
    </row>
    <row r="487" spans="1:106" hidden="1" outlineLevel="1" x14ac:dyDescent="0.2">
      <c r="A487" s="709">
        <f t="shared" si="95"/>
        <v>39873</v>
      </c>
      <c r="B487" s="709" t="str">
        <f t="shared" si="96"/>
        <v>1Q09</v>
      </c>
      <c r="C487" s="709" t="str">
        <f t="shared" si="97"/>
        <v>2Q09</v>
      </c>
      <c r="D487" s="710">
        <f t="shared" si="102"/>
        <v>39959</v>
      </c>
      <c r="E487" s="710">
        <f t="shared" si="102"/>
        <v>39899</v>
      </c>
      <c r="F487" s="712">
        <v>52.99</v>
      </c>
      <c r="G487" s="713">
        <f t="shared" si="98"/>
        <v>1.4900000000000011</v>
      </c>
      <c r="H487" s="713">
        <f t="shared" si="99"/>
        <v>1.4900000000000011</v>
      </c>
      <c r="I487" s="697"/>
      <c r="J487" s="697"/>
      <c r="K487" s="697"/>
      <c r="L487" s="697"/>
      <c r="M487" s="697"/>
      <c r="N487" s="697"/>
      <c r="O487" s="697"/>
      <c r="P487" s="697"/>
      <c r="Q487" s="697"/>
      <c r="R487" s="697"/>
      <c r="S487" s="697"/>
      <c r="T487" s="697"/>
      <c r="U487" s="697"/>
      <c r="V487" s="697"/>
      <c r="W487" s="697"/>
      <c r="X487" s="697"/>
      <c r="Y487" s="697"/>
      <c r="Z487" s="697"/>
      <c r="AA487" s="697"/>
      <c r="AB487" s="697"/>
      <c r="AC487" s="697"/>
      <c r="AD487" s="697"/>
      <c r="AE487" s="697"/>
      <c r="AF487" s="697"/>
      <c r="AG487" s="697"/>
      <c r="AH487" s="697"/>
      <c r="AI487" s="697"/>
      <c r="AJ487" s="697"/>
      <c r="AK487" s="697"/>
      <c r="AL487" s="697"/>
      <c r="AM487" s="697"/>
      <c r="AN487" s="697"/>
      <c r="AO487" s="697"/>
      <c r="AP487" s="697"/>
      <c r="AQ487" s="697"/>
      <c r="AR487" s="697"/>
      <c r="AS487" s="697"/>
      <c r="AT487" s="697"/>
      <c r="AU487" s="697"/>
      <c r="AV487" s="697"/>
      <c r="AW487" s="697"/>
      <c r="AX487" s="697"/>
      <c r="AY487" s="697"/>
      <c r="AZ487" s="697"/>
      <c r="BA487" s="697"/>
      <c r="BB487" s="697"/>
      <c r="BC487" s="697"/>
      <c r="BD487" s="697"/>
      <c r="BE487" s="697"/>
      <c r="BF487" s="697"/>
      <c r="BG487" s="697"/>
      <c r="BH487" s="697"/>
      <c r="BI487" s="697"/>
      <c r="BJ487" s="697"/>
      <c r="BK487" s="697"/>
      <c r="BL487" s="697"/>
      <c r="BM487" s="697"/>
      <c r="BN487" s="697"/>
      <c r="BO487" s="697"/>
      <c r="BP487" s="697"/>
      <c r="BQ487" s="697"/>
      <c r="BR487" s="697"/>
      <c r="BS487" s="697"/>
      <c r="BT487" s="697"/>
      <c r="BU487" s="697"/>
      <c r="BV487" s="697"/>
      <c r="BW487" s="697"/>
      <c r="BX487" s="697"/>
      <c r="BY487" s="697"/>
      <c r="BZ487" s="697"/>
      <c r="CA487" s="697"/>
      <c r="CB487" s="697"/>
      <c r="CC487" s="697"/>
      <c r="CD487" s="697"/>
      <c r="CE487" s="697"/>
      <c r="CF487" s="697"/>
      <c r="CG487" s="697"/>
      <c r="CH487" s="697"/>
      <c r="CI487" s="697"/>
      <c r="CJ487" s="697"/>
      <c r="CK487" s="697"/>
      <c r="CL487" s="697"/>
      <c r="CM487" s="697"/>
      <c r="CN487" s="697"/>
      <c r="CO487" s="697"/>
      <c r="CP487" s="697"/>
      <c r="CQ487" s="697"/>
      <c r="CR487" s="697"/>
      <c r="CS487" s="697"/>
      <c r="CT487" s="697"/>
      <c r="CU487" s="697"/>
      <c r="CV487" s="697"/>
      <c r="CW487" s="697"/>
      <c r="CX487" s="697"/>
      <c r="CY487" s="697"/>
      <c r="CZ487" s="697"/>
      <c r="DA487" s="697"/>
      <c r="DB487" s="697"/>
    </row>
    <row r="488" spans="1:106" hidden="1" outlineLevel="1" x14ac:dyDescent="0.2">
      <c r="A488" s="709">
        <f t="shared" si="95"/>
        <v>39904</v>
      </c>
      <c r="B488" s="709" t="str">
        <f t="shared" si="96"/>
        <v>2Q09</v>
      </c>
      <c r="C488" s="709" t="str">
        <f t="shared" si="97"/>
        <v>2Q09</v>
      </c>
      <c r="D488" s="710">
        <f t="shared" si="102"/>
        <v>39966</v>
      </c>
      <c r="E488" s="710">
        <f t="shared" si="102"/>
        <v>39906</v>
      </c>
      <c r="F488" s="712">
        <v>50.34</v>
      </c>
      <c r="G488" s="713">
        <f t="shared" si="98"/>
        <v>1.4900000000000011</v>
      </c>
      <c r="H488" s="713">
        <f t="shared" si="99"/>
        <v>1.4900000000000011</v>
      </c>
      <c r="I488" s="697"/>
      <c r="J488" s="697"/>
      <c r="K488" s="697"/>
      <c r="L488" s="697"/>
      <c r="M488" s="697"/>
      <c r="N488" s="697"/>
      <c r="O488" s="697"/>
      <c r="P488" s="697"/>
      <c r="Q488" s="697"/>
      <c r="R488" s="697"/>
      <c r="S488" s="697"/>
      <c r="T488" s="697"/>
      <c r="U488" s="697"/>
      <c r="V488" s="697"/>
      <c r="W488" s="697"/>
      <c r="X488" s="697"/>
      <c r="Y488" s="697"/>
      <c r="Z488" s="697"/>
      <c r="AA488" s="697"/>
      <c r="AB488" s="697"/>
      <c r="AC488" s="697"/>
      <c r="AD488" s="697"/>
      <c r="AE488" s="697"/>
      <c r="AF488" s="697"/>
      <c r="AG488" s="697"/>
      <c r="AH488" s="697"/>
      <c r="AI488" s="697"/>
      <c r="AJ488" s="697"/>
      <c r="AK488" s="697"/>
      <c r="AL488" s="697"/>
      <c r="AM488" s="697"/>
      <c r="AN488" s="697"/>
      <c r="AO488" s="697"/>
      <c r="AP488" s="697"/>
      <c r="AQ488" s="697"/>
      <c r="AR488" s="697"/>
      <c r="AS488" s="697"/>
      <c r="AT488" s="697"/>
      <c r="AU488" s="697"/>
      <c r="AV488" s="697"/>
      <c r="AW488" s="697"/>
      <c r="AX488" s="697"/>
      <c r="AY488" s="697"/>
      <c r="AZ488" s="697"/>
      <c r="BA488" s="697"/>
      <c r="BB488" s="697"/>
      <c r="BC488" s="697"/>
      <c r="BD488" s="697"/>
      <c r="BE488" s="697"/>
      <c r="BF488" s="697"/>
      <c r="BG488" s="697"/>
      <c r="BH488" s="697"/>
      <c r="BI488" s="697"/>
      <c r="BJ488" s="697"/>
      <c r="BK488" s="697"/>
      <c r="BL488" s="697"/>
      <c r="BM488" s="697"/>
      <c r="BN488" s="697"/>
      <c r="BO488" s="697"/>
      <c r="BP488" s="697"/>
      <c r="BQ488" s="697"/>
      <c r="BR488" s="697"/>
      <c r="BS488" s="697"/>
      <c r="BT488" s="697"/>
      <c r="BU488" s="697"/>
      <c r="BV488" s="697"/>
      <c r="BW488" s="697"/>
      <c r="BX488" s="697"/>
      <c r="BY488" s="697"/>
      <c r="BZ488" s="697"/>
      <c r="CA488" s="697"/>
      <c r="CB488" s="697"/>
      <c r="CC488" s="697"/>
      <c r="CD488" s="697"/>
      <c r="CE488" s="697"/>
      <c r="CF488" s="697"/>
      <c r="CG488" s="697"/>
      <c r="CH488" s="697"/>
      <c r="CI488" s="697"/>
      <c r="CJ488" s="697"/>
      <c r="CK488" s="697"/>
      <c r="CL488" s="697"/>
      <c r="CM488" s="697"/>
      <c r="CN488" s="697"/>
      <c r="CO488" s="697"/>
      <c r="CP488" s="697"/>
      <c r="CQ488" s="697"/>
      <c r="CR488" s="697"/>
      <c r="CS488" s="697"/>
      <c r="CT488" s="697"/>
      <c r="CU488" s="697"/>
      <c r="CV488" s="697"/>
      <c r="CW488" s="697"/>
      <c r="CX488" s="697"/>
      <c r="CY488" s="697"/>
      <c r="CZ488" s="697"/>
      <c r="DA488" s="697"/>
      <c r="DB488" s="697"/>
    </row>
    <row r="489" spans="1:106" hidden="1" outlineLevel="1" x14ac:dyDescent="0.2">
      <c r="A489" s="709">
        <f t="shared" si="95"/>
        <v>39904</v>
      </c>
      <c r="B489" s="709" t="str">
        <f t="shared" si="96"/>
        <v>2Q09</v>
      </c>
      <c r="C489" s="709" t="str">
        <f t="shared" si="97"/>
        <v>2Q09</v>
      </c>
      <c r="D489" s="710">
        <f t="shared" si="102"/>
        <v>39973</v>
      </c>
      <c r="E489" s="710">
        <f t="shared" si="102"/>
        <v>39913</v>
      </c>
      <c r="F489" s="712">
        <v>50.46</v>
      </c>
      <c r="G489" s="713">
        <f t="shared" si="98"/>
        <v>1.4900000000000011</v>
      </c>
      <c r="H489" s="713">
        <f t="shared" si="99"/>
        <v>1.4900000000000011</v>
      </c>
      <c r="I489" s="697"/>
      <c r="J489" s="697"/>
      <c r="K489" s="697"/>
      <c r="L489" s="697"/>
      <c r="M489" s="697"/>
      <c r="N489" s="697"/>
      <c r="O489" s="697"/>
      <c r="P489" s="697"/>
      <c r="Q489" s="697"/>
      <c r="R489" s="697"/>
      <c r="S489" s="697"/>
      <c r="T489" s="697"/>
      <c r="U489" s="697"/>
      <c r="V489" s="697"/>
      <c r="W489" s="697"/>
      <c r="X489" s="697"/>
      <c r="Y489" s="697"/>
      <c r="Z489" s="697"/>
      <c r="AA489" s="697"/>
      <c r="AB489" s="697"/>
      <c r="AC489" s="697"/>
      <c r="AD489" s="697"/>
      <c r="AE489" s="697"/>
      <c r="AF489" s="697"/>
      <c r="AG489" s="697"/>
      <c r="AH489" s="697"/>
      <c r="AI489" s="697"/>
      <c r="AJ489" s="697"/>
      <c r="AK489" s="697"/>
      <c r="AL489" s="697"/>
      <c r="AM489" s="697"/>
      <c r="AN489" s="697"/>
      <c r="AO489" s="697"/>
      <c r="AP489" s="697"/>
      <c r="AQ489" s="697"/>
      <c r="AR489" s="697"/>
      <c r="AS489" s="697"/>
      <c r="AT489" s="697"/>
      <c r="AU489" s="697"/>
      <c r="AV489" s="697"/>
      <c r="AW489" s="697"/>
      <c r="AX489" s="697"/>
      <c r="AY489" s="697"/>
      <c r="AZ489" s="697"/>
      <c r="BA489" s="697"/>
      <c r="BB489" s="697"/>
      <c r="BC489" s="697"/>
      <c r="BD489" s="697"/>
      <c r="BE489" s="697"/>
      <c r="BF489" s="697"/>
      <c r="BG489" s="697"/>
      <c r="BH489" s="697"/>
      <c r="BI489" s="697"/>
      <c r="BJ489" s="697"/>
      <c r="BK489" s="697"/>
      <c r="BL489" s="697"/>
      <c r="BM489" s="697"/>
      <c r="BN489" s="697"/>
      <c r="BO489" s="697"/>
      <c r="BP489" s="697"/>
      <c r="BQ489" s="697"/>
      <c r="BR489" s="697"/>
      <c r="BS489" s="697"/>
      <c r="BT489" s="697"/>
      <c r="BU489" s="697"/>
      <c r="BV489" s="697"/>
      <c r="BW489" s="697"/>
      <c r="BX489" s="697"/>
      <c r="BY489" s="697"/>
      <c r="BZ489" s="697"/>
      <c r="CA489" s="697"/>
      <c r="CB489" s="697"/>
      <c r="CC489" s="697"/>
      <c r="CD489" s="697"/>
      <c r="CE489" s="697"/>
      <c r="CF489" s="697"/>
      <c r="CG489" s="697"/>
      <c r="CH489" s="697"/>
      <c r="CI489" s="697"/>
      <c r="CJ489" s="697"/>
      <c r="CK489" s="697"/>
      <c r="CL489" s="697"/>
      <c r="CM489" s="697"/>
      <c r="CN489" s="697"/>
      <c r="CO489" s="697"/>
      <c r="CP489" s="697"/>
      <c r="CQ489" s="697"/>
      <c r="CR489" s="697"/>
      <c r="CS489" s="697"/>
      <c r="CT489" s="697"/>
      <c r="CU489" s="697"/>
      <c r="CV489" s="697"/>
      <c r="CW489" s="697"/>
      <c r="CX489" s="697"/>
      <c r="CY489" s="697"/>
      <c r="CZ489" s="697"/>
      <c r="DA489" s="697"/>
      <c r="DB489" s="697"/>
    </row>
    <row r="490" spans="1:106" hidden="1" outlineLevel="1" x14ac:dyDescent="0.2">
      <c r="A490" s="709">
        <f t="shared" si="95"/>
        <v>39904</v>
      </c>
      <c r="B490" s="709" t="str">
        <f t="shared" si="96"/>
        <v>2Q09</v>
      </c>
      <c r="C490" s="709" t="str">
        <f t="shared" si="97"/>
        <v>2Q09</v>
      </c>
      <c r="D490" s="710">
        <f t="shared" si="102"/>
        <v>39980</v>
      </c>
      <c r="E490" s="710">
        <f t="shared" si="102"/>
        <v>39920</v>
      </c>
      <c r="F490" s="712">
        <v>49.86</v>
      </c>
      <c r="G490" s="713">
        <f t="shared" si="98"/>
        <v>1.4900000000000011</v>
      </c>
      <c r="H490" s="713">
        <f t="shared" si="99"/>
        <v>1.4900000000000011</v>
      </c>
      <c r="I490" s="697"/>
      <c r="J490" s="697"/>
      <c r="K490" s="697"/>
      <c r="L490" s="697"/>
      <c r="M490" s="697"/>
      <c r="N490" s="697"/>
      <c r="O490" s="697"/>
      <c r="P490" s="697"/>
      <c r="Q490" s="697"/>
      <c r="R490" s="697"/>
      <c r="S490" s="697"/>
      <c r="T490" s="697"/>
      <c r="U490" s="697"/>
      <c r="V490" s="697"/>
      <c r="W490" s="697"/>
      <c r="X490" s="697"/>
      <c r="Y490" s="697"/>
      <c r="Z490" s="697"/>
      <c r="AA490" s="697"/>
      <c r="AB490" s="697"/>
      <c r="AC490" s="697"/>
      <c r="AD490" s="697"/>
      <c r="AE490" s="697"/>
      <c r="AF490" s="697"/>
      <c r="AG490" s="697"/>
      <c r="AH490" s="697"/>
      <c r="AI490" s="697"/>
      <c r="AJ490" s="697"/>
      <c r="AK490" s="697"/>
      <c r="AL490" s="697"/>
      <c r="AM490" s="697"/>
      <c r="AN490" s="697"/>
      <c r="AO490" s="697"/>
      <c r="AP490" s="697"/>
      <c r="AQ490" s="697"/>
      <c r="AR490" s="697"/>
      <c r="AS490" s="697"/>
      <c r="AT490" s="697"/>
      <c r="AU490" s="697"/>
      <c r="AV490" s="697"/>
      <c r="AW490" s="697"/>
      <c r="AX490" s="697"/>
      <c r="AY490" s="697"/>
      <c r="AZ490" s="697"/>
      <c r="BA490" s="697"/>
      <c r="BB490" s="697"/>
      <c r="BC490" s="697"/>
      <c r="BD490" s="697"/>
      <c r="BE490" s="697"/>
      <c r="BF490" s="697"/>
      <c r="BG490" s="697"/>
      <c r="BH490" s="697"/>
      <c r="BI490" s="697"/>
      <c r="BJ490" s="697"/>
      <c r="BK490" s="697"/>
      <c r="BL490" s="697"/>
      <c r="BM490" s="697"/>
      <c r="BN490" s="697"/>
      <c r="BO490" s="697"/>
      <c r="BP490" s="697"/>
      <c r="BQ490" s="697"/>
      <c r="BR490" s="697"/>
      <c r="BS490" s="697"/>
      <c r="BT490" s="697"/>
      <c r="BU490" s="697"/>
      <c r="BV490" s="697"/>
      <c r="BW490" s="697"/>
      <c r="BX490" s="697"/>
      <c r="BY490" s="697"/>
      <c r="BZ490" s="697"/>
      <c r="CA490" s="697"/>
      <c r="CB490" s="697"/>
      <c r="CC490" s="697"/>
      <c r="CD490" s="697"/>
      <c r="CE490" s="697"/>
      <c r="CF490" s="697"/>
      <c r="CG490" s="697"/>
      <c r="CH490" s="697"/>
      <c r="CI490" s="697"/>
      <c r="CJ490" s="697"/>
      <c r="CK490" s="697"/>
      <c r="CL490" s="697"/>
      <c r="CM490" s="697"/>
      <c r="CN490" s="697"/>
      <c r="CO490" s="697"/>
      <c r="CP490" s="697"/>
      <c r="CQ490" s="697"/>
      <c r="CR490" s="697"/>
      <c r="CS490" s="697"/>
      <c r="CT490" s="697"/>
      <c r="CU490" s="697"/>
      <c r="CV490" s="697"/>
      <c r="CW490" s="697"/>
      <c r="CX490" s="697"/>
      <c r="CY490" s="697"/>
      <c r="CZ490" s="697"/>
      <c r="DA490" s="697"/>
      <c r="DB490" s="697"/>
    </row>
    <row r="491" spans="1:106" hidden="1" outlineLevel="1" x14ac:dyDescent="0.2">
      <c r="A491" s="709">
        <f t="shared" si="95"/>
        <v>39904</v>
      </c>
      <c r="B491" s="709" t="str">
        <f t="shared" si="96"/>
        <v>2Q09</v>
      </c>
      <c r="C491" s="709" t="str">
        <f t="shared" si="97"/>
        <v>2Q09</v>
      </c>
      <c r="D491" s="710">
        <f t="shared" si="102"/>
        <v>39987</v>
      </c>
      <c r="E491" s="710">
        <f t="shared" si="102"/>
        <v>39927</v>
      </c>
      <c r="F491" s="712">
        <v>47.8</v>
      </c>
      <c r="G491" s="713">
        <f t="shared" si="98"/>
        <v>1.4900000000000011</v>
      </c>
      <c r="H491" s="713">
        <f t="shared" si="99"/>
        <v>1.4900000000000011</v>
      </c>
      <c r="I491" s="697"/>
      <c r="J491" s="697"/>
      <c r="K491" s="697"/>
      <c r="L491" s="697"/>
      <c r="M491" s="697"/>
      <c r="N491" s="697"/>
      <c r="O491" s="697"/>
      <c r="P491" s="697"/>
      <c r="Q491" s="697"/>
      <c r="R491" s="697"/>
      <c r="S491" s="697"/>
      <c r="T491" s="697"/>
      <c r="U491" s="697"/>
      <c r="V491" s="697"/>
      <c r="W491" s="697"/>
      <c r="X491" s="697"/>
      <c r="Y491" s="697"/>
      <c r="Z491" s="697"/>
      <c r="AA491" s="697"/>
      <c r="AB491" s="697"/>
      <c r="AC491" s="697"/>
      <c r="AD491" s="697"/>
      <c r="AE491" s="697"/>
      <c r="AF491" s="697"/>
      <c r="AG491" s="697"/>
      <c r="AH491" s="697"/>
      <c r="AI491" s="697"/>
      <c r="AJ491" s="697"/>
      <c r="AK491" s="697"/>
      <c r="AL491" s="697"/>
      <c r="AM491" s="697"/>
      <c r="AN491" s="697"/>
      <c r="AO491" s="697"/>
      <c r="AP491" s="697"/>
      <c r="AQ491" s="697"/>
      <c r="AR491" s="697"/>
      <c r="AS491" s="697"/>
      <c r="AT491" s="697"/>
      <c r="AU491" s="697"/>
      <c r="AV491" s="697"/>
      <c r="AW491" s="697"/>
      <c r="AX491" s="697"/>
      <c r="AY491" s="697"/>
      <c r="AZ491" s="697"/>
      <c r="BA491" s="697"/>
      <c r="BB491" s="697"/>
      <c r="BC491" s="697"/>
      <c r="BD491" s="697"/>
      <c r="BE491" s="697"/>
      <c r="BF491" s="697"/>
      <c r="BG491" s="697"/>
      <c r="BH491" s="697"/>
      <c r="BI491" s="697"/>
      <c r="BJ491" s="697"/>
      <c r="BK491" s="697"/>
      <c r="BL491" s="697"/>
      <c r="BM491" s="697"/>
      <c r="BN491" s="697"/>
      <c r="BO491" s="697"/>
      <c r="BP491" s="697"/>
      <c r="BQ491" s="697"/>
      <c r="BR491" s="697"/>
      <c r="BS491" s="697"/>
      <c r="BT491" s="697"/>
      <c r="BU491" s="697"/>
      <c r="BV491" s="697"/>
      <c r="BW491" s="697"/>
      <c r="BX491" s="697"/>
      <c r="BY491" s="697"/>
      <c r="BZ491" s="697"/>
      <c r="CA491" s="697"/>
      <c r="CB491" s="697"/>
      <c r="CC491" s="697"/>
      <c r="CD491" s="697"/>
      <c r="CE491" s="697"/>
      <c r="CF491" s="697"/>
      <c r="CG491" s="697"/>
      <c r="CH491" s="697"/>
      <c r="CI491" s="697"/>
      <c r="CJ491" s="697"/>
      <c r="CK491" s="697"/>
      <c r="CL491" s="697"/>
      <c r="CM491" s="697"/>
      <c r="CN491" s="697"/>
      <c r="CO491" s="697"/>
      <c r="CP491" s="697"/>
      <c r="CQ491" s="697"/>
      <c r="CR491" s="697"/>
      <c r="CS491" s="697"/>
      <c r="CT491" s="697"/>
      <c r="CU491" s="697"/>
      <c r="CV491" s="697"/>
      <c r="CW491" s="697"/>
      <c r="CX491" s="697"/>
      <c r="CY491" s="697"/>
      <c r="CZ491" s="697"/>
      <c r="DA491" s="697"/>
      <c r="DB491" s="697"/>
    </row>
    <row r="492" spans="1:106" hidden="1" outlineLevel="1" x14ac:dyDescent="0.2">
      <c r="A492" s="709">
        <f t="shared" si="95"/>
        <v>39934</v>
      </c>
      <c r="B492" s="709" t="str">
        <f t="shared" si="96"/>
        <v>2Q09</v>
      </c>
      <c r="C492" s="709" t="str">
        <f t="shared" si="97"/>
        <v>2Q09</v>
      </c>
      <c r="D492" s="710">
        <f t="shared" si="102"/>
        <v>39994</v>
      </c>
      <c r="E492" s="710">
        <f t="shared" si="102"/>
        <v>39934</v>
      </c>
      <c r="F492" s="712">
        <v>50.2</v>
      </c>
      <c r="G492" s="713">
        <f t="shared" si="98"/>
        <v>1.4900000000000011</v>
      </c>
      <c r="H492" s="713">
        <f t="shared" si="99"/>
        <v>1.4900000000000011</v>
      </c>
      <c r="I492" s="697"/>
      <c r="J492" s="697"/>
      <c r="K492" s="697"/>
      <c r="L492" s="697"/>
      <c r="M492" s="697"/>
      <c r="N492" s="697"/>
      <c r="O492" s="697"/>
      <c r="P492" s="697"/>
      <c r="Q492" s="697"/>
      <c r="R492" s="697"/>
      <c r="S492" s="697"/>
      <c r="T492" s="697"/>
      <c r="U492" s="697"/>
      <c r="V492" s="697"/>
      <c r="W492" s="697"/>
      <c r="X492" s="697"/>
      <c r="Y492" s="697"/>
      <c r="Z492" s="697"/>
      <c r="AA492" s="697"/>
      <c r="AB492" s="697"/>
      <c r="AC492" s="697"/>
      <c r="AD492" s="697"/>
      <c r="AE492" s="697"/>
      <c r="AF492" s="697"/>
      <c r="AG492" s="697"/>
      <c r="AH492" s="697"/>
      <c r="AI492" s="697"/>
      <c r="AJ492" s="697"/>
      <c r="AK492" s="697"/>
      <c r="AL492" s="697"/>
      <c r="AM492" s="697"/>
      <c r="AN492" s="697"/>
      <c r="AO492" s="697"/>
      <c r="AP492" s="697"/>
      <c r="AQ492" s="697"/>
      <c r="AR492" s="697"/>
      <c r="AS492" s="697"/>
      <c r="AT492" s="697"/>
      <c r="AU492" s="697"/>
      <c r="AV492" s="697"/>
      <c r="AW492" s="697"/>
      <c r="AX492" s="697"/>
      <c r="AY492" s="697"/>
      <c r="AZ492" s="697"/>
      <c r="BA492" s="697"/>
      <c r="BB492" s="697"/>
      <c r="BC492" s="697"/>
      <c r="BD492" s="697"/>
      <c r="BE492" s="697"/>
      <c r="BF492" s="697"/>
      <c r="BG492" s="697"/>
      <c r="BH492" s="697"/>
      <c r="BI492" s="697"/>
      <c r="BJ492" s="697"/>
      <c r="BK492" s="697"/>
      <c r="BL492" s="697"/>
      <c r="BM492" s="697"/>
      <c r="BN492" s="697"/>
      <c r="BO492" s="697"/>
      <c r="BP492" s="697"/>
      <c r="BQ492" s="697"/>
      <c r="BR492" s="697"/>
      <c r="BS492" s="697"/>
      <c r="BT492" s="697"/>
      <c r="BU492" s="697"/>
      <c r="BV492" s="697"/>
      <c r="BW492" s="697"/>
      <c r="BX492" s="697"/>
      <c r="BY492" s="697"/>
      <c r="BZ492" s="697"/>
      <c r="CA492" s="697"/>
      <c r="CB492" s="697"/>
      <c r="CC492" s="697"/>
      <c r="CD492" s="697"/>
      <c r="CE492" s="697"/>
      <c r="CF492" s="697"/>
      <c r="CG492" s="697"/>
      <c r="CH492" s="697"/>
      <c r="CI492" s="697"/>
      <c r="CJ492" s="697"/>
      <c r="CK492" s="697"/>
      <c r="CL492" s="697"/>
      <c r="CM492" s="697"/>
      <c r="CN492" s="697"/>
      <c r="CO492" s="697"/>
      <c r="CP492" s="697"/>
      <c r="CQ492" s="697"/>
      <c r="CR492" s="697"/>
      <c r="CS492" s="697"/>
      <c r="CT492" s="697"/>
      <c r="CU492" s="697"/>
      <c r="CV492" s="697"/>
      <c r="CW492" s="697"/>
      <c r="CX492" s="697"/>
      <c r="CY492" s="697"/>
      <c r="CZ492" s="697"/>
      <c r="DA492" s="697"/>
      <c r="DB492" s="697"/>
    </row>
    <row r="493" spans="1:106" hidden="1" outlineLevel="1" x14ac:dyDescent="0.2">
      <c r="A493" s="709">
        <f t="shared" si="95"/>
        <v>39934</v>
      </c>
      <c r="B493" s="709" t="str">
        <f t="shared" si="96"/>
        <v>2Q09</v>
      </c>
      <c r="C493" s="709" t="str">
        <f t="shared" si="97"/>
        <v>3Q09</v>
      </c>
      <c r="D493" s="710">
        <f t="shared" si="102"/>
        <v>40001</v>
      </c>
      <c r="E493" s="710">
        <f t="shared" si="102"/>
        <v>39941</v>
      </c>
      <c r="F493" s="712">
        <v>55.96</v>
      </c>
      <c r="G493" s="713">
        <f t="shared" si="98"/>
        <v>1.4900000000000011</v>
      </c>
      <c r="H493" s="713">
        <f t="shared" si="99"/>
        <v>1.4900000000000011</v>
      </c>
      <c r="I493" s="697"/>
      <c r="J493" s="697"/>
      <c r="K493" s="697"/>
      <c r="L493" s="697"/>
      <c r="M493" s="697"/>
      <c r="N493" s="697"/>
      <c r="O493" s="697"/>
      <c r="P493" s="697"/>
      <c r="Q493" s="697"/>
      <c r="R493" s="697"/>
      <c r="S493" s="697"/>
      <c r="T493" s="697"/>
      <c r="U493" s="697"/>
      <c r="V493" s="697"/>
      <c r="W493" s="697"/>
      <c r="X493" s="697"/>
      <c r="Y493" s="697"/>
      <c r="Z493" s="697"/>
      <c r="AA493" s="697"/>
      <c r="AB493" s="697"/>
      <c r="AC493" s="697"/>
      <c r="AD493" s="697"/>
      <c r="AE493" s="697"/>
      <c r="AF493" s="697"/>
      <c r="AG493" s="697"/>
      <c r="AH493" s="697"/>
      <c r="AI493" s="697"/>
      <c r="AJ493" s="697"/>
      <c r="AK493" s="697"/>
      <c r="AL493" s="697"/>
      <c r="AM493" s="697"/>
      <c r="AN493" s="697"/>
      <c r="AO493" s="697"/>
      <c r="AP493" s="697"/>
      <c r="AQ493" s="697"/>
      <c r="AR493" s="697"/>
      <c r="AS493" s="697"/>
      <c r="AT493" s="697"/>
      <c r="AU493" s="697"/>
      <c r="AV493" s="697"/>
      <c r="AW493" s="697"/>
      <c r="AX493" s="697"/>
      <c r="AY493" s="697"/>
      <c r="AZ493" s="697"/>
      <c r="BA493" s="697"/>
      <c r="BB493" s="697"/>
      <c r="BC493" s="697"/>
      <c r="BD493" s="697"/>
      <c r="BE493" s="697"/>
      <c r="BF493" s="697"/>
      <c r="BG493" s="697"/>
      <c r="BH493" s="697"/>
      <c r="BI493" s="697"/>
      <c r="BJ493" s="697"/>
      <c r="BK493" s="697"/>
      <c r="BL493" s="697"/>
      <c r="BM493" s="697"/>
      <c r="BN493" s="697"/>
      <c r="BO493" s="697"/>
      <c r="BP493" s="697"/>
      <c r="BQ493" s="697"/>
      <c r="BR493" s="697"/>
      <c r="BS493" s="697"/>
      <c r="BT493" s="697"/>
      <c r="BU493" s="697"/>
      <c r="BV493" s="697"/>
      <c r="BW493" s="697"/>
      <c r="BX493" s="697"/>
      <c r="BY493" s="697"/>
      <c r="BZ493" s="697"/>
      <c r="CA493" s="697"/>
      <c r="CB493" s="697"/>
      <c r="CC493" s="697"/>
      <c r="CD493" s="697"/>
      <c r="CE493" s="697"/>
      <c r="CF493" s="697"/>
      <c r="CG493" s="697"/>
      <c r="CH493" s="697"/>
      <c r="CI493" s="697"/>
      <c r="CJ493" s="697"/>
      <c r="CK493" s="697"/>
      <c r="CL493" s="697"/>
      <c r="CM493" s="697"/>
      <c r="CN493" s="697"/>
      <c r="CO493" s="697"/>
      <c r="CP493" s="697"/>
      <c r="CQ493" s="697"/>
      <c r="CR493" s="697"/>
      <c r="CS493" s="697"/>
      <c r="CT493" s="697"/>
      <c r="CU493" s="697"/>
      <c r="CV493" s="697"/>
      <c r="CW493" s="697"/>
      <c r="CX493" s="697"/>
      <c r="CY493" s="697"/>
      <c r="CZ493" s="697"/>
      <c r="DA493" s="697"/>
      <c r="DB493" s="697"/>
    </row>
    <row r="494" spans="1:106" hidden="1" outlineLevel="1" x14ac:dyDescent="0.2">
      <c r="A494" s="709">
        <f t="shared" si="95"/>
        <v>39934</v>
      </c>
      <c r="B494" s="709" t="str">
        <f t="shared" si="96"/>
        <v>2Q09</v>
      </c>
      <c r="C494" s="709" t="str">
        <f t="shared" si="97"/>
        <v>3Q09</v>
      </c>
      <c r="D494" s="710">
        <f t="shared" si="102"/>
        <v>40008</v>
      </c>
      <c r="E494" s="710">
        <f t="shared" si="102"/>
        <v>39948</v>
      </c>
      <c r="F494" s="712">
        <v>57.94</v>
      </c>
      <c r="G494" s="713">
        <f t="shared" si="98"/>
        <v>1.4900000000000011</v>
      </c>
      <c r="H494" s="713">
        <f t="shared" si="99"/>
        <v>1.4900000000000011</v>
      </c>
      <c r="I494" s="697"/>
      <c r="J494" s="697"/>
      <c r="K494" s="697"/>
      <c r="L494" s="697"/>
      <c r="M494" s="697"/>
      <c r="N494" s="697"/>
      <c r="O494" s="697"/>
      <c r="P494" s="697"/>
      <c r="Q494" s="697"/>
      <c r="R494" s="697"/>
      <c r="S494" s="697"/>
      <c r="T494" s="697"/>
      <c r="U494" s="697"/>
      <c r="V494" s="697"/>
      <c r="W494" s="697"/>
      <c r="X494" s="697"/>
      <c r="Y494" s="697"/>
      <c r="Z494" s="697"/>
      <c r="AA494" s="697"/>
      <c r="AB494" s="697"/>
      <c r="AC494" s="697"/>
      <c r="AD494" s="697"/>
      <c r="AE494" s="697"/>
      <c r="AF494" s="697"/>
      <c r="AG494" s="697"/>
      <c r="AH494" s="697"/>
      <c r="AI494" s="697"/>
      <c r="AJ494" s="697"/>
      <c r="AK494" s="697"/>
      <c r="AL494" s="697"/>
      <c r="AM494" s="697"/>
      <c r="AN494" s="697"/>
      <c r="AO494" s="697"/>
      <c r="AP494" s="697"/>
      <c r="AQ494" s="697"/>
      <c r="AR494" s="697"/>
      <c r="AS494" s="697"/>
      <c r="AT494" s="697"/>
      <c r="AU494" s="697"/>
      <c r="AV494" s="697"/>
      <c r="AW494" s="697"/>
      <c r="AX494" s="697"/>
      <c r="AY494" s="697"/>
      <c r="AZ494" s="697"/>
      <c r="BA494" s="697"/>
      <c r="BB494" s="697"/>
      <c r="BC494" s="697"/>
      <c r="BD494" s="697"/>
      <c r="BE494" s="697"/>
      <c r="BF494" s="697"/>
      <c r="BG494" s="697"/>
      <c r="BH494" s="697"/>
      <c r="BI494" s="697"/>
      <c r="BJ494" s="697"/>
      <c r="BK494" s="697"/>
      <c r="BL494" s="697"/>
      <c r="BM494" s="697"/>
      <c r="BN494" s="697"/>
      <c r="BO494" s="697"/>
      <c r="BP494" s="697"/>
      <c r="BQ494" s="697"/>
      <c r="BR494" s="697"/>
      <c r="BS494" s="697"/>
      <c r="BT494" s="697"/>
      <c r="BU494" s="697"/>
      <c r="BV494" s="697"/>
      <c r="BW494" s="697"/>
      <c r="BX494" s="697"/>
      <c r="BY494" s="697"/>
      <c r="BZ494" s="697"/>
      <c r="CA494" s="697"/>
      <c r="CB494" s="697"/>
      <c r="CC494" s="697"/>
      <c r="CD494" s="697"/>
      <c r="CE494" s="697"/>
      <c r="CF494" s="697"/>
      <c r="CG494" s="697"/>
      <c r="CH494" s="697"/>
      <c r="CI494" s="697"/>
      <c r="CJ494" s="697"/>
      <c r="CK494" s="697"/>
      <c r="CL494" s="697"/>
      <c r="CM494" s="697"/>
      <c r="CN494" s="697"/>
      <c r="CO494" s="697"/>
      <c r="CP494" s="697"/>
      <c r="CQ494" s="697"/>
      <c r="CR494" s="697"/>
      <c r="CS494" s="697"/>
      <c r="CT494" s="697"/>
      <c r="CU494" s="697"/>
      <c r="CV494" s="697"/>
      <c r="CW494" s="697"/>
      <c r="CX494" s="697"/>
      <c r="CY494" s="697"/>
      <c r="CZ494" s="697"/>
      <c r="DA494" s="697"/>
      <c r="DB494" s="697"/>
    </row>
    <row r="495" spans="1:106" hidden="1" outlineLevel="1" x14ac:dyDescent="0.2">
      <c r="A495" s="709">
        <f t="shared" si="95"/>
        <v>39934</v>
      </c>
      <c r="B495" s="709" t="str">
        <f t="shared" si="96"/>
        <v>2Q09</v>
      </c>
      <c r="C495" s="709" t="str">
        <f t="shared" si="97"/>
        <v>3Q09</v>
      </c>
      <c r="D495" s="710">
        <f t="shared" si="102"/>
        <v>40015</v>
      </c>
      <c r="E495" s="710">
        <f t="shared" si="102"/>
        <v>39955</v>
      </c>
      <c r="F495" s="712">
        <v>60.32</v>
      </c>
      <c r="G495" s="713">
        <f t="shared" si="98"/>
        <v>1.4900000000000011</v>
      </c>
      <c r="H495" s="713">
        <f t="shared" si="99"/>
        <v>1.4900000000000011</v>
      </c>
      <c r="I495" s="697"/>
      <c r="J495" s="697"/>
      <c r="K495" s="697"/>
      <c r="L495" s="697"/>
      <c r="M495" s="697"/>
      <c r="N495" s="697"/>
      <c r="O495" s="697"/>
      <c r="P495" s="697"/>
      <c r="Q495" s="697"/>
      <c r="R495" s="697"/>
      <c r="S495" s="697"/>
      <c r="T495" s="697"/>
      <c r="U495" s="697"/>
      <c r="V495" s="697"/>
      <c r="W495" s="697"/>
      <c r="X495" s="697"/>
      <c r="Y495" s="697"/>
      <c r="Z495" s="697"/>
      <c r="AA495" s="697"/>
      <c r="AB495" s="697"/>
      <c r="AC495" s="697"/>
      <c r="AD495" s="697"/>
      <c r="AE495" s="697"/>
      <c r="AF495" s="697"/>
      <c r="AG495" s="697"/>
      <c r="AH495" s="697"/>
      <c r="AI495" s="697"/>
      <c r="AJ495" s="697"/>
      <c r="AK495" s="697"/>
      <c r="AL495" s="697"/>
      <c r="AM495" s="697"/>
      <c r="AN495" s="697"/>
      <c r="AO495" s="697"/>
      <c r="AP495" s="697"/>
      <c r="AQ495" s="697"/>
      <c r="AR495" s="697"/>
      <c r="AS495" s="697"/>
      <c r="AT495" s="697"/>
      <c r="AU495" s="697"/>
      <c r="AV495" s="697"/>
      <c r="AW495" s="697"/>
      <c r="AX495" s="697"/>
      <c r="AY495" s="697"/>
      <c r="AZ495" s="697"/>
      <c r="BA495" s="697"/>
      <c r="BB495" s="697"/>
      <c r="BC495" s="697"/>
      <c r="BD495" s="697"/>
      <c r="BE495" s="697"/>
      <c r="BF495" s="697"/>
      <c r="BG495" s="697"/>
      <c r="BH495" s="697"/>
      <c r="BI495" s="697"/>
      <c r="BJ495" s="697"/>
      <c r="BK495" s="697"/>
      <c r="BL495" s="697"/>
      <c r="BM495" s="697"/>
      <c r="BN495" s="697"/>
      <c r="BO495" s="697"/>
      <c r="BP495" s="697"/>
      <c r="BQ495" s="697"/>
      <c r="BR495" s="697"/>
      <c r="BS495" s="697"/>
      <c r="BT495" s="697"/>
      <c r="BU495" s="697"/>
      <c r="BV495" s="697"/>
      <c r="BW495" s="697"/>
      <c r="BX495" s="697"/>
      <c r="BY495" s="697"/>
      <c r="BZ495" s="697"/>
      <c r="CA495" s="697"/>
      <c r="CB495" s="697"/>
      <c r="CC495" s="697"/>
      <c r="CD495" s="697"/>
      <c r="CE495" s="697"/>
      <c r="CF495" s="697"/>
      <c r="CG495" s="697"/>
      <c r="CH495" s="697"/>
      <c r="CI495" s="697"/>
      <c r="CJ495" s="697"/>
      <c r="CK495" s="697"/>
      <c r="CL495" s="697"/>
      <c r="CM495" s="697"/>
      <c r="CN495" s="697"/>
      <c r="CO495" s="697"/>
      <c r="CP495" s="697"/>
      <c r="CQ495" s="697"/>
      <c r="CR495" s="697"/>
      <c r="CS495" s="697"/>
      <c r="CT495" s="697"/>
      <c r="CU495" s="697"/>
      <c r="CV495" s="697"/>
      <c r="CW495" s="697"/>
      <c r="CX495" s="697"/>
      <c r="CY495" s="697"/>
      <c r="CZ495" s="697"/>
      <c r="DA495" s="697"/>
      <c r="DB495" s="697"/>
    </row>
    <row r="496" spans="1:106" hidden="1" outlineLevel="1" x14ac:dyDescent="0.2">
      <c r="A496" s="709">
        <f t="shared" si="95"/>
        <v>39934</v>
      </c>
      <c r="B496" s="709" t="str">
        <f t="shared" si="96"/>
        <v>2Q09</v>
      </c>
      <c r="C496" s="709" t="str">
        <f t="shared" si="97"/>
        <v>3Q09</v>
      </c>
      <c r="D496" s="710">
        <f t="shared" si="102"/>
        <v>40022</v>
      </c>
      <c r="E496" s="710">
        <f t="shared" si="102"/>
        <v>39962</v>
      </c>
      <c r="F496" s="712">
        <v>64.319999999999993</v>
      </c>
      <c r="G496" s="713">
        <f t="shared" si="98"/>
        <v>1.4900000000000011</v>
      </c>
      <c r="H496" s="713">
        <f t="shared" si="99"/>
        <v>1.4900000000000011</v>
      </c>
      <c r="I496" s="697"/>
      <c r="J496" s="697"/>
      <c r="K496" s="697"/>
      <c r="L496" s="697"/>
      <c r="M496" s="697"/>
      <c r="N496" s="697"/>
      <c r="O496" s="697"/>
      <c r="P496" s="697"/>
      <c r="Q496" s="697"/>
      <c r="R496" s="697"/>
      <c r="S496" s="697"/>
      <c r="T496" s="697"/>
      <c r="U496" s="697"/>
      <c r="V496" s="697"/>
      <c r="W496" s="697"/>
      <c r="X496" s="697"/>
      <c r="Y496" s="697"/>
      <c r="Z496" s="697"/>
      <c r="AA496" s="697"/>
      <c r="AB496" s="697"/>
      <c r="AC496" s="697"/>
      <c r="AD496" s="697"/>
      <c r="AE496" s="697"/>
      <c r="AF496" s="697"/>
      <c r="AG496" s="697"/>
      <c r="AH496" s="697"/>
      <c r="AI496" s="697"/>
      <c r="AJ496" s="697"/>
      <c r="AK496" s="697"/>
      <c r="AL496" s="697"/>
      <c r="AM496" s="697"/>
      <c r="AN496" s="697"/>
      <c r="AO496" s="697"/>
      <c r="AP496" s="697"/>
      <c r="AQ496" s="697"/>
      <c r="AR496" s="697"/>
      <c r="AS496" s="697"/>
      <c r="AT496" s="697"/>
      <c r="AU496" s="697"/>
      <c r="AV496" s="697"/>
      <c r="AW496" s="697"/>
      <c r="AX496" s="697"/>
      <c r="AY496" s="697"/>
      <c r="AZ496" s="697"/>
      <c r="BA496" s="697"/>
      <c r="BB496" s="697"/>
      <c r="BC496" s="697"/>
      <c r="BD496" s="697"/>
      <c r="BE496" s="697"/>
      <c r="BF496" s="697"/>
      <c r="BG496" s="697"/>
      <c r="BH496" s="697"/>
      <c r="BI496" s="697"/>
      <c r="BJ496" s="697"/>
      <c r="BK496" s="697"/>
      <c r="BL496" s="697"/>
      <c r="BM496" s="697"/>
      <c r="BN496" s="697"/>
      <c r="BO496" s="697"/>
      <c r="BP496" s="697"/>
      <c r="BQ496" s="697"/>
      <c r="BR496" s="697"/>
      <c r="BS496" s="697"/>
      <c r="BT496" s="697"/>
      <c r="BU496" s="697"/>
      <c r="BV496" s="697"/>
      <c r="BW496" s="697"/>
      <c r="BX496" s="697"/>
      <c r="BY496" s="697"/>
      <c r="BZ496" s="697"/>
      <c r="CA496" s="697"/>
      <c r="CB496" s="697"/>
      <c r="CC496" s="697"/>
      <c r="CD496" s="697"/>
      <c r="CE496" s="697"/>
      <c r="CF496" s="697"/>
      <c r="CG496" s="697"/>
      <c r="CH496" s="697"/>
      <c r="CI496" s="697"/>
      <c r="CJ496" s="697"/>
      <c r="CK496" s="697"/>
      <c r="CL496" s="697"/>
      <c r="CM496" s="697"/>
      <c r="CN496" s="697"/>
      <c r="CO496" s="697"/>
      <c r="CP496" s="697"/>
      <c r="CQ496" s="697"/>
      <c r="CR496" s="697"/>
      <c r="CS496" s="697"/>
      <c r="CT496" s="697"/>
      <c r="CU496" s="697"/>
      <c r="CV496" s="697"/>
      <c r="CW496" s="697"/>
      <c r="CX496" s="697"/>
      <c r="CY496" s="697"/>
      <c r="CZ496" s="697"/>
      <c r="DA496" s="697"/>
      <c r="DB496" s="697"/>
    </row>
    <row r="497" spans="1:106" hidden="1" outlineLevel="1" x14ac:dyDescent="0.2">
      <c r="A497" s="709">
        <f t="shared" si="95"/>
        <v>39965</v>
      </c>
      <c r="B497" s="709" t="str">
        <f t="shared" si="96"/>
        <v>2Q09</v>
      </c>
      <c r="C497" s="709" t="str">
        <f t="shared" si="97"/>
        <v>3Q09</v>
      </c>
      <c r="D497" s="710">
        <f t="shared" si="102"/>
        <v>40029</v>
      </c>
      <c r="E497" s="710">
        <f t="shared" si="102"/>
        <v>39969</v>
      </c>
      <c r="F497" s="712">
        <v>68.11</v>
      </c>
      <c r="G497" s="713">
        <f t="shared" si="98"/>
        <v>1.4900000000000011</v>
      </c>
      <c r="H497" s="713">
        <f t="shared" si="99"/>
        <v>1.4900000000000011</v>
      </c>
      <c r="I497" s="697"/>
      <c r="J497" s="697"/>
      <c r="K497" s="697"/>
      <c r="L497" s="697"/>
      <c r="M497" s="697"/>
      <c r="N497" s="697"/>
      <c r="O497" s="697"/>
      <c r="P497" s="697"/>
      <c r="Q497" s="697"/>
      <c r="R497" s="697"/>
      <c r="S497" s="697"/>
      <c r="T497" s="697"/>
      <c r="U497" s="697"/>
      <c r="V497" s="697"/>
      <c r="W497" s="697"/>
      <c r="X497" s="697"/>
      <c r="Y497" s="697"/>
      <c r="Z497" s="697"/>
      <c r="AA497" s="697"/>
      <c r="AB497" s="697"/>
      <c r="AC497" s="697"/>
      <c r="AD497" s="697"/>
      <c r="AE497" s="697"/>
      <c r="AF497" s="697"/>
      <c r="AG497" s="697"/>
      <c r="AH497" s="697"/>
      <c r="AI497" s="697"/>
      <c r="AJ497" s="697"/>
      <c r="AK497" s="697"/>
      <c r="AL497" s="697"/>
      <c r="AM497" s="697"/>
      <c r="AN497" s="697"/>
      <c r="AO497" s="697"/>
      <c r="AP497" s="697"/>
      <c r="AQ497" s="697"/>
      <c r="AR497" s="697"/>
      <c r="AS497" s="697"/>
      <c r="AT497" s="697"/>
      <c r="AU497" s="697"/>
      <c r="AV497" s="697"/>
      <c r="AW497" s="697"/>
      <c r="AX497" s="697"/>
      <c r="AY497" s="697"/>
      <c r="AZ497" s="697"/>
      <c r="BA497" s="697"/>
      <c r="BB497" s="697"/>
      <c r="BC497" s="697"/>
      <c r="BD497" s="697"/>
      <c r="BE497" s="697"/>
      <c r="BF497" s="697"/>
      <c r="BG497" s="697"/>
      <c r="BH497" s="697"/>
      <c r="BI497" s="697"/>
      <c r="BJ497" s="697"/>
      <c r="BK497" s="697"/>
      <c r="BL497" s="697"/>
      <c r="BM497" s="697"/>
      <c r="BN497" s="697"/>
      <c r="BO497" s="697"/>
      <c r="BP497" s="697"/>
      <c r="BQ497" s="697"/>
      <c r="BR497" s="697"/>
      <c r="BS497" s="697"/>
      <c r="BT497" s="697"/>
      <c r="BU497" s="697"/>
      <c r="BV497" s="697"/>
      <c r="BW497" s="697"/>
      <c r="BX497" s="697"/>
      <c r="BY497" s="697"/>
      <c r="BZ497" s="697"/>
      <c r="CA497" s="697"/>
      <c r="CB497" s="697"/>
      <c r="CC497" s="697"/>
      <c r="CD497" s="697"/>
      <c r="CE497" s="697"/>
      <c r="CF497" s="697"/>
      <c r="CG497" s="697"/>
      <c r="CH497" s="697"/>
      <c r="CI497" s="697"/>
      <c r="CJ497" s="697"/>
      <c r="CK497" s="697"/>
      <c r="CL497" s="697"/>
      <c r="CM497" s="697"/>
      <c r="CN497" s="697"/>
      <c r="CO497" s="697"/>
      <c r="CP497" s="697"/>
      <c r="CQ497" s="697"/>
      <c r="CR497" s="697"/>
      <c r="CS497" s="697"/>
      <c r="CT497" s="697"/>
      <c r="CU497" s="697"/>
      <c r="CV497" s="697"/>
      <c r="CW497" s="697"/>
      <c r="CX497" s="697"/>
      <c r="CY497" s="697"/>
      <c r="CZ497" s="697"/>
      <c r="DA497" s="697"/>
      <c r="DB497" s="697"/>
    </row>
    <row r="498" spans="1:106" hidden="1" outlineLevel="1" x14ac:dyDescent="0.2">
      <c r="A498" s="709">
        <f t="shared" si="95"/>
        <v>39965</v>
      </c>
      <c r="B498" s="709" t="str">
        <f t="shared" si="96"/>
        <v>2Q09</v>
      </c>
      <c r="C498" s="709" t="str">
        <f t="shared" si="97"/>
        <v>3Q09</v>
      </c>
      <c r="D498" s="710">
        <f t="shared" si="102"/>
        <v>40036</v>
      </c>
      <c r="E498" s="710">
        <f t="shared" si="102"/>
        <v>39976</v>
      </c>
      <c r="F498" s="712">
        <v>70.849999999999994</v>
      </c>
      <c r="G498" s="713">
        <f t="shared" si="98"/>
        <v>1.4900000000000011</v>
      </c>
      <c r="H498" s="713">
        <f t="shared" si="99"/>
        <v>1.4900000000000011</v>
      </c>
      <c r="I498" s="697"/>
      <c r="J498" s="697"/>
      <c r="K498" s="697"/>
      <c r="L498" s="697"/>
      <c r="M498" s="697"/>
      <c r="N498" s="697"/>
      <c r="O498" s="697"/>
      <c r="P498" s="697"/>
      <c r="Q498" s="697"/>
      <c r="R498" s="697"/>
      <c r="S498" s="697"/>
      <c r="T498" s="697"/>
      <c r="U498" s="697"/>
      <c r="V498" s="697"/>
      <c r="W498" s="697"/>
      <c r="X498" s="697"/>
      <c r="Y498" s="697"/>
      <c r="Z498" s="697"/>
      <c r="AA498" s="697"/>
      <c r="AB498" s="697"/>
      <c r="AC498" s="697"/>
      <c r="AD498" s="697"/>
      <c r="AE498" s="697"/>
      <c r="AF498" s="697"/>
      <c r="AG498" s="697"/>
      <c r="AH498" s="697"/>
      <c r="AI498" s="697"/>
      <c r="AJ498" s="697"/>
      <c r="AK498" s="697"/>
      <c r="AL498" s="697"/>
      <c r="AM498" s="697"/>
      <c r="AN498" s="697"/>
      <c r="AO498" s="697"/>
      <c r="AP498" s="697"/>
      <c r="AQ498" s="697"/>
      <c r="AR498" s="697"/>
      <c r="AS498" s="697"/>
      <c r="AT498" s="697"/>
      <c r="AU498" s="697"/>
      <c r="AV498" s="697"/>
      <c r="AW498" s="697"/>
      <c r="AX498" s="697"/>
      <c r="AY498" s="697"/>
      <c r="AZ498" s="697"/>
      <c r="BA498" s="697"/>
      <c r="BB498" s="697"/>
      <c r="BC498" s="697"/>
      <c r="BD498" s="697"/>
      <c r="BE498" s="697"/>
      <c r="BF498" s="697"/>
      <c r="BG498" s="697"/>
      <c r="BH498" s="697"/>
      <c r="BI498" s="697"/>
      <c r="BJ498" s="697"/>
      <c r="BK498" s="697"/>
      <c r="BL498" s="697"/>
      <c r="BM498" s="697"/>
      <c r="BN498" s="697"/>
      <c r="BO498" s="697"/>
      <c r="BP498" s="697"/>
      <c r="BQ498" s="697"/>
      <c r="BR498" s="697"/>
      <c r="BS498" s="697"/>
      <c r="BT498" s="697"/>
      <c r="BU498" s="697"/>
      <c r="BV498" s="697"/>
      <c r="BW498" s="697"/>
      <c r="BX498" s="697"/>
      <c r="BY498" s="697"/>
      <c r="BZ498" s="697"/>
      <c r="CA498" s="697"/>
      <c r="CB498" s="697"/>
      <c r="CC498" s="697"/>
      <c r="CD498" s="697"/>
      <c r="CE498" s="697"/>
      <c r="CF498" s="697"/>
      <c r="CG498" s="697"/>
      <c r="CH498" s="697"/>
      <c r="CI498" s="697"/>
      <c r="CJ498" s="697"/>
      <c r="CK498" s="697"/>
      <c r="CL498" s="697"/>
      <c r="CM498" s="697"/>
      <c r="CN498" s="697"/>
      <c r="CO498" s="697"/>
      <c r="CP498" s="697"/>
      <c r="CQ498" s="697"/>
      <c r="CR498" s="697"/>
      <c r="CS498" s="697"/>
      <c r="CT498" s="697"/>
      <c r="CU498" s="697"/>
      <c r="CV498" s="697"/>
      <c r="CW498" s="697"/>
      <c r="CX498" s="697"/>
      <c r="CY498" s="697"/>
      <c r="CZ498" s="697"/>
      <c r="DA498" s="697"/>
      <c r="DB498" s="697"/>
    </row>
    <row r="499" spans="1:106" hidden="1" outlineLevel="1" x14ac:dyDescent="0.2">
      <c r="A499" s="709">
        <f t="shared" si="95"/>
        <v>39965</v>
      </c>
      <c r="B499" s="709" t="str">
        <f t="shared" si="96"/>
        <v>2Q09</v>
      </c>
      <c r="C499" s="709" t="str">
        <f t="shared" si="97"/>
        <v>3Q09</v>
      </c>
      <c r="D499" s="710">
        <f t="shared" si="102"/>
        <v>40043</v>
      </c>
      <c r="E499" s="710">
        <f t="shared" si="102"/>
        <v>39983</v>
      </c>
      <c r="F499" s="712">
        <v>70.62</v>
      </c>
      <c r="G499" s="713">
        <f t="shared" si="98"/>
        <v>1.4900000000000011</v>
      </c>
      <c r="H499" s="713">
        <f t="shared" si="99"/>
        <v>1.4900000000000011</v>
      </c>
      <c r="I499" s="697"/>
      <c r="J499" s="697"/>
      <c r="K499" s="697"/>
      <c r="L499" s="697"/>
      <c r="M499" s="697"/>
      <c r="N499" s="697"/>
      <c r="O499" s="697"/>
      <c r="P499" s="697"/>
      <c r="Q499" s="697"/>
      <c r="R499" s="697"/>
      <c r="S499" s="697"/>
      <c r="T499" s="697"/>
      <c r="U499" s="697"/>
      <c r="V499" s="697"/>
      <c r="W499" s="697"/>
      <c r="X499" s="697"/>
      <c r="Y499" s="697"/>
      <c r="Z499" s="697"/>
      <c r="AA499" s="697"/>
      <c r="AB499" s="697"/>
      <c r="AC499" s="697"/>
      <c r="AD499" s="697"/>
      <c r="AE499" s="697"/>
      <c r="AF499" s="697"/>
      <c r="AG499" s="697"/>
      <c r="AH499" s="697"/>
      <c r="AI499" s="697"/>
      <c r="AJ499" s="697"/>
      <c r="AK499" s="697"/>
      <c r="AL499" s="697"/>
      <c r="AM499" s="697"/>
      <c r="AN499" s="697"/>
      <c r="AO499" s="697"/>
      <c r="AP499" s="697"/>
      <c r="AQ499" s="697"/>
      <c r="AR499" s="697"/>
      <c r="AS499" s="697"/>
      <c r="AT499" s="697"/>
      <c r="AU499" s="697"/>
      <c r="AV499" s="697"/>
      <c r="AW499" s="697"/>
      <c r="AX499" s="697"/>
      <c r="AY499" s="697"/>
      <c r="AZ499" s="697"/>
      <c r="BA499" s="697"/>
      <c r="BB499" s="697"/>
      <c r="BC499" s="697"/>
      <c r="BD499" s="697"/>
      <c r="BE499" s="697"/>
      <c r="BF499" s="697"/>
      <c r="BG499" s="697"/>
      <c r="BH499" s="697"/>
      <c r="BI499" s="697"/>
      <c r="BJ499" s="697"/>
      <c r="BK499" s="697"/>
      <c r="BL499" s="697"/>
      <c r="BM499" s="697"/>
      <c r="BN499" s="697"/>
      <c r="BO499" s="697"/>
      <c r="BP499" s="697"/>
      <c r="BQ499" s="697"/>
      <c r="BR499" s="697"/>
      <c r="BS499" s="697"/>
      <c r="BT499" s="697"/>
      <c r="BU499" s="697"/>
      <c r="BV499" s="697"/>
      <c r="BW499" s="697"/>
      <c r="BX499" s="697"/>
      <c r="BY499" s="697"/>
      <c r="BZ499" s="697"/>
      <c r="CA499" s="697"/>
      <c r="CB499" s="697"/>
      <c r="CC499" s="697"/>
      <c r="CD499" s="697"/>
      <c r="CE499" s="697"/>
      <c r="CF499" s="697"/>
      <c r="CG499" s="697"/>
      <c r="CH499" s="697"/>
      <c r="CI499" s="697"/>
      <c r="CJ499" s="697"/>
      <c r="CK499" s="697"/>
      <c r="CL499" s="697"/>
      <c r="CM499" s="697"/>
      <c r="CN499" s="697"/>
      <c r="CO499" s="697"/>
      <c r="CP499" s="697"/>
      <c r="CQ499" s="697"/>
      <c r="CR499" s="697"/>
      <c r="CS499" s="697"/>
      <c r="CT499" s="697"/>
      <c r="CU499" s="697"/>
      <c r="CV499" s="697"/>
      <c r="CW499" s="697"/>
      <c r="CX499" s="697"/>
      <c r="CY499" s="697"/>
      <c r="CZ499" s="697"/>
      <c r="DA499" s="697"/>
      <c r="DB499" s="697"/>
    </row>
    <row r="500" spans="1:106" hidden="1" outlineLevel="1" x14ac:dyDescent="0.2">
      <c r="A500" s="709">
        <f t="shared" si="95"/>
        <v>39965</v>
      </c>
      <c r="B500" s="709" t="str">
        <f t="shared" si="96"/>
        <v>2Q09</v>
      </c>
      <c r="C500" s="709" t="str">
        <f t="shared" si="97"/>
        <v>3Q09</v>
      </c>
      <c r="D500" s="710">
        <f t="shared" si="102"/>
        <v>40050</v>
      </c>
      <c r="E500" s="710">
        <f t="shared" si="102"/>
        <v>39990</v>
      </c>
      <c r="F500" s="712">
        <v>68.58</v>
      </c>
      <c r="G500" s="713">
        <f t="shared" si="98"/>
        <v>1.4900000000000011</v>
      </c>
      <c r="H500" s="713">
        <f t="shared" si="99"/>
        <v>1.4900000000000011</v>
      </c>
      <c r="I500" s="697"/>
      <c r="J500" s="697"/>
      <c r="K500" s="697"/>
      <c r="L500" s="697"/>
      <c r="M500" s="697"/>
      <c r="N500" s="697"/>
      <c r="O500" s="697"/>
      <c r="P500" s="697"/>
      <c r="Q500" s="697"/>
      <c r="R500" s="697"/>
      <c r="S500" s="697"/>
      <c r="T500" s="697"/>
      <c r="U500" s="697"/>
      <c r="V500" s="697"/>
      <c r="W500" s="697"/>
      <c r="X500" s="697"/>
      <c r="Y500" s="697"/>
      <c r="Z500" s="697"/>
      <c r="AA500" s="697"/>
      <c r="AB500" s="697"/>
      <c r="AC500" s="697"/>
      <c r="AD500" s="697"/>
      <c r="AE500" s="697"/>
      <c r="AF500" s="697"/>
      <c r="AG500" s="697"/>
      <c r="AH500" s="697"/>
      <c r="AI500" s="697"/>
      <c r="AJ500" s="697"/>
      <c r="AK500" s="697"/>
      <c r="AL500" s="697"/>
      <c r="AM500" s="697"/>
      <c r="AN500" s="697"/>
      <c r="AO500" s="697"/>
      <c r="AP500" s="697"/>
      <c r="AQ500" s="697"/>
      <c r="AR500" s="697"/>
      <c r="AS500" s="697"/>
      <c r="AT500" s="697"/>
      <c r="AU500" s="697"/>
      <c r="AV500" s="697"/>
      <c r="AW500" s="697"/>
      <c r="AX500" s="697"/>
      <c r="AY500" s="697"/>
      <c r="AZ500" s="697"/>
      <c r="BA500" s="697"/>
      <c r="BB500" s="697"/>
      <c r="BC500" s="697"/>
      <c r="BD500" s="697"/>
      <c r="BE500" s="697"/>
      <c r="BF500" s="697"/>
      <c r="BG500" s="697"/>
      <c r="BH500" s="697"/>
      <c r="BI500" s="697"/>
      <c r="BJ500" s="697"/>
      <c r="BK500" s="697"/>
      <c r="BL500" s="697"/>
      <c r="BM500" s="697"/>
      <c r="BN500" s="697"/>
      <c r="BO500" s="697"/>
      <c r="BP500" s="697"/>
      <c r="BQ500" s="697"/>
      <c r="BR500" s="697"/>
      <c r="BS500" s="697"/>
      <c r="BT500" s="697"/>
      <c r="BU500" s="697"/>
      <c r="BV500" s="697"/>
      <c r="BW500" s="697"/>
      <c r="BX500" s="697"/>
      <c r="BY500" s="697"/>
      <c r="BZ500" s="697"/>
      <c r="CA500" s="697"/>
      <c r="CB500" s="697"/>
      <c r="CC500" s="697"/>
      <c r="CD500" s="697"/>
      <c r="CE500" s="697"/>
      <c r="CF500" s="697"/>
      <c r="CG500" s="697"/>
      <c r="CH500" s="697"/>
      <c r="CI500" s="697"/>
      <c r="CJ500" s="697"/>
      <c r="CK500" s="697"/>
      <c r="CL500" s="697"/>
      <c r="CM500" s="697"/>
      <c r="CN500" s="697"/>
      <c r="CO500" s="697"/>
      <c r="CP500" s="697"/>
      <c r="CQ500" s="697"/>
      <c r="CR500" s="697"/>
      <c r="CS500" s="697"/>
      <c r="CT500" s="697"/>
      <c r="CU500" s="697"/>
      <c r="CV500" s="697"/>
      <c r="CW500" s="697"/>
      <c r="CX500" s="697"/>
      <c r="CY500" s="697"/>
      <c r="CZ500" s="697"/>
      <c r="DA500" s="697"/>
      <c r="DB500" s="697"/>
    </row>
    <row r="501" spans="1:106" hidden="1" outlineLevel="1" x14ac:dyDescent="0.2">
      <c r="A501" s="709">
        <f t="shared" si="95"/>
        <v>39995</v>
      </c>
      <c r="B501" s="709" t="str">
        <f t="shared" si="96"/>
        <v>3Q09</v>
      </c>
      <c r="C501" s="709" t="str">
        <f t="shared" si="97"/>
        <v>3Q09</v>
      </c>
      <c r="D501" s="710">
        <f t="shared" ref="D501:E516" si="103">D500+7</f>
        <v>40057</v>
      </c>
      <c r="E501" s="710">
        <f t="shared" si="103"/>
        <v>39997</v>
      </c>
      <c r="F501" s="712">
        <v>69.319999999999993</v>
      </c>
      <c r="G501" s="713">
        <f t="shared" si="98"/>
        <v>1.4900000000000011</v>
      </c>
      <c r="H501" s="713">
        <f t="shared" si="99"/>
        <v>1.4900000000000011</v>
      </c>
      <c r="I501" s="697"/>
      <c r="J501" s="697"/>
      <c r="K501" s="697"/>
      <c r="L501" s="697"/>
      <c r="M501" s="697"/>
      <c r="N501" s="697"/>
      <c r="O501" s="697"/>
      <c r="P501" s="697"/>
      <c r="Q501" s="697"/>
      <c r="R501" s="697"/>
      <c r="S501" s="697"/>
      <c r="T501" s="697"/>
      <c r="U501" s="697"/>
      <c r="V501" s="697"/>
      <c r="W501" s="697"/>
      <c r="X501" s="697"/>
      <c r="Y501" s="697"/>
      <c r="Z501" s="697"/>
      <c r="AA501" s="697"/>
      <c r="AB501" s="697"/>
      <c r="AC501" s="697"/>
      <c r="AD501" s="697"/>
      <c r="AE501" s="697"/>
      <c r="AF501" s="697"/>
      <c r="AG501" s="697"/>
      <c r="AH501" s="697"/>
      <c r="AI501" s="697"/>
      <c r="AJ501" s="697"/>
      <c r="AK501" s="697"/>
      <c r="AL501" s="697"/>
      <c r="AM501" s="697"/>
      <c r="AN501" s="697"/>
      <c r="AO501" s="697"/>
      <c r="AP501" s="697"/>
      <c r="AQ501" s="697"/>
      <c r="AR501" s="697"/>
      <c r="AS501" s="697"/>
      <c r="AT501" s="697"/>
      <c r="AU501" s="697"/>
      <c r="AV501" s="697"/>
      <c r="AW501" s="697"/>
      <c r="AX501" s="697"/>
      <c r="AY501" s="697"/>
      <c r="AZ501" s="697"/>
      <c r="BA501" s="697"/>
      <c r="BB501" s="697"/>
      <c r="BC501" s="697"/>
      <c r="BD501" s="697"/>
      <c r="BE501" s="697"/>
      <c r="BF501" s="697"/>
      <c r="BG501" s="697"/>
      <c r="BH501" s="697"/>
      <c r="BI501" s="697"/>
      <c r="BJ501" s="697"/>
      <c r="BK501" s="697"/>
      <c r="BL501" s="697"/>
      <c r="BM501" s="697"/>
      <c r="BN501" s="697"/>
      <c r="BO501" s="697"/>
      <c r="BP501" s="697"/>
      <c r="BQ501" s="697"/>
      <c r="BR501" s="697"/>
      <c r="BS501" s="697"/>
      <c r="BT501" s="697"/>
      <c r="BU501" s="697"/>
      <c r="BV501" s="697"/>
      <c r="BW501" s="697"/>
      <c r="BX501" s="697"/>
      <c r="BY501" s="697"/>
      <c r="BZ501" s="697"/>
      <c r="CA501" s="697"/>
      <c r="CB501" s="697"/>
      <c r="CC501" s="697"/>
      <c r="CD501" s="697"/>
      <c r="CE501" s="697"/>
      <c r="CF501" s="697"/>
      <c r="CG501" s="697"/>
      <c r="CH501" s="697"/>
      <c r="CI501" s="697"/>
      <c r="CJ501" s="697"/>
      <c r="CK501" s="697"/>
      <c r="CL501" s="697"/>
      <c r="CM501" s="697"/>
      <c r="CN501" s="697"/>
      <c r="CO501" s="697"/>
      <c r="CP501" s="697"/>
      <c r="CQ501" s="697"/>
      <c r="CR501" s="697"/>
      <c r="CS501" s="697"/>
      <c r="CT501" s="697"/>
      <c r="CU501" s="697"/>
      <c r="CV501" s="697"/>
      <c r="CW501" s="697"/>
      <c r="CX501" s="697"/>
      <c r="CY501" s="697"/>
      <c r="CZ501" s="697"/>
      <c r="DA501" s="697"/>
      <c r="DB501" s="697"/>
    </row>
    <row r="502" spans="1:106" hidden="1" outlineLevel="1" x14ac:dyDescent="0.2">
      <c r="A502" s="709">
        <f t="shared" si="95"/>
        <v>39995</v>
      </c>
      <c r="B502" s="709" t="str">
        <f t="shared" si="96"/>
        <v>3Q09</v>
      </c>
      <c r="C502" s="709" t="str">
        <f t="shared" si="97"/>
        <v>3Q09</v>
      </c>
      <c r="D502" s="710">
        <f t="shared" si="103"/>
        <v>40064</v>
      </c>
      <c r="E502" s="710">
        <f t="shared" si="103"/>
        <v>40004</v>
      </c>
      <c r="F502" s="712">
        <v>61.48</v>
      </c>
      <c r="G502" s="713">
        <f t="shared" si="98"/>
        <v>1.4900000000000011</v>
      </c>
      <c r="H502" s="713">
        <f t="shared" si="99"/>
        <v>1.4900000000000011</v>
      </c>
      <c r="I502" s="697"/>
      <c r="J502" s="697"/>
      <c r="K502" s="697"/>
      <c r="L502" s="697"/>
      <c r="M502" s="697"/>
      <c r="N502" s="697"/>
      <c r="O502" s="697"/>
      <c r="P502" s="697"/>
      <c r="Q502" s="697"/>
      <c r="R502" s="697"/>
      <c r="S502" s="697"/>
      <c r="T502" s="697"/>
      <c r="U502" s="697"/>
      <c r="V502" s="697"/>
      <c r="W502" s="697"/>
      <c r="X502" s="697"/>
      <c r="Y502" s="697"/>
      <c r="Z502" s="697"/>
      <c r="AA502" s="697"/>
      <c r="AB502" s="697"/>
      <c r="AC502" s="697"/>
      <c r="AD502" s="697"/>
      <c r="AE502" s="697"/>
      <c r="AF502" s="697"/>
      <c r="AG502" s="697"/>
      <c r="AH502" s="697"/>
      <c r="AI502" s="697"/>
      <c r="AJ502" s="697"/>
      <c r="AK502" s="697"/>
      <c r="AL502" s="697"/>
      <c r="AM502" s="697"/>
      <c r="AN502" s="697"/>
      <c r="AO502" s="697"/>
      <c r="AP502" s="697"/>
      <c r="AQ502" s="697"/>
      <c r="AR502" s="697"/>
      <c r="AS502" s="697"/>
      <c r="AT502" s="697"/>
      <c r="AU502" s="697"/>
      <c r="AV502" s="697"/>
      <c r="AW502" s="697"/>
      <c r="AX502" s="697"/>
      <c r="AY502" s="697"/>
      <c r="AZ502" s="697"/>
      <c r="BA502" s="697"/>
      <c r="BB502" s="697"/>
      <c r="BC502" s="697"/>
      <c r="BD502" s="697"/>
      <c r="BE502" s="697"/>
      <c r="BF502" s="697"/>
      <c r="BG502" s="697"/>
      <c r="BH502" s="697"/>
      <c r="BI502" s="697"/>
      <c r="BJ502" s="697"/>
      <c r="BK502" s="697"/>
      <c r="BL502" s="697"/>
      <c r="BM502" s="697"/>
      <c r="BN502" s="697"/>
      <c r="BO502" s="697"/>
      <c r="BP502" s="697"/>
      <c r="BQ502" s="697"/>
      <c r="BR502" s="697"/>
      <c r="BS502" s="697"/>
      <c r="BT502" s="697"/>
      <c r="BU502" s="697"/>
      <c r="BV502" s="697"/>
      <c r="BW502" s="697"/>
      <c r="BX502" s="697"/>
      <c r="BY502" s="697"/>
      <c r="BZ502" s="697"/>
      <c r="CA502" s="697"/>
      <c r="CB502" s="697"/>
      <c r="CC502" s="697"/>
      <c r="CD502" s="697"/>
      <c r="CE502" s="697"/>
      <c r="CF502" s="697"/>
      <c r="CG502" s="697"/>
      <c r="CH502" s="697"/>
      <c r="CI502" s="697"/>
      <c r="CJ502" s="697"/>
      <c r="CK502" s="697"/>
      <c r="CL502" s="697"/>
      <c r="CM502" s="697"/>
      <c r="CN502" s="697"/>
      <c r="CO502" s="697"/>
      <c r="CP502" s="697"/>
      <c r="CQ502" s="697"/>
      <c r="CR502" s="697"/>
      <c r="CS502" s="697"/>
      <c r="CT502" s="697"/>
      <c r="CU502" s="697"/>
      <c r="CV502" s="697"/>
      <c r="CW502" s="697"/>
      <c r="CX502" s="697"/>
      <c r="CY502" s="697"/>
      <c r="CZ502" s="697"/>
      <c r="DA502" s="697"/>
      <c r="DB502" s="697"/>
    </row>
    <row r="503" spans="1:106" hidden="1" outlineLevel="1" x14ac:dyDescent="0.2">
      <c r="A503" s="709">
        <f t="shared" si="95"/>
        <v>39995</v>
      </c>
      <c r="B503" s="709" t="str">
        <f t="shared" si="96"/>
        <v>3Q09</v>
      </c>
      <c r="C503" s="709" t="str">
        <f t="shared" si="97"/>
        <v>3Q09</v>
      </c>
      <c r="D503" s="710">
        <f t="shared" si="103"/>
        <v>40071</v>
      </c>
      <c r="E503" s="710">
        <f t="shared" si="103"/>
        <v>40011</v>
      </c>
      <c r="F503" s="712">
        <v>61.29</v>
      </c>
      <c r="G503" s="713">
        <f t="shared" si="98"/>
        <v>1.4900000000000011</v>
      </c>
      <c r="H503" s="713">
        <f t="shared" si="99"/>
        <v>1.4900000000000011</v>
      </c>
      <c r="I503" s="697"/>
      <c r="J503" s="697"/>
      <c r="K503" s="697"/>
      <c r="L503" s="697"/>
      <c r="M503" s="697"/>
      <c r="N503" s="697"/>
      <c r="O503" s="697"/>
      <c r="P503" s="697"/>
      <c r="Q503" s="697"/>
      <c r="R503" s="697"/>
      <c r="S503" s="697"/>
      <c r="T503" s="697"/>
      <c r="U503" s="697"/>
      <c r="V503" s="697"/>
      <c r="W503" s="697"/>
      <c r="X503" s="697"/>
      <c r="Y503" s="697"/>
      <c r="Z503" s="697"/>
      <c r="AA503" s="697"/>
      <c r="AB503" s="697"/>
      <c r="AC503" s="697"/>
      <c r="AD503" s="697"/>
      <c r="AE503" s="697"/>
      <c r="AF503" s="697"/>
      <c r="AG503" s="697"/>
      <c r="AH503" s="697"/>
      <c r="AI503" s="697"/>
      <c r="AJ503" s="697"/>
      <c r="AK503" s="697"/>
      <c r="AL503" s="697"/>
      <c r="AM503" s="697"/>
      <c r="AN503" s="697"/>
      <c r="AO503" s="697"/>
      <c r="AP503" s="697"/>
      <c r="AQ503" s="697"/>
      <c r="AR503" s="697"/>
      <c r="AS503" s="697"/>
      <c r="AT503" s="697"/>
      <c r="AU503" s="697"/>
      <c r="AV503" s="697"/>
      <c r="AW503" s="697"/>
      <c r="AX503" s="697"/>
      <c r="AY503" s="697"/>
      <c r="AZ503" s="697"/>
      <c r="BA503" s="697"/>
      <c r="BB503" s="697"/>
      <c r="BC503" s="697"/>
      <c r="BD503" s="697"/>
      <c r="BE503" s="697"/>
      <c r="BF503" s="697"/>
      <c r="BG503" s="697"/>
      <c r="BH503" s="697"/>
      <c r="BI503" s="697"/>
      <c r="BJ503" s="697"/>
      <c r="BK503" s="697"/>
      <c r="BL503" s="697"/>
      <c r="BM503" s="697"/>
      <c r="BN503" s="697"/>
      <c r="BO503" s="697"/>
      <c r="BP503" s="697"/>
      <c r="BQ503" s="697"/>
      <c r="BR503" s="697"/>
      <c r="BS503" s="697"/>
      <c r="BT503" s="697"/>
      <c r="BU503" s="697"/>
      <c r="BV503" s="697"/>
      <c r="BW503" s="697"/>
      <c r="BX503" s="697"/>
      <c r="BY503" s="697"/>
      <c r="BZ503" s="697"/>
      <c r="CA503" s="697"/>
      <c r="CB503" s="697"/>
      <c r="CC503" s="697"/>
      <c r="CD503" s="697"/>
      <c r="CE503" s="697"/>
      <c r="CF503" s="697"/>
      <c r="CG503" s="697"/>
      <c r="CH503" s="697"/>
      <c r="CI503" s="697"/>
      <c r="CJ503" s="697"/>
      <c r="CK503" s="697"/>
      <c r="CL503" s="697"/>
      <c r="CM503" s="697"/>
      <c r="CN503" s="697"/>
      <c r="CO503" s="697"/>
      <c r="CP503" s="697"/>
      <c r="CQ503" s="697"/>
      <c r="CR503" s="697"/>
      <c r="CS503" s="697"/>
      <c r="CT503" s="697"/>
      <c r="CU503" s="697"/>
      <c r="CV503" s="697"/>
      <c r="CW503" s="697"/>
      <c r="CX503" s="697"/>
      <c r="CY503" s="697"/>
      <c r="CZ503" s="697"/>
      <c r="DA503" s="697"/>
      <c r="DB503" s="697"/>
    </row>
    <row r="504" spans="1:106" hidden="1" outlineLevel="1" x14ac:dyDescent="0.2">
      <c r="A504" s="709">
        <f t="shared" si="95"/>
        <v>39995</v>
      </c>
      <c r="B504" s="709" t="str">
        <f t="shared" si="96"/>
        <v>3Q09</v>
      </c>
      <c r="C504" s="709" t="str">
        <f t="shared" si="97"/>
        <v>3Q09</v>
      </c>
      <c r="D504" s="710">
        <f t="shared" si="103"/>
        <v>40078</v>
      </c>
      <c r="E504" s="710">
        <f t="shared" si="103"/>
        <v>40018</v>
      </c>
      <c r="F504" s="712">
        <v>65.28</v>
      </c>
      <c r="G504" s="713">
        <f t="shared" si="98"/>
        <v>1.4900000000000011</v>
      </c>
      <c r="H504" s="713">
        <f t="shared" si="99"/>
        <v>1.4900000000000011</v>
      </c>
      <c r="I504" s="697"/>
      <c r="J504" s="697"/>
      <c r="K504" s="697"/>
      <c r="L504" s="697"/>
      <c r="M504" s="697"/>
      <c r="N504" s="697"/>
      <c r="O504" s="697"/>
      <c r="P504" s="697"/>
      <c r="Q504" s="697"/>
      <c r="R504" s="697"/>
      <c r="S504" s="697"/>
      <c r="T504" s="697"/>
      <c r="U504" s="697"/>
      <c r="V504" s="697"/>
      <c r="W504" s="697"/>
      <c r="X504" s="697"/>
      <c r="Y504" s="697"/>
      <c r="Z504" s="697"/>
      <c r="AA504" s="697"/>
      <c r="AB504" s="697"/>
      <c r="AC504" s="697"/>
      <c r="AD504" s="697"/>
      <c r="AE504" s="697"/>
      <c r="AF504" s="697"/>
      <c r="AG504" s="697"/>
      <c r="AH504" s="697"/>
      <c r="AI504" s="697"/>
      <c r="AJ504" s="697"/>
      <c r="AK504" s="697"/>
      <c r="AL504" s="697"/>
      <c r="AM504" s="697"/>
      <c r="AN504" s="697"/>
      <c r="AO504" s="697"/>
      <c r="AP504" s="697"/>
      <c r="AQ504" s="697"/>
      <c r="AR504" s="697"/>
      <c r="AS504" s="697"/>
      <c r="AT504" s="697"/>
      <c r="AU504" s="697"/>
      <c r="AV504" s="697"/>
      <c r="AW504" s="697"/>
      <c r="AX504" s="697"/>
      <c r="AY504" s="697"/>
      <c r="AZ504" s="697"/>
      <c r="BA504" s="697"/>
      <c r="BB504" s="697"/>
      <c r="BC504" s="697"/>
      <c r="BD504" s="697"/>
      <c r="BE504" s="697"/>
      <c r="BF504" s="697"/>
      <c r="BG504" s="697"/>
      <c r="BH504" s="697"/>
      <c r="BI504" s="697"/>
      <c r="BJ504" s="697"/>
      <c r="BK504" s="697"/>
      <c r="BL504" s="697"/>
      <c r="BM504" s="697"/>
      <c r="BN504" s="697"/>
      <c r="BO504" s="697"/>
      <c r="BP504" s="697"/>
      <c r="BQ504" s="697"/>
      <c r="BR504" s="697"/>
      <c r="BS504" s="697"/>
      <c r="BT504" s="697"/>
      <c r="BU504" s="697"/>
      <c r="BV504" s="697"/>
      <c r="BW504" s="697"/>
      <c r="BX504" s="697"/>
      <c r="BY504" s="697"/>
      <c r="BZ504" s="697"/>
      <c r="CA504" s="697"/>
      <c r="CB504" s="697"/>
      <c r="CC504" s="697"/>
      <c r="CD504" s="697"/>
      <c r="CE504" s="697"/>
      <c r="CF504" s="697"/>
      <c r="CG504" s="697"/>
      <c r="CH504" s="697"/>
      <c r="CI504" s="697"/>
      <c r="CJ504" s="697"/>
      <c r="CK504" s="697"/>
      <c r="CL504" s="697"/>
      <c r="CM504" s="697"/>
      <c r="CN504" s="697"/>
      <c r="CO504" s="697"/>
      <c r="CP504" s="697"/>
      <c r="CQ504" s="697"/>
      <c r="CR504" s="697"/>
      <c r="CS504" s="697"/>
      <c r="CT504" s="697"/>
      <c r="CU504" s="697"/>
      <c r="CV504" s="697"/>
      <c r="CW504" s="697"/>
      <c r="CX504" s="697"/>
      <c r="CY504" s="697"/>
      <c r="CZ504" s="697"/>
      <c r="DA504" s="697"/>
      <c r="DB504" s="697"/>
    </row>
    <row r="505" spans="1:106" hidden="1" outlineLevel="1" x14ac:dyDescent="0.2">
      <c r="A505" s="709">
        <f t="shared" si="95"/>
        <v>39995</v>
      </c>
      <c r="B505" s="709" t="str">
        <f t="shared" si="96"/>
        <v>3Q09</v>
      </c>
      <c r="C505" s="709" t="str">
        <f t="shared" si="97"/>
        <v>3Q09</v>
      </c>
      <c r="D505" s="710">
        <f t="shared" si="103"/>
        <v>40085</v>
      </c>
      <c r="E505" s="710">
        <f t="shared" si="103"/>
        <v>40025</v>
      </c>
      <c r="F505" s="712">
        <v>67.03</v>
      </c>
      <c r="G505" s="713">
        <f t="shared" si="98"/>
        <v>1.4900000000000011</v>
      </c>
      <c r="H505" s="713">
        <f t="shared" si="99"/>
        <v>1.4900000000000011</v>
      </c>
      <c r="I505" s="697"/>
      <c r="J505" s="697"/>
      <c r="K505" s="697"/>
      <c r="L505" s="697"/>
      <c r="M505" s="697"/>
      <c r="N505" s="697"/>
      <c r="O505" s="697"/>
      <c r="P505" s="697"/>
      <c r="Q505" s="697"/>
      <c r="R505" s="697"/>
      <c r="S505" s="697"/>
      <c r="T505" s="697"/>
      <c r="U505" s="697"/>
      <c r="V505" s="697"/>
      <c r="W505" s="697"/>
      <c r="X505" s="697"/>
      <c r="Y505" s="697"/>
      <c r="Z505" s="697"/>
      <c r="AA505" s="697"/>
      <c r="AB505" s="697"/>
      <c r="AC505" s="697"/>
      <c r="AD505" s="697"/>
      <c r="AE505" s="697"/>
      <c r="AF505" s="697"/>
      <c r="AG505" s="697"/>
      <c r="AH505" s="697"/>
      <c r="AI505" s="697"/>
      <c r="AJ505" s="697"/>
      <c r="AK505" s="697"/>
      <c r="AL505" s="697"/>
      <c r="AM505" s="697"/>
      <c r="AN505" s="697"/>
      <c r="AO505" s="697"/>
      <c r="AP505" s="697"/>
      <c r="AQ505" s="697"/>
      <c r="AR505" s="697"/>
      <c r="AS505" s="697"/>
      <c r="AT505" s="697"/>
      <c r="AU505" s="697"/>
      <c r="AV505" s="697"/>
      <c r="AW505" s="697"/>
      <c r="AX505" s="697"/>
      <c r="AY505" s="697"/>
      <c r="AZ505" s="697"/>
      <c r="BA505" s="697"/>
      <c r="BB505" s="697"/>
      <c r="BC505" s="697"/>
      <c r="BD505" s="697"/>
      <c r="BE505" s="697"/>
      <c r="BF505" s="697"/>
      <c r="BG505" s="697"/>
      <c r="BH505" s="697"/>
      <c r="BI505" s="697"/>
      <c r="BJ505" s="697"/>
      <c r="BK505" s="697"/>
      <c r="BL505" s="697"/>
      <c r="BM505" s="697"/>
      <c r="BN505" s="697"/>
      <c r="BO505" s="697"/>
      <c r="BP505" s="697"/>
      <c r="BQ505" s="697"/>
      <c r="BR505" s="697"/>
      <c r="BS505" s="697"/>
      <c r="BT505" s="697"/>
      <c r="BU505" s="697"/>
      <c r="BV505" s="697"/>
      <c r="BW505" s="697"/>
      <c r="BX505" s="697"/>
      <c r="BY505" s="697"/>
      <c r="BZ505" s="697"/>
      <c r="CA505" s="697"/>
      <c r="CB505" s="697"/>
      <c r="CC505" s="697"/>
      <c r="CD505" s="697"/>
      <c r="CE505" s="697"/>
      <c r="CF505" s="697"/>
      <c r="CG505" s="697"/>
      <c r="CH505" s="697"/>
      <c r="CI505" s="697"/>
      <c r="CJ505" s="697"/>
      <c r="CK505" s="697"/>
      <c r="CL505" s="697"/>
      <c r="CM505" s="697"/>
      <c r="CN505" s="697"/>
      <c r="CO505" s="697"/>
      <c r="CP505" s="697"/>
      <c r="CQ505" s="697"/>
      <c r="CR505" s="697"/>
      <c r="CS505" s="697"/>
      <c r="CT505" s="697"/>
      <c r="CU505" s="697"/>
      <c r="CV505" s="697"/>
      <c r="CW505" s="697"/>
      <c r="CX505" s="697"/>
      <c r="CY505" s="697"/>
      <c r="CZ505" s="697"/>
      <c r="DA505" s="697"/>
      <c r="DB505" s="697"/>
    </row>
    <row r="506" spans="1:106" hidden="1" outlineLevel="1" x14ac:dyDescent="0.2">
      <c r="A506" s="709">
        <f t="shared" si="95"/>
        <v>40026</v>
      </c>
      <c r="B506" s="709" t="str">
        <f t="shared" si="96"/>
        <v>3Q09</v>
      </c>
      <c r="C506" s="709" t="str">
        <f t="shared" si="97"/>
        <v>4Q09</v>
      </c>
      <c r="D506" s="710">
        <f t="shared" si="103"/>
        <v>40092</v>
      </c>
      <c r="E506" s="710">
        <f t="shared" si="103"/>
        <v>40032</v>
      </c>
      <c r="F506" s="712">
        <v>71.58</v>
      </c>
      <c r="G506" s="713">
        <f t="shared" si="98"/>
        <v>1.4900000000000011</v>
      </c>
      <c r="H506" s="713">
        <f t="shared" si="99"/>
        <v>1.4900000000000011</v>
      </c>
      <c r="I506" s="697"/>
      <c r="J506" s="697"/>
      <c r="K506" s="697"/>
      <c r="L506" s="697"/>
      <c r="M506" s="697"/>
      <c r="N506" s="697"/>
      <c r="O506" s="697"/>
      <c r="P506" s="697"/>
      <c r="Q506" s="697"/>
      <c r="R506" s="697"/>
      <c r="S506" s="697"/>
      <c r="T506" s="697"/>
      <c r="U506" s="697"/>
      <c r="V506" s="697"/>
      <c r="W506" s="697"/>
      <c r="X506" s="697"/>
      <c r="Y506" s="697"/>
      <c r="Z506" s="697"/>
      <c r="AA506" s="697"/>
      <c r="AB506" s="697"/>
      <c r="AC506" s="697"/>
      <c r="AD506" s="697"/>
      <c r="AE506" s="697"/>
      <c r="AF506" s="697"/>
      <c r="AG506" s="697"/>
      <c r="AH506" s="697"/>
      <c r="AI506" s="697"/>
      <c r="AJ506" s="697"/>
      <c r="AK506" s="697"/>
      <c r="AL506" s="697"/>
      <c r="AM506" s="697"/>
      <c r="AN506" s="697"/>
      <c r="AO506" s="697"/>
      <c r="AP506" s="697"/>
      <c r="AQ506" s="697"/>
      <c r="AR506" s="697"/>
      <c r="AS506" s="697"/>
      <c r="AT506" s="697"/>
      <c r="AU506" s="697"/>
      <c r="AV506" s="697"/>
      <c r="AW506" s="697"/>
      <c r="AX506" s="697"/>
      <c r="AY506" s="697"/>
      <c r="AZ506" s="697"/>
      <c r="BA506" s="697"/>
      <c r="BB506" s="697"/>
      <c r="BC506" s="697"/>
      <c r="BD506" s="697"/>
      <c r="BE506" s="697"/>
      <c r="BF506" s="697"/>
      <c r="BG506" s="697"/>
      <c r="BH506" s="697"/>
      <c r="BI506" s="697"/>
      <c r="BJ506" s="697"/>
      <c r="BK506" s="697"/>
      <c r="BL506" s="697"/>
      <c r="BM506" s="697"/>
      <c r="BN506" s="697"/>
      <c r="BO506" s="697"/>
      <c r="BP506" s="697"/>
      <c r="BQ506" s="697"/>
      <c r="BR506" s="697"/>
      <c r="BS506" s="697"/>
      <c r="BT506" s="697"/>
      <c r="BU506" s="697"/>
      <c r="BV506" s="697"/>
      <c r="BW506" s="697"/>
      <c r="BX506" s="697"/>
      <c r="BY506" s="697"/>
      <c r="BZ506" s="697"/>
      <c r="CA506" s="697"/>
      <c r="CB506" s="697"/>
      <c r="CC506" s="697"/>
      <c r="CD506" s="697"/>
      <c r="CE506" s="697"/>
      <c r="CF506" s="697"/>
      <c r="CG506" s="697"/>
      <c r="CH506" s="697"/>
      <c r="CI506" s="697"/>
      <c r="CJ506" s="697"/>
      <c r="CK506" s="697"/>
      <c r="CL506" s="697"/>
      <c r="CM506" s="697"/>
      <c r="CN506" s="697"/>
      <c r="CO506" s="697"/>
      <c r="CP506" s="697"/>
      <c r="CQ506" s="697"/>
      <c r="CR506" s="697"/>
      <c r="CS506" s="697"/>
      <c r="CT506" s="697"/>
      <c r="CU506" s="697"/>
      <c r="CV506" s="697"/>
      <c r="CW506" s="697"/>
      <c r="CX506" s="697"/>
      <c r="CY506" s="697"/>
      <c r="CZ506" s="697"/>
      <c r="DA506" s="697"/>
      <c r="DB506" s="697"/>
    </row>
    <row r="507" spans="1:106" hidden="1" outlineLevel="1" x14ac:dyDescent="0.2">
      <c r="A507" s="709">
        <f t="shared" si="95"/>
        <v>40026</v>
      </c>
      <c r="B507" s="709" t="str">
        <f t="shared" si="96"/>
        <v>3Q09</v>
      </c>
      <c r="C507" s="709" t="str">
        <f t="shared" si="97"/>
        <v>4Q09</v>
      </c>
      <c r="D507" s="710">
        <f t="shared" si="103"/>
        <v>40099</v>
      </c>
      <c r="E507" s="710">
        <f t="shared" si="103"/>
        <v>40039</v>
      </c>
      <c r="F507" s="712">
        <v>69.64</v>
      </c>
      <c r="G507" s="713">
        <f t="shared" si="98"/>
        <v>1.4900000000000011</v>
      </c>
      <c r="H507" s="713">
        <f t="shared" si="99"/>
        <v>1.4900000000000011</v>
      </c>
      <c r="I507" s="697"/>
      <c r="J507" s="697"/>
      <c r="K507" s="697"/>
      <c r="L507" s="697"/>
      <c r="M507" s="697"/>
      <c r="N507" s="697"/>
      <c r="O507" s="697"/>
      <c r="P507" s="697"/>
      <c r="Q507" s="697"/>
      <c r="R507" s="697"/>
      <c r="S507" s="697"/>
      <c r="T507" s="697"/>
      <c r="U507" s="697"/>
      <c r="V507" s="697"/>
      <c r="W507" s="697"/>
      <c r="X507" s="697"/>
      <c r="Y507" s="697"/>
      <c r="Z507" s="697"/>
      <c r="AA507" s="697"/>
      <c r="AB507" s="697"/>
      <c r="AC507" s="697"/>
      <c r="AD507" s="697"/>
      <c r="AE507" s="697"/>
      <c r="AF507" s="697"/>
      <c r="AG507" s="697"/>
      <c r="AH507" s="697"/>
      <c r="AI507" s="697"/>
      <c r="AJ507" s="697"/>
      <c r="AK507" s="697"/>
      <c r="AL507" s="697"/>
      <c r="AM507" s="697"/>
      <c r="AN507" s="697"/>
      <c r="AO507" s="697"/>
      <c r="AP507" s="697"/>
      <c r="AQ507" s="697"/>
      <c r="AR507" s="697"/>
      <c r="AS507" s="697"/>
      <c r="AT507" s="697"/>
      <c r="AU507" s="697"/>
      <c r="AV507" s="697"/>
      <c r="AW507" s="697"/>
      <c r="AX507" s="697"/>
      <c r="AY507" s="697"/>
      <c r="AZ507" s="697"/>
      <c r="BA507" s="697"/>
      <c r="BB507" s="697"/>
      <c r="BC507" s="697"/>
      <c r="BD507" s="697"/>
      <c r="BE507" s="697"/>
      <c r="BF507" s="697"/>
      <c r="BG507" s="697"/>
      <c r="BH507" s="697"/>
      <c r="BI507" s="697"/>
      <c r="BJ507" s="697"/>
      <c r="BK507" s="697"/>
      <c r="BL507" s="697"/>
      <c r="BM507" s="697"/>
      <c r="BN507" s="697"/>
      <c r="BO507" s="697"/>
      <c r="BP507" s="697"/>
      <c r="BQ507" s="697"/>
      <c r="BR507" s="697"/>
      <c r="BS507" s="697"/>
      <c r="BT507" s="697"/>
      <c r="BU507" s="697"/>
      <c r="BV507" s="697"/>
      <c r="BW507" s="697"/>
      <c r="BX507" s="697"/>
      <c r="BY507" s="697"/>
      <c r="BZ507" s="697"/>
      <c r="CA507" s="697"/>
      <c r="CB507" s="697"/>
      <c r="CC507" s="697"/>
      <c r="CD507" s="697"/>
      <c r="CE507" s="697"/>
      <c r="CF507" s="697"/>
      <c r="CG507" s="697"/>
      <c r="CH507" s="697"/>
      <c r="CI507" s="697"/>
      <c r="CJ507" s="697"/>
      <c r="CK507" s="697"/>
      <c r="CL507" s="697"/>
      <c r="CM507" s="697"/>
      <c r="CN507" s="697"/>
      <c r="CO507" s="697"/>
      <c r="CP507" s="697"/>
      <c r="CQ507" s="697"/>
      <c r="CR507" s="697"/>
      <c r="CS507" s="697"/>
      <c r="CT507" s="697"/>
      <c r="CU507" s="697"/>
      <c r="CV507" s="697"/>
      <c r="CW507" s="697"/>
      <c r="CX507" s="697"/>
      <c r="CY507" s="697"/>
      <c r="CZ507" s="697"/>
      <c r="DA507" s="697"/>
      <c r="DB507" s="697"/>
    </row>
    <row r="508" spans="1:106" hidden="1" outlineLevel="1" x14ac:dyDescent="0.2">
      <c r="A508" s="709">
        <f t="shared" si="95"/>
        <v>40026</v>
      </c>
      <c r="B508" s="709" t="str">
        <f t="shared" si="96"/>
        <v>3Q09</v>
      </c>
      <c r="C508" s="709" t="str">
        <f t="shared" si="97"/>
        <v>4Q09</v>
      </c>
      <c r="D508" s="710">
        <f t="shared" si="103"/>
        <v>40106</v>
      </c>
      <c r="E508" s="710">
        <f t="shared" si="103"/>
        <v>40046</v>
      </c>
      <c r="F508" s="712">
        <v>70.8</v>
      </c>
      <c r="G508" s="713">
        <f t="shared" si="98"/>
        <v>1.4900000000000011</v>
      </c>
      <c r="H508" s="713">
        <f t="shared" si="99"/>
        <v>1.4900000000000011</v>
      </c>
      <c r="I508" s="697"/>
      <c r="J508" s="697"/>
      <c r="K508" s="697"/>
      <c r="L508" s="697"/>
      <c r="M508" s="697"/>
      <c r="N508" s="697"/>
      <c r="O508" s="697"/>
      <c r="P508" s="697"/>
      <c r="Q508" s="697"/>
      <c r="R508" s="697"/>
      <c r="S508" s="697"/>
      <c r="T508" s="697"/>
      <c r="U508" s="697"/>
      <c r="V508" s="697"/>
      <c r="W508" s="697"/>
      <c r="X508" s="697"/>
      <c r="Y508" s="697"/>
      <c r="Z508" s="697"/>
      <c r="AA508" s="697"/>
      <c r="AB508" s="697"/>
      <c r="AC508" s="697"/>
      <c r="AD508" s="697"/>
      <c r="AE508" s="697"/>
      <c r="AF508" s="697"/>
      <c r="AG508" s="697"/>
      <c r="AH508" s="697"/>
      <c r="AI508" s="697"/>
      <c r="AJ508" s="697"/>
      <c r="AK508" s="697"/>
      <c r="AL508" s="697"/>
      <c r="AM508" s="697"/>
      <c r="AN508" s="697"/>
      <c r="AO508" s="697"/>
      <c r="AP508" s="697"/>
      <c r="AQ508" s="697"/>
      <c r="AR508" s="697"/>
      <c r="AS508" s="697"/>
      <c r="AT508" s="697"/>
      <c r="AU508" s="697"/>
      <c r="AV508" s="697"/>
      <c r="AW508" s="697"/>
      <c r="AX508" s="697"/>
      <c r="AY508" s="697"/>
      <c r="AZ508" s="697"/>
      <c r="BA508" s="697"/>
      <c r="BB508" s="697"/>
      <c r="BC508" s="697"/>
      <c r="BD508" s="697"/>
      <c r="BE508" s="697"/>
      <c r="BF508" s="697"/>
      <c r="BG508" s="697"/>
      <c r="BH508" s="697"/>
      <c r="BI508" s="697"/>
      <c r="BJ508" s="697"/>
      <c r="BK508" s="697"/>
      <c r="BL508" s="697"/>
      <c r="BM508" s="697"/>
      <c r="BN508" s="697"/>
      <c r="BO508" s="697"/>
      <c r="BP508" s="697"/>
      <c r="BQ508" s="697"/>
      <c r="BR508" s="697"/>
      <c r="BS508" s="697"/>
      <c r="BT508" s="697"/>
      <c r="BU508" s="697"/>
      <c r="BV508" s="697"/>
      <c r="BW508" s="697"/>
      <c r="BX508" s="697"/>
      <c r="BY508" s="697"/>
      <c r="BZ508" s="697"/>
      <c r="CA508" s="697"/>
      <c r="CB508" s="697"/>
      <c r="CC508" s="697"/>
      <c r="CD508" s="697"/>
      <c r="CE508" s="697"/>
      <c r="CF508" s="697"/>
      <c r="CG508" s="697"/>
      <c r="CH508" s="697"/>
      <c r="CI508" s="697"/>
      <c r="CJ508" s="697"/>
      <c r="CK508" s="697"/>
      <c r="CL508" s="697"/>
      <c r="CM508" s="697"/>
      <c r="CN508" s="697"/>
      <c r="CO508" s="697"/>
      <c r="CP508" s="697"/>
      <c r="CQ508" s="697"/>
      <c r="CR508" s="697"/>
      <c r="CS508" s="697"/>
      <c r="CT508" s="697"/>
      <c r="CU508" s="697"/>
      <c r="CV508" s="697"/>
      <c r="CW508" s="697"/>
      <c r="CX508" s="697"/>
      <c r="CY508" s="697"/>
      <c r="CZ508" s="697"/>
      <c r="DA508" s="697"/>
      <c r="DB508" s="697"/>
    </row>
    <row r="509" spans="1:106" hidden="1" outlineLevel="1" x14ac:dyDescent="0.2">
      <c r="A509" s="709">
        <f t="shared" si="95"/>
        <v>40026</v>
      </c>
      <c r="B509" s="709" t="str">
        <f t="shared" si="96"/>
        <v>3Q09</v>
      </c>
      <c r="C509" s="709" t="str">
        <f t="shared" si="97"/>
        <v>4Q09</v>
      </c>
      <c r="D509" s="710">
        <f t="shared" si="103"/>
        <v>40113</v>
      </c>
      <c r="E509" s="710">
        <f t="shared" si="103"/>
        <v>40053</v>
      </c>
      <c r="F509" s="712">
        <v>72.37</v>
      </c>
      <c r="G509" s="713">
        <f t="shared" si="98"/>
        <v>1.4900000000000011</v>
      </c>
      <c r="H509" s="713">
        <f t="shared" si="99"/>
        <v>1.4900000000000011</v>
      </c>
      <c r="I509" s="697"/>
      <c r="J509" s="697"/>
      <c r="K509" s="697"/>
      <c r="L509" s="697"/>
      <c r="M509" s="697"/>
      <c r="N509" s="697"/>
      <c r="O509" s="697"/>
      <c r="P509" s="697"/>
      <c r="Q509" s="697"/>
      <c r="R509" s="697"/>
      <c r="S509" s="697"/>
      <c r="T509" s="697"/>
      <c r="U509" s="697"/>
      <c r="V509" s="697"/>
      <c r="W509" s="697"/>
      <c r="X509" s="697"/>
      <c r="Y509" s="697"/>
      <c r="Z509" s="697"/>
      <c r="AA509" s="697"/>
      <c r="AB509" s="697"/>
      <c r="AC509" s="697"/>
      <c r="AD509" s="697"/>
      <c r="AE509" s="697"/>
      <c r="AF509" s="697"/>
      <c r="AG509" s="697"/>
      <c r="AH509" s="697"/>
      <c r="AI509" s="697"/>
      <c r="AJ509" s="697"/>
      <c r="AK509" s="697"/>
      <c r="AL509" s="697"/>
      <c r="AM509" s="697"/>
      <c r="AN509" s="697"/>
      <c r="AO509" s="697"/>
      <c r="AP509" s="697"/>
      <c r="AQ509" s="697"/>
      <c r="AR509" s="697"/>
      <c r="AS509" s="697"/>
      <c r="AT509" s="697"/>
      <c r="AU509" s="697"/>
      <c r="AV509" s="697"/>
      <c r="AW509" s="697"/>
      <c r="AX509" s="697"/>
      <c r="AY509" s="697"/>
      <c r="AZ509" s="697"/>
      <c r="BA509" s="697"/>
      <c r="BB509" s="697"/>
      <c r="BC509" s="697"/>
      <c r="BD509" s="697"/>
      <c r="BE509" s="697"/>
      <c r="BF509" s="697"/>
      <c r="BG509" s="697"/>
      <c r="BH509" s="697"/>
      <c r="BI509" s="697"/>
      <c r="BJ509" s="697"/>
      <c r="BK509" s="697"/>
      <c r="BL509" s="697"/>
      <c r="BM509" s="697"/>
      <c r="BN509" s="697"/>
      <c r="BO509" s="697"/>
      <c r="BP509" s="697"/>
      <c r="BQ509" s="697"/>
      <c r="BR509" s="697"/>
      <c r="BS509" s="697"/>
      <c r="BT509" s="697"/>
      <c r="BU509" s="697"/>
      <c r="BV509" s="697"/>
      <c r="BW509" s="697"/>
      <c r="BX509" s="697"/>
      <c r="BY509" s="697"/>
      <c r="BZ509" s="697"/>
      <c r="CA509" s="697"/>
      <c r="CB509" s="697"/>
      <c r="CC509" s="697"/>
      <c r="CD509" s="697"/>
      <c r="CE509" s="697"/>
      <c r="CF509" s="697"/>
      <c r="CG509" s="697"/>
      <c r="CH509" s="697"/>
      <c r="CI509" s="697"/>
      <c r="CJ509" s="697"/>
      <c r="CK509" s="697"/>
      <c r="CL509" s="697"/>
      <c r="CM509" s="697"/>
      <c r="CN509" s="697"/>
      <c r="CO509" s="697"/>
      <c r="CP509" s="697"/>
      <c r="CQ509" s="697"/>
      <c r="CR509" s="697"/>
      <c r="CS509" s="697"/>
      <c r="CT509" s="697"/>
      <c r="CU509" s="697"/>
      <c r="CV509" s="697"/>
      <c r="CW509" s="697"/>
      <c r="CX509" s="697"/>
      <c r="CY509" s="697"/>
      <c r="CZ509" s="697"/>
      <c r="DA509" s="697"/>
      <c r="DB509" s="697"/>
    </row>
    <row r="510" spans="1:106" hidden="1" outlineLevel="1" x14ac:dyDescent="0.2">
      <c r="A510" s="709">
        <f t="shared" si="95"/>
        <v>40057</v>
      </c>
      <c r="B510" s="709" t="str">
        <f t="shared" si="96"/>
        <v>3Q09</v>
      </c>
      <c r="C510" s="709" t="str">
        <f t="shared" si="97"/>
        <v>4Q09</v>
      </c>
      <c r="D510" s="710">
        <f t="shared" si="103"/>
        <v>40120</v>
      </c>
      <c r="E510" s="710">
        <f t="shared" si="103"/>
        <v>40060</v>
      </c>
      <c r="F510" s="712">
        <v>68.39</v>
      </c>
      <c r="G510" s="713">
        <f t="shared" si="98"/>
        <v>1.4900000000000011</v>
      </c>
      <c r="H510" s="713">
        <f t="shared" si="99"/>
        <v>1.4900000000000011</v>
      </c>
      <c r="I510" s="697"/>
      <c r="J510" s="697"/>
      <c r="K510" s="697"/>
      <c r="L510" s="697"/>
      <c r="M510" s="697"/>
      <c r="N510" s="697"/>
      <c r="O510" s="697"/>
      <c r="P510" s="697"/>
      <c r="Q510" s="697"/>
      <c r="R510" s="697"/>
      <c r="S510" s="697"/>
      <c r="T510" s="697"/>
      <c r="U510" s="697"/>
      <c r="V510" s="697"/>
      <c r="W510" s="697"/>
      <c r="X510" s="697"/>
      <c r="Y510" s="697"/>
      <c r="Z510" s="697"/>
      <c r="AA510" s="697"/>
      <c r="AB510" s="697"/>
      <c r="AC510" s="697"/>
      <c r="AD510" s="697"/>
      <c r="AE510" s="697"/>
      <c r="AF510" s="697"/>
      <c r="AG510" s="697"/>
      <c r="AH510" s="697"/>
      <c r="AI510" s="697"/>
      <c r="AJ510" s="697"/>
      <c r="AK510" s="697"/>
      <c r="AL510" s="697"/>
      <c r="AM510" s="697"/>
      <c r="AN510" s="697"/>
      <c r="AO510" s="697"/>
      <c r="AP510" s="697"/>
      <c r="AQ510" s="697"/>
      <c r="AR510" s="697"/>
      <c r="AS510" s="697"/>
      <c r="AT510" s="697"/>
      <c r="AU510" s="697"/>
      <c r="AV510" s="697"/>
      <c r="AW510" s="697"/>
      <c r="AX510" s="697"/>
      <c r="AY510" s="697"/>
      <c r="AZ510" s="697"/>
      <c r="BA510" s="697"/>
      <c r="BB510" s="697"/>
      <c r="BC510" s="697"/>
      <c r="BD510" s="697"/>
      <c r="BE510" s="697"/>
      <c r="BF510" s="697"/>
      <c r="BG510" s="697"/>
      <c r="BH510" s="697"/>
      <c r="BI510" s="697"/>
      <c r="BJ510" s="697"/>
      <c r="BK510" s="697"/>
      <c r="BL510" s="697"/>
      <c r="BM510" s="697"/>
      <c r="BN510" s="697"/>
      <c r="BO510" s="697"/>
      <c r="BP510" s="697"/>
      <c r="BQ510" s="697"/>
      <c r="BR510" s="697"/>
      <c r="BS510" s="697"/>
      <c r="BT510" s="697"/>
      <c r="BU510" s="697"/>
      <c r="BV510" s="697"/>
      <c r="BW510" s="697"/>
      <c r="BX510" s="697"/>
      <c r="BY510" s="697"/>
      <c r="BZ510" s="697"/>
      <c r="CA510" s="697"/>
      <c r="CB510" s="697"/>
      <c r="CC510" s="697"/>
      <c r="CD510" s="697"/>
      <c r="CE510" s="697"/>
      <c r="CF510" s="697"/>
      <c r="CG510" s="697"/>
      <c r="CH510" s="697"/>
      <c r="CI510" s="697"/>
      <c r="CJ510" s="697"/>
      <c r="CK510" s="697"/>
      <c r="CL510" s="697"/>
      <c r="CM510" s="697"/>
      <c r="CN510" s="697"/>
      <c r="CO510" s="697"/>
      <c r="CP510" s="697"/>
      <c r="CQ510" s="697"/>
      <c r="CR510" s="697"/>
      <c r="CS510" s="697"/>
      <c r="CT510" s="697"/>
      <c r="CU510" s="697"/>
      <c r="CV510" s="697"/>
      <c r="CW510" s="697"/>
      <c r="CX510" s="697"/>
      <c r="CY510" s="697"/>
      <c r="CZ510" s="697"/>
      <c r="DA510" s="697"/>
      <c r="DB510" s="697"/>
    </row>
    <row r="511" spans="1:106" hidden="1" outlineLevel="1" x14ac:dyDescent="0.2">
      <c r="A511" s="709">
        <f t="shared" si="95"/>
        <v>40057</v>
      </c>
      <c r="B511" s="709" t="str">
        <f t="shared" si="96"/>
        <v>3Q09</v>
      </c>
      <c r="C511" s="709" t="str">
        <f t="shared" si="97"/>
        <v>4Q09</v>
      </c>
      <c r="D511" s="710">
        <f t="shared" si="103"/>
        <v>40127</v>
      </c>
      <c r="E511" s="710">
        <f t="shared" si="103"/>
        <v>40067</v>
      </c>
      <c r="F511" s="712">
        <v>70.91</v>
      </c>
      <c r="G511" s="713">
        <f t="shared" si="98"/>
        <v>1.4900000000000011</v>
      </c>
      <c r="H511" s="713">
        <f t="shared" si="99"/>
        <v>1.4900000000000011</v>
      </c>
      <c r="I511" s="697"/>
      <c r="J511" s="697"/>
      <c r="K511" s="697"/>
      <c r="L511" s="697"/>
      <c r="M511" s="697"/>
      <c r="N511" s="697"/>
      <c r="O511" s="697"/>
      <c r="P511" s="697"/>
      <c r="Q511" s="697"/>
      <c r="R511" s="697"/>
      <c r="S511" s="697"/>
      <c r="T511" s="697"/>
      <c r="U511" s="697"/>
      <c r="V511" s="697"/>
      <c r="W511" s="697"/>
      <c r="X511" s="697"/>
      <c r="Y511" s="697"/>
      <c r="Z511" s="697"/>
      <c r="AA511" s="697"/>
      <c r="AB511" s="697"/>
      <c r="AC511" s="697"/>
      <c r="AD511" s="697"/>
      <c r="AE511" s="697"/>
      <c r="AF511" s="697"/>
      <c r="AG511" s="697"/>
      <c r="AH511" s="697"/>
      <c r="AI511" s="697"/>
      <c r="AJ511" s="697"/>
      <c r="AK511" s="697"/>
      <c r="AL511" s="697"/>
      <c r="AM511" s="697"/>
      <c r="AN511" s="697"/>
      <c r="AO511" s="697"/>
      <c r="AP511" s="697"/>
      <c r="AQ511" s="697"/>
      <c r="AR511" s="697"/>
      <c r="AS511" s="697"/>
      <c r="AT511" s="697"/>
      <c r="AU511" s="697"/>
      <c r="AV511" s="697"/>
      <c r="AW511" s="697"/>
      <c r="AX511" s="697"/>
      <c r="AY511" s="697"/>
      <c r="AZ511" s="697"/>
      <c r="BA511" s="697"/>
      <c r="BB511" s="697"/>
      <c r="BC511" s="697"/>
      <c r="BD511" s="697"/>
      <c r="BE511" s="697"/>
      <c r="BF511" s="697"/>
      <c r="BG511" s="697"/>
      <c r="BH511" s="697"/>
      <c r="BI511" s="697"/>
      <c r="BJ511" s="697"/>
      <c r="BK511" s="697"/>
      <c r="BL511" s="697"/>
      <c r="BM511" s="697"/>
      <c r="BN511" s="697"/>
      <c r="BO511" s="697"/>
      <c r="BP511" s="697"/>
      <c r="BQ511" s="697"/>
      <c r="BR511" s="697"/>
      <c r="BS511" s="697"/>
      <c r="BT511" s="697"/>
      <c r="BU511" s="697"/>
      <c r="BV511" s="697"/>
      <c r="BW511" s="697"/>
      <c r="BX511" s="697"/>
      <c r="BY511" s="697"/>
      <c r="BZ511" s="697"/>
      <c r="CA511" s="697"/>
      <c r="CB511" s="697"/>
      <c r="CC511" s="697"/>
      <c r="CD511" s="697"/>
      <c r="CE511" s="697"/>
      <c r="CF511" s="697"/>
      <c r="CG511" s="697"/>
      <c r="CH511" s="697"/>
      <c r="CI511" s="697"/>
      <c r="CJ511" s="697"/>
      <c r="CK511" s="697"/>
      <c r="CL511" s="697"/>
      <c r="CM511" s="697"/>
      <c r="CN511" s="697"/>
      <c r="CO511" s="697"/>
      <c r="CP511" s="697"/>
      <c r="CQ511" s="697"/>
      <c r="CR511" s="697"/>
      <c r="CS511" s="697"/>
      <c r="CT511" s="697"/>
      <c r="CU511" s="697"/>
      <c r="CV511" s="697"/>
      <c r="CW511" s="697"/>
      <c r="CX511" s="697"/>
      <c r="CY511" s="697"/>
      <c r="CZ511" s="697"/>
      <c r="DA511" s="697"/>
      <c r="DB511" s="697"/>
    </row>
    <row r="512" spans="1:106" hidden="1" outlineLevel="1" x14ac:dyDescent="0.2">
      <c r="A512" s="709">
        <f t="shared" si="95"/>
        <v>40057</v>
      </c>
      <c r="B512" s="709" t="str">
        <f t="shared" si="96"/>
        <v>3Q09</v>
      </c>
      <c r="C512" s="709" t="str">
        <f t="shared" si="97"/>
        <v>4Q09</v>
      </c>
      <c r="D512" s="710">
        <f t="shared" si="103"/>
        <v>40134</v>
      </c>
      <c r="E512" s="710">
        <f t="shared" si="103"/>
        <v>40074</v>
      </c>
      <c r="F512" s="712">
        <v>71.319999999999993</v>
      </c>
      <c r="G512" s="713">
        <f t="shared" si="98"/>
        <v>1.4900000000000011</v>
      </c>
      <c r="H512" s="713">
        <f t="shared" si="99"/>
        <v>1.4900000000000011</v>
      </c>
      <c r="I512" s="697"/>
      <c r="J512" s="697"/>
      <c r="K512" s="697"/>
      <c r="L512" s="697"/>
      <c r="M512" s="697"/>
      <c r="N512" s="697"/>
      <c r="O512" s="697"/>
      <c r="P512" s="697"/>
      <c r="Q512" s="697"/>
      <c r="R512" s="697"/>
      <c r="S512" s="697"/>
      <c r="T512" s="697"/>
      <c r="U512" s="697"/>
      <c r="V512" s="697"/>
      <c r="W512" s="697"/>
      <c r="X512" s="697"/>
      <c r="Y512" s="697"/>
      <c r="Z512" s="697"/>
      <c r="AA512" s="697"/>
      <c r="AB512" s="697"/>
      <c r="AC512" s="697"/>
      <c r="AD512" s="697"/>
      <c r="AE512" s="697"/>
      <c r="AF512" s="697"/>
      <c r="AG512" s="697"/>
      <c r="AH512" s="697"/>
      <c r="AI512" s="697"/>
      <c r="AJ512" s="697"/>
      <c r="AK512" s="697"/>
      <c r="AL512" s="697"/>
      <c r="AM512" s="697"/>
      <c r="AN512" s="697"/>
      <c r="AO512" s="697"/>
      <c r="AP512" s="697"/>
      <c r="AQ512" s="697"/>
      <c r="AR512" s="697"/>
      <c r="AS512" s="697"/>
      <c r="AT512" s="697"/>
      <c r="AU512" s="697"/>
      <c r="AV512" s="697"/>
      <c r="AW512" s="697"/>
      <c r="AX512" s="697"/>
      <c r="AY512" s="697"/>
      <c r="AZ512" s="697"/>
      <c r="BA512" s="697"/>
      <c r="BB512" s="697"/>
      <c r="BC512" s="697"/>
      <c r="BD512" s="697"/>
      <c r="BE512" s="697"/>
      <c r="BF512" s="697"/>
      <c r="BG512" s="697"/>
      <c r="BH512" s="697"/>
      <c r="BI512" s="697"/>
      <c r="BJ512" s="697"/>
      <c r="BK512" s="697"/>
      <c r="BL512" s="697"/>
      <c r="BM512" s="697"/>
      <c r="BN512" s="697"/>
      <c r="BO512" s="697"/>
      <c r="BP512" s="697"/>
      <c r="BQ512" s="697"/>
      <c r="BR512" s="697"/>
      <c r="BS512" s="697"/>
      <c r="BT512" s="697"/>
      <c r="BU512" s="697"/>
      <c r="BV512" s="697"/>
      <c r="BW512" s="697"/>
      <c r="BX512" s="697"/>
      <c r="BY512" s="697"/>
      <c r="BZ512" s="697"/>
      <c r="CA512" s="697"/>
      <c r="CB512" s="697"/>
      <c r="CC512" s="697"/>
      <c r="CD512" s="697"/>
      <c r="CE512" s="697"/>
      <c r="CF512" s="697"/>
      <c r="CG512" s="697"/>
      <c r="CH512" s="697"/>
      <c r="CI512" s="697"/>
      <c r="CJ512" s="697"/>
      <c r="CK512" s="697"/>
      <c r="CL512" s="697"/>
      <c r="CM512" s="697"/>
      <c r="CN512" s="697"/>
      <c r="CO512" s="697"/>
      <c r="CP512" s="697"/>
      <c r="CQ512" s="697"/>
      <c r="CR512" s="697"/>
      <c r="CS512" s="697"/>
      <c r="CT512" s="697"/>
      <c r="CU512" s="697"/>
      <c r="CV512" s="697"/>
      <c r="CW512" s="697"/>
      <c r="CX512" s="697"/>
      <c r="CY512" s="697"/>
      <c r="CZ512" s="697"/>
      <c r="DA512" s="697"/>
      <c r="DB512" s="697"/>
    </row>
    <row r="513" spans="1:106" hidden="1" outlineLevel="1" x14ac:dyDescent="0.2">
      <c r="A513" s="709">
        <f t="shared" si="95"/>
        <v>40057</v>
      </c>
      <c r="B513" s="709" t="str">
        <f t="shared" si="96"/>
        <v>3Q09</v>
      </c>
      <c r="C513" s="709" t="str">
        <f t="shared" si="97"/>
        <v>4Q09</v>
      </c>
      <c r="D513" s="710">
        <f t="shared" si="103"/>
        <v>40141</v>
      </c>
      <c r="E513" s="710">
        <f t="shared" si="103"/>
        <v>40081</v>
      </c>
      <c r="F513" s="712">
        <v>68.33</v>
      </c>
      <c r="G513" s="713">
        <f t="shared" si="98"/>
        <v>1.4900000000000011</v>
      </c>
      <c r="H513" s="713">
        <f t="shared" si="99"/>
        <v>1.4900000000000011</v>
      </c>
      <c r="I513" s="697"/>
      <c r="J513" s="697"/>
      <c r="K513" s="697"/>
      <c r="L513" s="697"/>
      <c r="M513" s="697"/>
      <c r="N513" s="697"/>
      <c r="O513" s="697"/>
      <c r="P513" s="697"/>
      <c r="Q513" s="697"/>
      <c r="R513" s="697"/>
      <c r="S513" s="697"/>
      <c r="T513" s="697"/>
      <c r="U513" s="697"/>
      <c r="V513" s="697"/>
      <c r="W513" s="697"/>
      <c r="X513" s="697"/>
      <c r="Y513" s="697"/>
      <c r="Z513" s="697"/>
      <c r="AA513" s="697"/>
      <c r="AB513" s="697"/>
      <c r="AC513" s="697"/>
      <c r="AD513" s="697"/>
      <c r="AE513" s="697"/>
      <c r="AF513" s="697"/>
      <c r="AG513" s="697"/>
      <c r="AH513" s="697"/>
      <c r="AI513" s="697"/>
      <c r="AJ513" s="697"/>
      <c r="AK513" s="697"/>
      <c r="AL513" s="697"/>
      <c r="AM513" s="697"/>
      <c r="AN513" s="697"/>
      <c r="AO513" s="697"/>
      <c r="AP513" s="697"/>
      <c r="AQ513" s="697"/>
      <c r="AR513" s="697"/>
      <c r="AS513" s="697"/>
      <c r="AT513" s="697"/>
      <c r="AU513" s="697"/>
      <c r="AV513" s="697"/>
      <c r="AW513" s="697"/>
      <c r="AX513" s="697"/>
      <c r="AY513" s="697"/>
      <c r="AZ513" s="697"/>
      <c r="BA513" s="697"/>
      <c r="BB513" s="697"/>
      <c r="BC513" s="697"/>
      <c r="BD513" s="697"/>
      <c r="BE513" s="697"/>
      <c r="BF513" s="697"/>
      <c r="BG513" s="697"/>
      <c r="BH513" s="697"/>
      <c r="BI513" s="697"/>
      <c r="BJ513" s="697"/>
      <c r="BK513" s="697"/>
      <c r="BL513" s="697"/>
      <c r="BM513" s="697"/>
      <c r="BN513" s="697"/>
      <c r="BO513" s="697"/>
      <c r="BP513" s="697"/>
      <c r="BQ513" s="697"/>
      <c r="BR513" s="697"/>
      <c r="BS513" s="697"/>
      <c r="BT513" s="697"/>
      <c r="BU513" s="697"/>
      <c r="BV513" s="697"/>
      <c r="BW513" s="697"/>
      <c r="BX513" s="697"/>
      <c r="BY513" s="697"/>
      <c r="BZ513" s="697"/>
      <c r="CA513" s="697"/>
      <c r="CB513" s="697"/>
      <c r="CC513" s="697"/>
      <c r="CD513" s="697"/>
      <c r="CE513" s="697"/>
      <c r="CF513" s="697"/>
      <c r="CG513" s="697"/>
      <c r="CH513" s="697"/>
      <c r="CI513" s="697"/>
      <c r="CJ513" s="697"/>
      <c r="CK513" s="697"/>
      <c r="CL513" s="697"/>
      <c r="CM513" s="697"/>
      <c r="CN513" s="697"/>
      <c r="CO513" s="697"/>
      <c r="CP513" s="697"/>
      <c r="CQ513" s="697"/>
      <c r="CR513" s="697"/>
      <c r="CS513" s="697"/>
      <c r="CT513" s="697"/>
      <c r="CU513" s="697"/>
      <c r="CV513" s="697"/>
      <c r="CW513" s="697"/>
      <c r="CX513" s="697"/>
      <c r="CY513" s="697"/>
      <c r="CZ513" s="697"/>
      <c r="DA513" s="697"/>
      <c r="DB513" s="697"/>
    </row>
    <row r="514" spans="1:106" hidden="1" outlineLevel="1" x14ac:dyDescent="0.2">
      <c r="A514" s="709">
        <f t="shared" si="95"/>
        <v>40087</v>
      </c>
      <c r="B514" s="709" t="str">
        <f t="shared" si="96"/>
        <v>4Q09</v>
      </c>
      <c r="C514" s="709" t="str">
        <f t="shared" si="97"/>
        <v>4Q09</v>
      </c>
      <c r="D514" s="710">
        <f t="shared" si="103"/>
        <v>40148</v>
      </c>
      <c r="E514" s="710">
        <f t="shared" si="103"/>
        <v>40088</v>
      </c>
      <c r="F514" s="712">
        <v>68.84</v>
      </c>
      <c r="G514" s="713">
        <f t="shared" si="98"/>
        <v>1.4900000000000011</v>
      </c>
      <c r="H514" s="713">
        <f t="shared" si="99"/>
        <v>1.4900000000000011</v>
      </c>
      <c r="I514" s="697"/>
      <c r="J514" s="697"/>
      <c r="K514" s="697"/>
      <c r="L514" s="697"/>
      <c r="M514" s="697"/>
      <c r="N514" s="697"/>
      <c r="O514" s="697"/>
      <c r="P514" s="697"/>
      <c r="Q514" s="697"/>
      <c r="R514" s="697"/>
      <c r="S514" s="697"/>
      <c r="T514" s="697"/>
      <c r="U514" s="697"/>
      <c r="V514" s="697"/>
      <c r="W514" s="697"/>
      <c r="X514" s="697"/>
      <c r="Y514" s="697"/>
      <c r="Z514" s="697"/>
      <c r="AA514" s="697"/>
      <c r="AB514" s="697"/>
      <c r="AC514" s="697"/>
      <c r="AD514" s="697"/>
      <c r="AE514" s="697"/>
      <c r="AF514" s="697"/>
      <c r="AG514" s="697"/>
      <c r="AH514" s="697"/>
      <c r="AI514" s="697"/>
      <c r="AJ514" s="697"/>
      <c r="AK514" s="697"/>
      <c r="AL514" s="697"/>
      <c r="AM514" s="697"/>
      <c r="AN514" s="697"/>
      <c r="AO514" s="697"/>
      <c r="AP514" s="697"/>
      <c r="AQ514" s="697"/>
      <c r="AR514" s="697"/>
      <c r="AS514" s="697"/>
      <c r="AT514" s="697"/>
      <c r="AU514" s="697"/>
      <c r="AV514" s="697"/>
      <c r="AW514" s="697"/>
      <c r="AX514" s="697"/>
      <c r="AY514" s="697"/>
      <c r="AZ514" s="697"/>
      <c r="BA514" s="697"/>
      <c r="BB514" s="697"/>
      <c r="BC514" s="697"/>
      <c r="BD514" s="697"/>
      <c r="BE514" s="697"/>
      <c r="BF514" s="697"/>
      <c r="BG514" s="697"/>
      <c r="BH514" s="697"/>
      <c r="BI514" s="697"/>
      <c r="BJ514" s="697"/>
      <c r="BK514" s="697"/>
      <c r="BL514" s="697"/>
      <c r="BM514" s="697"/>
      <c r="BN514" s="697"/>
      <c r="BO514" s="697"/>
      <c r="BP514" s="697"/>
      <c r="BQ514" s="697"/>
      <c r="BR514" s="697"/>
      <c r="BS514" s="697"/>
      <c r="BT514" s="697"/>
      <c r="BU514" s="697"/>
      <c r="BV514" s="697"/>
      <c r="BW514" s="697"/>
      <c r="BX514" s="697"/>
      <c r="BY514" s="697"/>
      <c r="BZ514" s="697"/>
      <c r="CA514" s="697"/>
      <c r="CB514" s="697"/>
      <c r="CC514" s="697"/>
      <c r="CD514" s="697"/>
      <c r="CE514" s="697"/>
      <c r="CF514" s="697"/>
      <c r="CG514" s="697"/>
      <c r="CH514" s="697"/>
      <c r="CI514" s="697"/>
      <c r="CJ514" s="697"/>
      <c r="CK514" s="697"/>
      <c r="CL514" s="697"/>
      <c r="CM514" s="697"/>
      <c r="CN514" s="697"/>
      <c r="CO514" s="697"/>
      <c r="CP514" s="697"/>
      <c r="CQ514" s="697"/>
      <c r="CR514" s="697"/>
      <c r="CS514" s="697"/>
      <c r="CT514" s="697"/>
      <c r="CU514" s="697"/>
      <c r="CV514" s="697"/>
      <c r="CW514" s="697"/>
      <c r="CX514" s="697"/>
      <c r="CY514" s="697"/>
      <c r="CZ514" s="697"/>
      <c r="DA514" s="697"/>
      <c r="DB514" s="697"/>
    </row>
    <row r="515" spans="1:106" hidden="1" outlineLevel="1" x14ac:dyDescent="0.2">
      <c r="A515" s="709">
        <f t="shared" si="95"/>
        <v>40087</v>
      </c>
      <c r="B515" s="709" t="str">
        <f t="shared" si="96"/>
        <v>4Q09</v>
      </c>
      <c r="C515" s="709" t="str">
        <f t="shared" si="97"/>
        <v>4Q09</v>
      </c>
      <c r="D515" s="710">
        <f t="shared" si="103"/>
        <v>40155</v>
      </c>
      <c r="E515" s="710">
        <f t="shared" si="103"/>
        <v>40095</v>
      </c>
      <c r="F515" s="712">
        <v>70.8</v>
      </c>
      <c r="G515" s="713">
        <f t="shared" si="98"/>
        <v>1.4900000000000011</v>
      </c>
      <c r="H515" s="713">
        <f t="shared" si="99"/>
        <v>1.4900000000000011</v>
      </c>
      <c r="I515" s="697"/>
      <c r="J515" s="697"/>
      <c r="K515" s="697"/>
      <c r="L515" s="697"/>
      <c r="M515" s="697"/>
      <c r="N515" s="697"/>
      <c r="O515" s="697"/>
      <c r="P515" s="697"/>
      <c r="Q515" s="697"/>
      <c r="R515" s="697"/>
      <c r="S515" s="697"/>
      <c r="T515" s="697"/>
      <c r="U515" s="697"/>
      <c r="V515" s="697"/>
      <c r="W515" s="697"/>
      <c r="X515" s="697"/>
      <c r="Y515" s="697"/>
      <c r="Z515" s="697"/>
      <c r="AA515" s="697"/>
      <c r="AB515" s="697"/>
      <c r="AC515" s="697"/>
      <c r="AD515" s="697"/>
      <c r="AE515" s="697"/>
      <c r="AF515" s="697"/>
      <c r="AG515" s="697"/>
      <c r="AH515" s="697"/>
      <c r="AI515" s="697"/>
      <c r="AJ515" s="697"/>
      <c r="AK515" s="697"/>
      <c r="AL515" s="697"/>
      <c r="AM515" s="697"/>
      <c r="AN515" s="697"/>
      <c r="AO515" s="697"/>
      <c r="AP515" s="697"/>
      <c r="AQ515" s="697"/>
      <c r="AR515" s="697"/>
      <c r="AS515" s="697"/>
      <c r="AT515" s="697"/>
      <c r="AU515" s="697"/>
      <c r="AV515" s="697"/>
      <c r="AW515" s="697"/>
      <c r="AX515" s="697"/>
      <c r="AY515" s="697"/>
      <c r="AZ515" s="697"/>
      <c r="BA515" s="697"/>
      <c r="BB515" s="697"/>
      <c r="BC515" s="697"/>
      <c r="BD515" s="697"/>
      <c r="BE515" s="697"/>
      <c r="BF515" s="697"/>
      <c r="BG515" s="697"/>
      <c r="BH515" s="697"/>
      <c r="BI515" s="697"/>
      <c r="BJ515" s="697"/>
      <c r="BK515" s="697"/>
      <c r="BL515" s="697"/>
      <c r="BM515" s="697"/>
      <c r="BN515" s="697"/>
      <c r="BO515" s="697"/>
      <c r="BP515" s="697"/>
      <c r="BQ515" s="697"/>
      <c r="BR515" s="697"/>
      <c r="BS515" s="697"/>
      <c r="BT515" s="697"/>
      <c r="BU515" s="697"/>
      <c r="BV515" s="697"/>
      <c r="BW515" s="697"/>
      <c r="BX515" s="697"/>
      <c r="BY515" s="697"/>
      <c r="BZ515" s="697"/>
      <c r="CA515" s="697"/>
      <c r="CB515" s="697"/>
      <c r="CC515" s="697"/>
      <c r="CD515" s="697"/>
      <c r="CE515" s="697"/>
      <c r="CF515" s="697"/>
      <c r="CG515" s="697"/>
      <c r="CH515" s="697"/>
      <c r="CI515" s="697"/>
      <c r="CJ515" s="697"/>
      <c r="CK515" s="697"/>
      <c r="CL515" s="697"/>
      <c r="CM515" s="697"/>
      <c r="CN515" s="697"/>
      <c r="CO515" s="697"/>
      <c r="CP515" s="697"/>
      <c r="CQ515" s="697"/>
      <c r="CR515" s="697"/>
      <c r="CS515" s="697"/>
      <c r="CT515" s="697"/>
      <c r="CU515" s="697"/>
      <c r="CV515" s="697"/>
      <c r="CW515" s="697"/>
      <c r="CX515" s="697"/>
      <c r="CY515" s="697"/>
      <c r="CZ515" s="697"/>
      <c r="DA515" s="697"/>
      <c r="DB515" s="697"/>
    </row>
    <row r="516" spans="1:106" hidden="1" outlineLevel="1" x14ac:dyDescent="0.2">
      <c r="A516" s="709">
        <f t="shared" ref="A516:A579" si="104">DATE(YEAR(E516),MONTH(E516),1)</f>
        <v>40087</v>
      </c>
      <c r="B516" s="709" t="str">
        <f t="shared" ref="B516:B579" si="105">VLOOKUP(MONTH(A516),$N$4:$O$16,2,FALSE) &amp; "Q" &amp; RIGHT(YEAR(A516),2)</f>
        <v>4Q09</v>
      </c>
      <c r="C516" s="709" t="str">
        <f t="shared" ref="C516:C579" si="106">VLOOKUP(MONTH(D516),$N$4:$O$16,2,FALSE) &amp; "Q" &amp; RIGHT(YEAR(D516),2)</f>
        <v>4Q09</v>
      </c>
      <c r="D516" s="710">
        <f t="shared" si="103"/>
        <v>40162</v>
      </c>
      <c r="E516" s="710">
        <f t="shared" si="103"/>
        <v>40102</v>
      </c>
      <c r="F516" s="712">
        <v>75.73</v>
      </c>
      <c r="G516" s="713">
        <f t="shared" ref="G516:G579" si="107">INDEX($I$4:$K$153,MATCH(F516,$I$4:$I$153,1),3)</f>
        <v>1.4900000000000011</v>
      </c>
      <c r="H516" s="713">
        <f t="shared" ref="H516:H579" si="108">G517</f>
        <v>1.4900000000000011</v>
      </c>
      <c r="I516" s="697"/>
      <c r="J516" s="697"/>
      <c r="K516" s="697"/>
      <c r="L516" s="697"/>
      <c r="M516" s="697"/>
      <c r="N516" s="697"/>
      <c r="O516" s="697"/>
      <c r="P516" s="697"/>
      <c r="Q516" s="697"/>
      <c r="R516" s="697"/>
      <c r="S516" s="697"/>
      <c r="T516" s="697"/>
      <c r="U516" s="697"/>
      <c r="V516" s="697"/>
      <c r="W516" s="697"/>
      <c r="X516" s="697"/>
      <c r="Y516" s="697"/>
      <c r="Z516" s="697"/>
      <c r="AA516" s="697"/>
      <c r="AB516" s="697"/>
      <c r="AC516" s="697"/>
      <c r="AD516" s="697"/>
      <c r="AE516" s="697"/>
      <c r="AF516" s="697"/>
      <c r="AG516" s="697"/>
      <c r="AH516" s="697"/>
      <c r="AI516" s="697"/>
      <c r="AJ516" s="697"/>
      <c r="AK516" s="697"/>
      <c r="AL516" s="697"/>
      <c r="AM516" s="697"/>
      <c r="AN516" s="697"/>
      <c r="AO516" s="697"/>
      <c r="AP516" s="697"/>
      <c r="AQ516" s="697"/>
      <c r="AR516" s="697"/>
      <c r="AS516" s="697"/>
      <c r="AT516" s="697"/>
      <c r="AU516" s="697"/>
      <c r="AV516" s="697"/>
      <c r="AW516" s="697"/>
      <c r="AX516" s="697"/>
      <c r="AY516" s="697"/>
      <c r="AZ516" s="697"/>
      <c r="BA516" s="697"/>
      <c r="BB516" s="697"/>
      <c r="BC516" s="697"/>
      <c r="BD516" s="697"/>
      <c r="BE516" s="697"/>
      <c r="BF516" s="697"/>
      <c r="BG516" s="697"/>
      <c r="BH516" s="697"/>
      <c r="BI516" s="697"/>
      <c r="BJ516" s="697"/>
      <c r="BK516" s="697"/>
      <c r="BL516" s="697"/>
      <c r="BM516" s="697"/>
      <c r="BN516" s="697"/>
      <c r="BO516" s="697"/>
      <c r="BP516" s="697"/>
      <c r="BQ516" s="697"/>
      <c r="BR516" s="697"/>
      <c r="BS516" s="697"/>
      <c r="BT516" s="697"/>
      <c r="BU516" s="697"/>
      <c r="BV516" s="697"/>
      <c r="BW516" s="697"/>
      <c r="BX516" s="697"/>
      <c r="BY516" s="697"/>
      <c r="BZ516" s="697"/>
      <c r="CA516" s="697"/>
      <c r="CB516" s="697"/>
      <c r="CC516" s="697"/>
      <c r="CD516" s="697"/>
      <c r="CE516" s="697"/>
      <c r="CF516" s="697"/>
      <c r="CG516" s="697"/>
      <c r="CH516" s="697"/>
      <c r="CI516" s="697"/>
      <c r="CJ516" s="697"/>
      <c r="CK516" s="697"/>
      <c r="CL516" s="697"/>
      <c r="CM516" s="697"/>
      <c r="CN516" s="697"/>
      <c r="CO516" s="697"/>
      <c r="CP516" s="697"/>
      <c r="CQ516" s="697"/>
      <c r="CR516" s="697"/>
      <c r="CS516" s="697"/>
      <c r="CT516" s="697"/>
      <c r="CU516" s="697"/>
      <c r="CV516" s="697"/>
      <c r="CW516" s="697"/>
      <c r="CX516" s="697"/>
      <c r="CY516" s="697"/>
      <c r="CZ516" s="697"/>
      <c r="DA516" s="697"/>
      <c r="DB516" s="697"/>
    </row>
    <row r="517" spans="1:106" hidden="1" outlineLevel="1" x14ac:dyDescent="0.2">
      <c r="A517" s="709">
        <f t="shared" si="104"/>
        <v>40087</v>
      </c>
      <c r="B517" s="709" t="str">
        <f t="shared" si="105"/>
        <v>4Q09</v>
      </c>
      <c r="C517" s="709" t="str">
        <f t="shared" si="106"/>
        <v>4Q09</v>
      </c>
      <c r="D517" s="710">
        <f t="shared" ref="D517:E532" si="109">D516+7</f>
        <v>40169</v>
      </c>
      <c r="E517" s="710">
        <f t="shared" si="109"/>
        <v>40109</v>
      </c>
      <c r="F517" s="712">
        <v>80.06</v>
      </c>
      <c r="G517" s="713">
        <f t="shared" si="107"/>
        <v>1.4900000000000011</v>
      </c>
      <c r="H517" s="713">
        <f t="shared" si="108"/>
        <v>1.4900000000000011</v>
      </c>
      <c r="I517" s="697"/>
      <c r="J517" s="697"/>
      <c r="K517" s="697"/>
      <c r="L517" s="697"/>
      <c r="M517" s="697"/>
      <c r="N517" s="697"/>
      <c r="O517" s="697"/>
      <c r="P517" s="697"/>
      <c r="Q517" s="697"/>
      <c r="R517" s="697"/>
      <c r="S517" s="697"/>
      <c r="T517" s="697"/>
      <c r="U517" s="697"/>
      <c r="V517" s="697"/>
      <c r="W517" s="697"/>
      <c r="X517" s="697"/>
      <c r="Y517" s="697"/>
      <c r="Z517" s="697"/>
      <c r="AA517" s="697"/>
      <c r="AB517" s="697"/>
      <c r="AC517" s="697"/>
      <c r="AD517" s="697"/>
      <c r="AE517" s="697"/>
      <c r="AF517" s="697"/>
      <c r="AG517" s="697"/>
      <c r="AH517" s="697"/>
      <c r="AI517" s="697"/>
      <c r="AJ517" s="697"/>
      <c r="AK517" s="697"/>
      <c r="AL517" s="697"/>
      <c r="AM517" s="697"/>
      <c r="AN517" s="697"/>
      <c r="AO517" s="697"/>
      <c r="AP517" s="697"/>
      <c r="AQ517" s="697"/>
      <c r="AR517" s="697"/>
      <c r="AS517" s="697"/>
      <c r="AT517" s="697"/>
      <c r="AU517" s="697"/>
      <c r="AV517" s="697"/>
      <c r="AW517" s="697"/>
      <c r="AX517" s="697"/>
      <c r="AY517" s="697"/>
      <c r="AZ517" s="697"/>
      <c r="BA517" s="697"/>
      <c r="BB517" s="697"/>
      <c r="BC517" s="697"/>
      <c r="BD517" s="697"/>
      <c r="BE517" s="697"/>
      <c r="BF517" s="697"/>
      <c r="BG517" s="697"/>
      <c r="BH517" s="697"/>
      <c r="BI517" s="697"/>
      <c r="BJ517" s="697"/>
      <c r="BK517" s="697"/>
      <c r="BL517" s="697"/>
      <c r="BM517" s="697"/>
      <c r="BN517" s="697"/>
      <c r="BO517" s="697"/>
      <c r="BP517" s="697"/>
      <c r="BQ517" s="697"/>
      <c r="BR517" s="697"/>
      <c r="BS517" s="697"/>
      <c r="BT517" s="697"/>
      <c r="BU517" s="697"/>
      <c r="BV517" s="697"/>
      <c r="BW517" s="697"/>
      <c r="BX517" s="697"/>
      <c r="BY517" s="697"/>
      <c r="BZ517" s="697"/>
      <c r="CA517" s="697"/>
      <c r="CB517" s="697"/>
      <c r="CC517" s="697"/>
      <c r="CD517" s="697"/>
      <c r="CE517" s="697"/>
      <c r="CF517" s="697"/>
      <c r="CG517" s="697"/>
      <c r="CH517" s="697"/>
      <c r="CI517" s="697"/>
      <c r="CJ517" s="697"/>
      <c r="CK517" s="697"/>
      <c r="CL517" s="697"/>
      <c r="CM517" s="697"/>
      <c r="CN517" s="697"/>
      <c r="CO517" s="697"/>
      <c r="CP517" s="697"/>
      <c r="CQ517" s="697"/>
      <c r="CR517" s="697"/>
      <c r="CS517" s="697"/>
      <c r="CT517" s="697"/>
      <c r="CU517" s="697"/>
      <c r="CV517" s="697"/>
      <c r="CW517" s="697"/>
      <c r="CX517" s="697"/>
      <c r="CY517" s="697"/>
      <c r="CZ517" s="697"/>
      <c r="DA517" s="697"/>
      <c r="DB517" s="697"/>
    </row>
    <row r="518" spans="1:106" hidden="1" outlineLevel="1" x14ac:dyDescent="0.2">
      <c r="A518" s="709">
        <f t="shared" si="104"/>
        <v>40087</v>
      </c>
      <c r="B518" s="709" t="str">
        <f t="shared" si="105"/>
        <v>4Q09</v>
      </c>
      <c r="C518" s="709" t="str">
        <f t="shared" si="106"/>
        <v>4Q09</v>
      </c>
      <c r="D518" s="710">
        <f t="shared" si="109"/>
        <v>40176</v>
      </c>
      <c r="E518" s="710">
        <f t="shared" si="109"/>
        <v>40116</v>
      </c>
      <c r="F518" s="712">
        <v>78.47</v>
      </c>
      <c r="G518" s="713">
        <f t="shared" si="107"/>
        <v>1.4900000000000011</v>
      </c>
      <c r="H518" s="713">
        <f t="shared" si="108"/>
        <v>1.4900000000000011</v>
      </c>
      <c r="I518" s="697"/>
      <c r="J518" s="697"/>
      <c r="K518" s="697"/>
      <c r="L518" s="697"/>
      <c r="M518" s="697"/>
      <c r="N518" s="697"/>
      <c r="O518" s="697"/>
      <c r="P518" s="697"/>
      <c r="Q518" s="697"/>
      <c r="R518" s="697"/>
      <c r="S518" s="697"/>
      <c r="T518" s="697"/>
      <c r="U518" s="697"/>
      <c r="V518" s="697"/>
      <c r="W518" s="697"/>
      <c r="X518" s="697"/>
      <c r="Y518" s="697"/>
      <c r="Z518" s="697"/>
      <c r="AA518" s="697"/>
      <c r="AB518" s="697"/>
      <c r="AC518" s="697"/>
      <c r="AD518" s="697"/>
      <c r="AE518" s="697"/>
      <c r="AF518" s="697"/>
      <c r="AG518" s="697"/>
      <c r="AH518" s="697"/>
      <c r="AI518" s="697"/>
      <c r="AJ518" s="697"/>
      <c r="AK518" s="697"/>
      <c r="AL518" s="697"/>
      <c r="AM518" s="697"/>
      <c r="AN518" s="697"/>
      <c r="AO518" s="697"/>
      <c r="AP518" s="697"/>
      <c r="AQ518" s="697"/>
      <c r="AR518" s="697"/>
      <c r="AS518" s="697"/>
      <c r="AT518" s="697"/>
      <c r="AU518" s="697"/>
      <c r="AV518" s="697"/>
      <c r="AW518" s="697"/>
      <c r="AX518" s="697"/>
      <c r="AY518" s="697"/>
      <c r="AZ518" s="697"/>
      <c r="BA518" s="697"/>
      <c r="BB518" s="697"/>
      <c r="BC518" s="697"/>
      <c r="BD518" s="697"/>
      <c r="BE518" s="697"/>
      <c r="BF518" s="697"/>
      <c r="BG518" s="697"/>
      <c r="BH518" s="697"/>
      <c r="BI518" s="697"/>
      <c r="BJ518" s="697"/>
      <c r="BK518" s="697"/>
      <c r="BL518" s="697"/>
      <c r="BM518" s="697"/>
      <c r="BN518" s="697"/>
      <c r="BO518" s="697"/>
      <c r="BP518" s="697"/>
      <c r="BQ518" s="697"/>
      <c r="BR518" s="697"/>
      <c r="BS518" s="697"/>
      <c r="BT518" s="697"/>
      <c r="BU518" s="697"/>
      <c r="BV518" s="697"/>
      <c r="BW518" s="697"/>
      <c r="BX518" s="697"/>
      <c r="BY518" s="697"/>
      <c r="BZ518" s="697"/>
      <c r="CA518" s="697"/>
      <c r="CB518" s="697"/>
      <c r="CC518" s="697"/>
      <c r="CD518" s="697"/>
      <c r="CE518" s="697"/>
      <c r="CF518" s="697"/>
      <c r="CG518" s="697"/>
      <c r="CH518" s="697"/>
      <c r="CI518" s="697"/>
      <c r="CJ518" s="697"/>
      <c r="CK518" s="697"/>
      <c r="CL518" s="697"/>
      <c r="CM518" s="697"/>
      <c r="CN518" s="697"/>
      <c r="CO518" s="697"/>
      <c r="CP518" s="697"/>
      <c r="CQ518" s="697"/>
      <c r="CR518" s="697"/>
      <c r="CS518" s="697"/>
      <c r="CT518" s="697"/>
      <c r="CU518" s="697"/>
      <c r="CV518" s="697"/>
      <c r="CW518" s="697"/>
      <c r="CX518" s="697"/>
      <c r="CY518" s="697"/>
      <c r="CZ518" s="697"/>
      <c r="DA518" s="697"/>
      <c r="DB518" s="697"/>
    </row>
    <row r="519" spans="1:106" hidden="1" outlineLevel="1" x14ac:dyDescent="0.2">
      <c r="A519" s="709">
        <f t="shared" si="104"/>
        <v>40118</v>
      </c>
      <c r="B519" s="709" t="str">
        <f t="shared" si="105"/>
        <v>4Q09</v>
      </c>
      <c r="C519" s="709" t="str">
        <f t="shared" si="106"/>
        <v>1Q10</v>
      </c>
      <c r="D519" s="710">
        <f t="shared" si="109"/>
        <v>40183</v>
      </c>
      <c r="E519" s="710">
        <f t="shared" si="109"/>
        <v>40123</v>
      </c>
      <c r="F519" s="712">
        <v>79</v>
      </c>
      <c r="G519" s="713">
        <f t="shared" si="107"/>
        <v>1.4900000000000011</v>
      </c>
      <c r="H519" s="713">
        <f t="shared" si="108"/>
        <v>1.4900000000000011</v>
      </c>
      <c r="I519" s="697"/>
      <c r="J519" s="697"/>
      <c r="K519" s="697"/>
      <c r="L519" s="697"/>
      <c r="M519" s="697"/>
      <c r="N519" s="697"/>
      <c r="O519" s="697"/>
      <c r="P519" s="697"/>
      <c r="Q519" s="697"/>
      <c r="R519" s="697"/>
      <c r="S519" s="697"/>
      <c r="T519" s="697"/>
      <c r="U519" s="697"/>
      <c r="V519" s="697"/>
      <c r="W519" s="697"/>
      <c r="X519" s="697"/>
      <c r="Y519" s="697"/>
      <c r="Z519" s="697"/>
      <c r="AA519" s="697"/>
      <c r="AB519" s="697"/>
      <c r="AC519" s="697"/>
      <c r="AD519" s="697"/>
      <c r="AE519" s="697"/>
      <c r="AF519" s="697"/>
      <c r="AG519" s="697"/>
      <c r="AH519" s="697"/>
      <c r="AI519" s="697"/>
      <c r="AJ519" s="697"/>
      <c r="AK519" s="697"/>
      <c r="AL519" s="697"/>
      <c r="AM519" s="697"/>
      <c r="AN519" s="697"/>
      <c r="AO519" s="697"/>
      <c r="AP519" s="697"/>
      <c r="AQ519" s="697"/>
      <c r="AR519" s="697"/>
      <c r="AS519" s="697"/>
      <c r="AT519" s="697"/>
      <c r="AU519" s="697"/>
      <c r="AV519" s="697"/>
      <c r="AW519" s="697"/>
      <c r="AX519" s="697"/>
      <c r="AY519" s="697"/>
      <c r="AZ519" s="697"/>
      <c r="BA519" s="697"/>
      <c r="BB519" s="697"/>
      <c r="BC519" s="697"/>
      <c r="BD519" s="697"/>
      <c r="BE519" s="697"/>
      <c r="BF519" s="697"/>
      <c r="BG519" s="697"/>
      <c r="BH519" s="697"/>
      <c r="BI519" s="697"/>
      <c r="BJ519" s="697"/>
      <c r="BK519" s="697"/>
      <c r="BL519" s="697"/>
      <c r="BM519" s="697"/>
      <c r="BN519" s="697"/>
      <c r="BO519" s="697"/>
      <c r="BP519" s="697"/>
      <c r="BQ519" s="697"/>
      <c r="BR519" s="697"/>
      <c r="BS519" s="697"/>
      <c r="BT519" s="697"/>
      <c r="BU519" s="697"/>
      <c r="BV519" s="697"/>
      <c r="BW519" s="697"/>
      <c r="BX519" s="697"/>
      <c r="BY519" s="697"/>
      <c r="BZ519" s="697"/>
      <c r="CA519" s="697"/>
      <c r="CB519" s="697"/>
      <c r="CC519" s="697"/>
      <c r="CD519" s="697"/>
      <c r="CE519" s="697"/>
      <c r="CF519" s="697"/>
      <c r="CG519" s="697"/>
      <c r="CH519" s="697"/>
      <c r="CI519" s="697"/>
      <c r="CJ519" s="697"/>
      <c r="CK519" s="697"/>
      <c r="CL519" s="697"/>
      <c r="CM519" s="697"/>
      <c r="CN519" s="697"/>
      <c r="CO519" s="697"/>
      <c r="CP519" s="697"/>
      <c r="CQ519" s="697"/>
      <c r="CR519" s="697"/>
      <c r="CS519" s="697"/>
      <c r="CT519" s="697"/>
      <c r="CU519" s="697"/>
      <c r="CV519" s="697"/>
      <c r="CW519" s="697"/>
      <c r="CX519" s="697"/>
      <c r="CY519" s="697"/>
      <c r="CZ519" s="697"/>
      <c r="DA519" s="697"/>
      <c r="DB519" s="697"/>
    </row>
    <row r="520" spans="1:106" hidden="1" outlineLevel="1" x14ac:dyDescent="0.2">
      <c r="A520" s="709">
        <f t="shared" si="104"/>
        <v>40118</v>
      </c>
      <c r="B520" s="709" t="str">
        <f t="shared" si="105"/>
        <v>4Q09</v>
      </c>
      <c r="C520" s="709" t="str">
        <f t="shared" si="106"/>
        <v>1Q10</v>
      </c>
      <c r="D520" s="710">
        <f t="shared" si="109"/>
        <v>40190</v>
      </c>
      <c r="E520" s="710">
        <f t="shared" si="109"/>
        <v>40130</v>
      </c>
      <c r="F520" s="712">
        <v>78.239999999999995</v>
      </c>
      <c r="G520" s="713">
        <f t="shared" si="107"/>
        <v>1.4900000000000011</v>
      </c>
      <c r="H520" s="713">
        <f t="shared" si="108"/>
        <v>1.4900000000000011</v>
      </c>
      <c r="I520" s="697"/>
      <c r="J520" s="697"/>
      <c r="K520" s="697"/>
      <c r="L520" s="697"/>
      <c r="M520" s="697"/>
      <c r="N520" s="697"/>
      <c r="O520" s="697"/>
      <c r="P520" s="697"/>
      <c r="Q520" s="697"/>
      <c r="R520" s="697"/>
      <c r="S520" s="697"/>
      <c r="T520" s="697"/>
      <c r="U520" s="697"/>
      <c r="V520" s="697"/>
      <c r="W520" s="697"/>
      <c r="X520" s="697"/>
      <c r="Y520" s="697"/>
      <c r="Z520" s="697"/>
      <c r="AA520" s="697"/>
      <c r="AB520" s="697"/>
      <c r="AC520" s="697"/>
      <c r="AD520" s="697"/>
      <c r="AE520" s="697"/>
      <c r="AF520" s="697"/>
      <c r="AG520" s="697"/>
      <c r="AH520" s="697"/>
      <c r="AI520" s="697"/>
      <c r="AJ520" s="697"/>
      <c r="AK520" s="697"/>
      <c r="AL520" s="697"/>
      <c r="AM520" s="697"/>
      <c r="AN520" s="697"/>
      <c r="AO520" s="697"/>
      <c r="AP520" s="697"/>
      <c r="AQ520" s="697"/>
      <c r="AR520" s="697"/>
      <c r="AS520" s="697"/>
      <c r="AT520" s="697"/>
      <c r="AU520" s="697"/>
      <c r="AV520" s="697"/>
      <c r="AW520" s="697"/>
      <c r="AX520" s="697"/>
      <c r="AY520" s="697"/>
      <c r="AZ520" s="697"/>
      <c r="BA520" s="697"/>
      <c r="BB520" s="697"/>
      <c r="BC520" s="697"/>
      <c r="BD520" s="697"/>
      <c r="BE520" s="697"/>
      <c r="BF520" s="697"/>
      <c r="BG520" s="697"/>
      <c r="BH520" s="697"/>
      <c r="BI520" s="697"/>
      <c r="BJ520" s="697"/>
      <c r="BK520" s="697"/>
      <c r="BL520" s="697"/>
      <c r="BM520" s="697"/>
      <c r="BN520" s="697"/>
      <c r="BO520" s="697"/>
      <c r="BP520" s="697"/>
      <c r="BQ520" s="697"/>
      <c r="BR520" s="697"/>
      <c r="BS520" s="697"/>
      <c r="BT520" s="697"/>
      <c r="BU520" s="697"/>
      <c r="BV520" s="697"/>
      <c r="BW520" s="697"/>
      <c r="BX520" s="697"/>
      <c r="BY520" s="697"/>
      <c r="BZ520" s="697"/>
      <c r="CA520" s="697"/>
      <c r="CB520" s="697"/>
      <c r="CC520" s="697"/>
      <c r="CD520" s="697"/>
      <c r="CE520" s="697"/>
      <c r="CF520" s="697"/>
      <c r="CG520" s="697"/>
      <c r="CH520" s="697"/>
      <c r="CI520" s="697"/>
      <c r="CJ520" s="697"/>
      <c r="CK520" s="697"/>
      <c r="CL520" s="697"/>
      <c r="CM520" s="697"/>
      <c r="CN520" s="697"/>
      <c r="CO520" s="697"/>
      <c r="CP520" s="697"/>
      <c r="CQ520" s="697"/>
      <c r="CR520" s="697"/>
      <c r="CS520" s="697"/>
      <c r="CT520" s="697"/>
      <c r="CU520" s="697"/>
      <c r="CV520" s="697"/>
      <c r="CW520" s="697"/>
      <c r="CX520" s="697"/>
      <c r="CY520" s="697"/>
      <c r="CZ520" s="697"/>
      <c r="DA520" s="697"/>
      <c r="DB520" s="697"/>
    </row>
    <row r="521" spans="1:106" hidden="1" outlineLevel="1" x14ac:dyDescent="0.2">
      <c r="A521" s="709">
        <f t="shared" si="104"/>
        <v>40118</v>
      </c>
      <c r="B521" s="709" t="str">
        <f t="shared" si="105"/>
        <v>4Q09</v>
      </c>
      <c r="C521" s="709" t="str">
        <f t="shared" si="106"/>
        <v>1Q10</v>
      </c>
      <c r="D521" s="710">
        <f t="shared" si="109"/>
        <v>40197</v>
      </c>
      <c r="E521" s="710">
        <f t="shared" si="109"/>
        <v>40137</v>
      </c>
      <c r="F521" s="712">
        <v>78.37</v>
      </c>
      <c r="G521" s="713">
        <f t="shared" si="107"/>
        <v>1.4900000000000011</v>
      </c>
      <c r="H521" s="713">
        <f t="shared" si="108"/>
        <v>1.4900000000000011</v>
      </c>
      <c r="I521" s="697"/>
      <c r="J521" s="697"/>
      <c r="K521" s="697"/>
      <c r="L521" s="697"/>
      <c r="M521" s="697"/>
      <c r="N521" s="697"/>
      <c r="O521" s="697"/>
      <c r="P521" s="697"/>
      <c r="Q521" s="697"/>
      <c r="R521" s="697"/>
      <c r="S521" s="697"/>
      <c r="T521" s="697"/>
      <c r="U521" s="697"/>
      <c r="V521" s="697"/>
      <c r="W521" s="697"/>
      <c r="X521" s="697"/>
      <c r="Y521" s="697"/>
      <c r="Z521" s="697"/>
      <c r="AA521" s="697"/>
      <c r="AB521" s="697"/>
      <c r="AC521" s="697"/>
      <c r="AD521" s="697"/>
      <c r="AE521" s="697"/>
      <c r="AF521" s="697"/>
      <c r="AG521" s="697"/>
      <c r="AH521" s="697"/>
      <c r="AI521" s="697"/>
      <c r="AJ521" s="697"/>
      <c r="AK521" s="697"/>
      <c r="AL521" s="697"/>
      <c r="AM521" s="697"/>
      <c r="AN521" s="697"/>
      <c r="AO521" s="697"/>
      <c r="AP521" s="697"/>
      <c r="AQ521" s="697"/>
      <c r="AR521" s="697"/>
      <c r="AS521" s="697"/>
      <c r="AT521" s="697"/>
      <c r="AU521" s="697"/>
      <c r="AV521" s="697"/>
      <c r="AW521" s="697"/>
      <c r="AX521" s="697"/>
      <c r="AY521" s="697"/>
      <c r="AZ521" s="697"/>
      <c r="BA521" s="697"/>
      <c r="BB521" s="697"/>
      <c r="BC521" s="697"/>
      <c r="BD521" s="697"/>
      <c r="BE521" s="697"/>
      <c r="BF521" s="697"/>
      <c r="BG521" s="697"/>
      <c r="BH521" s="697"/>
      <c r="BI521" s="697"/>
      <c r="BJ521" s="697"/>
      <c r="BK521" s="697"/>
      <c r="BL521" s="697"/>
      <c r="BM521" s="697"/>
      <c r="BN521" s="697"/>
      <c r="BO521" s="697"/>
      <c r="BP521" s="697"/>
      <c r="BQ521" s="697"/>
      <c r="BR521" s="697"/>
      <c r="BS521" s="697"/>
      <c r="BT521" s="697"/>
      <c r="BU521" s="697"/>
      <c r="BV521" s="697"/>
      <c r="BW521" s="697"/>
      <c r="BX521" s="697"/>
      <c r="BY521" s="697"/>
      <c r="BZ521" s="697"/>
      <c r="CA521" s="697"/>
      <c r="CB521" s="697"/>
      <c r="CC521" s="697"/>
      <c r="CD521" s="697"/>
      <c r="CE521" s="697"/>
      <c r="CF521" s="697"/>
      <c r="CG521" s="697"/>
      <c r="CH521" s="697"/>
      <c r="CI521" s="697"/>
      <c r="CJ521" s="697"/>
      <c r="CK521" s="697"/>
      <c r="CL521" s="697"/>
      <c r="CM521" s="697"/>
      <c r="CN521" s="697"/>
      <c r="CO521" s="697"/>
      <c r="CP521" s="697"/>
      <c r="CQ521" s="697"/>
      <c r="CR521" s="697"/>
      <c r="CS521" s="697"/>
      <c r="CT521" s="697"/>
      <c r="CU521" s="697"/>
      <c r="CV521" s="697"/>
      <c r="CW521" s="697"/>
      <c r="CX521" s="697"/>
      <c r="CY521" s="697"/>
      <c r="CZ521" s="697"/>
      <c r="DA521" s="697"/>
      <c r="DB521" s="697"/>
    </row>
    <row r="522" spans="1:106" hidden="1" outlineLevel="1" x14ac:dyDescent="0.2">
      <c r="A522" s="709">
        <f t="shared" si="104"/>
        <v>40118</v>
      </c>
      <c r="B522" s="709" t="str">
        <f t="shared" si="105"/>
        <v>4Q09</v>
      </c>
      <c r="C522" s="709" t="str">
        <f t="shared" si="106"/>
        <v>1Q10</v>
      </c>
      <c r="D522" s="710">
        <f t="shared" si="109"/>
        <v>40204</v>
      </c>
      <c r="E522" s="710">
        <f t="shared" si="109"/>
        <v>40144</v>
      </c>
      <c r="F522" s="712">
        <v>76.14</v>
      </c>
      <c r="G522" s="713">
        <f t="shared" si="107"/>
        <v>1.4900000000000011</v>
      </c>
      <c r="H522" s="713">
        <f t="shared" si="108"/>
        <v>1.4900000000000011</v>
      </c>
      <c r="I522" s="697"/>
      <c r="J522" s="697"/>
      <c r="K522" s="697"/>
      <c r="L522" s="697"/>
      <c r="M522" s="697"/>
      <c r="N522" s="697"/>
      <c r="O522" s="697"/>
      <c r="P522" s="697"/>
      <c r="Q522" s="697"/>
      <c r="R522" s="697"/>
      <c r="S522" s="697"/>
      <c r="T522" s="697"/>
      <c r="U522" s="697"/>
      <c r="V522" s="697"/>
      <c r="W522" s="697"/>
      <c r="X522" s="697"/>
      <c r="Y522" s="697"/>
      <c r="Z522" s="697"/>
      <c r="AA522" s="697"/>
      <c r="AB522" s="697"/>
      <c r="AC522" s="697"/>
      <c r="AD522" s="697"/>
      <c r="AE522" s="697"/>
      <c r="AF522" s="697"/>
      <c r="AG522" s="697"/>
      <c r="AH522" s="697"/>
      <c r="AI522" s="697"/>
      <c r="AJ522" s="697"/>
      <c r="AK522" s="697"/>
      <c r="AL522" s="697"/>
      <c r="AM522" s="697"/>
      <c r="AN522" s="697"/>
      <c r="AO522" s="697"/>
      <c r="AP522" s="697"/>
      <c r="AQ522" s="697"/>
      <c r="AR522" s="697"/>
      <c r="AS522" s="697"/>
      <c r="AT522" s="697"/>
      <c r="AU522" s="697"/>
      <c r="AV522" s="697"/>
      <c r="AW522" s="697"/>
      <c r="AX522" s="697"/>
      <c r="AY522" s="697"/>
      <c r="AZ522" s="697"/>
      <c r="BA522" s="697"/>
      <c r="BB522" s="697"/>
      <c r="BC522" s="697"/>
      <c r="BD522" s="697"/>
      <c r="BE522" s="697"/>
      <c r="BF522" s="697"/>
      <c r="BG522" s="697"/>
      <c r="BH522" s="697"/>
      <c r="BI522" s="697"/>
      <c r="BJ522" s="697"/>
      <c r="BK522" s="697"/>
      <c r="BL522" s="697"/>
      <c r="BM522" s="697"/>
      <c r="BN522" s="697"/>
      <c r="BO522" s="697"/>
      <c r="BP522" s="697"/>
      <c r="BQ522" s="697"/>
      <c r="BR522" s="697"/>
      <c r="BS522" s="697"/>
      <c r="BT522" s="697"/>
      <c r="BU522" s="697"/>
      <c r="BV522" s="697"/>
      <c r="BW522" s="697"/>
      <c r="BX522" s="697"/>
      <c r="BY522" s="697"/>
      <c r="BZ522" s="697"/>
      <c r="CA522" s="697"/>
      <c r="CB522" s="697"/>
      <c r="CC522" s="697"/>
      <c r="CD522" s="697"/>
      <c r="CE522" s="697"/>
      <c r="CF522" s="697"/>
      <c r="CG522" s="697"/>
      <c r="CH522" s="697"/>
      <c r="CI522" s="697"/>
      <c r="CJ522" s="697"/>
      <c r="CK522" s="697"/>
      <c r="CL522" s="697"/>
      <c r="CM522" s="697"/>
      <c r="CN522" s="697"/>
      <c r="CO522" s="697"/>
      <c r="CP522" s="697"/>
      <c r="CQ522" s="697"/>
      <c r="CR522" s="697"/>
      <c r="CS522" s="697"/>
      <c r="CT522" s="697"/>
      <c r="CU522" s="697"/>
      <c r="CV522" s="697"/>
      <c r="CW522" s="697"/>
      <c r="CX522" s="697"/>
      <c r="CY522" s="697"/>
      <c r="CZ522" s="697"/>
      <c r="DA522" s="697"/>
      <c r="DB522" s="697"/>
    </row>
    <row r="523" spans="1:106" hidden="1" outlineLevel="1" x14ac:dyDescent="0.2">
      <c r="A523" s="709">
        <f t="shared" si="104"/>
        <v>40148</v>
      </c>
      <c r="B523" s="709" t="str">
        <f t="shared" si="105"/>
        <v>4Q09</v>
      </c>
      <c r="C523" s="709" t="str">
        <f t="shared" si="106"/>
        <v>1Q10</v>
      </c>
      <c r="D523" s="710">
        <f t="shared" si="109"/>
        <v>40211</v>
      </c>
      <c r="E523" s="710">
        <f t="shared" si="109"/>
        <v>40151</v>
      </c>
      <c r="F523" s="712">
        <v>76.81</v>
      </c>
      <c r="G523" s="713">
        <f t="shared" si="107"/>
        <v>1.4900000000000011</v>
      </c>
      <c r="H523" s="713">
        <f t="shared" si="108"/>
        <v>1.4900000000000011</v>
      </c>
      <c r="I523" s="697"/>
      <c r="J523" s="697"/>
      <c r="K523" s="697"/>
      <c r="L523" s="697"/>
      <c r="M523" s="697"/>
      <c r="N523" s="697"/>
      <c r="O523" s="697"/>
      <c r="P523" s="697"/>
      <c r="Q523" s="697"/>
      <c r="R523" s="697"/>
      <c r="S523" s="697"/>
      <c r="T523" s="697"/>
      <c r="U523" s="697"/>
      <c r="V523" s="697"/>
      <c r="W523" s="697"/>
      <c r="X523" s="697"/>
      <c r="Y523" s="697"/>
      <c r="Z523" s="697"/>
      <c r="AA523" s="697"/>
      <c r="AB523" s="697"/>
      <c r="AC523" s="697"/>
      <c r="AD523" s="697"/>
      <c r="AE523" s="697"/>
      <c r="AF523" s="697"/>
      <c r="AG523" s="697"/>
      <c r="AH523" s="697"/>
      <c r="AI523" s="697"/>
      <c r="AJ523" s="697"/>
      <c r="AK523" s="697"/>
      <c r="AL523" s="697"/>
      <c r="AM523" s="697"/>
      <c r="AN523" s="697"/>
      <c r="AO523" s="697"/>
      <c r="AP523" s="697"/>
      <c r="AQ523" s="697"/>
      <c r="AR523" s="697"/>
      <c r="AS523" s="697"/>
      <c r="AT523" s="697"/>
      <c r="AU523" s="697"/>
      <c r="AV523" s="697"/>
      <c r="AW523" s="697"/>
      <c r="AX523" s="697"/>
      <c r="AY523" s="697"/>
      <c r="AZ523" s="697"/>
      <c r="BA523" s="697"/>
      <c r="BB523" s="697"/>
      <c r="BC523" s="697"/>
      <c r="BD523" s="697"/>
      <c r="BE523" s="697"/>
      <c r="BF523" s="697"/>
      <c r="BG523" s="697"/>
      <c r="BH523" s="697"/>
      <c r="BI523" s="697"/>
      <c r="BJ523" s="697"/>
      <c r="BK523" s="697"/>
      <c r="BL523" s="697"/>
      <c r="BM523" s="697"/>
      <c r="BN523" s="697"/>
      <c r="BO523" s="697"/>
      <c r="BP523" s="697"/>
      <c r="BQ523" s="697"/>
      <c r="BR523" s="697"/>
      <c r="BS523" s="697"/>
      <c r="BT523" s="697"/>
      <c r="BU523" s="697"/>
      <c r="BV523" s="697"/>
      <c r="BW523" s="697"/>
      <c r="BX523" s="697"/>
      <c r="BY523" s="697"/>
      <c r="BZ523" s="697"/>
      <c r="CA523" s="697"/>
      <c r="CB523" s="697"/>
      <c r="CC523" s="697"/>
      <c r="CD523" s="697"/>
      <c r="CE523" s="697"/>
      <c r="CF523" s="697"/>
      <c r="CG523" s="697"/>
      <c r="CH523" s="697"/>
      <c r="CI523" s="697"/>
      <c r="CJ523" s="697"/>
      <c r="CK523" s="697"/>
      <c r="CL523" s="697"/>
      <c r="CM523" s="697"/>
      <c r="CN523" s="697"/>
      <c r="CO523" s="697"/>
      <c r="CP523" s="697"/>
      <c r="CQ523" s="697"/>
      <c r="CR523" s="697"/>
      <c r="CS523" s="697"/>
      <c r="CT523" s="697"/>
      <c r="CU523" s="697"/>
      <c r="CV523" s="697"/>
      <c r="CW523" s="697"/>
      <c r="CX523" s="697"/>
      <c r="CY523" s="697"/>
      <c r="CZ523" s="697"/>
      <c r="DA523" s="697"/>
      <c r="DB523" s="697"/>
    </row>
    <row r="524" spans="1:106" hidden="1" outlineLevel="1" x14ac:dyDescent="0.2">
      <c r="A524" s="709">
        <f t="shared" si="104"/>
        <v>40148</v>
      </c>
      <c r="B524" s="709" t="str">
        <f t="shared" si="105"/>
        <v>4Q09</v>
      </c>
      <c r="C524" s="709" t="str">
        <f t="shared" si="106"/>
        <v>1Q10</v>
      </c>
      <c r="D524" s="710">
        <f t="shared" si="109"/>
        <v>40218</v>
      </c>
      <c r="E524" s="710">
        <f t="shared" si="109"/>
        <v>40158</v>
      </c>
      <c r="F524" s="712">
        <v>71.510000000000005</v>
      </c>
      <c r="G524" s="713">
        <f t="shared" si="107"/>
        <v>1.4900000000000011</v>
      </c>
      <c r="H524" s="713">
        <f t="shared" si="108"/>
        <v>1.4900000000000011</v>
      </c>
      <c r="I524" s="697"/>
      <c r="J524" s="697"/>
      <c r="K524" s="697"/>
      <c r="L524" s="697"/>
      <c r="M524" s="697"/>
      <c r="N524" s="697"/>
      <c r="O524" s="697"/>
      <c r="P524" s="697"/>
      <c r="Q524" s="697"/>
      <c r="R524" s="697"/>
      <c r="S524" s="697"/>
      <c r="T524" s="697"/>
      <c r="U524" s="697"/>
      <c r="V524" s="697"/>
      <c r="W524" s="697"/>
      <c r="X524" s="697"/>
      <c r="Y524" s="697"/>
      <c r="Z524" s="697"/>
      <c r="AA524" s="697"/>
      <c r="AB524" s="697"/>
      <c r="AC524" s="697"/>
      <c r="AD524" s="697"/>
      <c r="AE524" s="697"/>
      <c r="AF524" s="697"/>
      <c r="AG524" s="697"/>
      <c r="AH524" s="697"/>
      <c r="AI524" s="697"/>
      <c r="AJ524" s="697"/>
      <c r="AK524" s="697"/>
      <c r="AL524" s="697"/>
      <c r="AM524" s="697"/>
      <c r="AN524" s="697"/>
      <c r="AO524" s="697"/>
      <c r="AP524" s="697"/>
      <c r="AQ524" s="697"/>
      <c r="AR524" s="697"/>
      <c r="AS524" s="697"/>
      <c r="AT524" s="697"/>
      <c r="AU524" s="697"/>
      <c r="AV524" s="697"/>
      <c r="AW524" s="697"/>
      <c r="AX524" s="697"/>
      <c r="AY524" s="697"/>
      <c r="AZ524" s="697"/>
      <c r="BA524" s="697"/>
      <c r="BB524" s="697"/>
      <c r="BC524" s="697"/>
      <c r="BD524" s="697"/>
      <c r="BE524" s="697"/>
      <c r="BF524" s="697"/>
      <c r="BG524" s="697"/>
      <c r="BH524" s="697"/>
      <c r="BI524" s="697"/>
      <c r="BJ524" s="697"/>
      <c r="BK524" s="697"/>
      <c r="BL524" s="697"/>
      <c r="BM524" s="697"/>
      <c r="BN524" s="697"/>
      <c r="BO524" s="697"/>
      <c r="BP524" s="697"/>
      <c r="BQ524" s="697"/>
      <c r="BR524" s="697"/>
      <c r="BS524" s="697"/>
      <c r="BT524" s="697"/>
      <c r="BU524" s="697"/>
      <c r="BV524" s="697"/>
      <c r="BW524" s="697"/>
      <c r="BX524" s="697"/>
      <c r="BY524" s="697"/>
      <c r="BZ524" s="697"/>
      <c r="CA524" s="697"/>
      <c r="CB524" s="697"/>
      <c r="CC524" s="697"/>
      <c r="CD524" s="697"/>
      <c r="CE524" s="697"/>
      <c r="CF524" s="697"/>
      <c r="CG524" s="697"/>
      <c r="CH524" s="697"/>
      <c r="CI524" s="697"/>
      <c r="CJ524" s="697"/>
      <c r="CK524" s="697"/>
      <c r="CL524" s="697"/>
      <c r="CM524" s="697"/>
      <c r="CN524" s="697"/>
      <c r="CO524" s="697"/>
      <c r="CP524" s="697"/>
      <c r="CQ524" s="697"/>
      <c r="CR524" s="697"/>
      <c r="CS524" s="697"/>
      <c r="CT524" s="697"/>
      <c r="CU524" s="697"/>
      <c r="CV524" s="697"/>
      <c r="CW524" s="697"/>
      <c r="CX524" s="697"/>
      <c r="CY524" s="697"/>
      <c r="CZ524" s="697"/>
      <c r="DA524" s="697"/>
      <c r="DB524" s="697"/>
    </row>
    <row r="525" spans="1:106" hidden="1" outlineLevel="1" x14ac:dyDescent="0.2">
      <c r="A525" s="709">
        <f t="shared" si="104"/>
        <v>40148</v>
      </c>
      <c r="B525" s="709" t="str">
        <f t="shared" si="105"/>
        <v>4Q09</v>
      </c>
      <c r="C525" s="709" t="str">
        <f t="shared" si="106"/>
        <v>1Q10</v>
      </c>
      <c r="D525" s="710">
        <f t="shared" si="109"/>
        <v>40225</v>
      </c>
      <c r="E525" s="710">
        <f t="shared" si="109"/>
        <v>40165</v>
      </c>
      <c r="F525" s="712">
        <v>71.72</v>
      </c>
      <c r="G525" s="713">
        <f t="shared" si="107"/>
        <v>1.4900000000000011</v>
      </c>
      <c r="H525" s="713">
        <f t="shared" si="108"/>
        <v>1.4900000000000011</v>
      </c>
      <c r="I525" s="697"/>
      <c r="J525" s="697"/>
      <c r="K525" s="697"/>
      <c r="L525" s="697"/>
      <c r="M525" s="697"/>
      <c r="N525" s="697"/>
      <c r="O525" s="697"/>
      <c r="P525" s="697"/>
      <c r="Q525" s="697"/>
      <c r="R525" s="697"/>
      <c r="S525" s="697"/>
      <c r="T525" s="697"/>
      <c r="U525" s="697"/>
      <c r="V525" s="697"/>
      <c r="W525" s="697"/>
      <c r="X525" s="697"/>
      <c r="Y525" s="697"/>
      <c r="Z525" s="697"/>
      <c r="AA525" s="697"/>
      <c r="AB525" s="697"/>
      <c r="AC525" s="697"/>
      <c r="AD525" s="697"/>
      <c r="AE525" s="697"/>
      <c r="AF525" s="697"/>
      <c r="AG525" s="697"/>
      <c r="AH525" s="697"/>
      <c r="AI525" s="697"/>
      <c r="AJ525" s="697"/>
      <c r="AK525" s="697"/>
      <c r="AL525" s="697"/>
      <c r="AM525" s="697"/>
      <c r="AN525" s="697"/>
      <c r="AO525" s="697"/>
      <c r="AP525" s="697"/>
      <c r="AQ525" s="697"/>
      <c r="AR525" s="697"/>
      <c r="AS525" s="697"/>
      <c r="AT525" s="697"/>
      <c r="AU525" s="697"/>
      <c r="AV525" s="697"/>
      <c r="AW525" s="697"/>
      <c r="AX525" s="697"/>
      <c r="AY525" s="697"/>
      <c r="AZ525" s="697"/>
      <c r="BA525" s="697"/>
      <c r="BB525" s="697"/>
      <c r="BC525" s="697"/>
      <c r="BD525" s="697"/>
      <c r="BE525" s="697"/>
      <c r="BF525" s="697"/>
      <c r="BG525" s="697"/>
      <c r="BH525" s="697"/>
      <c r="BI525" s="697"/>
      <c r="BJ525" s="697"/>
      <c r="BK525" s="697"/>
      <c r="BL525" s="697"/>
      <c r="BM525" s="697"/>
      <c r="BN525" s="697"/>
      <c r="BO525" s="697"/>
      <c r="BP525" s="697"/>
      <c r="BQ525" s="697"/>
      <c r="BR525" s="697"/>
      <c r="BS525" s="697"/>
      <c r="BT525" s="697"/>
      <c r="BU525" s="697"/>
      <c r="BV525" s="697"/>
      <c r="BW525" s="697"/>
      <c r="BX525" s="697"/>
      <c r="BY525" s="697"/>
      <c r="BZ525" s="697"/>
      <c r="CA525" s="697"/>
      <c r="CB525" s="697"/>
      <c r="CC525" s="697"/>
      <c r="CD525" s="697"/>
      <c r="CE525" s="697"/>
      <c r="CF525" s="697"/>
      <c r="CG525" s="697"/>
      <c r="CH525" s="697"/>
      <c r="CI525" s="697"/>
      <c r="CJ525" s="697"/>
      <c r="CK525" s="697"/>
      <c r="CL525" s="697"/>
      <c r="CM525" s="697"/>
      <c r="CN525" s="697"/>
      <c r="CO525" s="697"/>
      <c r="CP525" s="697"/>
      <c r="CQ525" s="697"/>
      <c r="CR525" s="697"/>
      <c r="CS525" s="697"/>
      <c r="CT525" s="697"/>
      <c r="CU525" s="697"/>
      <c r="CV525" s="697"/>
      <c r="CW525" s="697"/>
      <c r="CX525" s="697"/>
      <c r="CY525" s="697"/>
      <c r="CZ525" s="697"/>
      <c r="DA525" s="697"/>
      <c r="DB525" s="697"/>
    </row>
    <row r="526" spans="1:106" hidden="1" outlineLevel="1" x14ac:dyDescent="0.2">
      <c r="A526" s="709">
        <f t="shared" si="104"/>
        <v>40148</v>
      </c>
      <c r="B526" s="709" t="str">
        <f t="shared" si="105"/>
        <v>4Q09</v>
      </c>
      <c r="C526" s="709" t="str">
        <f t="shared" si="106"/>
        <v>1Q10</v>
      </c>
      <c r="D526" s="710">
        <f t="shared" si="109"/>
        <v>40232</v>
      </c>
      <c r="E526" s="710">
        <f t="shared" si="109"/>
        <v>40172</v>
      </c>
      <c r="F526" s="712">
        <v>74.760000000000005</v>
      </c>
      <c r="G526" s="713">
        <f t="shared" si="107"/>
        <v>1.4900000000000011</v>
      </c>
      <c r="H526" s="713">
        <f t="shared" si="108"/>
        <v>1.4900000000000011</v>
      </c>
      <c r="I526" s="697"/>
      <c r="J526" s="697"/>
      <c r="K526" s="697"/>
      <c r="L526" s="697"/>
      <c r="M526" s="697"/>
      <c r="N526" s="697"/>
      <c r="O526" s="697"/>
      <c r="P526" s="697"/>
      <c r="Q526" s="697"/>
      <c r="R526" s="697"/>
      <c r="S526" s="697"/>
      <c r="T526" s="697"/>
      <c r="U526" s="697"/>
      <c r="V526" s="697"/>
      <c r="W526" s="697"/>
      <c r="X526" s="697"/>
      <c r="Y526" s="697"/>
      <c r="Z526" s="697"/>
      <c r="AA526" s="697"/>
      <c r="AB526" s="697"/>
      <c r="AC526" s="697"/>
      <c r="AD526" s="697"/>
      <c r="AE526" s="697"/>
      <c r="AF526" s="697"/>
      <c r="AG526" s="697"/>
      <c r="AH526" s="697"/>
      <c r="AI526" s="697"/>
      <c r="AJ526" s="697"/>
      <c r="AK526" s="697"/>
      <c r="AL526" s="697"/>
      <c r="AM526" s="697"/>
      <c r="AN526" s="697"/>
      <c r="AO526" s="697"/>
      <c r="AP526" s="697"/>
      <c r="AQ526" s="697"/>
      <c r="AR526" s="697"/>
      <c r="AS526" s="697"/>
      <c r="AT526" s="697"/>
      <c r="AU526" s="697"/>
      <c r="AV526" s="697"/>
      <c r="AW526" s="697"/>
      <c r="AX526" s="697"/>
      <c r="AY526" s="697"/>
      <c r="AZ526" s="697"/>
      <c r="BA526" s="697"/>
      <c r="BB526" s="697"/>
      <c r="BC526" s="697"/>
      <c r="BD526" s="697"/>
      <c r="BE526" s="697"/>
      <c r="BF526" s="697"/>
      <c r="BG526" s="697"/>
      <c r="BH526" s="697"/>
      <c r="BI526" s="697"/>
      <c r="BJ526" s="697"/>
      <c r="BK526" s="697"/>
      <c r="BL526" s="697"/>
      <c r="BM526" s="697"/>
      <c r="BN526" s="697"/>
      <c r="BO526" s="697"/>
      <c r="BP526" s="697"/>
      <c r="BQ526" s="697"/>
      <c r="BR526" s="697"/>
      <c r="BS526" s="697"/>
      <c r="BT526" s="697"/>
      <c r="BU526" s="697"/>
      <c r="BV526" s="697"/>
      <c r="BW526" s="697"/>
      <c r="BX526" s="697"/>
      <c r="BY526" s="697"/>
      <c r="BZ526" s="697"/>
      <c r="CA526" s="697"/>
      <c r="CB526" s="697"/>
      <c r="CC526" s="697"/>
      <c r="CD526" s="697"/>
      <c r="CE526" s="697"/>
      <c r="CF526" s="697"/>
      <c r="CG526" s="697"/>
      <c r="CH526" s="697"/>
      <c r="CI526" s="697"/>
      <c r="CJ526" s="697"/>
      <c r="CK526" s="697"/>
      <c r="CL526" s="697"/>
      <c r="CM526" s="697"/>
      <c r="CN526" s="697"/>
      <c r="CO526" s="697"/>
      <c r="CP526" s="697"/>
      <c r="CQ526" s="697"/>
      <c r="CR526" s="697"/>
      <c r="CS526" s="697"/>
      <c r="CT526" s="697"/>
      <c r="CU526" s="697"/>
      <c r="CV526" s="697"/>
      <c r="CW526" s="697"/>
      <c r="CX526" s="697"/>
      <c r="CY526" s="697"/>
      <c r="CZ526" s="697"/>
      <c r="DA526" s="697"/>
      <c r="DB526" s="697"/>
    </row>
    <row r="527" spans="1:106" hidden="1" outlineLevel="1" x14ac:dyDescent="0.2">
      <c r="A527" s="709">
        <f t="shared" si="104"/>
        <v>40179</v>
      </c>
      <c r="B527" s="709" t="str">
        <f t="shared" si="105"/>
        <v>1Q10</v>
      </c>
      <c r="C527" s="709" t="str">
        <f t="shared" si="106"/>
        <v>1Q10</v>
      </c>
      <c r="D527" s="710">
        <f t="shared" si="109"/>
        <v>40239</v>
      </c>
      <c r="E527" s="710">
        <f t="shared" si="109"/>
        <v>40179</v>
      </c>
      <c r="F527" s="712">
        <v>79.069999999999993</v>
      </c>
      <c r="G527" s="713">
        <f t="shared" si="107"/>
        <v>1.4900000000000011</v>
      </c>
      <c r="H527" s="713">
        <f t="shared" si="108"/>
        <v>1.4900000000000011</v>
      </c>
      <c r="I527" s="697"/>
      <c r="J527" s="697"/>
      <c r="K527" s="697"/>
      <c r="L527" s="697"/>
      <c r="M527" s="697"/>
      <c r="N527" s="697"/>
      <c r="O527" s="697"/>
      <c r="P527" s="697"/>
      <c r="Q527" s="697"/>
      <c r="R527" s="697"/>
      <c r="S527" s="697"/>
      <c r="T527" s="697"/>
      <c r="U527" s="697"/>
      <c r="V527" s="697"/>
      <c r="W527" s="697"/>
      <c r="X527" s="697"/>
      <c r="Y527" s="697"/>
      <c r="Z527" s="697"/>
      <c r="AA527" s="697"/>
      <c r="AB527" s="697"/>
      <c r="AC527" s="697"/>
      <c r="AD527" s="697"/>
      <c r="AE527" s="697"/>
      <c r="AF527" s="697"/>
      <c r="AG527" s="697"/>
      <c r="AH527" s="697"/>
      <c r="AI527" s="697"/>
      <c r="AJ527" s="697"/>
      <c r="AK527" s="697"/>
      <c r="AL527" s="697"/>
      <c r="AM527" s="697"/>
      <c r="AN527" s="697"/>
      <c r="AO527" s="697"/>
      <c r="AP527" s="697"/>
      <c r="AQ527" s="697"/>
      <c r="AR527" s="697"/>
      <c r="AS527" s="697"/>
      <c r="AT527" s="697"/>
      <c r="AU527" s="697"/>
      <c r="AV527" s="697"/>
      <c r="AW527" s="697"/>
      <c r="AX527" s="697"/>
      <c r="AY527" s="697"/>
      <c r="AZ527" s="697"/>
      <c r="BA527" s="697"/>
      <c r="BB527" s="697"/>
      <c r="BC527" s="697"/>
      <c r="BD527" s="697"/>
      <c r="BE527" s="697"/>
      <c r="BF527" s="697"/>
      <c r="BG527" s="697"/>
      <c r="BH527" s="697"/>
      <c r="BI527" s="697"/>
      <c r="BJ527" s="697"/>
      <c r="BK527" s="697"/>
      <c r="BL527" s="697"/>
      <c r="BM527" s="697"/>
      <c r="BN527" s="697"/>
      <c r="BO527" s="697"/>
      <c r="BP527" s="697"/>
      <c r="BQ527" s="697"/>
      <c r="BR527" s="697"/>
      <c r="BS527" s="697"/>
      <c r="BT527" s="697"/>
      <c r="BU527" s="697"/>
      <c r="BV527" s="697"/>
      <c r="BW527" s="697"/>
      <c r="BX527" s="697"/>
      <c r="BY527" s="697"/>
      <c r="BZ527" s="697"/>
      <c r="CA527" s="697"/>
      <c r="CB527" s="697"/>
      <c r="CC527" s="697"/>
      <c r="CD527" s="697"/>
      <c r="CE527" s="697"/>
      <c r="CF527" s="697"/>
      <c r="CG527" s="697"/>
      <c r="CH527" s="697"/>
      <c r="CI527" s="697"/>
      <c r="CJ527" s="697"/>
      <c r="CK527" s="697"/>
      <c r="CL527" s="697"/>
      <c r="CM527" s="697"/>
      <c r="CN527" s="697"/>
      <c r="CO527" s="697"/>
      <c r="CP527" s="697"/>
      <c r="CQ527" s="697"/>
      <c r="CR527" s="697"/>
      <c r="CS527" s="697"/>
      <c r="CT527" s="697"/>
      <c r="CU527" s="697"/>
      <c r="CV527" s="697"/>
      <c r="CW527" s="697"/>
      <c r="CX527" s="697"/>
      <c r="CY527" s="697"/>
      <c r="CZ527" s="697"/>
      <c r="DA527" s="697"/>
      <c r="DB527" s="697"/>
    </row>
    <row r="528" spans="1:106" hidden="1" outlineLevel="1" x14ac:dyDescent="0.2">
      <c r="A528" s="709">
        <f t="shared" si="104"/>
        <v>40179</v>
      </c>
      <c r="B528" s="709" t="str">
        <f t="shared" si="105"/>
        <v>1Q10</v>
      </c>
      <c r="C528" s="709" t="str">
        <f t="shared" si="106"/>
        <v>1Q10</v>
      </c>
      <c r="D528" s="710">
        <f t="shared" si="109"/>
        <v>40246</v>
      </c>
      <c r="E528" s="710">
        <f t="shared" si="109"/>
        <v>40186</v>
      </c>
      <c r="F528" s="712">
        <v>82.34</v>
      </c>
      <c r="G528" s="713">
        <f t="shared" si="107"/>
        <v>1.4900000000000011</v>
      </c>
      <c r="H528" s="713">
        <f t="shared" si="108"/>
        <v>1.4900000000000011</v>
      </c>
      <c r="I528" s="697"/>
      <c r="J528" s="697"/>
      <c r="K528" s="697"/>
      <c r="L528" s="697"/>
      <c r="M528" s="697"/>
      <c r="N528" s="697"/>
      <c r="O528" s="697"/>
      <c r="P528" s="697"/>
      <c r="Q528" s="697"/>
      <c r="R528" s="697"/>
      <c r="S528" s="697"/>
      <c r="T528" s="697"/>
      <c r="U528" s="697"/>
      <c r="V528" s="697"/>
      <c r="W528" s="697"/>
      <c r="X528" s="697"/>
      <c r="Y528" s="697"/>
      <c r="Z528" s="697"/>
      <c r="AA528" s="697"/>
      <c r="AB528" s="697"/>
      <c r="AC528" s="697"/>
      <c r="AD528" s="697"/>
      <c r="AE528" s="697"/>
      <c r="AF528" s="697"/>
      <c r="AG528" s="697"/>
      <c r="AH528" s="697"/>
      <c r="AI528" s="697"/>
      <c r="AJ528" s="697"/>
      <c r="AK528" s="697"/>
      <c r="AL528" s="697"/>
      <c r="AM528" s="697"/>
      <c r="AN528" s="697"/>
      <c r="AO528" s="697"/>
      <c r="AP528" s="697"/>
      <c r="AQ528" s="697"/>
      <c r="AR528" s="697"/>
      <c r="AS528" s="697"/>
      <c r="AT528" s="697"/>
      <c r="AU528" s="697"/>
      <c r="AV528" s="697"/>
      <c r="AW528" s="697"/>
      <c r="AX528" s="697"/>
      <c r="AY528" s="697"/>
      <c r="AZ528" s="697"/>
      <c r="BA528" s="697"/>
      <c r="BB528" s="697"/>
      <c r="BC528" s="697"/>
      <c r="BD528" s="697"/>
      <c r="BE528" s="697"/>
      <c r="BF528" s="697"/>
      <c r="BG528" s="697"/>
      <c r="BH528" s="697"/>
      <c r="BI528" s="697"/>
      <c r="BJ528" s="697"/>
      <c r="BK528" s="697"/>
      <c r="BL528" s="697"/>
      <c r="BM528" s="697"/>
      <c r="BN528" s="697"/>
      <c r="BO528" s="697"/>
      <c r="BP528" s="697"/>
      <c r="BQ528" s="697"/>
      <c r="BR528" s="697"/>
      <c r="BS528" s="697"/>
      <c r="BT528" s="697"/>
      <c r="BU528" s="697"/>
      <c r="BV528" s="697"/>
      <c r="BW528" s="697"/>
      <c r="BX528" s="697"/>
      <c r="BY528" s="697"/>
      <c r="BZ528" s="697"/>
      <c r="CA528" s="697"/>
      <c r="CB528" s="697"/>
      <c r="CC528" s="697"/>
      <c r="CD528" s="697"/>
      <c r="CE528" s="697"/>
      <c r="CF528" s="697"/>
      <c r="CG528" s="697"/>
      <c r="CH528" s="697"/>
      <c r="CI528" s="697"/>
      <c r="CJ528" s="697"/>
      <c r="CK528" s="697"/>
      <c r="CL528" s="697"/>
      <c r="CM528" s="697"/>
      <c r="CN528" s="697"/>
      <c r="CO528" s="697"/>
      <c r="CP528" s="697"/>
      <c r="CQ528" s="697"/>
      <c r="CR528" s="697"/>
      <c r="CS528" s="697"/>
      <c r="CT528" s="697"/>
      <c r="CU528" s="697"/>
      <c r="CV528" s="697"/>
      <c r="CW528" s="697"/>
      <c r="CX528" s="697"/>
      <c r="CY528" s="697"/>
      <c r="CZ528" s="697"/>
      <c r="DA528" s="697"/>
      <c r="DB528" s="697"/>
    </row>
    <row r="529" spans="1:106" hidden="1" outlineLevel="1" x14ac:dyDescent="0.2">
      <c r="A529" s="709">
        <f t="shared" si="104"/>
        <v>40179</v>
      </c>
      <c r="B529" s="709" t="str">
        <f t="shared" si="105"/>
        <v>1Q10</v>
      </c>
      <c r="C529" s="709" t="str">
        <f t="shared" si="106"/>
        <v>1Q10</v>
      </c>
      <c r="D529" s="710">
        <f t="shared" si="109"/>
        <v>40253</v>
      </c>
      <c r="E529" s="710">
        <f t="shared" si="109"/>
        <v>40193</v>
      </c>
      <c r="F529" s="712">
        <v>80.06</v>
      </c>
      <c r="G529" s="713">
        <f t="shared" si="107"/>
        <v>1.4900000000000011</v>
      </c>
      <c r="H529" s="713">
        <f t="shared" si="108"/>
        <v>1.4900000000000011</v>
      </c>
      <c r="I529" s="697"/>
      <c r="J529" s="697"/>
      <c r="K529" s="697"/>
      <c r="L529" s="697"/>
      <c r="M529" s="697"/>
      <c r="N529" s="697"/>
      <c r="O529" s="697"/>
      <c r="P529" s="697"/>
      <c r="Q529" s="697"/>
      <c r="R529" s="697"/>
      <c r="S529" s="697"/>
      <c r="T529" s="697"/>
      <c r="U529" s="697"/>
      <c r="V529" s="697"/>
      <c r="W529" s="697"/>
      <c r="X529" s="697"/>
      <c r="Y529" s="697"/>
      <c r="Z529" s="697"/>
      <c r="AA529" s="697"/>
      <c r="AB529" s="697"/>
      <c r="AC529" s="697"/>
      <c r="AD529" s="697"/>
      <c r="AE529" s="697"/>
      <c r="AF529" s="697"/>
      <c r="AG529" s="697"/>
      <c r="AH529" s="697"/>
      <c r="AI529" s="697"/>
      <c r="AJ529" s="697"/>
      <c r="AK529" s="697"/>
      <c r="AL529" s="697"/>
      <c r="AM529" s="697"/>
      <c r="AN529" s="697"/>
      <c r="AO529" s="697"/>
      <c r="AP529" s="697"/>
      <c r="AQ529" s="697"/>
      <c r="AR529" s="697"/>
      <c r="AS529" s="697"/>
      <c r="AT529" s="697"/>
      <c r="AU529" s="697"/>
      <c r="AV529" s="697"/>
      <c r="AW529" s="697"/>
      <c r="AX529" s="697"/>
      <c r="AY529" s="697"/>
      <c r="AZ529" s="697"/>
      <c r="BA529" s="697"/>
      <c r="BB529" s="697"/>
      <c r="BC529" s="697"/>
      <c r="BD529" s="697"/>
      <c r="BE529" s="697"/>
      <c r="BF529" s="697"/>
      <c r="BG529" s="697"/>
      <c r="BH529" s="697"/>
      <c r="BI529" s="697"/>
      <c r="BJ529" s="697"/>
      <c r="BK529" s="697"/>
      <c r="BL529" s="697"/>
      <c r="BM529" s="697"/>
      <c r="BN529" s="697"/>
      <c r="BO529" s="697"/>
      <c r="BP529" s="697"/>
      <c r="BQ529" s="697"/>
      <c r="BR529" s="697"/>
      <c r="BS529" s="697"/>
      <c r="BT529" s="697"/>
      <c r="BU529" s="697"/>
      <c r="BV529" s="697"/>
      <c r="BW529" s="697"/>
      <c r="BX529" s="697"/>
      <c r="BY529" s="697"/>
      <c r="BZ529" s="697"/>
      <c r="CA529" s="697"/>
      <c r="CB529" s="697"/>
      <c r="CC529" s="697"/>
      <c r="CD529" s="697"/>
      <c r="CE529" s="697"/>
      <c r="CF529" s="697"/>
      <c r="CG529" s="697"/>
      <c r="CH529" s="697"/>
      <c r="CI529" s="697"/>
      <c r="CJ529" s="697"/>
      <c r="CK529" s="697"/>
      <c r="CL529" s="697"/>
      <c r="CM529" s="697"/>
      <c r="CN529" s="697"/>
      <c r="CO529" s="697"/>
      <c r="CP529" s="697"/>
      <c r="CQ529" s="697"/>
      <c r="CR529" s="697"/>
      <c r="CS529" s="697"/>
      <c r="CT529" s="697"/>
      <c r="CU529" s="697"/>
      <c r="CV529" s="697"/>
      <c r="CW529" s="697"/>
      <c r="CX529" s="697"/>
      <c r="CY529" s="697"/>
      <c r="CZ529" s="697"/>
      <c r="DA529" s="697"/>
      <c r="DB529" s="697"/>
    </row>
    <row r="530" spans="1:106" hidden="1" outlineLevel="1" x14ac:dyDescent="0.2">
      <c r="A530" s="709">
        <f t="shared" si="104"/>
        <v>40179</v>
      </c>
      <c r="B530" s="709" t="str">
        <f t="shared" si="105"/>
        <v>1Q10</v>
      </c>
      <c r="C530" s="709" t="str">
        <f t="shared" si="106"/>
        <v>1Q10</v>
      </c>
      <c r="D530" s="710">
        <f t="shared" si="109"/>
        <v>40260</v>
      </c>
      <c r="E530" s="710">
        <f t="shared" si="109"/>
        <v>40200</v>
      </c>
      <c r="F530" s="712">
        <v>76.62</v>
      </c>
      <c r="G530" s="713">
        <f t="shared" si="107"/>
        <v>1.4900000000000011</v>
      </c>
      <c r="H530" s="713">
        <f t="shared" si="108"/>
        <v>1.4900000000000011</v>
      </c>
      <c r="I530" s="697"/>
      <c r="J530" s="697"/>
      <c r="K530" s="697"/>
      <c r="L530" s="697"/>
      <c r="M530" s="697"/>
      <c r="N530" s="697"/>
      <c r="O530" s="697"/>
      <c r="P530" s="697"/>
      <c r="Q530" s="697"/>
      <c r="R530" s="697"/>
      <c r="S530" s="697"/>
      <c r="T530" s="697"/>
      <c r="U530" s="697"/>
      <c r="V530" s="697"/>
      <c r="W530" s="697"/>
      <c r="X530" s="697"/>
      <c r="Y530" s="697"/>
      <c r="Z530" s="697"/>
      <c r="AA530" s="697"/>
      <c r="AB530" s="697"/>
      <c r="AC530" s="697"/>
      <c r="AD530" s="697"/>
      <c r="AE530" s="697"/>
      <c r="AF530" s="697"/>
      <c r="AG530" s="697"/>
      <c r="AH530" s="697"/>
      <c r="AI530" s="697"/>
      <c r="AJ530" s="697"/>
      <c r="AK530" s="697"/>
      <c r="AL530" s="697"/>
      <c r="AM530" s="697"/>
      <c r="AN530" s="697"/>
      <c r="AO530" s="697"/>
      <c r="AP530" s="697"/>
      <c r="AQ530" s="697"/>
      <c r="AR530" s="697"/>
      <c r="AS530" s="697"/>
      <c r="AT530" s="697"/>
      <c r="AU530" s="697"/>
      <c r="AV530" s="697"/>
      <c r="AW530" s="697"/>
      <c r="AX530" s="697"/>
      <c r="AY530" s="697"/>
      <c r="AZ530" s="697"/>
      <c r="BA530" s="697"/>
      <c r="BB530" s="697"/>
      <c r="BC530" s="697"/>
      <c r="BD530" s="697"/>
      <c r="BE530" s="697"/>
      <c r="BF530" s="697"/>
      <c r="BG530" s="697"/>
      <c r="BH530" s="697"/>
      <c r="BI530" s="697"/>
      <c r="BJ530" s="697"/>
      <c r="BK530" s="697"/>
      <c r="BL530" s="697"/>
      <c r="BM530" s="697"/>
      <c r="BN530" s="697"/>
      <c r="BO530" s="697"/>
      <c r="BP530" s="697"/>
      <c r="BQ530" s="697"/>
      <c r="BR530" s="697"/>
      <c r="BS530" s="697"/>
      <c r="BT530" s="697"/>
      <c r="BU530" s="697"/>
      <c r="BV530" s="697"/>
      <c r="BW530" s="697"/>
      <c r="BX530" s="697"/>
      <c r="BY530" s="697"/>
      <c r="BZ530" s="697"/>
      <c r="CA530" s="697"/>
      <c r="CB530" s="697"/>
      <c r="CC530" s="697"/>
      <c r="CD530" s="697"/>
      <c r="CE530" s="697"/>
      <c r="CF530" s="697"/>
      <c r="CG530" s="697"/>
      <c r="CH530" s="697"/>
      <c r="CI530" s="697"/>
      <c r="CJ530" s="697"/>
      <c r="CK530" s="697"/>
      <c r="CL530" s="697"/>
      <c r="CM530" s="697"/>
      <c r="CN530" s="697"/>
      <c r="CO530" s="697"/>
      <c r="CP530" s="697"/>
      <c r="CQ530" s="697"/>
      <c r="CR530" s="697"/>
      <c r="CS530" s="697"/>
      <c r="CT530" s="697"/>
      <c r="CU530" s="697"/>
      <c r="CV530" s="697"/>
      <c r="CW530" s="697"/>
      <c r="CX530" s="697"/>
      <c r="CY530" s="697"/>
      <c r="CZ530" s="697"/>
      <c r="DA530" s="697"/>
      <c r="DB530" s="697"/>
    </row>
    <row r="531" spans="1:106" hidden="1" outlineLevel="1" x14ac:dyDescent="0.2">
      <c r="A531" s="709">
        <f t="shared" si="104"/>
        <v>40179</v>
      </c>
      <c r="B531" s="709" t="str">
        <f t="shared" si="105"/>
        <v>1Q10</v>
      </c>
      <c r="C531" s="709" t="str">
        <f t="shared" si="106"/>
        <v>1Q10</v>
      </c>
      <c r="D531" s="710">
        <f t="shared" si="109"/>
        <v>40267</v>
      </c>
      <c r="E531" s="710">
        <f t="shared" si="109"/>
        <v>40207</v>
      </c>
      <c r="F531" s="712">
        <v>73.94</v>
      </c>
      <c r="G531" s="713">
        <f t="shared" si="107"/>
        <v>1.4900000000000011</v>
      </c>
      <c r="H531" s="713">
        <f t="shared" si="108"/>
        <v>1.4900000000000011</v>
      </c>
      <c r="I531" s="697"/>
      <c r="J531" s="697"/>
      <c r="K531" s="697"/>
      <c r="L531" s="697"/>
      <c r="M531" s="697"/>
      <c r="N531" s="697"/>
      <c r="O531" s="697"/>
      <c r="P531" s="697"/>
      <c r="Q531" s="697"/>
      <c r="R531" s="697"/>
      <c r="S531" s="697"/>
      <c r="T531" s="697"/>
      <c r="U531" s="697"/>
      <c r="V531" s="697"/>
      <c r="W531" s="697"/>
      <c r="X531" s="697"/>
      <c r="Y531" s="697"/>
      <c r="Z531" s="697"/>
      <c r="AA531" s="697"/>
      <c r="AB531" s="697"/>
      <c r="AC531" s="697"/>
      <c r="AD531" s="697"/>
      <c r="AE531" s="697"/>
      <c r="AF531" s="697"/>
      <c r="AG531" s="697"/>
      <c r="AH531" s="697"/>
      <c r="AI531" s="697"/>
      <c r="AJ531" s="697"/>
      <c r="AK531" s="697"/>
      <c r="AL531" s="697"/>
      <c r="AM531" s="697"/>
      <c r="AN531" s="697"/>
      <c r="AO531" s="697"/>
      <c r="AP531" s="697"/>
      <c r="AQ531" s="697"/>
      <c r="AR531" s="697"/>
      <c r="AS531" s="697"/>
      <c r="AT531" s="697"/>
      <c r="AU531" s="697"/>
      <c r="AV531" s="697"/>
      <c r="AW531" s="697"/>
      <c r="AX531" s="697"/>
      <c r="AY531" s="697"/>
      <c r="AZ531" s="697"/>
      <c r="BA531" s="697"/>
      <c r="BB531" s="697"/>
      <c r="BC531" s="697"/>
      <c r="BD531" s="697"/>
      <c r="BE531" s="697"/>
      <c r="BF531" s="697"/>
      <c r="BG531" s="697"/>
      <c r="BH531" s="697"/>
      <c r="BI531" s="697"/>
      <c r="BJ531" s="697"/>
      <c r="BK531" s="697"/>
      <c r="BL531" s="697"/>
      <c r="BM531" s="697"/>
      <c r="BN531" s="697"/>
      <c r="BO531" s="697"/>
      <c r="BP531" s="697"/>
      <c r="BQ531" s="697"/>
      <c r="BR531" s="697"/>
      <c r="BS531" s="697"/>
      <c r="BT531" s="697"/>
      <c r="BU531" s="697"/>
      <c r="BV531" s="697"/>
      <c r="BW531" s="697"/>
      <c r="BX531" s="697"/>
      <c r="BY531" s="697"/>
      <c r="BZ531" s="697"/>
      <c r="CA531" s="697"/>
      <c r="CB531" s="697"/>
      <c r="CC531" s="697"/>
      <c r="CD531" s="697"/>
      <c r="CE531" s="697"/>
      <c r="CF531" s="697"/>
      <c r="CG531" s="697"/>
      <c r="CH531" s="697"/>
      <c r="CI531" s="697"/>
      <c r="CJ531" s="697"/>
      <c r="CK531" s="697"/>
      <c r="CL531" s="697"/>
      <c r="CM531" s="697"/>
      <c r="CN531" s="697"/>
      <c r="CO531" s="697"/>
      <c r="CP531" s="697"/>
      <c r="CQ531" s="697"/>
      <c r="CR531" s="697"/>
      <c r="CS531" s="697"/>
      <c r="CT531" s="697"/>
      <c r="CU531" s="697"/>
      <c r="CV531" s="697"/>
      <c r="CW531" s="697"/>
      <c r="CX531" s="697"/>
      <c r="CY531" s="697"/>
      <c r="CZ531" s="697"/>
      <c r="DA531" s="697"/>
      <c r="DB531" s="697"/>
    </row>
    <row r="532" spans="1:106" hidden="1" outlineLevel="1" x14ac:dyDescent="0.2">
      <c r="A532" s="709">
        <f t="shared" si="104"/>
        <v>40210</v>
      </c>
      <c r="B532" s="709" t="str">
        <f t="shared" si="105"/>
        <v>1Q10</v>
      </c>
      <c r="C532" s="709" t="str">
        <f t="shared" si="106"/>
        <v>2Q10</v>
      </c>
      <c r="D532" s="710">
        <f t="shared" si="109"/>
        <v>40274</v>
      </c>
      <c r="E532" s="710">
        <f t="shared" si="109"/>
        <v>40214</v>
      </c>
      <c r="F532" s="712">
        <v>74.569999999999993</v>
      </c>
      <c r="G532" s="713">
        <f t="shared" si="107"/>
        <v>1.4900000000000011</v>
      </c>
      <c r="H532" s="713">
        <f t="shared" si="108"/>
        <v>1.4900000000000011</v>
      </c>
      <c r="I532" s="697"/>
      <c r="J532" s="697"/>
      <c r="K532" s="697"/>
      <c r="L532" s="697"/>
      <c r="M532" s="697"/>
      <c r="N532" s="697"/>
      <c r="O532" s="697"/>
      <c r="P532" s="697"/>
      <c r="Q532" s="697"/>
      <c r="R532" s="697"/>
      <c r="S532" s="697"/>
      <c r="T532" s="697"/>
      <c r="U532" s="697"/>
      <c r="V532" s="697"/>
      <c r="W532" s="697"/>
      <c r="X532" s="697"/>
      <c r="Y532" s="697"/>
      <c r="Z532" s="697"/>
      <c r="AA532" s="697"/>
      <c r="AB532" s="697"/>
      <c r="AC532" s="697"/>
      <c r="AD532" s="697"/>
      <c r="AE532" s="697"/>
      <c r="AF532" s="697"/>
      <c r="AG532" s="697"/>
      <c r="AH532" s="697"/>
      <c r="AI532" s="697"/>
      <c r="AJ532" s="697"/>
      <c r="AK532" s="697"/>
      <c r="AL532" s="697"/>
      <c r="AM532" s="697"/>
      <c r="AN532" s="697"/>
      <c r="AO532" s="697"/>
      <c r="AP532" s="697"/>
      <c r="AQ532" s="697"/>
      <c r="AR532" s="697"/>
      <c r="AS532" s="697"/>
      <c r="AT532" s="697"/>
      <c r="AU532" s="697"/>
      <c r="AV532" s="697"/>
      <c r="AW532" s="697"/>
      <c r="AX532" s="697"/>
      <c r="AY532" s="697"/>
      <c r="AZ532" s="697"/>
      <c r="BA532" s="697"/>
      <c r="BB532" s="697"/>
      <c r="BC532" s="697"/>
      <c r="BD532" s="697"/>
      <c r="BE532" s="697"/>
      <c r="BF532" s="697"/>
      <c r="BG532" s="697"/>
      <c r="BH532" s="697"/>
      <c r="BI532" s="697"/>
      <c r="BJ532" s="697"/>
      <c r="BK532" s="697"/>
      <c r="BL532" s="697"/>
      <c r="BM532" s="697"/>
      <c r="BN532" s="697"/>
      <c r="BO532" s="697"/>
      <c r="BP532" s="697"/>
      <c r="BQ532" s="697"/>
      <c r="BR532" s="697"/>
      <c r="BS532" s="697"/>
      <c r="BT532" s="697"/>
      <c r="BU532" s="697"/>
      <c r="BV532" s="697"/>
      <c r="BW532" s="697"/>
      <c r="BX532" s="697"/>
      <c r="BY532" s="697"/>
      <c r="BZ532" s="697"/>
      <c r="CA532" s="697"/>
      <c r="CB532" s="697"/>
      <c r="CC532" s="697"/>
      <c r="CD532" s="697"/>
      <c r="CE532" s="697"/>
      <c r="CF532" s="697"/>
      <c r="CG532" s="697"/>
      <c r="CH532" s="697"/>
      <c r="CI532" s="697"/>
      <c r="CJ532" s="697"/>
      <c r="CK532" s="697"/>
      <c r="CL532" s="697"/>
      <c r="CM532" s="697"/>
      <c r="CN532" s="697"/>
      <c r="CO532" s="697"/>
      <c r="CP532" s="697"/>
      <c r="CQ532" s="697"/>
      <c r="CR532" s="697"/>
      <c r="CS532" s="697"/>
      <c r="CT532" s="697"/>
      <c r="CU532" s="697"/>
      <c r="CV532" s="697"/>
      <c r="CW532" s="697"/>
      <c r="CX532" s="697"/>
      <c r="CY532" s="697"/>
      <c r="CZ532" s="697"/>
      <c r="DA532" s="697"/>
      <c r="DB532" s="697"/>
    </row>
    <row r="533" spans="1:106" hidden="1" outlineLevel="1" x14ac:dyDescent="0.2">
      <c r="A533" s="709">
        <f t="shared" si="104"/>
        <v>40210</v>
      </c>
      <c r="B533" s="709" t="str">
        <f t="shared" si="105"/>
        <v>1Q10</v>
      </c>
      <c r="C533" s="709" t="str">
        <f t="shared" si="106"/>
        <v>2Q10</v>
      </c>
      <c r="D533" s="710">
        <f t="shared" ref="D533:E548" si="110">D532+7</f>
        <v>40281</v>
      </c>
      <c r="E533" s="710">
        <f t="shared" si="110"/>
        <v>40221</v>
      </c>
      <c r="F533" s="712">
        <v>73.88</v>
      </c>
      <c r="G533" s="713">
        <f t="shared" si="107"/>
        <v>1.4900000000000011</v>
      </c>
      <c r="H533" s="713">
        <f t="shared" si="108"/>
        <v>1.4900000000000011</v>
      </c>
      <c r="I533" s="697"/>
      <c r="J533" s="697"/>
      <c r="K533" s="697"/>
      <c r="L533" s="697"/>
      <c r="M533" s="697"/>
      <c r="N533" s="697"/>
      <c r="O533" s="697"/>
      <c r="P533" s="697"/>
      <c r="Q533" s="697"/>
      <c r="R533" s="697"/>
      <c r="S533" s="697"/>
      <c r="T533" s="697"/>
      <c r="U533" s="697"/>
      <c r="V533" s="697"/>
      <c r="W533" s="697"/>
      <c r="X533" s="697"/>
      <c r="Y533" s="697"/>
      <c r="Z533" s="697"/>
      <c r="AA533" s="697"/>
      <c r="AB533" s="697"/>
      <c r="AC533" s="697"/>
      <c r="AD533" s="697"/>
      <c r="AE533" s="697"/>
      <c r="AF533" s="697"/>
      <c r="AG533" s="697"/>
      <c r="AH533" s="697"/>
      <c r="AI533" s="697"/>
      <c r="AJ533" s="697"/>
      <c r="AK533" s="697"/>
      <c r="AL533" s="697"/>
      <c r="AM533" s="697"/>
      <c r="AN533" s="697"/>
      <c r="AO533" s="697"/>
      <c r="AP533" s="697"/>
      <c r="AQ533" s="697"/>
      <c r="AR533" s="697"/>
      <c r="AS533" s="697"/>
      <c r="AT533" s="697"/>
      <c r="AU533" s="697"/>
      <c r="AV533" s="697"/>
      <c r="AW533" s="697"/>
      <c r="AX533" s="697"/>
      <c r="AY533" s="697"/>
      <c r="AZ533" s="697"/>
      <c r="BA533" s="697"/>
      <c r="BB533" s="697"/>
      <c r="BC533" s="697"/>
      <c r="BD533" s="697"/>
      <c r="BE533" s="697"/>
      <c r="BF533" s="697"/>
      <c r="BG533" s="697"/>
      <c r="BH533" s="697"/>
      <c r="BI533" s="697"/>
      <c r="BJ533" s="697"/>
      <c r="BK533" s="697"/>
      <c r="BL533" s="697"/>
      <c r="BM533" s="697"/>
      <c r="BN533" s="697"/>
      <c r="BO533" s="697"/>
      <c r="BP533" s="697"/>
      <c r="BQ533" s="697"/>
      <c r="BR533" s="697"/>
      <c r="BS533" s="697"/>
      <c r="BT533" s="697"/>
      <c r="BU533" s="697"/>
      <c r="BV533" s="697"/>
      <c r="BW533" s="697"/>
      <c r="BX533" s="697"/>
      <c r="BY533" s="697"/>
      <c r="BZ533" s="697"/>
      <c r="CA533" s="697"/>
      <c r="CB533" s="697"/>
      <c r="CC533" s="697"/>
      <c r="CD533" s="697"/>
      <c r="CE533" s="697"/>
      <c r="CF533" s="697"/>
      <c r="CG533" s="697"/>
      <c r="CH533" s="697"/>
      <c r="CI533" s="697"/>
      <c r="CJ533" s="697"/>
      <c r="CK533" s="697"/>
      <c r="CL533" s="697"/>
      <c r="CM533" s="697"/>
      <c r="CN533" s="697"/>
      <c r="CO533" s="697"/>
      <c r="CP533" s="697"/>
      <c r="CQ533" s="697"/>
      <c r="CR533" s="697"/>
      <c r="CS533" s="697"/>
      <c r="CT533" s="697"/>
      <c r="CU533" s="697"/>
      <c r="CV533" s="697"/>
      <c r="CW533" s="697"/>
      <c r="CX533" s="697"/>
      <c r="CY533" s="697"/>
      <c r="CZ533" s="697"/>
      <c r="DA533" s="697"/>
      <c r="DB533" s="697"/>
    </row>
    <row r="534" spans="1:106" hidden="1" outlineLevel="1" x14ac:dyDescent="0.2">
      <c r="A534" s="709">
        <f t="shared" si="104"/>
        <v>40210</v>
      </c>
      <c r="B534" s="709" t="str">
        <f t="shared" si="105"/>
        <v>1Q10</v>
      </c>
      <c r="C534" s="709" t="str">
        <f t="shared" si="106"/>
        <v>2Q10</v>
      </c>
      <c r="D534" s="710">
        <f t="shared" si="110"/>
        <v>40288</v>
      </c>
      <c r="E534" s="710">
        <f t="shared" si="110"/>
        <v>40228</v>
      </c>
      <c r="F534" s="712">
        <v>78.25</v>
      </c>
      <c r="G534" s="713">
        <f t="shared" si="107"/>
        <v>1.4900000000000011</v>
      </c>
      <c r="H534" s="713">
        <f t="shared" si="108"/>
        <v>1.4900000000000011</v>
      </c>
      <c r="I534" s="697"/>
      <c r="J534" s="697"/>
      <c r="K534" s="697"/>
      <c r="L534" s="697"/>
      <c r="M534" s="697"/>
      <c r="N534" s="697"/>
      <c r="O534" s="697"/>
      <c r="P534" s="697"/>
      <c r="Q534" s="697"/>
      <c r="R534" s="697"/>
      <c r="S534" s="697"/>
      <c r="T534" s="697"/>
      <c r="U534" s="697"/>
      <c r="V534" s="697"/>
      <c r="W534" s="697"/>
      <c r="X534" s="697"/>
      <c r="Y534" s="697"/>
      <c r="Z534" s="697"/>
      <c r="AA534" s="697"/>
      <c r="AB534" s="697"/>
      <c r="AC534" s="697"/>
      <c r="AD534" s="697"/>
      <c r="AE534" s="697"/>
      <c r="AF534" s="697"/>
      <c r="AG534" s="697"/>
      <c r="AH534" s="697"/>
      <c r="AI534" s="697"/>
      <c r="AJ534" s="697"/>
      <c r="AK534" s="697"/>
      <c r="AL534" s="697"/>
      <c r="AM534" s="697"/>
      <c r="AN534" s="697"/>
      <c r="AO534" s="697"/>
      <c r="AP534" s="697"/>
      <c r="AQ534" s="697"/>
      <c r="AR534" s="697"/>
      <c r="AS534" s="697"/>
      <c r="AT534" s="697"/>
      <c r="AU534" s="697"/>
      <c r="AV534" s="697"/>
      <c r="AW534" s="697"/>
      <c r="AX534" s="697"/>
      <c r="AY534" s="697"/>
      <c r="AZ534" s="697"/>
      <c r="BA534" s="697"/>
      <c r="BB534" s="697"/>
      <c r="BC534" s="697"/>
      <c r="BD534" s="697"/>
      <c r="BE534" s="697"/>
      <c r="BF534" s="697"/>
      <c r="BG534" s="697"/>
      <c r="BH534" s="697"/>
      <c r="BI534" s="697"/>
      <c r="BJ534" s="697"/>
      <c r="BK534" s="697"/>
      <c r="BL534" s="697"/>
      <c r="BM534" s="697"/>
      <c r="BN534" s="697"/>
      <c r="BO534" s="697"/>
      <c r="BP534" s="697"/>
      <c r="BQ534" s="697"/>
      <c r="BR534" s="697"/>
      <c r="BS534" s="697"/>
      <c r="BT534" s="697"/>
      <c r="BU534" s="697"/>
      <c r="BV534" s="697"/>
      <c r="BW534" s="697"/>
      <c r="BX534" s="697"/>
      <c r="BY534" s="697"/>
      <c r="BZ534" s="697"/>
      <c r="CA534" s="697"/>
      <c r="CB534" s="697"/>
      <c r="CC534" s="697"/>
      <c r="CD534" s="697"/>
      <c r="CE534" s="697"/>
      <c r="CF534" s="697"/>
      <c r="CG534" s="697"/>
      <c r="CH534" s="697"/>
      <c r="CI534" s="697"/>
      <c r="CJ534" s="697"/>
      <c r="CK534" s="697"/>
      <c r="CL534" s="697"/>
      <c r="CM534" s="697"/>
      <c r="CN534" s="697"/>
      <c r="CO534" s="697"/>
      <c r="CP534" s="697"/>
      <c r="CQ534" s="697"/>
      <c r="CR534" s="697"/>
      <c r="CS534" s="697"/>
      <c r="CT534" s="697"/>
      <c r="CU534" s="697"/>
      <c r="CV534" s="697"/>
      <c r="CW534" s="697"/>
      <c r="CX534" s="697"/>
      <c r="CY534" s="697"/>
      <c r="CZ534" s="697"/>
      <c r="DA534" s="697"/>
      <c r="DB534" s="697"/>
    </row>
    <row r="535" spans="1:106" hidden="1" outlineLevel="1" x14ac:dyDescent="0.2">
      <c r="A535" s="709">
        <f t="shared" si="104"/>
        <v>40210</v>
      </c>
      <c r="B535" s="709" t="str">
        <f t="shared" si="105"/>
        <v>1Q10</v>
      </c>
      <c r="C535" s="709" t="str">
        <f t="shared" si="106"/>
        <v>2Q10</v>
      </c>
      <c r="D535" s="710">
        <f t="shared" si="110"/>
        <v>40295</v>
      </c>
      <c r="E535" s="710">
        <f t="shared" si="110"/>
        <v>40235</v>
      </c>
      <c r="F535" s="712">
        <v>79.22</v>
      </c>
      <c r="G535" s="713">
        <f t="shared" si="107"/>
        <v>1.4900000000000011</v>
      </c>
      <c r="H535" s="713">
        <f t="shared" si="108"/>
        <v>1.4900000000000011</v>
      </c>
      <c r="I535" s="697"/>
      <c r="J535" s="697"/>
      <c r="K535" s="697"/>
      <c r="L535" s="697"/>
      <c r="M535" s="697"/>
      <c r="N535" s="697"/>
      <c r="O535" s="697"/>
      <c r="P535" s="697"/>
      <c r="Q535" s="697"/>
      <c r="R535" s="697"/>
      <c r="S535" s="697"/>
      <c r="T535" s="697"/>
      <c r="U535" s="697"/>
      <c r="V535" s="697"/>
      <c r="W535" s="697"/>
      <c r="X535" s="697"/>
      <c r="Y535" s="697"/>
      <c r="Z535" s="697"/>
      <c r="AA535" s="697"/>
      <c r="AB535" s="697"/>
      <c r="AC535" s="697"/>
      <c r="AD535" s="697"/>
      <c r="AE535" s="697"/>
      <c r="AF535" s="697"/>
      <c r="AG535" s="697"/>
      <c r="AH535" s="697"/>
      <c r="AI535" s="697"/>
      <c r="AJ535" s="697"/>
      <c r="AK535" s="697"/>
      <c r="AL535" s="697"/>
      <c r="AM535" s="697"/>
      <c r="AN535" s="697"/>
      <c r="AO535" s="697"/>
      <c r="AP535" s="697"/>
      <c r="AQ535" s="697"/>
      <c r="AR535" s="697"/>
      <c r="AS535" s="697"/>
      <c r="AT535" s="697"/>
      <c r="AU535" s="697"/>
      <c r="AV535" s="697"/>
      <c r="AW535" s="697"/>
      <c r="AX535" s="697"/>
      <c r="AY535" s="697"/>
      <c r="AZ535" s="697"/>
      <c r="BA535" s="697"/>
      <c r="BB535" s="697"/>
      <c r="BC535" s="697"/>
      <c r="BD535" s="697"/>
      <c r="BE535" s="697"/>
      <c r="BF535" s="697"/>
      <c r="BG535" s="697"/>
      <c r="BH535" s="697"/>
      <c r="BI535" s="697"/>
      <c r="BJ535" s="697"/>
      <c r="BK535" s="697"/>
      <c r="BL535" s="697"/>
      <c r="BM535" s="697"/>
      <c r="BN535" s="697"/>
      <c r="BO535" s="697"/>
      <c r="BP535" s="697"/>
      <c r="BQ535" s="697"/>
      <c r="BR535" s="697"/>
      <c r="BS535" s="697"/>
      <c r="BT535" s="697"/>
      <c r="BU535" s="697"/>
      <c r="BV535" s="697"/>
      <c r="BW535" s="697"/>
      <c r="BX535" s="697"/>
      <c r="BY535" s="697"/>
      <c r="BZ535" s="697"/>
      <c r="CA535" s="697"/>
      <c r="CB535" s="697"/>
      <c r="CC535" s="697"/>
      <c r="CD535" s="697"/>
      <c r="CE535" s="697"/>
      <c r="CF535" s="697"/>
      <c r="CG535" s="697"/>
      <c r="CH535" s="697"/>
      <c r="CI535" s="697"/>
      <c r="CJ535" s="697"/>
      <c r="CK535" s="697"/>
      <c r="CL535" s="697"/>
      <c r="CM535" s="697"/>
      <c r="CN535" s="697"/>
      <c r="CO535" s="697"/>
      <c r="CP535" s="697"/>
      <c r="CQ535" s="697"/>
      <c r="CR535" s="697"/>
      <c r="CS535" s="697"/>
      <c r="CT535" s="697"/>
      <c r="CU535" s="697"/>
      <c r="CV535" s="697"/>
      <c r="CW535" s="697"/>
      <c r="CX535" s="697"/>
      <c r="CY535" s="697"/>
      <c r="CZ535" s="697"/>
      <c r="DA535" s="697"/>
      <c r="DB535" s="697"/>
    </row>
    <row r="536" spans="1:106" hidden="1" outlineLevel="1" x14ac:dyDescent="0.2">
      <c r="A536" s="709">
        <f t="shared" si="104"/>
        <v>40238</v>
      </c>
      <c r="B536" s="709" t="str">
        <f t="shared" si="105"/>
        <v>1Q10</v>
      </c>
      <c r="C536" s="709" t="str">
        <f t="shared" si="106"/>
        <v>2Q10</v>
      </c>
      <c r="D536" s="710">
        <f t="shared" si="110"/>
        <v>40302</v>
      </c>
      <c r="E536" s="710">
        <f t="shared" si="110"/>
        <v>40242</v>
      </c>
      <c r="F536" s="712">
        <v>80.19</v>
      </c>
      <c r="G536" s="713">
        <f t="shared" si="107"/>
        <v>1.4900000000000011</v>
      </c>
      <c r="H536" s="713">
        <f t="shared" si="108"/>
        <v>1.4900000000000011</v>
      </c>
      <c r="I536" s="697"/>
      <c r="J536" s="697"/>
      <c r="K536" s="697"/>
      <c r="L536" s="697"/>
      <c r="M536" s="697"/>
      <c r="N536" s="697"/>
      <c r="O536" s="697"/>
      <c r="P536" s="697"/>
      <c r="Q536" s="697"/>
      <c r="R536" s="697"/>
      <c r="S536" s="697"/>
      <c r="T536" s="697"/>
      <c r="U536" s="697"/>
      <c r="V536" s="697"/>
      <c r="W536" s="697"/>
      <c r="X536" s="697"/>
      <c r="Y536" s="697"/>
      <c r="Z536" s="697"/>
      <c r="AA536" s="697"/>
      <c r="AB536" s="697"/>
      <c r="AC536" s="697"/>
      <c r="AD536" s="697"/>
      <c r="AE536" s="697"/>
      <c r="AF536" s="697"/>
      <c r="AG536" s="697"/>
      <c r="AH536" s="697"/>
      <c r="AI536" s="697"/>
      <c r="AJ536" s="697"/>
      <c r="AK536" s="697"/>
      <c r="AL536" s="697"/>
      <c r="AM536" s="697"/>
      <c r="AN536" s="697"/>
      <c r="AO536" s="697"/>
      <c r="AP536" s="697"/>
      <c r="AQ536" s="697"/>
      <c r="AR536" s="697"/>
      <c r="AS536" s="697"/>
      <c r="AT536" s="697"/>
      <c r="AU536" s="697"/>
      <c r="AV536" s="697"/>
      <c r="AW536" s="697"/>
      <c r="AX536" s="697"/>
      <c r="AY536" s="697"/>
      <c r="AZ536" s="697"/>
      <c r="BA536" s="697"/>
      <c r="BB536" s="697"/>
      <c r="BC536" s="697"/>
      <c r="BD536" s="697"/>
      <c r="BE536" s="697"/>
      <c r="BF536" s="697"/>
      <c r="BG536" s="697"/>
      <c r="BH536" s="697"/>
      <c r="BI536" s="697"/>
      <c r="BJ536" s="697"/>
      <c r="BK536" s="697"/>
      <c r="BL536" s="697"/>
      <c r="BM536" s="697"/>
      <c r="BN536" s="697"/>
      <c r="BO536" s="697"/>
      <c r="BP536" s="697"/>
      <c r="BQ536" s="697"/>
      <c r="BR536" s="697"/>
      <c r="BS536" s="697"/>
      <c r="BT536" s="697"/>
      <c r="BU536" s="697"/>
      <c r="BV536" s="697"/>
      <c r="BW536" s="697"/>
      <c r="BX536" s="697"/>
      <c r="BY536" s="697"/>
      <c r="BZ536" s="697"/>
      <c r="CA536" s="697"/>
      <c r="CB536" s="697"/>
      <c r="CC536" s="697"/>
      <c r="CD536" s="697"/>
      <c r="CE536" s="697"/>
      <c r="CF536" s="697"/>
      <c r="CG536" s="697"/>
      <c r="CH536" s="697"/>
      <c r="CI536" s="697"/>
      <c r="CJ536" s="697"/>
      <c r="CK536" s="697"/>
      <c r="CL536" s="697"/>
      <c r="CM536" s="697"/>
      <c r="CN536" s="697"/>
      <c r="CO536" s="697"/>
      <c r="CP536" s="697"/>
      <c r="CQ536" s="697"/>
      <c r="CR536" s="697"/>
      <c r="CS536" s="697"/>
      <c r="CT536" s="697"/>
      <c r="CU536" s="697"/>
      <c r="CV536" s="697"/>
      <c r="CW536" s="697"/>
      <c r="CX536" s="697"/>
      <c r="CY536" s="697"/>
      <c r="CZ536" s="697"/>
      <c r="DA536" s="697"/>
      <c r="DB536" s="697"/>
    </row>
    <row r="537" spans="1:106" hidden="1" outlineLevel="1" x14ac:dyDescent="0.2">
      <c r="A537" s="709">
        <f t="shared" si="104"/>
        <v>40238</v>
      </c>
      <c r="B537" s="709" t="str">
        <f t="shared" si="105"/>
        <v>1Q10</v>
      </c>
      <c r="C537" s="709" t="str">
        <f t="shared" si="106"/>
        <v>2Q10</v>
      </c>
      <c r="D537" s="710">
        <f t="shared" si="110"/>
        <v>40309</v>
      </c>
      <c r="E537" s="710">
        <f t="shared" si="110"/>
        <v>40249</v>
      </c>
      <c r="F537" s="712">
        <v>81.760000000000005</v>
      </c>
      <c r="G537" s="713">
        <f t="shared" si="107"/>
        <v>1.4900000000000011</v>
      </c>
      <c r="H537" s="713">
        <f t="shared" si="108"/>
        <v>1.4900000000000011</v>
      </c>
      <c r="I537" s="697"/>
      <c r="J537" s="697"/>
      <c r="K537" s="697"/>
      <c r="L537" s="697"/>
      <c r="M537" s="697"/>
      <c r="N537" s="697"/>
      <c r="O537" s="697"/>
      <c r="P537" s="697"/>
      <c r="Q537" s="697"/>
      <c r="R537" s="697"/>
      <c r="S537" s="697"/>
      <c r="T537" s="697"/>
      <c r="U537" s="697"/>
      <c r="V537" s="697"/>
      <c r="W537" s="697"/>
      <c r="X537" s="697"/>
      <c r="Y537" s="697"/>
      <c r="Z537" s="697"/>
      <c r="AA537" s="697"/>
      <c r="AB537" s="697"/>
      <c r="AC537" s="697"/>
      <c r="AD537" s="697"/>
      <c r="AE537" s="697"/>
      <c r="AF537" s="697"/>
      <c r="AG537" s="697"/>
      <c r="AH537" s="697"/>
      <c r="AI537" s="697"/>
      <c r="AJ537" s="697"/>
      <c r="AK537" s="697"/>
      <c r="AL537" s="697"/>
      <c r="AM537" s="697"/>
      <c r="AN537" s="697"/>
      <c r="AO537" s="697"/>
      <c r="AP537" s="697"/>
      <c r="AQ537" s="697"/>
      <c r="AR537" s="697"/>
      <c r="AS537" s="697"/>
      <c r="AT537" s="697"/>
      <c r="AU537" s="697"/>
      <c r="AV537" s="697"/>
      <c r="AW537" s="697"/>
      <c r="AX537" s="697"/>
      <c r="AY537" s="697"/>
      <c r="AZ537" s="697"/>
      <c r="BA537" s="697"/>
      <c r="BB537" s="697"/>
      <c r="BC537" s="697"/>
      <c r="BD537" s="697"/>
      <c r="BE537" s="697"/>
      <c r="BF537" s="697"/>
      <c r="BG537" s="697"/>
      <c r="BH537" s="697"/>
      <c r="BI537" s="697"/>
      <c r="BJ537" s="697"/>
      <c r="BK537" s="697"/>
      <c r="BL537" s="697"/>
      <c r="BM537" s="697"/>
      <c r="BN537" s="697"/>
      <c r="BO537" s="697"/>
      <c r="BP537" s="697"/>
      <c r="BQ537" s="697"/>
      <c r="BR537" s="697"/>
      <c r="BS537" s="697"/>
      <c r="BT537" s="697"/>
      <c r="BU537" s="697"/>
      <c r="BV537" s="697"/>
      <c r="BW537" s="697"/>
      <c r="BX537" s="697"/>
      <c r="BY537" s="697"/>
      <c r="BZ537" s="697"/>
      <c r="CA537" s="697"/>
      <c r="CB537" s="697"/>
      <c r="CC537" s="697"/>
      <c r="CD537" s="697"/>
      <c r="CE537" s="697"/>
      <c r="CF537" s="697"/>
      <c r="CG537" s="697"/>
      <c r="CH537" s="697"/>
      <c r="CI537" s="697"/>
      <c r="CJ537" s="697"/>
      <c r="CK537" s="697"/>
      <c r="CL537" s="697"/>
      <c r="CM537" s="697"/>
      <c r="CN537" s="697"/>
      <c r="CO537" s="697"/>
      <c r="CP537" s="697"/>
      <c r="CQ537" s="697"/>
      <c r="CR537" s="697"/>
      <c r="CS537" s="697"/>
      <c r="CT537" s="697"/>
      <c r="CU537" s="697"/>
      <c r="CV537" s="697"/>
      <c r="CW537" s="697"/>
      <c r="CX537" s="697"/>
      <c r="CY537" s="697"/>
      <c r="CZ537" s="697"/>
      <c r="DA537" s="697"/>
      <c r="DB537" s="697"/>
    </row>
    <row r="538" spans="1:106" hidden="1" outlineLevel="1" x14ac:dyDescent="0.2">
      <c r="A538" s="709">
        <f t="shared" si="104"/>
        <v>40238</v>
      </c>
      <c r="B538" s="709" t="str">
        <f t="shared" si="105"/>
        <v>1Q10</v>
      </c>
      <c r="C538" s="709" t="str">
        <f t="shared" si="106"/>
        <v>2Q10</v>
      </c>
      <c r="D538" s="710">
        <f t="shared" si="110"/>
        <v>40316</v>
      </c>
      <c r="E538" s="710">
        <f t="shared" si="110"/>
        <v>40256</v>
      </c>
      <c r="F538" s="712">
        <v>81.44</v>
      </c>
      <c r="G538" s="713">
        <f t="shared" si="107"/>
        <v>1.4900000000000011</v>
      </c>
      <c r="H538" s="713">
        <f t="shared" si="108"/>
        <v>1.4900000000000011</v>
      </c>
      <c r="I538" s="697"/>
      <c r="J538" s="697"/>
      <c r="K538" s="697"/>
      <c r="L538" s="697"/>
      <c r="M538" s="697"/>
      <c r="N538" s="697"/>
      <c r="O538" s="697"/>
      <c r="P538" s="697"/>
      <c r="Q538" s="697"/>
      <c r="R538" s="697"/>
      <c r="S538" s="697"/>
      <c r="T538" s="697"/>
      <c r="U538" s="697"/>
      <c r="V538" s="697"/>
      <c r="W538" s="697"/>
      <c r="X538" s="697"/>
      <c r="Y538" s="697"/>
      <c r="Z538" s="697"/>
      <c r="AA538" s="697"/>
      <c r="AB538" s="697"/>
      <c r="AC538" s="697"/>
      <c r="AD538" s="697"/>
      <c r="AE538" s="697"/>
      <c r="AF538" s="697"/>
      <c r="AG538" s="697"/>
      <c r="AH538" s="697"/>
      <c r="AI538" s="697"/>
      <c r="AJ538" s="697"/>
      <c r="AK538" s="697"/>
      <c r="AL538" s="697"/>
      <c r="AM538" s="697"/>
      <c r="AN538" s="697"/>
      <c r="AO538" s="697"/>
      <c r="AP538" s="697"/>
      <c r="AQ538" s="697"/>
      <c r="AR538" s="697"/>
      <c r="AS538" s="697"/>
      <c r="AT538" s="697"/>
      <c r="AU538" s="697"/>
      <c r="AV538" s="697"/>
      <c r="AW538" s="697"/>
      <c r="AX538" s="697"/>
      <c r="AY538" s="697"/>
      <c r="AZ538" s="697"/>
      <c r="BA538" s="697"/>
      <c r="BB538" s="697"/>
      <c r="BC538" s="697"/>
      <c r="BD538" s="697"/>
      <c r="BE538" s="697"/>
      <c r="BF538" s="697"/>
      <c r="BG538" s="697"/>
      <c r="BH538" s="697"/>
      <c r="BI538" s="697"/>
      <c r="BJ538" s="697"/>
      <c r="BK538" s="697"/>
      <c r="BL538" s="697"/>
      <c r="BM538" s="697"/>
      <c r="BN538" s="697"/>
      <c r="BO538" s="697"/>
      <c r="BP538" s="697"/>
      <c r="BQ538" s="697"/>
      <c r="BR538" s="697"/>
      <c r="BS538" s="697"/>
      <c r="BT538" s="697"/>
      <c r="BU538" s="697"/>
      <c r="BV538" s="697"/>
      <c r="BW538" s="697"/>
      <c r="BX538" s="697"/>
      <c r="BY538" s="697"/>
      <c r="BZ538" s="697"/>
      <c r="CA538" s="697"/>
      <c r="CB538" s="697"/>
      <c r="CC538" s="697"/>
      <c r="CD538" s="697"/>
      <c r="CE538" s="697"/>
      <c r="CF538" s="697"/>
      <c r="CG538" s="697"/>
      <c r="CH538" s="697"/>
      <c r="CI538" s="697"/>
      <c r="CJ538" s="697"/>
      <c r="CK538" s="697"/>
      <c r="CL538" s="697"/>
      <c r="CM538" s="697"/>
      <c r="CN538" s="697"/>
      <c r="CO538" s="697"/>
      <c r="CP538" s="697"/>
      <c r="CQ538" s="697"/>
      <c r="CR538" s="697"/>
      <c r="CS538" s="697"/>
      <c r="CT538" s="697"/>
      <c r="CU538" s="697"/>
      <c r="CV538" s="697"/>
      <c r="CW538" s="697"/>
      <c r="CX538" s="697"/>
      <c r="CY538" s="697"/>
      <c r="CZ538" s="697"/>
      <c r="DA538" s="697"/>
      <c r="DB538" s="697"/>
    </row>
    <row r="539" spans="1:106" hidden="1" outlineLevel="1" x14ac:dyDescent="0.2">
      <c r="A539" s="709">
        <f t="shared" si="104"/>
        <v>40238</v>
      </c>
      <c r="B539" s="709" t="str">
        <f t="shared" si="105"/>
        <v>1Q10</v>
      </c>
      <c r="C539" s="709" t="str">
        <f t="shared" si="106"/>
        <v>2Q10</v>
      </c>
      <c r="D539" s="710">
        <f t="shared" si="110"/>
        <v>40323</v>
      </c>
      <c r="E539" s="710">
        <f t="shared" si="110"/>
        <v>40263</v>
      </c>
      <c r="F539" s="712">
        <v>80.650000000000006</v>
      </c>
      <c r="G539" s="713">
        <f t="shared" si="107"/>
        <v>1.4900000000000011</v>
      </c>
      <c r="H539" s="713">
        <f t="shared" si="108"/>
        <v>1.4900000000000011</v>
      </c>
      <c r="I539" s="697"/>
      <c r="J539" s="697"/>
      <c r="K539" s="697"/>
      <c r="L539" s="697"/>
      <c r="M539" s="697"/>
      <c r="N539" s="697"/>
      <c r="O539" s="697"/>
      <c r="P539" s="697"/>
      <c r="Q539" s="697"/>
      <c r="R539" s="697"/>
      <c r="S539" s="697"/>
      <c r="T539" s="697"/>
      <c r="U539" s="697"/>
      <c r="V539" s="697"/>
      <c r="W539" s="697"/>
      <c r="X539" s="697"/>
      <c r="Y539" s="697"/>
      <c r="Z539" s="697"/>
      <c r="AA539" s="697"/>
      <c r="AB539" s="697"/>
      <c r="AC539" s="697"/>
      <c r="AD539" s="697"/>
      <c r="AE539" s="697"/>
      <c r="AF539" s="697"/>
      <c r="AG539" s="697"/>
      <c r="AH539" s="697"/>
      <c r="AI539" s="697"/>
      <c r="AJ539" s="697"/>
      <c r="AK539" s="697"/>
      <c r="AL539" s="697"/>
      <c r="AM539" s="697"/>
      <c r="AN539" s="697"/>
      <c r="AO539" s="697"/>
      <c r="AP539" s="697"/>
      <c r="AQ539" s="697"/>
      <c r="AR539" s="697"/>
      <c r="AS539" s="697"/>
      <c r="AT539" s="697"/>
      <c r="AU539" s="697"/>
      <c r="AV539" s="697"/>
      <c r="AW539" s="697"/>
      <c r="AX539" s="697"/>
      <c r="AY539" s="697"/>
      <c r="AZ539" s="697"/>
      <c r="BA539" s="697"/>
      <c r="BB539" s="697"/>
      <c r="BC539" s="697"/>
      <c r="BD539" s="697"/>
      <c r="BE539" s="697"/>
      <c r="BF539" s="697"/>
      <c r="BG539" s="697"/>
      <c r="BH539" s="697"/>
      <c r="BI539" s="697"/>
      <c r="BJ539" s="697"/>
      <c r="BK539" s="697"/>
      <c r="BL539" s="697"/>
      <c r="BM539" s="697"/>
      <c r="BN539" s="697"/>
      <c r="BO539" s="697"/>
      <c r="BP539" s="697"/>
      <c r="BQ539" s="697"/>
      <c r="BR539" s="697"/>
      <c r="BS539" s="697"/>
      <c r="BT539" s="697"/>
      <c r="BU539" s="697"/>
      <c r="BV539" s="697"/>
      <c r="BW539" s="697"/>
      <c r="BX539" s="697"/>
      <c r="BY539" s="697"/>
      <c r="BZ539" s="697"/>
      <c r="CA539" s="697"/>
      <c r="CB539" s="697"/>
      <c r="CC539" s="697"/>
      <c r="CD539" s="697"/>
      <c r="CE539" s="697"/>
      <c r="CF539" s="697"/>
      <c r="CG539" s="697"/>
      <c r="CH539" s="697"/>
      <c r="CI539" s="697"/>
      <c r="CJ539" s="697"/>
      <c r="CK539" s="697"/>
      <c r="CL539" s="697"/>
      <c r="CM539" s="697"/>
      <c r="CN539" s="697"/>
      <c r="CO539" s="697"/>
      <c r="CP539" s="697"/>
      <c r="CQ539" s="697"/>
      <c r="CR539" s="697"/>
      <c r="CS539" s="697"/>
      <c r="CT539" s="697"/>
      <c r="CU539" s="697"/>
      <c r="CV539" s="697"/>
      <c r="CW539" s="697"/>
      <c r="CX539" s="697"/>
      <c r="CY539" s="697"/>
      <c r="CZ539" s="697"/>
      <c r="DA539" s="697"/>
      <c r="DB539" s="697"/>
    </row>
    <row r="540" spans="1:106" hidden="1" outlineLevel="1" x14ac:dyDescent="0.2">
      <c r="A540" s="709">
        <f t="shared" si="104"/>
        <v>40269</v>
      </c>
      <c r="B540" s="709" t="str">
        <f t="shared" si="105"/>
        <v>2Q10</v>
      </c>
      <c r="C540" s="709" t="str">
        <f t="shared" si="106"/>
        <v>2Q10</v>
      </c>
      <c r="D540" s="710">
        <f t="shared" si="110"/>
        <v>40330</v>
      </c>
      <c r="E540" s="710">
        <f t="shared" si="110"/>
        <v>40270</v>
      </c>
      <c r="F540" s="712">
        <v>83.01</v>
      </c>
      <c r="G540" s="713">
        <f t="shared" si="107"/>
        <v>1.4900000000000011</v>
      </c>
      <c r="H540" s="713">
        <f t="shared" si="108"/>
        <v>1.4900000000000011</v>
      </c>
      <c r="I540" s="697"/>
      <c r="J540" s="697"/>
      <c r="K540" s="697"/>
      <c r="L540" s="697"/>
      <c r="M540" s="697"/>
      <c r="N540" s="697"/>
      <c r="O540" s="697"/>
      <c r="P540" s="697"/>
      <c r="Q540" s="697"/>
      <c r="R540" s="697"/>
      <c r="S540" s="697"/>
      <c r="T540" s="697"/>
      <c r="U540" s="697"/>
      <c r="V540" s="697"/>
      <c r="W540" s="697"/>
      <c r="X540" s="697"/>
      <c r="Y540" s="697"/>
      <c r="Z540" s="697"/>
      <c r="AA540" s="697"/>
      <c r="AB540" s="697"/>
      <c r="AC540" s="697"/>
      <c r="AD540" s="697"/>
      <c r="AE540" s="697"/>
      <c r="AF540" s="697"/>
      <c r="AG540" s="697"/>
      <c r="AH540" s="697"/>
      <c r="AI540" s="697"/>
      <c r="AJ540" s="697"/>
      <c r="AK540" s="697"/>
      <c r="AL540" s="697"/>
      <c r="AM540" s="697"/>
      <c r="AN540" s="697"/>
      <c r="AO540" s="697"/>
      <c r="AP540" s="697"/>
      <c r="AQ540" s="697"/>
      <c r="AR540" s="697"/>
      <c r="AS540" s="697"/>
      <c r="AT540" s="697"/>
      <c r="AU540" s="697"/>
      <c r="AV540" s="697"/>
      <c r="AW540" s="697"/>
      <c r="AX540" s="697"/>
      <c r="AY540" s="697"/>
      <c r="AZ540" s="697"/>
      <c r="BA540" s="697"/>
      <c r="BB540" s="697"/>
      <c r="BC540" s="697"/>
      <c r="BD540" s="697"/>
      <c r="BE540" s="697"/>
      <c r="BF540" s="697"/>
      <c r="BG540" s="697"/>
      <c r="BH540" s="697"/>
      <c r="BI540" s="697"/>
      <c r="BJ540" s="697"/>
      <c r="BK540" s="697"/>
      <c r="BL540" s="697"/>
      <c r="BM540" s="697"/>
      <c r="BN540" s="697"/>
      <c r="BO540" s="697"/>
      <c r="BP540" s="697"/>
      <c r="BQ540" s="697"/>
      <c r="BR540" s="697"/>
      <c r="BS540" s="697"/>
      <c r="BT540" s="697"/>
      <c r="BU540" s="697"/>
      <c r="BV540" s="697"/>
      <c r="BW540" s="697"/>
      <c r="BX540" s="697"/>
      <c r="BY540" s="697"/>
      <c r="BZ540" s="697"/>
      <c r="CA540" s="697"/>
      <c r="CB540" s="697"/>
      <c r="CC540" s="697"/>
      <c r="CD540" s="697"/>
      <c r="CE540" s="697"/>
      <c r="CF540" s="697"/>
      <c r="CG540" s="697"/>
      <c r="CH540" s="697"/>
      <c r="CI540" s="697"/>
      <c r="CJ540" s="697"/>
      <c r="CK540" s="697"/>
      <c r="CL540" s="697"/>
      <c r="CM540" s="697"/>
      <c r="CN540" s="697"/>
      <c r="CO540" s="697"/>
      <c r="CP540" s="697"/>
      <c r="CQ540" s="697"/>
      <c r="CR540" s="697"/>
      <c r="CS540" s="697"/>
      <c r="CT540" s="697"/>
      <c r="CU540" s="697"/>
      <c r="CV540" s="697"/>
      <c r="CW540" s="697"/>
      <c r="CX540" s="697"/>
      <c r="CY540" s="697"/>
      <c r="CZ540" s="697"/>
      <c r="DA540" s="697"/>
      <c r="DB540" s="697"/>
    </row>
    <row r="541" spans="1:106" hidden="1" outlineLevel="1" x14ac:dyDescent="0.2">
      <c r="A541" s="709">
        <f t="shared" si="104"/>
        <v>40269</v>
      </c>
      <c r="B541" s="709" t="str">
        <f t="shared" si="105"/>
        <v>2Q10</v>
      </c>
      <c r="C541" s="709" t="str">
        <f t="shared" si="106"/>
        <v>2Q10</v>
      </c>
      <c r="D541" s="710">
        <f t="shared" si="110"/>
        <v>40337</v>
      </c>
      <c r="E541" s="710">
        <f t="shared" si="110"/>
        <v>40277</v>
      </c>
      <c r="F541" s="712">
        <v>85.66</v>
      </c>
      <c r="G541" s="713">
        <f t="shared" si="107"/>
        <v>1.4900000000000011</v>
      </c>
      <c r="H541" s="713">
        <f t="shared" si="108"/>
        <v>1.4900000000000011</v>
      </c>
      <c r="I541" s="697"/>
      <c r="J541" s="697"/>
      <c r="K541" s="697"/>
      <c r="L541" s="697"/>
      <c r="M541" s="697"/>
      <c r="N541" s="697"/>
      <c r="O541" s="697"/>
      <c r="P541" s="697"/>
      <c r="Q541" s="697"/>
      <c r="R541" s="697"/>
      <c r="S541" s="697"/>
      <c r="T541" s="697"/>
      <c r="U541" s="697"/>
      <c r="V541" s="697"/>
      <c r="W541" s="697"/>
      <c r="X541" s="697"/>
      <c r="Y541" s="697"/>
      <c r="Z541" s="697"/>
      <c r="AA541" s="697"/>
      <c r="AB541" s="697"/>
      <c r="AC541" s="697"/>
      <c r="AD541" s="697"/>
      <c r="AE541" s="697"/>
      <c r="AF541" s="697"/>
      <c r="AG541" s="697"/>
      <c r="AH541" s="697"/>
      <c r="AI541" s="697"/>
      <c r="AJ541" s="697"/>
      <c r="AK541" s="697"/>
      <c r="AL541" s="697"/>
      <c r="AM541" s="697"/>
      <c r="AN541" s="697"/>
      <c r="AO541" s="697"/>
      <c r="AP541" s="697"/>
      <c r="AQ541" s="697"/>
      <c r="AR541" s="697"/>
      <c r="AS541" s="697"/>
      <c r="AT541" s="697"/>
      <c r="AU541" s="697"/>
      <c r="AV541" s="697"/>
      <c r="AW541" s="697"/>
      <c r="AX541" s="697"/>
      <c r="AY541" s="697"/>
      <c r="AZ541" s="697"/>
      <c r="BA541" s="697"/>
      <c r="BB541" s="697"/>
      <c r="BC541" s="697"/>
      <c r="BD541" s="697"/>
      <c r="BE541" s="697"/>
      <c r="BF541" s="697"/>
      <c r="BG541" s="697"/>
      <c r="BH541" s="697"/>
      <c r="BI541" s="697"/>
      <c r="BJ541" s="697"/>
      <c r="BK541" s="697"/>
      <c r="BL541" s="697"/>
      <c r="BM541" s="697"/>
      <c r="BN541" s="697"/>
      <c r="BO541" s="697"/>
      <c r="BP541" s="697"/>
      <c r="BQ541" s="697"/>
      <c r="BR541" s="697"/>
      <c r="BS541" s="697"/>
      <c r="BT541" s="697"/>
      <c r="BU541" s="697"/>
      <c r="BV541" s="697"/>
      <c r="BW541" s="697"/>
      <c r="BX541" s="697"/>
      <c r="BY541" s="697"/>
      <c r="BZ541" s="697"/>
      <c r="CA541" s="697"/>
      <c r="CB541" s="697"/>
      <c r="CC541" s="697"/>
      <c r="CD541" s="697"/>
      <c r="CE541" s="697"/>
      <c r="CF541" s="697"/>
      <c r="CG541" s="697"/>
      <c r="CH541" s="697"/>
      <c r="CI541" s="697"/>
      <c r="CJ541" s="697"/>
      <c r="CK541" s="697"/>
      <c r="CL541" s="697"/>
      <c r="CM541" s="697"/>
      <c r="CN541" s="697"/>
      <c r="CO541" s="697"/>
      <c r="CP541" s="697"/>
      <c r="CQ541" s="697"/>
      <c r="CR541" s="697"/>
      <c r="CS541" s="697"/>
      <c r="CT541" s="697"/>
      <c r="CU541" s="697"/>
      <c r="CV541" s="697"/>
      <c r="CW541" s="697"/>
      <c r="CX541" s="697"/>
      <c r="CY541" s="697"/>
      <c r="CZ541" s="697"/>
      <c r="DA541" s="697"/>
      <c r="DB541" s="697"/>
    </row>
    <row r="542" spans="1:106" hidden="1" outlineLevel="1" x14ac:dyDescent="0.2">
      <c r="A542" s="709">
        <f t="shared" si="104"/>
        <v>40269</v>
      </c>
      <c r="B542" s="709" t="str">
        <f t="shared" si="105"/>
        <v>2Q10</v>
      </c>
      <c r="C542" s="709" t="str">
        <f t="shared" si="106"/>
        <v>2Q10</v>
      </c>
      <c r="D542" s="710">
        <f t="shared" si="110"/>
        <v>40344</v>
      </c>
      <c r="E542" s="710">
        <f t="shared" si="110"/>
        <v>40284</v>
      </c>
      <c r="F542" s="712">
        <v>84.34</v>
      </c>
      <c r="G542" s="713">
        <f t="shared" si="107"/>
        <v>1.4900000000000011</v>
      </c>
      <c r="H542" s="713">
        <f t="shared" si="108"/>
        <v>1.4900000000000011</v>
      </c>
      <c r="I542" s="697"/>
      <c r="J542" s="697"/>
      <c r="K542" s="697"/>
      <c r="L542" s="697"/>
      <c r="M542" s="697"/>
      <c r="N542" s="697"/>
      <c r="O542" s="697"/>
      <c r="P542" s="697"/>
      <c r="Q542" s="697"/>
      <c r="R542" s="697"/>
      <c r="S542" s="697"/>
      <c r="T542" s="697"/>
      <c r="U542" s="697"/>
      <c r="V542" s="697"/>
      <c r="W542" s="697"/>
      <c r="X542" s="697"/>
      <c r="Y542" s="697"/>
      <c r="Z542" s="697"/>
      <c r="AA542" s="697"/>
      <c r="AB542" s="697"/>
      <c r="AC542" s="697"/>
      <c r="AD542" s="697"/>
      <c r="AE542" s="697"/>
      <c r="AF542" s="697"/>
      <c r="AG542" s="697"/>
      <c r="AH542" s="697"/>
      <c r="AI542" s="697"/>
      <c r="AJ542" s="697"/>
      <c r="AK542" s="697"/>
      <c r="AL542" s="697"/>
      <c r="AM542" s="697"/>
      <c r="AN542" s="697"/>
      <c r="AO542" s="697"/>
      <c r="AP542" s="697"/>
      <c r="AQ542" s="697"/>
      <c r="AR542" s="697"/>
      <c r="AS542" s="697"/>
      <c r="AT542" s="697"/>
      <c r="AU542" s="697"/>
      <c r="AV542" s="697"/>
      <c r="AW542" s="697"/>
      <c r="AX542" s="697"/>
      <c r="AY542" s="697"/>
      <c r="AZ542" s="697"/>
      <c r="BA542" s="697"/>
      <c r="BB542" s="697"/>
      <c r="BC542" s="697"/>
      <c r="BD542" s="697"/>
      <c r="BE542" s="697"/>
      <c r="BF542" s="697"/>
      <c r="BG542" s="697"/>
      <c r="BH542" s="697"/>
      <c r="BI542" s="697"/>
      <c r="BJ542" s="697"/>
      <c r="BK542" s="697"/>
      <c r="BL542" s="697"/>
      <c r="BM542" s="697"/>
      <c r="BN542" s="697"/>
      <c r="BO542" s="697"/>
      <c r="BP542" s="697"/>
      <c r="BQ542" s="697"/>
      <c r="BR542" s="697"/>
      <c r="BS542" s="697"/>
      <c r="BT542" s="697"/>
      <c r="BU542" s="697"/>
      <c r="BV542" s="697"/>
      <c r="BW542" s="697"/>
      <c r="BX542" s="697"/>
      <c r="BY542" s="697"/>
      <c r="BZ542" s="697"/>
      <c r="CA542" s="697"/>
      <c r="CB542" s="697"/>
      <c r="CC542" s="697"/>
      <c r="CD542" s="697"/>
      <c r="CE542" s="697"/>
      <c r="CF542" s="697"/>
      <c r="CG542" s="697"/>
      <c r="CH542" s="697"/>
      <c r="CI542" s="697"/>
      <c r="CJ542" s="697"/>
      <c r="CK542" s="697"/>
      <c r="CL542" s="697"/>
      <c r="CM542" s="697"/>
      <c r="CN542" s="697"/>
      <c r="CO542" s="697"/>
      <c r="CP542" s="697"/>
      <c r="CQ542" s="697"/>
      <c r="CR542" s="697"/>
      <c r="CS542" s="697"/>
      <c r="CT542" s="697"/>
      <c r="CU542" s="697"/>
      <c r="CV542" s="697"/>
      <c r="CW542" s="697"/>
      <c r="CX542" s="697"/>
      <c r="CY542" s="697"/>
      <c r="CZ542" s="697"/>
      <c r="DA542" s="697"/>
      <c r="DB542" s="697"/>
    </row>
    <row r="543" spans="1:106" hidden="1" outlineLevel="1" x14ac:dyDescent="0.2">
      <c r="A543" s="709">
        <f t="shared" si="104"/>
        <v>40269</v>
      </c>
      <c r="B543" s="709" t="str">
        <f t="shared" si="105"/>
        <v>2Q10</v>
      </c>
      <c r="C543" s="709" t="str">
        <f t="shared" si="106"/>
        <v>2Q10</v>
      </c>
      <c r="D543" s="710">
        <f t="shared" si="110"/>
        <v>40351</v>
      </c>
      <c r="E543" s="710">
        <f t="shared" si="110"/>
        <v>40291</v>
      </c>
      <c r="F543" s="712">
        <v>82.9</v>
      </c>
      <c r="G543" s="713">
        <f t="shared" si="107"/>
        <v>1.4900000000000011</v>
      </c>
      <c r="H543" s="713">
        <f t="shared" si="108"/>
        <v>1.4900000000000011</v>
      </c>
      <c r="I543" s="697"/>
      <c r="J543" s="697"/>
      <c r="K543" s="697"/>
      <c r="L543" s="697"/>
      <c r="M543" s="697"/>
      <c r="N543" s="697"/>
      <c r="O543" s="697"/>
      <c r="P543" s="697"/>
      <c r="Q543" s="697"/>
      <c r="R543" s="697"/>
      <c r="S543" s="697"/>
      <c r="T543" s="697"/>
      <c r="U543" s="697"/>
      <c r="V543" s="697"/>
      <c r="W543" s="697"/>
      <c r="X543" s="697"/>
      <c r="Y543" s="697"/>
      <c r="Z543" s="697"/>
      <c r="AA543" s="697"/>
      <c r="AB543" s="697"/>
      <c r="AC543" s="697"/>
      <c r="AD543" s="697"/>
      <c r="AE543" s="697"/>
      <c r="AF543" s="697"/>
      <c r="AG543" s="697"/>
      <c r="AH543" s="697"/>
      <c r="AI543" s="697"/>
      <c r="AJ543" s="697"/>
      <c r="AK543" s="697"/>
      <c r="AL543" s="697"/>
      <c r="AM543" s="697"/>
      <c r="AN543" s="697"/>
      <c r="AO543" s="697"/>
      <c r="AP543" s="697"/>
      <c r="AQ543" s="697"/>
      <c r="AR543" s="697"/>
      <c r="AS543" s="697"/>
      <c r="AT543" s="697"/>
      <c r="AU543" s="697"/>
      <c r="AV543" s="697"/>
      <c r="AW543" s="697"/>
      <c r="AX543" s="697"/>
      <c r="AY543" s="697"/>
      <c r="AZ543" s="697"/>
      <c r="BA543" s="697"/>
      <c r="BB543" s="697"/>
      <c r="BC543" s="697"/>
      <c r="BD543" s="697"/>
      <c r="BE543" s="697"/>
      <c r="BF543" s="697"/>
      <c r="BG543" s="697"/>
      <c r="BH543" s="697"/>
      <c r="BI543" s="697"/>
      <c r="BJ543" s="697"/>
      <c r="BK543" s="697"/>
      <c r="BL543" s="697"/>
      <c r="BM543" s="697"/>
      <c r="BN543" s="697"/>
      <c r="BO543" s="697"/>
      <c r="BP543" s="697"/>
      <c r="BQ543" s="697"/>
      <c r="BR543" s="697"/>
      <c r="BS543" s="697"/>
      <c r="BT543" s="697"/>
      <c r="BU543" s="697"/>
      <c r="BV543" s="697"/>
      <c r="BW543" s="697"/>
      <c r="BX543" s="697"/>
      <c r="BY543" s="697"/>
      <c r="BZ543" s="697"/>
      <c r="CA543" s="697"/>
      <c r="CB543" s="697"/>
      <c r="CC543" s="697"/>
      <c r="CD543" s="697"/>
      <c r="CE543" s="697"/>
      <c r="CF543" s="697"/>
      <c r="CG543" s="697"/>
      <c r="CH543" s="697"/>
      <c r="CI543" s="697"/>
      <c r="CJ543" s="697"/>
      <c r="CK543" s="697"/>
      <c r="CL543" s="697"/>
      <c r="CM543" s="697"/>
      <c r="CN543" s="697"/>
      <c r="CO543" s="697"/>
      <c r="CP543" s="697"/>
      <c r="CQ543" s="697"/>
      <c r="CR543" s="697"/>
      <c r="CS543" s="697"/>
      <c r="CT543" s="697"/>
      <c r="CU543" s="697"/>
      <c r="CV543" s="697"/>
      <c r="CW543" s="697"/>
      <c r="CX543" s="697"/>
      <c r="CY543" s="697"/>
      <c r="CZ543" s="697"/>
      <c r="DA543" s="697"/>
      <c r="DB543" s="697"/>
    </row>
    <row r="544" spans="1:106" hidden="1" outlineLevel="1" x14ac:dyDescent="0.2">
      <c r="A544" s="709">
        <f t="shared" si="104"/>
        <v>40269</v>
      </c>
      <c r="B544" s="709" t="str">
        <f t="shared" si="105"/>
        <v>2Q10</v>
      </c>
      <c r="C544" s="709" t="str">
        <f t="shared" si="106"/>
        <v>2Q10</v>
      </c>
      <c r="D544" s="710">
        <f t="shared" si="110"/>
        <v>40358</v>
      </c>
      <c r="E544" s="710">
        <f t="shared" si="110"/>
        <v>40298</v>
      </c>
      <c r="F544" s="712">
        <v>84.22</v>
      </c>
      <c r="G544" s="713">
        <f t="shared" si="107"/>
        <v>1.4900000000000011</v>
      </c>
      <c r="H544" s="713">
        <f t="shared" si="108"/>
        <v>1.4900000000000011</v>
      </c>
      <c r="I544" s="697"/>
      <c r="J544" s="697"/>
      <c r="K544" s="697"/>
      <c r="L544" s="697"/>
      <c r="M544" s="697"/>
      <c r="N544" s="697"/>
      <c r="O544" s="697"/>
      <c r="P544" s="697"/>
      <c r="Q544" s="697"/>
      <c r="R544" s="697"/>
      <c r="S544" s="697"/>
      <c r="T544" s="697"/>
      <c r="U544" s="697"/>
      <c r="V544" s="697"/>
      <c r="W544" s="697"/>
      <c r="X544" s="697"/>
      <c r="Y544" s="697"/>
      <c r="Z544" s="697"/>
      <c r="AA544" s="697"/>
      <c r="AB544" s="697"/>
      <c r="AC544" s="697"/>
      <c r="AD544" s="697"/>
      <c r="AE544" s="697"/>
      <c r="AF544" s="697"/>
      <c r="AG544" s="697"/>
      <c r="AH544" s="697"/>
      <c r="AI544" s="697"/>
      <c r="AJ544" s="697"/>
      <c r="AK544" s="697"/>
      <c r="AL544" s="697"/>
      <c r="AM544" s="697"/>
      <c r="AN544" s="697"/>
      <c r="AO544" s="697"/>
      <c r="AP544" s="697"/>
      <c r="AQ544" s="697"/>
      <c r="AR544" s="697"/>
      <c r="AS544" s="697"/>
      <c r="AT544" s="697"/>
      <c r="AU544" s="697"/>
      <c r="AV544" s="697"/>
      <c r="AW544" s="697"/>
      <c r="AX544" s="697"/>
      <c r="AY544" s="697"/>
      <c r="AZ544" s="697"/>
      <c r="BA544" s="697"/>
      <c r="BB544" s="697"/>
      <c r="BC544" s="697"/>
      <c r="BD544" s="697"/>
      <c r="BE544" s="697"/>
      <c r="BF544" s="697"/>
      <c r="BG544" s="697"/>
      <c r="BH544" s="697"/>
      <c r="BI544" s="697"/>
      <c r="BJ544" s="697"/>
      <c r="BK544" s="697"/>
      <c r="BL544" s="697"/>
      <c r="BM544" s="697"/>
      <c r="BN544" s="697"/>
      <c r="BO544" s="697"/>
      <c r="BP544" s="697"/>
      <c r="BQ544" s="697"/>
      <c r="BR544" s="697"/>
      <c r="BS544" s="697"/>
      <c r="BT544" s="697"/>
      <c r="BU544" s="697"/>
      <c r="BV544" s="697"/>
      <c r="BW544" s="697"/>
      <c r="BX544" s="697"/>
      <c r="BY544" s="697"/>
      <c r="BZ544" s="697"/>
      <c r="CA544" s="697"/>
      <c r="CB544" s="697"/>
      <c r="CC544" s="697"/>
      <c r="CD544" s="697"/>
      <c r="CE544" s="697"/>
      <c r="CF544" s="697"/>
      <c r="CG544" s="697"/>
      <c r="CH544" s="697"/>
      <c r="CI544" s="697"/>
      <c r="CJ544" s="697"/>
      <c r="CK544" s="697"/>
      <c r="CL544" s="697"/>
      <c r="CM544" s="697"/>
      <c r="CN544" s="697"/>
      <c r="CO544" s="697"/>
      <c r="CP544" s="697"/>
      <c r="CQ544" s="697"/>
      <c r="CR544" s="697"/>
      <c r="CS544" s="697"/>
      <c r="CT544" s="697"/>
      <c r="CU544" s="697"/>
      <c r="CV544" s="697"/>
      <c r="CW544" s="697"/>
      <c r="CX544" s="697"/>
      <c r="CY544" s="697"/>
      <c r="CZ544" s="697"/>
      <c r="DA544" s="697"/>
      <c r="DB544" s="697"/>
    </row>
    <row r="545" spans="1:106" hidden="1" outlineLevel="1" x14ac:dyDescent="0.2">
      <c r="A545" s="709">
        <f t="shared" si="104"/>
        <v>40299</v>
      </c>
      <c r="B545" s="709" t="str">
        <f t="shared" si="105"/>
        <v>2Q10</v>
      </c>
      <c r="C545" s="709" t="str">
        <f t="shared" si="106"/>
        <v>3Q10</v>
      </c>
      <c r="D545" s="710">
        <f t="shared" si="110"/>
        <v>40365</v>
      </c>
      <c r="E545" s="710">
        <f t="shared" si="110"/>
        <v>40305</v>
      </c>
      <c r="F545" s="712">
        <v>80.239999999999995</v>
      </c>
      <c r="G545" s="713">
        <f t="shared" si="107"/>
        <v>1.4900000000000011</v>
      </c>
      <c r="H545" s="713">
        <f t="shared" si="108"/>
        <v>1.4900000000000011</v>
      </c>
      <c r="I545" s="697"/>
      <c r="J545" s="697"/>
      <c r="K545" s="697"/>
      <c r="L545" s="697"/>
      <c r="M545" s="697"/>
      <c r="N545" s="697"/>
      <c r="O545" s="697"/>
      <c r="P545" s="697"/>
      <c r="Q545" s="697"/>
      <c r="R545" s="697"/>
      <c r="S545" s="697"/>
      <c r="T545" s="697"/>
      <c r="U545" s="697"/>
      <c r="V545" s="697"/>
      <c r="W545" s="697"/>
      <c r="X545" s="697"/>
      <c r="Y545" s="697"/>
      <c r="Z545" s="697"/>
      <c r="AA545" s="697"/>
      <c r="AB545" s="697"/>
      <c r="AC545" s="697"/>
      <c r="AD545" s="697"/>
      <c r="AE545" s="697"/>
      <c r="AF545" s="697"/>
      <c r="AG545" s="697"/>
      <c r="AH545" s="697"/>
      <c r="AI545" s="697"/>
      <c r="AJ545" s="697"/>
      <c r="AK545" s="697"/>
      <c r="AL545" s="697"/>
      <c r="AM545" s="697"/>
      <c r="AN545" s="697"/>
      <c r="AO545" s="697"/>
      <c r="AP545" s="697"/>
      <c r="AQ545" s="697"/>
      <c r="AR545" s="697"/>
      <c r="AS545" s="697"/>
      <c r="AT545" s="697"/>
      <c r="AU545" s="697"/>
      <c r="AV545" s="697"/>
      <c r="AW545" s="697"/>
      <c r="AX545" s="697"/>
      <c r="AY545" s="697"/>
      <c r="AZ545" s="697"/>
      <c r="BA545" s="697"/>
      <c r="BB545" s="697"/>
      <c r="BC545" s="697"/>
      <c r="BD545" s="697"/>
      <c r="BE545" s="697"/>
      <c r="BF545" s="697"/>
      <c r="BG545" s="697"/>
      <c r="BH545" s="697"/>
      <c r="BI545" s="697"/>
      <c r="BJ545" s="697"/>
      <c r="BK545" s="697"/>
      <c r="BL545" s="697"/>
      <c r="BM545" s="697"/>
      <c r="BN545" s="697"/>
      <c r="BO545" s="697"/>
      <c r="BP545" s="697"/>
      <c r="BQ545" s="697"/>
      <c r="BR545" s="697"/>
      <c r="BS545" s="697"/>
      <c r="BT545" s="697"/>
      <c r="BU545" s="697"/>
      <c r="BV545" s="697"/>
      <c r="BW545" s="697"/>
      <c r="BX545" s="697"/>
      <c r="BY545" s="697"/>
      <c r="BZ545" s="697"/>
      <c r="CA545" s="697"/>
      <c r="CB545" s="697"/>
      <c r="CC545" s="697"/>
      <c r="CD545" s="697"/>
      <c r="CE545" s="697"/>
      <c r="CF545" s="697"/>
      <c r="CG545" s="697"/>
      <c r="CH545" s="697"/>
      <c r="CI545" s="697"/>
      <c r="CJ545" s="697"/>
      <c r="CK545" s="697"/>
      <c r="CL545" s="697"/>
      <c r="CM545" s="697"/>
      <c r="CN545" s="697"/>
      <c r="CO545" s="697"/>
      <c r="CP545" s="697"/>
      <c r="CQ545" s="697"/>
      <c r="CR545" s="697"/>
      <c r="CS545" s="697"/>
      <c r="CT545" s="697"/>
      <c r="CU545" s="697"/>
      <c r="CV545" s="697"/>
      <c r="CW545" s="697"/>
      <c r="CX545" s="697"/>
      <c r="CY545" s="697"/>
      <c r="CZ545" s="697"/>
      <c r="DA545" s="697"/>
      <c r="DB545" s="697"/>
    </row>
    <row r="546" spans="1:106" hidden="1" outlineLevel="1" x14ac:dyDescent="0.2">
      <c r="A546" s="709">
        <f t="shared" si="104"/>
        <v>40299</v>
      </c>
      <c r="B546" s="709" t="str">
        <f t="shared" si="105"/>
        <v>2Q10</v>
      </c>
      <c r="C546" s="709" t="str">
        <f t="shared" si="106"/>
        <v>3Q10</v>
      </c>
      <c r="D546" s="710">
        <f t="shared" si="110"/>
        <v>40372</v>
      </c>
      <c r="E546" s="710">
        <f t="shared" si="110"/>
        <v>40312</v>
      </c>
      <c r="F546" s="712">
        <v>74.98</v>
      </c>
      <c r="G546" s="713">
        <f t="shared" si="107"/>
        <v>1.4900000000000011</v>
      </c>
      <c r="H546" s="713">
        <f t="shared" si="108"/>
        <v>1.4900000000000011</v>
      </c>
      <c r="I546" s="697"/>
      <c r="J546" s="697"/>
      <c r="K546" s="697"/>
      <c r="L546" s="697"/>
      <c r="M546" s="697"/>
      <c r="N546" s="697"/>
      <c r="O546" s="697"/>
      <c r="P546" s="697"/>
      <c r="Q546" s="697"/>
      <c r="R546" s="697"/>
      <c r="S546" s="697"/>
      <c r="T546" s="697"/>
      <c r="U546" s="697"/>
      <c r="V546" s="697"/>
      <c r="W546" s="697"/>
      <c r="X546" s="697"/>
      <c r="Y546" s="697"/>
      <c r="Z546" s="697"/>
      <c r="AA546" s="697"/>
      <c r="AB546" s="697"/>
      <c r="AC546" s="697"/>
      <c r="AD546" s="697"/>
      <c r="AE546" s="697"/>
      <c r="AF546" s="697"/>
      <c r="AG546" s="697"/>
      <c r="AH546" s="697"/>
      <c r="AI546" s="697"/>
      <c r="AJ546" s="697"/>
      <c r="AK546" s="697"/>
      <c r="AL546" s="697"/>
      <c r="AM546" s="697"/>
      <c r="AN546" s="697"/>
      <c r="AO546" s="697"/>
      <c r="AP546" s="697"/>
      <c r="AQ546" s="697"/>
      <c r="AR546" s="697"/>
      <c r="AS546" s="697"/>
      <c r="AT546" s="697"/>
      <c r="AU546" s="697"/>
      <c r="AV546" s="697"/>
      <c r="AW546" s="697"/>
      <c r="AX546" s="697"/>
      <c r="AY546" s="697"/>
      <c r="AZ546" s="697"/>
      <c r="BA546" s="697"/>
      <c r="BB546" s="697"/>
      <c r="BC546" s="697"/>
      <c r="BD546" s="697"/>
      <c r="BE546" s="697"/>
      <c r="BF546" s="697"/>
      <c r="BG546" s="697"/>
      <c r="BH546" s="697"/>
      <c r="BI546" s="697"/>
      <c r="BJ546" s="697"/>
      <c r="BK546" s="697"/>
      <c r="BL546" s="697"/>
      <c r="BM546" s="697"/>
      <c r="BN546" s="697"/>
      <c r="BO546" s="697"/>
      <c r="BP546" s="697"/>
      <c r="BQ546" s="697"/>
      <c r="BR546" s="697"/>
      <c r="BS546" s="697"/>
      <c r="BT546" s="697"/>
      <c r="BU546" s="697"/>
      <c r="BV546" s="697"/>
      <c r="BW546" s="697"/>
      <c r="BX546" s="697"/>
      <c r="BY546" s="697"/>
      <c r="BZ546" s="697"/>
      <c r="CA546" s="697"/>
      <c r="CB546" s="697"/>
      <c r="CC546" s="697"/>
      <c r="CD546" s="697"/>
      <c r="CE546" s="697"/>
      <c r="CF546" s="697"/>
      <c r="CG546" s="697"/>
      <c r="CH546" s="697"/>
      <c r="CI546" s="697"/>
      <c r="CJ546" s="697"/>
      <c r="CK546" s="697"/>
      <c r="CL546" s="697"/>
      <c r="CM546" s="697"/>
      <c r="CN546" s="697"/>
      <c r="CO546" s="697"/>
      <c r="CP546" s="697"/>
      <c r="CQ546" s="697"/>
      <c r="CR546" s="697"/>
      <c r="CS546" s="697"/>
      <c r="CT546" s="697"/>
      <c r="CU546" s="697"/>
      <c r="CV546" s="697"/>
      <c r="CW546" s="697"/>
      <c r="CX546" s="697"/>
      <c r="CY546" s="697"/>
      <c r="CZ546" s="697"/>
      <c r="DA546" s="697"/>
      <c r="DB546" s="697"/>
    </row>
    <row r="547" spans="1:106" hidden="1" outlineLevel="1" x14ac:dyDescent="0.2">
      <c r="A547" s="709">
        <f t="shared" si="104"/>
        <v>40299</v>
      </c>
      <c r="B547" s="709" t="str">
        <f t="shared" si="105"/>
        <v>2Q10</v>
      </c>
      <c r="C547" s="709" t="str">
        <f t="shared" si="106"/>
        <v>3Q10</v>
      </c>
      <c r="D547" s="710">
        <f t="shared" si="110"/>
        <v>40379</v>
      </c>
      <c r="E547" s="710">
        <f t="shared" si="110"/>
        <v>40319</v>
      </c>
      <c r="F547" s="712">
        <v>69.14</v>
      </c>
      <c r="G547" s="713">
        <f t="shared" si="107"/>
        <v>1.4900000000000011</v>
      </c>
      <c r="H547" s="713">
        <f t="shared" si="108"/>
        <v>1.4900000000000011</v>
      </c>
      <c r="I547" s="697"/>
      <c r="J547" s="697"/>
      <c r="K547" s="697"/>
      <c r="L547" s="697"/>
      <c r="M547" s="697"/>
      <c r="N547" s="697"/>
      <c r="O547" s="697"/>
      <c r="P547" s="697"/>
      <c r="Q547" s="697"/>
      <c r="R547" s="697"/>
      <c r="S547" s="697"/>
      <c r="T547" s="697"/>
      <c r="U547" s="697"/>
      <c r="V547" s="697"/>
      <c r="W547" s="697"/>
      <c r="X547" s="697"/>
      <c r="Y547" s="697"/>
      <c r="Z547" s="697"/>
      <c r="AA547" s="697"/>
      <c r="AB547" s="697"/>
      <c r="AC547" s="697"/>
      <c r="AD547" s="697"/>
      <c r="AE547" s="697"/>
      <c r="AF547" s="697"/>
      <c r="AG547" s="697"/>
      <c r="AH547" s="697"/>
      <c r="AI547" s="697"/>
      <c r="AJ547" s="697"/>
      <c r="AK547" s="697"/>
      <c r="AL547" s="697"/>
      <c r="AM547" s="697"/>
      <c r="AN547" s="697"/>
      <c r="AO547" s="697"/>
      <c r="AP547" s="697"/>
      <c r="AQ547" s="697"/>
      <c r="AR547" s="697"/>
      <c r="AS547" s="697"/>
      <c r="AT547" s="697"/>
      <c r="AU547" s="697"/>
      <c r="AV547" s="697"/>
      <c r="AW547" s="697"/>
      <c r="AX547" s="697"/>
      <c r="AY547" s="697"/>
      <c r="AZ547" s="697"/>
      <c r="BA547" s="697"/>
      <c r="BB547" s="697"/>
      <c r="BC547" s="697"/>
      <c r="BD547" s="697"/>
      <c r="BE547" s="697"/>
      <c r="BF547" s="697"/>
      <c r="BG547" s="697"/>
      <c r="BH547" s="697"/>
      <c r="BI547" s="697"/>
      <c r="BJ547" s="697"/>
      <c r="BK547" s="697"/>
      <c r="BL547" s="697"/>
      <c r="BM547" s="697"/>
      <c r="BN547" s="697"/>
      <c r="BO547" s="697"/>
      <c r="BP547" s="697"/>
      <c r="BQ547" s="697"/>
      <c r="BR547" s="697"/>
      <c r="BS547" s="697"/>
      <c r="BT547" s="697"/>
      <c r="BU547" s="697"/>
      <c r="BV547" s="697"/>
      <c r="BW547" s="697"/>
      <c r="BX547" s="697"/>
      <c r="BY547" s="697"/>
      <c r="BZ547" s="697"/>
      <c r="CA547" s="697"/>
      <c r="CB547" s="697"/>
      <c r="CC547" s="697"/>
      <c r="CD547" s="697"/>
      <c r="CE547" s="697"/>
      <c r="CF547" s="697"/>
      <c r="CG547" s="697"/>
      <c r="CH547" s="697"/>
      <c r="CI547" s="697"/>
      <c r="CJ547" s="697"/>
      <c r="CK547" s="697"/>
      <c r="CL547" s="697"/>
      <c r="CM547" s="697"/>
      <c r="CN547" s="697"/>
      <c r="CO547" s="697"/>
      <c r="CP547" s="697"/>
      <c r="CQ547" s="697"/>
      <c r="CR547" s="697"/>
      <c r="CS547" s="697"/>
      <c r="CT547" s="697"/>
      <c r="CU547" s="697"/>
      <c r="CV547" s="697"/>
      <c r="CW547" s="697"/>
      <c r="CX547" s="697"/>
      <c r="CY547" s="697"/>
      <c r="CZ547" s="697"/>
      <c r="DA547" s="697"/>
      <c r="DB547" s="697"/>
    </row>
    <row r="548" spans="1:106" hidden="1" outlineLevel="1" x14ac:dyDescent="0.2">
      <c r="A548" s="709">
        <f t="shared" si="104"/>
        <v>40299</v>
      </c>
      <c r="B548" s="709" t="str">
        <f t="shared" si="105"/>
        <v>2Q10</v>
      </c>
      <c r="C548" s="709" t="str">
        <f t="shared" si="106"/>
        <v>3Q10</v>
      </c>
      <c r="D548" s="710">
        <f t="shared" si="110"/>
        <v>40386</v>
      </c>
      <c r="E548" s="710">
        <f t="shared" si="110"/>
        <v>40326</v>
      </c>
      <c r="F548" s="712">
        <v>70.62</v>
      </c>
      <c r="G548" s="713">
        <f t="shared" si="107"/>
        <v>1.4900000000000011</v>
      </c>
      <c r="H548" s="713">
        <f t="shared" si="108"/>
        <v>1.4900000000000011</v>
      </c>
      <c r="I548" s="697"/>
      <c r="J548" s="697"/>
      <c r="K548" s="697"/>
      <c r="L548" s="697"/>
      <c r="M548" s="697"/>
      <c r="N548" s="697"/>
      <c r="O548" s="697"/>
      <c r="P548" s="697"/>
      <c r="Q548" s="697"/>
      <c r="R548" s="697"/>
      <c r="S548" s="697"/>
      <c r="T548" s="697"/>
      <c r="U548" s="697"/>
      <c r="V548" s="697"/>
      <c r="W548" s="697"/>
      <c r="X548" s="697"/>
      <c r="Y548" s="697"/>
      <c r="Z548" s="697"/>
      <c r="AA548" s="697"/>
      <c r="AB548" s="697"/>
      <c r="AC548" s="697"/>
      <c r="AD548" s="697"/>
      <c r="AE548" s="697"/>
      <c r="AF548" s="697"/>
      <c r="AG548" s="697"/>
      <c r="AH548" s="697"/>
      <c r="AI548" s="697"/>
      <c r="AJ548" s="697"/>
      <c r="AK548" s="697"/>
      <c r="AL548" s="697"/>
      <c r="AM548" s="697"/>
      <c r="AN548" s="697"/>
      <c r="AO548" s="697"/>
      <c r="AP548" s="697"/>
      <c r="AQ548" s="697"/>
      <c r="AR548" s="697"/>
      <c r="AS548" s="697"/>
      <c r="AT548" s="697"/>
      <c r="AU548" s="697"/>
      <c r="AV548" s="697"/>
      <c r="AW548" s="697"/>
      <c r="AX548" s="697"/>
      <c r="AY548" s="697"/>
      <c r="AZ548" s="697"/>
      <c r="BA548" s="697"/>
      <c r="BB548" s="697"/>
      <c r="BC548" s="697"/>
      <c r="BD548" s="697"/>
      <c r="BE548" s="697"/>
      <c r="BF548" s="697"/>
      <c r="BG548" s="697"/>
      <c r="BH548" s="697"/>
      <c r="BI548" s="697"/>
      <c r="BJ548" s="697"/>
      <c r="BK548" s="697"/>
      <c r="BL548" s="697"/>
      <c r="BM548" s="697"/>
      <c r="BN548" s="697"/>
      <c r="BO548" s="697"/>
      <c r="BP548" s="697"/>
      <c r="BQ548" s="697"/>
      <c r="BR548" s="697"/>
      <c r="BS548" s="697"/>
      <c r="BT548" s="697"/>
      <c r="BU548" s="697"/>
      <c r="BV548" s="697"/>
      <c r="BW548" s="697"/>
      <c r="BX548" s="697"/>
      <c r="BY548" s="697"/>
      <c r="BZ548" s="697"/>
      <c r="CA548" s="697"/>
      <c r="CB548" s="697"/>
      <c r="CC548" s="697"/>
      <c r="CD548" s="697"/>
      <c r="CE548" s="697"/>
      <c r="CF548" s="697"/>
      <c r="CG548" s="697"/>
      <c r="CH548" s="697"/>
      <c r="CI548" s="697"/>
      <c r="CJ548" s="697"/>
      <c r="CK548" s="697"/>
      <c r="CL548" s="697"/>
      <c r="CM548" s="697"/>
      <c r="CN548" s="697"/>
      <c r="CO548" s="697"/>
      <c r="CP548" s="697"/>
      <c r="CQ548" s="697"/>
      <c r="CR548" s="697"/>
      <c r="CS548" s="697"/>
      <c r="CT548" s="697"/>
      <c r="CU548" s="697"/>
      <c r="CV548" s="697"/>
      <c r="CW548" s="697"/>
      <c r="CX548" s="697"/>
      <c r="CY548" s="697"/>
      <c r="CZ548" s="697"/>
      <c r="DA548" s="697"/>
      <c r="DB548" s="697"/>
    </row>
    <row r="549" spans="1:106" hidden="1" outlineLevel="1" x14ac:dyDescent="0.2">
      <c r="A549" s="709">
        <f t="shared" si="104"/>
        <v>40330</v>
      </c>
      <c r="B549" s="709" t="str">
        <f t="shared" si="105"/>
        <v>2Q10</v>
      </c>
      <c r="C549" s="709" t="str">
        <f t="shared" si="106"/>
        <v>3Q10</v>
      </c>
      <c r="D549" s="710">
        <f t="shared" ref="D549:E564" si="111">D548+7</f>
        <v>40393</v>
      </c>
      <c r="E549" s="710">
        <f t="shared" si="111"/>
        <v>40333</v>
      </c>
      <c r="F549" s="712">
        <v>72.91</v>
      </c>
      <c r="G549" s="713">
        <f t="shared" si="107"/>
        <v>1.4900000000000011</v>
      </c>
      <c r="H549" s="713">
        <f t="shared" si="108"/>
        <v>1.4900000000000011</v>
      </c>
      <c r="I549" s="697"/>
      <c r="J549" s="697"/>
      <c r="K549" s="697"/>
      <c r="L549" s="697"/>
      <c r="M549" s="697"/>
      <c r="N549" s="697"/>
      <c r="O549" s="697"/>
      <c r="P549" s="697"/>
      <c r="Q549" s="697"/>
      <c r="R549" s="697"/>
      <c r="S549" s="697"/>
      <c r="T549" s="697"/>
      <c r="U549" s="697"/>
      <c r="V549" s="697"/>
      <c r="W549" s="697"/>
      <c r="X549" s="697"/>
      <c r="Y549" s="697"/>
      <c r="Z549" s="697"/>
      <c r="AA549" s="697"/>
      <c r="AB549" s="697"/>
      <c r="AC549" s="697"/>
      <c r="AD549" s="697"/>
      <c r="AE549" s="697"/>
      <c r="AF549" s="697"/>
      <c r="AG549" s="697"/>
      <c r="AH549" s="697"/>
      <c r="AI549" s="697"/>
      <c r="AJ549" s="697"/>
      <c r="AK549" s="697"/>
      <c r="AL549" s="697"/>
      <c r="AM549" s="697"/>
      <c r="AN549" s="697"/>
      <c r="AO549" s="697"/>
      <c r="AP549" s="697"/>
      <c r="AQ549" s="697"/>
      <c r="AR549" s="697"/>
      <c r="AS549" s="697"/>
      <c r="AT549" s="697"/>
      <c r="AU549" s="697"/>
      <c r="AV549" s="697"/>
      <c r="AW549" s="697"/>
      <c r="AX549" s="697"/>
      <c r="AY549" s="697"/>
      <c r="AZ549" s="697"/>
      <c r="BA549" s="697"/>
      <c r="BB549" s="697"/>
      <c r="BC549" s="697"/>
      <c r="BD549" s="697"/>
      <c r="BE549" s="697"/>
      <c r="BF549" s="697"/>
      <c r="BG549" s="697"/>
      <c r="BH549" s="697"/>
      <c r="BI549" s="697"/>
      <c r="BJ549" s="697"/>
      <c r="BK549" s="697"/>
      <c r="BL549" s="697"/>
      <c r="BM549" s="697"/>
      <c r="BN549" s="697"/>
      <c r="BO549" s="697"/>
      <c r="BP549" s="697"/>
      <c r="BQ549" s="697"/>
      <c r="BR549" s="697"/>
      <c r="BS549" s="697"/>
      <c r="BT549" s="697"/>
      <c r="BU549" s="697"/>
      <c r="BV549" s="697"/>
      <c r="BW549" s="697"/>
      <c r="BX549" s="697"/>
      <c r="BY549" s="697"/>
      <c r="BZ549" s="697"/>
      <c r="CA549" s="697"/>
      <c r="CB549" s="697"/>
      <c r="CC549" s="697"/>
      <c r="CD549" s="697"/>
      <c r="CE549" s="697"/>
      <c r="CF549" s="697"/>
      <c r="CG549" s="697"/>
      <c r="CH549" s="697"/>
      <c r="CI549" s="697"/>
      <c r="CJ549" s="697"/>
      <c r="CK549" s="697"/>
      <c r="CL549" s="697"/>
      <c r="CM549" s="697"/>
      <c r="CN549" s="697"/>
      <c r="CO549" s="697"/>
      <c r="CP549" s="697"/>
      <c r="CQ549" s="697"/>
      <c r="CR549" s="697"/>
      <c r="CS549" s="697"/>
      <c r="CT549" s="697"/>
      <c r="CU549" s="697"/>
      <c r="CV549" s="697"/>
      <c r="CW549" s="697"/>
      <c r="CX549" s="697"/>
      <c r="CY549" s="697"/>
      <c r="CZ549" s="697"/>
      <c r="DA549" s="697"/>
      <c r="DB549" s="697"/>
    </row>
    <row r="550" spans="1:106" hidden="1" outlineLevel="1" x14ac:dyDescent="0.2">
      <c r="A550" s="709">
        <f t="shared" si="104"/>
        <v>40330</v>
      </c>
      <c r="B550" s="709" t="str">
        <f t="shared" si="105"/>
        <v>2Q10</v>
      </c>
      <c r="C550" s="709" t="str">
        <f t="shared" si="106"/>
        <v>3Q10</v>
      </c>
      <c r="D550" s="710">
        <f t="shared" si="111"/>
        <v>40400</v>
      </c>
      <c r="E550" s="710">
        <f t="shared" si="111"/>
        <v>40340</v>
      </c>
      <c r="F550" s="712">
        <v>73.44</v>
      </c>
      <c r="G550" s="713">
        <f t="shared" si="107"/>
        <v>1.4900000000000011</v>
      </c>
      <c r="H550" s="713">
        <f t="shared" si="108"/>
        <v>1.4900000000000011</v>
      </c>
      <c r="I550" s="697"/>
      <c r="J550" s="697"/>
      <c r="K550" s="697"/>
      <c r="L550" s="697"/>
      <c r="M550" s="697"/>
      <c r="N550" s="697"/>
      <c r="O550" s="697"/>
      <c r="P550" s="697"/>
      <c r="Q550" s="697"/>
      <c r="R550" s="697"/>
      <c r="S550" s="697"/>
      <c r="T550" s="697"/>
      <c r="U550" s="697"/>
      <c r="V550" s="697"/>
      <c r="W550" s="697"/>
      <c r="X550" s="697"/>
      <c r="Y550" s="697"/>
      <c r="Z550" s="697"/>
      <c r="AA550" s="697"/>
      <c r="AB550" s="697"/>
      <c r="AC550" s="697"/>
      <c r="AD550" s="697"/>
      <c r="AE550" s="697"/>
      <c r="AF550" s="697"/>
      <c r="AG550" s="697"/>
      <c r="AH550" s="697"/>
      <c r="AI550" s="697"/>
      <c r="AJ550" s="697"/>
      <c r="AK550" s="697"/>
      <c r="AL550" s="697"/>
      <c r="AM550" s="697"/>
      <c r="AN550" s="697"/>
      <c r="AO550" s="697"/>
      <c r="AP550" s="697"/>
      <c r="AQ550" s="697"/>
      <c r="AR550" s="697"/>
      <c r="AS550" s="697"/>
      <c r="AT550" s="697"/>
      <c r="AU550" s="697"/>
      <c r="AV550" s="697"/>
      <c r="AW550" s="697"/>
      <c r="AX550" s="697"/>
      <c r="AY550" s="697"/>
      <c r="AZ550" s="697"/>
      <c r="BA550" s="697"/>
      <c r="BB550" s="697"/>
      <c r="BC550" s="697"/>
      <c r="BD550" s="697"/>
      <c r="BE550" s="697"/>
      <c r="BF550" s="697"/>
      <c r="BG550" s="697"/>
      <c r="BH550" s="697"/>
      <c r="BI550" s="697"/>
      <c r="BJ550" s="697"/>
      <c r="BK550" s="697"/>
      <c r="BL550" s="697"/>
      <c r="BM550" s="697"/>
      <c r="BN550" s="697"/>
      <c r="BO550" s="697"/>
      <c r="BP550" s="697"/>
      <c r="BQ550" s="697"/>
      <c r="BR550" s="697"/>
      <c r="BS550" s="697"/>
      <c r="BT550" s="697"/>
      <c r="BU550" s="697"/>
      <c r="BV550" s="697"/>
      <c r="BW550" s="697"/>
      <c r="BX550" s="697"/>
      <c r="BY550" s="697"/>
      <c r="BZ550" s="697"/>
      <c r="CA550" s="697"/>
      <c r="CB550" s="697"/>
      <c r="CC550" s="697"/>
      <c r="CD550" s="697"/>
      <c r="CE550" s="697"/>
      <c r="CF550" s="697"/>
      <c r="CG550" s="697"/>
      <c r="CH550" s="697"/>
      <c r="CI550" s="697"/>
      <c r="CJ550" s="697"/>
      <c r="CK550" s="697"/>
      <c r="CL550" s="697"/>
      <c r="CM550" s="697"/>
      <c r="CN550" s="697"/>
      <c r="CO550" s="697"/>
      <c r="CP550" s="697"/>
      <c r="CQ550" s="697"/>
      <c r="CR550" s="697"/>
      <c r="CS550" s="697"/>
      <c r="CT550" s="697"/>
      <c r="CU550" s="697"/>
      <c r="CV550" s="697"/>
      <c r="CW550" s="697"/>
      <c r="CX550" s="697"/>
      <c r="CY550" s="697"/>
      <c r="CZ550" s="697"/>
      <c r="DA550" s="697"/>
      <c r="DB550" s="697"/>
    </row>
    <row r="551" spans="1:106" hidden="1" outlineLevel="1" x14ac:dyDescent="0.2">
      <c r="A551" s="709">
        <f t="shared" si="104"/>
        <v>40330</v>
      </c>
      <c r="B551" s="709" t="str">
        <f t="shared" si="105"/>
        <v>2Q10</v>
      </c>
      <c r="C551" s="709" t="str">
        <f t="shared" si="106"/>
        <v>3Q10</v>
      </c>
      <c r="D551" s="710">
        <f t="shared" si="111"/>
        <v>40407</v>
      </c>
      <c r="E551" s="710">
        <f t="shared" si="111"/>
        <v>40347</v>
      </c>
      <c r="F551" s="712">
        <v>76.7</v>
      </c>
      <c r="G551" s="713">
        <f t="shared" si="107"/>
        <v>1.4900000000000011</v>
      </c>
      <c r="H551" s="713">
        <f t="shared" si="108"/>
        <v>1.4900000000000011</v>
      </c>
      <c r="I551" s="697"/>
      <c r="J551" s="697"/>
      <c r="K551" s="697"/>
      <c r="L551" s="697"/>
      <c r="M551" s="697"/>
      <c r="N551" s="697"/>
      <c r="O551" s="697"/>
      <c r="P551" s="697"/>
      <c r="Q551" s="697"/>
      <c r="R551" s="697"/>
      <c r="S551" s="697"/>
      <c r="T551" s="697"/>
      <c r="U551" s="697"/>
      <c r="V551" s="697"/>
      <c r="W551" s="697"/>
      <c r="X551" s="697"/>
      <c r="Y551" s="697"/>
      <c r="Z551" s="697"/>
      <c r="AA551" s="697"/>
      <c r="AB551" s="697"/>
      <c r="AC551" s="697"/>
      <c r="AD551" s="697"/>
      <c r="AE551" s="697"/>
      <c r="AF551" s="697"/>
      <c r="AG551" s="697"/>
      <c r="AH551" s="697"/>
      <c r="AI551" s="697"/>
      <c r="AJ551" s="697"/>
      <c r="AK551" s="697"/>
      <c r="AL551" s="697"/>
      <c r="AM551" s="697"/>
      <c r="AN551" s="697"/>
      <c r="AO551" s="697"/>
      <c r="AP551" s="697"/>
      <c r="AQ551" s="697"/>
      <c r="AR551" s="697"/>
      <c r="AS551" s="697"/>
      <c r="AT551" s="697"/>
      <c r="AU551" s="697"/>
      <c r="AV551" s="697"/>
      <c r="AW551" s="697"/>
      <c r="AX551" s="697"/>
      <c r="AY551" s="697"/>
      <c r="AZ551" s="697"/>
      <c r="BA551" s="697"/>
      <c r="BB551" s="697"/>
      <c r="BC551" s="697"/>
      <c r="BD551" s="697"/>
      <c r="BE551" s="697"/>
      <c r="BF551" s="697"/>
      <c r="BG551" s="697"/>
      <c r="BH551" s="697"/>
      <c r="BI551" s="697"/>
      <c r="BJ551" s="697"/>
      <c r="BK551" s="697"/>
      <c r="BL551" s="697"/>
      <c r="BM551" s="697"/>
      <c r="BN551" s="697"/>
      <c r="BO551" s="697"/>
      <c r="BP551" s="697"/>
      <c r="BQ551" s="697"/>
      <c r="BR551" s="697"/>
      <c r="BS551" s="697"/>
      <c r="BT551" s="697"/>
      <c r="BU551" s="697"/>
      <c r="BV551" s="697"/>
      <c r="BW551" s="697"/>
      <c r="BX551" s="697"/>
      <c r="BY551" s="697"/>
      <c r="BZ551" s="697"/>
      <c r="CA551" s="697"/>
      <c r="CB551" s="697"/>
      <c r="CC551" s="697"/>
      <c r="CD551" s="697"/>
      <c r="CE551" s="697"/>
      <c r="CF551" s="697"/>
      <c r="CG551" s="697"/>
      <c r="CH551" s="697"/>
      <c r="CI551" s="697"/>
      <c r="CJ551" s="697"/>
      <c r="CK551" s="697"/>
      <c r="CL551" s="697"/>
      <c r="CM551" s="697"/>
      <c r="CN551" s="697"/>
      <c r="CO551" s="697"/>
      <c r="CP551" s="697"/>
      <c r="CQ551" s="697"/>
      <c r="CR551" s="697"/>
      <c r="CS551" s="697"/>
      <c r="CT551" s="697"/>
      <c r="CU551" s="697"/>
      <c r="CV551" s="697"/>
      <c r="CW551" s="697"/>
      <c r="CX551" s="697"/>
      <c r="CY551" s="697"/>
      <c r="CZ551" s="697"/>
      <c r="DA551" s="697"/>
      <c r="DB551" s="697"/>
    </row>
    <row r="552" spans="1:106" hidden="1" outlineLevel="1" x14ac:dyDescent="0.2">
      <c r="A552" s="709">
        <f t="shared" si="104"/>
        <v>40330</v>
      </c>
      <c r="B552" s="709" t="str">
        <f t="shared" si="105"/>
        <v>2Q10</v>
      </c>
      <c r="C552" s="709" t="str">
        <f t="shared" si="106"/>
        <v>3Q10</v>
      </c>
      <c r="D552" s="710">
        <f t="shared" si="111"/>
        <v>40414</v>
      </c>
      <c r="E552" s="710">
        <f t="shared" si="111"/>
        <v>40354</v>
      </c>
      <c r="F552" s="712">
        <v>77.06</v>
      </c>
      <c r="G552" s="713">
        <f t="shared" si="107"/>
        <v>1.4900000000000011</v>
      </c>
      <c r="H552" s="713">
        <f t="shared" si="108"/>
        <v>1.4900000000000011</v>
      </c>
      <c r="I552" s="697"/>
      <c r="J552" s="697"/>
      <c r="K552" s="697"/>
      <c r="L552" s="697"/>
      <c r="M552" s="697"/>
      <c r="N552" s="697"/>
      <c r="O552" s="697"/>
      <c r="P552" s="697"/>
      <c r="Q552" s="697"/>
      <c r="R552" s="697"/>
      <c r="S552" s="697"/>
      <c r="T552" s="697"/>
      <c r="U552" s="697"/>
      <c r="V552" s="697"/>
      <c r="W552" s="697"/>
      <c r="X552" s="697"/>
      <c r="Y552" s="697"/>
      <c r="Z552" s="697"/>
      <c r="AA552" s="697"/>
      <c r="AB552" s="697"/>
      <c r="AC552" s="697"/>
      <c r="AD552" s="697"/>
      <c r="AE552" s="697"/>
      <c r="AF552" s="697"/>
      <c r="AG552" s="697"/>
      <c r="AH552" s="697"/>
      <c r="AI552" s="697"/>
      <c r="AJ552" s="697"/>
      <c r="AK552" s="697"/>
      <c r="AL552" s="697"/>
      <c r="AM552" s="697"/>
      <c r="AN552" s="697"/>
      <c r="AO552" s="697"/>
      <c r="AP552" s="697"/>
      <c r="AQ552" s="697"/>
      <c r="AR552" s="697"/>
      <c r="AS552" s="697"/>
      <c r="AT552" s="697"/>
      <c r="AU552" s="697"/>
      <c r="AV552" s="697"/>
      <c r="AW552" s="697"/>
      <c r="AX552" s="697"/>
      <c r="AY552" s="697"/>
      <c r="AZ552" s="697"/>
      <c r="BA552" s="697"/>
      <c r="BB552" s="697"/>
      <c r="BC552" s="697"/>
      <c r="BD552" s="697"/>
      <c r="BE552" s="697"/>
      <c r="BF552" s="697"/>
      <c r="BG552" s="697"/>
      <c r="BH552" s="697"/>
      <c r="BI552" s="697"/>
      <c r="BJ552" s="697"/>
      <c r="BK552" s="697"/>
      <c r="BL552" s="697"/>
      <c r="BM552" s="697"/>
      <c r="BN552" s="697"/>
      <c r="BO552" s="697"/>
      <c r="BP552" s="697"/>
      <c r="BQ552" s="697"/>
      <c r="BR552" s="697"/>
      <c r="BS552" s="697"/>
      <c r="BT552" s="697"/>
      <c r="BU552" s="697"/>
      <c r="BV552" s="697"/>
      <c r="BW552" s="697"/>
      <c r="BX552" s="697"/>
      <c r="BY552" s="697"/>
      <c r="BZ552" s="697"/>
      <c r="CA552" s="697"/>
      <c r="CB552" s="697"/>
      <c r="CC552" s="697"/>
      <c r="CD552" s="697"/>
      <c r="CE552" s="697"/>
      <c r="CF552" s="697"/>
      <c r="CG552" s="697"/>
      <c r="CH552" s="697"/>
      <c r="CI552" s="697"/>
      <c r="CJ552" s="697"/>
      <c r="CK552" s="697"/>
      <c r="CL552" s="697"/>
      <c r="CM552" s="697"/>
      <c r="CN552" s="697"/>
      <c r="CO552" s="697"/>
      <c r="CP552" s="697"/>
      <c r="CQ552" s="697"/>
      <c r="CR552" s="697"/>
      <c r="CS552" s="697"/>
      <c r="CT552" s="697"/>
      <c r="CU552" s="697"/>
      <c r="CV552" s="697"/>
      <c r="CW552" s="697"/>
      <c r="CX552" s="697"/>
      <c r="CY552" s="697"/>
      <c r="CZ552" s="697"/>
      <c r="DA552" s="697"/>
      <c r="DB552" s="697"/>
    </row>
    <row r="553" spans="1:106" hidden="1" outlineLevel="1" x14ac:dyDescent="0.2">
      <c r="A553" s="709">
        <f t="shared" si="104"/>
        <v>40360</v>
      </c>
      <c r="B553" s="709" t="str">
        <f t="shared" si="105"/>
        <v>3Q10</v>
      </c>
      <c r="C553" s="709" t="str">
        <f t="shared" si="106"/>
        <v>3Q10</v>
      </c>
      <c r="D553" s="710">
        <f t="shared" si="111"/>
        <v>40421</v>
      </c>
      <c r="E553" s="710">
        <f t="shared" si="111"/>
        <v>40361</v>
      </c>
      <c r="F553" s="712">
        <v>74.959999999999994</v>
      </c>
      <c r="G553" s="713">
        <f t="shared" si="107"/>
        <v>1.4900000000000011</v>
      </c>
      <c r="H553" s="713">
        <f t="shared" si="108"/>
        <v>1.4900000000000011</v>
      </c>
      <c r="I553" s="697"/>
      <c r="J553" s="697"/>
      <c r="K553" s="697"/>
      <c r="L553" s="697"/>
      <c r="M553" s="697"/>
      <c r="N553" s="697"/>
      <c r="O553" s="697"/>
      <c r="P553" s="697"/>
      <c r="Q553" s="697"/>
      <c r="R553" s="697"/>
      <c r="S553" s="697"/>
      <c r="T553" s="697"/>
      <c r="U553" s="697"/>
      <c r="V553" s="697"/>
      <c r="W553" s="697"/>
      <c r="X553" s="697"/>
      <c r="Y553" s="697"/>
      <c r="Z553" s="697"/>
      <c r="AA553" s="697"/>
      <c r="AB553" s="697"/>
      <c r="AC553" s="697"/>
      <c r="AD553" s="697"/>
      <c r="AE553" s="697"/>
      <c r="AF553" s="697"/>
      <c r="AG553" s="697"/>
      <c r="AH553" s="697"/>
      <c r="AI553" s="697"/>
      <c r="AJ553" s="697"/>
      <c r="AK553" s="697"/>
      <c r="AL553" s="697"/>
      <c r="AM553" s="697"/>
      <c r="AN553" s="697"/>
      <c r="AO553" s="697"/>
      <c r="AP553" s="697"/>
      <c r="AQ553" s="697"/>
      <c r="AR553" s="697"/>
      <c r="AS553" s="697"/>
      <c r="AT553" s="697"/>
      <c r="AU553" s="697"/>
      <c r="AV553" s="697"/>
      <c r="AW553" s="697"/>
      <c r="AX553" s="697"/>
      <c r="AY553" s="697"/>
      <c r="AZ553" s="697"/>
      <c r="BA553" s="697"/>
      <c r="BB553" s="697"/>
      <c r="BC553" s="697"/>
      <c r="BD553" s="697"/>
      <c r="BE553" s="697"/>
      <c r="BF553" s="697"/>
      <c r="BG553" s="697"/>
      <c r="BH553" s="697"/>
      <c r="BI553" s="697"/>
      <c r="BJ553" s="697"/>
      <c r="BK553" s="697"/>
      <c r="BL553" s="697"/>
      <c r="BM553" s="697"/>
      <c r="BN553" s="697"/>
      <c r="BO553" s="697"/>
      <c r="BP553" s="697"/>
      <c r="BQ553" s="697"/>
      <c r="BR553" s="697"/>
      <c r="BS553" s="697"/>
      <c r="BT553" s="697"/>
      <c r="BU553" s="697"/>
      <c r="BV553" s="697"/>
      <c r="BW553" s="697"/>
      <c r="BX553" s="697"/>
      <c r="BY553" s="697"/>
      <c r="BZ553" s="697"/>
      <c r="CA553" s="697"/>
      <c r="CB553" s="697"/>
      <c r="CC553" s="697"/>
      <c r="CD553" s="697"/>
      <c r="CE553" s="697"/>
      <c r="CF553" s="697"/>
      <c r="CG553" s="697"/>
      <c r="CH553" s="697"/>
      <c r="CI553" s="697"/>
      <c r="CJ553" s="697"/>
      <c r="CK553" s="697"/>
      <c r="CL553" s="697"/>
      <c r="CM553" s="697"/>
      <c r="CN553" s="697"/>
      <c r="CO553" s="697"/>
      <c r="CP553" s="697"/>
      <c r="CQ553" s="697"/>
      <c r="CR553" s="697"/>
      <c r="CS553" s="697"/>
      <c r="CT553" s="697"/>
      <c r="CU553" s="697"/>
      <c r="CV553" s="697"/>
      <c r="CW553" s="697"/>
      <c r="CX553" s="697"/>
      <c r="CY553" s="697"/>
      <c r="CZ553" s="697"/>
      <c r="DA553" s="697"/>
      <c r="DB553" s="697"/>
    </row>
    <row r="554" spans="1:106" hidden="1" outlineLevel="1" x14ac:dyDescent="0.2">
      <c r="A554" s="709">
        <f t="shared" si="104"/>
        <v>40360</v>
      </c>
      <c r="B554" s="709" t="str">
        <f t="shared" si="105"/>
        <v>3Q10</v>
      </c>
      <c r="C554" s="709" t="str">
        <f t="shared" si="106"/>
        <v>3Q10</v>
      </c>
      <c r="D554" s="710">
        <f t="shared" si="111"/>
        <v>40428</v>
      </c>
      <c r="E554" s="710">
        <f t="shared" si="111"/>
        <v>40368</v>
      </c>
      <c r="F554" s="712">
        <v>74.39</v>
      </c>
      <c r="G554" s="713">
        <f t="shared" si="107"/>
        <v>1.4900000000000011</v>
      </c>
      <c r="H554" s="713">
        <f t="shared" si="108"/>
        <v>1.4900000000000011</v>
      </c>
      <c r="I554" s="697"/>
      <c r="J554" s="697"/>
      <c r="K554" s="697"/>
      <c r="L554" s="697"/>
      <c r="M554" s="697"/>
      <c r="N554" s="697"/>
      <c r="O554" s="697"/>
      <c r="P554" s="697"/>
      <c r="Q554" s="697"/>
      <c r="R554" s="697"/>
      <c r="S554" s="697"/>
      <c r="T554" s="697"/>
      <c r="U554" s="697"/>
      <c r="V554" s="697"/>
      <c r="W554" s="697"/>
      <c r="X554" s="697"/>
      <c r="Y554" s="697"/>
      <c r="Z554" s="697"/>
      <c r="AA554" s="697"/>
      <c r="AB554" s="697"/>
      <c r="AC554" s="697"/>
      <c r="AD554" s="697"/>
      <c r="AE554" s="697"/>
      <c r="AF554" s="697"/>
      <c r="AG554" s="697"/>
      <c r="AH554" s="697"/>
      <c r="AI554" s="697"/>
      <c r="AJ554" s="697"/>
      <c r="AK554" s="697"/>
      <c r="AL554" s="697"/>
      <c r="AM554" s="697"/>
      <c r="AN554" s="697"/>
      <c r="AO554" s="697"/>
      <c r="AP554" s="697"/>
      <c r="AQ554" s="697"/>
      <c r="AR554" s="697"/>
      <c r="AS554" s="697"/>
      <c r="AT554" s="697"/>
      <c r="AU554" s="697"/>
      <c r="AV554" s="697"/>
      <c r="AW554" s="697"/>
      <c r="AX554" s="697"/>
      <c r="AY554" s="697"/>
      <c r="AZ554" s="697"/>
      <c r="BA554" s="697"/>
      <c r="BB554" s="697"/>
      <c r="BC554" s="697"/>
      <c r="BD554" s="697"/>
      <c r="BE554" s="697"/>
      <c r="BF554" s="697"/>
      <c r="BG554" s="697"/>
      <c r="BH554" s="697"/>
      <c r="BI554" s="697"/>
      <c r="BJ554" s="697"/>
      <c r="BK554" s="697"/>
      <c r="BL554" s="697"/>
      <c r="BM554" s="697"/>
      <c r="BN554" s="697"/>
      <c r="BO554" s="697"/>
      <c r="BP554" s="697"/>
      <c r="BQ554" s="697"/>
      <c r="BR554" s="697"/>
      <c r="BS554" s="697"/>
      <c r="BT554" s="697"/>
      <c r="BU554" s="697"/>
      <c r="BV554" s="697"/>
      <c r="BW554" s="697"/>
      <c r="BX554" s="697"/>
      <c r="BY554" s="697"/>
      <c r="BZ554" s="697"/>
      <c r="CA554" s="697"/>
      <c r="CB554" s="697"/>
      <c r="CC554" s="697"/>
      <c r="CD554" s="697"/>
      <c r="CE554" s="697"/>
      <c r="CF554" s="697"/>
      <c r="CG554" s="697"/>
      <c r="CH554" s="697"/>
      <c r="CI554" s="697"/>
      <c r="CJ554" s="697"/>
      <c r="CK554" s="697"/>
      <c r="CL554" s="697"/>
      <c r="CM554" s="697"/>
      <c r="CN554" s="697"/>
      <c r="CO554" s="697"/>
      <c r="CP554" s="697"/>
      <c r="CQ554" s="697"/>
      <c r="CR554" s="697"/>
      <c r="CS554" s="697"/>
      <c r="CT554" s="697"/>
      <c r="CU554" s="697"/>
      <c r="CV554" s="697"/>
      <c r="CW554" s="697"/>
      <c r="CX554" s="697"/>
      <c r="CY554" s="697"/>
      <c r="CZ554" s="697"/>
      <c r="DA554" s="697"/>
      <c r="DB554" s="697"/>
    </row>
    <row r="555" spans="1:106" hidden="1" outlineLevel="1" x14ac:dyDescent="0.2">
      <c r="A555" s="709">
        <f t="shared" si="104"/>
        <v>40360</v>
      </c>
      <c r="B555" s="709" t="str">
        <f t="shared" si="105"/>
        <v>3Q10</v>
      </c>
      <c r="C555" s="709" t="str">
        <f t="shared" si="106"/>
        <v>3Q10</v>
      </c>
      <c r="D555" s="710">
        <f t="shared" si="111"/>
        <v>40435</v>
      </c>
      <c r="E555" s="710">
        <f t="shared" si="111"/>
        <v>40375</v>
      </c>
      <c r="F555" s="712">
        <v>76.349999999999994</v>
      </c>
      <c r="G555" s="713">
        <f t="shared" si="107"/>
        <v>1.4900000000000011</v>
      </c>
      <c r="H555" s="713">
        <f t="shared" si="108"/>
        <v>1.4900000000000011</v>
      </c>
      <c r="I555" s="697"/>
      <c r="J555" s="697"/>
      <c r="K555" s="697"/>
      <c r="L555" s="697"/>
      <c r="M555" s="697"/>
      <c r="N555" s="697"/>
      <c r="O555" s="697"/>
      <c r="P555" s="697"/>
      <c r="Q555" s="697"/>
      <c r="R555" s="697"/>
      <c r="S555" s="697"/>
      <c r="T555" s="697"/>
      <c r="U555" s="697"/>
      <c r="V555" s="697"/>
      <c r="W555" s="697"/>
      <c r="X555" s="697"/>
      <c r="Y555" s="697"/>
      <c r="Z555" s="697"/>
      <c r="AA555" s="697"/>
      <c r="AB555" s="697"/>
      <c r="AC555" s="697"/>
      <c r="AD555" s="697"/>
      <c r="AE555" s="697"/>
      <c r="AF555" s="697"/>
      <c r="AG555" s="697"/>
      <c r="AH555" s="697"/>
      <c r="AI555" s="697"/>
      <c r="AJ555" s="697"/>
      <c r="AK555" s="697"/>
      <c r="AL555" s="697"/>
      <c r="AM555" s="697"/>
      <c r="AN555" s="697"/>
      <c r="AO555" s="697"/>
      <c r="AP555" s="697"/>
      <c r="AQ555" s="697"/>
      <c r="AR555" s="697"/>
      <c r="AS555" s="697"/>
      <c r="AT555" s="697"/>
      <c r="AU555" s="697"/>
      <c r="AV555" s="697"/>
      <c r="AW555" s="697"/>
      <c r="AX555" s="697"/>
      <c r="AY555" s="697"/>
      <c r="AZ555" s="697"/>
      <c r="BA555" s="697"/>
      <c r="BB555" s="697"/>
      <c r="BC555" s="697"/>
      <c r="BD555" s="697"/>
      <c r="BE555" s="697"/>
      <c r="BF555" s="697"/>
      <c r="BG555" s="697"/>
      <c r="BH555" s="697"/>
      <c r="BI555" s="697"/>
      <c r="BJ555" s="697"/>
      <c r="BK555" s="697"/>
      <c r="BL555" s="697"/>
      <c r="BM555" s="697"/>
      <c r="BN555" s="697"/>
      <c r="BO555" s="697"/>
      <c r="BP555" s="697"/>
      <c r="BQ555" s="697"/>
      <c r="BR555" s="697"/>
      <c r="BS555" s="697"/>
      <c r="BT555" s="697"/>
      <c r="BU555" s="697"/>
      <c r="BV555" s="697"/>
      <c r="BW555" s="697"/>
      <c r="BX555" s="697"/>
      <c r="BY555" s="697"/>
      <c r="BZ555" s="697"/>
      <c r="CA555" s="697"/>
      <c r="CB555" s="697"/>
      <c r="CC555" s="697"/>
      <c r="CD555" s="697"/>
      <c r="CE555" s="697"/>
      <c r="CF555" s="697"/>
      <c r="CG555" s="697"/>
      <c r="CH555" s="697"/>
      <c r="CI555" s="697"/>
      <c r="CJ555" s="697"/>
      <c r="CK555" s="697"/>
      <c r="CL555" s="697"/>
      <c r="CM555" s="697"/>
      <c r="CN555" s="697"/>
      <c r="CO555" s="697"/>
      <c r="CP555" s="697"/>
      <c r="CQ555" s="697"/>
      <c r="CR555" s="697"/>
      <c r="CS555" s="697"/>
      <c r="CT555" s="697"/>
      <c r="CU555" s="697"/>
      <c r="CV555" s="697"/>
      <c r="CW555" s="697"/>
      <c r="CX555" s="697"/>
      <c r="CY555" s="697"/>
      <c r="CZ555" s="697"/>
      <c r="DA555" s="697"/>
      <c r="DB555" s="697"/>
    </row>
    <row r="556" spans="1:106" hidden="1" outlineLevel="1" x14ac:dyDescent="0.2">
      <c r="A556" s="709">
        <f t="shared" si="104"/>
        <v>40360</v>
      </c>
      <c r="B556" s="709" t="str">
        <f t="shared" si="105"/>
        <v>3Q10</v>
      </c>
      <c r="C556" s="709" t="str">
        <f t="shared" si="106"/>
        <v>3Q10</v>
      </c>
      <c r="D556" s="710">
        <f t="shared" si="111"/>
        <v>40442</v>
      </c>
      <c r="E556" s="710">
        <f t="shared" si="111"/>
        <v>40382</v>
      </c>
      <c r="F556" s="712">
        <v>77.56</v>
      </c>
      <c r="G556" s="713">
        <f t="shared" si="107"/>
        <v>1.4900000000000011</v>
      </c>
      <c r="H556" s="713">
        <f t="shared" si="108"/>
        <v>1.4900000000000011</v>
      </c>
      <c r="I556" s="697"/>
      <c r="J556" s="697"/>
      <c r="K556" s="697"/>
      <c r="L556" s="697"/>
      <c r="M556" s="697"/>
      <c r="N556" s="697"/>
      <c r="O556" s="697"/>
      <c r="P556" s="697"/>
      <c r="Q556" s="697"/>
      <c r="R556" s="697"/>
      <c r="S556" s="697"/>
      <c r="T556" s="697"/>
      <c r="U556" s="697"/>
      <c r="V556" s="697"/>
      <c r="W556" s="697"/>
      <c r="X556" s="697"/>
      <c r="Y556" s="697"/>
      <c r="Z556" s="697"/>
      <c r="AA556" s="697"/>
      <c r="AB556" s="697"/>
      <c r="AC556" s="697"/>
      <c r="AD556" s="697"/>
      <c r="AE556" s="697"/>
      <c r="AF556" s="697"/>
      <c r="AG556" s="697"/>
      <c r="AH556" s="697"/>
      <c r="AI556" s="697"/>
      <c r="AJ556" s="697"/>
      <c r="AK556" s="697"/>
      <c r="AL556" s="697"/>
      <c r="AM556" s="697"/>
      <c r="AN556" s="697"/>
      <c r="AO556" s="697"/>
      <c r="AP556" s="697"/>
      <c r="AQ556" s="697"/>
      <c r="AR556" s="697"/>
      <c r="AS556" s="697"/>
      <c r="AT556" s="697"/>
      <c r="AU556" s="697"/>
      <c r="AV556" s="697"/>
      <c r="AW556" s="697"/>
      <c r="AX556" s="697"/>
      <c r="AY556" s="697"/>
      <c r="AZ556" s="697"/>
      <c r="BA556" s="697"/>
      <c r="BB556" s="697"/>
      <c r="BC556" s="697"/>
      <c r="BD556" s="697"/>
      <c r="BE556" s="697"/>
      <c r="BF556" s="697"/>
      <c r="BG556" s="697"/>
      <c r="BH556" s="697"/>
      <c r="BI556" s="697"/>
      <c r="BJ556" s="697"/>
      <c r="BK556" s="697"/>
      <c r="BL556" s="697"/>
      <c r="BM556" s="697"/>
      <c r="BN556" s="697"/>
      <c r="BO556" s="697"/>
      <c r="BP556" s="697"/>
      <c r="BQ556" s="697"/>
      <c r="BR556" s="697"/>
      <c r="BS556" s="697"/>
      <c r="BT556" s="697"/>
      <c r="BU556" s="697"/>
      <c r="BV556" s="697"/>
      <c r="BW556" s="697"/>
      <c r="BX556" s="697"/>
      <c r="BY556" s="697"/>
      <c r="BZ556" s="697"/>
      <c r="CA556" s="697"/>
      <c r="CB556" s="697"/>
      <c r="CC556" s="697"/>
      <c r="CD556" s="697"/>
      <c r="CE556" s="697"/>
      <c r="CF556" s="697"/>
      <c r="CG556" s="697"/>
      <c r="CH556" s="697"/>
      <c r="CI556" s="697"/>
      <c r="CJ556" s="697"/>
      <c r="CK556" s="697"/>
      <c r="CL556" s="697"/>
      <c r="CM556" s="697"/>
      <c r="CN556" s="697"/>
      <c r="CO556" s="697"/>
      <c r="CP556" s="697"/>
      <c r="CQ556" s="697"/>
      <c r="CR556" s="697"/>
      <c r="CS556" s="697"/>
      <c r="CT556" s="697"/>
      <c r="CU556" s="697"/>
      <c r="CV556" s="697"/>
      <c r="CW556" s="697"/>
      <c r="CX556" s="697"/>
      <c r="CY556" s="697"/>
      <c r="CZ556" s="697"/>
      <c r="DA556" s="697"/>
      <c r="DB556" s="697"/>
    </row>
    <row r="557" spans="1:106" hidden="1" outlineLevel="1" x14ac:dyDescent="0.2">
      <c r="A557" s="709">
        <f t="shared" si="104"/>
        <v>40360</v>
      </c>
      <c r="B557" s="709" t="str">
        <f t="shared" si="105"/>
        <v>3Q10</v>
      </c>
      <c r="C557" s="709" t="str">
        <f t="shared" si="106"/>
        <v>3Q10</v>
      </c>
      <c r="D557" s="710">
        <f t="shared" si="111"/>
        <v>40449</v>
      </c>
      <c r="E557" s="710">
        <f t="shared" si="111"/>
        <v>40389</v>
      </c>
      <c r="F557" s="712">
        <v>78.12</v>
      </c>
      <c r="G557" s="713">
        <f t="shared" si="107"/>
        <v>1.4900000000000011</v>
      </c>
      <c r="H557" s="713">
        <f t="shared" si="108"/>
        <v>1.4900000000000011</v>
      </c>
      <c r="I557" s="697"/>
      <c r="J557" s="697"/>
      <c r="K557" s="697"/>
      <c r="L557" s="697"/>
      <c r="M557" s="697"/>
      <c r="N557" s="697"/>
      <c r="O557" s="697"/>
      <c r="P557" s="697"/>
      <c r="Q557" s="697"/>
      <c r="R557" s="697"/>
      <c r="S557" s="697"/>
      <c r="T557" s="697"/>
      <c r="U557" s="697"/>
      <c r="V557" s="697"/>
      <c r="W557" s="697"/>
      <c r="X557" s="697"/>
      <c r="Y557" s="697"/>
      <c r="Z557" s="697"/>
      <c r="AA557" s="697"/>
      <c r="AB557" s="697"/>
      <c r="AC557" s="697"/>
      <c r="AD557" s="697"/>
      <c r="AE557" s="697"/>
      <c r="AF557" s="697"/>
      <c r="AG557" s="697"/>
      <c r="AH557" s="697"/>
      <c r="AI557" s="697"/>
      <c r="AJ557" s="697"/>
      <c r="AK557" s="697"/>
      <c r="AL557" s="697"/>
      <c r="AM557" s="697"/>
      <c r="AN557" s="697"/>
      <c r="AO557" s="697"/>
      <c r="AP557" s="697"/>
      <c r="AQ557" s="697"/>
      <c r="AR557" s="697"/>
      <c r="AS557" s="697"/>
      <c r="AT557" s="697"/>
      <c r="AU557" s="697"/>
      <c r="AV557" s="697"/>
      <c r="AW557" s="697"/>
      <c r="AX557" s="697"/>
      <c r="AY557" s="697"/>
      <c r="AZ557" s="697"/>
      <c r="BA557" s="697"/>
      <c r="BB557" s="697"/>
      <c r="BC557" s="697"/>
      <c r="BD557" s="697"/>
      <c r="BE557" s="697"/>
      <c r="BF557" s="697"/>
      <c r="BG557" s="697"/>
      <c r="BH557" s="697"/>
      <c r="BI557" s="697"/>
      <c r="BJ557" s="697"/>
      <c r="BK557" s="697"/>
      <c r="BL557" s="697"/>
      <c r="BM557" s="697"/>
      <c r="BN557" s="697"/>
      <c r="BO557" s="697"/>
      <c r="BP557" s="697"/>
      <c r="BQ557" s="697"/>
      <c r="BR557" s="697"/>
      <c r="BS557" s="697"/>
      <c r="BT557" s="697"/>
      <c r="BU557" s="697"/>
      <c r="BV557" s="697"/>
      <c r="BW557" s="697"/>
      <c r="BX557" s="697"/>
      <c r="BY557" s="697"/>
      <c r="BZ557" s="697"/>
      <c r="CA557" s="697"/>
      <c r="CB557" s="697"/>
      <c r="CC557" s="697"/>
      <c r="CD557" s="697"/>
      <c r="CE557" s="697"/>
      <c r="CF557" s="697"/>
      <c r="CG557" s="697"/>
      <c r="CH557" s="697"/>
      <c r="CI557" s="697"/>
      <c r="CJ557" s="697"/>
      <c r="CK557" s="697"/>
      <c r="CL557" s="697"/>
      <c r="CM557" s="697"/>
      <c r="CN557" s="697"/>
      <c r="CO557" s="697"/>
      <c r="CP557" s="697"/>
      <c r="CQ557" s="697"/>
      <c r="CR557" s="697"/>
      <c r="CS557" s="697"/>
      <c r="CT557" s="697"/>
      <c r="CU557" s="697"/>
      <c r="CV557" s="697"/>
      <c r="CW557" s="697"/>
      <c r="CX557" s="697"/>
      <c r="CY557" s="697"/>
      <c r="CZ557" s="697"/>
      <c r="DA557" s="697"/>
      <c r="DB557" s="697"/>
    </row>
    <row r="558" spans="1:106" hidden="1" outlineLevel="1" x14ac:dyDescent="0.2">
      <c r="A558" s="709">
        <f t="shared" si="104"/>
        <v>40391</v>
      </c>
      <c r="B558" s="709" t="str">
        <f t="shared" si="105"/>
        <v>3Q10</v>
      </c>
      <c r="C558" s="709" t="str">
        <f t="shared" si="106"/>
        <v>4Q10</v>
      </c>
      <c r="D558" s="710">
        <f t="shared" si="111"/>
        <v>40456</v>
      </c>
      <c r="E558" s="710">
        <f t="shared" si="111"/>
        <v>40396</v>
      </c>
      <c r="F558" s="712">
        <v>81.790000000000006</v>
      </c>
      <c r="G558" s="713">
        <f t="shared" si="107"/>
        <v>1.4900000000000011</v>
      </c>
      <c r="H558" s="713">
        <f t="shared" si="108"/>
        <v>1.4900000000000011</v>
      </c>
      <c r="I558" s="697"/>
      <c r="J558" s="697"/>
      <c r="K558" s="697"/>
      <c r="L558" s="697"/>
      <c r="M558" s="697"/>
      <c r="N558" s="697"/>
      <c r="O558" s="697"/>
      <c r="P558" s="697"/>
      <c r="Q558" s="697"/>
      <c r="R558" s="697"/>
      <c r="S558" s="697"/>
      <c r="T558" s="697"/>
      <c r="U558" s="697"/>
      <c r="V558" s="697"/>
      <c r="W558" s="697"/>
      <c r="X558" s="697"/>
      <c r="Y558" s="697"/>
      <c r="Z558" s="697"/>
      <c r="AA558" s="697"/>
      <c r="AB558" s="697"/>
      <c r="AC558" s="697"/>
      <c r="AD558" s="697"/>
      <c r="AE558" s="697"/>
      <c r="AF558" s="697"/>
      <c r="AG558" s="697"/>
      <c r="AH558" s="697"/>
      <c r="AI558" s="697"/>
      <c r="AJ558" s="697"/>
      <c r="AK558" s="697"/>
      <c r="AL558" s="697"/>
      <c r="AM558" s="697"/>
      <c r="AN558" s="697"/>
      <c r="AO558" s="697"/>
      <c r="AP558" s="697"/>
      <c r="AQ558" s="697"/>
      <c r="AR558" s="697"/>
      <c r="AS558" s="697"/>
      <c r="AT558" s="697"/>
      <c r="AU558" s="697"/>
      <c r="AV558" s="697"/>
      <c r="AW558" s="697"/>
      <c r="AX558" s="697"/>
      <c r="AY558" s="697"/>
      <c r="AZ558" s="697"/>
      <c r="BA558" s="697"/>
      <c r="BB558" s="697"/>
      <c r="BC558" s="697"/>
      <c r="BD558" s="697"/>
      <c r="BE558" s="697"/>
      <c r="BF558" s="697"/>
      <c r="BG558" s="697"/>
      <c r="BH558" s="697"/>
      <c r="BI558" s="697"/>
      <c r="BJ558" s="697"/>
      <c r="BK558" s="697"/>
      <c r="BL558" s="697"/>
      <c r="BM558" s="697"/>
      <c r="BN558" s="697"/>
      <c r="BO558" s="697"/>
      <c r="BP558" s="697"/>
      <c r="BQ558" s="697"/>
      <c r="BR558" s="697"/>
      <c r="BS558" s="697"/>
      <c r="BT558" s="697"/>
      <c r="BU558" s="697"/>
      <c r="BV558" s="697"/>
      <c r="BW558" s="697"/>
      <c r="BX558" s="697"/>
      <c r="BY558" s="697"/>
      <c r="BZ558" s="697"/>
      <c r="CA558" s="697"/>
      <c r="CB558" s="697"/>
      <c r="CC558" s="697"/>
      <c r="CD558" s="697"/>
      <c r="CE558" s="697"/>
      <c r="CF558" s="697"/>
      <c r="CG558" s="697"/>
      <c r="CH558" s="697"/>
      <c r="CI558" s="697"/>
      <c r="CJ558" s="697"/>
      <c r="CK558" s="697"/>
      <c r="CL558" s="697"/>
      <c r="CM558" s="697"/>
      <c r="CN558" s="697"/>
      <c r="CO558" s="697"/>
      <c r="CP558" s="697"/>
      <c r="CQ558" s="697"/>
      <c r="CR558" s="697"/>
      <c r="CS558" s="697"/>
      <c r="CT558" s="697"/>
      <c r="CU558" s="697"/>
      <c r="CV558" s="697"/>
      <c r="CW558" s="697"/>
      <c r="CX558" s="697"/>
      <c r="CY558" s="697"/>
      <c r="CZ558" s="697"/>
      <c r="DA558" s="697"/>
      <c r="DB558" s="697"/>
    </row>
    <row r="559" spans="1:106" hidden="1" outlineLevel="1" x14ac:dyDescent="0.2">
      <c r="A559" s="709">
        <f t="shared" si="104"/>
        <v>40391</v>
      </c>
      <c r="B559" s="709" t="str">
        <f t="shared" si="105"/>
        <v>3Q10</v>
      </c>
      <c r="C559" s="709" t="str">
        <f t="shared" si="106"/>
        <v>4Q10</v>
      </c>
      <c r="D559" s="710">
        <f t="shared" si="111"/>
        <v>40463</v>
      </c>
      <c r="E559" s="710">
        <f t="shared" si="111"/>
        <v>40403</v>
      </c>
      <c r="F559" s="712">
        <v>78.17</v>
      </c>
      <c r="G559" s="713">
        <f t="shared" si="107"/>
        <v>1.4900000000000011</v>
      </c>
      <c r="H559" s="713">
        <f t="shared" si="108"/>
        <v>1.4900000000000011</v>
      </c>
      <c r="I559" s="697"/>
      <c r="J559" s="697"/>
      <c r="K559" s="697"/>
      <c r="L559" s="697"/>
      <c r="M559" s="697"/>
      <c r="N559" s="697"/>
      <c r="O559" s="697"/>
      <c r="P559" s="697"/>
      <c r="Q559" s="697"/>
      <c r="R559" s="697"/>
      <c r="S559" s="697"/>
      <c r="T559" s="697"/>
      <c r="U559" s="697"/>
      <c r="V559" s="697"/>
      <c r="W559" s="697"/>
      <c r="X559" s="697"/>
      <c r="Y559" s="697"/>
      <c r="Z559" s="697"/>
      <c r="AA559" s="697"/>
      <c r="AB559" s="697"/>
      <c r="AC559" s="697"/>
      <c r="AD559" s="697"/>
      <c r="AE559" s="697"/>
      <c r="AF559" s="697"/>
      <c r="AG559" s="697"/>
      <c r="AH559" s="697"/>
      <c r="AI559" s="697"/>
      <c r="AJ559" s="697"/>
      <c r="AK559" s="697"/>
      <c r="AL559" s="697"/>
      <c r="AM559" s="697"/>
      <c r="AN559" s="697"/>
      <c r="AO559" s="697"/>
      <c r="AP559" s="697"/>
      <c r="AQ559" s="697"/>
      <c r="AR559" s="697"/>
      <c r="AS559" s="697"/>
      <c r="AT559" s="697"/>
      <c r="AU559" s="697"/>
      <c r="AV559" s="697"/>
      <c r="AW559" s="697"/>
      <c r="AX559" s="697"/>
      <c r="AY559" s="697"/>
      <c r="AZ559" s="697"/>
      <c r="BA559" s="697"/>
      <c r="BB559" s="697"/>
      <c r="BC559" s="697"/>
      <c r="BD559" s="697"/>
      <c r="BE559" s="697"/>
      <c r="BF559" s="697"/>
      <c r="BG559" s="697"/>
      <c r="BH559" s="697"/>
      <c r="BI559" s="697"/>
      <c r="BJ559" s="697"/>
      <c r="BK559" s="697"/>
      <c r="BL559" s="697"/>
      <c r="BM559" s="697"/>
      <c r="BN559" s="697"/>
      <c r="BO559" s="697"/>
      <c r="BP559" s="697"/>
      <c r="BQ559" s="697"/>
      <c r="BR559" s="697"/>
      <c r="BS559" s="697"/>
      <c r="BT559" s="697"/>
      <c r="BU559" s="697"/>
      <c r="BV559" s="697"/>
      <c r="BW559" s="697"/>
      <c r="BX559" s="697"/>
      <c r="BY559" s="697"/>
      <c r="BZ559" s="697"/>
      <c r="CA559" s="697"/>
      <c r="CB559" s="697"/>
      <c r="CC559" s="697"/>
      <c r="CD559" s="697"/>
      <c r="CE559" s="697"/>
      <c r="CF559" s="697"/>
      <c r="CG559" s="697"/>
      <c r="CH559" s="697"/>
      <c r="CI559" s="697"/>
      <c r="CJ559" s="697"/>
      <c r="CK559" s="697"/>
      <c r="CL559" s="697"/>
      <c r="CM559" s="697"/>
      <c r="CN559" s="697"/>
      <c r="CO559" s="697"/>
      <c r="CP559" s="697"/>
      <c r="CQ559" s="697"/>
      <c r="CR559" s="697"/>
      <c r="CS559" s="697"/>
      <c r="CT559" s="697"/>
      <c r="CU559" s="697"/>
      <c r="CV559" s="697"/>
      <c r="CW559" s="697"/>
      <c r="CX559" s="697"/>
      <c r="CY559" s="697"/>
      <c r="CZ559" s="697"/>
      <c r="DA559" s="697"/>
      <c r="DB559" s="697"/>
    </row>
    <row r="560" spans="1:106" hidden="1" outlineLevel="1" x14ac:dyDescent="0.2">
      <c r="A560" s="709">
        <f t="shared" si="104"/>
        <v>40391</v>
      </c>
      <c r="B560" s="709" t="str">
        <f t="shared" si="105"/>
        <v>3Q10</v>
      </c>
      <c r="C560" s="709" t="str">
        <f t="shared" si="106"/>
        <v>4Q10</v>
      </c>
      <c r="D560" s="710">
        <f t="shared" si="111"/>
        <v>40470</v>
      </c>
      <c r="E560" s="710">
        <f t="shared" si="111"/>
        <v>40410</v>
      </c>
      <c r="F560" s="712">
        <v>74.84</v>
      </c>
      <c r="G560" s="713">
        <f t="shared" si="107"/>
        <v>1.4900000000000011</v>
      </c>
      <c r="H560" s="713">
        <f t="shared" si="108"/>
        <v>1.4900000000000011</v>
      </c>
      <c r="I560" s="697"/>
      <c r="J560" s="697"/>
      <c r="K560" s="697"/>
      <c r="L560" s="697"/>
      <c r="M560" s="697"/>
      <c r="N560" s="697"/>
      <c r="O560" s="697"/>
      <c r="P560" s="697"/>
      <c r="Q560" s="697"/>
      <c r="R560" s="697"/>
      <c r="S560" s="697"/>
      <c r="T560" s="697"/>
      <c r="U560" s="697"/>
      <c r="V560" s="697"/>
      <c r="W560" s="697"/>
      <c r="X560" s="697"/>
      <c r="Y560" s="697"/>
      <c r="Z560" s="697"/>
      <c r="AA560" s="697"/>
      <c r="AB560" s="697"/>
      <c r="AC560" s="697"/>
      <c r="AD560" s="697"/>
      <c r="AE560" s="697"/>
      <c r="AF560" s="697"/>
      <c r="AG560" s="697"/>
      <c r="AH560" s="697"/>
      <c r="AI560" s="697"/>
      <c r="AJ560" s="697"/>
      <c r="AK560" s="697"/>
      <c r="AL560" s="697"/>
      <c r="AM560" s="697"/>
      <c r="AN560" s="697"/>
      <c r="AO560" s="697"/>
      <c r="AP560" s="697"/>
      <c r="AQ560" s="697"/>
      <c r="AR560" s="697"/>
      <c r="AS560" s="697"/>
      <c r="AT560" s="697"/>
      <c r="AU560" s="697"/>
      <c r="AV560" s="697"/>
      <c r="AW560" s="697"/>
      <c r="AX560" s="697"/>
      <c r="AY560" s="697"/>
      <c r="AZ560" s="697"/>
      <c r="BA560" s="697"/>
      <c r="BB560" s="697"/>
      <c r="BC560" s="697"/>
      <c r="BD560" s="697"/>
      <c r="BE560" s="697"/>
      <c r="BF560" s="697"/>
      <c r="BG560" s="697"/>
      <c r="BH560" s="697"/>
      <c r="BI560" s="697"/>
      <c r="BJ560" s="697"/>
      <c r="BK560" s="697"/>
      <c r="BL560" s="697"/>
      <c r="BM560" s="697"/>
      <c r="BN560" s="697"/>
      <c r="BO560" s="697"/>
      <c r="BP560" s="697"/>
      <c r="BQ560" s="697"/>
      <c r="BR560" s="697"/>
      <c r="BS560" s="697"/>
      <c r="BT560" s="697"/>
      <c r="BU560" s="697"/>
      <c r="BV560" s="697"/>
      <c r="BW560" s="697"/>
      <c r="BX560" s="697"/>
      <c r="BY560" s="697"/>
      <c r="BZ560" s="697"/>
      <c r="CA560" s="697"/>
      <c r="CB560" s="697"/>
      <c r="CC560" s="697"/>
      <c r="CD560" s="697"/>
      <c r="CE560" s="697"/>
      <c r="CF560" s="697"/>
      <c r="CG560" s="697"/>
      <c r="CH560" s="697"/>
      <c r="CI560" s="697"/>
      <c r="CJ560" s="697"/>
      <c r="CK560" s="697"/>
      <c r="CL560" s="697"/>
      <c r="CM560" s="697"/>
      <c r="CN560" s="697"/>
      <c r="CO560" s="697"/>
      <c r="CP560" s="697"/>
      <c r="CQ560" s="697"/>
      <c r="CR560" s="697"/>
      <c r="CS560" s="697"/>
      <c r="CT560" s="697"/>
      <c r="CU560" s="697"/>
      <c r="CV560" s="697"/>
      <c r="CW560" s="697"/>
      <c r="CX560" s="697"/>
      <c r="CY560" s="697"/>
      <c r="CZ560" s="697"/>
      <c r="DA560" s="697"/>
      <c r="DB560" s="697"/>
    </row>
    <row r="561" spans="1:106" hidden="1" outlineLevel="1" x14ac:dyDescent="0.2">
      <c r="A561" s="709">
        <f t="shared" si="104"/>
        <v>40391</v>
      </c>
      <c r="B561" s="709" t="str">
        <f t="shared" si="105"/>
        <v>3Q10</v>
      </c>
      <c r="C561" s="709" t="str">
        <f t="shared" si="106"/>
        <v>4Q10</v>
      </c>
      <c r="D561" s="710">
        <f t="shared" si="111"/>
        <v>40477</v>
      </c>
      <c r="E561" s="710">
        <f t="shared" si="111"/>
        <v>40417</v>
      </c>
      <c r="F561" s="712">
        <v>72.91</v>
      </c>
      <c r="G561" s="713">
        <f t="shared" si="107"/>
        <v>1.4900000000000011</v>
      </c>
      <c r="H561" s="713">
        <f t="shared" si="108"/>
        <v>1.4900000000000011</v>
      </c>
      <c r="I561" s="697"/>
      <c r="J561" s="697"/>
      <c r="K561" s="697"/>
      <c r="L561" s="697"/>
      <c r="M561" s="697"/>
      <c r="N561" s="697"/>
      <c r="O561" s="697"/>
      <c r="P561" s="697"/>
      <c r="Q561" s="697"/>
      <c r="R561" s="697"/>
      <c r="S561" s="697"/>
      <c r="T561" s="697"/>
      <c r="U561" s="697"/>
      <c r="V561" s="697"/>
      <c r="W561" s="697"/>
      <c r="X561" s="697"/>
      <c r="Y561" s="697"/>
      <c r="Z561" s="697"/>
      <c r="AA561" s="697"/>
      <c r="AB561" s="697"/>
      <c r="AC561" s="697"/>
      <c r="AD561" s="697"/>
      <c r="AE561" s="697"/>
      <c r="AF561" s="697"/>
      <c r="AG561" s="697"/>
      <c r="AH561" s="697"/>
      <c r="AI561" s="697"/>
      <c r="AJ561" s="697"/>
      <c r="AK561" s="697"/>
      <c r="AL561" s="697"/>
      <c r="AM561" s="697"/>
      <c r="AN561" s="697"/>
      <c r="AO561" s="697"/>
      <c r="AP561" s="697"/>
      <c r="AQ561" s="697"/>
      <c r="AR561" s="697"/>
      <c r="AS561" s="697"/>
      <c r="AT561" s="697"/>
      <c r="AU561" s="697"/>
      <c r="AV561" s="697"/>
      <c r="AW561" s="697"/>
      <c r="AX561" s="697"/>
      <c r="AY561" s="697"/>
      <c r="AZ561" s="697"/>
      <c r="BA561" s="697"/>
      <c r="BB561" s="697"/>
      <c r="BC561" s="697"/>
      <c r="BD561" s="697"/>
      <c r="BE561" s="697"/>
      <c r="BF561" s="697"/>
      <c r="BG561" s="697"/>
      <c r="BH561" s="697"/>
      <c r="BI561" s="697"/>
      <c r="BJ561" s="697"/>
      <c r="BK561" s="697"/>
      <c r="BL561" s="697"/>
      <c r="BM561" s="697"/>
      <c r="BN561" s="697"/>
      <c r="BO561" s="697"/>
      <c r="BP561" s="697"/>
      <c r="BQ561" s="697"/>
      <c r="BR561" s="697"/>
      <c r="BS561" s="697"/>
      <c r="BT561" s="697"/>
      <c r="BU561" s="697"/>
      <c r="BV561" s="697"/>
      <c r="BW561" s="697"/>
      <c r="BX561" s="697"/>
      <c r="BY561" s="697"/>
      <c r="BZ561" s="697"/>
      <c r="CA561" s="697"/>
      <c r="CB561" s="697"/>
      <c r="CC561" s="697"/>
      <c r="CD561" s="697"/>
      <c r="CE561" s="697"/>
      <c r="CF561" s="697"/>
      <c r="CG561" s="697"/>
      <c r="CH561" s="697"/>
      <c r="CI561" s="697"/>
      <c r="CJ561" s="697"/>
      <c r="CK561" s="697"/>
      <c r="CL561" s="697"/>
      <c r="CM561" s="697"/>
      <c r="CN561" s="697"/>
      <c r="CO561" s="697"/>
      <c r="CP561" s="697"/>
      <c r="CQ561" s="697"/>
      <c r="CR561" s="697"/>
      <c r="CS561" s="697"/>
      <c r="CT561" s="697"/>
      <c r="CU561" s="697"/>
      <c r="CV561" s="697"/>
      <c r="CW561" s="697"/>
      <c r="CX561" s="697"/>
      <c r="CY561" s="697"/>
      <c r="CZ561" s="697"/>
      <c r="DA561" s="697"/>
      <c r="DB561" s="697"/>
    </row>
    <row r="562" spans="1:106" hidden="1" outlineLevel="1" x14ac:dyDescent="0.2">
      <c r="A562" s="709">
        <f t="shared" si="104"/>
        <v>40422</v>
      </c>
      <c r="B562" s="709" t="str">
        <f t="shared" si="105"/>
        <v>3Q10</v>
      </c>
      <c r="C562" s="709" t="str">
        <f t="shared" si="106"/>
        <v>4Q10</v>
      </c>
      <c r="D562" s="710">
        <f t="shared" si="111"/>
        <v>40484</v>
      </c>
      <c r="E562" s="710">
        <f t="shared" si="111"/>
        <v>40424</v>
      </c>
      <c r="F562" s="712">
        <v>74.02</v>
      </c>
      <c r="G562" s="713">
        <f t="shared" si="107"/>
        <v>1.4900000000000011</v>
      </c>
      <c r="H562" s="713">
        <f t="shared" si="108"/>
        <v>1.4900000000000011</v>
      </c>
      <c r="I562" s="697"/>
      <c r="J562" s="697"/>
      <c r="K562" s="697"/>
      <c r="L562" s="697"/>
      <c r="M562" s="697"/>
      <c r="N562" s="697"/>
      <c r="O562" s="697"/>
      <c r="P562" s="697"/>
      <c r="Q562" s="697"/>
      <c r="R562" s="697"/>
      <c r="S562" s="697"/>
      <c r="T562" s="697"/>
      <c r="U562" s="697"/>
      <c r="V562" s="697"/>
      <c r="W562" s="697"/>
      <c r="X562" s="697"/>
      <c r="Y562" s="697"/>
      <c r="Z562" s="697"/>
      <c r="AA562" s="697"/>
      <c r="AB562" s="697"/>
      <c r="AC562" s="697"/>
      <c r="AD562" s="697"/>
      <c r="AE562" s="697"/>
      <c r="AF562" s="697"/>
      <c r="AG562" s="697"/>
      <c r="AH562" s="697"/>
      <c r="AI562" s="697"/>
      <c r="AJ562" s="697"/>
      <c r="AK562" s="697"/>
      <c r="AL562" s="697"/>
      <c r="AM562" s="697"/>
      <c r="AN562" s="697"/>
      <c r="AO562" s="697"/>
      <c r="AP562" s="697"/>
      <c r="AQ562" s="697"/>
      <c r="AR562" s="697"/>
      <c r="AS562" s="697"/>
      <c r="AT562" s="697"/>
      <c r="AU562" s="697"/>
      <c r="AV562" s="697"/>
      <c r="AW562" s="697"/>
      <c r="AX562" s="697"/>
      <c r="AY562" s="697"/>
      <c r="AZ562" s="697"/>
      <c r="BA562" s="697"/>
      <c r="BB562" s="697"/>
      <c r="BC562" s="697"/>
      <c r="BD562" s="697"/>
      <c r="BE562" s="697"/>
      <c r="BF562" s="697"/>
      <c r="BG562" s="697"/>
      <c r="BH562" s="697"/>
      <c r="BI562" s="697"/>
      <c r="BJ562" s="697"/>
      <c r="BK562" s="697"/>
      <c r="BL562" s="697"/>
      <c r="BM562" s="697"/>
      <c r="BN562" s="697"/>
      <c r="BO562" s="697"/>
      <c r="BP562" s="697"/>
      <c r="BQ562" s="697"/>
      <c r="BR562" s="697"/>
      <c r="BS562" s="697"/>
      <c r="BT562" s="697"/>
      <c r="BU562" s="697"/>
      <c r="BV562" s="697"/>
      <c r="BW562" s="697"/>
      <c r="BX562" s="697"/>
      <c r="BY562" s="697"/>
      <c r="BZ562" s="697"/>
      <c r="CA562" s="697"/>
      <c r="CB562" s="697"/>
      <c r="CC562" s="697"/>
      <c r="CD562" s="697"/>
      <c r="CE562" s="697"/>
      <c r="CF562" s="697"/>
      <c r="CG562" s="697"/>
      <c r="CH562" s="697"/>
      <c r="CI562" s="697"/>
      <c r="CJ562" s="697"/>
      <c r="CK562" s="697"/>
      <c r="CL562" s="697"/>
      <c r="CM562" s="697"/>
      <c r="CN562" s="697"/>
      <c r="CO562" s="697"/>
      <c r="CP562" s="697"/>
      <c r="CQ562" s="697"/>
      <c r="CR562" s="697"/>
      <c r="CS562" s="697"/>
      <c r="CT562" s="697"/>
      <c r="CU562" s="697"/>
      <c r="CV562" s="697"/>
      <c r="CW562" s="697"/>
      <c r="CX562" s="697"/>
      <c r="CY562" s="697"/>
      <c r="CZ562" s="697"/>
      <c r="DA562" s="697"/>
      <c r="DB562" s="697"/>
    </row>
    <row r="563" spans="1:106" hidden="1" outlineLevel="1" x14ac:dyDescent="0.2">
      <c r="A563" s="709">
        <f t="shared" si="104"/>
        <v>40422</v>
      </c>
      <c r="B563" s="709" t="str">
        <f t="shared" si="105"/>
        <v>3Q10</v>
      </c>
      <c r="C563" s="709" t="str">
        <f t="shared" si="106"/>
        <v>4Q10</v>
      </c>
      <c r="D563" s="710">
        <f t="shared" si="111"/>
        <v>40491</v>
      </c>
      <c r="E563" s="710">
        <f t="shared" si="111"/>
        <v>40431</v>
      </c>
      <c r="F563" s="712">
        <v>74.819999999999993</v>
      </c>
      <c r="G563" s="713">
        <f t="shared" si="107"/>
        <v>1.4900000000000011</v>
      </c>
      <c r="H563" s="713">
        <f t="shared" si="108"/>
        <v>1.4900000000000011</v>
      </c>
      <c r="I563" s="697"/>
      <c r="J563" s="697"/>
      <c r="K563" s="697"/>
      <c r="L563" s="697"/>
      <c r="M563" s="697"/>
      <c r="N563" s="697"/>
      <c r="O563" s="697"/>
      <c r="P563" s="697"/>
      <c r="Q563" s="697"/>
      <c r="R563" s="697"/>
      <c r="S563" s="697"/>
      <c r="T563" s="697"/>
      <c r="U563" s="697"/>
      <c r="V563" s="697"/>
      <c r="W563" s="697"/>
      <c r="X563" s="697"/>
      <c r="Y563" s="697"/>
      <c r="Z563" s="697"/>
      <c r="AA563" s="697"/>
      <c r="AB563" s="697"/>
      <c r="AC563" s="697"/>
      <c r="AD563" s="697"/>
      <c r="AE563" s="697"/>
      <c r="AF563" s="697"/>
      <c r="AG563" s="697"/>
      <c r="AH563" s="697"/>
      <c r="AI563" s="697"/>
      <c r="AJ563" s="697"/>
      <c r="AK563" s="697"/>
      <c r="AL563" s="697"/>
      <c r="AM563" s="697"/>
      <c r="AN563" s="697"/>
      <c r="AO563" s="697"/>
      <c r="AP563" s="697"/>
      <c r="AQ563" s="697"/>
      <c r="AR563" s="697"/>
      <c r="AS563" s="697"/>
      <c r="AT563" s="697"/>
      <c r="AU563" s="697"/>
      <c r="AV563" s="697"/>
      <c r="AW563" s="697"/>
      <c r="AX563" s="697"/>
      <c r="AY563" s="697"/>
      <c r="AZ563" s="697"/>
      <c r="BA563" s="697"/>
      <c r="BB563" s="697"/>
      <c r="BC563" s="697"/>
      <c r="BD563" s="697"/>
      <c r="BE563" s="697"/>
      <c r="BF563" s="697"/>
      <c r="BG563" s="697"/>
      <c r="BH563" s="697"/>
      <c r="BI563" s="697"/>
      <c r="BJ563" s="697"/>
      <c r="BK563" s="697"/>
      <c r="BL563" s="697"/>
      <c r="BM563" s="697"/>
      <c r="BN563" s="697"/>
      <c r="BO563" s="697"/>
      <c r="BP563" s="697"/>
      <c r="BQ563" s="697"/>
      <c r="BR563" s="697"/>
      <c r="BS563" s="697"/>
      <c r="BT563" s="697"/>
      <c r="BU563" s="697"/>
      <c r="BV563" s="697"/>
      <c r="BW563" s="697"/>
      <c r="BX563" s="697"/>
      <c r="BY563" s="697"/>
      <c r="BZ563" s="697"/>
      <c r="CA563" s="697"/>
      <c r="CB563" s="697"/>
      <c r="CC563" s="697"/>
      <c r="CD563" s="697"/>
      <c r="CE563" s="697"/>
      <c r="CF563" s="697"/>
      <c r="CG563" s="697"/>
      <c r="CH563" s="697"/>
      <c r="CI563" s="697"/>
      <c r="CJ563" s="697"/>
      <c r="CK563" s="697"/>
      <c r="CL563" s="697"/>
      <c r="CM563" s="697"/>
      <c r="CN563" s="697"/>
      <c r="CO563" s="697"/>
      <c r="CP563" s="697"/>
      <c r="CQ563" s="697"/>
      <c r="CR563" s="697"/>
      <c r="CS563" s="697"/>
      <c r="CT563" s="697"/>
      <c r="CU563" s="697"/>
      <c r="CV563" s="697"/>
      <c r="CW563" s="697"/>
      <c r="CX563" s="697"/>
      <c r="CY563" s="697"/>
      <c r="CZ563" s="697"/>
      <c r="DA563" s="697"/>
      <c r="DB563" s="697"/>
    </row>
    <row r="564" spans="1:106" hidden="1" outlineLevel="1" x14ac:dyDescent="0.2">
      <c r="A564" s="709">
        <f t="shared" si="104"/>
        <v>40422</v>
      </c>
      <c r="B564" s="709" t="str">
        <f t="shared" si="105"/>
        <v>3Q10</v>
      </c>
      <c r="C564" s="709" t="str">
        <f t="shared" si="106"/>
        <v>4Q10</v>
      </c>
      <c r="D564" s="710">
        <f t="shared" si="111"/>
        <v>40498</v>
      </c>
      <c r="E564" s="710">
        <f t="shared" si="111"/>
        <v>40438</v>
      </c>
      <c r="F564" s="712">
        <v>75.62</v>
      </c>
      <c r="G564" s="713">
        <f t="shared" si="107"/>
        <v>1.4900000000000011</v>
      </c>
      <c r="H564" s="713">
        <f t="shared" si="108"/>
        <v>1.4900000000000011</v>
      </c>
      <c r="I564" s="697"/>
      <c r="J564" s="697"/>
      <c r="K564" s="697"/>
      <c r="L564" s="697"/>
      <c r="M564" s="697"/>
      <c r="N564" s="697"/>
      <c r="O564" s="697"/>
      <c r="P564" s="697"/>
      <c r="Q564" s="697"/>
      <c r="R564" s="697"/>
      <c r="S564" s="697"/>
      <c r="T564" s="697"/>
      <c r="U564" s="697"/>
      <c r="V564" s="697"/>
      <c r="W564" s="697"/>
      <c r="X564" s="697"/>
      <c r="Y564" s="697"/>
      <c r="Z564" s="697"/>
      <c r="AA564" s="697"/>
      <c r="AB564" s="697"/>
      <c r="AC564" s="697"/>
      <c r="AD564" s="697"/>
      <c r="AE564" s="697"/>
      <c r="AF564" s="697"/>
      <c r="AG564" s="697"/>
      <c r="AH564" s="697"/>
      <c r="AI564" s="697"/>
      <c r="AJ564" s="697"/>
      <c r="AK564" s="697"/>
      <c r="AL564" s="697"/>
      <c r="AM564" s="697"/>
      <c r="AN564" s="697"/>
      <c r="AO564" s="697"/>
      <c r="AP564" s="697"/>
      <c r="AQ564" s="697"/>
      <c r="AR564" s="697"/>
      <c r="AS564" s="697"/>
      <c r="AT564" s="697"/>
      <c r="AU564" s="697"/>
      <c r="AV564" s="697"/>
      <c r="AW564" s="697"/>
      <c r="AX564" s="697"/>
      <c r="AY564" s="697"/>
      <c r="AZ564" s="697"/>
      <c r="BA564" s="697"/>
      <c r="BB564" s="697"/>
      <c r="BC564" s="697"/>
      <c r="BD564" s="697"/>
      <c r="BE564" s="697"/>
      <c r="BF564" s="697"/>
      <c r="BG564" s="697"/>
      <c r="BH564" s="697"/>
      <c r="BI564" s="697"/>
      <c r="BJ564" s="697"/>
      <c r="BK564" s="697"/>
      <c r="BL564" s="697"/>
      <c r="BM564" s="697"/>
      <c r="BN564" s="697"/>
      <c r="BO564" s="697"/>
      <c r="BP564" s="697"/>
      <c r="BQ564" s="697"/>
      <c r="BR564" s="697"/>
      <c r="BS564" s="697"/>
      <c r="BT564" s="697"/>
      <c r="BU564" s="697"/>
      <c r="BV564" s="697"/>
      <c r="BW564" s="697"/>
      <c r="BX564" s="697"/>
      <c r="BY564" s="697"/>
      <c r="BZ564" s="697"/>
      <c r="CA564" s="697"/>
      <c r="CB564" s="697"/>
      <c r="CC564" s="697"/>
      <c r="CD564" s="697"/>
      <c r="CE564" s="697"/>
      <c r="CF564" s="697"/>
      <c r="CG564" s="697"/>
      <c r="CH564" s="697"/>
      <c r="CI564" s="697"/>
      <c r="CJ564" s="697"/>
      <c r="CK564" s="697"/>
      <c r="CL564" s="697"/>
      <c r="CM564" s="697"/>
      <c r="CN564" s="697"/>
      <c r="CO564" s="697"/>
      <c r="CP564" s="697"/>
      <c r="CQ564" s="697"/>
      <c r="CR564" s="697"/>
      <c r="CS564" s="697"/>
      <c r="CT564" s="697"/>
      <c r="CU564" s="697"/>
      <c r="CV564" s="697"/>
      <c r="CW564" s="697"/>
      <c r="CX564" s="697"/>
      <c r="CY564" s="697"/>
      <c r="CZ564" s="697"/>
      <c r="DA564" s="697"/>
      <c r="DB564" s="697"/>
    </row>
    <row r="565" spans="1:106" hidden="1" outlineLevel="1" x14ac:dyDescent="0.2">
      <c r="A565" s="709">
        <f t="shared" si="104"/>
        <v>40422</v>
      </c>
      <c r="B565" s="709" t="str">
        <f t="shared" si="105"/>
        <v>3Q10</v>
      </c>
      <c r="C565" s="709" t="str">
        <f t="shared" si="106"/>
        <v>4Q10</v>
      </c>
      <c r="D565" s="710">
        <f t="shared" ref="D565:E580" si="112">D564+7</f>
        <v>40505</v>
      </c>
      <c r="E565" s="710">
        <f t="shared" si="112"/>
        <v>40445</v>
      </c>
      <c r="F565" s="712">
        <v>73.760000000000005</v>
      </c>
      <c r="G565" s="713">
        <f t="shared" si="107"/>
        <v>1.4900000000000011</v>
      </c>
      <c r="H565" s="713">
        <f t="shared" si="108"/>
        <v>1.4900000000000011</v>
      </c>
      <c r="I565" s="697"/>
      <c r="J565" s="697"/>
      <c r="K565" s="697"/>
      <c r="L565" s="697"/>
      <c r="M565" s="697"/>
      <c r="N565" s="697"/>
      <c r="O565" s="697"/>
      <c r="P565" s="697"/>
      <c r="Q565" s="697"/>
      <c r="R565" s="697"/>
      <c r="S565" s="697"/>
      <c r="T565" s="697"/>
      <c r="U565" s="697"/>
      <c r="V565" s="697"/>
      <c r="W565" s="697"/>
      <c r="X565" s="697"/>
      <c r="Y565" s="697"/>
      <c r="Z565" s="697"/>
      <c r="AA565" s="697"/>
      <c r="AB565" s="697"/>
      <c r="AC565" s="697"/>
      <c r="AD565" s="697"/>
      <c r="AE565" s="697"/>
      <c r="AF565" s="697"/>
      <c r="AG565" s="697"/>
      <c r="AH565" s="697"/>
      <c r="AI565" s="697"/>
      <c r="AJ565" s="697"/>
      <c r="AK565" s="697"/>
      <c r="AL565" s="697"/>
      <c r="AM565" s="697"/>
      <c r="AN565" s="697"/>
      <c r="AO565" s="697"/>
      <c r="AP565" s="697"/>
      <c r="AQ565" s="697"/>
      <c r="AR565" s="697"/>
      <c r="AS565" s="697"/>
      <c r="AT565" s="697"/>
      <c r="AU565" s="697"/>
      <c r="AV565" s="697"/>
      <c r="AW565" s="697"/>
      <c r="AX565" s="697"/>
      <c r="AY565" s="697"/>
      <c r="AZ565" s="697"/>
      <c r="BA565" s="697"/>
      <c r="BB565" s="697"/>
      <c r="BC565" s="697"/>
      <c r="BD565" s="697"/>
      <c r="BE565" s="697"/>
      <c r="BF565" s="697"/>
      <c r="BG565" s="697"/>
      <c r="BH565" s="697"/>
      <c r="BI565" s="697"/>
      <c r="BJ565" s="697"/>
      <c r="BK565" s="697"/>
      <c r="BL565" s="697"/>
      <c r="BM565" s="697"/>
      <c r="BN565" s="697"/>
      <c r="BO565" s="697"/>
      <c r="BP565" s="697"/>
      <c r="BQ565" s="697"/>
      <c r="BR565" s="697"/>
      <c r="BS565" s="697"/>
      <c r="BT565" s="697"/>
      <c r="BU565" s="697"/>
      <c r="BV565" s="697"/>
      <c r="BW565" s="697"/>
      <c r="BX565" s="697"/>
      <c r="BY565" s="697"/>
      <c r="BZ565" s="697"/>
      <c r="CA565" s="697"/>
      <c r="CB565" s="697"/>
      <c r="CC565" s="697"/>
      <c r="CD565" s="697"/>
      <c r="CE565" s="697"/>
      <c r="CF565" s="697"/>
      <c r="CG565" s="697"/>
      <c r="CH565" s="697"/>
      <c r="CI565" s="697"/>
      <c r="CJ565" s="697"/>
      <c r="CK565" s="697"/>
      <c r="CL565" s="697"/>
      <c r="CM565" s="697"/>
      <c r="CN565" s="697"/>
      <c r="CO565" s="697"/>
      <c r="CP565" s="697"/>
      <c r="CQ565" s="697"/>
      <c r="CR565" s="697"/>
      <c r="CS565" s="697"/>
      <c r="CT565" s="697"/>
      <c r="CU565" s="697"/>
      <c r="CV565" s="697"/>
      <c r="CW565" s="697"/>
      <c r="CX565" s="697"/>
      <c r="CY565" s="697"/>
      <c r="CZ565" s="697"/>
      <c r="DA565" s="697"/>
      <c r="DB565" s="697"/>
    </row>
    <row r="566" spans="1:106" hidden="1" outlineLevel="1" x14ac:dyDescent="0.2">
      <c r="A566" s="709">
        <f t="shared" si="104"/>
        <v>40452</v>
      </c>
      <c r="B566" s="709" t="str">
        <f t="shared" si="105"/>
        <v>4Q10</v>
      </c>
      <c r="C566" s="709" t="str">
        <f t="shared" si="106"/>
        <v>4Q10</v>
      </c>
      <c r="D566" s="710">
        <f t="shared" si="112"/>
        <v>40512</v>
      </c>
      <c r="E566" s="710">
        <f t="shared" si="112"/>
        <v>40452</v>
      </c>
      <c r="F566" s="712">
        <v>78.41</v>
      </c>
      <c r="G566" s="713">
        <f t="shared" si="107"/>
        <v>1.4900000000000011</v>
      </c>
      <c r="H566" s="713">
        <f t="shared" si="108"/>
        <v>1.4900000000000011</v>
      </c>
      <c r="I566" s="697"/>
      <c r="J566" s="697"/>
      <c r="K566" s="697"/>
      <c r="L566" s="697"/>
      <c r="M566" s="697"/>
      <c r="N566" s="697"/>
      <c r="O566" s="697"/>
      <c r="P566" s="697"/>
      <c r="Q566" s="697"/>
      <c r="R566" s="697"/>
      <c r="S566" s="697"/>
      <c r="T566" s="697"/>
      <c r="U566" s="697"/>
      <c r="V566" s="697"/>
      <c r="W566" s="697"/>
      <c r="X566" s="697"/>
      <c r="Y566" s="697"/>
      <c r="Z566" s="697"/>
      <c r="AA566" s="697"/>
      <c r="AB566" s="697"/>
      <c r="AC566" s="697"/>
      <c r="AD566" s="697"/>
      <c r="AE566" s="697"/>
      <c r="AF566" s="697"/>
      <c r="AG566" s="697"/>
      <c r="AH566" s="697"/>
      <c r="AI566" s="697"/>
      <c r="AJ566" s="697"/>
      <c r="AK566" s="697"/>
      <c r="AL566" s="697"/>
      <c r="AM566" s="697"/>
      <c r="AN566" s="697"/>
      <c r="AO566" s="697"/>
      <c r="AP566" s="697"/>
      <c r="AQ566" s="697"/>
      <c r="AR566" s="697"/>
      <c r="AS566" s="697"/>
      <c r="AT566" s="697"/>
      <c r="AU566" s="697"/>
      <c r="AV566" s="697"/>
      <c r="AW566" s="697"/>
      <c r="AX566" s="697"/>
      <c r="AY566" s="697"/>
      <c r="AZ566" s="697"/>
      <c r="BA566" s="697"/>
      <c r="BB566" s="697"/>
      <c r="BC566" s="697"/>
      <c r="BD566" s="697"/>
      <c r="BE566" s="697"/>
      <c r="BF566" s="697"/>
      <c r="BG566" s="697"/>
      <c r="BH566" s="697"/>
      <c r="BI566" s="697"/>
      <c r="BJ566" s="697"/>
      <c r="BK566" s="697"/>
      <c r="BL566" s="697"/>
      <c r="BM566" s="697"/>
      <c r="BN566" s="697"/>
      <c r="BO566" s="697"/>
      <c r="BP566" s="697"/>
      <c r="BQ566" s="697"/>
      <c r="BR566" s="697"/>
      <c r="BS566" s="697"/>
      <c r="BT566" s="697"/>
      <c r="BU566" s="697"/>
      <c r="BV566" s="697"/>
      <c r="BW566" s="697"/>
      <c r="BX566" s="697"/>
      <c r="BY566" s="697"/>
      <c r="BZ566" s="697"/>
      <c r="CA566" s="697"/>
      <c r="CB566" s="697"/>
      <c r="CC566" s="697"/>
      <c r="CD566" s="697"/>
      <c r="CE566" s="697"/>
      <c r="CF566" s="697"/>
      <c r="CG566" s="697"/>
      <c r="CH566" s="697"/>
      <c r="CI566" s="697"/>
      <c r="CJ566" s="697"/>
      <c r="CK566" s="697"/>
      <c r="CL566" s="697"/>
      <c r="CM566" s="697"/>
      <c r="CN566" s="697"/>
      <c r="CO566" s="697"/>
      <c r="CP566" s="697"/>
      <c r="CQ566" s="697"/>
      <c r="CR566" s="697"/>
      <c r="CS566" s="697"/>
      <c r="CT566" s="697"/>
      <c r="CU566" s="697"/>
      <c r="CV566" s="697"/>
      <c r="CW566" s="697"/>
      <c r="CX566" s="697"/>
      <c r="CY566" s="697"/>
      <c r="CZ566" s="697"/>
      <c r="DA566" s="697"/>
      <c r="DB566" s="697"/>
    </row>
    <row r="567" spans="1:106" hidden="1" outlineLevel="1" x14ac:dyDescent="0.2">
      <c r="A567" s="709">
        <f t="shared" si="104"/>
        <v>40452</v>
      </c>
      <c r="B567" s="709" t="str">
        <f t="shared" si="105"/>
        <v>4Q10</v>
      </c>
      <c r="C567" s="709" t="str">
        <f t="shared" si="106"/>
        <v>4Q10</v>
      </c>
      <c r="D567" s="710">
        <f t="shared" si="112"/>
        <v>40519</v>
      </c>
      <c r="E567" s="710">
        <f t="shared" si="112"/>
        <v>40459</v>
      </c>
      <c r="F567" s="712">
        <v>82.29</v>
      </c>
      <c r="G567" s="713">
        <f t="shared" si="107"/>
        <v>1.4900000000000011</v>
      </c>
      <c r="H567" s="713">
        <f t="shared" si="108"/>
        <v>1.4900000000000011</v>
      </c>
      <c r="I567" s="697"/>
      <c r="J567" s="697"/>
      <c r="K567" s="697"/>
      <c r="L567" s="697"/>
      <c r="M567" s="697"/>
      <c r="N567" s="697"/>
      <c r="O567" s="697"/>
      <c r="P567" s="697"/>
      <c r="Q567" s="697"/>
      <c r="R567" s="697"/>
      <c r="S567" s="697"/>
      <c r="T567" s="697"/>
      <c r="U567" s="697"/>
      <c r="V567" s="697"/>
      <c r="W567" s="697"/>
      <c r="X567" s="697"/>
      <c r="Y567" s="697"/>
      <c r="Z567" s="697"/>
      <c r="AA567" s="697"/>
      <c r="AB567" s="697"/>
      <c r="AC567" s="697"/>
      <c r="AD567" s="697"/>
      <c r="AE567" s="697"/>
      <c r="AF567" s="697"/>
      <c r="AG567" s="697"/>
      <c r="AH567" s="697"/>
      <c r="AI567" s="697"/>
      <c r="AJ567" s="697"/>
      <c r="AK567" s="697"/>
      <c r="AL567" s="697"/>
      <c r="AM567" s="697"/>
      <c r="AN567" s="697"/>
      <c r="AO567" s="697"/>
      <c r="AP567" s="697"/>
      <c r="AQ567" s="697"/>
      <c r="AR567" s="697"/>
      <c r="AS567" s="697"/>
      <c r="AT567" s="697"/>
      <c r="AU567" s="697"/>
      <c r="AV567" s="697"/>
      <c r="AW567" s="697"/>
      <c r="AX567" s="697"/>
      <c r="AY567" s="697"/>
      <c r="AZ567" s="697"/>
      <c r="BA567" s="697"/>
      <c r="BB567" s="697"/>
      <c r="BC567" s="697"/>
      <c r="BD567" s="697"/>
      <c r="BE567" s="697"/>
      <c r="BF567" s="697"/>
      <c r="BG567" s="697"/>
      <c r="BH567" s="697"/>
      <c r="BI567" s="697"/>
      <c r="BJ567" s="697"/>
      <c r="BK567" s="697"/>
      <c r="BL567" s="697"/>
      <c r="BM567" s="697"/>
      <c r="BN567" s="697"/>
      <c r="BO567" s="697"/>
      <c r="BP567" s="697"/>
      <c r="BQ567" s="697"/>
      <c r="BR567" s="697"/>
      <c r="BS567" s="697"/>
      <c r="BT567" s="697"/>
      <c r="BU567" s="697"/>
      <c r="BV567" s="697"/>
      <c r="BW567" s="697"/>
      <c r="BX567" s="697"/>
      <c r="BY567" s="697"/>
      <c r="BZ567" s="697"/>
      <c r="CA567" s="697"/>
      <c r="CB567" s="697"/>
      <c r="CC567" s="697"/>
      <c r="CD567" s="697"/>
      <c r="CE567" s="697"/>
      <c r="CF567" s="697"/>
      <c r="CG567" s="697"/>
      <c r="CH567" s="697"/>
      <c r="CI567" s="697"/>
      <c r="CJ567" s="697"/>
      <c r="CK567" s="697"/>
      <c r="CL567" s="697"/>
      <c r="CM567" s="697"/>
      <c r="CN567" s="697"/>
      <c r="CO567" s="697"/>
      <c r="CP567" s="697"/>
      <c r="CQ567" s="697"/>
      <c r="CR567" s="697"/>
      <c r="CS567" s="697"/>
      <c r="CT567" s="697"/>
      <c r="CU567" s="697"/>
      <c r="CV567" s="697"/>
      <c r="CW567" s="697"/>
      <c r="CX567" s="697"/>
      <c r="CY567" s="697"/>
      <c r="CZ567" s="697"/>
      <c r="DA567" s="697"/>
      <c r="DB567" s="697"/>
    </row>
    <row r="568" spans="1:106" hidden="1" outlineLevel="1" x14ac:dyDescent="0.2">
      <c r="A568" s="709">
        <f t="shared" si="104"/>
        <v>40452</v>
      </c>
      <c r="B568" s="709" t="str">
        <f t="shared" si="105"/>
        <v>4Q10</v>
      </c>
      <c r="C568" s="709" t="str">
        <f t="shared" si="106"/>
        <v>4Q10</v>
      </c>
      <c r="D568" s="710">
        <f t="shared" si="112"/>
        <v>40526</v>
      </c>
      <c r="E568" s="710">
        <f t="shared" si="112"/>
        <v>40466</v>
      </c>
      <c r="F568" s="712">
        <v>82.16</v>
      </c>
      <c r="G568" s="713">
        <f t="shared" si="107"/>
        <v>1.4900000000000011</v>
      </c>
      <c r="H568" s="713">
        <f t="shared" si="108"/>
        <v>1.4900000000000011</v>
      </c>
      <c r="I568" s="697"/>
      <c r="J568" s="697"/>
      <c r="K568" s="697"/>
      <c r="L568" s="697"/>
      <c r="M568" s="697"/>
      <c r="N568" s="697"/>
      <c r="O568" s="697"/>
      <c r="P568" s="697"/>
      <c r="Q568" s="697"/>
      <c r="R568" s="697"/>
      <c r="S568" s="697"/>
      <c r="T568" s="697"/>
      <c r="U568" s="697"/>
      <c r="V568" s="697"/>
      <c r="W568" s="697"/>
      <c r="X568" s="697"/>
      <c r="Y568" s="697"/>
      <c r="Z568" s="697"/>
      <c r="AA568" s="697"/>
      <c r="AB568" s="697"/>
      <c r="AC568" s="697"/>
      <c r="AD568" s="697"/>
      <c r="AE568" s="697"/>
      <c r="AF568" s="697"/>
      <c r="AG568" s="697"/>
      <c r="AH568" s="697"/>
      <c r="AI568" s="697"/>
      <c r="AJ568" s="697"/>
      <c r="AK568" s="697"/>
      <c r="AL568" s="697"/>
      <c r="AM568" s="697"/>
      <c r="AN568" s="697"/>
      <c r="AO568" s="697"/>
      <c r="AP568" s="697"/>
      <c r="AQ568" s="697"/>
      <c r="AR568" s="697"/>
      <c r="AS568" s="697"/>
      <c r="AT568" s="697"/>
      <c r="AU568" s="697"/>
      <c r="AV568" s="697"/>
      <c r="AW568" s="697"/>
      <c r="AX568" s="697"/>
      <c r="AY568" s="697"/>
      <c r="AZ568" s="697"/>
      <c r="BA568" s="697"/>
      <c r="BB568" s="697"/>
      <c r="BC568" s="697"/>
      <c r="BD568" s="697"/>
      <c r="BE568" s="697"/>
      <c r="BF568" s="697"/>
      <c r="BG568" s="697"/>
      <c r="BH568" s="697"/>
      <c r="BI568" s="697"/>
      <c r="BJ568" s="697"/>
      <c r="BK568" s="697"/>
      <c r="BL568" s="697"/>
      <c r="BM568" s="697"/>
      <c r="BN568" s="697"/>
      <c r="BO568" s="697"/>
      <c r="BP568" s="697"/>
      <c r="BQ568" s="697"/>
      <c r="BR568" s="697"/>
      <c r="BS568" s="697"/>
      <c r="BT568" s="697"/>
      <c r="BU568" s="697"/>
      <c r="BV568" s="697"/>
      <c r="BW568" s="697"/>
      <c r="BX568" s="697"/>
      <c r="BY568" s="697"/>
      <c r="BZ568" s="697"/>
      <c r="CA568" s="697"/>
      <c r="CB568" s="697"/>
      <c r="CC568" s="697"/>
      <c r="CD568" s="697"/>
      <c r="CE568" s="697"/>
      <c r="CF568" s="697"/>
      <c r="CG568" s="697"/>
      <c r="CH568" s="697"/>
      <c r="CI568" s="697"/>
      <c r="CJ568" s="697"/>
      <c r="CK568" s="697"/>
      <c r="CL568" s="697"/>
      <c r="CM568" s="697"/>
      <c r="CN568" s="697"/>
      <c r="CO568" s="697"/>
      <c r="CP568" s="697"/>
      <c r="CQ568" s="697"/>
      <c r="CR568" s="697"/>
      <c r="CS568" s="697"/>
      <c r="CT568" s="697"/>
      <c r="CU568" s="697"/>
      <c r="CV568" s="697"/>
      <c r="CW568" s="697"/>
      <c r="CX568" s="697"/>
      <c r="CY568" s="697"/>
      <c r="CZ568" s="697"/>
      <c r="DA568" s="697"/>
      <c r="DB568" s="697"/>
    </row>
    <row r="569" spans="1:106" hidden="1" outlineLevel="1" x14ac:dyDescent="0.2">
      <c r="A569" s="709">
        <f t="shared" si="104"/>
        <v>40452</v>
      </c>
      <c r="B569" s="709" t="str">
        <f t="shared" si="105"/>
        <v>4Q10</v>
      </c>
      <c r="C569" s="709" t="str">
        <f t="shared" si="106"/>
        <v>4Q10</v>
      </c>
      <c r="D569" s="710">
        <f t="shared" si="112"/>
        <v>40533</v>
      </c>
      <c r="E569" s="710">
        <f t="shared" si="112"/>
        <v>40473</v>
      </c>
      <c r="F569" s="712">
        <v>81.150000000000006</v>
      </c>
      <c r="G569" s="713">
        <f t="shared" si="107"/>
        <v>1.4900000000000011</v>
      </c>
      <c r="H569" s="713">
        <f t="shared" si="108"/>
        <v>1.4900000000000011</v>
      </c>
      <c r="I569" s="697"/>
      <c r="J569" s="697"/>
      <c r="K569" s="697"/>
      <c r="L569" s="697"/>
      <c r="M569" s="697"/>
      <c r="N569" s="697"/>
      <c r="O569" s="697"/>
      <c r="P569" s="697"/>
      <c r="Q569" s="697"/>
      <c r="R569" s="697"/>
      <c r="S569" s="697"/>
      <c r="T569" s="697"/>
      <c r="U569" s="697"/>
      <c r="V569" s="697"/>
      <c r="W569" s="697"/>
      <c r="X569" s="697"/>
      <c r="Y569" s="697"/>
      <c r="Z569" s="697"/>
      <c r="AA569" s="697"/>
      <c r="AB569" s="697"/>
      <c r="AC569" s="697"/>
      <c r="AD569" s="697"/>
      <c r="AE569" s="697"/>
      <c r="AF569" s="697"/>
      <c r="AG569" s="697"/>
      <c r="AH569" s="697"/>
      <c r="AI569" s="697"/>
      <c r="AJ569" s="697"/>
      <c r="AK569" s="697"/>
      <c r="AL569" s="697"/>
      <c r="AM569" s="697"/>
      <c r="AN569" s="697"/>
      <c r="AO569" s="697"/>
      <c r="AP569" s="697"/>
      <c r="AQ569" s="697"/>
      <c r="AR569" s="697"/>
      <c r="AS569" s="697"/>
      <c r="AT569" s="697"/>
      <c r="AU569" s="697"/>
      <c r="AV569" s="697"/>
      <c r="AW569" s="697"/>
      <c r="AX569" s="697"/>
      <c r="AY569" s="697"/>
      <c r="AZ569" s="697"/>
      <c r="BA569" s="697"/>
      <c r="BB569" s="697"/>
      <c r="BC569" s="697"/>
      <c r="BD569" s="697"/>
      <c r="BE569" s="697"/>
      <c r="BF569" s="697"/>
      <c r="BG569" s="697"/>
      <c r="BH569" s="697"/>
      <c r="BI569" s="697"/>
      <c r="BJ569" s="697"/>
      <c r="BK569" s="697"/>
      <c r="BL569" s="697"/>
      <c r="BM569" s="697"/>
      <c r="BN569" s="697"/>
      <c r="BO569" s="697"/>
      <c r="BP569" s="697"/>
      <c r="BQ569" s="697"/>
      <c r="BR569" s="697"/>
      <c r="BS569" s="697"/>
      <c r="BT569" s="697"/>
      <c r="BU569" s="697"/>
      <c r="BV569" s="697"/>
      <c r="BW569" s="697"/>
      <c r="BX569" s="697"/>
      <c r="BY569" s="697"/>
      <c r="BZ569" s="697"/>
      <c r="CA569" s="697"/>
      <c r="CB569" s="697"/>
      <c r="CC569" s="697"/>
      <c r="CD569" s="697"/>
      <c r="CE569" s="697"/>
      <c r="CF569" s="697"/>
      <c r="CG569" s="697"/>
      <c r="CH569" s="697"/>
      <c r="CI569" s="697"/>
      <c r="CJ569" s="697"/>
      <c r="CK569" s="697"/>
      <c r="CL569" s="697"/>
      <c r="CM569" s="697"/>
      <c r="CN569" s="697"/>
      <c r="CO569" s="697"/>
      <c r="CP569" s="697"/>
      <c r="CQ569" s="697"/>
      <c r="CR569" s="697"/>
      <c r="CS569" s="697"/>
      <c r="CT569" s="697"/>
      <c r="CU569" s="697"/>
      <c r="CV569" s="697"/>
      <c r="CW569" s="697"/>
      <c r="CX569" s="697"/>
      <c r="CY569" s="697"/>
      <c r="CZ569" s="697"/>
      <c r="DA569" s="697"/>
      <c r="DB569" s="697"/>
    </row>
    <row r="570" spans="1:106" hidden="1" outlineLevel="1" x14ac:dyDescent="0.2">
      <c r="A570" s="709">
        <f t="shared" si="104"/>
        <v>40452</v>
      </c>
      <c r="B570" s="709" t="str">
        <f t="shared" si="105"/>
        <v>4Q10</v>
      </c>
      <c r="C570" s="709" t="str">
        <f t="shared" si="106"/>
        <v>4Q10</v>
      </c>
      <c r="D570" s="710">
        <f t="shared" si="112"/>
        <v>40540</v>
      </c>
      <c r="E570" s="710">
        <f t="shared" si="112"/>
        <v>40480</v>
      </c>
      <c r="F570" s="712">
        <v>82.03</v>
      </c>
      <c r="G570" s="713">
        <f t="shared" si="107"/>
        <v>1.4900000000000011</v>
      </c>
      <c r="H570" s="713">
        <f t="shared" si="108"/>
        <v>1.4900000000000011</v>
      </c>
      <c r="I570" s="697"/>
      <c r="J570" s="697"/>
      <c r="K570" s="697"/>
      <c r="L570" s="697"/>
      <c r="M570" s="697"/>
      <c r="N570" s="697"/>
      <c r="O570" s="697"/>
      <c r="P570" s="697"/>
      <c r="Q570" s="697"/>
      <c r="R570" s="697"/>
      <c r="S570" s="697"/>
      <c r="T570" s="697"/>
      <c r="U570" s="697"/>
      <c r="V570" s="697"/>
      <c r="W570" s="697"/>
      <c r="X570" s="697"/>
      <c r="Y570" s="697"/>
      <c r="Z570" s="697"/>
      <c r="AA570" s="697"/>
      <c r="AB570" s="697"/>
      <c r="AC570" s="697"/>
      <c r="AD570" s="697"/>
      <c r="AE570" s="697"/>
      <c r="AF570" s="697"/>
      <c r="AG570" s="697"/>
      <c r="AH570" s="697"/>
      <c r="AI570" s="697"/>
      <c r="AJ570" s="697"/>
      <c r="AK570" s="697"/>
      <c r="AL570" s="697"/>
      <c r="AM570" s="697"/>
      <c r="AN570" s="697"/>
      <c r="AO570" s="697"/>
      <c r="AP570" s="697"/>
      <c r="AQ570" s="697"/>
      <c r="AR570" s="697"/>
      <c r="AS570" s="697"/>
      <c r="AT570" s="697"/>
      <c r="AU570" s="697"/>
      <c r="AV570" s="697"/>
      <c r="AW570" s="697"/>
      <c r="AX570" s="697"/>
      <c r="AY570" s="697"/>
      <c r="AZ570" s="697"/>
      <c r="BA570" s="697"/>
      <c r="BB570" s="697"/>
      <c r="BC570" s="697"/>
      <c r="BD570" s="697"/>
      <c r="BE570" s="697"/>
      <c r="BF570" s="697"/>
      <c r="BG570" s="697"/>
      <c r="BH570" s="697"/>
      <c r="BI570" s="697"/>
      <c r="BJ570" s="697"/>
      <c r="BK570" s="697"/>
      <c r="BL570" s="697"/>
      <c r="BM570" s="697"/>
      <c r="BN570" s="697"/>
      <c r="BO570" s="697"/>
      <c r="BP570" s="697"/>
      <c r="BQ570" s="697"/>
      <c r="BR570" s="697"/>
      <c r="BS570" s="697"/>
      <c r="BT570" s="697"/>
      <c r="BU570" s="697"/>
      <c r="BV570" s="697"/>
      <c r="BW570" s="697"/>
      <c r="BX570" s="697"/>
      <c r="BY570" s="697"/>
      <c r="BZ570" s="697"/>
      <c r="CA570" s="697"/>
      <c r="CB570" s="697"/>
      <c r="CC570" s="697"/>
      <c r="CD570" s="697"/>
      <c r="CE570" s="697"/>
      <c r="CF570" s="697"/>
      <c r="CG570" s="697"/>
      <c r="CH570" s="697"/>
      <c r="CI570" s="697"/>
      <c r="CJ570" s="697"/>
      <c r="CK570" s="697"/>
      <c r="CL570" s="697"/>
      <c r="CM570" s="697"/>
      <c r="CN570" s="697"/>
      <c r="CO570" s="697"/>
      <c r="CP570" s="697"/>
      <c r="CQ570" s="697"/>
      <c r="CR570" s="697"/>
      <c r="CS570" s="697"/>
      <c r="CT570" s="697"/>
      <c r="CU570" s="697"/>
      <c r="CV570" s="697"/>
      <c r="CW570" s="697"/>
      <c r="CX570" s="697"/>
      <c r="CY570" s="697"/>
      <c r="CZ570" s="697"/>
      <c r="DA570" s="697"/>
      <c r="DB570" s="697"/>
    </row>
    <row r="571" spans="1:106" hidden="1" outlineLevel="1" x14ac:dyDescent="0.2">
      <c r="A571" s="709">
        <f t="shared" si="104"/>
        <v>40483</v>
      </c>
      <c r="B571" s="709" t="str">
        <f t="shared" si="105"/>
        <v>4Q10</v>
      </c>
      <c r="C571" s="709" t="str">
        <f t="shared" si="106"/>
        <v>1Q11</v>
      </c>
      <c r="D571" s="710">
        <f t="shared" si="112"/>
        <v>40547</v>
      </c>
      <c r="E571" s="710">
        <f t="shared" si="112"/>
        <v>40487</v>
      </c>
      <c r="F571" s="712">
        <v>84.93</v>
      </c>
      <c r="G571" s="713">
        <f t="shared" si="107"/>
        <v>1.4900000000000011</v>
      </c>
      <c r="H571" s="713">
        <f t="shared" si="108"/>
        <v>1.4900000000000011</v>
      </c>
      <c r="I571" s="697"/>
      <c r="J571" s="697"/>
      <c r="K571" s="697"/>
      <c r="L571" s="697"/>
      <c r="M571" s="697"/>
      <c r="N571" s="697"/>
      <c r="O571" s="697"/>
      <c r="P571" s="697"/>
      <c r="Q571" s="697"/>
      <c r="R571" s="697"/>
      <c r="S571" s="697"/>
      <c r="T571" s="697"/>
      <c r="U571" s="697"/>
      <c r="V571" s="697"/>
      <c r="W571" s="697"/>
      <c r="X571" s="697"/>
      <c r="Y571" s="697"/>
      <c r="Z571" s="697"/>
      <c r="AA571" s="697"/>
      <c r="AB571" s="697"/>
      <c r="AC571" s="697"/>
      <c r="AD571" s="697"/>
      <c r="AE571" s="697"/>
      <c r="AF571" s="697"/>
      <c r="AG571" s="697"/>
      <c r="AH571" s="697"/>
      <c r="AI571" s="697"/>
      <c r="AJ571" s="697"/>
      <c r="AK571" s="697"/>
      <c r="AL571" s="697"/>
      <c r="AM571" s="697"/>
      <c r="AN571" s="697"/>
      <c r="AO571" s="697"/>
      <c r="AP571" s="697"/>
      <c r="AQ571" s="697"/>
      <c r="AR571" s="697"/>
      <c r="AS571" s="697"/>
      <c r="AT571" s="697"/>
      <c r="AU571" s="697"/>
      <c r="AV571" s="697"/>
      <c r="AW571" s="697"/>
      <c r="AX571" s="697"/>
      <c r="AY571" s="697"/>
      <c r="AZ571" s="697"/>
      <c r="BA571" s="697"/>
      <c r="BB571" s="697"/>
      <c r="BC571" s="697"/>
      <c r="BD571" s="697"/>
      <c r="BE571" s="697"/>
      <c r="BF571" s="697"/>
      <c r="BG571" s="697"/>
      <c r="BH571" s="697"/>
      <c r="BI571" s="697"/>
      <c r="BJ571" s="697"/>
      <c r="BK571" s="697"/>
      <c r="BL571" s="697"/>
      <c r="BM571" s="697"/>
      <c r="BN571" s="697"/>
      <c r="BO571" s="697"/>
      <c r="BP571" s="697"/>
      <c r="BQ571" s="697"/>
      <c r="BR571" s="697"/>
      <c r="BS571" s="697"/>
      <c r="BT571" s="697"/>
      <c r="BU571" s="697"/>
      <c r="BV571" s="697"/>
      <c r="BW571" s="697"/>
      <c r="BX571" s="697"/>
      <c r="BY571" s="697"/>
      <c r="BZ571" s="697"/>
      <c r="CA571" s="697"/>
      <c r="CB571" s="697"/>
      <c r="CC571" s="697"/>
      <c r="CD571" s="697"/>
      <c r="CE571" s="697"/>
      <c r="CF571" s="697"/>
      <c r="CG571" s="697"/>
      <c r="CH571" s="697"/>
      <c r="CI571" s="697"/>
      <c r="CJ571" s="697"/>
      <c r="CK571" s="697"/>
      <c r="CL571" s="697"/>
      <c r="CM571" s="697"/>
      <c r="CN571" s="697"/>
      <c r="CO571" s="697"/>
      <c r="CP571" s="697"/>
      <c r="CQ571" s="697"/>
      <c r="CR571" s="697"/>
      <c r="CS571" s="697"/>
      <c r="CT571" s="697"/>
      <c r="CU571" s="697"/>
      <c r="CV571" s="697"/>
      <c r="CW571" s="697"/>
      <c r="CX571" s="697"/>
      <c r="CY571" s="697"/>
      <c r="CZ571" s="697"/>
      <c r="DA571" s="697"/>
      <c r="DB571" s="697"/>
    </row>
    <row r="572" spans="1:106" hidden="1" outlineLevel="1" x14ac:dyDescent="0.2">
      <c r="A572" s="709">
        <f t="shared" si="104"/>
        <v>40483</v>
      </c>
      <c r="B572" s="709" t="str">
        <f t="shared" si="105"/>
        <v>4Q10</v>
      </c>
      <c r="C572" s="709" t="str">
        <f t="shared" si="106"/>
        <v>1Q11</v>
      </c>
      <c r="D572" s="710">
        <f t="shared" si="112"/>
        <v>40554</v>
      </c>
      <c r="E572" s="710">
        <f t="shared" si="112"/>
        <v>40494</v>
      </c>
      <c r="F572" s="712">
        <v>86.91</v>
      </c>
      <c r="G572" s="713">
        <f t="shared" si="107"/>
        <v>1.4900000000000011</v>
      </c>
      <c r="H572" s="713">
        <f t="shared" si="108"/>
        <v>1.4900000000000011</v>
      </c>
      <c r="I572" s="697"/>
      <c r="J572" s="697"/>
      <c r="K572" s="697"/>
      <c r="L572" s="697"/>
      <c r="M572" s="697"/>
      <c r="N572" s="697"/>
      <c r="O572" s="697"/>
      <c r="P572" s="697"/>
      <c r="Q572" s="697"/>
      <c r="R572" s="697"/>
      <c r="S572" s="697"/>
      <c r="T572" s="697"/>
      <c r="U572" s="697"/>
      <c r="V572" s="697"/>
      <c r="W572" s="697"/>
      <c r="X572" s="697"/>
      <c r="Y572" s="697"/>
      <c r="Z572" s="697"/>
      <c r="AA572" s="697"/>
      <c r="AB572" s="697"/>
      <c r="AC572" s="697"/>
      <c r="AD572" s="697"/>
      <c r="AE572" s="697"/>
      <c r="AF572" s="697"/>
      <c r="AG572" s="697"/>
      <c r="AH572" s="697"/>
      <c r="AI572" s="697"/>
      <c r="AJ572" s="697"/>
      <c r="AK572" s="697"/>
      <c r="AL572" s="697"/>
      <c r="AM572" s="697"/>
      <c r="AN572" s="697"/>
      <c r="AO572" s="697"/>
      <c r="AP572" s="697"/>
      <c r="AQ572" s="697"/>
      <c r="AR572" s="697"/>
      <c r="AS572" s="697"/>
      <c r="AT572" s="697"/>
      <c r="AU572" s="697"/>
      <c r="AV572" s="697"/>
      <c r="AW572" s="697"/>
      <c r="AX572" s="697"/>
      <c r="AY572" s="697"/>
      <c r="AZ572" s="697"/>
      <c r="BA572" s="697"/>
      <c r="BB572" s="697"/>
      <c r="BC572" s="697"/>
      <c r="BD572" s="697"/>
      <c r="BE572" s="697"/>
      <c r="BF572" s="697"/>
      <c r="BG572" s="697"/>
      <c r="BH572" s="697"/>
      <c r="BI572" s="697"/>
      <c r="BJ572" s="697"/>
      <c r="BK572" s="697"/>
      <c r="BL572" s="697"/>
      <c r="BM572" s="697"/>
      <c r="BN572" s="697"/>
      <c r="BO572" s="697"/>
      <c r="BP572" s="697"/>
      <c r="BQ572" s="697"/>
      <c r="BR572" s="697"/>
      <c r="BS572" s="697"/>
      <c r="BT572" s="697"/>
      <c r="BU572" s="697"/>
      <c r="BV572" s="697"/>
      <c r="BW572" s="697"/>
      <c r="BX572" s="697"/>
      <c r="BY572" s="697"/>
      <c r="BZ572" s="697"/>
      <c r="CA572" s="697"/>
      <c r="CB572" s="697"/>
      <c r="CC572" s="697"/>
      <c r="CD572" s="697"/>
      <c r="CE572" s="697"/>
      <c r="CF572" s="697"/>
      <c r="CG572" s="697"/>
      <c r="CH572" s="697"/>
      <c r="CI572" s="697"/>
      <c r="CJ572" s="697"/>
      <c r="CK572" s="697"/>
      <c r="CL572" s="697"/>
      <c r="CM572" s="697"/>
      <c r="CN572" s="697"/>
      <c r="CO572" s="697"/>
      <c r="CP572" s="697"/>
      <c r="CQ572" s="697"/>
      <c r="CR572" s="697"/>
      <c r="CS572" s="697"/>
      <c r="CT572" s="697"/>
      <c r="CU572" s="697"/>
      <c r="CV572" s="697"/>
      <c r="CW572" s="697"/>
      <c r="CX572" s="697"/>
      <c r="CY572" s="697"/>
      <c r="CZ572" s="697"/>
      <c r="DA572" s="697"/>
      <c r="DB572" s="697"/>
    </row>
    <row r="573" spans="1:106" hidden="1" outlineLevel="1" x14ac:dyDescent="0.2">
      <c r="A573" s="709">
        <f t="shared" si="104"/>
        <v>40483</v>
      </c>
      <c r="B573" s="709" t="str">
        <f t="shared" si="105"/>
        <v>4Q10</v>
      </c>
      <c r="C573" s="709" t="str">
        <f t="shared" si="106"/>
        <v>1Q11</v>
      </c>
      <c r="D573" s="710">
        <f t="shared" si="112"/>
        <v>40561</v>
      </c>
      <c r="E573" s="710">
        <f t="shared" si="112"/>
        <v>40501</v>
      </c>
      <c r="F573" s="712">
        <v>82.23</v>
      </c>
      <c r="G573" s="713">
        <f t="shared" si="107"/>
        <v>1.4900000000000011</v>
      </c>
      <c r="H573" s="713">
        <f t="shared" si="108"/>
        <v>1.4900000000000011</v>
      </c>
      <c r="I573" s="697"/>
      <c r="J573" s="697"/>
      <c r="K573" s="697"/>
      <c r="L573" s="697"/>
      <c r="M573" s="697"/>
      <c r="N573" s="697"/>
      <c r="O573" s="697"/>
      <c r="P573" s="697"/>
      <c r="Q573" s="697"/>
      <c r="R573" s="697"/>
      <c r="S573" s="697"/>
      <c r="T573" s="697"/>
      <c r="U573" s="697"/>
      <c r="V573" s="697"/>
      <c r="W573" s="697"/>
      <c r="X573" s="697"/>
      <c r="Y573" s="697"/>
      <c r="Z573" s="697"/>
      <c r="AA573" s="697"/>
      <c r="AB573" s="697"/>
      <c r="AC573" s="697"/>
      <c r="AD573" s="697"/>
      <c r="AE573" s="697"/>
      <c r="AF573" s="697"/>
      <c r="AG573" s="697"/>
      <c r="AH573" s="697"/>
      <c r="AI573" s="697"/>
      <c r="AJ573" s="697"/>
      <c r="AK573" s="697"/>
      <c r="AL573" s="697"/>
      <c r="AM573" s="697"/>
      <c r="AN573" s="697"/>
      <c r="AO573" s="697"/>
      <c r="AP573" s="697"/>
      <c r="AQ573" s="697"/>
      <c r="AR573" s="697"/>
      <c r="AS573" s="697"/>
      <c r="AT573" s="697"/>
      <c r="AU573" s="697"/>
      <c r="AV573" s="697"/>
      <c r="AW573" s="697"/>
      <c r="AX573" s="697"/>
      <c r="AY573" s="697"/>
      <c r="AZ573" s="697"/>
      <c r="BA573" s="697"/>
      <c r="BB573" s="697"/>
      <c r="BC573" s="697"/>
      <c r="BD573" s="697"/>
      <c r="BE573" s="697"/>
      <c r="BF573" s="697"/>
      <c r="BG573" s="697"/>
      <c r="BH573" s="697"/>
      <c r="BI573" s="697"/>
      <c r="BJ573" s="697"/>
      <c r="BK573" s="697"/>
      <c r="BL573" s="697"/>
      <c r="BM573" s="697"/>
      <c r="BN573" s="697"/>
      <c r="BO573" s="697"/>
      <c r="BP573" s="697"/>
      <c r="BQ573" s="697"/>
      <c r="BR573" s="697"/>
      <c r="BS573" s="697"/>
      <c r="BT573" s="697"/>
      <c r="BU573" s="697"/>
      <c r="BV573" s="697"/>
      <c r="BW573" s="697"/>
      <c r="BX573" s="697"/>
      <c r="BY573" s="697"/>
      <c r="BZ573" s="697"/>
      <c r="CA573" s="697"/>
      <c r="CB573" s="697"/>
      <c r="CC573" s="697"/>
      <c r="CD573" s="697"/>
      <c r="CE573" s="697"/>
      <c r="CF573" s="697"/>
      <c r="CG573" s="697"/>
      <c r="CH573" s="697"/>
      <c r="CI573" s="697"/>
      <c r="CJ573" s="697"/>
      <c r="CK573" s="697"/>
      <c r="CL573" s="697"/>
      <c r="CM573" s="697"/>
      <c r="CN573" s="697"/>
      <c r="CO573" s="697"/>
      <c r="CP573" s="697"/>
      <c r="CQ573" s="697"/>
      <c r="CR573" s="697"/>
      <c r="CS573" s="697"/>
      <c r="CT573" s="697"/>
      <c r="CU573" s="697"/>
      <c r="CV573" s="697"/>
      <c r="CW573" s="697"/>
      <c r="CX573" s="697"/>
      <c r="CY573" s="697"/>
      <c r="CZ573" s="697"/>
      <c r="DA573" s="697"/>
      <c r="DB573" s="697"/>
    </row>
    <row r="574" spans="1:106" hidden="1" outlineLevel="1" x14ac:dyDescent="0.2">
      <c r="A574" s="709">
        <f t="shared" si="104"/>
        <v>40483</v>
      </c>
      <c r="B574" s="709" t="str">
        <f t="shared" si="105"/>
        <v>4Q10</v>
      </c>
      <c r="C574" s="709" t="str">
        <f t="shared" si="106"/>
        <v>1Q11</v>
      </c>
      <c r="D574" s="710">
        <f t="shared" si="112"/>
        <v>40568</v>
      </c>
      <c r="E574" s="710">
        <f t="shared" si="112"/>
        <v>40508</v>
      </c>
      <c r="F574" s="712">
        <v>82.28</v>
      </c>
      <c r="G574" s="713">
        <f t="shared" si="107"/>
        <v>1.4900000000000011</v>
      </c>
      <c r="H574" s="713">
        <f t="shared" si="108"/>
        <v>1.4900000000000011</v>
      </c>
      <c r="I574" s="697"/>
      <c r="J574" s="697"/>
      <c r="K574" s="697"/>
      <c r="L574" s="697"/>
      <c r="M574" s="697"/>
      <c r="N574" s="697"/>
      <c r="O574" s="697"/>
      <c r="P574" s="697"/>
      <c r="Q574" s="697"/>
      <c r="R574" s="697"/>
      <c r="S574" s="697"/>
      <c r="T574" s="697"/>
      <c r="U574" s="697"/>
      <c r="V574" s="697"/>
      <c r="W574" s="697"/>
      <c r="X574" s="697"/>
      <c r="Y574" s="697"/>
      <c r="Z574" s="697"/>
      <c r="AA574" s="697"/>
      <c r="AB574" s="697"/>
      <c r="AC574" s="697"/>
      <c r="AD574" s="697"/>
      <c r="AE574" s="697"/>
      <c r="AF574" s="697"/>
      <c r="AG574" s="697"/>
      <c r="AH574" s="697"/>
      <c r="AI574" s="697"/>
      <c r="AJ574" s="697"/>
      <c r="AK574" s="697"/>
      <c r="AL574" s="697"/>
      <c r="AM574" s="697"/>
      <c r="AN574" s="697"/>
      <c r="AO574" s="697"/>
      <c r="AP574" s="697"/>
      <c r="AQ574" s="697"/>
      <c r="AR574" s="697"/>
      <c r="AS574" s="697"/>
      <c r="AT574" s="697"/>
      <c r="AU574" s="697"/>
      <c r="AV574" s="697"/>
      <c r="AW574" s="697"/>
      <c r="AX574" s="697"/>
      <c r="AY574" s="697"/>
      <c r="AZ574" s="697"/>
      <c r="BA574" s="697"/>
      <c r="BB574" s="697"/>
      <c r="BC574" s="697"/>
      <c r="BD574" s="697"/>
      <c r="BE574" s="697"/>
      <c r="BF574" s="697"/>
      <c r="BG574" s="697"/>
      <c r="BH574" s="697"/>
      <c r="BI574" s="697"/>
      <c r="BJ574" s="697"/>
      <c r="BK574" s="697"/>
      <c r="BL574" s="697"/>
      <c r="BM574" s="697"/>
      <c r="BN574" s="697"/>
      <c r="BO574" s="697"/>
      <c r="BP574" s="697"/>
      <c r="BQ574" s="697"/>
      <c r="BR574" s="697"/>
      <c r="BS574" s="697"/>
      <c r="BT574" s="697"/>
      <c r="BU574" s="697"/>
      <c r="BV574" s="697"/>
      <c r="BW574" s="697"/>
      <c r="BX574" s="697"/>
      <c r="BY574" s="697"/>
      <c r="BZ574" s="697"/>
      <c r="CA574" s="697"/>
      <c r="CB574" s="697"/>
      <c r="CC574" s="697"/>
      <c r="CD574" s="697"/>
      <c r="CE574" s="697"/>
      <c r="CF574" s="697"/>
      <c r="CG574" s="697"/>
      <c r="CH574" s="697"/>
      <c r="CI574" s="697"/>
      <c r="CJ574" s="697"/>
      <c r="CK574" s="697"/>
      <c r="CL574" s="697"/>
      <c r="CM574" s="697"/>
      <c r="CN574" s="697"/>
      <c r="CO574" s="697"/>
      <c r="CP574" s="697"/>
      <c r="CQ574" s="697"/>
      <c r="CR574" s="697"/>
      <c r="CS574" s="697"/>
      <c r="CT574" s="697"/>
      <c r="CU574" s="697"/>
      <c r="CV574" s="697"/>
      <c r="CW574" s="697"/>
      <c r="CX574" s="697"/>
      <c r="CY574" s="697"/>
      <c r="CZ574" s="697"/>
      <c r="DA574" s="697"/>
      <c r="DB574" s="697"/>
    </row>
    <row r="575" spans="1:106" hidden="1" outlineLevel="1" x14ac:dyDescent="0.2">
      <c r="A575" s="709">
        <f t="shared" si="104"/>
        <v>40513</v>
      </c>
      <c r="B575" s="709" t="str">
        <f t="shared" si="105"/>
        <v>4Q10</v>
      </c>
      <c r="C575" s="709" t="str">
        <f t="shared" si="106"/>
        <v>1Q11</v>
      </c>
      <c r="D575" s="710">
        <f t="shared" si="112"/>
        <v>40575</v>
      </c>
      <c r="E575" s="710">
        <f t="shared" si="112"/>
        <v>40515</v>
      </c>
      <c r="F575" s="712">
        <v>86.75</v>
      </c>
      <c r="G575" s="713">
        <f t="shared" si="107"/>
        <v>1.4900000000000011</v>
      </c>
      <c r="H575" s="713">
        <f t="shared" si="108"/>
        <v>1.4900000000000011</v>
      </c>
      <c r="I575" s="697"/>
      <c r="J575" s="697"/>
      <c r="K575" s="697"/>
      <c r="L575" s="697"/>
      <c r="M575" s="697"/>
      <c r="N575" s="697"/>
      <c r="O575" s="697"/>
      <c r="P575" s="697"/>
      <c r="Q575" s="697"/>
      <c r="R575" s="697"/>
      <c r="S575" s="697"/>
      <c r="T575" s="697"/>
      <c r="U575" s="697"/>
      <c r="V575" s="697"/>
      <c r="W575" s="697"/>
      <c r="X575" s="697"/>
      <c r="Y575" s="697"/>
      <c r="Z575" s="697"/>
      <c r="AA575" s="697"/>
      <c r="AB575" s="697"/>
      <c r="AC575" s="697"/>
      <c r="AD575" s="697"/>
      <c r="AE575" s="697"/>
      <c r="AF575" s="697"/>
      <c r="AG575" s="697"/>
      <c r="AH575" s="697"/>
      <c r="AI575" s="697"/>
      <c r="AJ575" s="697"/>
      <c r="AK575" s="697"/>
      <c r="AL575" s="697"/>
      <c r="AM575" s="697"/>
      <c r="AN575" s="697"/>
      <c r="AO575" s="697"/>
      <c r="AP575" s="697"/>
      <c r="AQ575" s="697"/>
      <c r="AR575" s="697"/>
      <c r="AS575" s="697"/>
      <c r="AT575" s="697"/>
      <c r="AU575" s="697"/>
      <c r="AV575" s="697"/>
      <c r="AW575" s="697"/>
      <c r="AX575" s="697"/>
      <c r="AY575" s="697"/>
      <c r="AZ575" s="697"/>
      <c r="BA575" s="697"/>
      <c r="BB575" s="697"/>
      <c r="BC575" s="697"/>
      <c r="BD575" s="697"/>
      <c r="BE575" s="697"/>
      <c r="BF575" s="697"/>
      <c r="BG575" s="697"/>
      <c r="BH575" s="697"/>
      <c r="BI575" s="697"/>
      <c r="BJ575" s="697"/>
      <c r="BK575" s="697"/>
      <c r="BL575" s="697"/>
      <c r="BM575" s="697"/>
      <c r="BN575" s="697"/>
      <c r="BO575" s="697"/>
      <c r="BP575" s="697"/>
      <c r="BQ575" s="697"/>
      <c r="BR575" s="697"/>
      <c r="BS575" s="697"/>
      <c r="BT575" s="697"/>
      <c r="BU575" s="697"/>
      <c r="BV575" s="697"/>
      <c r="BW575" s="697"/>
      <c r="BX575" s="697"/>
      <c r="BY575" s="697"/>
      <c r="BZ575" s="697"/>
      <c r="CA575" s="697"/>
      <c r="CB575" s="697"/>
      <c r="CC575" s="697"/>
      <c r="CD575" s="697"/>
      <c r="CE575" s="697"/>
      <c r="CF575" s="697"/>
      <c r="CG575" s="697"/>
      <c r="CH575" s="697"/>
      <c r="CI575" s="697"/>
      <c r="CJ575" s="697"/>
      <c r="CK575" s="697"/>
      <c r="CL575" s="697"/>
      <c r="CM575" s="697"/>
      <c r="CN575" s="697"/>
      <c r="CO575" s="697"/>
      <c r="CP575" s="697"/>
      <c r="CQ575" s="697"/>
      <c r="CR575" s="697"/>
      <c r="CS575" s="697"/>
      <c r="CT575" s="697"/>
      <c r="CU575" s="697"/>
      <c r="CV575" s="697"/>
      <c r="CW575" s="697"/>
      <c r="CX575" s="697"/>
      <c r="CY575" s="697"/>
      <c r="CZ575" s="697"/>
      <c r="DA575" s="697"/>
      <c r="DB575" s="697"/>
    </row>
    <row r="576" spans="1:106" hidden="1" outlineLevel="1" x14ac:dyDescent="0.2">
      <c r="A576" s="709">
        <f t="shared" si="104"/>
        <v>40513</v>
      </c>
      <c r="B576" s="709" t="str">
        <f t="shared" si="105"/>
        <v>4Q10</v>
      </c>
      <c r="C576" s="709" t="str">
        <f t="shared" si="106"/>
        <v>1Q11</v>
      </c>
      <c r="D576" s="710">
        <f t="shared" si="112"/>
        <v>40582</v>
      </c>
      <c r="E576" s="710">
        <f t="shared" si="112"/>
        <v>40522</v>
      </c>
      <c r="F576" s="712">
        <v>88.5</v>
      </c>
      <c r="G576" s="713">
        <f t="shared" si="107"/>
        <v>1.4900000000000011</v>
      </c>
      <c r="H576" s="713">
        <f t="shared" si="108"/>
        <v>1.4900000000000011</v>
      </c>
      <c r="I576" s="697"/>
      <c r="J576" s="697"/>
      <c r="K576" s="697"/>
      <c r="L576" s="697"/>
      <c r="M576" s="697"/>
      <c r="N576" s="697"/>
      <c r="O576" s="697"/>
      <c r="P576" s="697"/>
      <c r="Q576" s="697"/>
      <c r="R576" s="697"/>
      <c r="S576" s="697"/>
      <c r="T576" s="697"/>
      <c r="U576" s="697"/>
      <c r="V576" s="697"/>
      <c r="W576" s="697"/>
      <c r="X576" s="697"/>
      <c r="Y576" s="697"/>
      <c r="Z576" s="697"/>
      <c r="AA576" s="697"/>
      <c r="AB576" s="697"/>
      <c r="AC576" s="697"/>
      <c r="AD576" s="697"/>
      <c r="AE576" s="697"/>
      <c r="AF576" s="697"/>
      <c r="AG576" s="697"/>
      <c r="AH576" s="697"/>
      <c r="AI576" s="697"/>
      <c r="AJ576" s="697"/>
      <c r="AK576" s="697"/>
      <c r="AL576" s="697"/>
      <c r="AM576" s="697"/>
      <c r="AN576" s="697"/>
      <c r="AO576" s="697"/>
      <c r="AP576" s="697"/>
      <c r="AQ576" s="697"/>
      <c r="AR576" s="697"/>
      <c r="AS576" s="697"/>
      <c r="AT576" s="697"/>
      <c r="AU576" s="697"/>
      <c r="AV576" s="697"/>
      <c r="AW576" s="697"/>
      <c r="AX576" s="697"/>
      <c r="AY576" s="697"/>
      <c r="AZ576" s="697"/>
      <c r="BA576" s="697"/>
      <c r="BB576" s="697"/>
      <c r="BC576" s="697"/>
      <c r="BD576" s="697"/>
      <c r="BE576" s="697"/>
      <c r="BF576" s="697"/>
      <c r="BG576" s="697"/>
      <c r="BH576" s="697"/>
      <c r="BI576" s="697"/>
      <c r="BJ576" s="697"/>
      <c r="BK576" s="697"/>
      <c r="BL576" s="697"/>
      <c r="BM576" s="697"/>
      <c r="BN576" s="697"/>
      <c r="BO576" s="697"/>
      <c r="BP576" s="697"/>
      <c r="BQ576" s="697"/>
      <c r="BR576" s="697"/>
      <c r="BS576" s="697"/>
      <c r="BT576" s="697"/>
      <c r="BU576" s="697"/>
      <c r="BV576" s="697"/>
      <c r="BW576" s="697"/>
      <c r="BX576" s="697"/>
      <c r="BY576" s="697"/>
      <c r="BZ576" s="697"/>
      <c r="CA576" s="697"/>
      <c r="CB576" s="697"/>
      <c r="CC576" s="697"/>
      <c r="CD576" s="697"/>
      <c r="CE576" s="697"/>
      <c r="CF576" s="697"/>
      <c r="CG576" s="697"/>
      <c r="CH576" s="697"/>
      <c r="CI576" s="697"/>
      <c r="CJ576" s="697"/>
      <c r="CK576" s="697"/>
      <c r="CL576" s="697"/>
      <c r="CM576" s="697"/>
      <c r="CN576" s="697"/>
      <c r="CO576" s="697"/>
      <c r="CP576" s="697"/>
      <c r="CQ576" s="697"/>
      <c r="CR576" s="697"/>
      <c r="CS576" s="697"/>
      <c r="CT576" s="697"/>
      <c r="CU576" s="697"/>
      <c r="CV576" s="697"/>
      <c r="CW576" s="697"/>
      <c r="CX576" s="697"/>
      <c r="CY576" s="697"/>
      <c r="CZ576" s="697"/>
      <c r="DA576" s="697"/>
      <c r="DB576" s="697"/>
    </row>
    <row r="577" spans="1:106" hidden="1" outlineLevel="1" x14ac:dyDescent="0.2">
      <c r="A577" s="709">
        <f t="shared" si="104"/>
        <v>40513</v>
      </c>
      <c r="B577" s="709" t="str">
        <f t="shared" si="105"/>
        <v>4Q10</v>
      </c>
      <c r="C577" s="709" t="str">
        <f t="shared" si="106"/>
        <v>1Q11</v>
      </c>
      <c r="D577" s="710">
        <f t="shared" si="112"/>
        <v>40589</v>
      </c>
      <c r="E577" s="710">
        <f t="shared" si="112"/>
        <v>40529</v>
      </c>
      <c r="F577" s="712">
        <v>88.27</v>
      </c>
      <c r="G577" s="713">
        <f t="shared" si="107"/>
        <v>1.4900000000000011</v>
      </c>
      <c r="H577" s="713">
        <f t="shared" si="108"/>
        <v>1.4900000000000011</v>
      </c>
      <c r="I577" s="697"/>
      <c r="J577" s="697"/>
      <c r="K577" s="697"/>
      <c r="L577" s="697"/>
      <c r="M577" s="697"/>
      <c r="N577" s="697"/>
      <c r="O577" s="697"/>
      <c r="P577" s="697"/>
      <c r="Q577" s="697"/>
      <c r="R577" s="697"/>
      <c r="S577" s="697"/>
      <c r="T577" s="697"/>
      <c r="U577" s="697"/>
      <c r="V577" s="697"/>
      <c r="W577" s="697"/>
      <c r="X577" s="697"/>
      <c r="Y577" s="697"/>
      <c r="Z577" s="697"/>
      <c r="AA577" s="697"/>
      <c r="AB577" s="697"/>
      <c r="AC577" s="697"/>
      <c r="AD577" s="697"/>
      <c r="AE577" s="697"/>
      <c r="AF577" s="697"/>
      <c r="AG577" s="697"/>
      <c r="AH577" s="697"/>
      <c r="AI577" s="697"/>
      <c r="AJ577" s="697"/>
      <c r="AK577" s="697"/>
      <c r="AL577" s="697"/>
      <c r="AM577" s="697"/>
      <c r="AN577" s="697"/>
      <c r="AO577" s="697"/>
      <c r="AP577" s="697"/>
      <c r="AQ577" s="697"/>
      <c r="AR577" s="697"/>
      <c r="AS577" s="697"/>
      <c r="AT577" s="697"/>
      <c r="AU577" s="697"/>
      <c r="AV577" s="697"/>
      <c r="AW577" s="697"/>
      <c r="AX577" s="697"/>
      <c r="AY577" s="697"/>
      <c r="AZ577" s="697"/>
      <c r="BA577" s="697"/>
      <c r="BB577" s="697"/>
      <c r="BC577" s="697"/>
      <c r="BD577" s="697"/>
      <c r="BE577" s="697"/>
      <c r="BF577" s="697"/>
      <c r="BG577" s="697"/>
      <c r="BH577" s="697"/>
      <c r="BI577" s="697"/>
      <c r="BJ577" s="697"/>
      <c r="BK577" s="697"/>
      <c r="BL577" s="697"/>
      <c r="BM577" s="697"/>
      <c r="BN577" s="697"/>
      <c r="BO577" s="697"/>
      <c r="BP577" s="697"/>
      <c r="BQ577" s="697"/>
      <c r="BR577" s="697"/>
      <c r="BS577" s="697"/>
      <c r="BT577" s="697"/>
      <c r="BU577" s="697"/>
      <c r="BV577" s="697"/>
      <c r="BW577" s="697"/>
      <c r="BX577" s="697"/>
      <c r="BY577" s="697"/>
      <c r="BZ577" s="697"/>
      <c r="CA577" s="697"/>
      <c r="CB577" s="697"/>
      <c r="CC577" s="697"/>
      <c r="CD577" s="697"/>
      <c r="CE577" s="697"/>
      <c r="CF577" s="697"/>
      <c r="CG577" s="697"/>
      <c r="CH577" s="697"/>
      <c r="CI577" s="697"/>
      <c r="CJ577" s="697"/>
      <c r="CK577" s="697"/>
      <c r="CL577" s="697"/>
      <c r="CM577" s="697"/>
      <c r="CN577" s="697"/>
      <c r="CO577" s="697"/>
      <c r="CP577" s="697"/>
      <c r="CQ577" s="697"/>
      <c r="CR577" s="697"/>
      <c r="CS577" s="697"/>
      <c r="CT577" s="697"/>
      <c r="CU577" s="697"/>
      <c r="CV577" s="697"/>
      <c r="CW577" s="697"/>
      <c r="CX577" s="697"/>
      <c r="CY577" s="697"/>
      <c r="CZ577" s="697"/>
      <c r="DA577" s="697"/>
      <c r="DB577" s="697"/>
    </row>
    <row r="578" spans="1:106" hidden="1" outlineLevel="1" x14ac:dyDescent="0.2">
      <c r="A578" s="709">
        <f t="shared" si="104"/>
        <v>40513</v>
      </c>
      <c r="B578" s="709" t="str">
        <f t="shared" si="105"/>
        <v>4Q10</v>
      </c>
      <c r="C578" s="709" t="str">
        <f t="shared" si="106"/>
        <v>1Q11</v>
      </c>
      <c r="D578" s="710">
        <f t="shared" si="112"/>
        <v>40596</v>
      </c>
      <c r="E578" s="710">
        <f t="shared" si="112"/>
        <v>40536</v>
      </c>
      <c r="F578" s="712">
        <v>89.66</v>
      </c>
      <c r="G578" s="713">
        <f t="shared" si="107"/>
        <v>1.4900000000000011</v>
      </c>
      <c r="H578" s="713">
        <f t="shared" si="108"/>
        <v>1.4900000000000011</v>
      </c>
      <c r="I578" s="697"/>
      <c r="J578" s="697"/>
      <c r="K578" s="697"/>
      <c r="L578" s="697"/>
      <c r="M578" s="697"/>
      <c r="N578" s="697"/>
      <c r="O578" s="697"/>
      <c r="P578" s="697"/>
      <c r="Q578" s="697"/>
      <c r="R578" s="697"/>
      <c r="S578" s="697"/>
      <c r="T578" s="697"/>
      <c r="U578" s="697"/>
      <c r="V578" s="697"/>
      <c r="W578" s="697"/>
      <c r="X578" s="697"/>
      <c r="Y578" s="697"/>
      <c r="Z578" s="697"/>
      <c r="AA578" s="697"/>
      <c r="AB578" s="697"/>
      <c r="AC578" s="697"/>
      <c r="AD578" s="697"/>
      <c r="AE578" s="697"/>
      <c r="AF578" s="697"/>
      <c r="AG578" s="697"/>
      <c r="AH578" s="697"/>
      <c r="AI578" s="697"/>
      <c r="AJ578" s="697"/>
      <c r="AK578" s="697"/>
      <c r="AL578" s="697"/>
      <c r="AM578" s="697"/>
      <c r="AN578" s="697"/>
      <c r="AO578" s="697"/>
      <c r="AP578" s="697"/>
      <c r="AQ578" s="697"/>
      <c r="AR578" s="697"/>
      <c r="AS578" s="697"/>
      <c r="AT578" s="697"/>
      <c r="AU578" s="697"/>
      <c r="AV578" s="697"/>
      <c r="AW578" s="697"/>
      <c r="AX578" s="697"/>
      <c r="AY578" s="697"/>
      <c r="AZ578" s="697"/>
      <c r="BA578" s="697"/>
      <c r="BB578" s="697"/>
      <c r="BC578" s="697"/>
      <c r="BD578" s="697"/>
      <c r="BE578" s="697"/>
      <c r="BF578" s="697"/>
      <c r="BG578" s="697"/>
      <c r="BH578" s="697"/>
      <c r="BI578" s="697"/>
      <c r="BJ578" s="697"/>
      <c r="BK578" s="697"/>
      <c r="BL578" s="697"/>
      <c r="BM578" s="697"/>
      <c r="BN578" s="697"/>
      <c r="BO578" s="697"/>
      <c r="BP578" s="697"/>
      <c r="BQ578" s="697"/>
      <c r="BR578" s="697"/>
      <c r="BS578" s="697"/>
      <c r="BT578" s="697"/>
      <c r="BU578" s="697"/>
      <c r="BV578" s="697"/>
      <c r="BW578" s="697"/>
      <c r="BX578" s="697"/>
      <c r="BY578" s="697"/>
      <c r="BZ578" s="697"/>
      <c r="CA578" s="697"/>
      <c r="CB578" s="697"/>
      <c r="CC578" s="697"/>
      <c r="CD578" s="697"/>
      <c r="CE578" s="697"/>
      <c r="CF578" s="697"/>
      <c r="CG578" s="697"/>
      <c r="CH578" s="697"/>
      <c r="CI578" s="697"/>
      <c r="CJ578" s="697"/>
      <c r="CK578" s="697"/>
      <c r="CL578" s="697"/>
      <c r="CM578" s="697"/>
      <c r="CN578" s="697"/>
      <c r="CO578" s="697"/>
      <c r="CP578" s="697"/>
      <c r="CQ578" s="697"/>
      <c r="CR578" s="697"/>
      <c r="CS578" s="697"/>
      <c r="CT578" s="697"/>
      <c r="CU578" s="697"/>
      <c r="CV578" s="697"/>
      <c r="CW578" s="697"/>
      <c r="CX578" s="697"/>
      <c r="CY578" s="697"/>
      <c r="CZ578" s="697"/>
      <c r="DA578" s="697"/>
      <c r="DB578" s="697"/>
    </row>
    <row r="579" spans="1:106" hidden="1" outlineLevel="1" x14ac:dyDescent="0.2">
      <c r="A579" s="709">
        <f t="shared" si="104"/>
        <v>40513</v>
      </c>
      <c r="B579" s="709" t="str">
        <f t="shared" si="105"/>
        <v>4Q10</v>
      </c>
      <c r="C579" s="709" t="str">
        <f t="shared" si="106"/>
        <v>1Q11</v>
      </c>
      <c r="D579" s="710">
        <f t="shared" si="112"/>
        <v>40603</v>
      </c>
      <c r="E579" s="710">
        <f t="shared" si="112"/>
        <v>40543</v>
      </c>
      <c r="F579" s="712">
        <v>90.97</v>
      </c>
      <c r="G579" s="713">
        <f t="shared" si="107"/>
        <v>1.4900000000000011</v>
      </c>
      <c r="H579" s="713">
        <f t="shared" si="108"/>
        <v>1.4900000000000011</v>
      </c>
      <c r="I579" s="697"/>
      <c r="J579" s="697"/>
      <c r="K579" s="697"/>
      <c r="L579" s="697"/>
      <c r="M579" s="697"/>
      <c r="N579" s="697"/>
      <c r="O579" s="697"/>
      <c r="P579" s="697"/>
      <c r="Q579" s="697"/>
      <c r="R579" s="697"/>
      <c r="S579" s="697"/>
      <c r="T579" s="697"/>
      <c r="U579" s="697"/>
      <c r="V579" s="697"/>
      <c r="W579" s="697"/>
      <c r="X579" s="697"/>
      <c r="Y579" s="697"/>
      <c r="Z579" s="697"/>
      <c r="AA579" s="697"/>
      <c r="AB579" s="697"/>
      <c r="AC579" s="697"/>
      <c r="AD579" s="697"/>
      <c r="AE579" s="697"/>
      <c r="AF579" s="697"/>
      <c r="AG579" s="697"/>
      <c r="AH579" s="697"/>
      <c r="AI579" s="697"/>
      <c r="AJ579" s="697"/>
      <c r="AK579" s="697"/>
      <c r="AL579" s="697"/>
      <c r="AM579" s="697"/>
      <c r="AN579" s="697"/>
      <c r="AO579" s="697"/>
      <c r="AP579" s="697"/>
      <c r="AQ579" s="697"/>
      <c r="AR579" s="697"/>
      <c r="AS579" s="697"/>
      <c r="AT579" s="697"/>
      <c r="AU579" s="697"/>
      <c r="AV579" s="697"/>
      <c r="AW579" s="697"/>
      <c r="AX579" s="697"/>
      <c r="AY579" s="697"/>
      <c r="AZ579" s="697"/>
      <c r="BA579" s="697"/>
      <c r="BB579" s="697"/>
      <c r="BC579" s="697"/>
      <c r="BD579" s="697"/>
      <c r="BE579" s="697"/>
      <c r="BF579" s="697"/>
      <c r="BG579" s="697"/>
      <c r="BH579" s="697"/>
      <c r="BI579" s="697"/>
      <c r="BJ579" s="697"/>
      <c r="BK579" s="697"/>
      <c r="BL579" s="697"/>
      <c r="BM579" s="697"/>
      <c r="BN579" s="697"/>
      <c r="BO579" s="697"/>
      <c r="BP579" s="697"/>
      <c r="BQ579" s="697"/>
      <c r="BR579" s="697"/>
      <c r="BS579" s="697"/>
      <c r="BT579" s="697"/>
      <c r="BU579" s="697"/>
      <c r="BV579" s="697"/>
      <c r="BW579" s="697"/>
      <c r="BX579" s="697"/>
      <c r="BY579" s="697"/>
      <c r="BZ579" s="697"/>
      <c r="CA579" s="697"/>
      <c r="CB579" s="697"/>
      <c r="CC579" s="697"/>
      <c r="CD579" s="697"/>
      <c r="CE579" s="697"/>
      <c r="CF579" s="697"/>
      <c r="CG579" s="697"/>
      <c r="CH579" s="697"/>
      <c r="CI579" s="697"/>
      <c r="CJ579" s="697"/>
      <c r="CK579" s="697"/>
      <c r="CL579" s="697"/>
      <c r="CM579" s="697"/>
      <c r="CN579" s="697"/>
      <c r="CO579" s="697"/>
      <c r="CP579" s="697"/>
      <c r="CQ579" s="697"/>
      <c r="CR579" s="697"/>
      <c r="CS579" s="697"/>
      <c r="CT579" s="697"/>
      <c r="CU579" s="697"/>
      <c r="CV579" s="697"/>
      <c r="CW579" s="697"/>
      <c r="CX579" s="697"/>
      <c r="CY579" s="697"/>
      <c r="CZ579" s="697"/>
      <c r="DA579" s="697"/>
      <c r="DB579" s="697"/>
    </row>
    <row r="580" spans="1:106" hidden="1" outlineLevel="1" x14ac:dyDescent="0.2">
      <c r="A580" s="709">
        <f t="shared" ref="A580:A643" si="113">DATE(YEAR(E580),MONTH(E580),1)</f>
        <v>40544</v>
      </c>
      <c r="B580" s="709" t="str">
        <f t="shared" ref="B580:B643" si="114">VLOOKUP(MONTH(A580),$N$4:$O$16,2,FALSE) &amp; "Q" &amp; RIGHT(YEAR(A580),2)</f>
        <v>1Q11</v>
      </c>
      <c r="C580" s="709" t="str">
        <f t="shared" ref="C580:C643" si="115">VLOOKUP(MONTH(D580),$N$4:$O$16,2,FALSE) &amp; "Q" &amp; RIGHT(YEAR(D580),2)</f>
        <v>1Q11</v>
      </c>
      <c r="D580" s="710">
        <f t="shared" si="112"/>
        <v>40610</v>
      </c>
      <c r="E580" s="710">
        <f t="shared" si="112"/>
        <v>40550</v>
      </c>
      <c r="F580" s="712">
        <v>89.54</v>
      </c>
      <c r="G580" s="713">
        <f t="shared" ref="G580:G643" si="116">INDEX($I$4:$K$153,MATCH(F580,$I$4:$I$153,1),3)</f>
        <v>1.4900000000000011</v>
      </c>
      <c r="H580" s="713">
        <f t="shared" ref="H580:H643" si="117">G581</f>
        <v>1.4900000000000011</v>
      </c>
      <c r="I580" s="697"/>
      <c r="J580" s="697"/>
      <c r="K580" s="697"/>
      <c r="L580" s="697"/>
      <c r="M580" s="697"/>
      <c r="N580" s="697"/>
      <c r="O580" s="697"/>
      <c r="P580" s="697"/>
      <c r="Q580" s="697"/>
      <c r="R580" s="697"/>
      <c r="S580" s="697"/>
      <c r="T580" s="697"/>
      <c r="U580" s="697"/>
      <c r="V580" s="697"/>
      <c r="W580" s="697"/>
      <c r="X580" s="697"/>
      <c r="Y580" s="697"/>
      <c r="Z580" s="697"/>
      <c r="AA580" s="697"/>
      <c r="AB580" s="697"/>
      <c r="AC580" s="697"/>
      <c r="AD580" s="697"/>
      <c r="AE580" s="697"/>
      <c r="AF580" s="697"/>
      <c r="AG580" s="697"/>
      <c r="AH580" s="697"/>
      <c r="AI580" s="697"/>
      <c r="AJ580" s="697"/>
      <c r="AK580" s="697"/>
      <c r="AL580" s="697"/>
      <c r="AM580" s="697"/>
      <c r="AN580" s="697"/>
      <c r="AO580" s="697"/>
      <c r="AP580" s="697"/>
      <c r="AQ580" s="697"/>
      <c r="AR580" s="697"/>
      <c r="AS580" s="697"/>
      <c r="AT580" s="697"/>
      <c r="AU580" s="697"/>
      <c r="AV580" s="697"/>
      <c r="AW580" s="697"/>
      <c r="AX580" s="697"/>
      <c r="AY580" s="697"/>
      <c r="AZ580" s="697"/>
      <c r="BA580" s="697"/>
      <c r="BB580" s="697"/>
      <c r="BC580" s="697"/>
      <c r="BD580" s="697"/>
      <c r="BE580" s="697"/>
      <c r="BF580" s="697"/>
      <c r="BG580" s="697"/>
      <c r="BH580" s="697"/>
      <c r="BI580" s="697"/>
      <c r="BJ580" s="697"/>
      <c r="BK580" s="697"/>
      <c r="BL580" s="697"/>
      <c r="BM580" s="697"/>
      <c r="BN580" s="697"/>
      <c r="BO580" s="697"/>
      <c r="BP580" s="697"/>
      <c r="BQ580" s="697"/>
      <c r="BR580" s="697"/>
      <c r="BS580" s="697"/>
      <c r="BT580" s="697"/>
      <c r="BU580" s="697"/>
      <c r="BV580" s="697"/>
      <c r="BW580" s="697"/>
      <c r="BX580" s="697"/>
      <c r="BY580" s="697"/>
      <c r="BZ580" s="697"/>
      <c r="CA580" s="697"/>
      <c r="CB580" s="697"/>
      <c r="CC580" s="697"/>
      <c r="CD580" s="697"/>
      <c r="CE580" s="697"/>
      <c r="CF580" s="697"/>
      <c r="CG580" s="697"/>
      <c r="CH580" s="697"/>
      <c r="CI580" s="697"/>
      <c r="CJ580" s="697"/>
      <c r="CK580" s="697"/>
      <c r="CL580" s="697"/>
      <c r="CM580" s="697"/>
      <c r="CN580" s="697"/>
      <c r="CO580" s="697"/>
      <c r="CP580" s="697"/>
      <c r="CQ580" s="697"/>
      <c r="CR580" s="697"/>
      <c r="CS580" s="697"/>
      <c r="CT580" s="697"/>
      <c r="CU580" s="697"/>
      <c r="CV580" s="697"/>
      <c r="CW580" s="697"/>
      <c r="CX580" s="697"/>
      <c r="CY580" s="697"/>
      <c r="CZ580" s="697"/>
      <c r="DA580" s="697"/>
      <c r="DB580" s="697"/>
    </row>
    <row r="581" spans="1:106" hidden="1" outlineLevel="1" x14ac:dyDescent="0.2">
      <c r="A581" s="709">
        <f t="shared" si="113"/>
        <v>40544</v>
      </c>
      <c r="B581" s="709" t="str">
        <f t="shared" si="114"/>
        <v>1Q11</v>
      </c>
      <c r="C581" s="709" t="str">
        <f t="shared" si="115"/>
        <v>1Q11</v>
      </c>
      <c r="D581" s="710">
        <f t="shared" ref="D581:E596" si="118">D580+7</f>
        <v>40617</v>
      </c>
      <c r="E581" s="710">
        <f t="shared" si="118"/>
        <v>40557</v>
      </c>
      <c r="F581" s="712">
        <v>91.02</v>
      </c>
      <c r="G581" s="713">
        <f t="shared" si="116"/>
        <v>1.4900000000000011</v>
      </c>
      <c r="H581" s="713">
        <f t="shared" si="117"/>
        <v>1.4900000000000011</v>
      </c>
      <c r="I581" s="697"/>
      <c r="J581" s="697"/>
      <c r="K581" s="697"/>
      <c r="L581" s="697"/>
      <c r="M581" s="697"/>
      <c r="N581" s="697"/>
      <c r="O581" s="697"/>
      <c r="P581" s="697"/>
      <c r="Q581" s="697"/>
      <c r="R581" s="697"/>
      <c r="S581" s="697"/>
      <c r="T581" s="697"/>
      <c r="U581" s="697"/>
      <c r="V581" s="697"/>
      <c r="W581" s="697"/>
      <c r="X581" s="697"/>
      <c r="Y581" s="697"/>
      <c r="Z581" s="697"/>
      <c r="AA581" s="697"/>
      <c r="AB581" s="697"/>
      <c r="AC581" s="697"/>
      <c r="AD581" s="697"/>
      <c r="AE581" s="697"/>
      <c r="AF581" s="697"/>
      <c r="AG581" s="697"/>
      <c r="AH581" s="697"/>
      <c r="AI581" s="697"/>
      <c r="AJ581" s="697"/>
      <c r="AK581" s="697"/>
      <c r="AL581" s="697"/>
      <c r="AM581" s="697"/>
      <c r="AN581" s="697"/>
      <c r="AO581" s="697"/>
      <c r="AP581" s="697"/>
      <c r="AQ581" s="697"/>
      <c r="AR581" s="697"/>
      <c r="AS581" s="697"/>
      <c r="AT581" s="697"/>
      <c r="AU581" s="697"/>
      <c r="AV581" s="697"/>
      <c r="AW581" s="697"/>
      <c r="AX581" s="697"/>
      <c r="AY581" s="697"/>
      <c r="AZ581" s="697"/>
      <c r="BA581" s="697"/>
      <c r="BB581" s="697"/>
      <c r="BC581" s="697"/>
      <c r="BD581" s="697"/>
      <c r="BE581" s="697"/>
      <c r="BF581" s="697"/>
      <c r="BG581" s="697"/>
      <c r="BH581" s="697"/>
      <c r="BI581" s="697"/>
      <c r="BJ581" s="697"/>
      <c r="BK581" s="697"/>
      <c r="BL581" s="697"/>
      <c r="BM581" s="697"/>
      <c r="BN581" s="697"/>
      <c r="BO581" s="697"/>
      <c r="BP581" s="697"/>
      <c r="BQ581" s="697"/>
      <c r="BR581" s="697"/>
      <c r="BS581" s="697"/>
      <c r="BT581" s="697"/>
      <c r="BU581" s="697"/>
      <c r="BV581" s="697"/>
      <c r="BW581" s="697"/>
      <c r="BX581" s="697"/>
      <c r="BY581" s="697"/>
      <c r="BZ581" s="697"/>
      <c r="CA581" s="697"/>
      <c r="CB581" s="697"/>
      <c r="CC581" s="697"/>
      <c r="CD581" s="697"/>
      <c r="CE581" s="697"/>
      <c r="CF581" s="697"/>
      <c r="CG581" s="697"/>
      <c r="CH581" s="697"/>
      <c r="CI581" s="697"/>
      <c r="CJ581" s="697"/>
      <c r="CK581" s="697"/>
      <c r="CL581" s="697"/>
      <c r="CM581" s="697"/>
      <c r="CN581" s="697"/>
      <c r="CO581" s="697"/>
      <c r="CP581" s="697"/>
      <c r="CQ581" s="697"/>
      <c r="CR581" s="697"/>
      <c r="CS581" s="697"/>
      <c r="CT581" s="697"/>
      <c r="CU581" s="697"/>
      <c r="CV581" s="697"/>
      <c r="CW581" s="697"/>
      <c r="CX581" s="697"/>
      <c r="CY581" s="697"/>
      <c r="CZ581" s="697"/>
      <c r="DA581" s="697"/>
      <c r="DB581" s="697"/>
    </row>
    <row r="582" spans="1:106" hidden="1" outlineLevel="1" x14ac:dyDescent="0.2">
      <c r="A582" s="709">
        <f t="shared" si="113"/>
        <v>40544</v>
      </c>
      <c r="B582" s="709" t="str">
        <f t="shared" si="114"/>
        <v>1Q11</v>
      </c>
      <c r="C582" s="709" t="str">
        <f t="shared" si="115"/>
        <v>1Q11</v>
      </c>
      <c r="D582" s="710">
        <f t="shared" si="118"/>
        <v>40624</v>
      </c>
      <c r="E582" s="710">
        <f t="shared" si="118"/>
        <v>40564</v>
      </c>
      <c r="F582" s="712">
        <v>89.75</v>
      </c>
      <c r="G582" s="713">
        <f t="shared" si="116"/>
        <v>1.4900000000000011</v>
      </c>
      <c r="H582" s="713">
        <f t="shared" si="117"/>
        <v>1.4900000000000011</v>
      </c>
      <c r="I582" s="697"/>
      <c r="J582" s="697"/>
      <c r="K582" s="697"/>
      <c r="L582" s="697"/>
      <c r="M582" s="697"/>
      <c r="N582" s="697"/>
      <c r="O582" s="697"/>
      <c r="P582" s="697"/>
      <c r="Q582" s="697"/>
      <c r="R582" s="697"/>
      <c r="S582" s="697"/>
      <c r="T582" s="697"/>
      <c r="U582" s="697"/>
      <c r="V582" s="697"/>
      <c r="W582" s="697"/>
      <c r="X582" s="697"/>
      <c r="Y582" s="697"/>
      <c r="Z582" s="697"/>
      <c r="AA582" s="697"/>
      <c r="AB582" s="697"/>
      <c r="AC582" s="697"/>
      <c r="AD582" s="697"/>
      <c r="AE582" s="697"/>
      <c r="AF582" s="697"/>
      <c r="AG582" s="697"/>
      <c r="AH582" s="697"/>
      <c r="AI582" s="697"/>
      <c r="AJ582" s="697"/>
      <c r="AK582" s="697"/>
      <c r="AL582" s="697"/>
      <c r="AM582" s="697"/>
      <c r="AN582" s="697"/>
      <c r="AO582" s="697"/>
      <c r="AP582" s="697"/>
      <c r="AQ582" s="697"/>
      <c r="AR582" s="697"/>
      <c r="AS582" s="697"/>
      <c r="AT582" s="697"/>
      <c r="AU582" s="697"/>
      <c r="AV582" s="697"/>
      <c r="AW582" s="697"/>
      <c r="AX582" s="697"/>
      <c r="AY582" s="697"/>
      <c r="AZ582" s="697"/>
      <c r="BA582" s="697"/>
      <c r="BB582" s="697"/>
      <c r="BC582" s="697"/>
      <c r="BD582" s="697"/>
      <c r="BE582" s="697"/>
      <c r="BF582" s="697"/>
      <c r="BG582" s="697"/>
      <c r="BH582" s="697"/>
      <c r="BI582" s="697"/>
      <c r="BJ582" s="697"/>
      <c r="BK582" s="697"/>
      <c r="BL582" s="697"/>
      <c r="BM582" s="697"/>
      <c r="BN582" s="697"/>
      <c r="BO582" s="697"/>
      <c r="BP582" s="697"/>
      <c r="BQ582" s="697"/>
      <c r="BR582" s="697"/>
      <c r="BS582" s="697"/>
      <c r="BT582" s="697"/>
      <c r="BU582" s="697"/>
      <c r="BV582" s="697"/>
      <c r="BW582" s="697"/>
      <c r="BX582" s="697"/>
      <c r="BY582" s="697"/>
      <c r="BZ582" s="697"/>
      <c r="CA582" s="697"/>
      <c r="CB582" s="697"/>
      <c r="CC582" s="697"/>
      <c r="CD582" s="697"/>
      <c r="CE582" s="697"/>
      <c r="CF582" s="697"/>
      <c r="CG582" s="697"/>
      <c r="CH582" s="697"/>
      <c r="CI582" s="697"/>
      <c r="CJ582" s="697"/>
      <c r="CK582" s="697"/>
      <c r="CL582" s="697"/>
      <c r="CM582" s="697"/>
      <c r="CN582" s="697"/>
      <c r="CO582" s="697"/>
      <c r="CP582" s="697"/>
      <c r="CQ582" s="697"/>
      <c r="CR582" s="697"/>
      <c r="CS582" s="697"/>
      <c r="CT582" s="697"/>
      <c r="CU582" s="697"/>
      <c r="CV582" s="697"/>
      <c r="CW582" s="697"/>
      <c r="CX582" s="697"/>
      <c r="CY582" s="697"/>
      <c r="CZ582" s="697"/>
      <c r="DA582" s="697"/>
      <c r="DB582" s="697"/>
    </row>
    <row r="583" spans="1:106" hidden="1" outlineLevel="1" x14ac:dyDescent="0.2">
      <c r="A583" s="709">
        <f t="shared" si="113"/>
        <v>40544</v>
      </c>
      <c r="B583" s="709" t="str">
        <f t="shared" si="114"/>
        <v>1Q11</v>
      </c>
      <c r="C583" s="709" t="str">
        <f t="shared" si="115"/>
        <v>1Q11</v>
      </c>
      <c r="D583" s="710">
        <f t="shared" si="118"/>
        <v>40631</v>
      </c>
      <c r="E583" s="710">
        <f t="shared" si="118"/>
        <v>40571</v>
      </c>
      <c r="F583" s="712">
        <v>86.11</v>
      </c>
      <c r="G583" s="713">
        <f t="shared" si="116"/>
        <v>1.4900000000000011</v>
      </c>
      <c r="H583" s="713">
        <f t="shared" si="117"/>
        <v>1.4900000000000011</v>
      </c>
      <c r="I583" s="697"/>
      <c r="J583" s="697"/>
      <c r="K583" s="697"/>
      <c r="L583" s="697"/>
      <c r="M583" s="697"/>
      <c r="N583" s="697"/>
      <c r="O583" s="697"/>
      <c r="P583" s="697"/>
      <c r="Q583" s="697"/>
      <c r="R583" s="697"/>
      <c r="S583" s="697"/>
      <c r="T583" s="697"/>
      <c r="U583" s="697"/>
      <c r="V583" s="697"/>
      <c r="W583" s="697"/>
      <c r="X583" s="697"/>
      <c r="Y583" s="697"/>
      <c r="Z583" s="697"/>
      <c r="AA583" s="697"/>
      <c r="AB583" s="697"/>
      <c r="AC583" s="697"/>
      <c r="AD583" s="697"/>
      <c r="AE583" s="697"/>
      <c r="AF583" s="697"/>
      <c r="AG583" s="697"/>
      <c r="AH583" s="697"/>
      <c r="AI583" s="697"/>
      <c r="AJ583" s="697"/>
      <c r="AK583" s="697"/>
      <c r="AL583" s="697"/>
      <c r="AM583" s="697"/>
      <c r="AN583" s="697"/>
      <c r="AO583" s="697"/>
      <c r="AP583" s="697"/>
      <c r="AQ583" s="697"/>
      <c r="AR583" s="697"/>
      <c r="AS583" s="697"/>
      <c r="AT583" s="697"/>
      <c r="AU583" s="697"/>
      <c r="AV583" s="697"/>
      <c r="AW583" s="697"/>
      <c r="AX583" s="697"/>
      <c r="AY583" s="697"/>
      <c r="AZ583" s="697"/>
      <c r="BA583" s="697"/>
      <c r="BB583" s="697"/>
      <c r="BC583" s="697"/>
      <c r="BD583" s="697"/>
      <c r="BE583" s="697"/>
      <c r="BF583" s="697"/>
      <c r="BG583" s="697"/>
      <c r="BH583" s="697"/>
      <c r="BI583" s="697"/>
      <c r="BJ583" s="697"/>
      <c r="BK583" s="697"/>
      <c r="BL583" s="697"/>
      <c r="BM583" s="697"/>
      <c r="BN583" s="697"/>
      <c r="BO583" s="697"/>
      <c r="BP583" s="697"/>
      <c r="BQ583" s="697"/>
      <c r="BR583" s="697"/>
      <c r="BS583" s="697"/>
      <c r="BT583" s="697"/>
      <c r="BU583" s="697"/>
      <c r="BV583" s="697"/>
      <c r="BW583" s="697"/>
      <c r="BX583" s="697"/>
      <c r="BY583" s="697"/>
      <c r="BZ583" s="697"/>
      <c r="CA583" s="697"/>
      <c r="CB583" s="697"/>
      <c r="CC583" s="697"/>
      <c r="CD583" s="697"/>
      <c r="CE583" s="697"/>
      <c r="CF583" s="697"/>
      <c r="CG583" s="697"/>
      <c r="CH583" s="697"/>
      <c r="CI583" s="697"/>
      <c r="CJ583" s="697"/>
      <c r="CK583" s="697"/>
      <c r="CL583" s="697"/>
      <c r="CM583" s="697"/>
      <c r="CN583" s="697"/>
      <c r="CO583" s="697"/>
      <c r="CP583" s="697"/>
      <c r="CQ583" s="697"/>
      <c r="CR583" s="697"/>
      <c r="CS583" s="697"/>
      <c r="CT583" s="697"/>
      <c r="CU583" s="697"/>
      <c r="CV583" s="697"/>
      <c r="CW583" s="697"/>
      <c r="CX583" s="697"/>
      <c r="CY583" s="697"/>
      <c r="CZ583" s="697"/>
      <c r="DA583" s="697"/>
      <c r="DB583" s="697"/>
    </row>
    <row r="584" spans="1:106" hidden="1" outlineLevel="1" x14ac:dyDescent="0.2">
      <c r="A584" s="709">
        <f t="shared" si="113"/>
        <v>40575</v>
      </c>
      <c r="B584" s="709" t="str">
        <f t="shared" si="114"/>
        <v>1Q11</v>
      </c>
      <c r="C584" s="709" t="str">
        <f t="shared" si="115"/>
        <v>2Q11</v>
      </c>
      <c r="D584" s="710">
        <f t="shared" si="118"/>
        <v>40638</v>
      </c>
      <c r="E584" s="710">
        <f t="shared" si="118"/>
        <v>40578</v>
      </c>
      <c r="F584" s="712">
        <v>89.52</v>
      </c>
      <c r="G584" s="713">
        <f t="shared" si="116"/>
        <v>1.4900000000000011</v>
      </c>
      <c r="H584" s="713">
        <f t="shared" si="117"/>
        <v>1.4900000000000011</v>
      </c>
      <c r="I584" s="697"/>
      <c r="J584" s="697"/>
      <c r="K584" s="697"/>
      <c r="L584" s="697"/>
      <c r="M584" s="697"/>
      <c r="N584" s="697"/>
      <c r="O584" s="697"/>
      <c r="P584" s="697"/>
      <c r="Q584" s="697"/>
      <c r="R584" s="697"/>
      <c r="S584" s="697"/>
      <c r="T584" s="697"/>
      <c r="U584" s="697"/>
      <c r="V584" s="697"/>
      <c r="W584" s="697"/>
      <c r="X584" s="697"/>
      <c r="Y584" s="697"/>
      <c r="Z584" s="697"/>
      <c r="AA584" s="697"/>
      <c r="AB584" s="697"/>
      <c r="AC584" s="697"/>
      <c r="AD584" s="697"/>
      <c r="AE584" s="697"/>
      <c r="AF584" s="697"/>
      <c r="AG584" s="697"/>
      <c r="AH584" s="697"/>
      <c r="AI584" s="697"/>
      <c r="AJ584" s="697"/>
      <c r="AK584" s="697"/>
      <c r="AL584" s="697"/>
      <c r="AM584" s="697"/>
      <c r="AN584" s="697"/>
      <c r="AO584" s="697"/>
      <c r="AP584" s="697"/>
      <c r="AQ584" s="697"/>
      <c r="AR584" s="697"/>
      <c r="AS584" s="697"/>
      <c r="AT584" s="697"/>
      <c r="AU584" s="697"/>
      <c r="AV584" s="697"/>
      <c r="AW584" s="697"/>
      <c r="AX584" s="697"/>
      <c r="AY584" s="697"/>
      <c r="AZ584" s="697"/>
      <c r="BA584" s="697"/>
      <c r="BB584" s="697"/>
      <c r="BC584" s="697"/>
      <c r="BD584" s="697"/>
      <c r="BE584" s="697"/>
      <c r="BF584" s="697"/>
      <c r="BG584" s="697"/>
      <c r="BH584" s="697"/>
      <c r="BI584" s="697"/>
      <c r="BJ584" s="697"/>
      <c r="BK584" s="697"/>
      <c r="BL584" s="697"/>
      <c r="BM584" s="697"/>
      <c r="BN584" s="697"/>
      <c r="BO584" s="697"/>
      <c r="BP584" s="697"/>
      <c r="BQ584" s="697"/>
      <c r="BR584" s="697"/>
      <c r="BS584" s="697"/>
      <c r="BT584" s="697"/>
      <c r="BU584" s="697"/>
      <c r="BV584" s="697"/>
      <c r="BW584" s="697"/>
      <c r="BX584" s="697"/>
      <c r="BY584" s="697"/>
      <c r="BZ584" s="697"/>
      <c r="CA584" s="697"/>
      <c r="CB584" s="697"/>
      <c r="CC584" s="697"/>
      <c r="CD584" s="697"/>
      <c r="CE584" s="697"/>
      <c r="CF584" s="697"/>
      <c r="CG584" s="697"/>
      <c r="CH584" s="697"/>
      <c r="CI584" s="697"/>
      <c r="CJ584" s="697"/>
      <c r="CK584" s="697"/>
      <c r="CL584" s="697"/>
      <c r="CM584" s="697"/>
      <c r="CN584" s="697"/>
      <c r="CO584" s="697"/>
      <c r="CP584" s="697"/>
      <c r="CQ584" s="697"/>
      <c r="CR584" s="697"/>
      <c r="CS584" s="697"/>
      <c r="CT584" s="697"/>
      <c r="CU584" s="697"/>
      <c r="CV584" s="697"/>
      <c r="CW584" s="697"/>
      <c r="CX584" s="697"/>
      <c r="CY584" s="697"/>
      <c r="CZ584" s="697"/>
      <c r="DA584" s="697"/>
      <c r="DB584" s="697"/>
    </row>
    <row r="585" spans="1:106" hidden="1" outlineLevel="1" x14ac:dyDescent="0.2">
      <c r="A585" s="709">
        <f t="shared" si="113"/>
        <v>40575</v>
      </c>
      <c r="B585" s="709" t="str">
        <f t="shared" si="114"/>
        <v>1Q11</v>
      </c>
      <c r="C585" s="709" t="str">
        <f t="shared" si="115"/>
        <v>2Q11</v>
      </c>
      <c r="D585" s="710">
        <f t="shared" si="118"/>
        <v>40645</v>
      </c>
      <c r="E585" s="710">
        <f t="shared" si="118"/>
        <v>40585</v>
      </c>
      <c r="F585" s="712">
        <v>85.51</v>
      </c>
      <c r="G585" s="713">
        <f t="shared" si="116"/>
        <v>1.4900000000000011</v>
      </c>
      <c r="H585" s="713">
        <f t="shared" si="117"/>
        <v>1.4900000000000011</v>
      </c>
      <c r="I585" s="697"/>
      <c r="J585" s="697"/>
      <c r="K585" s="697"/>
      <c r="L585" s="697"/>
      <c r="M585" s="697"/>
      <c r="N585" s="697"/>
      <c r="O585" s="697"/>
      <c r="P585" s="697"/>
      <c r="Q585" s="697"/>
      <c r="R585" s="697"/>
      <c r="S585" s="697"/>
      <c r="T585" s="697"/>
      <c r="U585" s="697"/>
      <c r="V585" s="697"/>
      <c r="W585" s="697"/>
      <c r="X585" s="697"/>
      <c r="Y585" s="697"/>
      <c r="Z585" s="697"/>
      <c r="AA585" s="697"/>
      <c r="AB585" s="697"/>
      <c r="AC585" s="697"/>
      <c r="AD585" s="697"/>
      <c r="AE585" s="697"/>
      <c r="AF585" s="697"/>
      <c r="AG585" s="697"/>
      <c r="AH585" s="697"/>
      <c r="AI585" s="697"/>
      <c r="AJ585" s="697"/>
      <c r="AK585" s="697"/>
      <c r="AL585" s="697"/>
      <c r="AM585" s="697"/>
      <c r="AN585" s="697"/>
      <c r="AO585" s="697"/>
      <c r="AP585" s="697"/>
      <c r="AQ585" s="697"/>
      <c r="AR585" s="697"/>
      <c r="AS585" s="697"/>
      <c r="AT585" s="697"/>
      <c r="AU585" s="697"/>
      <c r="AV585" s="697"/>
      <c r="AW585" s="697"/>
      <c r="AX585" s="697"/>
      <c r="AY585" s="697"/>
      <c r="AZ585" s="697"/>
      <c r="BA585" s="697"/>
      <c r="BB585" s="697"/>
      <c r="BC585" s="697"/>
      <c r="BD585" s="697"/>
      <c r="BE585" s="697"/>
      <c r="BF585" s="697"/>
      <c r="BG585" s="697"/>
      <c r="BH585" s="697"/>
      <c r="BI585" s="697"/>
      <c r="BJ585" s="697"/>
      <c r="BK585" s="697"/>
      <c r="BL585" s="697"/>
      <c r="BM585" s="697"/>
      <c r="BN585" s="697"/>
      <c r="BO585" s="697"/>
      <c r="BP585" s="697"/>
      <c r="BQ585" s="697"/>
      <c r="BR585" s="697"/>
      <c r="BS585" s="697"/>
      <c r="BT585" s="697"/>
      <c r="BU585" s="697"/>
      <c r="BV585" s="697"/>
      <c r="BW585" s="697"/>
      <c r="BX585" s="697"/>
      <c r="BY585" s="697"/>
      <c r="BZ585" s="697"/>
      <c r="CA585" s="697"/>
      <c r="CB585" s="697"/>
      <c r="CC585" s="697"/>
      <c r="CD585" s="697"/>
      <c r="CE585" s="697"/>
      <c r="CF585" s="697"/>
      <c r="CG585" s="697"/>
      <c r="CH585" s="697"/>
      <c r="CI585" s="697"/>
      <c r="CJ585" s="697"/>
      <c r="CK585" s="697"/>
      <c r="CL585" s="697"/>
      <c r="CM585" s="697"/>
      <c r="CN585" s="697"/>
      <c r="CO585" s="697"/>
      <c r="CP585" s="697"/>
      <c r="CQ585" s="697"/>
      <c r="CR585" s="697"/>
      <c r="CS585" s="697"/>
      <c r="CT585" s="697"/>
      <c r="CU585" s="697"/>
      <c r="CV585" s="697"/>
      <c r="CW585" s="697"/>
      <c r="CX585" s="697"/>
      <c r="CY585" s="697"/>
      <c r="CZ585" s="697"/>
      <c r="DA585" s="697"/>
      <c r="DB585" s="697"/>
    </row>
    <row r="586" spans="1:106" hidden="1" outlineLevel="1" x14ac:dyDescent="0.2">
      <c r="A586" s="709">
        <f t="shared" si="113"/>
        <v>40575</v>
      </c>
      <c r="B586" s="709" t="str">
        <f t="shared" si="114"/>
        <v>1Q11</v>
      </c>
      <c r="C586" s="709" t="str">
        <f t="shared" si="115"/>
        <v>2Q11</v>
      </c>
      <c r="D586" s="710">
        <f t="shared" si="118"/>
        <v>40652</v>
      </c>
      <c r="E586" s="710">
        <f t="shared" si="118"/>
        <v>40592</v>
      </c>
      <c r="F586" s="712">
        <v>84.13</v>
      </c>
      <c r="G586" s="713">
        <f t="shared" si="116"/>
        <v>1.4900000000000011</v>
      </c>
      <c r="H586" s="713">
        <f t="shared" si="117"/>
        <v>1.4900000000000011</v>
      </c>
      <c r="I586" s="697"/>
      <c r="J586" s="697"/>
      <c r="K586" s="697"/>
      <c r="L586" s="697"/>
      <c r="M586" s="697"/>
      <c r="N586" s="697"/>
      <c r="O586" s="697"/>
      <c r="P586" s="697"/>
      <c r="Q586" s="697"/>
      <c r="R586" s="697"/>
      <c r="S586" s="697"/>
      <c r="T586" s="697"/>
      <c r="U586" s="697"/>
      <c r="V586" s="697"/>
      <c r="W586" s="697"/>
      <c r="X586" s="697"/>
      <c r="Y586" s="697"/>
      <c r="Z586" s="697"/>
      <c r="AA586" s="697"/>
      <c r="AB586" s="697"/>
      <c r="AC586" s="697"/>
      <c r="AD586" s="697"/>
      <c r="AE586" s="697"/>
      <c r="AF586" s="697"/>
      <c r="AG586" s="697"/>
      <c r="AH586" s="697"/>
      <c r="AI586" s="697"/>
      <c r="AJ586" s="697"/>
      <c r="AK586" s="697"/>
      <c r="AL586" s="697"/>
      <c r="AM586" s="697"/>
      <c r="AN586" s="697"/>
      <c r="AO586" s="697"/>
      <c r="AP586" s="697"/>
      <c r="AQ586" s="697"/>
      <c r="AR586" s="697"/>
      <c r="AS586" s="697"/>
      <c r="AT586" s="697"/>
      <c r="AU586" s="697"/>
      <c r="AV586" s="697"/>
      <c r="AW586" s="697"/>
      <c r="AX586" s="697"/>
      <c r="AY586" s="697"/>
      <c r="AZ586" s="697"/>
      <c r="BA586" s="697"/>
      <c r="BB586" s="697"/>
      <c r="BC586" s="697"/>
      <c r="BD586" s="697"/>
      <c r="BE586" s="697"/>
      <c r="BF586" s="697"/>
      <c r="BG586" s="697"/>
      <c r="BH586" s="697"/>
      <c r="BI586" s="697"/>
      <c r="BJ586" s="697"/>
      <c r="BK586" s="697"/>
      <c r="BL586" s="697"/>
      <c r="BM586" s="697"/>
      <c r="BN586" s="697"/>
      <c r="BO586" s="697"/>
      <c r="BP586" s="697"/>
      <c r="BQ586" s="697"/>
      <c r="BR586" s="697"/>
      <c r="BS586" s="697"/>
      <c r="BT586" s="697"/>
      <c r="BU586" s="697"/>
      <c r="BV586" s="697"/>
      <c r="BW586" s="697"/>
      <c r="BX586" s="697"/>
      <c r="BY586" s="697"/>
      <c r="BZ586" s="697"/>
      <c r="CA586" s="697"/>
      <c r="CB586" s="697"/>
      <c r="CC586" s="697"/>
      <c r="CD586" s="697"/>
      <c r="CE586" s="697"/>
      <c r="CF586" s="697"/>
      <c r="CG586" s="697"/>
      <c r="CH586" s="697"/>
      <c r="CI586" s="697"/>
      <c r="CJ586" s="697"/>
      <c r="CK586" s="697"/>
      <c r="CL586" s="697"/>
      <c r="CM586" s="697"/>
      <c r="CN586" s="697"/>
      <c r="CO586" s="697"/>
      <c r="CP586" s="697"/>
      <c r="CQ586" s="697"/>
      <c r="CR586" s="697"/>
      <c r="CS586" s="697"/>
      <c r="CT586" s="697"/>
      <c r="CU586" s="697"/>
      <c r="CV586" s="697"/>
      <c r="CW586" s="697"/>
      <c r="CX586" s="697"/>
      <c r="CY586" s="697"/>
      <c r="CZ586" s="697"/>
      <c r="DA586" s="697"/>
      <c r="DB586" s="697"/>
    </row>
    <row r="587" spans="1:106" hidden="1" outlineLevel="1" x14ac:dyDescent="0.2">
      <c r="A587" s="709">
        <f t="shared" si="113"/>
        <v>40575</v>
      </c>
      <c r="B587" s="709" t="str">
        <f t="shared" si="114"/>
        <v>1Q11</v>
      </c>
      <c r="C587" s="709" t="str">
        <f t="shared" si="115"/>
        <v>2Q11</v>
      </c>
      <c r="D587" s="710">
        <f t="shared" si="118"/>
        <v>40659</v>
      </c>
      <c r="E587" s="710">
        <f t="shared" si="118"/>
        <v>40599</v>
      </c>
      <c r="F587" s="712">
        <v>95.26</v>
      </c>
      <c r="G587" s="713">
        <f t="shared" si="116"/>
        <v>1.4900000000000011</v>
      </c>
      <c r="H587" s="713">
        <f t="shared" si="117"/>
        <v>1.4900000000000011</v>
      </c>
      <c r="I587" s="697"/>
      <c r="J587" s="697"/>
      <c r="K587" s="697"/>
      <c r="L587" s="697"/>
      <c r="M587" s="697"/>
      <c r="N587" s="697"/>
      <c r="O587" s="697"/>
      <c r="P587" s="697"/>
      <c r="Q587" s="697"/>
      <c r="R587" s="697"/>
      <c r="S587" s="697"/>
      <c r="T587" s="697"/>
      <c r="U587" s="697"/>
      <c r="V587" s="697"/>
      <c r="W587" s="697"/>
      <c r="X587" s="697"/>
      <c r="Y587" s="697"/>
      <c r="Z587" s="697"/>
      <c r="AA587" s="697"/>
      <c r="AB587" s="697"/>
      <c r="AC587" s="697"/>
      <c r="AD587" s="697"/>
      <c r="AE587" s="697"/>
      <c r="AF587" s="697"/>
      <c r="AG587" s="697"/>
      <c r="AH587" s="697"/>
      <c r="AI587" s="697"/>
      <c r="AJ587" s="697"/>
      <c r="AK587" s="697"/>
      <c r="AL587" s="697"/>
      <c r="AM587" s="697"/>
      <c r="AN587" s="697"/>
      <c r="AO587" s="697"/>
      <c r="AP587" s="697"/>
      <c r="AQ587" s="697"/>
      <c r="AR587" s="697"/>
      <c r="AS587" s="697"/>
      <c r="AT587" s="697"/>
      <c r="AU587" s="697"/>
      <c r="AV587" s="697"/>
      <c r="AW587" s="697"/>
      <c r="AX587" s="697"/>
      <c r="AY587" s="697"/>
      <c r="AZ587" s="697"/>
      <c r="BA587" s="697"/>
      <c r="BB587" s="697"/>
      <c r="BC587" s="697"/>
      <c r="BD587" s="697"/>
      <c r="BE587" s="697"/>
      <c r="BF587" s="697"/>
      <c r="BG587" s="697"/>
      <c r="BH587" s="697"/>
      <c r="BI587" s="697"/>
      <c r="BJ587" s="697"/>
      <c r="BK587" s="697"/>
      <c r="BL587" s="697"/>
      <c r="BM587" s="697"/>
      <c r="BN587" s="697"/>
      <c r="BO587" s="697"/>
      <c r="BP587" s="697"/>
      <c r="BQ587" s="697"/>
      <c r="BR587" s="697"/>
      <c r="BS587" s="697"/>
      <c r="BT587" s="697"/>
      <c r="BU587" s="697"/>
      <c r="BV587" s="697"/>
      <c r="BW587" s="697"/>
      <c r="BX587" s="697"/>
      <c r="BY587" s="697"/>
      <c r="BZ587" s="697"/>
      <c r="CA587" s="697"/>
      <c r="CB587" s="697"/>
      <c r="CC587" s="697"/>
      <c r="CD587" s="697"/>
      <c r="CE587" s="697"/>
      <c r="CF587" s="697"/>
      <c r="CG587" s="697"/>
      <c r="CH587" s="697"/>
      <c r="CI587" s="697"/>
      <c r="CJ587" s="697"/>
      <c r="CK587" s="697"/>
      <c r="CL587" s="697"/>
      <c r="CM587" s="697"/>
      <c r="CN587" s="697"/>
      <c r="CO587" s="697"/>
      <c r="CP587" s="697"/>
      <c r="CQ587" s="697"/>
      <c r="CR587" s="697"/>
      <c r="CS587" s="697"/>
      <c r="CT587" s="697"/>
      <c r="CU587" s="697"/>
      <c r="CV587" s="697"/>
      <c r="CW587" s="697"/>
      <c r="CX587" s="697"/>
      <c r="CY587" s="697"/>
      <c r="CZ587" s="697"/>
      <c r="DA587" s="697"/>
      <c r="DB587" s="697"/>
    </row>
    <row r="588" spans="1:106" hidden="1" outlineLevel="1" x14ac:dyDescent="0.2">
      <c r="A588" s="709">
        <f t="shared" si="113"/>
        <v>40603</v>
      </c>
      <c r="B588" s="709" t="str">
        <f t="shared" si="114"/>
        <v>1Q11</v>
      </c>
      <c r="C588" s="709" t="str">
        <f t="shared" si="115"/>
        <v>2Q11</v>
      </c>
      <c r="D588" s="710">
        <f t="shared" si="118"/>
        <v>40666</v>
      </c>
      <c r="E588" s="710">
        <f t="shared" si="118"/>
        <v>40606</v>
      </c>
      <c r="F588" s="712">
        <v>101.05</v>
      </c>
      <c r="G588" s="713">
        <f t="shared" si="116"/>
        <v>1.4900000000000011</v>
      </c>
      <c r="H588" s="713">
        <f t="shared" si="117"/>
        <v>1.4900000000000011</v>
      </c>
      <c r="I588" s="697"/>
      <c r="J588" s="697"/>
      <c r="K588" s="697"/>
      <c r="L588" s="697"/>
      <c r="M588" s="697"/>
      <c r="N588" s="697"/>
      <c r="O588" s="697"/>
      <c r="P588" s="697"/>
      <c r="Q588" s="697"/>
      <c r="R588" s="697"/>
      <c r="S588" s="697"/>
      <c r="T588" s="697"/>
      <c r="U588" s="697"/>
      <c r="V588" s="697"/>
      <c r="W588" s="697"/>
      <c r="X588" s="697"/>
      <c r="Y588" s="697"/>
      <c r="Z588" s="697"/>
      <c r="AA588" s="697"/>
      <c r="AB588" s="697"/>
      <c r="AC588" s="697"/>
      <c r="AD588" s="697"/>
      <c r="AE588" s="697"/>
      <c r="AF588" s="697"/>
      <c r="AG588" s="697"/>
      <c r="AH588" s="697"/>
      <c r="AI588" s="697"/>
      <c r="AJ588" s="697"/>
      <c r="AK588" s="697"/>
      <c r="AL588" s="697"/>
      <c r="AM588" s="697"/>
      <c r="AN588" s="697"/>
      <c r="AO588" s="697"/>
      <c r="AP588" s="697"/>
      <c r="AQ588" s="697"/>
      <c r="AR588" s="697"/>
      <c r="AS588" s="697"/>
      <c r="AT588" s="697"/>
      <c r="AU588" s="697"/>
      <c r="AV588" s="697"/>
      <c r="AW588" s="697"/>
      <c r="AX588" s="697"/>
      <c r="AY588" s="697"/>
      <c r="AZ588" s="697"/>
      <c r="BA588" s="697"/>
      <c r="BB588" s="697"/>
      <c r="BC588" s="697"/>
      <c r="BD588" s="697"/>
      <c r="BE588" s="697"/>
      <c r="BF588" s="697"/>
      <c r="BG588" s="697"/>
      <c r="BH588" s="697"/>
      <c r="BI588" s="697"/>
      <c r="BJ588" s="697"/>
      <c r="BK588" s="697"/>
      <c r="BL588" s="697"/>
      <c r="BM588" s="697"/>
      <c r="BN588" s="697"/>
      <c r="BO588" s="697"/>
      <c r="BP588" s="697"/>
      <c r="BQ588" s="697"/>
      <c r="BR588" s="697"/>
      <c r="BS588" s="697"/>
      <c r="BT588" s="697"/>
      <c r="BU588" s="697"/>
      <c r="BV588" s="697"/>
      <c r="BW588" s="697"/>
      <c r="BX588" s="697"/>
      <c r="BY588" s="697"/>
      <c r="BZ588" s="697"/>
      <c r="CA588" s="697"/>
      <c r="CB588" s="697"/>
      <c r="CC588" s="697"/>
      <c r="CD588" s="697"/>
      <c r="CE588" s="697"/>
      <c r="CF588" s="697"/>
      <c r="CG588" s="697"/>
      <c r="CH588" s="697"/>
      <c r="CI588" s="697"/>
      <c r="CJ588" s="697"/>
      <c r="CK588" s="697"/>
      <c r="CL588" s="697"/>
      <c r="CM588" s="697"/>
      <c r="CN588" s="697"/>
      <c r="CO588" s="697"/>
      <c r="CP588" s="697"/>
      <c r="CQ588" s="697"/>
      <c r="CR588" s="697"/>
      <c r="CS588" s="697"/>
      <c r="CT588" s="697"/>
      <c r="CU588" s="697"/>
      <c r="CV588" s="697"/>
      <c r="CW588" s="697"/>
      <c r="CX588" s="697"/>
      <c r="CY588" s="697"/>
      <c r="CZ588" s="697"/>
      <c r="DA588" s="697"/>
      <c r="DB588" s="697"/>
    </row>
    <row r="589" spans="1:106" hidden="1" outlineLevel="1" x14ac:dyDescent="0.2">
      <c r="A589" s="709">
        <f t="shared" si="113"/>
        <v>40603</v>
      </c>
      <c r="B589" s="709" t="str">
        <f t="shared" si="114"/>
        <v>1Q11</v>
      </c>
      <c r="C589" s="709" t="str">
        <f t="shared" si="115"/>
        <v>2Q11</v>
      </c>
      <c r="D589" s="710">
        <f t="shared" si="118"/>
        <v>40673</v>
      </c>
      <c r="E589" s="710">
        <f t="shared" si="118"/>
        <v>40613</v>
      </c>
      <c r="F589" s="712">
        <v>103.74</v>
      </c>
      <c r="G589" s="713">
        <f t="shared" si="116"/>
        <v>1.4900000000000011</v>
      </c>
      <c r="H589" s="713">
        <f t="shared" si="117"/>
        <v>1.4900000000000011</v>
      </c>
      <c r="I589" s="697"/>
      <c r="J589" s="697"/>
      <c r="K589" s="697"/>
      <c r="L589" s="697"/>
      <c r="M589" s="697"/>
      <c r="N589" s="697"/>
      <c r="O589" s="697"/>
      <c r="P589" s="697"/>
      <c r="Q589" s="697"/>
      <c r="R589" s="697"/>
      <c r="S589" s="697"/>
      <c r="T589" s="697"/>
      <c r="U589" s="697"/>
      <c r="V589" s="697"/>
      <c r="W589" s="697"/>
      <c r="X589" s="697"/>
      <c r="Y589" s="697"/>
      <c r="Z589" s="697"/>
      <c r="AA589" s="697"/>
      <c r="AB589" s="697"/>
      <c r="AC589" s="697"/>
      <c r="AD589" s="697"/>
      <c r="AE589" s="697"/>
      <c r="AF589" s="697"/>
      <c r="AG589" s="697"/>
      <c r="AH589" s="697"/>
      <c r="AI589" s="697"/>
      <c r="AJ589" s="697"/>
      <c r="AK589" s="697"/>
      <c r="AL589" s="697"/>
      <c r="AM589" s="697"/>
      <c r="AN589" s="697"/>
      <c r="AO589" s="697"/>
      <c r="AP589" s="697"/>
      <c r="AQ589" s="697"/>
      <c r="AR589" s="697"/>
      <c r="AS589" s="697"/>
      <c r="AT589" s="697"/>
      <c r="AU589" s="697"/>
      <c r="AV589" s="697"/>
      <c r="AW589" s="697"/>
      <c r="AX589" s="697"/>
      <c r="AY589" s="697"/>
      <c r="AZ589" s="697"/>
      <c r="BA589" s="697"/>
      <c r="BB589" s="697"/>
      <c r="BC589" s="697"/>
      <c r="BD589" s="697"/>
      <c r="BE589" s="697"/>
      <c r="BF589" s="697"/>
      <c r="BG589" s="697"/>
      <c r="BH589" s="697"/>
      <c r="BI589" s="697"/>
      <c r="BJ589" s="697"/>
      <c r="BK589" s="697"/>
      <c r="BL589" s="697"/>
      <c r="BM589" s="697"/>
      <c r="BN589" s="697"/>
      <c r="BO589" s="697"/>
      <c r="BP589" s="697"/>
      <c r="BQ589" s="697"/>
      <c r="BR589" s="697"/>
      <c r="BS589" s="697"/>
      <c r="BT589" s="697"/>
      <c r="BU589" s="697"/>
      <c r="BV589" s="697"/>
      <c r="BW589" s="697"/>
      <c r="BX589" s="697"/>
      <c r="BY589" s="697"/>
      <c r="BZ589" s="697"/>
      <c r="CA589" s="697"/>
      <c r="CB589" s="697"/>
      <c r="CC589" s="697"/>
      <c r="CD589" s="697"/>
      <c r="CE589" s="697"/>
      <c r="CF589" s="697"/>
      <c r="CG589" s="697"/>
      <c r="CH589" s="697"/>
      <c r="CI589" s="697"/>
      <c r="CJ589" s="697"/>
      <c r="CK589" s="697"/>
      <c r="CL589" s="697"/>
      <c r="CM589" s="697"/>
      <c r="CN589" s="697"/>
      <c r="CO589" s="697"/>
      <c r="CP589" s="697"/>
      <c r="CQ589" s="697"/>
      <c r="CR589" s="697"/>
      <c r="CS589" s="697"/>
      <c r="CT589" s="697"/>
      <c r="CU589" s="697"/>
      <c r="CV589" s="697"/>
      <c r="CW589" s="697"/>
      <c r="CX589" s="697"/>
      <c r="CY589" s="697"/>
      <c r="CZ589" s="697"/>
      <c r="DA589" s="697"/>
      <c r="DB589" s="697"/>
    </row>
    <row r="590" spans="1:106" hidden="1" outlineLevel="1" x14ac:dyDescent="0.2">
      <c r="A590" s="709">
        <f t="shared" si="113"/>
        <v>40603</v>
      </c>
      <c r="B590" s="709" t="str">
        <f t="shared" si="114"/>
        <v>1Q11</v>
      </c>
      <c r="C590" s="709" t="str">
        <f t="shared" si="115"/>
        <v>2Q11</v>
      </c>
      <c r="D590" s="710">
        <f t="shared" si="118"/>
        <v>40680</v>
      </c>
      <c r="E590" s="710">
        <f t="shared" si="118"/>
        <v>40620</v>
      </c>
      <c r="F590" s="712">
        <v>99.79</v>
      </c>
      <c r="G590" s="713">
        <f t="shared" si="116"/>
        <v>1.4900000000000011</v>
      </c>
      <c r="H590" s="713">
        <f t="shared" si="117"/>
        <v>1.4900000000000011</v>
      </c>
      <c r="I590" s="697"/>
      <c r="J590" s="697"/>
      <c r="K590" s="697"/>
      <c r="L590" s="697"/>
      <c r="M590" s="697"/>
      <c r="N590" s="697"/>
      <c r="O590" s="697"/>
      <c r="P590" s="697"/>
      <c r="Q590" s="697"/>
      <c r="R590" s="697"/>
      <c r="S590" s="697"/>
      <c r="T590" s="697"/>
      <c r="U590" s="697"/>
      <c r="V590" s="697"/>
      <c r="W590" s="697"/>
      <c r="X590" s="697"/>
      <c r="Y590" s="697"/>
      <c r="Z590" s="697"/>
      <c r="AA590" s="697"/>
      <c r="AB590" s="697"/>
      <c r="AC590" s="697"/>
      <c r="AD590" s="697"/>
      <c r="AE590" s="697"/>
      <c r="AF590" s="697"/>
      <c r="AG590" s="697"/>
      <c r="AH590" s="697"/>
      <c r="AI590" s="697"/>
      <c r="AJ590" s="697"/>
      <c r="AK590" s="697"/>
      <c r="AL590" s="697"/>
      <c r="AM590" s="697"/>
      <c r="AN590" s="697"/>
      <c r="AO590" s="697"/>
      <c r="AP590" s="697"/>
      <c r="AQ590" s="697"/>
      <c r="AR590" s="697"/>
      <c r="AS590" s="697"/>
      <c r="AT590" s="697"/>
      <c r="AU590" s="697"/>
      <c r="AV590" s="697"/>
      <c r="AW590" s="697"/>
      <c r="AX590" s="697"/>
      <c r="AY590" s="697"/>
      <c r="AZ590" s="697"/>
      <c r="BA590" s="697"/>
      <c r="BB590" s="697"/>
      <c r="BC590" s="697"/>
      <c r="BD590" s="697"/>
      <c r="BE590" s="697"/>
      <c r="BF590" s="697"/>
      <c r="BG590" s="697"/>
      <c r="BH590" s="697"/>
      <c r="BI590" s="697"/>
      <c r="BJ590" s="697"/>
      <c r="BK590" s="697"/>
      <c r="BL590" s="697"/>
      <c r="BM590" s="697"/>
      <c r="BN590" s="697"/>
      <c r="BO590" s="697"/>
      <c r="BP590" s="697"/>
      <c r="BQ590" s="697"/>
      <c r="BR590" s="697"/>
      <c r="BS590" s="697"/>
      <c r="BT590" s="697"/>
      <c r="BU590" s="697"/>
      <c r="BV590" s="697"/>
      <c r="BW590" s="697"/>
      <c r="BX590" s="697"/>
      <c r="BY590" s="697"/>
      <c r="BZ590" s="697"/>
      <c r="CA590" s="697"/>
      <c r="CB590" s="697"/>
      <c r="CC590" s="697"/>
      <c r="CD590" s="697"/>
      <c r="CE590" s="697"/>
      <c r="CF590" s="697"/>
      <c r="CG590" s="697"/>
      <c r="CH590" s="697"/>
      <c r="CI590" s="697"/>
      <c r="CJ590" s="697"/>
      <c r="CK590" s="697"/>
      <c r="CL590" s="697"/>
      <c r="CM590" s="697"/>
      <c r="CN590" s="697"/>
      <c r="CO590" s="697"/>
      <c r="CP590" s="697"/>
      <c r="CQ590" s="697"/>
      <c r="CR590" s="697"/>
      <c r="CS590" s="697"/>
      <c r="CT590" s="697"/>
      <c r="CU590" s="697"/>
      <c r="CV590" s="697"/>
      <c r="CW590" s="697"/>
      <c r="CX590" s="697"/>
      <c r="CY590" s="697"/>
      <c r="CZ590" s="697"/>
      <c r="DA590" s="697"/>
      <c r="DB590" s="697"/>
    </row>
    <row r="591" spans="1:106" hidden="1" outlineLevel="1" x14ac:dyDescent="0.2">
      <c r="A591" s="709">
        <f t="shared" si="113"/>
        <v>40603</v>
      </c>
      <c r="B591" s="709" t="str">
        <f t="shared" si="114"/>
        <v>1Q11</v>
      </c>
      <c r="C591" s="709" t="str">
        <f t="shared" si="115"/>
        <v>2Q11</v>
      </c>
      <c r="D591" s="710">
        <f t="shared" si="118"/>
        <v>40687</v>
      </c>
      <c r="E591" s="710">
        <f t="shared" si="118"/>
        <v>40627</v>
      </c>
      <c r="F591" s="712">
        <v>104.41</v>
      </c>
      <c r="G591" s="713">
        <f t="shared" si="116"/>
        <v>1.4900000000000011</v>
      </c>
      <c r="H591" s="713">
        <f t="shared" si="117"/>
        <v>1.4900000000000011</v>
      </c>
      <c r="I591" s="697"/>
      <c r="J591" s="697"/>
      <c r="K591" s="697"/>
      <c r="L591" s="697"/>
      <c r="M591" s="697"/>
      <c r="N591" s="697"/>
      <c r="O591" s="697"/>
      <c r="P591" s="697"/>
      <c r="Q591" s="697"/>
      <c r="R591" s="697"/>
      <c r="S591" s="697"/>
      <c r="T591" s="697"/>
      <c r="U591" s="697"/>
      <c r="V591" s="697"/>
      <c r="W591" s="697"/>
      <c r="X591" s="697"/>
      <c r="Y591" s="697"/>
      <c r="Z591" s="697"/>
      <c r="AA591" s="697"/>
      <c r="AB591" s="697"/>
      <c r="AC591" s="697"/>
      <c r="AD591" s="697"/>
      <c r="AE591" s="697"/>
      <c r="AF591" s="697"/>
      <c r="AG591" s="697"/>
      <c r="AH591" s="697"/>
      <c r="AI591" s="697"/>
      <c r="AJ591" s="697"/>
      <c r="AK591" s="697"/>
      <c r="AL591" s="697"/>
      <c r="AM591" s="697"/>
      <c r="AN591" s="697"/>
      <c r="AO591" s="697"/>
      <c r="AP591" s="697"/>
      <c r="AQ591" s="697"/>
      <c r="AR591" s="697"/>
      <c r="AS591" s="697"/>
      <c r="AT591" s="697"/>
      <c r="AU591" s="697"/>
      <c r="AV591" s="697"/>
      <c r="AW591" s="697"/>
      <c r="AX591" s="697"/>
      <c r="AY591" s="697"/>
      <c r="AZ591" s="697"/>
      <c r="BA591" s="697"/>
      <c r="BB591" s="697"/>
      <c r="BC591" s="697"/>
      <c r="BD591" s="697"/>
      <c r="BE591" s="697"/>
      <c r="BF591" s="697"/>
      <c r="BG591" s="697"/>
      <c r="BH591" s="697"/>
      <c r="BI591" s="697"/>
      <c r="BJ591" s="697"/>
      <c r="BK591" s="697"/>
      <c r="BL591" s="697"/>
      <c r="BM591" s="697"/>
      <c r="BN591" s="697"/>
      <c r="BO591" s="697"/>
      <c r="BP591" s="697"/>
      <c r="BQ591" s="697"/>
      <c r="BR591" s="697"/>
      <c r="BS591" s="697"/>
      <c r="BT591" s="697"/>
      <c r="BU591" s="697"/>
      <c r="BV591" s="697"/>
      <c r="BW591" s="697"/>
      <c r="BX591" s="697"/>
      <c r="BY591" s="697"/>
      <c r="BZ591" s="697"/>
      <c r="CA591" s="697"/>
      <c r="CB591" s="697"/>
      <c r="CC591" s="697"/>
      <c r="CD591" s="697"/>
      <c r="CE591" s="697"/>
      <c r="CF591" s="697"/>
      <c r="CG591" s="697"/>
      <c r="CH591" s="697"/>
      <c r="CI591" s="697"/>
      <c r="CJ591" s="697"/>
      <c r="CK591" s="697"/>
      <c r="CL591" s="697"/>
      <c r="CM591" s="697"/>
      <c r="CN591" s="697"/>
      <c r="CO591" s="697"/>
      <c r="CP591" s="697"/>
      <c r="CQ591" s="697"/>
      <c r="CR591" s="697"/>
      <c r="CS591" s="697"/>
      <c r="CT591" s="697"/>
      <c r="CU591" s="697"/>
      <c r="CV591" s="697"/>
      <c r="CW591" s="697"/>
      <c r="CX591" s="697"/>
      <c r="CY591" s="697"/>
      <c r="CZ591" s="697"/>
      <c r="DA591" s="697"/>
      <c r="DB591" s="697"/>
    </row>
    <row r="592" spans="1:106" hidden="1" outlineLevel="1" x14ac:dyDescent="0.2">
      <c r="A592" s="709">
        <f t="shared" si="113"/>
        <v>40634</v>
      </c>
      <c r="B592" s="709" t="str">
        <f t="shared" si="114"/>
        <v>2Q11</v>
      </c>
      <c r="C592" s="709" t="str">
        <f t="shared" si="115"/>
        <v>2Q11</v>
      </c>
      <c r="D592" s="710">
        <f t="shared" si="118"/>
        <v>40694</v>
      </c>
      <c r="E592" s="710">
        <f t="shared" si="118"/>
        <v>40634</v>
      </c>
      <c r="F592" s="712">
        <v>105.08</v>
      </c>
      <c r="G592" s="713">
        <f t="shared" si="116"/>
        <v>1.4900000000000011</v>
      </c>
      <c r="H592" s="713">
        <f t="shared" si="117"/>
        <v>1.4900000000000011</v>
      </c>
      <c r="I592" s="697"/>
      <c r="J592" s="697"/>
      <c r="K592" s="697"/>
      <c r="L592" s="697"/>
      <c r="M592" s="697"/>
      <c r="N592" s="697"/>
      <c r="O592" s="697"/>
      <c r="P592" s="697"/>
      <c r="Q592" s="697"/>
      <c r="R592" s="697"/>
      <c r="S592" s="697"/>
      <c r="T592" s="697"/>
      <c r="U592" s="697"/>
      <c r="V592" s="697"/>
      <c r="W592" s="697"/>
      <c r="X592" s="697"/>
      <c r="Y592" s="697"/>
      <c r="Z592" s="697"/>
      <c r="AA592" s="697"/>
      <c r="AB592" s="697"/>
      <c r="AC592" s="697"/>
      <c r="AD592" s="697"/>
      <c r="AE592" s="697"/>
      <c r="AF592" s="697"/>
      <c r="AG592" s="697"/>
      <c r="AH592" s="697"/>
      <c r="AI592" s="697"/>
      <c r="AJ592" s="697"/>
      <c r="AK592" s="697"/>
      <c r="AL592" s="697"/>
      <c r="AM592" s="697"/>
      <c r="AN592" s="697"/>
      <c r="AO592" s="697"/>
      <c r="AP592" s="697"/>
      <c r="AQ592" s="697"/>
      <c r="AR592" s="697"/>
      <c r="AS592" s="697"/>
      <c r="AT592" s="697"/>
      <c r="AU592" s="697"/>
      <c r="AV592" s="697"/>
      <c r="AW592" s="697"/>
      <c r="AX592" s="697"/>
      <c r="AY592" s="697"/>
      <c r="AZ592" s="697"/>
      <c r="BA592" s="697"/>
      <c r="BB592" s="697"/>
      <c r="BC592" s="697"/>
      <c r="BD592" s="697"/>
      <c r="BE592" s="697"/>
      <c r="BF592" s="697"/>
      <c r="BG592" s="697"/>
      <c r="BH592" s="697"/>
      <c r="BI592" s="697"/>
      <c r="BJ592" s="697"/>
      <c r="BK592" s="697"/>
      <c r="BL592" s="697"/>
      <c r="BM592" s="697"/>
      <c r="BN592" s="697"/>
      <c r="BO592" s="697"/>
      <c r="BP592" s="697"/>
      <c r="BQ592" s="697"/>
      <c r="BR592" s="697"/>
      <c r="BS592" s="697"/>
      <c r="BT592" s="697"/>
      <c r="BU592" s="697"/>
      <c r="BV592" s="697"/>
      <c r="BW592" s="697"/>
      <c r="BX592" s="697"/>
      <c r="BY592" s="697"/>
      <c r="BZ592" s="697"/>
      <c r="CA592" s="697"/>
      <c r="CB592" s="697"/>
      <c r="CC592" s="697"/>
      <c r="CD592" s="697"/>
      <c r="CE592" s="697"/>
      <c r="CF592" s="697"/>
      <c r="CG592" s="697"/>
      <c r="CH592" s="697"/>
      <c r="CI592" s="697"/>
      <c r="CJ592" s="697"/>
      <c r="CK592" s="697"/>
      <c r="CL592" s="697"/>
      <c r="CM592" s="697"/>
      <c r="CN592" s="697"/>
      <c r="CO592" s="697"/>
      <c r="CP592" s="697"/>
      <c r="CQ592" s="697"/>
      <c r="CR592" s="697"/>
      <c r="CS592" s="697"/>
      <c r="CT592" s="697"/>
      <c r="CU592" s="697"/>
      <c r="CV592" s="697"/>
      <c r="CW592" s="697"/>
      <c r="CX592" s="697"/>
      <c r="CY592" s="697"/>
      <c r="CZ592" s="697"/>
      <c r="DA592" s="697"/>
      <c r="DB592" s="697"/>
    </row>
    <row r="593" spans="1:106" hidden="1" outlineLevel="1" x14ac:dyDescent="0.2">
      <c r="A593" s="709">
        <f t="shared" si="113"/>
        <v>40634</v>
      </c>
      <c r="B593" s="709" t="str">
        <f t="shared" si="114"/>
        <v>2Q11</v>
      </c>
      <c r="C593" s="709" t="str">
        <f t="shared" si="115"/>
        <v>2Q11</v>
      </c>
      <c r="D593" s="710">
        <f t="shared" si="118"/>
        <v>40701</v>
      </c>
      <c r="E593" s="710">
        <f t="shared" si="118"/>
        <v>40641</v>
      </c>
      <c r="F593" s="712">
        <v>109.29</v>
      </c>
      <c r="G593" s="713">
        <f t="shared" si="116"/>
        <v>1.4900000000000011</v>
      </c>
      <c r="H593" s="713">
        <f t="shared" si="117"/>
        <v>1.4900000000000011</v>
      </c>
      <c r="I593" s="697"/>
      <c r="J593" s="697"/>
      <c r="K593" s="697"/>
      <c r="L593" s="697"/>
      <c r="M593" s="697"/>
      <c r="N593" s="697"/>
      <c r="O593" s="697"/>
      <c r="P593" s="697"/>
      <c r="Q593" s="697"/>
      <c r="R593" s="697"/>
      <c r="S593" s="697"/>
      <c r="T593" s="697"/>
      <c r="U593" s="697"/>
      <c r="V593" s="697"/>
      <c r="W593" s="697"/>
      <c r="X593" s="697"/>
      <c r="Y593" s="697"/>
      <c r="Z593" s="697"/>
      <c r="AA593" s="697"/>
      <c r="AB593" s="697"/>
      <c r="AC593" s="697"/>
      <c r="AD593" s="697"/>
      <c r="AE593" s="697"/>
      <c r="AF593" s="697"/>
      <c r="AG593" s="697"/>
      <c r="AH593" s="697"/>
      <c r="AI593" s="697"/>
      <c r="AJ593" s="697"/>
      <c r="AK593" s="697"/>
      <c r="AL593" s="697"/>
      <c r="AM593" s="697"/>
      <c r="AN593" s="697"/>
      <c r="AO593" s="697"/>
      <c r="AP593" s="697"/>
      <c r="AQ593" s="697"/>
      <c r="AR593" s="697"/>
      <c r="AS593" s="697"/>
      <c r="AT593" s="697"/>
      <c r="AU593" s="697"/>
      <c r="AV593" s="697"/>
      <c r="AW593" s="697"/>
      <c r="AX593" s="697"/>
      <c r="AY593" s="697"/>
      <c r="AZ593" s="697"/>
      <c r="BA593" s="697"/>
      <c r="BB593" s="697"/>
      <c r="BC593" s="697"/>
      <c r="BD593" s="697"/>
      <c r="BE593" s="697"/>
      <c r="BF593" s="697"/>
      <c r="BG593" s="697"/>
      <c r="BH593" s="697"/>
      <c r="BI593" s="697"/>
      <c r="BJ593" s="697"/>
      <c r="BK593" s="697"/>
      <c r="BL593" s="697"/>
      <c r="BM593" s="697"/>
      <c r="BN593" s="697"/>
      <c r="BO593" s="697"/>
      <c r="BP593" s="697"/>
      <c r="BQ593" s="697"/>
      <c r="BR593" s="697"/>
      <c r="BS593" s="697"/>
      <c r="BT593" s="697"/>
      <c r="BU593" s="697"/>
      <c r="BV593" s="697"/>
      <c r="BW593" s="697"/>
      <c r="BX593" s="697"/>
      <c r="BY593" s="697"/>
      <c r="BZ593" s="697"/>
      <c r="CA593" s="697"/>
      <c r="CB593" s="697"/>
      <c r="CC593" s="697"/>
      <c r="CD593" s="697"/>
      <c r="CE593" s="697"/>
      <c r="CF593" s="697"/>
      <c r="CG593" s="697"/>
      <c r="CH593" s="697"/>
      <c r="CI593" s="697"/>
      <c r="CJ593" s="697"/>
      <c r="CK593" s="697"/>
      <c r="CL593" s="697"/>
      <c r="CM593" s="697"/>
      <c r="CN593" s="697"/>
      <c r="CO593" s="697"/>
      <c r="CP593" s="697"/>
      <c r="CQ593" s="697"/>
      <c r="CR593" s="697"/>
      <c r="CS593" s="697"/>
      <c r="CT593" s="697"/>
      <c r="CU593" s="697"/>
      <c r="CV593" s="697"/>
      <c r="CW593" s="697"/>
      <c r="CX593" s="697"/>
      <c r="CY593" s="697"/>
      <c r="CZ593" s="697"/>
      <c r="DA593" s="697"/>
      <c r="DB593" s="697"/>
    </row>
    <row r="594" spans="1:106" hidden="1" outlineLevel="1" x14ac:dyDescent="0.2">
      <c r="A594" s="709">
        <f t="shared" si="113"/>
        <v>40634</v>
      </c>
      <c r="B594" s="709" t="str">
        <f t="shared" si="114"/>
        <v>2Q11</v>
      </c>
      <c r="C594" s="709" t="str">
        <f t="shared" si="115"/>
        <v>2Q11</v>
      </c>
      <c r="D594" s="710">
        <f t="shared" si="118"/>
        <v>40708</v>
      </c>
      <c r="E594" s="710">
        <f t="shared" si="118"/>
        <v>40648</v>
      </c>
      <c r="F594" s="712">
        <v>107.75</v>
      </c>
      <c r="G594" s="713">
        <f t="shared" si="116"/>
        <v>1.4900000000000011</v>
      </c>
      <c r="H594" s="713">
        <f t="shared" si="117"/>
        <v>1.4900000000000011</v>
      </c>
      <c r="I594" s="697"/>
      <c r="J594" s="697"/>
      <c r="K594" s="697"/>
      <c r="L594" s="697"/>
      <c r="M594" s="697"/>
      <c r="N594" s="697"/>
      <c r="O594" s="697"/>
      <c r="P594" s="697"/>
      <c r="Q594" s="697"/>
      <c r="R594" s="697"/>
      <c r="S594" s="697"/>
      <c r="T594" s="697"/>
      <c r="U594" s="697"/>
      <c r="V594" s="697"/>
      <c r="W594" s="697"/>
      <c r="X594" s="697"/>
      <c r="Y594" s="697"/>
      <c r="Z594" s="697"/>
      <c r="AA594" s="697"/>
      <c r="AB594" s="697"/>
      <c r="AC594" s="697"/>
      <c r="AD594" s="697"/>
      <c r="AE594" s="697"/>
      <c r="AF594" s="697"/>
      <c r="AG594" s="697"/>
      <c r="AH594" s="697"/>
      <c r="AI594" s="697"/>
      <c r="AJ594" s="697"/>
      <c r="AK594" s="697"/>
      <c r="AL594" s="697"/>
      <c r="AM594" s="697"/>
      <c r="AN594" s="697"/>
      <c r="AO594" s="697"/>
      <c r="AP594" s="697"/>
      <c r="AQ594" s="697"/>
      <c r="AR594" s="697"/>
      <c r="AS594" s="697"/>
      <c r="AT594" s="697"/>
      <c r="AU594" s="697"/>
      <c r="AV594" s="697"/>
      <c r="AW594" s="697"/>
      <c r="AX594" s="697"/>
      <c r="AY594" s="697"/>
      <c r="AZ594" s="697"/>
      <c r="BA594" s="697"/>
      <c r="BB594" s="697"/>
      <c r="BC594" s="697"/>
      <c r="BD594" s="697"/>
      <c r="BE594" s="697"/>
      <c r="BF594" s="697"/>
      <c r="BG594" s="697"/>
      <c r="BH594" s="697"/>
      <c r="BI594" s="697"/>
      <c r="BJ594" s="697"/>
      <c r="BK594" s="697"/>
      <c r="BL594" s="697"/>
      <c r="BM594" s="697"/>
      <c r="BN594" s="697"/>
      <c r="BO594" s="697"/>
      <c r="BP594" s="697"/>
      <c r="BQ594" s="697"/>
      <c r="BR594" s="697"/>
      <c r="BS594" s="697"/>
      <c r="BT594" s="697"/>
      <c r="BU594" s="697"/>
      <c r="BV594" s="697"/>
      <c r="BW594" s="697"/>
      <c r="BX594" s="697"/>
      <c r="BY594" s="697"/>
      <c r="BZ594" s="697"/>
      <c r="CA594" s="697"/>
      <c r="CB594" s="697"/>
      <c r="CC594" s="697"/>
      <c r="CD594" s="697"/>
      <c r="CE594" s="697"/>
      <c r="CF594" s="697"/>
      <c r="CG594" s="697"/>
      <c r="CH594" s="697"/>
      <c r="CI594" s="697"/>
      <c r="CJ594" s="697"/>
      <c r="CK594" s="697"/>
      <c r="CL594" s="697"/>
      <c r="CM594" s="697"/>
      <c r="CN594" s="697"/>
      <c r="CO594" s="697"/>
      <c r="CP594" s="697"/>
      <c r="CQ594" s="697"/>
      <c r="CR594" s="697"/>
      <c r="CS594" s="697"/>
      <c r="CT594" s="697"/>
      <c r="CU594" s="697"/>
      <c r="CV594" s="697"/>
      <c r="CW594" s="697"/>
      <c r="CX594" s="697"/>
      <c r="CY594" s="697"/>
      <c r="CZ594" s="697"/>
      <c r="DA594" s="697"/>
      <c r="DB594" s="697"/>
    </row>
    <row r="595" spans="1:106" hidden="1" outlineLevel="1" x14ac:dyDescent="0.2">
      <c r="A595" s="709">
        <f t="shared" si="113"/>
        <v>40634</v>
      </c>
      <c r="B595" s="709" t="str">
        <f t="shared" si="114"/>
        <v>2Q11</v>
      </c>
      <c r="C595" s="709" t="str">
        <f t="shared" si="115"/>
        <v>2Q11</v>
      </c>
      <c r="D595" s="710">
        <f t="shared" si="118"/>
        <v>40715</v>
      </c>
      <c r="E595" s="710">
        <f t="shared" si="118"/>
        <v>40655</v>
      </c>
      <c r="F595" s="712">
        <v>109.11</v>
      </c>
      <c r="G595" s="713">
        <f t="shared" si="116"/>
        <v>1.4900000000000011</v>
      </c>
      <c r="H595" s="713">
        <f t="shared" si="117"/>
        <v>1.4900000000000011</v>
      </c>
      <c r="I595" s="697"/>
      <c r="J595" s="697"/>
      <c r="K595" s="697"/>
      <c r="L595" s="697"/>
      <c r="M595" s="697"/>
      <c r="N595" s="697"/>
      <c r="O595" s="697"/>
      <c r="P595" s="697"/>
      <c r="Q595" s="697"/>
      <c r="R595" s="697"/>
      <c r="S595" s="697"/>
      <c r="T595" s="697"/>
      <c r="U595" s="697"/>
      <c r="V595" s="697"/>
      <c r="W595" s="697"/>
      <c r="X595" s="697"/>
      <c r="Y595" s="697"/>
      <c r="Z595" s="697"/>
      <c r="AA595" s="697"/>
      <c r="AB595" s="697"/>
      <c r="AC595" s="697"/>
      <c r="AD595" s="697"/>
      <c r="AE595" s="697"/>
      <c r="AF595" s="697"/>
      <c r="AG595" s="697"/>
      <c r="AH595" s="697"/>
      <c r="AI595" s="697"/>
      <c r="AJ595" s="697"/>
      <c r="AK595" s="697"/>
      <c r="AL595" s="697"/>
      <c r="AM595" s="697"/>
      <c r="AN595" s="697"/>
      <c r="AO595" s="697"/>
      <c r="AP595" s="697"/>
      <c r="AQ595" s="697"/>
      <c r="AR595" s="697"/>
      <c r="AS595" s="697"/>
      <c r="AT595" s="697"/>
      <c r="AU595" s="697"/>
      <c r="AV595" s="697"/>
      <c r="AW595" s="697"/>
      <c r="AX595" s="697"/>
      <c r="AY595" s="697"/>
      <c r="AZ595" s="697"/>
      <c r="BA595" s="697"/>
      <c r="BB595" s="697"/>
      <c r="BC595" s="697"/>
      <c r="BD595" s="697"/>
      <c r="BE595" s="697"/>
      <c r="BF595" s="697"/>
      <c r="BG595" s="697"/>
      <c r="BH595" s="697"/>
      <c r="BI595" s="697"/>
      <c r="BJ595" s="697"/>
      <c r="BK595" s="697"/>
      <c r="BL595" s="697"/>
      <c r="BM595" s="697"/>
      <c r="BN595" s="697"/>
      <c r="BO595" s="697"/>
      <c r="BP595" s="697"/>
      <c r="BQ595" s="697"/>
      <c r="BR595" s="697"/>
      <c r="BS595" s="697"/>
      <c r="BT595" s="697"/>
      <c r="BU595" s="697"/>
      <c r="BV595" s="697"/>
      <c r="BW595" s="697"/>
      <c r="BX595" s="697"/>
      <c r="BY595" s="697"/>
      <c r="BZ595" s="697"/>
      <c r="CA595" s="697"/>
      <c r="CB595" s="697"/>
      <c r="CC595" s="697"/>
      <c r="CD595" s="697"/>
      <c r="CE595" s="697"/>
      <c r="CF595" s="697"/>
      <c r="CG595" s="697"/>
      <c r="CH595" s="697"/>
      <c r="CI595" s="697"/>
      <c r="CJ595" s="697"/>
      <c r="CK595" s="697"/>
      <c r="CL595" s="697"/>
      <c r="CM595" s="697"/>
      <c r="CN595" s="697"/>
      <c r="CO595" s="697"/>
      <c r="CP595" s="697"/>
      <c r="CQ595" s="697"/>
      <c r="CR595" s="697"/>
      <c r="CS595" s="697"/>
      <c r="CT595" s="697"/>
      <c r="CU595" s="697"/>
      <c r="CV595" s="697"/>
      <c r="CW595" s="697"/>
      <c r="CX595" s="697"/>
      <c r="CY595" s="697"/>
      <c r="CZ595" s="697"/>
      <c r="DA595" s="697"/>
      <c r="DB595" s="697"/>
    </row>
    <row r="596" spans="1:106" hidden="1" outlineLevel="1" x14ac:dyDescent="0.2">
      <c r="A596" s="709">
        <f t="shared" si="113"/>
        <v>40634</v>
      </c>
      <c r="B596" s="709" t="str">
        <f t="shared" si="114"/>
        <v>2Q11</v>
      </c>
      <c r="C596" s="709" t="str">
        <f t="shared" si="115"/>
        <v>2Q11</v>
      </c>
      <c r="D596" s="710">
        <f t="shared" si="118"/>
        <v>40722</v>
      </c>
      <c r="E596" s="710">
        <f t="shared" si="118"/>
        <v>40662</v>
      </c>
      <c r="F596" s="712">
        <v>112.3</v>
      </c>
      <c r="G596" s="713">
        <f t="shared" si="116"/>
        <v>1.4900000000000011</v>
      </c>
      <c r="H596" s="713">
        <f t="shared" si="117"/>
        <v>1.4900000000000011</v>
      </c>
      <c r="I596" s="697"/>
      <c r="J596" s="697"/>
      <c r="K596" s="697"/>
      <c r="L596" s="697"/>
      <c r="M596" s="697"/>
      <c r="N596" s="697"/>
      <c r="O596" s="697"/>
      <c r="P596" s="697"/>
      <c r="Q596" s="697"/>
      <c r="R596" s="697"/>
      <c r="S596" s="697"/>
      <c r="T596" s="697"/>
      <c r="U596" s="697"/>
      <c r="V596" s="697"/>
      <c r="W596" s="697"/>
      <c r="X596" s="697"/>
      <c r="Y596" s="697"/>
      <c r="Z596" s="697"/>
      <c r="AA596" s="697"/>
      <c r="AB596" s="697"/>
      <c r="AC596" s="697"/>
      <c r="AD596" s="697"/>
      <c r="AE596" s="697"/>
      <c r="AF596" s="697"/>
      <c r="AG596" s="697"/>
      <c r="AH596" s="697"/>
      <c r="AI596" s="697"/>
      <c r="AJ596" s="697"/>
      <c r="AK596" s="697"/>
      <c r="AL596" s="697"/>
      <c r="AM596" s="697"/>
      <c r="AN596" s="697"/>
      <c r="AO596" s="697"/>
      <c r="AP596" s="697"/>
      <c r="AQ596" s="697"/>
      <c r="AR596" s="697"/>
      <c r="AS596" s="697"/>
      <c r="AT596" s="697"/>
      <c r="AU596" s="697"/>
      <c r="AV596" s="697"/>
      <c r="AW596" s="697"/>
      <c r="AX596" s="697"/>
      <c r="AY596" s="697"/>
      <c r="AZ596" s="697"/>
      <c r="BA596" s="697"/>
      <c r="BB596" s="697"/>
      <c r="BC596" s="697"/>
      <c r="BD596" s="697"/>
      <c r="BE596" s="697"/>
      <c r="BF596" s="697"/>
      <c r="BG596" s="697"/>
      <c r="BH596" s="697"/>
      <c r="BI596" s="697"/>
      <c r="BJ596" s="697"/>
      <c r="BK596" s="697"/>
      <c r="BL596" s="697"/>
      <c r="BM596" s="697"/>
      <c r="BN596" s="697"/>
      <c r="BO596" s="697"/>
      <c r="BP596" s="697"/>
      <c r="BQ596" s="697"/>
      <c r="BR596" s="697"/>
      <c r="BS596" s="697"/>
      <c r="BT596" s="697"/>
      <c r="BU596" s="697"/>
      <c r="BV596" s="697"/>
      <c r="BW596" s="697"/>
      <c r="BX596" s="697"/>
      <c r="BY596" s="697"/>
      <c r="BZ596" s="697"/>
      <c r="CA596" s="697"/>
      <c r="CB596" s="697"/>
      <c r="CC596" s="697"/>
      <c r="CD596" s="697"/>
      <c r="CE596" s="697"/>
      <c r="CF596" s="697"/>
      <c r="CG596" s="697"/>
      <c r="CH596" s="697"/>
      <c r="CI596" s="697"/>
      <c r="CJ596" s="697"/>
      <c r="CK596" s="697"/>
      <c r="CL596" s="697"/>
      <c r="CM596" s="697"/>
      <c r="CN596" s="697"/>
      <c r="CO596" s="697"/>
      <c r="CP596" s="697"/>
      <c r="CQ596" s="697"/>
      <c r="CR596" s="697"/>
      <c r="CS596" s="697"/>
      <c r="CT596" s="697"/>
      <c r="CU596" s="697"/>
      <c r="CV596" s="697"/>
      <c r="CW596" s="697"/>
      <c r="CX596" s="697"/>
      <c r="CY596" s="697"/>
      <c r="CZ596" s="697"/>
      <c r="DA596" s="697"/>
      <c r="DB596" s="697"/>
    </row>
    <row r="597" spans="1:106" hidden="1" outlineLevel="1" x14ac:dyDescent="0.2">
      <c r="A597" s="709">
        <f t="shared" si="113"/>
        <v>40664</v>
      </c>
      <c r="B597" s="709" t="str">
        <f t="shared" si="114"/>
        <v>2Q11</v>
      </c>
      <c r="C597" s="709" t="str">
        <f t="shared" si="115"/>
        <v>3Q11</v>
      </c>
      <c r="D597" s="710">
        <f t="shared" ref="D597:E612" si="119">D596+7</f>
        <v>40729</v>
      </c>
      <c r="E597" s="710">
        <f t="shared" si="119"/>
        <v>40669</v>
      </c>
      <c r="F597" s="712">
        <v>105.84</v>
      </c>
      <c r="G597" s="713">
        <f t="shared" si="116"/>
        <v>1.4900000000000011</v>
      </c>
      <c r="H597" s="713">
        <f t="shared" si="117"/>
        <v>1.4900000000000011</v>
      </c>
      <c r="I597" s="697"/>
      <c r="J597" s="697"/>
      <c r="K597" s="697"/>
      <c r="L597" s="697"/>
      <c r="M597" s="697"/>
      <c r="N597" s="697"/>
      <c r="O597" s="697"/>
      <c r="P597" s="697"/>
      <c r="Q597" s="697"/>
      <c r="R597" s="697"/>
      <c r="S597" s="697"/>
      <c r="T597" s="697"/>
      <c r="U597" s="697"/>
      <c r="V597" s="697"/>
      <c r="W597" s="697"/>
      <c r="X597" s="697"/>
      <c r="Y597" s="697"/>
      <c r="Z597" s="697"/>
      <c r="AA597" s="697"/>
      <c r="AB597" s="697"/>
      <c r="AC597" s="697"/>
      <c r="AD597" s="697"/>
      <c r="AE597" s="697"/>
      <c r="AF597" s="697"/>
      <c r="AG597" s="697"/>
      <c r="AH597" s="697"/>
      <c r="AI597" s="697"/>
      <c r="AJ597" s="697"/>
      <c r="AK597" s="697"/>
      <c r="AL597" s="697"/>
      <c r="AM597" s="697"/>
      <c r="AN597" s="697"/>
      <c r="AO597" s="697"/>
      <c r="AP597" s="697"/>
      <c r="AQ597" s="697"/>
      <c r="AR597" s="697"/>
      <c r="AS597" s="697"/>
      <c r="AT597" s="697"/>
      <c r="AU597" s="697"/>
      <c r="AV597" s="697"/>
      <c r="AW597" s="697"/>
      <c r="AX597" s="697"/>
      <c r="AY597" s="697"/>
      <c r="AZ597" s="697"/>
      <c r="BA597" s="697"/>
      <c r="BB597" s="697"/>
      <c r="BC597" s="697"/>
      <c r="BD597" s="697"/>
      <c r="BE597" s="697"/>
      <c r="BF597" s="697"/>
      <c r="BG597" s="697"/>
      <c r="BH597" s="697"/>
      <c r="BI597" s="697"/>
      <c r="BJ597" s="697"/>
      <c r="BK597" s="697"/>
      <c r="BL597" s="697"/>
      <c r="BM597" s="697"/>
      <c r="BN597" s="697"/>
      <c r="BO597" s="697"/>
      <c r="BP597" s="697"/>
      <c r="BQ597" s="697"/>
      <c r="BR597" s="697"/>
      <c r="BS597" s="697"/>
      <c r="BT597" s="697"/>
      <c r="BU597" s="697"/>
      <c r="BV597" s="697"/>
      <c r="BW597" s="697"/>
      <c r="BX597" s="697"/>
      <c r="BY597" s="697"/>
      <c r="BZ597" s="697"/>
      <c r="CA597" s="697"/>
      <c r="CB597" s="697"/>
      <c r="CC597" s="697"/>
      <c r="CD597" s="697"/>
      <c r="CE597" s="697"/>
      <c r="CF597" s="697"/>
      <c r="CG597" s="697"/>
      <c r="CH597" s="697"/>
      <c r="CI597" s="697"/>
      <c r="CJ597" s="697"/>
      <c r="CK597" s="697"/>
      <c r="CL597" s="697"/>
      <c r="CM597" s="697"/>
      <c r="CN597" s="697"/>
      <c r="CO597" s="697"/>
      <c r="CP597" s="697"/>
      <c r="CQ597" s="697"/>
      <c r="CR597" s="697"/>
      <c r="CS597" s="697"/>
      <c r="CT597" s="697"/>
      <c r="CU597" s="697"/>
      <c r="CV597" s="697"/>
      <c r="CW597" s="697"/>
      <c r="CX597" s="697"/>
      <c r="CY597" s="697"/>
      <c r="CZ597" s="697"/>
      <c r="DA597" s="697"/>
      <c r="DB597" s="697"/>
    </row>
    <row r="598" spans="1:106" hidden="1" outlineLevel="1" x14ac:dyDescent="0.2">
      <c r="A598" s="709">
        <f t="shared" si="113"/>
        <v>40664</v>
      </c>
      <c r="B598" s="709" t="str">
        <f t="shared" si="114"/>
        <v>2Q11</v>
      </c>
      <c r="C598" s="709" t="str">
        <f t="shared" si="115"/>
        <v>3Q11</v>
      </c>
      <c r="D598" s="710">
        <f t="shared" si="119"/>
        <v>40736</v>
      </c>
      <c r="E598" s="710">
        <f t="shared" si="119"/>
        <v>40676</v>
      </c>
      <c r="F598" s="712">
        <v>99.87</v>
      </c>
      <c r="G598" s="713">
        <f t="shared" si="116"/>
        <v>1.4900000000000011</v>
      </c>
      <c r="H598" s="713">
        <f t="shared" si="117"/>
        <v>1.4900000000000011</v>
      </c>
      <c r="I598" s="697"/>
      <c r="J598" s="697"/>
      <c r="K598" s="697"/>
      <c r="L598" s="697"/>
      <c r="M598" s="697"/>
      <c r="N598" s="697"/>
      <c r="O598" s="697"/>
      <c r="P598" s="697"/>
      <c r="Q598" s="697"/>
      <c r="R598" s="697"/>
      <c r="S598" s="697"/>
      <c r="T598" s="697"/>
      <c r="U598" s="697"/>
      <c r="V598" s="697"/>
      <c r="W598" s="697"/>
      <c r="X598" s="697"/>
      <c r="Y598" s="697"/>
      <c r="Z598" s="697"/>
      <c r="AA598" s="697"/>
      <c r="AB598" s="697"/>
      <c r="AC598" s="697"/>
      <c r="AD598" s="697"/>
      <c r="AE598" s="697"/>
      <c r="AF598" s="697"/>
      <c r="AG598" s="697"/>
      <c r="AH598" s="697"/>
      <c r="AI598" s="697"/>
      <c r="AJ598" s="697"/>
      <c r="AK598" s="697"/>
      <c r="AL598" s="697"/>
      <c r="AM598" s="697"/>
      <c r="AN598" s="697"/>
      <c r="AO598" s="697"/>
      <c r="AP598" s="697"/>
      <c r="AQ598" s="697"/>
      <c r="AR598" s="697"/>
      <c r="AS598" s="697"/>
      <c r="AT598" s="697"/>
      <c r="AU598" s="697"/>
      <c r="AV598" s="697"/>
      <c r="AW598" s="697"/>
      <c r="AX598" s="697"/>
      <c r="AY598" s="697"/>
      <c r="AZ598" s="697"/>
      <c r="BA598" s="697"/>
      <c r="BB598" s="697"/>
      <c r="BC598" s="697"/>
      <c r="BD598" s="697"/>
      <c r="BE598" s="697"/>
      <c r="BF598" s="697"/>
      <c r="BG598" s="697"/>
      <c r="BH598" s="697"/>
      <c r="BI598" s="697"/>
      <c r="BJ598" s="697"/>
      <c r="BK598" s="697"/>
      <c r="BL598" s="697"/>
      <c r="BM598" s="697"/>
      <c r="BN598" s="697"/>
      <c r="BO598" s="697"/>
      <c r="BP598" s="697"/>
      <c r="BQ598" s="697"/>
      <c r="BR598" s="697"/>
      <c r="BS598" s="697"/>
      <c r="BT598" s="697"/>
      <c r="BU598" s="697"/>
      <c r="BV598" s="697"/>
      <c r="BW598" s="697"/>
      <c r="BX598" s="697"/>
      <c r="BY598" s="697"/>
      <c r="BZ598" s="697"/>
      <c r="CA598" s="697"/>
      <c r="CB598" s="697"/>
      <c r="CC598" s="697"/>
      <c r="CD598" s="697"/>
      <c r="CE598" s="697"/>
      <c r="CF598" s="697"/>
      <c r="CG598" s="697"/>
      <c r="CH598" s="697"/>
      <c r="CI598" s="697"/>
      <c r="CJ598" s="697"/>
      <c r="CK598" s="697"/>
      <c r="CL598" s="697"/>
      <c r="CM598" s="697"/>
      <c r="CN598" s="697"/>
      <c r="CO598" s="697"/>
      <c r="CP598" s="697"/>
      <c r="CQ598" s="697"/>
      <c r="CR598" s="697"/>
      <c r="CS598" s="697"/>
      <c r="CT598" s="697"/>
      <c r="CU598" s="697"/>
      <c r="CV598" s="697"/>
      <c r="CW598" s="697"/>
      <c r="CX598" s="697"/>
      <c r="CY598" s="697"/>
      <c r="CZ598" s="697"/>
      <c r="DA598" s="697"/>
      <c r="DB598" s="697"/>
    </row>
    <row r="599" spans="1:106" hidden="1" outlineLevel="1" x14ac:dyDescent="0.2">
      <c r="A599" s="709">
        <f t="shared" si="113"/>
        <v>40664</v>
      </c>
      <c r="B599" s="709" t="str">
        <f t="shared" si="114"/>
        <v>2Q11</v>
      </c>
      <c r="C599" s="709" t="str">
        <f t="shared" si="115"/>
        <v>3Q11</v>
      </c>
      <c r="D599" s="710">
        <f t="shared" si="119"/>
        <v>40743</v>
      </c>
      <c r="E599" s="710">
        <f t="shared" si="119"/>
        <v>40683</v>
      </c>
      <c r="F599" s="712">
        <v>97.99</v>
      </c>
      <c r="G599" s="713">
        <f t="shared" si="116"/>
        <v>1.4900000000000011</v>
      </c>
      <c r="H599" s="713">
        <f t="shared" si="117"/>
        <v>1.4900000000000011</v>
      </c>
      <c r="I599" s="697"/>
      <c r="J599" s="697"/>
      <c r="K599" s="697"/>
      <c r="L599" s="697"/>
      <c r="M599" s="697"/>
      <c r="N599" s="697"/>
      <c r="O599" s="697"/>
      <c r="P599" s="697"/>
      <c r="Q599" s="697"/>
      <c r="R599" s="697"/>
      <c r="S599" s="697"/>
      <c r="T599" s="697"/>
      <c r="U599" s="697"/>
      <c r="V599" s="697"/>
      <c r="W599" s="697"/>
      <c r="X599" s="697"/>
      <c r="Y599" s="697"/>
      <c r="Z599" s="697"/>
      <c r="AA599" s="697"/>
      <c r="AB599" s="697"/>
      <c r="AC599" s="697"/>
      <c r="AD599" s="697"/>
      <c r="AE599" s="697"/>
      <c r="AF599" s="697"/>
      <c r="AG599" s="697"/>
      <c r="AH599" s="697"/>
      <c r="AI599" s="697"/>
      <c r="AJ599" s="697"/>
      <c r="AK599" s="697"/>
      <c r="AL599" s="697"/>
      <c r="AM599" s="697"/>
      <c r="AN599" s="697"/>
      <c r="AO599" s="697"/>
      <c r="AP599" s="697"/>
      <c r="AQ599" s="697"/>
      <c r="AR599" s="697"/>
      <c r="AS599" s="697"/>
      <c r="AT599" s="697"/>
      <c r="AU599" s="697"/>
      <c r="AV599" s="697"/>
      <c r="AW599" s="697"/>
      <c r="AX599" s="697"/>
      <c r="AY599" s="697"/>
      <c r="AZ599" s="697"/>
      <c r="BA599" s="697"/>
      <c r="BB599" s="697"/>
      <c r="BC599" s="697"/>
      <c r="BD599" s="697"/>
      <c r="BE599" s="697"/>
      <c r="BF599" s="697"/>
      <c r="BG599" s="697"/>
      <c r="BH599" s="697"/>
      <c r="BI599" s="697"/>
      <c r="BJ599" s="697"/>
      <c r="BK599" s="697"/>
      <c r="BL599" s="697"/>
      <c r="BM599" s="697"/>
      <c r="BN599" s="697"/>
      <c r="BO599" s="697"/>
      <c r="BP599" s="697"/>
      <c r="BQ599" s="697"/>
      <c r="BR599" s="697"/>
      <c r="BS599" s="697"/>
      <c r="BT599" s="697"/>
      <c r="BU599" s="697"/>
      <c r="BV599" s="697"/>
      <c r="BW599" s="697"/>
      <c r="BX599" s="697"/>
      <c r="BY599" s="697"/>
      <c r="BZ599" s="697"/>
      <c r="CA599" s="697"/>
      <c r="CB599" s="697"/>
      <c r="CC599" s="697"/>
      <c r="CD599" s="697"/>
      <c r="CE599" s="697"/>
      <c r="CF599" s="697"/>
      <c r="CG599" s="697"/>
      <c r="CH599" s="697"/>
      <c r="CI599" s="697"/>
      <c r="CJ599" s="697"/>
      <c r="CK599" s="697"/>
      <c r="CL599" s="697"/>
      <c r="CM599" s="697"/>
      <c r="CN599" s="697"/>
      <c r="CO599" s="697"/>
      <c r="CP599" s="697"/>
      <c r="CQ599" s="697"/>
      <c r="CR599" s="697"/>
      <c r="CS599" s="697"/>
      <c r="CT599" s="697"/>
      <c r="CU599" s="697"/>
      <c r="CV599" s="697"/>
      <c r="CW599" s="697"/>
      <c r="CX599" s="697"/>
      <c r="CY599" s="697"/>
      <c r="CZ599" s="697"/>
      <c r="DA599" s="697"/>
      <c r="DB599" s="697"/>
    </row>
    <row r="600" spans="1:106" hidden="1" outlineLevel="1" x14ac:dyDescent="0.2">
      <c r="A600" s="709">
        <f t="shared" si="113"/>
        <v>40664</v>
      </c>
      <c r="B600" s="709" t="str">
        <f t="shared" si="114"/>
        <v>2Q11</v>
      </c>
      <c r="C600" s="709" t="str">
        <f t="shared" si="115"/>
        <v>3Q11</v>
      </c>
      <c r="D600" s="710">
        <f t="shared" si="119"/>
        <v>40750</v>
      </c>
      <c r="E600" s="710">
        <f t="shared" si="119"/>
        <v>40690</v>
      </c>
      <c r="F600" s="712">
        <v>99.55</v>
      </c>
      <c r="G600" s="713">
        <f t="shared" si="116"/>
        <v>1.4900000000000011</v>
      </c>
      <c r="H600" s="713">
        <f t="shared" si="117"/>
        <v>1.4900000000000011</v>
      </c>
      <c r="I600" s="697"/>
      <c r="J600" s="697"/>
      <c r="K600" s="697"/>
      <c r="L600" s="697"/>
      <c r="M600" s="697"/>
      <c r="N600" s="697"/>
      <c r="O600" s="697"/>
      <c r="P600" s="697"/>
      <c r="Q600" s="697"/>
      <c r="R600" s="697"/>
      <c r="S600" s="697"/>
      <c r="T600" s="697"/>
      <c r="U600" s="697"/>
      <c r="V600" s="697"/>
      <c r="W600" s="697"/>
      <c r="X600" s="697"/>
      <c r="Y600" s="697"/>
      <c r="Z600" s="697"/>
      <c r="AA600" s="697"/>
      <c r="AB600" s="697"/>
      <c r="AC600" s="697"/>
      <c r="AD600" s="697"/>
      <c r="AE600" s="697"/>
      <c r="AF600" s="697"/>
      <c r="AG600" s="697"/>
      <c r="AH600" s="697"/>
      <c r="AI600" s="697"/>
      <c r="AJ600" s="697"/>
      <c r="AK600" s="697"/>
      <c r="AL600" s="697"/>
      <c r="AM600" s="697"/>
      <c r="AN600" s="697"/>
      <c r="AO600" s="697"/>
      <c r="AP600" s="697"/>
      <c r="AQ600" s="697"/>
      <c r="AR600" s="697"/>
      <c r="AS600" s="697"/>
      <c r="AT600" s="697"/>
      <c r="AU600" s="697"/>
      <c r="AV600" s="697"/>
      <c r="AW600" s="697"/>
      <c r="AX600" s="697"/>
      <c r="AY600" s="697"/>
      <c r="AZ600" s="697"/>
      <c r="BA600" s="697"/>
      <c r="BB600" s="697"/>
      <c r="BC600" s="697"/>
      <c r="BD600" s="697"/>
      <c r="BE600" s="697"/>
      <c r="BF600" s="697"/>
      <c r="BG600" s="697"/>
      <c r="BH600" s="697"/>
      <c r="BI600" s="697"/>
      <c r="BJ600" s="697"/>
      <c r="BK600" s="697"/>
      <c r="BL600" s="697"/>
      <c r="BM600" s="697"/>
      <c r="BN600" s="697"/>
      <c r="BO600" s="697"/>
      <c r="BP600" s="697"/>
      <c r="BQ600" s="697"/>
      <c r="BR600" s="697"/>
      <c r="BS600" s="697"/>
      <c r="BT600" s="697"/>
      <c r="BU600" s="697"/>
      <c r="BV600" s="697"/>
      <c r="BW600" s="697"/>
      <c r="BX600" s="697"/>
      <c r="BY600" s="697"/>
      <c r="BZ600" s="697"/>
      <c r="CA600" s="697"/>
      <c r="CB600" s="697"/>
      <c r="CC600" s="697"/>
      <c r="CD600" s="697"/>
      <c r="CE600" s="697"/>
      <c r="CF600" s="697"/>
      <c r="CG600" s="697"/>
      <c r="CH600" s="697"/>
      <c r="CI600" s="697"/>
      <c r="CJ600" s="697"/>
      <c r="CK600" s="697"/>
      <c r="CL600" s="697"/>
      <c r="CM600" s="697"/>
      <c r="CN600" s="697"/>
      <c r="CO600" s="697"/>
      <c r="CP600" s="697"/>
      <c r="CQ600" s="697"/>
      <c r="CR600" s="697"/>
      <c r="CS600" s="697"/>
      <c r="CT600" s="697"/>
      <c r="CU600" s="697"/>
      <c r="CV600" s="697"/>
      <c r="CW600" s="697"/>
      <c r="CX600" s="697"/>
      <c r="CY600" s="697"/>
      <c r="CZ600" s="697"/>
      <c r="DA600" s="697"/>
      <c r="DB600" s="697"/>
    </row>
    <row r="601" spans="1:106" hidden="1" outlineLevel="1" x14ac:dyDescent="0.2">
      <c r="A601" s="709">
        <f t="shared" si="113"/>
        <v>40695</v>
      </c>
      <c r="B601" s="709" t="str">
        <f t="shared" si="114"/>
        <v>2Q11</v>
      </c>
      <c r="C601" s="709" t="str">
        <f t="shared" si="115"/>
        <v>3Q11</v>
      </c>
      <c r="D601" s="710">
        <f t="shared" si="119"/>
        <v>40757</v>
      </c>
      <c r="E601" s="710">
        <f t="shared" si="119"/>
        <v>40697</v>
      </c>
      <c r="F601" s="712">
        <v>100.92</v>
      </c>
      <c r="G601" s="713">
        <f t="shared" si="116"/>
        <v>1.4900000000000011</v>
      </c>
      <c r="H601" s="713">
        <f t="shared" si="117"/>
        <v>1.4900000000000011</v>
      </c>
      <c r="I601" s="697"/>
      <c r="J601" s="697"/>
      <c r="K601" s="697"/>
      <c r="L601" s="697"/>
      <c r="M601" s="697"/>
      <c r="N601" s="697"/>
      <c r="O601" s="697"/>
      <c r="P601" s="697"/>
      <c r="Q601" s="697"/>
      <c r="R601" s="697"/>
      <c r="S601" s="697"/>
      <c r="T601" s="697"/>
      <c r="U601" s="697"/>
      <c r="V601" s="697"/>
      <c r="W601" s="697"/>
      <c r="X601" s="697"/>
      <c r="Y601" s="697"/>
      <c r="Z601" s="697"/>
      <c r="AA601" s="697"/>
      <c r="AB601" s="697"/>
      <c r="AC601" s="697"/>
      <c r="AD601" s="697"/>
      <c r="AE601" s="697"/>
      <c r="AF601" s="697"/>
      <c r="AG601" s="697"/>
      <c r="AH601" s="697"/>
      <c r="AI601" s="697"/>
      <c r="AJ601" s="697"/>
      <c r="AK601" s="697"/>
      <c r="AL601" s="697"/>
      <c r="AM601" s="697"/>
      <c r="AN601" s="697"/>
      <c r="AO601" s="697"/>
      <c r="AP601" s="697"/>
      <c r="AQ601" s="697"/>
      <c r="AR601" s="697"/>
      <c r="AS601" s="697"/>
      <c r="AT601" s="697"/>
      <c r="AU601" s="697"/>
      <c r="AV601" s="697"/>
      <c r="AW601" s="697"/>
      <c r="AX601" s="697"/>
      <c r="AY601" s="697"/>
      <c r="AZ601" s="697"/>
      <c r="BA601" s="697"/>
      <c r="BB601" s="697"/>
      <c r="BC601" s="697"/>
      <c r="BD601" s="697"/>
      <c r="BE601" s="697"/>
      <c r="BF601" s="697"/>
      <c r="BG601" s="697"/>
      <c r="BH601" s="697"/>
      <c r="BI601" s="697"/>
      <c r="BJ601" s="697"/>
      <c r="BK601" s="697"/>
      <c r="BL601" s="697"/>
      <c r="BM601" s="697"/>
      <c r="BN601" s="697"/>
      <c r="BO601" s="697"/>
      <c r="BP601" s="697"/>
      <c r="BQ601" s="697"/>
      <c r="BR601" s="697"/>
      <c r="BS601" s="697"/>
      <c r="BT601" s="697"/>
      <c r="BU601" s="697"/>
      <c r="BV601" s="697"/>
      <c r="BW601" s="697"/>
      <c r="BX601" s="697"/>
      <c r="BY601" s="697"/>
      <c r="BZ601" s="697"/>
      <c r="CA601" s="697"/>
      <c r="CB601" s="697"/>
      <c r="CC601" s="697"/>
      <c r="CD601" s="697"/>
      <c r="CE601" s="697"/>
      <c r="CF601" s="697"/>
      <c r="CG601" s="697"/>
      <c r="CH601" s="697"/>
      <c r="CI601" s="697"/>
      <c r="CJ601" s="697"/>
      <c r="CK601" s="697"/>
      <c r="CL601" s="697"/>
      <c r="CM601" s="697"/>
      <c r="CN601" s="697"/>
      <c r="CO601" s="697"/>
      <c r="CP601" s="697"/>
      <c r="CQ601" s="697"/>
      <c r="CR601" s="697"/>
      <c r="CS601" s="697"/>
      <c r="CT601" s="697"/>
      <c r="CU601" s="697"/>
      <c r="CV601" s="697"/>
      <c r="CW601" s="697"/>
      <c r="CX601" s="697"/>
      <c r="CY601" s="697"/>
      <c r="CZ601" s="697"/>
      <c r="DA601" s="697"/>
      <c r="DB601" s="697"/>
    </row>
    <row r="602" spans="1:106" hidden="1" outlineLevel="1" x14ac:dyDescent="0.2">
      <c r="A602" s="709">
        <f t="shared" si="113"/>
        <v>40695</v>
      </c>
      <c r="B602" s="709" t="str">
        <f t="shared" si="114"/>
        <v>2Q11</v>
      </c>
      <c r="C602" s="709" t="str">
        <f t="shared" si="115"/>
        <v>3Q11</v>
      </c>
      <c r="D602" s="710">
        <f t="shared" si="119"/>
        <v>40764</v>
      </c>
      <c r="E602" s="710">
        <f t="shared" si="119"/>
        <v>40704</v>
      </c>
      <c r="F602" s="712">
        <v>100.05</v>
      </c>
      <c r="G602" s="713">
        <f t="shared" si="116"/>
        <v>1.4900000000000011</v>
      </c>
      <c r="H602" s="713">
        <f t="shared" si="117"/>
        <v>1.4900000000000011</v>
      </c>
      <c r="I602" s="697"/>
      <c r="J602" s="697"/>
      <c r="K602" s="697"/>
      <c r="L602" s="697"/>
      <c r="M602" s="697"/>
      <c r="N602" s="697"/>
      <c r="O602" s="697"/>
      <c r="P602" s="697"/>
      <c r="Q602" s="697"/>
      <c r="R602" s="697"/>
      <c r="S602" s="697"/>
      <c r="T602" s="697"/>
      <c r="U602" s="697"/>
      <c r="V602" s="697"/>
      <c r="W602" s="697"/>
      <c r="X602" s="697"/>
      <c r="Y602" s="697"/>
      <c r="Z602" s="697"/>
      <c r="AA602" s="697"/>
      <c r="AB602" s="697"/>
      <c r="AC602" s="697"/>
      <c r="AD602" s="697"/>
      <c r="AE602" s="697"/>
      <c r="AF602" s="697"/>
      <c r="AG602" s="697"/>
      <c r="AH602" s="697"/>
      <c r="AI602" s="697"/>
      <c r="AJ602" s="697"/>
      <c r="AK602" s="697"/>
      <c r="AL602" s="697"/>
      <c r="AM602" s="697"/>
      <c r="AN602" s="697"/>
      <c r="AO602" s="697"/>
      <c r="AP602" s="697"/>
      <c r="AQ602" s="697"/>
      <c r="AR602" s="697"/>
      <c r="AS602" s="697"/>
      <c r="AT602" s="697"/>
      <c r="AU602" s="697"/>
      <c r="AV602" s="697"/>
      <c r="AW602" s="697"/>
      <c r="AX602" s="697"/>
      <c r="AY602" s="697"/>
      <c r="AZ602" s="697"/>
      <c r="BA602" s="697"/>
      <c r="BB602" s="697"/>
      <c r="BC602" s="697"/>
      <c r="BD602" s="697"/>
      <c r="BE602" s="697"/>
      <c r="BF602" s="697"/>
      <c r="BG602" s="697"/>
      <c r="BH602" s="697"/>
      <c r="BI602" s="697"/>
      <c r="BJ602" s="697"/>
      <c r="BK602" s="697"/>
      <c r="BL602" s="697"/>
      <c r="BM602" s="697"/>
      <c r="BN602" s="697"/>
      <c r="BO602" s="697"/>
      <c r="BP602" s="697"/>
      <c r="BQ602" s="697"/>
      <c r="BR602" s="697"/>
      <c r="BS602" s="697"/>
      <c r="BT602" s="697"/>
      <c r="BU602" s="697"/>
      <c r="BV602" s="697"/>
      <c r="BW602" s="697"/>
      <c r="BX602" s="697"/>
      <c r="BY602" s="697"/>
      <c r="BZ602" s="697"/>
      <c r="CA602" s="697"/>
      <c r="CB602" s="697"/>
      <c r="CC602" s="697"/>
      <c r="CD602" s="697"/>
      <c r="CE602" s="697"/>
      <c r="CF602" s="697"/>
      <c r="CG602" s="697"/>
      <c r="CH602" s="697"/>
      <c r="CI602" s="697"/>
      <c r="CJ602" s="697"/>
      <c r="CK602" s="697"/>
      <c r="CL602" s="697"/>
      <c r="CM602" s="697"/>
      <c r="CN602" s="697"/>
      <c r="CO602" s="697"/>
      <c r="CP602" s="697"/>
      <c r="CQ602" s="697"/>
      <c r="CR602" s="697"/>
      <c r="CS602" s="697"/>
      <c r="CT602" s="697"/>
      <c r="CU602" s="697"/>
      <c r="CV602" s="697"/>
      <c r="CW602" s="697"/>
      <c r="CX602" s="697"/>
      <c r="CY602" s="697"/>
      <c r="CZ602" s="697"/>
      <c r="DA602" s="697"/>
      <c r="DB602" s="697"/>
    </row>
    <row r="603" spans="1:106" hidden="1" outlineLevel="1" x14ac:dyDescent="0.2">
      <c r="A603" s="709">
        <f t="shared" si="113"/>
        <v>40695</v>
      </c>
      <c r="B603" s="709" t="str">
        <f t="shared" si="114"/>
        <v>2Q11</v>
      </c>
      <c r="C603" s="709" t="str">
        <f t="shared" si="115"/>
        <v>3Q11</v>
      </c>
      <c r="D603" s="710">
        <f t="shared" si="119"/>
        <v>40771</v>
      </c>
      <c r="E603" s="710">
        <f t="shared" si="119"/>
        <v>40711</v>
      </c>
      <c r="F603" s="712">
        <v>95.87</v>
      </c>
      <c r="G603" s="713">
        <f t="shared" si="116"/>
        <v>1.4900000000000011</v>
      </c>
      <c r="H603" s="713">
        <f t="shared" si="117"/>
        <v>1.4900000000000011</v>
      </c>
      <c r="I603" s="697"/>
      <c r="J603" s="697"/>
      <c r="K603" s="697"/>
      <c r="L603" s="697"/>
      <c r="M603" s="697"/>
      <c r="N603" s="697"/>
      <c r="O603" s="697"/>
      <c r="P603" s="697"/>
      <c r="Q603" s="697"/>
      <c r="R603" s="697"/>
      <c r="S603" s="697"/>
      <c r="T603" s="697"/>
      <c r="U603" s="697"/>
      <c r="V603" s="697"/>
      <c r="W603" s="697"/>
      <c r="X603" s="697"/>
      <c r="Y603" s="697"/>
      <c r="Z603" s="697"/>
      <c r="AA603" s="697"/>
      <c r="AB603" s="697"/>
      <c r="AC603" s="697"/>
      <c r="AD603" s="697"/>
      <c r="AE603" s="697"/>
      <c r="AF603" s="697"/>
      <c r="AG603" s="697"/>
      <c r="AH603" s="697"/>
      <c r="AI603" s="697"/>
      <c r="AJ603" s="697"/>
      <c r="AK603" s="697"/>
      <c r="AL603" s="697"/>
      <c r="AM603" s="697"/>
      <c r="AN603" s="697"/>
      <c r="AO603" s="697"/>
      <c r="AP603" s="697"/>
      <c r="AQ603" s="697"/>
      <c r="AR603" s="697"/>
      <c r="AS603" s="697"/>
      <c r="AT603" s="697"/>
      <c r="AU603" s="697"/>
      <c r="AV603" s="697"/>
      <c r="AW603" s="697"/>
      <c r="AX603" s="697"/>
      <c r="AY603" s="697"/>
      <c r="AZ603" s="697"/>
      <c r="BA603" s="697"/>
      <c r="BB603" s="697"/>
      <c r="BC603" s="697"/>
      <c r="BD603" s="697"/>
      <c r="BE603" s="697"/>
      <c r="BF603" s="697"/>
      <c r="BG603" s="697"/>
      <c r="BH603" s="697"/>
      <c r="BI603" s="697"/>
      <c r="BJ603" s="697"/>
      <c r="BK603" s="697"/>
      <c r="BL603" s="697"/>
      <c r="BM603" s="697"/>
      <c r="BN603" s="697"/>
      <c r="BO603" s="697"/>
      <c r="BP603" s="697"/>
      <c r="BQ603" s="697"/>
      <c r="BR603" s="697"/>
      <c r="BS603" s="697"/>
      <c r="BT603" s="697"/>
      <c r="BU603" s="697"/>
      <c r="BV603" s="697"/>
      <c r="BW603" s="697"/>
      <c r="BX603" s="697"/>
      <c r="BY603" s="697"/>
      <c r="BZ603" s="697"/>
      <c r="CA603" s="697"/>
      <c r="CB603" s="697"/>
      <c r="CC603" s="697"/>
      <c r="CD603" s="697"/>
      <c r="CE603" s="697"/>
      <c r="CF603" s="697"/>
      <c r="CG603" s="697"/>
      <c r="CH603" s="697"/>
      <c r="CI603" s="697"/>
      <c r="CJ603" s="697"/>
      <c r="CK603" s="697"/>
      <c r="CL603" s="697"/>
      <c r="CM603" s="697"/>
      <c r="CN603" s="697"/>
      <c r="CO603" s="697"/>
      <c r="CP603" s="697"/>
      <c r="CQ603" s="697"/>
      <c r="CR603" s="697"/>
      <c r="CS603" s="697"/>
      <c r="CT603" s="697"/>
      <c r="CU603" s="697"/>
      <c r="CV603" s="697"/>
      <c r="CW603" s="697"/>
      <c r="CX603" s="697"/>
      <c r="CY603" s="697"/>
      <c r="CZ603" s="697"/>
      <c r="DA603" s="697"/>
      <c r="DB603" s="697"/>
    </row>
    <row r="604" spans="1:106" hidden="1" outlineLevel="1" x14ac:dyDescent="0.2">
      <c r="A604" s="709">
        <f t="shared" si="113"/>
        <v>40695</v>
      </c>
      <c r="B604" s="709" t="str">
        <f t="shared" si="114"/>
        <v>2Q11</v>
      </c>
      <c r="C604" s="709" t="str">
        <f t="shared" si="115"/>
        <v>3Q11</v>
      </c>
      <c r="D604" s="710">
        <f t="shared" si="119"/>
        <v>40778</v>
      </c>
      <c r="E604" s="710">
        <f t="shared" si="119"/>
        <v>40718</v>
      </c>
      <c r="F604" s="712">
        <v>92.7</v>
      </c>
      <c r="G604" s="713">
        <f t="shared" si="116"/>
        <v>1.4900000000000011</v>
      </c>
      <c r="H604" s="713">
        <f t="shared" si="117"/>
        <v>1.4900000000000011</v>
      </c>
      <c r="I604" s="697"/>
      <c r="J604" s="697"/>
      <c r="K604" s="697"/>
      <c r="L604" s="697"/>
      <c r="M604" s="697"/>
      <c r="N604" s="697"/>
      <c r="O604" s="697"/>
      <c r="P604" s="697"/>
      <c r="Q604" s="697"/>
      <c r="R604" s="697"/>
      <c r="S604" s="697"/>
      <c r="T604" s="697"/>
      <c r="U604" s="697"/>
      <c r="V604" s="697"/>
      <c r="W604" s="697"/>
      <c r="X604" s="697"/>
      <c r="Y604" s="697"/>
      <c r="Z604" s="697"/>
      <c r="AA604" s="697"/>
      <c r="AB604" s="697"/>
      <c r="AC604" s="697"/>
      <c r="AD604" s="697"/>
      <c r="AE604" s="697"/>
      <c r="AF604" s="697"/>
      <c r="AG604" s="697"/>
      <c r="AH604" s="697"/>
      <c r="AI604" s="697"/>
      <c r="AJ604" s="697"/>
      <c r="AK604" s="697"/>
      <c r="AL604" s="697"/>
      <c r="AM604" s="697"/>
      <c r="AN604" s="697"/>
      <c r="AO604" s="697"/>
      <c r="AP604" s="697"/>
      <c r="AQ604" s="697"/>
      <c r="AR604" s="697"/>
      <c r="AS604" s="697"/>
      <c r="AT604" s="697"/>
      <c r="AU604" s="697"/>
      <c r="AV604" s="697"/>
      <c r="AW604" s="697"/>
      <c r="AX604" s="697"/>
      <c r="AY604" s="697"/>
      <c r="AZ604" s="697"/>
      <c r="BA604" s="697"/>
      <c r="BB604" s="697"/>
      <c r="BC604" s="697"/>
      <c r="BD604" s="697"/>
      <c r="BE604" s="697"/>
      <c r="BF604" s="697"/>
      <c r="BG604" s="697"/>
      <c r="BH604" s="697"/>
      <c r="BI604" s="697"/>
      <c r="BJ604" s="697"/>
      <c r="BK604" s="697"/>
      <c r="BL604" s="697"/>
      <c r="BM604" s="697"/>
      <c r="BN604" s="697"/>
      <c r="BO604" s="697"/>
      <c r="BP604" s="697"/>
      <c r="BQ604" s="697"/>
      <c r="BR604" s="697"/>
      <c r="BS604" s="697"/>
      <c r="BT604" s="697"/>
      <c r="BU604" s="697"/>
      <c r="BV604" s="697"/>
      <c r="BW604" s="697"/>
      <c r="BX604" s="697"/>
      <c r="BY604" s="697"/>
      <c r="BZ604" s="697"/>
      <c r="CA604" s="697"/>
      <c r="CB604" s="697"/>
      <c r="CC604" s="697"/>
      <c r="CD604" s="697"/>
      <c r="CE604" s="697"/>
      <c r="CF604" s="697"/>
      <c r="CG604" s="697"/>
      <c r="CH604" s="697"/>
      <c r="CI604" s="697"/>
      <c r="CJ604" s="697"/>
      <c r="CK604" s="697"/>
      <c r="CL604" s="697"/>
      <c r="CM604" s="697"/>
      <c r="CN604" s="697"/>
      <c r="CO604" s="697"/>
      <c r="CP604" s="697"/>
      <c r="CQ604" s="697"/>
      <c r="CR604" s="697"/>
      <c r="CS604" s="697"/>
      <c r="CT604" s="697"/>
      <c r="CU604" s="697"/>
      <c r="CV604" s="697"/>
      <c r="CW604" s="697"/>
      <c r="CX604" s="697"/>
      <c r="CY604" s="697"/>
      <c r="CZ604" s="697"/>
      <c r="DA604" s="697"/>
      <c r="DB604" s="697"/>
    </row>
    <row r="605" spans="1:106" hidden="1" outlineLevel="1" x14ac:dyDescent="0.2">
      <c r="A605" s="709">
        <f t="shared" si="113"/>
        <v>40725</v>
      </c>
      <c r="B605" s="709" t="str">
        <f t="shared" si="114"/>
        <v>3Q11</v>
      </c>
      <c r="C605" s="709" t="str">
        <f t="shared" si="115"/>
        <v>3Q11</v>
      </c>
      <c r="D605" s="710">
        <f t="shared" si="119"/>
        <v>40785</v>
      </c>
      <c r="E605" s="710">
        <f t="shared" si="119"/>
        <v>40725</v>
      </c>
      <c r="F605" s="712">
        <v>93.7</v>
      </c>
      <c r="G605" s="713">
        <f t="shared" si="116"/>
        <v>1.4900000000000011</v>
      </c>
      <c r="H605" s="713">
        <f t="shared" si="117"/>
        <v>1.4900000000000011</v>
      </c>
      <c r="I605" s="697"/>
      <c r="J605" s="697"/>
      <c r="K605" s="697"/>
      <c r="L605" s="697"/>
      <c r="M605" s="697"/>
      <c r="N605" s="697"/>
      <c r="O605" s="697"/>
      <c r="P605" s="697"/>
      <c r="Q605" s="697"/>
      <c r="R605" s="697"/>
      <c r="S605" s="697"/>
      <c r="T605" s="697"/>
      <c r="U605" s="697"/>
      <c r="V605" s="697"/>
      <c r="W605" s="697"/>
      <c r="X605" s="697"/>
      <c r="Y605" s="697"/>
      <c r="Z605" s="697"/>
      <c r="AA605" s="697"/>
      <c r="AB605" s="697"/>
      <c r="AC605" s="697"/>
      <c r="AD605" s="697"/>
      <c r="AE605" s="697"/>
      <c r="AF605" s="697"/>
      <c r="AG605" s="697"/>
      <c r="AH605" s="697"/>
      <c r="AI605" s="697"/>
      <c r="AJ605" s="697"/>
      <c r="AK605" s="697"/>
      <c r="AL605" s="697"/>
      <c r="AM605" s="697"/>
      <c r="AN605" s="697"/>
      <c r="AO605" s="697"/>
      <c r="AP605" s="697"/>
      <c r="AQ605" s="697"/>
      <c r="AR605" s="697"/>
      <c r="AS605" s="697"/>
      <c r="AT605" s="697"/>
      <c r="AU605" s="697"/>
      <c r="AV605" s="697"/>
      <c r="AW605" s="697"/>
      <c r="AX605" s="697"/>
      <c r="AY605" s="697"/>
      <c r="AZ605" s="697"/>
      <c r="BA605" s="697"/>
      <c r="BB605" s="697"/>
      <c r="BC605" s="697"/>
      <c r="BD605" s="697"/>
      <c r="BE605" s="697"/>
      <c r="BF605" s="697"/>
      <c r="BG605" s="697"/>
      <c r="BH605" s="697"/>
      <c r="BI605" s="697"/>
      <c r="BJ605" s="697"/>
      <c r="BK605" s="697"/>
      <c r="BL605" s="697"/>
      <c r="BM605" s="697"/>
      <c r="BN605" s="697"/>
      <c r="BO605" s="697"/>
      <c r="BP605" s="697"/>
      <c r="BQ605" s="697"/>
      <c r="BR605" s="697"/>
      <c r="BS605" s="697"/>
      <c r="BT605" s="697"/>
      <c r="BU605" s="697"/>
      <c r="BV605" s="697"/>
      <c r="BW605" s="697"/>
      <c r="BX605" s="697"/>
      <c r="BY605" s="697"/>
      <c r="BZ605" s="697"/>
      <c r="CA605" s="697"/>
      <c r="CB605" s="697"/>
      <c r="CC605" s="697"/>
      <c r="CD605" s="697"/>
      <c r="CE605" s="697"/>
      <c r="CF605" s="697"/>
      <c r="CG605" s="697"/>
      <c r="CH605" s="697"/>
      <c r="CI605" s="697"/>
      <c r="CJ605" s="697"/>
      <c r="CK605" s="697"/>
      <c r="CL605" s="697"/>
      <c r="CM605" s="697"/>
      <c r="CN605" s="697"/>
      <c r="CO605" s="697"/>
      <c r="CP605" s="697"/>
      <c r="CQ605" s="697"/>
      <c r="CR605" s="697"/>
      <c r="CS605" s="697"/>
      <c r="CT605" s="697"/>
      <c r="CU605" s="697"/>
      <c r="CV605" s="697"/>
      <c r="CW605" s="697"/>
      <c r="CX605" s="697"/>
      <c r="CY605" s="697"/>
      <c r="CZ605" s="697"/>
      <c r="DA605" s="697"/>
      <c r="DB605" s="697"/>
    </row>
    <row r="606" spans="1:106" hidden="1" outlineLevel="1" x14ac:dyDescent="0.2">
      <c r="A606" s="709">
        <f t="shared" si="113"/>
        <v>40725</v>
      </c>
      <c r="B606" s="709" t="str">
        <f t="shared" si="114"/>
        <v>3Q11</v>
      </c>
      <c r="C606" s="709" t="str">
        <f t="shared" si="115"/>
        <v>3Q11</v>
      </c>
      <c r="D606" s="710">
        <f t="shared" si="119"/>
        <v>40792</v>
      </c>
      <c r="E606" s="710">
        <f t="shared" si="119"/>
        <v>40732</v>
      </c>
      <c r="F606" s="712">
        <v>97.12</v>
      </c>
      <c r="G606" s="713">
        <f t="shared" si="116"/>
        <v>1.4900000000000011</v>
      </c>
      <c r="H606" s="713">
        <f t="shared" si="117"/>
        <v>1.4900000000000011</v>
      </c>
      <c r="I606" s="697"/>
      <c r="J606" s="697"/>
      <c r="K606" s="697"/>
      <c r="L606" s="697"/>
      <c r="M606" s="697"/>
      <c r="N606" s="697"/>
      <c r="O606" s="697"/>
      <c r="P606" s="697"/>
      <c r="Q606" s="697"/>
      <c r="R606" s="697"/>
      <c r="S606" s="697"/>
      <c r="T606" s="697"/>
      <c r="U606" s="697"/>
      <c r="V606" s="697"/>
      <c r="W606" s="697"/>
      <c r="X606" s="697"/>
      <c r="Y606" s="697"/>
      <c r="Z606" s="697"/>
      <c r="AA606" s="697"/>
      <c r="AB606" s="697"/>
      <c r="AC606" s="697"/>
      <c r="AD606" s="697"/>
      <c r="AE606" s="697"/>
      <c r="AF606" s="697"/>
      <c r="AG606" s="697"/>
      <c r="AH606" s="697"/>
      <c r="AI606" s="697"/>
      <c r="AJ606" s="697"/>
      <c r="AK606" s="697"/>
      <c r="AL606" s="697"/>
      <c r="AM606" s="697"/>
      <c r="AN606" s="697"/>
      <c r="AO606" s="697"/>
      <c r="AP606" s="697"/>
      <c r="AQ606" s="697"/>
      <c r="AR606" s="697"/>
      <c r="AS606" s="697"/>
      <c r="AT606" s="697"/>
      <c r="AU606" s="697"/>
      <c r="AV606" s="697"/>
      <c r="AW606" s="697"/>
      <c r="AX606" s="697"/>
      <c r="AY606" s="697"/>
      <c r="AZ606" s="697"/>
      <c r="BA606" s="697"/>
      <c r="BB606" s="697"/>
      <c r="BC606" s="697"/>
      <c r="BD606" s="697"/>
      <c r="BE606" s="697"/>
      <c r="BF606" s="697"/>
      <c r="BG606" s="697"/>
      <c r="BH606" s="697"/>
      <c r="BI606" s="697"/>
      <c r="BJ606" s="697"/>
      <c r="BK606" s="697"/>
      <c r="BL606" s="697"/>
      <c r="BM606" s="697"/>
      <c r="BN606" s="697"/>
      <c r="BO606" s="697"/>
      <c r="BP606" s="697"/>
      <c r="BQ606" s="697"/>
      <c r="BR606" s="697"/>
      <c r="BS606" s="697"/>
      <c r="BT606" s="697"/>
      <c r="BU606" s="697"/>
      <c r="BV606" s="697"/>
      <c r="BW606" s="697"/>
      <c r="BX606" s="697"/>
      <c r="BY606" s="697"/>
      <c r="BZ606" s="697"/>
      <c r="CA606" s="697"/>
      <c r="CB606" s="697"/>
      <c r="CC606" s="697"/>
      <c r="CD606" s="697"/>
      <c r="CE606" s="697"/>
      <c r="CF606" s="697"/>
      <c r="CG606" s="697"/>
      <c r="CH606" s="697"/>
      <c r="CI606" s="697"/>
      <c r="CJ606" s="697"/>
      <c r="CK606" s="697"/>
      <c r="CL606" s="697"/>
      <c r="CM606" s="697"/>
      <c r="CN606" s="697"/>
      <c r="CO606" s="697"/>
      <c r="CP606" s="697"/>
      <c r="CQ606" s="697"/>
      <c r="CR606" s="697"/>
      <c r="CS606" s="697"/>
      <c r="CT606" s="697"/>
      <c r="CU606" s="697"/>
      <c r="CV606" s="697"/>
      <c r="CW606" s="697"/>
      <c r="CX606" s="697"/>
      <c r="CY606" s="697"/>
      <c r="CZ606" s="697"/>
      <c r="DA606" s="697"/>
      <c r="DB606" s="697"/>
    </row>
    <row r="607" spans="1:106" hidden="1" outlineLevel="1" x14ac:dyDescent="0.2">
      <c r="A607" s="709">
        <f t="shared" si="113"/>
        <v>40725</v>
      </c>
      <c r="B607" s="709" t="str">
        <f t="shared" si="114"/>
        <v>3Q11</v>
      </c>
      <c r="C607" s="709" t="str">
        <f t="shared" si="115"/>
        <v>3Q11</v>
      </c>
      <c r="D607" s="710">
        <f t="shared" si="119"/>
        <v>40799</v>
      </c>
      <c r="E607" s="710">
        <f t="shared" si="119"/>
        <v>40739</v>
      </c>
      <c r="F607" s="712">
        <v>96.72</v>
      </c>
      <c r="G607" s="713">
        <f t="shared" si="116"/>
        <v>1.4900000000000011</v>
      </c>
      <c r="H607" s="713">
        <f t="shared" si="117"/>
        <v>1.4900000000000011</v>
      </c>
      <c r="I607" s="697"/>
      <c r="J607" s="697"/>
      <c r="K607" s="697"/>
      <c r="L607" s="697"/>
      <c r="M607" s="697"/>
      <c r="N607" s="697"/>
      <c r="O607" s="697"/>
      <c r="P607" s="697"/>
      <c r="Q607" s="697"/>
      <c r="R607" s="697"/>
      <c r="S607" s="697"/>
      <c r="T607" s="697"/>
      <c r="U607" s="697"/>
      <c r="V607" s="697"/>
      <c r="W607" s="697"/>
      <c r="X607" s="697"/>
      <c r="Y607" s="697"/>
      <c r="Z607" s="697"/>
      <c r="AA607" s="697"/>
      <c r="AB607" s="697"/>
      <c r="AC607" s="697"/>
      <c r="AD607" s="697"/>
      <c r="AE607" s="697"/>
      <c r="AF607" s="697"/>
      <c r="AG607" s="697"/>
      <c r="AH607" s="697"/>
      <c r="AI607" s="697"/>
      <c r="AJ607" s="697"/>
      <c r="AK607" s="697"/>
      <c r="AL607" s="697"/>
      <c r="AM607" s="697"/>
      <c r="AN607" s="697"/>
      <c r="AO607" s="697"/>
      <c r="AP607" s="697"/>
      <c r="AQ607" s="697"/>
      <c r="AR607" s="697"/>
      <c r="AS607" s="697"/>
      <c r="AT607" s="697"/>
      <c r="AU607" s="697"/>
      <c r="AV607" s="697"/>
      <c r="AW607" s="697"/>
      <c r="AX607" s="697"/>
      <c r="AY607" s="697"/>
      <c r="AZ607" s="697"/>
      <c r="BA607" s="697"/>
      <c r="BB607" s="697"/>
      <c r="BC607" s="697"/>
      <c r="BD607" s="697"/>
      <c r="BE607" s="697"/>
      <c r="BF607" s="697"/>
      <c r="BG607" s="697"/>
      <c r="BH607" s="697"/>
      <c r="BI607" s="697"/>
      <c r="BJ607" s="697"/>
      <c r="BK607" s="697"/>
      <c r="BL607" s="697"/>
      <c r="BM607" s="697"/>
      <c r="BN607" s="697"/>
      <c r="BO607" s="697"/>
      <c r="BP607" s="697"/>
      <c r="BQ607" s="697"/>
      <c r="BR607" s="697"/>
      <c r="BS607" s="697"/>
      <c r="BT607" s="697"/>
      <c r="BU607" s="697"/>
      <c r="BV607" s="697"/>
      <c r="BW607" s="697"/>
      <c r="BX607" s="697"/>
      <c r="BY607" s="697"/>
      <c r="BZ607" s="697"/>
      <c r="CA607" s="697"/>
      <c r="CB607" s="697"/>
      <c r="CC607" s="697"/>
      <c r="CD607" s="697"/>
      <c r="CE607" s="697"/>
      <c r="CF607" s="697"/>
      <c r="CG607" s="697"/>
      <c r="CH607" s="697"/>
      <c r="CI607" s="697"/>
      <c r="CJ607" s="697"/>
      <c r="CK607" s="697"/>
      <c r="CL607" s="697"/>
      <c r="CM607" s="697"/>
      <c r="CN607" s="697"/>
      <c r="CO607" s="697"/>
      <c r="CP607" s="697"/>
      <c r="CQ607" s="697"/>
      <c r="CR607" s="697"/>
      <c r="CS607" s="697"/>
      <c r="CT607" s="697"/>
      <c r="CU607" s="697"/>
      <c r="CV607" s="697"/>
      <c r="CW607" s="697"/>
      <c r="CX607" s="697"/>
      <c r="CY607" s="697"/>
      <c r="CZ607" s="697"/>
      <c r="DA607" s="697"/>
      <c r="DB607" s="697"/>
    </row>
    <row r="608" spans="1:106" hidden="1" outlineLevel="1" x14ac:dyDescent="0.2">
      <c r="A608" s="709">
        <f t="shared" si="113"/>
        <v>40725</v>
      </c>
      <c r="B608" s="709" t="str">
        <f t="shared" si="114"/>
        <v>3Q11</v>
      </c>
      <c r="C608" s="709" t="str">
        <f t="shared" si="115"/>
        <v>3Q11</v>
      </c>
      <c r="D608" s="710">
        <f t="shared" si="119"/>
        <v>40806</v>
      </c>
      <c r="E608" s="710">
        <f t="shared" si="119"/>
        <v>40746</v>
      </c>
      <c r="F608" s="712">
        <v>98.01</v>
      </c>
      <c r="G608" s="713">
        <f t="shared" si="116"/>
        <v>1.4900000000000011</v>
      </c>
      <c r="H608" s="713">
        <f t="shared" si="117"/>
        <v>1.4900000000000011</v>
      </c>
      <c r="I608" s="697"/>
      <c r="J608" s="697"/>
      <c r="K608" s="697"/>
      <c r="L608" s="697"/>
      <c r="M608" s="697"/>
      <c r="N608" s="697"/>
      <c r="O608" s="697"/>
      <c r="P608" s="697"/>
      <c r="Q608" s="697"/>
      <c r="R608" s="697"/>
      <c r="S608" s="697"/>
      <c r="T608" s="697"/>
      <c r="U608" s="697"/>
      <c r="V608" s="697"/>
      <c r="W608" s="697"/>
      <c r="X608" s="697"/>
      <c r="Y608" s="697"/>
      <c r="Z608" s="697"/>
      <c r="AA608" s="697"/>
      <c r="AB608" s="697"/>
      <c r="AC608" s="697"/>
      <c r="AD608" s="697"/>
      <c r="AE608" s="697"/>
      <c r="AF608" s="697"/>
      <c r="AG608" s="697"/>
      <c r="AH608" s="697"/>
      <c r="AI608" s="697"/>
      <c r="AJ608" s="697"/>
      <c r="AK608" s="697"/>
      <c r="AL608" s="697"/>
      <c r="AM608" s="697"/>
      <c r="AN608" s="697"/>
      <c r="AO608" s="697"/>
      <c r="AP608" s="697"/>
      <c r="AQ608" s="697"/>
      <c r="AR608" s="697"/>
      <c r="AS608" s="697"/>
      <c r="AT608" s="697"/>
      <c r="AU608" s="697"/>
      <c r="AV608" s="697"/>
      <c r="AW608" s="697"/>
      <c r="AX608" s="697"/>
      <c r="AY608" s="697"/>
      <c r="AZ608" s="697"/>
      <c r="BA608" s="697"/>
      <c r="BB608" s="697"/>
      <c r="BC608" s="697"/>
      <c r="BD608" s="697"/>
      <c r="BE608" s="697"/>
      <c r="BF608" s="697"/>
      <c r="BG608" s="697"/>
      <c r="BH608" s="697"/>
      <c r="BI608" s="697"/>
      <c r="BJ608" s="697"/>
      <c r="BK608" s="697"/>
      <c r="BL608" s="697"/>
      <c r="BM608" s="697"/>
      <c r="BN608" s="697"/>
      <c r="BO608" s="697"/>
      <c r="BP608" s="697"/>
      <c r="BQ608" s="697"/>
      <c r="BR608" s="697"/>
      <c r="BS608" s="697"/>
      <c r="BT608" s="697"/>
      <c r="BU608" s="697"/>
      <c r="BV608" s="697"/>
      <c r="BW608" s="697"/>
      <c r="BX608" s="697"/>
      <c r="BY608" s="697"/>
      <c r="BZ608" s="697"/>
      <c r="CA608" s="697"/>
      <c r="CB608" s="697"/>
      <c r="CC608" s="697"/>
      <c r="CD608" s="697"/>
      <c r="CE608" s="697"/>
      <c r="CF608" s="697"/>
      <c r="CG608" s="697"/>
      <c r="CH608" s="697"/>
      <c r="CI608" s="697"/>
      <c r="CJ608" s="697"/>
      <c r="CK608" s="697"/>
      <c r="CL608" s="697"/>
      <c r="CM608" s="697"/>
      <c r="CN608" s="697"/>
      <c r="CO608" s="697"/>
      <c r="CP608" s="697"/>
      <c r="CQ608" s="697"/>
      <c r="CR608" s="697"/>
      <c r="CS608" s="697"/>
      <c r="CT608" s="697"/>
      <c r="CU608" s="697"/>
      <c r="CV608" s="697"/>
      <c r="CW608" s="697"/>
      <c r="CX608" s="697"/>
      <c r="CY608" s="697"/>
      <c r="CZ608" s="697"/>
      <c r="DA608" s="697"/>
      <c r="DB608" s="697"/>
    </row>
    <row r="609" spans="1:106" hidden="1" outlineLevel="1" x14ac:dyDescent="0.2">
      <c r="A609" s="709">
        <f t="shared" si="113"/>
        <v>40725</v>
      </c>
      <c r="B609" s="709" t="str">
        <f t="shared" si="114"/>
        <v>3Q11</v>
      </c>
      <c r="C609" s="709" t="str">
        <f t="shared" si="115"/>
        <v>3Q11</v>
      </c>
      <c r="D609" s="710">
        <f t="shared" si="119"/>
        <v>40813</v>
      </c>
      <c r="E609" s="710">
        <f t="shared" si="119"/>
        <v>40753</v>
      </c>
      <c r="F609" s="712">
        <v>97.83</v>
      </c>
      <c r="G609" s="713">
        <f t="shared" si="116"/>
        <v>1.4900000000000011</v>
      </c>
      <c r="H609" s="713">
        <f t="shared" si="117"/>
        <v>1.4900000000000011</v>
      </c>
      <c r="I609" s="697"/>
      <c r="J609" s="697"/>
      <c r="K609" s="697"/>
      <c r="L609" s="697"/>
      <c r="M609" s="697"/>
      <c r="N609" s="697"/>
      <c r="O609" s="697"/>
      <c r="P609" s="697"/>
      <c r="Q609" s="697"/>
      <c r="R609" s="697"/>
      <c r="S609" s="697"/>
      <c r="T609" s="697"/>
      <c r="U609" s="697"/>
      <c r="V609" s="697"/>
      <c r="W609" s="697"/>
      <c r="X609" s="697"/>
      <c r="Y609" s="697"/>
      <c r="Z609" s="697"/>
      <c r="AA609" s="697"/>
      <c r="AB609" s="697"/>
      <c r="AC609" s="697"/>
      <c r="AD609" s="697"/>
      <c r="AE609" s="697"/>
      <c r="AF609" s="697"/>
      <c r="AG609" s="697"/>
      <c r="AH609" s="697"/>
      <c r="AI609" s="697"/>
      <c r="AJ609" s="697"/>
      <c r="AK609" s="697"/>
      <c r="AL609" s="697"/>
      <c r="AM609" s="697"/>
      <c r="AN609" s="697"/>
      <c r="AO609" s="697"/>
      <c r="AP609" s="697"/>
      <c r="AQ609" s="697"/>
      <c r="AR609" s="697"/>
      <c r="AS609" s="697"/>
      <c r="AT609" s="697"/>
      <c r="AU609" s="697"/>
      <c r="AV609" s="697"/>
      <c r="AW609" s="697"/>
      <c r="AX609" s="697"/>
      <c r="AY609" s="697"/>
      <c r="AZ609" s="697"/>
      <c r="BA609" s="697"/>
      <c r="BB609" s="697"/>
      <c r="BC609" s="697"/>
      <c r="BD609" s="697"/>
      <c r="BE609" s="697"/>
      <c r="BF609" s="697"/>
      <c r="BG609" s="697"/>
      <c r="BH609" s="697"/>
      <c r="BI609" s="697"/>
      <c r="BJ609" s="697"/>
      <c r="BK609" s="697"/>
      <c r="BL609" s="697"/>
      <c r="BM609" s="697"/>
      <c r="BN609" s="697"/>
      <c r="BO609" s="697"/>
      <c r="BP609" s="697"/>
      <c r="BQ609" s="697"/>
      <c r="BR609" s="697"/>
      <c r="BS609" s="697"/>
      <c r="BT609" s="697"/>
      <c r="BU609" s="697"/>
      <c r="BV609" s="697"/>
      <c r="BW609" s="697"/>
      <c r="BX609" s="697"/>
      <c r="BY609" s="697"/>
      <c r="BZ609" s="697"/>
      <c r="CA609" s="697"/>
      <c r="CB609" s="697"/>
      <c r="CC609" s="697"/>
      <c r="CD609" s="697"/>
      <c r="CE609" s="697"/>
      <c r="CF609" s="697"/>
      <c r="CG609" s="697"/>
      <c r="CH609" s="697"/>
      <c r="CI609" s="697"/>
      <c r="CJ609" s="697"/>
      <c r="CK609" s="697"/>
      <c r="CL609" s="697"/>
      <c r="CM609" s="697"/>
      <c r="CN609" s="697"/>
      <c r="CO609" s="697"/>
      <c r="CP609" s="697"/>
      <c r="CQ609" s="697"/>
      <c r="CR609" s="697"/>
      <c r="CS609" s="697"/>
      <c r="CT609" s="697"/>
      <c r="CU609" s="697"/>
      <c r="CV609" s="697"/>
      <c r="CW609" s="697"/>
      <c r="CX609" s="697"/>
      <c r="CY609" s="697"/>
      <c r="CZ609" s="697"/>
      <c r="DA609" s="697"/>
      <c r="DB609" s="697"/>
    </row>
    <row r="610" spans="1:106" hidden="1" outlineLevel="1" x14ac:dyDescent="0.2">
      <c r="A610" s="709">
        <f t="shared" si="113"/>
        <v>40756</v>
      </c>
      <c r="B610" s="709" t="str">
        <f t="shared" si="114"/>
        <v>3Q11</v>
      </c>
      <c r="C610" s="709" t="str">
        <f t="shared" si="115"/>
        <v>4Q11</v>
      </c>
      <c r="D610" s="710">
        <f t="shared" si="119"/>
        <v>40820</v>
      </c>
      <c r="E610" s="710">
        <f t="shared" si="119"/>
        <v>40760</v>
      </c>
      <c r="F610" s="712">
        <v>90.85</v>
      </c>
      <c r="G610" s="713">
        <f t="shared" si="116"/>
        <v>1.4900000000000011</v>
      </c>
      <c r="H610" s="713">
        <f t="shared" si="117"/>
        <v>1.4900000000000011</v>
      </c>
      <c r="I610" s="697"/>
      <c r="J610" s="697"/>
      <c r="K610" s="697"/>
      <c r="L610" s="697"/>
      <c r="M610" s="697"/>
      <c r="N610" s="697"/>
      <c r="O610" s="697"/>
      <c r="P610" s="697"/>
      <c r="Q610" s="697"/>
      <c r="R610" s="697"/>
      <c r="S610" s="697"/>
      <c r="T610" s="697"/>
      <c r="U610" s="697"/>
      <c r="V610" s="697"/>
      <c r="W610" s="697"/>
      <c r="X610" s="697"/>
      <c r="Y610" s="697"/>
      <c r="Z610" s="697"/>
      <c r="AA610" s="697"/>
      <c r="AB610" s="697"/>
      <c r="AC610" s="697"/>
      <c r="AD610" s="697"/>
      <c r="AE610" s="697"/>
      <c r="AF610" s="697"/>
      <c r="AG610" s="697"/>
      <c r="AH610" s="697"/>
      <c r="AI610" s="697"/>
      <c r="AJ610" s="697"/>
      <c r="AK610" s="697"/>
      <c r="AL610" s="697"/>
      <c r="AM610" s="697"/>
      <c r="AN610" s="697"/>
      <c r="AO610" s="697"/>
      <c r="AP610" s="697"/>
      <c r="AQ610" s="697"/>
      <c r="AR610" s="697"/>
      <c r="AS610" s="697"/>
      <c r="AT610" s="697"/>
      <c r="AU610" s="697"/>
      <c r="AV610" s="697"/>
      <c r="AW610" s="697"/>
      <c r="AX610" s="697"/>
      <c r="AY610" s="697"/>
      <c r="AZ610" s="697"/>
      <c r="BA610" s="697"/>
      <c r="BB610" s="697"/>
      <c r="BC610" s="697"/>
      <c r="BD610" s="697"/>
      <c r="BE610" s="697"/>
      <c r="BF610" s="697"/>
      <c r="BG610" s="697"/>
      <c r="BH610" s="697"/>
      <c r="BI610" s="697"/>
      <c r="BJ610" s="697"/>
      <c r="BK610" s="697"/>
      <c r="BL610" s="697"/>
      <c r="BM610" s="697"/>
      <c r="BN610" s="697"/>
      <c r="BO610" s="697"/>
      <c r="BP610" s="697"/>
      <c r="BQ610" s="697"/>
      <c r="BR610" s="697"/>
      <c r="BS610" s="697"/>
      <c r="BT610" s="697"/>
      <c r="BU610" s="697"/>
      <c r="BV610" s="697"/>
      <c r="BW610" s="697"/>
      <c r="BX610" s="697"/>
      <c r="BY610" s="697"/>
      <c r="BZ610" s="697"/>
      <c r="CA610" s="697"/>
      <c r="CB610" s="697"/>
      <c r="CC610" s="697"/>
      <c r="CD610" s="697"/>
      <c r="CE610" s="697"/>
      <c r="CF610" s="697"/>
      <c r="CG610" s="697"/>
      <c r="CH610" s="697"/>
      <c r="CI610" s="697"/>
      <c r="CJ610" s="697"/>
      <c r="CK610" s="697"/>
      <c r="CL610" s="697"/>
      <c r="CM610" s="697"/>
      <c r="CN610" s="697"/>
      <c r="CO610" s="697"/>
      <c r="CP610" s="697"/>
      <c r="CQ610" s="697"/>
      <c r="CR610" s="697"/>
      <c r="CS610" s="697"/>
      <c r="CT610" s="697"/>
      <c r="CU610" s="697"/>
      <c r="CV610" s="697"/>
      <c r="CW610" s="697"/>
      <c r="CX610" s="697"/>
      <c r="CY610" s="697"/>
      <c r="CZ610" s="697"/>
      <c r="DA610" s="697"/>
      <c r="DB610" s="697"/>
    </row>
    <row r="611" spans="1:106" hidden="1" outlineLevel="1" x14ac:dyDescent="0.2">
      <c r="A611" s="709">
        <f t="shared" si="113"/>
        <v>40756</v>
      </c>
      <c r="B611" s="709" t="str">
        <f t="shared" si="114"/>
        <v>3Q11</v>
      </c>
      <c r="C611" s="709" t="str">
        <f t="shared" si="115"/>
        <v>4Q11</v>
      </c>
      <c r="D611" s="710">
        <f t="shared" si="119"/>
        <v>40827</v>
      </c>
      <c r="E611" s="710">
        <f t="shared" si="119"/>
        <v>40767</v>
      </c>
      <c r="F611" s="712">
        <v>82.86</v>
      </c>
      <c r="G611" s="713">
        <f t="shared" si="116"/>
        <v>1.4900000000000011</v>
      </c>
      <c r="H611" s="713">
        <f t="shared" si="117"/>
        <v>1.4900000000000011</v>
      </c>
      <c r="I611" s="697"/>
      <c r="J611" s="697"/>
      <c r="K611" s="697"/>
      <c r="L611" s="697"/>
      <c r="M611" s="697"/>
      <c r="N611" s="697"/>
      <c r="O611" s="697"/>
      <c r="P611" s="697"/>
      <c r="Q611" s="697"/>
      <c r="R611" s="697"/>
      <c r="S611" s="697"/>
      <c r="T611" s="697"/>
      <c r="U611" s="697"/>
      <c r="V611" s="697"/>
      <c r="W611" s="697"/>
      <c r="X611" s="697"/>
      <c r="Y611" s="697"/>
      <c r="Z611" s="697"/>
      <c r="AA611" s="697"/>
      <c r="AB611" s="697"/>
      <c r="AC611" s="697"/>
      <c r="AD611" s="697"/>
      <c r="AE611" s="697"/>
      <c r="AF611" s="697"/>
      <c r="AG611" s="697"/>
      <c r="AH611" s="697"/>
      <c r="AI611" s="697"/>
      <c r="AJ611" s="697"/>
      <c r="AK611" s="697"/>
      <c r="AL611" s="697"/>
      <c r="AM611" s="697"/>
      <c r="AN611" s="697"/>
      <c r="AO611" s="697"/>
      <c r="AP611" s="697"/>
      <c r="AQ611" s="697"/>
      <c r="AR611" s="697"/>
      <c r="AS611" s="697"/>
      <c r="AT611" s="697"/>
      <c r="AU611" s="697"/>
      <c r="AV611" s="697"/>
      <c r="AW611" s="697"/>
      <c r="AX611" s="697"/>
      <c r="AY611" s="697"/>
      <c r="AZ611" s="697"/>
      <c r="BA611" s="697"/>
      <c r="BB611" s="697"/>
      <c r="BC611" s="697"/>
      <c r="BD611" s="697"/>
      <c r="BE611" s="697"/>
      <c r="BF611" s="697"/>
      <c r="BG611" s="697"/>
      <c r="BH611" s="697"/>
      <c r="BI611" s="697"/>
      <c r="BJ611" s="697"/>
      <c r="BK611" s="697"/>
      <c r="BL611" s="697"/>
      <c r="BM611" s="697"/>
      <c r="BN611" s="697"/>
      <c r="BO611" s="697"/>
      <c r="BP611" s="697"/>
      <c r="BQ611" s="697"/>
      <c r="BR611" s="697"/>
      <c r="BS611" s="697"/>
      <c r="BT611" s="697"/>
      <c r="BU611" s="697"/>
      <c r="BV611" s="697"/>
      <c r="BW611" s="697"/>
      <c r="BX611" s="697"/>
      <c r="BY611" s="697"/>
      <c r="BZ611" s="697"/>
      <c r="CA611" s="697"/>
      <c r="CB611" s="697"/>
      <c r="CC611" s="697"/>
      <c r="CD611" s="697"/>
      <c r="CE611" s="697"/>
      <c r="CF611" s="697"/>
      <c r="CG611" s="697"/>
      <c r="CH611" s="697"/>
      <c r="CI611" s="697"/>
      <c r="CJ611" s="697"/>
      <c r="CK611" s="697"/>
      <c r="CL611" s="697"/>
      <c r="CM611" s="697"/>
      <c r="CN611" s="697"/>
      <c r="CO611" s="697"/>
      <c r="CP611" s="697"/>
      <c r="CQ611" s="697"/>
      <c r="CR611" s="697"/>
      <c r="CS611" s="697"/>
      <c r="CT611" s="697"/>
      <c r="CU611" s="697"/>
      <c r="CV611" s="697"/>
      <c r="CW611" s="697"/>
      <c r="CX611" s="697"/>
      <c r="CY611" s="697"/>
      <c r="CZ611" s="697"/>
      <c r="DA611" s="697"/>
      <c r="DB611" s="697"/>
    </row>
    <row r="612" spans="1:106" hidden="1" outlineLevel="1" x14ac:dyDescent="0.2">
      <c r="A612" s="709">
        <f t="shared" si="113"/>
        <v>40756</v>
      </c>
      <c r="B612" s="709" t="str">
        <f t="shared" si="114"/>
        <v>3Q11</v>
      </c>
      <c r="C612" s="709" t="str">
        <f t="shared" si="115"/>
        <v>4Q11</v>
      </c>
      <c r="D612" s="710">
        <f t="shared" si="119"/>
        <v>40834</v>
      </c>
      <c r="E612" s="710">
        <f t="shared" si="119"/>
        <v>40774</v>
      </c>
      <c r="F612" s="712">
        <v>85.36</v>
      </c>
      <c r="G612" s="713">
        <f t="shared" si="116"/>
        <v>1.4900000000000011</v>
      </c>
      <c r="H612" s="713">
        <f t="shared" si="117"/>
        <v>1.4900000000000011</v>
      </c>
      <c r="I612" s="697"/>
      <c r="J612" s="697"/>
      <c r="K612" s="697"/>
      <c r="L612" s="697"/>
      <c r="M612" s="697"/>
      <c r="N612" s="697"/>
      <c r="O612" s="697"/>
      <c r="P612" s="697"/>
      <c r="Q612" s="697"/>
      <c r="R612" s="697"/>
      <c r="S612" s="697"/>
      <c r="T612" s="697"/>
      <c r="U612" s="697"/>
      <c r="V612" s="697"/>
      <c r="W612" s="697"/>
      <c r="X612" s="697"/>
      <c r="Y612" s="697"/>
      <c r="Z612" s="697"/>
      <c r="AA612" s="697"/>
      <c r="AB612" s="697"/>
      <c r="AC612" s="697"/>
      <c r="AD612" s="697"/>
      <c r="AE612" s="697"/>
      <c r="AF612" s="697"/>
      <c r="AG612" s="697"/>
      <c r="AH612" s="697"/>
      <c r="AI612" s="697"/>
      <c r="AJ612" s="697"/>
      <c r="AK612" s="697"/>
      <c r="AL612" s="697"/>
      <c r="AM612" s="697"/>
      <c r="AN612" s="697"/>
      <c r="AO612" s="697"/>
      <c r="AP612" s="697"/>
      <c r="AQ612" s="697"/>
      <c r="AR612" s="697"/>
      <c r="AS612" s="697"/>
      <c r="AT612" s="697"/>
      <c r="AU612" s="697"/>
      <c r="AV612" s="697"/>
      <c r="AW612" s="697"/>
      <c r="AX612" s="697"/>
      <c r="AY612" s="697"/>
      <c r="AZ612" s="697"/>
      <c r="BA612" s="697"/>
      <c r="BB612" s="697"/>
      <c r="BC612" s="697"/>
      <c r="BD612" s="697"/>
      <c r="BE612" s="697"/>
      <c r="BF612" s="697"/>
      <c r="BG612" s="697"/>
      <c r="BH612" s="697"/>
      <c r="BI612" s="697"/>
      <c r="BJ612" s="697"/>
      <c r="BK612" s="697"/>
      <c r="BL612" s="697"/>
      <c r="BM612" s="697"/>
      <c r="BN612" s="697"/>
      <c r="BO612" s="697"/>
      <c r="BP612" s="697"/>
      <c r="BQ612" s="697"/>
      <c r="BR612" s="697"/>
      <c r="BS612" s="697"/>
      <c r="BT612" s="697"/>
      <c r="BU612" s="697"/>
      <c r="BV612" s="697"/>
      <c r="BW612" s="697"/>
      <c r="BX612" s="697"/>
      <c r="BY612" s="697"/>
      <c r="BZ612" s="697"/>
      <c r="CA612" s="697"/>
      <c r="CB612" s="697"/>
      <c r="CC612" s="697"/>
      <c r="CD612" s="697"/>
      <c r="CE612" s="697"/>
      <c r="CF612" s="697"/>
      <c r="CG612" s="697"/>
      <c r="CH612" s="697"/>
      <c r="CI612" s="697"/>
      <c r="CJ612" s="697"/>
      <c r="CK612" s="697"/>
      <c r="CL612" s="697"/>
      <c r="CM612" s="697"/>
      <c r="CN612" s="697"/>
      <c r="CO612" s="697"/>
      <c r="CP612" s="697"/>
      <c r="CQ612" s="697"/>
      <c r="CR612" s="697"/>
      <c r="CS612" s="697"/>
      <c r="CT612" s="697"/>
      <c r="CU612" s="697"/>
      <c r="CV612" s="697"/>
      <c r="CW612" s="697"/>
      <c r="CX612" s="697"/>
      <c r="CY612" s="697"/>
      <c r="CZ612" s="697"/>
      <c r="DA612" s="697"/>
      <c r="DB612" s="697"/>
    </row>
    <row r="613" spans="1:106" hidden="1" outlineLevel="1" x14ac:dyDescent="0.2">
      <c r="A613" s="709">
        <f t="shared" si="113"/>
        <v>40756</v>
      </c>
      <c r="B613" s="709" t="str">
        <f t="shared" si="114"/>
        <v>3Q11</v>
      </c>
      <c r="C613" s="709" t="str">
        <f t="shared" si="115"/>
        <v>4Q11</v>
      </c>
      <c r="D613" s="710">
        <f t="shared" ref="D613:E628" si="120">D612+7</f>
        <v>40841</v>
      </c>
      <c r="E613" s="710">
        <f t="shared" si="120"/>
        <v>40781</v>
      </c>
      <c r="F613" s="712">
        <v>85.06</v>
      </c>
      <c r="G613" s="713">
        <f t="shared" si="116"/>
        <v>1.4900000000000011</v>
      </c>
      <c r="H613" s="713">
        <f t="shared" si="117"/>
        <v>1.4900000000000011</v>
      </c>
      <c r="I613" s="697"/>
      <c r="J613" s="697"/>
      <c r="K613" s="697"/>
      <c r="L613" s="697"/>
      <c r="M613" s="697"/>
      <c r="N613" s="697"/>
      <c r="O613" s="697"/>
      <c r="P613" s="697"/>
      <c r="Q613" s="697"/>
      <c r="R613" s="697"/>
      <c r="S613" s="697"/>
      <c r="T613" s="697"/>
      <c r="U613" s="697"/>
      <c r="V613" s="697"/>
      <c r="W613" s="697"/>
      <c r="X613" s="697"/>
      <c r="Y613" s="697"/>
      <c r="Z613" s="697"/>
      <c r="AA613" s="697"/>
      <c r="AB613" s="697"/>
      <c r="AC613" s="697"/>
      <c r="AD613" s="697"/>
      <c r="AE613" s="697"/>
      <c r="AF613" s="697"/>
      <c r="AG613" s="697"/>
      <c r="AH613" s="697"/>
      <c r="AI613" s="697"/>
      <c r="AJ613" s="697"/>
      <c r="AK613" s="697"/>
      <c r="AL613" s="697"/>
      <c r="AM613" s="697"/>
      <c r="AN613" s="697"/>
      <c r="AO613" s="697"/>
      <c r="AP613" s="697"/>
      <c r="AQ613" s="697"/>
      <c r="AR613" s="697"/>
      <c r="AS613" s="697"/>
      <c r="AT613" s="697"/>
      <c r="AU613" s="697"/>
      <c r="AV613" s="697"/>
      <c r="AW613" s="697"/>
      <c r="AX613" s="697"/>
      <c r="AY613" s="697"/>
      <c r="AZ613" s="697"/>
      <c r="BA613" s="697"/>
      <c r="BB613" s="697"/>
      <c r="BC613" s="697"/>
      <c r="BD613" s="697"/>
      <c r="BE613" s="697"/>
      <c r="BF613" s="697"/>
      <c r="BG613" s="697"/>
      <c r="BH613" s="697"/>
      <c r="BI613" s="697"/>
      <c r="BJ613" s="697"/>
      <c r="BK613" s="697"/>
      <c r="BL613" s="697"/>
      <c r="BM613" s="697"/>
      <c r="BN613" s="697"/>
      <c r="BO613" s="697"/>
      <c r="BP613" s="697"/>
      <c r="BQ613" s="697"/>
      <c r="BR613" s="697"/>
      <c r="BS613" s="697"/>
      <c r="BT613" s="697"/>
      <c r="BU613" s="697"/>
      <c r="BV613" s="697"/>
      <c r="BW613" s="697"/>
      <c r="BX613" s="697"/>
      <c r="BY613" s="697"/>
      <c r="BZ613" s="697"/>
      <c r="CA613" s="697"/>
      <c r="CB613" s="697"/>
      <c r="CC613" s="697"/>
      <c r="CD613" s="697"/>
      <c r="CE613" s="697"/>
      <c r="CF613" s="697"/>
      <c r="CG613" s="697"/>
      <c r="CH613" s="697"/>
      <c r="CI613" s="697"/>
      <c r="CJ613" s="697"/>
      <c r="CK613" s="697"/>
      <c r="CL613" s="697"/>
      <c r="CM613" s="697"/>
      <c r="CN613" s="697"/>
      <c r="CO613" s="697"/>
      <c r="CP613" s="697"/>
      <c r="CQ613" s="697"/>
      <c r="CR613" s="697"/>
      <c r="CS613" s="697"/>
      <c r="CT613" s="697"/>
      <c r="CU613" s="697"/>
      <c r="CV613" s="697"/>
      <c r="CW613" s="697"/>
      <c r="CX613" s="697"/>
      <c r="CY613" s="697"/>
      <c r="CZ613" s="697"/>
      <c r="DA613" s="697"/>
      <c r="DB613" s="697"/>
    </row>
    <row r="614" spans="1:106" hidden="1" outlineLevel="1" x14ac:dyDescent="0.2">
      <c r="A614" s="709">
        <f t="shared" si="113"/>
        <v>40787</v>
      </c>
      <c r="B614" s="709" t="str">
        <f t="shared" si="114"/>
        <v>3Q11</v>
      </c>
      <c r="C614" s="709" t="str">
        <f t="shared" si="115"/>
        <v>4Q11</v>
      </c>
      <c r="D614" s="710">
        <f t="shared" si="120"/>
        <v>40848</v>
      </c>
      <c r="E614" s="710">
        <f t="shared" si="120"/>
        <v>40788</v>
      </c>
      <c r="F614" s="712">
        <v>88.07</v>
      </c>
      <c r="G614" s="713">
        <f t="shared" si="116"/>
        <v>1.4900000000000011</v>
      </c>
      <c r="H614" s="713">
        <f t="shared" si="117"/>
        <v>1.4900000000000011</v>
      </c>
      <c r="I614" s="697"/>
      <c r="J614" s="697"/>
      <c r="K614" s="697"/>
      <c r="L614" s="697"/>
      <c r="M614" s="697"/>
      <c r="N614" s="697"/>
      <c r="O614" s="697"/>
      <c r="P614" s="697"/>
      <c r="Q614" s="697"/>
      <c r="R614" s="697"/>
      <c r="S614" s="697"/>
      <c r="T614" s="697"/>
      <c r="U614" s="697"/>
      <c r="V614" s="697"/>
      <c r="W614" s="697"/>
      <c r="X614" s="697"/>
      <c r="Y614" s="697"/>
      <c r="Z614" s="697"/>
      <c r="AA614" s="697"/>
      <c r="AB614" s="697"/>
      <c r="AC614" s="697"/>
      <c r="AD614" s="697"/>
      <c r="AE614" s="697"/>
      <c r="AF614" s="697"/>
      <c r="AG614" s="697"/>
      <c r="AH614" s="697"/>
      <c r="AI614" s="697"/>
      <c r="AJ614" s="697"/>
      <c r="AK614" s="697"/>
      <c r="AL614" s="697"/>
      <c r="AM614" s="697"/>
      <c r="AN614" s="697"/>
      <c r="AO614" s="697"/>
      <c r="AP614" s="697"/>
      <c r="AQ614" s="697"/>
      <c r="AR614" s="697"/>
      <c r="AS614" s="697"/>
      <c r="AT614" s="697"/>
      <c r="AU614" s="697"/>
      <c r="AV614" s="697"/>
      <c r="AW614" s="697"/>
      <c r="AX614" s="697"/>
      <c r="AY614" s="697"/>
      <c r="AZ614" s="697"/>
      <c r="BA614" s="697"/>
      <c r="BB614" s="697"/>
      <c r="BC614" s="697"/>
      <c r="BD614" s="697"/>
      <c r="BE614" s="697"/>
      <c r="BF614" s="697"/>
      <c r="BG614" s="697"/>
      <c r="BH614" s="697"/>
      <c r="BI614" s="697"/>
      <c r="BJ614" s="697"/>
      <c r="BK614" s="697"/>
      <c r="BL614" s="697"/>
      <c r="BM614" s="697"/>
      <c r="BN614" s="697"/>
      <c r="BO614" s="697"/>
      <c r="BP614" s="697"/>
      <c r="BQ614" s="697"/>
      <c r="BR614" s="697"/>
      <c r="BS614" s="697"/>
      <c r="BT614" s="697"/>
      <c r="BU614" s="697"/>
      <c r="BV614" s="697"/>
      <c r="BW614" s="697"/>
      <c r="BX614" s="697"/>
      <c r="BY614" s="697"/>
      <c r="BZ614" s="697"/>
      <c r="CA614" s="697"/>
      <c r="CB614" s="697"/>
      <c r="CC614" s="697"/>
      <c r="CD614" s="697"/>
      <c r="CE614" s="697"/>
      <c r="CF614" s="697"/>
      <c r="CG614" s="697"/>
      <c r="CH614" s="697"/>
      <c r="CI614" s="697"/>
      <c r="CJ614" s="697"/>
      <c r="CK614" s="697"/>
      <c r="CL614" s="697"/>
      <c r="CM614" s="697"/>
      <c r="CN614" s="697"/>
      <c r="CO614" s="697"/>
      <c r="CP614" s="697"/>
      <c r="CQ614" s="697"/>
      <c r="CR614" s="697"/>
      <c r="CS614" s="697"/>
      <c r="CT614" s="697"/>
      <c r="CU614" s="697"/>
      <c r="CV614" s="697"/>
      <c r="CW614" s="697"/>
      <c r="CX614" s="697"/>
      <c r="CY614" s="697"/>
      <c r="CZ614" s="697"/>
      <c r="DA614" s="697"/>
      <c r="DB614" s="697"/>
    </row>
    <row r="615" spans="1:106" hidden="1" outlineLevel="1" x14ac:dyDescent="0.2">
      <c r="A615" s="709">
        <f t="shared" si="113"/>
        <v>40787</v>
      </c>
      <c r="B615" s="709" t="str">
        <f t="shared" si="114"/>
        <v>3Q11</v>
      </c>
      <c r="C615" s="709" t="str">
        <f t="shared" si="115"/>
        <v>4Q11</v>
      </c>
      <c r="D615" s="710">
        <f t="shared" si="120"/>
        <v>40855</v>
      </c>
      <c r="E615" s="710">
        <f t="shared" si="120"/>
        <v>40795</v>
      </c>
      <c r="F615" s="712">
        <v>87.91</v>
      </c>
      <c r="G615" s="713">
        <f t="shared" si="116"/>
        <v>1.4900000000000011</v>
      </c>
      <c r="H615" s="713">
        <f t="shared" si="117"/>
        <v>1.4900000000000011</v>
      </c>
      <c r="I615" s="697"/>
      <c r="J615" s="697"/>
      <c r="K615" s="697"/>
      <c r="L615" s="697"/>
      <c r="M615" s="697"/>
      <c r="N615" s="697"/>
      <c r="O615" s="697"/>
      <c r="P615" s="697"/>
      <c r="Q615" s="697"/>
      <c r="R615" s="697"/>
      <c r="S615" s="697"/>
      <c r="T615" s="697"/>
      <c r="U615" s="697"/>
      <c r="V615" s="697"/>
      <c r="W615" s="697"/>
      <c r="X615" s="697"/>
      <c r="Y615" s="697"/>
      <c r="Z615" s="697"/>
      <c r="AA615" s="697"/>
      <c r="AB615" s="697"/>
      <c r="AC615" s="697"/>
      <c r="AD615" s="697"/>
      <c r="AE615" s="697"/>
      <c r="AF615" s="697"/>
      <c r="AG615" s="697"/>
      <c r="AH615" s="697"/>
      <c r="AI615" s="697"/>
      <c r="AJ615" s="697"/>
      <c r="AK615" s="697"/>
      <c r="AL615" s="697"/>
      <c r="AM615" s="697"/>
      <c r="AN615" s="697"/>
      <c r="AO615" s="697"/>
      <c r="AP615" s="697"/>
      <c r="AQ615" s="697"/>
      <c r="AR615" s="697"/>
      <c r="AS615" s="697"/>
      <c r="AT615" s="697"/>
      <c r="AU615" s="697"/>
      <c r="AV615" s="697"/>
      <c r="AW615" s="697"/>
      <c r="AX615" s="697"/>
      <c r="AY615" s="697"/>
      <c r="AZ615" s="697"/>
      <c r="BA615" s="697"/>
      <c r="BB615" s="697"/>
      <c r="BC615" s="697"/>
      <c r="BD615" s="697"/>
      <c r="BE615" s="697"/>
      <c r="BF615" s="697"/>
      <c r="BG615" s="697"/>
      <c r="BH615" s="697"/>
      <c r="BI615" s="697"/>
      <c r="BJ615" s="697"/>
      <c r="BK615" s="697"/>
      <c r="BL615" s="697"/>
      <c r="BM615" s="697"/>
      <c r="BN615" s="697"/>
      <c r="BO615" s="697"/>
      <c r="BP615" s="697"/>
      <c r="BQ615" s="697"/>
      <c r="BR615" s="697"/>
      <c r="BS615" s="697"/>
      <c r="BT615" s="697"/>
      <c r="BU615" s="697"/>
      <c r="BV615" s="697"/>
      <c r="BW615" s="697"/>
      <c r="BX615" s="697"/>
      <c r="BY615" s="697"/>
      <c r="BZ615" s="697"/>
      <c r="CA615" s="697"/>
      <c r="CB615" s="697"/>
      <c r="CC615" s="697"/>
      <c r="CD615" s="697"/>
      <c r="CE615" s="697"/>
      <c r="CF615" s="697"/>
      <c r="CG615" s="697"/>
      <c r="CH615" s="697"/>
      <c r="CI615" s="697"/>
      <c r="CJ615" s="697"/>
      <c r="CK615" s="697"/>
      <c r="CL615" s="697"/>
      <c r="CM615" s="697"/>
      <c r="CN615" s="697"/>
      <c r="CO615" s="697"/>
      <c r="CP615" s="697"/>
      <c r="CQ615" s="697"/>
      <c r="CR615" s="697"/>
      <c r="CS615" s="697"/>
      <c r="CT615" s="697"/>
      <c r="CU615" s="697"/>
      <c r="CV615" s="697"/>
      <c r="CW615" s="697"/>
      <c r="CX615" s="697"/>
      <c r="CY615" s="697"/>
      <c r="CZ615" s="697"/>
      <c r="DA615" s="697"/>
      <c r="DB615" s="697"/>
    </row>
    <row r="616" spans="1:106" hidden="1" outlineLevel="1" x14ac:dyDescent="0.2">
      <c r="A616" s="709">
        <f t="shared" si="113"/>
        <v>40787</v>
      </c>
      <c r="B616" s="709" t="str">
        <f t="shared" si="114"/>
        <v>3Q11</v>
      </c>
      <c r="C616" s="709" t="str">
        <f t="shared" si="115"/>
        <v>4Q11</v>
      </c>
      <c r="D616" s="710">
        <f t="shared" si="120"/>
        <v>40862</v>
      </c>
      <c r="E616" s="710">
        <f t="shared" si="120"/>
        <v>40802</v>
      </c>
      <c r="F616" s="712">
        <v>88.93</v>
      </c>
      <c r="G616" s="713">
        <f t="shared" si="116"/>
        <v>1.4900000000000011</v>
      </c>
      <c r="H616" s="713">
        <f t="shared" si="117"/>
        <v>1.4900000000000011</v>
      </c>
      <c r="I616" s="697"/>
      <c r="J616" s="697"/>
      <c r="K616" s="697"/>
      <c r="L616" s="697"/>
      <c r="M616" s="697"/>
      <c r="N616" s="697"/>
      <c r="O616" s="697"/>
      <c r="P616" s="697"/>
      <c r="Q616" s="697"/>
      <c r="R616" s="697"/>
      <c r="S616" s="697"/>
      <c r="T616" s="697"/>
      <c r="U616" s="697"/>
      <c r="V616" s="697"/>
      <c r="W616" s="697"/>
      <c r="X616" s="697"/>
      <c r="Y616" s="697"/>
      <c r="Z616" s="697"/>
      <c r="AA616" s="697"/>
      <c r="AB616" s="697"/>
      <c r="AC616" s="697"/>
      <c r="AD616" s="697"/>
      <c r="AE616" s="697"/>
      <c r="AF616" s="697"/>
      <c r="AG616" s="697"/>
      <c r="AH616" s="697"/>
      <c r="AI616" s="697"/>
      <c r="AJ616" s="697"/>
      <c r="AK616" s="697"/>
      <c r="AL616" s="697"/>
      <c r="AM616" s="697"/>
      <c r="AN616" s="697"/>
      <c r="AO616" s="697"/>
      <c r="AP616" s="697"/>
      <c r="AQ616" s="697"/>
      <c r="AR616" s="697"/>
      <c r="AS616" s="697"/>
      <c r="AT616" s="697"/>
      <c r="AU616" s="697"/>
      <c r="AV616" s="697"/>
      <c r="AW616" s="697"/>
      <c r="AX616" s="697"/>
      <c r="AY616" s="697"/>
      <c r="AZ616" s="697"/>
      <c r="BA616" s="697"/>
      <c r="BB616" s="697"/>
      <c r="BC616" s="697"/>
      <c r="BD616" s="697"/>
      <c r="BE616" s="697"/>
      <c r="BF616" s="697"/>
      <c r="BG616" s="697"/>
      <c r="BH616" s="697"/>
      <c r="BI616" s="697"/>
      <c r="BJ616" s="697"/>
      <c r="BK616" s="697"/>
      <c r="BL616" s="697"/>
      <c r="BM616" s="697"/>
      <c r="BN616" s="697"/>
      <c r="BO616" s="697"/>
      <c r="BP616" s="697"/>
      <c r="BQ616" s="697"/>
      <c r="BR616" s="697"/>
      <c r="BS616" s="697"/>
      <c r="BT616" s="697"/>
      <c r="BU616" s="697"/>
      <c r="BV616" s="697"/>
      <c r="BW616" s="697"/>
      <c r="BX616" s="697"/>
      <c r="BY616" s="697"/>
      <c r="BZ616" s="697"/>
      <c r="CA616" s="697"/>
      <c r="CB616" s="697"/>
      <c r="CC616" s="697"/>
      <c r="CD616" s="697"/>
      <c r="CE616" s="697"/>
      <c r="CF616" s="697"/>
      <c r="CG616" s="697"/>
      <c r="CH616" s="697"/>
      <c r="CI616" s="697"/>
      <c r="CJ616" s="697"/>
      <c r="CK616" s="697"/>
      <c r="CL616" s="697"/>
      <c r="CM616" s="697"/>
      <c r="CN616" s="697"/>
      <c r="CO616" s="697"/>
      <c r="CP616" s="697"/>
      <c r="CQ616" s="697"/>
      <c r="CR616" s="697"/>
      <c r="CS616" s="697"/>
      <c r="CT616" s="697"/>
      <c r="CU616" s="697"/>
      <c r="CV616" s="697"/>
      <c r="CW616" s="697"/>
      <c r="CX616" s="697"/>
      <c r="CY616" s="697"/>
      <c r="CZ616" s="697"/>
      <c r="DA616" s="697"/>
      <c r="DB616" s="697"/>
    </row>
    <row r="617" spans="1:106" hidden="1" outlineLevel="1" x14ac:dyDescent="0.2">
      <c r="A617" s="709">
        <f t="shared" si="113"/>
        <v>40787</v>
      </c>
      <c r="B617" s="709" t="str">
        <f t="shared" si="114"/>
        <v>3Q11</v>
      </c>
      <c r="C617" s="709" t="str">
        <f t="shared" si="115"/>
        <v>4Q11</v>
      </c>
      <c r="D617" s="710">
        <f t="shared" si="120"/>
        <v>40869</v>
      </c>
      <c r="E617" s="710">
        <f t="shared" si="120"/>
        <v>40809</v>
      </c>
      <c r="F617" s="712">
        <v>83.65</v>
      </c>
      <c r="G617" s="713">
        <f t="shared" si="116"/>
        <v>1.4900000000000011</v>
      </c>
      <c r="H617" s="713">
        <f t="shared" si="117"/>
        <v>1.4900000000000011</v>
      </c>
      <c r="I617" s="697"/>
      <c r="J617" s="697"/>
      <c r="K617" s="697"/>
      <c r="L617" s="697"/>
      <c r="M617" s="697"/>
      <c r="N617" s="697"/>
      <c r="O617" s="697"/>
      <c r="P617" s="697"/>
      <c r="Q617" s="697"/>
      <c r="R617" s="697"/>
      <c r="S617" s="697"/>
      <c r="T617" s="697"/>
      <c r="U617" s="697"/>
      <c r="V617" s="697"/>
      <c r="W617" s="697"/>
      <c r="X617" s="697"/>
      <c r="Y617" s="697"/>
      <c r="Z617" s="697"/>
      <c r="AA617" s="697"/>
      <c r="AB617" s="697"/>
      <c r="AC617" s="697"/>
      <c r="AD617" s="697"/>
      <c r="AE617" s="697"/>
      <c r="AF617" s="697"/>
      <c r="AG617" s="697"/>
      <c r="AH617" s="697"/>
      <c r="AI617" s="697"/>
      <c r="AJ617" s="697"/>
      <c r="AK617" s="697"/>
      <c r="AL617" s="697"/>
      <c r="AM617" s="697"/>
      <c r="AN617" s="697"/>
      <c r="AO617" s="697"/>
      <c r="AP617" s="697"/>
      <c r="AQ617" s="697"/>
      <c r="AR617" s="697"/>
      <c r="AS617" s="697"/>
      <c r="AT617" s="697"/>
      <c r="AU617" s="697"/>
      <c r="AV617" s="697"/>
      <c r="AW617" s="697"/>
      <c r="AX617" s="697"/>
      <c r="AY617" s="697"/>
      <c r="AZ617" s="697"/>
      <c r="BA617" s="697"/>
      <c r="BB617" s="697"/>
      <c r="BC617" s="697"/>
      <c r="BD617" s="697"/>
      <c r="BE617" s="697"/>
      <c r="BF617" s="697"/>
      <c r="BG617" s="697"/>
      <c r="BH617" s="697"/>
      <c r="BI617" s="697"/>
      <c r="BJ617" s="697"/>
      <c r="BK617" s="697"/>
      <c r="BL617" s="697"/>
      <c r="BM617" s="697"/>
      <c r="BN617" s="697"/>
      <c r="BO617" s="697"/>
      <c r="BP617" s="697"/>
      <c r="BQ617" s="697"/>
      <c r="BR617" s="697"/>
      <c r="BS617" s="697"/>
      <c r="BT617" s="697"/>
      <c r="BU617" s="697"/>
      <c r="BV617" s="697"/>
      <c r="BW617" s="697"/>
      <c r="BX617" s="697"/>
      <c r="BY617" s="697"/>
      <c r="BZ617" s="697"/>
      <c r="CA617" s="697"/>
      <c r="CB617" s="697"/>
      <c r="CC617" s="697"/>
      <c r="CD617" s="697"/>
      <c r="CE617" s="697"/>
      <c r="CF617" s="697"/>
      <c r="CG617" s="697"/>
      <c r="CH617" s="697"/>
      <c r="CI617" s="697"/>
      <c r="CJ617" s="697"/>
      <c r="CK617" s="697"/>
      <c r="CL617" s="697"/>
      <c r="CM617" s="697"/>
      <c r="CN617" s="697"/>
      <c r="CO617" s="697"/>
      <c r="CP617" s="697"/>
      <c r="CQ617" s="697"/>
      <c r="CR617" s="697"/>
      <c r="CS617" s="697"/>
      <c r="CT617" s="697"/>
      <c r="CU617" s="697"/>
      <c r="CV617" s="697"/>
      <c r="CW617" s="697"/>
      <c r="CX617" s="697"/>
      <c r="CY617" s="697"/>
      <c r="CZ617" s="697"/>
      <c r="DA617" s="697"/>
      <c r="DB617" s="697"/>
    </row>
    <row r="618" spans="1:106" hidden="1" outlineLevel="1" x14ac:dyDescent="0.2">
      <c r="A618" s="709">
        <f t="shared" si="113"/>
        <v>40787</v>
      </c>
      <c r="B618" s="709" t="str">
        <f t="shared" si="114"/>
        <v>3Q11</v>
      </c>
      <c r="C618" s="709" t="str">
        <f t="shared" si="115"/>
        <v>4Q11</v>
      </c>
      <c r="D618" s="710">
        <f t="shared" si="120"/>
        <v>40876</v>
      </c>
      <c r="E618" s="710">
        <f t="shared" si="120"/>
        <v>40816</v>
      </c>
      <c r="F618" s="712">
        <v>81.180000000000007</v>
      </c>
      <c r="G618" s="713">
        <f t="shared" si="116"/>
        <v>1.4900000000000011</v>
      </c>
      <c r="H618" s="713">
        <f t="shared" si="117"/>
        <v>1.4900000000000011</v>
      </c>
      <c r="I618" s="697"/>
      <c r="J618" s="697"/>
      <c r="K618" s="697"/>
      <c r="L618" s="697"/>
      <c r="M618" s="697"/>
      <c r="N618" s="697"/>
      <c r="O618" s="697"/>
      <c r="P618" s="697"/>
      <c r="Q618" s="697"/>
      <c r="R618" s="697"/>
      <c r="S618" s="697"/>
      <c r="T618" s="697"/>
      <c r="U618" s="697"/>
      <c r="V618" s="697"/>
      <c r="W618" s="697"/>
      <c r="X618" s="697"/>
      <c r="Y618" s="697"/>
      <c r="Z618" s="697"/>
      <c r="AA618" s="697"/>
      <c r="AB618" s="697"/>
      <c r="AC618" s="697"/>
      <c r="AD618" s="697"/>
      <c r="AE618" s="697"/>
      <c r="AF618" s="697"/>
      <c r="AG618" s="697"/>
      <c r="AH618" s="697"/>
      <c r="AI618" s="697"/>
      <c r="AJ618" s="697"/>
      <c r="AK618" s="697"/>
      <c r="AL618" s="697"/>
      <c r="AM618" s="697"/>
      <c r="AN618" s="697"/>
      <c r="AO618" s="697"/>
      <c r="AP618" s="697"/>
      <c r="AQ618" s="697"/>
      <c r="AR618" s="697"/>
      <c r="AS618" s="697"/>
      <c r="AT618" s="697"/>
      <c r="AU618" s="697"/>
      <c r="AV618" s="697"/>
      <c r="AW618" s="697"/>
      <c r="AX618" s="697"/>
      <c r="AY618" s="697"/>
      <c r="AZ618" s="697"/>
      <c r="BA618" s="697"/>
      <c r="BB618" s="697"/>
      <c r="BC618" s="697"/>
      <c r="BD618" s="697"/>
      <c r="BE618" s="697"/>
      <c r="BF618" s="697"/>
      <c r="BG618" s="697"/>
      <c r="BH618" s="697"/>
      <c r="BI618" s="697"/>
      <c r="BJ618" s="697"/>
      <c r="BK618" s="697"/>
      <c r="BL618" s="697"/>
      <c r="BM618" s="697"/>
      <c r="BN618" s="697"/>
      <c r="BO618" s="697"/>
      <c r="BP618" s="697"/>
      <c r="BQ618" s="697"/>
      <c r="BR618" s="697"/>
      <c r="BS618" s="697"/>
      <c r="BT618" s="697"/>
      <c r="BU618" s="697"/>
      <c r="BV618" s="697"/>
      <c r="BW618" s="697"/>
      <c r="BX618" s="697"/>
      <c r="BY618" s="697"/>
      <c r="BZ618" s="697"/>
      <c r="CA618" s="697"/>
      <c r="CB618" s="697"/>
      <c r="CC618" s="697"/>
      <c r="CD618" s="697"/>
      <c r="CE618" s="697"/>
      <c r="CF618" s="697"/>
      <c r="CG618" s="697"/>
      <c r="CH618" s="697"/>
      <c r="CI618" s="697"/>
      <c r="CJ618" s="697"/>
      <c r="CK618" s="697"/>
      <c r="CL618" s="697"/>
      <c r="CM618" s="697"/>
      <c r="CN618" s="697"/>
      <c r="CO618" s="697"/>
      <c r="CP618" s="697"/>
      <c r="CQ618" s="697"/>
      <c r="CR618" s="697"/>
      <c r="CS618" s="697"/>
      <c r="CT618" s="697"/>
      <c r="CU618" s="697"/>
      <c r="CV618" s="697"/>
      <c r="CW618" s="697"/>
      <c r="CX618" s="697"/>
      <c r="CY618" s="697"/>
      <c r="CZ618" s="697"/>
      <c r="DA618" s="697"/>
      <c r="DB618" s="697"/>
    </row>
    <row r="619" spans="1:106" hidden="1" outlineLevel="1" x14ac:dyDescent="0.2">
      <c r="A619" s="709">
        <f t="shared" si="113"/>
        <v>40817</v>
      </c>
      <c r="B619" s="709" t="str">
        <f t="shared" si="114"/>
        <v>4Q11</v>
      </c>
      <c r="C619" s="709" t="str">
        <f t="shared" si="115"/>
        <v>4Q11</v>
      </c>
      <c r="D619" s="710">
        <f t="shared" si="120"/>
        <v>40883</v>
      </c>
      <c r="E619" s="710">
        <f t="shared" si="120"/>
        <v>40823</v>
      </c>
      <c r="F619" s="712">
        <v>79.430000000000007</v>
      </c>
      <c r="G619" s="713">
        <f t="shared" si="116"/>
        <v>1.4900000000000011</v>
      </c>
      <c r="H619" s="713">
        <f t="shared" si="117"/>
        <v>1.4900000000000011</v>
      </c>
      <c r="I619" s="697"/>
      <c r="J619" s="697"/>
      <c r="K619" s="697"/>
      <c r="L619" s="697"/>
      <c r="M619" s="697"/>
      <c r="N619" s="697"/>
      <c r="O619" s="697"/>
      <c r="P619" s="697"/>
      <c r="Q619" s="697"/>
      <c r="R619" s="697"/>
      <c r="S619" s="697"/>
      <c r="T619" s="697"/>
      <c r="U619" s="697"/>
      <c r="V619" s="697"/>
      <c r="W619" s="697"/>
      <c r="X619" s="697"/>
      <c r="Y619" s="697"/>
      <c r="Z619" s="697"/>
      <c r="AA619" s="697"/>
      <c r="AB619" s="697"/>
      <c r="AC619" s="697"/>
      <c r="AD619" s="697"/>
      <c r="AE619" s="697"/>
      <c r="AF619" s="697"/>
      <c r="AG619" s="697"/>
      <c r="AH619" s="697"/>
      <c r="AI619" s="697"/>
      <c r="AJ619" s="697"/>
      <c r="AK619" s="697"/>
      <c r="AL619" s="697"/>
      <c r="AM619" s="697"/>
      <c r="AN619" s="697"/>
      <c r="AO619" s="697"/>
      <c r="AP619" s="697"/>
      <c r="AQ619" s="697"/>
      <c r="AR619" s="697"/>
      <c r="AS619" s="697"/>
      <c r="AT619" s="697"/>
      <c r="AU619" s="697"/>
      <c r="AV619" s="697"/>
      <c r="AW619" s="697"/>
      <c r="AX619" s="697"/>
      <c r="AY619" s="697"/>
      <c r="AZ619" s="697"/>
      <c r="BA619" s="697"/>
      <c r="BB619" s="697"/>
      <c r="BC619" s="697"/>
      <c r="BD619" s="697"/>
      <c r="BE619" s="697"/>
      <c r="BF619" s="697"/>
      <c r="BG619" s="697"/>
      <c r="BH619" s="697"/>
      <c r="BI619" s="697"/>
      <c r="BJ619" s="697"/>
      <c r="BK619" s="697"/>
      <c r="BL619" s="697"/>
      <c r="BM619" s="697"/>
      <c r="BN619" s="697"/>
      <c r="BO619" s="697"/>
      <c r="BP619" s="697"/>
      <c r="BQ619" s="697"/>
      <c r="BR619" s="697"/>
      <c r="BS619" s="697"/>
      <c r="BT619" s="697"/>
      <c r="BU619" s="697"/>
      <c r="BV619" s="697"/>
      <c r="BW619" s="697"/>
      <c r="BX619" s="697"/>
      <c r="BY619" s="697"/>
      <c r="BZ619" s="697"/>
      <c r="CA619" s="697"/>
      <c r="CB619" s="697"/>
      <c r="CC619" s="697"/>
      <c r="CD619" s="697"/>
      <c r="CE619" s="697"/>
      <c r="CF619" s="697"/>
      <c r="CG619" s="697"/>
      <c r="CH619" s="697"/>
      <c r="CI619" s="697"/>
      <c r="CJ619" s="697"/>
      <c r="CK619" s="697"/>
      <c r="CL619" s="697"/>
      <c r="CM619" s="697"/>
      <c r="CN619" s="697"/>
      <c r="CO619" s="697"/>
      <c r="CP619" s="697"/>
      <c r="CQ619" s="697"/>
      <c r="CR619" s="697"/>
      <c r="CS619" s="697"/>
      <c r="CT619" s="697"/>
      <c r="CU619" s="697"/>
      <c r="CV619" s="697"/>
      <c r="CW619" s="697"/>
      <c r="CX619" s="697"/>
      <c r="CY619" s="697"/>
      <c r="CZ619" s="697"/>
      <c r="DA619" s="697"/>
      <c r="DB619" s="697"/>
    </row>
    <row r="620" spans="1:106" hidden="1" outlineLevel="1" x14ac:dyDescent="0.2">
      <c r="A620" s="709">
        <f t="shared" si="113"/>
        <v>40817</v>
      </c>
      <c r="B620" s="709" t="str">
        <f t="shared" si="114"/>
        <v>4Q11</v>
      </c>
      <c r="C620" s="709" t="str">
        <f t="shared" si="115"/>
        <v>4Q11</v>
      </c>
      <c r="D620" s="710">
        <f t="shared" si="120"/>
        <v>40890</v>
      </c>
      <c r="E620" s="710">
        <f t="shared" si="120"/>
        <v>40830</v>
      </c>
      <c r="F620" s="712">
        <v>85.35</v>
      </c>
      <c r="G620" s="713">
        <f t="shared" si="116"/>
        <v>1.4900000000000011</v>
      </c>
      <c r="H620" s="713">
        <f t="shared" si="117"/>
        <v>1.4900000000000011</v>
      </c>
      <c r="I620" s="697"/>
      <c r="J620" s="697"/>
      <c r="K620" s="697"/>
      <c r="L620" s="697"/>
      <c r="M620" s="697"/>
      <c r="N620" s="697"/>
      <c r="O620" s="697"/>
      <c r="P620" s="697"/>
      <c r="Q620" s="697"/>
      <c r="R620" s="697"/>
      <c r="S620" s="697"/>
      <c r="T620" s="697"/>
      <c r="U620" s="697"/>
      <c r="V620" s="697"/>
      <c r="W620" s="697"/>
      <c r="X620" s="697"/>
      <c r="Y620" s="697"/>
      <c r="Z620" s="697"/>
      <c r="AA620" s="697"/>
      <c r="AB620" s="697"/>
      <c r="AC620" s="697"/>
      <c r="AD620" s="697"/>
      <c r="AE620" s="697"/>
      <c r="AF620" s="697"/>
      <c r="AG620" s="697"/>
      <c r="AH620" s="697"/>
      <c r="AI620" s="697"/>
      <c r="AJ620" s="697"/>
      <c r="AK620" s="697"/>
      <c r="AL620" s="697"/>
      <c r="AM620" s="697"/>
      <c r="AN620" s="697"/>
      <c r="AO620" s="697"/>
      <c r="AP620" s="697"/>
      <c r="AQ620" s="697"/>
      <c r="AR620" s="697"/>
      <c r="AS620" s="697"/>
      <c r="AT620" s="697"/>
      <c r="AU620" s="697"/>
      <c r="AV620" s="697"/>
      <c r="AW620" s="697"/>
      <c r="AX620" s="697"/>
      <c r="AY620" s="697"/>
      <c r="AZ620" s="697"/>
      <c r="BA620" s="697"/>
      <c r="BB620" s="697"/>
      <c r="BC620" s="697"/>
      <c r="BD620" s="697"/>
      <c r="BE620" s="697"/>
      <c r="BF620" s="697"/>
      <c r="BG620" s="697"/>
      <c r="BH620" s="697"/>
      <c r="BI620" s="697"/>
      <c r="BJ620" s="697"/>
      <c r="BK620" s="697"/>
      <c r="BL620" s="697"/>
      <c r="BM620" s="697"/>
      <c r="BN620" s="697"/>
      <c r="BO620" s="697"/>
      <c r="BP620" s="697"/>
      <c r="BQ620" s="697"/>
      <c r="BR620" s="697"/>
      <c r="BS620" s="697"/>
      <c r="BT620" s="697"/>
      <c r="BU620" s="697"/>
      <c r="BV620" s="697"/>
      <c r="BW620" s="697"/>
      <c r="BX620" s="697"/>
      <c r="BY620" s="697"/>
      <c r="BZ620" s="697"/>
      <c r="CA620" s="697"/>
      <c r="CB620" s="697"/>
      <c r="CC620" s="697"/>
      <c r="CD620" s="697"/>
      <c r="CE620" s="697"/>
      <c r="CF620" s="697"/>
      <c r="CG620" s="697"/>
      <c r="CH620" s="697"/>
      <c r="CI620" s="697"/>
      <c r="CJ620" s="697"/>
      <c r="CK620" s="697"/>
      <c r="CL620" s="697"/>
      <c r="CM620" s="697"/>
      <c r="CN620" s="697"/>
      <c r="CO620" s="697"/>
      <c r="CP620" s="697"/>
      <c r="CQ620" s="697"/>
      <c r="CR620" s="697"/>
      <c r="CS620" s="697"/>
      <c r="CT620" s="697"/>
      <c r="CU620" s="697"/>
      <c r="CV620" s="697"/>
      <c r="CW620" s="697"/>
      <c r="CX620" s="697"/>
      <c r="CY620" s="697"/>
      <c r="CZ620" s="697"/>
      <c r="DA620" s="697"/>
      <c r="DB620" s="697"/>
    </row>
    <row r="621" spans="1:106" hidden="1" outlineLevel="1" x14ac:dyDescent="0.2">
      <c r="A621" s="709">
        <f t="shared" si="113"/>
        <v>40817</v>
      </c>
      <c r="B621" s="709" t="str">
        <f t="shared" si="114"/>
        <v>4Q11</v>
      </c>
      <c r="C621" s="709" t="str">
        <f t="shared" si="115"/>
        <v>4Q11</v>
      </c>
      <c r="D621" s="710">
        <f t="shared" si="120"/>
        <v>40897</v>
      </c>
      <c r="E621" s="710">
        <f t="shared" si="120"/>
        <v>40837</v>
      </c>
      <c r="F621" s="712">
        <v>86.82</v>
      </c>
      <c r="G621" s="713">
        <f t="shared" si="116"/>
        <v>1.4900000000000011</v>
      </c>
      <c r="H621" s="713">
        <f t="shared" si="117"/>
        <v>1.4900000000000011</v>
      </c>
      <c r="I621" s="697"/>
      <c r="J621" s="697"/>
      <c r="K621" s="697"/>
      <c r="L621" s="697"/>
      <c r="M621" s="697"/>
      <c r="N621" s="697"/>
      <c r="O621" s="697"/>
      <c r="P621" s="697"/>
      <c r="Q621" s="697"/>
      <c r="R621" s="697"/>
      <c r="S621" s="697"/>
      <c r="T621" s="697"/>
      <c r="U621" s="697"/>
      <c r="V621" s="697"/>
      <c r="W621" s="697"/>
      <c r="X621" s="697"/>
      <c r="Y621" s="697"/>
      <c r="Z621" s="697"/>
      <c r="AA621" s="697"/>
      <c r="AB621" s="697"/>
      <c r="AC621" s="697"/>
      <c r="AD621" s="697"/>
      <c r="AE621" s="697"/>
      <c r="AF621" s="697"/>
      <c r="AG621" s="697"/>
      <c r="AH621" s="697"/>
      <c r="AI621" s="697"/>
      <c r="AJ621" s="697"/>
      <c r="AK621" s="697"/>
      <c r="AL621" s="697"/>
      <c r="AM621" s="697"/>
      <c r="AN621" s="697"/>
      <c r="AO621" s="697"/>
      <c r="AP621" s="697"/>
      <c r="AQ621" s="697"/>
      <c r="AR621" s="697"/>
      <c r="AS621" s="697"/>
      <c r="AT621" s="697"/>
      <c r="AU621" s="697"/>
      <c r="AV621" s="697"/>
      <c r="AW621" s="697"/>
      <c r="AX621" s="697"/>
      <c r="AY621" s="697"/>
      <c r="AZ621" s="697"/>
      <c r="BA621" s="697"/>
      <c r="BB621" s="697"/>
      <c r="BC621" s="697"/>
      <c r="BD621" s="697"/>
      <c r="BE621" s="697"/>
      <c r="BF621" s="697"/>
      <c r="BG621" s="697"/>
      <c r="BH621" s="697"/>
      <c r="BI621" s="697"/>
      <c r="BJ621" s="697"/>
      <c r="BK621" s="697"/>
      <c r="BL621" s="697"/>
      <c r="BM621" s="697"/>
      <c r="BN621" s="697"/>
      <c r="BO621" s="697"/>
      <c r="BP621" s="697"/>
      <c r="BQ621" s="697"/>
      <c r="BR621" s="697"/>
      <c r="BS621" s="697"/>
      <c r="BT621" s="697"/>
      <c r="BU621" s="697"/>
      <c r="BV621" s="697"/>
      <c r="BW621" s="697"/>
      <c r="BX621" s="697"/>
      <c r="BY621" s="697"/>
      <c r="BZ621" s="697"/>
      <c r="CA621" s="697"/>
      <c r="CB621" s="697"/>
      <c r="CC621" s="697"/>
      <c r="CD621" s="697"/>
      <c r="CE621" s="697"/>
      <c r="CF621" s="697"/>
      <c r="CG621" s="697"/>
      <c r="CH621" s="697"/>
      <c r="CI621" s="697"/>
      <c r="CJ621" s="697"/>
      <c r="CK621" s="697"/>
      <c r="CL621" s="697"/>
      <c r="CM621" s="697"/>
      <c r="CN621" s="697"/>
      <c r="CO621" s="697"/>
      <c r="CP621" s="697"/>
      <c r="CQ621" s="697"/>
      <c r="CR621" s="697"/>
      <c r="CS621" s="697"/>
      <c r="CT621" s="697"/>
      <c r="CU621" s="697"/>
      <c r="CV621" s="697"/>
      <c r="CW621" s="697"/>
      <c r="CX621" s="697"/>
      <c r="CY621" s="697"/>
      <c r="CZ621" s="697"/>
      <c r="DA621" s="697"/>
      <c r="DB621" s="697"/>
    </row>
    <row r="622" spans="1:106" hidden="1" outlineLevel="1" x14ac:dyDescent="0.2">
      <c r="A622" s="709">
        <f t="shared" si="113"/>
        <v>40817</v>
      </c>
      <c r="B622" s="709" t="str">
        <f t="shared" si="114"/>
        <v>4Q11</v>
      </c>
      <c r="C622" s="709" t="str">
        <f t="shared" si="115"/>
        <v>4Q11</v>
      </c>
      <c r="D622" s="710">
        <f t="shared" si="120"/>
        <v>40904</v>
      </c>
      <c r="E622" s="710">
        <f t="shared" si="120"/>
        <v>40844</v>
      </c>
      <c r="F622" s="712">
        <v>92.32</v>
      </c>
      <c r="G622" s="713">
        <f t="shared" si="116"/>
        <v>1.4900000000000011</v>
      </c>
      <c r="H622" s="713">
        <f t="shared" si="117"/>
        <v>1.4900000000000011</v>
      </c>
      <c r="I622" s="697"/>
      <c r="J622" s="697"/>
      <c r="K622" s="697"/>
      <c r="L622" s="697"/>
      <c r="M622" s="697"/>
      <c r="N622" s="697"/>
      <c r="O622" s="697"/>
      <c r="P622" s="697"/>
      <c r="Q622" s="697"/>
      <c r="R622" s="697"/>
      <c r="S622" s="697"/>
      <c r="T622" s="697"/>
      <c r="U622" s="697"/>
      <c r="V622" s="697"/>
      <c r="W622" s="697"/>
      <c r="X622" s="697"/>
      <c r="Y622" s="697"/>
      <c r="Z622" s="697"/>
      <c r="AA622" s="697"/>
      <c r="AB622" s="697"/>
      <c r="AC622" s="697"/>
      <c r="AD622" s="697"/>
      <c r="AE622" s="697"/>
      <c r="AF622" s="697"/>
      <c r="AG622" s="697"/>
      <c r="AH622" s="697"/>
      <c r="AI622" s="697"/>
      <c r="AJ622" s="697"/>
      <c r="AK622" s="697"/>
      <c r="AL622" s="697"/>
      <c r="AM622" s="697"/>
      <c r="AN622" s="697"/>
      <c r="AO622" s="697"/>
      <c r="AP622" s="697"/>
      <c r="AQ622" s="697"/>
      <c r="AR622" s="697"/>
      <c r="AS622" s="697"/>
      <c r="AT622" s="697"/>
      <c r="AU622" s="697"/>
      <c r="AV622" s="697"/>
      <c r="AW622" s="697"/>
      <c r="AX622" s="697"/>
      <c r="AY622" s="697"/>
      <c r="AZ622" s="697"/>
      <c r="BA622" s="697"/>
      <c r="BB622" s="697"/>
      <c r="BC622" s="697"/>
      <c r="BD622" s="697"/>
      <c r="BE622" s="697"/>
      <c r="BF622" s="697"/>
      <c r="BG622" s="697"/>
      <c r="BH622" s="697"/>
      <c r="BI622" s="697"/>
      <c r="BJ622" s="697"/>
      <c r="BK622" s="697"/>
      <c r="BL622" s="697"/>
      <c r="BM622" s="697"/>
      <c r="BN622" s="697"/>
      <c r="BO622" s="697"/>
      <c r="BP622" s="697"/>
      <c r="BQ622" s="697"/>
      <c r="BR622" s="697"/>
      <c r="BS622" s="697"/>
      <c r="BT622" s="697"/>
      <c r="BU622" s="697"/>
      <c r="BV622" s="697"/>
      <c r="BW622" s="697"/>
      <c r="BX622" s="697"/>
      <c r="BY622" s="697"/>
      <c r="BZ622" s="697"/>
      <c r="CA622" s="697"/>
      <c r="CB622" s="697"/>
      <c r="CC622" s="697"/>
      <c r="CD622" s="697"/>
      <c r="CE622" s="697"/>
      <c r="CF622" s="697"/>
      <c r="CG622" s="697"/>
      <c r="CH622" s="697"/>
      <c r="CI622" s="697"/>
      <c r="CJ622" s="697"/>
      <c r="CK622" s="697"/>
      <c r="CL622" s="697"/>
      <c r="CM622" s="697"/>
      <c r="CN622" s="697"/>
      <c r="CO622" s="697"/>
      <c r="CP622" s="697"/>
      <c r="CQ622" s="697"/>
      <c r="CR622" s="697"/>
      <c r="CS622" s="697"/>
      <c r="CT622" s="697"/>
      <c r="CU622" s="697"/>
      <c r="CV622" s="697"/>
      <c r="CW622" s="697"/>
      <c r="CX622" s="697"/>
      <c r="CY622" s="697"/>
      <c r="CZ622" s="697"/>
      <c r="DA622" s="697"/>
      <c r="DB622" s="697"/>
    </row>
    <row r="623" spans="1:106" hidden="1" outlineLevel="1" x14ac:dyDescent="0.2">
      <c r="A623" s="709">
        <f t="shared" si="113"/>
        <v>40848</v>
      </c>
      <c r="B623" s="709" t="str">
        <f t="shared" si="114"/>
        <v>4Q11</v>
      </c>
      <c r="C623" s="709" t="str">
        <f t="shared" si="115"/>
        <v>1Q12</v>
      </c>
      <c r="D623" s="710">
        <f t="shared" si="120"/>
        <v>40911</v>
      </c>
      <c r="E623" s="710">
        <f t="shared" si="120"/>
        <v>40851</v>
      </c>
      <c r="F623" s="712">
        <v>93.24</v>
      </c>
      <c r="G623" s="713">
        <f t="shared" si="116"/>
        <v>1.4900000000000011</v>
      </c>
      <c r="H623" s="713">
        <f t="shared" si="117"/>
        <v>1.4900000000000011</v>
      </c>
      <c r="I623" s="697"/>
      <c r="J623" s="697"/>
      <c r="K623" s="697"/>
      <c r="L623" s="697"/>
      <c r="M623" s="697"/>
      <c r="N623" s="697"/>
      <c r="O623" s="697"/>
      <c r="P623" s="697"/>
      <c r="Q623" s="697"/>
      <c r="R623" s="697"/>
      <c r="S623" s="697"/>
      <c r="T623" s="697"/>
      <c r="U623" s="697"/>
      <c r="V623" s="697"/>
      <c r="W623" s="697"/>
      <c r="X623" s="697"/>
      <c r="Y623" s="697"/>
      <c r="Z623" s="697"/>
      <c r="AA623" s="697"/>
      <c r="AB623" s="697"/>
      <c r="AC623" s="697"/>
      <c r="AD623" s="697"/>
      <c r="AE623" s="697"/>
      <c r="AF623" s="697"/>
      <c r="AG623" s="697"/>
      <c r="AH623" s="697"/>
      <c r="AI623" s="697"/>
      <c r="AJ623" s="697"/>
      <c r="AK623" s="697"/>
      <c r="AL623" s="697"/>
      <c r="AM623" s="697"/>
      <c r="AN623" s="697"/>
      <c r="AO623" s="697"/>
      <c r="AP623" s="697"/>
      <c r="AQ623" s="697"/>
      <c r="AR623" s="697"/>
      <c r="AS623" s="697"/>
      <c r="AT623" s="697"/>
      <c r="AU623" s="697"/>
      <c r="AV623" s="697"/>
      <c r="AW623" s="697"/>
      <c r="AX623" s="697"/>
      <c r="AY623" s="697"/>
      <c r="AZ623" s="697"/>
      <c r="BA623" s="697"/>
      <c r="BB623" s="697"/>
      <c r="BC623" s="697"/>
      <c r="BD623" s="697"/>
      <c r="BE623" s="697"/>
      <c r="BF623" s="697"/>
      <c r="BG623" s="697"/>
      <c r="BH623" s="697"/>
      <c r="BI623" s="697"/>
      <c r="BJ623" s="697"/>
      <c r="BK623" s="697"/>
      <c r="BL623" s="697"/>
      <c r="BM623" s="697"/>
      <c r="BN623" s="697"/>
      <c r="BO623" s="697"/>
      <c r="BP623" s="697"/>
      <c r="BQ623" s="697"/>
      <c r="BR623" s="697"/>
      <c r="BS623" s="697"/>
      <c r="BT623" s="697"/>
      <c r="BU623" s="697"/>
      <c r="BV623" s="697"/>
      <c r="BW623" s="697"/>
      <c r="BX623" s="697"/>
      <c r="BY623" s="697"/>
      <c r="BZ623" s="697"/>
      <c r="CA623" s="697"/>
      <c r="CB623" s="697"/>
      <c r="CC623" s="697"/>
      <c r="CD623" s="697"/>
      <c r="CE623" s="697"/>
      <c r="CF623" s="697"/>
      <c r="CG623" s="697"/>
      <c r="CH623" s="697"/>
      <c r="CI623" s="697"/>
      <c r="CJ623" s="697"/>
      <c r="CK623" s="697"/>
      <c r="CL623" s="697"/>
      <c r="CM623" s="697"/>
      <c r="CN623" s="697"/>
      <c r="CO623" s="697"/>
      <c r="CP623" s="697"/>
      <c r="CQ623" s="697"/>
      <c r="CR623" s="697"/>
      <c r="CS623" s="697"/>
      <c r="CT623" s="697"/>
      <c r="CU623" s="697"/>
      <c r="CV623" s="697"/>
      <c r="CW623" s="697"/>
      <c r="CX623" s="697"/>
      <c r="CY623" s="697"/>
      <c r="CZ623" s="697"/>
      <c r="DA623" s="697"/>
      <c r="DB623" s="697"/>
    </row>
    <row r="624" spans="1:106" hidden="1" outlineLevel="1" x14ac:dyDescent="0.2">
      <c r="A624" s="709">
        <f t="shared" si="113"/>
        <v>40848</v>
      </c>
      <c r="B624" s="709" t="str">
        <f t="shared" si="114"/>
        <v>4Q11</v>
      </c>
      <c r="C624" s="709" t="str">
        <f t="shared" si="115"/>
        <v>1Q12</v>
      </c>
      <c r="D624" s="710">
        <f t="shared" si="120"/>
        <v>40918</v>
      </c>
      <c r="E624" s="710">
        <f t="shared" si="120"/>
        <v>40858</v>
      </c>
      <c r="F624" s="712">
        <v>96.97</v>
      </c>
      <c r="G624" s="713">
        <f t="shared" si="116"/>
        <v>1.4900000000000011</v>
      </c>
      <c r="H624" s="713">
        <f t="shared" si="117"/>
        <v>1.4900000000000011</v>
      </c>
      <c r="I624" s="697"/>
      <c r="J624" s="697"/>
      <c r="K624" s="697"/>
      <c r="L624" s="697"/>
      <c r="M624" s="697"/>
      <c r="N624" s="697"/>
      <c r="O624" s="697"/>
      <c r="P624" s="697"/>
      <c r="Q624" s="697"/>
      <c r="R624" s="697"/>
      <c r="S624" s="697"/>
      <c r="T624" s="697"/>
      <c r="U624" s="697"/>
      <c r="V624" s="697"/>
      <c r="W624" s="697"/>
      <c r="X624" s="697"/>
      <c r="Y624" s="697"/>
      <c r="Z624" s="697"/>
      <c r="AA624" s="697"/>
      <c r="AB624" s="697"/>
      <c r="AC624" s="697"/>
      <c r="AD624" s="697"/>
      <c r="AE624" s="697"/>
      <c r="AF624" s="697"/>
      <c r="AG624" s="697"/>
      <c r="AH624" s="697"/>
      <c r="AI624" s="697"/>
      <c r="AJ624" s="697"/>
      <c r="AK624" s="697"/>
      <c r="AL624" s="697"/>
      <c r="AM624" s="697"/>
      <c r="AN624" s="697"/>
      <c r="AO624" s="697"/>
      <c r="AP624" s="697"/>
      <c r="AQ624" s="697"/>
      <c r="AR624" s="697"/>
      <c r="AS624" s="697"/>
      <c r="AT624" s="697"/>
      <c r="AU624" s="697"/>
      <c r="AV624" s="697"/>
      <c r="AW624" s="697"/>
      <c r="AX624" s="697"/>
      <c r="AY624" s="697"/>
      <c r="AZ624" s="697"/>
      <c r="BA624" s="697"/>
      <c r="BB624" s="697"/>
      <c r="BC624" s="697"/>
      <c r="BD624" s="697"/>
      <c r="BE624" s="697"/>
      <c r="BF624" s="697"/>
      <c r="BG624" s="697"/>
      <c r="BH624" s="697"/>
      <c r="BI624" s="697"/>
      <c r="BJ624" s="697"/>
      <c r="BK624" s="697"/>
      <c r="BL624" s="697"/>
      <c r="BM624" s="697"/>
      <c r="BN624" s="697"/>
      <c r="BO624" s="697"/>
      <c r="BP624" s="697"/>
      <c r="BQ624" s="697"/>
      <c r="BR624" s="697"/>
      <c r="BS624" s="697"/>
      <c r="BT624" s="697"/>
      <c r="BU624" s="697"/>
      <c r="BV624" s="697"/>
      <c r="BW624" s="697"/>
      <c r="BX624" s="697"/>
      <c r="BY624" s="697"/>
      <c r="BZ624" s="697"/>
      <c r="CA624" s="697"/>
      <c r="CB624" s="697"/>
      <c r="CC624" s="697"/>
      <c r="CD624" s="697"/>
      <c r="CE624" s="697"/>
      <c r="CF624" s="697"/>
      <c r="CG624" s="697"/>
      <c r="CH624" s="697"/>
      <c r="CI624" s="697"/>
      <c r="CJ624" s="697"/>
      <c r="CK624" s="697"/>
      <c r="CL624" s="697"/>
      <c r="CM624" s="697"/>
      <c r="CN624" s="697"/>
      <c r="CO624" s="697"/>
      <c r="CP624" s="697"/>
      <c r="CQ624" s="697"/>
      <c r="CR624" s="697"/>
      <c r="CS624" s="697"/>
      <c r="CT624" s="697"/>
      <c r="CU624" s="697"/>
      <c r="CV624" s="697"/>
      <c r="CW624" s="697"/>
      <c r="CX624" s="697"/>
      <c r="CY624" s="697"/>
      <c r="CZ624" s="697"/>
      <c r="DA624" s="697"/>
      <c r="DB624" s="697"/>
    </row>
    <row r="625" spans="1:106" hidden="1" outlineLevel="1" x14ac:dyDescent="0.2">
      <c r="A625" s="709">
        <f t="shared" si="113"/>
        <v>40848</v>
      </c>
      <c r="B625" s="709" t="str">
        <f t="shared" si="114"/>
        <v>4Q11</v>
      </c>
      <c r="C625" s="709" t="str">
        <f t="shared" si="115"/>
        <v>1Q12</v>
      </c>
      <c r="D625" s="710">
        <f t="shared" si="120"/>
        <v>40925</v>
      </c>
      <c r="E625" s="710">
        <f t="shared" si="120"/>
        <v>40865</v>
      </c>
      <c r="F625" s="712">
        <v>99.32</v>
      </c>
      <c r="G625" s="713">
        <f t="shared" si="116"/>
        <v>1.4900000000000011</v>
      </c>
      <c r="H625" s="713">
        <f t="shared" si="117"/>
        <v>1.4900000000000011</v>
      </c>
      <c r="I625" s="697"/>
      <c r="J625" s="697"/>
      <c r="K625" s="697"/>
      <c r="L625" s="697"/>
      <c r="M625" s="697"/>
      <c r="N625" s="697"/>
      <c r="O625" s="697"/>
      <c r="P625" s="697"/>
      <c r="Q625" s="697"/>
      <c r="R625" s="697"/>
      <c r="S625" s="697"/>
      <c r="T625" s="697"/>
      <c r="U625" s="697"/>
      <c r="V625" s="697"/>
      <c r="W625" s="697"/>
      <c r="X625" s="697"/>
      <c r="Y625" s="697"/>
      <c r="Z625" s="697"/>
      <c r="AA625" s="697"/>
      <c r="AB625" s="697"/>
      <c r="AC625" s="697"/>
      <c r="AD625" s="697"/>
      <c r="AE625" s="697"/>
      <c r="AF625" s="697"/>
      <c r="AG625" s="697"/>
      <c r="AH625" s="697"/>
      <c r="AI625" s="697"/>
      <c r="AJ625" s="697"/>
      <c r="AK625" s="697"/>
      <c r="AL625" s="697"/>
      <c r="AM625" s="697"/>
      <c r="AN625" s="697"/>
      <c r="AO625" s="697"/>
      <c r="AP625" s="697"/>
      <c r="AQ625" s="697"/>
      <c r="AR625" s="697"/>
      <c r="AS625" s="697"/>
      <c r="AT625" s="697"/>
      <c r="AU625" s="697"/>
      <c r="AV625" s="697"/>
      <c r="AW625" s="697"/>
      <c r="AX625" s="697"/>
      <c r="AY625" s="697"/>
      <c r="AZ625" s="697"/>
      <c r="BA625" s="697"/>
      <c r="BB625" s="697"/>
      <c r="BC625" s="697"/>
      <c r="BD625" s="697"/>
      <c r="BE625" s="697"/>
      <c r="BF625" s="697"/>
      <c r="BG625" s="697"/>
      <c r="BH625" s="697"/>
      <c r="BI625" s="697"/>
      <c r="BJ625" s="697"/>
      <c r="BK625" s="697"/>
      <c r="BL625" s="697"/>
      <c r="BM625" s="697"/>
      <c r="BN625" s="697"/>
      <c r="BO625" s="697"/>
      <c r="BP625" s="697"/>
      <c r="BQ625" s="697"/>
      <c r="BR625" s="697"/>
      <c r="BS625" s="697"/>
      <c r="BT625" s="697"/>
      <c r="BU625" s="697"/>
      <c r="BV625" s="697"/>
      <c r="BW625" s="697"/>
      <c r="BX625" s="697"/>
      <c r="BY625" s="697"/>
      <c r="BZ625" s="697"/>
      <c r="CA625" s="697"/>
      <c r="CB625" s="697"/>
      <c r="CC625" s="697"/>
      <c r="CD625" s="697"/>
      <c r="CE625" s="697"/>
      <c r="CF625" s="697"/>
      <c r="CG625" s="697"/>
      <c r="CH625" s="697"/>
      <c r="CI625" s="697"/>
      <c r="CJ625" s="697"/>
      <c r="CK625" s="697"/>
      <c r="CL625" s="697"/>
      <c r="CM625" s="697"/>
      <c r="CN625" s="697"/>
      <c r="CO625" s="697"/>
      <c r="CP625" s="697"/>
      <c r="CQ625" s="697"/>
      <c r="CR625" s="697"/>
      <c r="CS625" s="697"/>
      <c r="CT625" s="697"/>
      <c r="CU625" s="697"/>
      <c r="CV625" s="697"/>
      <c r="CW625" s="697"/>
      <c r="CX625" s="697"/>
      <c r="CY625" s="697"/>
      <c r="CZ625" s="697"/>
      <c r="DA625" s="697"/>
      <c r="DB625" s="697"/>
    </row>
    <row r="626" spans="1:106" hidden="1" outlineLevel="1" x14ac:dyDescent="0.2">
      <c r="A626" s="709">
        <f t="shared" si="113"/>
        <v>40848</v>
      </c>
      <c r="B626" s="709" t="str">
        <f t="shared" si="114"/>
        <v>4Q11</v>
      </c>
      <c r="C626" s="709" t="str">
        <f t="shared" si="115"/>
        <v>1Q12</v>
      </c>
      <c r="D626" s="710">
        <f t="shared" si="120"/>
        <v>40932</v>
      </c>
      <c r="E626" s="710">
        <f t="shared" si="120"/>
        <v>40872</v>
      </c>
      <c r="F626" s="712">
        <v>96.89</v>
      </c>
      <c r="G626" s="713">
        <f t="shared" si="116"/>
        <v>1.4900000000000011</v>
      </c>
      <c r="H626" s="713">
        <f t="shared" si="117"/>
        <v>1.4900000000000011</v>
      </c>
      <c r="I626" s="697"/>
      <c r="J626" s="697"/>
      <c r="K626" s="697"/>
      <c r="L626" s="697"/>
      <c r="M626" s="697"/>
      <c r="N626" s="697"/>
      <c r="O626" s="697"/>
      <c r="P626" s="697"/>
      <c r="Q626" s="697"/>
      <c r="R626" s="697"/>
      <c r="S626" s="697"/>
      <c r="T626" s="697"/>
      <c r="U626" s="697"/>
      <c r="V626" s="697"/>
      <c r="W626" s="697"/>
      <c r="X626" s="697"/>
      <c r="Y626" s="697"/>
      <c r="Z626" s="697"/>
      <c r="AA626" s="697"/>
      <c r="AB626" s="697"/>
      <c r="AC626" s="697"/>
      <c r="AD626" s="697"/>
      <c r="AE626" s="697"/>
      <c r="AF626" s="697"/>
      <c r="AG626" s="697"/>
      <c r="AH626" s="697"/>
      <c r="AI626" s="697"/>
      <c r="AJ626" s="697"/>
      <c r="AK626" s="697"/>
      <c r="AL626" s="697"/>
      <c r="AM626" s="697"/>
      <c r="AN626" s="697"/>
      <c r="AO626" s="697"/>
      <c r="AP626" s="697"/>
      <c r="AQ626" s="697"/>
      <c r="AR626" s="697"/>
      <c r="AS626" s="697"/>
      <c r="AT626" s="697"/>
      <c r="AU626" s="697"/>
      <c r="AV626" s="697"/>
      <c r="AW626" s="697"/>
      <c r="AX626" s="697"/>
      <c r="AY626" s="697"/>
      <c r="AZ626" s="697"/>
      <c r="BA626" s="697"/>
      <c r="BB626" s="697"/>
      <c r="BC626" s="697"/>
      <c r="BD626" s="697"/>
      <c r="BE626" s="697"/>
      <c r="BF626" s="697"/>
      <c r="BG626" s="697"/>
      <c r="BH626" s="697"/>
      <c r="BI626" s="697"/>
      <c r="BJ626" s="697"/>
      <c r="BK626" s="697"/>
      <c r="BL626" s="697"/>
      <c r="BM626" s="697"/>
      <c r="BN626" s="697"/>
      <c r="BO626" s="697"/>
      <c r="BP626" s="697"/>
      <c r="BQ626" s="697"/>
      <c r="BR626" s="697"/>
      <c r="BS626" s="697"/>
      <c r="BT626" s="697"/>
      <c r="BU626" s="697"/>
      <c r="BV626" s="697"/>
      <c r="BW626" s="697"/>
      <c r="BX626" s="697"/>
      <c r="BY626" s="697"/>
      <c r="BZ626" s="697"/>
      <c r="CA626" s="697"/>
      <c r="CB626" s="697"/>
      <c r="CC626" s="697"/>
      <c r="CD626" s="697"/>
      <c r="CE626" s="697"/>
      <c r="CF626" s="697"/>
      <c r="CG626" s="697"/>
      <c r="CH626" s="697"/>
      <c r="CI626" s="697"/>
      <c r="CJ626" s="697"/>
      <c r="CK626" s="697"/>
      <c r="CL626" s="697"/>
      <c r="CM626" s="697"/>
      <c r="CN626" s="697"/>
      <c r="CO626" s="697"/>
      <c r="CP626" s="697"/>
      <c r="CQ626" s="697"/>
      <c r="CR626" s="697"/>
      <c r="CS626" s="697"/>
      <c r="CT626" s="697"/>
      <c r="CU626" s="697"/>
      <c r="CV626" s="697"/>
      <c r="CW626" s="697"/>
      <c r="CX626" s="697"/>
      <c r="CY626" s="697"/>
      <c r="CZ626" s="697"/>
      <c r="DA626" s="697"/>
      <c r="DB626" s="697"/>
    </row>
    <row r="627" spans="1:106" hidden="1" outlineLevel="1" x14ac:dyDescent="0.2">
      <c r="A627" s="709">
        <f t="shared" si="113"/>
        <v>40878</v>
      </c>
      <c r="B627" s="709" t="str">
        <f t="shared" si="114"/>
        <v>4Q11</v>
      </c>
      <c r="C627" s="709" t="str">
        <f t="shared" si="115"/>
        <v>1Q12</v>
      </c>
      <c r="D627" s="710">
        <f t="shared" si="120"/>
        <v>40939</v>
      </c>
      <c r="E627" s="710">
        <f t="shared" si="120"/>
        <v>40879</v>
      </c>
      <c r="F627" s="712">
        <v>99.91</v>
      </c>
      <c r="G627" s="713">
        <f t="shared" si="116"/>
        <v>1.4900000000000011</v>
      </c>
      <c r="H627" s="713">
        <f t="shared" si="117"/>
        <v>1.4900000000000011</v>
      </c>
      <c r="I627" s="697"/>
      <c r="J627" s="697"/>
      <c r="K627" s="697"/>
      <c r="L627" s="697"/>
      <c r="M627" s="697"/>
      <c r="N627" s="697"/>
      <c r="O627" s="697"/>
      <c r="P627" s="697"/>
      <c r="Q627" s="697"/>
      <c r="R627" s="697"/>
      <c r="S627" s="697"/>
      <c r="T627" s="697"/>
      <c r="U627" s="697"/>
      <c r="V627" s="697"/>
      <c r="W627" s="697"/>
      <c r="X627" s="697"/>
      <c r="Y627" s="697"/>
      <c r="Z627" s="697"/>
      <c r="AA627" s="697"/>
      <c r="AB627" s="697"/>
      <c r="AC627" s="697"/>
      <c r="AD627" s="697"/>
      <c r="AE627" s="697"/>
      <c r="AF627" s="697"/>
      <c r="AG627" s="697"/>
      <c r="AH627" s="697"/>
      <c r="AI627" s="697"/>
      <c r="AJ627" s="697"/>
      <c r="AK627" s="697"/>
      <c r="AL627" s="697"/>
      <c r="AM627" s="697"/>
      <c r="AN627" s="697"/>
      <c r="AO627" s="697"/>
      <c r="AP627" s="697"/>
      <c r="AQ627" s="697"/>
      <c r="AR627" s="697"/>
      <c r="AS627" s="697"/>
      <c r="AT627" s="697"/>
      <c r="AU627" s="697"/>
      <c r="AV627" s="697"/>
      <c r="AW627" s="697"/>
      <c r="AX627" s="697"/>
      <c r="AY627" s="697"/>
      <c r="AZ627" s="697"/>
      <c r="BA627" s="697"/>
      <c r="BB627" s="697"/>
      <c r="BC627" s="697"/>
      <c r="BD627" s="697"/>
      <c r="BE627" s="697"/>
      <c r="BF627" s="697"/>
      <c r="BG627" s="697"/>
      <c r="BH627" s="697"/>
      <c r="BI627" s="697"/>
      <c r="BJ627" s="697"/>
      <c r="BK627" s="697"/>
      <c r="BL627" s="697"/>
      <c r="BM627" s="697"/>
      <c r="BN627" s="697"/>
      <c r="BO627" s="697"/>
      <c r="BP627" s="697"/>
      <c r="BQ627" s="697"/>
      <c r="BR627" s="697"/>
      <c r="BS627" s="697"/>
      <c r="BT627" s="697"/>
      <c r="BU627" s="697"/>
      <c r="BV627" s="697"/>
      <c r="BW627" s="697"/>
      <c r="BX627" s="697"/>
      <c r="BY627" s="697"/>
      <c r="BZ627" s="697"/>
      <c r="CA627" s="697"/>
      <c r="CB627" s="697"/>
      <c r="CC627" s="697"/>
      <c r="CD627" s="697"/>
      <c r="CE627" s="697"/>
      <c r="CF627" s="697"/>
      <c r="CG627" s="697"/>
      <c r="CH627" s="697"/>
      <c r="CI627" s="697"/>
      <c r="CJ627" s="697"/>
      <c r="CK627" s="697"/>
      <c r="CL627" s="697"/>
      <c r="CM627" s="697"/>
      <c r="CN627" s="697"/>
      <c r="CO627" s="697"/>
      <c r="CP627" s="697"/>
      <c r="CQ627" s="697"/>
      <c r="CR627" s="697"/>
      <c r="CS627" s="697"/>
      <c r="CT627" s="697"/>
      <c r="CU627" s="697"/>
      <c r="CV627" s="697"/>
      <c r="CW627" s="697"/>
      <c r="CX627" s="697"/>
      <c r="CY627" s="697"/>
      <c r="CZ627" s="697"/>
      <c r="DA627" s="697"/>
      <c r="DB627" s="697"/>
    </row>
    <row r="628" spans="1:106" hidden="1" outlineLevel="1" x14ac:dyDescent="0.2">
      <c r="A628" s="709">
        <f t="shared" si="113"/>
        <v>40878</v>
      </c>
      <c r="B628" s="709" t="str">
        <f t="shared" si="114"/>
        <v>4Q11</v>
      </c>
      <c r="C628" s="709" t="str">
        <f t="shared" si="115"/>
        <v>1Q12</v>
      </c>
      <c r="D628" s="710">
        <f t="shared" si="120"/>
        <v>40946</v>
      </c>
      <c r="E628" s="710">
        <f t="shared" si="120"/>
        <v>40886</v>
      </c>
      <c r="F628" s="712">
        <v>100.08</v>
      </c>
      <c r="G628" s="713">
        <f t="shared" si="116"/>
        <v>1.4900000000000011</v>
      </c>
      <c r="H628" s="713">
        <f t="shared" si="117"/>
        <v>1.4900000000000011</v>
      </c>
      <c r="I628" s="697"/>
      <c r="J628" s="697"/>
      <c r="K628" s="697"/>
      <c r="L628" s="697"/>
      <c r="M628" s="697"/>
      <c r="N628" s="697"/>
      <c r="O628" s="697"/>
      <c r="P628" s="697"/>
      <c r="Q628" s="697"/>
      <c r="R628" s="697"/>
      <c r="S628" s="697"/>
      <c r="T628" s="697"/>
      <c r="U628" s="697"/>
      <c r="V628" s="697"/>
      <c r="W628" s="697"/>
      <c r="X628" s="697"/>
      <c r="Y628" s="697"/>
      <c r="Z628" s="697"/>
      <c r="AA628" s="697"/>
      <c r="AB628" s="697"/>
      <c r="AC628" s="697"/>
      <c r="AD628" s="697"/>
      <c r="AE628" s="697"/>
      <c r="AF628" s="697"/>
      <c r="AG628" s="697"/>
      <c r="AH628" s="697"/>
      <c r="AI628" s="697"/>
      <c r="AJ628" s="697"/>
      <c r="AK628" s="697"/>
      <c r="AL628" s="697"/>
      <c r="AM628" s="697"/>
      <c r="AN628" s="697"/>
      <c r="AO628" s="697"/>
      <c r="AP628" s="697"/>
      <c r="AQ628" s="697"/>
      <c r="AR628" s="697"/>
      <c r="AS628" s="697"/>
      <c r="AT628" s="697"/>
      <c r="AU628" s="697"/>
      <c r="AV628" s="697"/>
      <c r="AW628" s="697"/>
      <c r="AX628" s="697"/>
      <c r="AY628" s="697"/>
      <c r="AZ628" s="697"/>
      <c r="BA628" s="697"/>
      <c r="BB628" s="697"/>
      <c r="BC628" s="697"/>
      <c r="BD628" s="697"/>
      <c r="BE628" s="697"/>
      <c r="BF628" s="697"/>
      <c r="BG628" s="697"/>
      <c r="BH628" s="697"/>
      <c r="BI628" s="697"/>
      <c r="BJ628" s="697"/>
      <c r="BK628" s="697"/>
      <c r="BL628" s="697"/>
      <c r="BM628" s="697"/>
      <c r="BN628" s="697"/>
      <c r="BO628" s="697"/>
      <c r="BP628" s="697"/>
      <c r="BQ628" s="697"/>
      <c r="BR628" s="697"/>
      <c r="BS628" s="697"/>
      <c r="BT628" s="697"/>
      <c r="BU628" s="697"/>
      <c r="BV628" s="697"/>
      <c r="BW628" s="697"/>
      <c r="BX628" s="697"/>
      <c r="BY628" s="697"/>
      <c r="BZ628" s="697"/>
      <c r="CA628" s="697"/>
      <c r="CB628" s="697"/>
      <c r="CC628" s="697"/>
      <c r="CD628" s="697"/>
      <c r="CE628" s="697"/>
      <c r="CF628" s="697"/>
      <c r="CG628" s="697"/>
      <c r="CH628" s="697"/>
      <c r="CI628" s="697"/>
      <c r="CJ628" s="697"/>
      <c r="CK628" s="697"/>
      <c r="CL628" s="697"/>
      <c r="CM628" s="697"/>
      <c r="CN628" s="697"/>
      <c r="CO628" s="697"/>
      <c r="CP628" s="697"/>
      <c r="CQ628" s="697"/>
      <c r="CR628" s="697"/>
      <c r="CS628" s="697"/>
      <c r="CT628" s="697"/>
      <c r="CU628" s="697"/>
      <c r="CV628" s="697"/>
      <c r="CW628" s="697"/>
      <c r="CX628" s="697"/>
      <c r="CY628" s="697"/>
      <c r="CZ628" s="697"/>
      <c r="DA628" s="697"/>
      <c r="DB628" s="697"/>
    </row>
    <row r="629" spans="1:106" hidden="1" outlineLevel="1" x14ac:dyDescent="0.2">
      <c r="A629" s="709">
        <f t="shared" si="113"/>
        <v>40878</v>
      </c>
      <c r="B629" s="709" t="str">
        <f t="shared" si="114"/>
        <v>4Q11</v>
      </c>
      <c r="C629" s="709" t="str">
        <f t="shared" si="115"/>
        <v>1Q12</v>
      </c>
      <c r="D629" s="710">
        <f t="shared" ref="D629:E644" si="121">D628+7</f>
        <v>40953</v>
      </c>
      <c r="E629" s="710">
        <f t="shared" si="121"/>
        <v>40893</v>
      </c>
      <c r="F629" s="712">
        <v>96.06</v>
      </c>
      <c r="G629" s="713">
        <f t="shared" si="116"/>
        <v>1.4900000000000011</v>
      </c>
      <c r="H629" s="713">
        <f t="shared" si="117"/>
        <v>1.4900000000000011</v>
      </c>
      <c r="I629" s="697"/>
      <c r="J629" s="697"/>
      <c r="K629" s="697"/>
      <c r="L629" s="697"/>
      <c r="M629" s="697"/>
      <c r="N629" s="697"/>
      <c r="O629" s="697"/>
      <c r="P629" s="697"/>
      <c r="Q629" s="697"/>
      <c r="R629" s="697"/>
      <c r="S629" s="697"/>
      <c r="T629" s="697"/>
      <c r="U629" s="697"/>
      <c r="V629" s="697"/>
      <c r="W629" s="697"/>
      <c r="X629" s="697"/>
      <c r="Y629" s="697"/>
      <c r="Z629" s="697"/>
      <c r="AA629" s="697"/>
      <c r="AB629" s="697"/>
      <c r="AC629" s="697"/>
      <c r="AD629" s="697"/>
      <c r="AE629" s="697"/>
      <c r="AF629" s="697"/>
      <c r="AG629" s="697"/>
      <c r="AH629" s="697"/>
      <c r="AI629" s="697"/>
      <c r="AJ629" s="697"/>
      <c r="AK629" s="697"/>
      <c r="AL629" s="697"/>
      <c r="AM629" s="697"/>
      <c r="AN629" s="697"/>
      <c r="AO629" s="697"/>
      <c r="AP629" s="697"/>
      <c r="AQ629" s="697"/>
      <c r="AR629" s="697"/>
      <c r="AS629" s="697"/>
      <c r="AT629" s="697"/>
      <c r="AU629" s="697"/>
      <c r="AV629" s="697"/>
      <c r="AW629" s="697"/>
      <c r="AX629" s="697"/>
      <c r="AY629" s="697"/>
      <c r="AZ629" s="697"/>
      <c r="BA629" s="697"/>
      <c r="BB629" s="697"/>
      <c r="BC629" s="697"/>
      <c r="BD629" s="697"/>
      <c r="BE629" s="697"/>
      <c r="BF629" s="697"/>
      <c r="BG629" s="697"/>
      <c r="BH629" s="697"/>
      <c r="BI629" s="697"/>
      <c r="BJ629" s="697"/>
      <c r="BK629" s="697"/>
      <c r="BL629" s="697"/>
      <c r="BM629" s="697"/>
      <c r="BN629" s="697"/>
      <c r="BO629" s="697"/>
      <c r="BP629" s="697"/>
      <c r="BQ629" s="697"/>
      <c r="BR629" s="697"/>
      <c r="BS629" s="697"/>
      <c r="BT629" s="697"/>
      <c r="BU629" s="697"/>
      <c r="BV629" s="697"/>
      <c r="BW629" s="697"/>
      <c r="BX629" s="697"/>
      <c r="BY629" s="697"/>
      <c r="BZ629" s="697"/>
      <c r="CA629" s="697"/>
      <c r="CB629" s="697"/>
      <c r="CC629" s="697"/>
      <c r="CD629" s="697"/>
      <c r="CE629" s="697"/>
      <c r="CF629" s="697"/>
      <c r="CG629" s="697"/>
      <c r="CH629" s="697"/>
      <c r="CI629" s="697"/>
      <c r="CJ629" s="697"/>
      <c r="CK629" s="697"/>
      <c r="CL629" s="697"/>
      <c r="CM629" s="697"/>
      <c r="CN629" s="697"/>
      <c r="CO629" s="697"/>
      <c r="CP629" s="697"/>
      <c r="CQ629" s="697"/>
      <c r="CR629" s="697"/>
      <c r="CS629" s="697"/>
      <c r="CT629" s="697"/>
      <c r="CU629" s="697"/>
      <c r="CV629" s="697"/>
      <c r="CW629" s="697"/>
      <c r="CX629" s="697"/>
      <c r="CY629" s="697"/>
      <c r="CZ629" s="697"/>
      <c r="DA629" s="697"/>
      <c r="DB629" s="697"/>
    </row>
    <row r="630" spans="1:106" hidden="1" outlineLevel="1" x14ac:dyDescent="0.2">
      <c r="A630" s="709">
        <f t="shared" si="113"/>
        <v>40878</v>
      </c>
      <c r="B630" s="709" t="str">
        <f t="shared" si="114"/>
        <v>4Q11</v>
      </c>
      <c r="C630" s="709" t="str">
        <f t="shared" si="115"/>
        <v>1Q12</v>
      </c>
      <c r="D630" s="710">
        <f t="shared" si="121"/>
        <v>40960</v>
      </c>
      <c r="E630" s="710">
        <f t="shared" si="121"/>
        <v>40900</v>
      </c>
      <c r="F630" s="712">
        <v>97.74</v>
      </c>
      <c r="G630" s="713">
        <f t="shared" si="116"/>
        <v>1.4900000000000011</v>
      </c>
      <c r="H630" s="713">
        <f t="shared" si="117"/>
        <v>1.4900000000000011</v>
      </c>
      <c r="I630" s="697"/>
      <c r="J630" s="697"/>
      <c r="K630" s="697"/>
      <c r="L630" s="697"/>
      <c r="M630" s="697"/>
      <c r="N630" s="697"/>
      <c r="O630" s="697"/>
      <c r="P630" s="697"/>
      <c r="Q630" s="697"/>
      <c r="R630" s="697"/>
      <c r="S630" s="697"/>
      <c r="T630" s="697"/>
      <c r="U630" s="697"/>
      <c r="V630" s="697"/>
      <c r="W630" s="697"/>
      <c r="X630" s="697"/>
      <c r="Y630" s="697"/>
      <c r="Z630" s="697"/>
      <c r="AA630" s="697"/>
      <c r="AB630" s="697"/>
      <c r="AC630" s="697"/>
      <c r="AD630" s="697"/>
      <c r="AE630" s="697"/>
      <c r="AF630" s="697"/>
      <c r="AG630" s="697"/>
      <c r="AH630" s="697"/>
      <c r="AI630" s="697"/>
      <c r="AJ630" s="697"/>
      <c r="AK630" s="697"/>
      <c r="AL630" s="697"/>
      <c r="AM630" s="697"/>
      <c r="AN630" s="697"/>
      <c r="AO630" s="697"/>
      <c r="AP630" s="697"/>
      <c r="AQ630" s="697"/>
      <c r="AR630" s="697"/>
      <c r="AS630" s="697"/>
      <c r="AT630" s="697"/>
      <c r="AU630" s="697"/>
      <c r="AV630" s="697"/>
      <c r="AW630" s="697"/>
      <c r="AX630" s="697"/>
      <c r="AY630" s="697"/>
      <c r="AZ630" s="697"/>
      <c r="BA630" s="697"/>
      <c r="BB630" s="697"/>
      <c r="BC630" s="697"/>
      <c r="BD630" s="697"/>
      <c r="BE630" s="697"/>
      <c r="BF630" s="697"/>
      <c r="BG630" s="697"/>
      <c r="BH630" s="697"/>
      <c r="BI630" s="697"/>
      <c r="BJ630" s="697"/>
      <c r="BK630" s="697"/>
      <c r="BL630" s="697"/>
      <c r="BM630" s="697"/>
      <c r="BN630" s="697"/>
      <c r="BO630" s="697"/>
      <c r="BP630" s="697"/>
      <c r="BQ630" s="697"/>
      <c r="BR630" s="697"/>
      <c r="BS630" s="697"/>
      <c r="BT630" s="697"/>
      <c r="BU630" s="697"/>
      <c r="BV630" s="697"/>
      <c r="BW630" s="697"/>
      <c r="BX630" s="697"/>
      <c r="BY630" s="697"/>
      <c r="BZ630" s="697"/>
      <c r="CA630" s="697"/>
      <c r="CB630" s="697"/>
      <c r="CC630" s="697"/>
      <c r="CD630" s="697"/>
      <c r="CE630" s="697"/>
      <c r="CF630" s="697"/>
      <c r="CG630" s="697"/>
      <c r="CH630" s="697"/>
      <c r="CI630" s="697"/>
      <c r="CJ630" s="697"/>
      <c r="CK630" s="697"/>
      <c r="CL630" s="697"/>
      <c r="CM630" s="697"/>
      <c r="CN630" s="697"/>
      <c r="CO630" s="697"/>
      <c r="CP630" s="697"/>
      <c r="CQ630" s="697"/>
      <c r="CR630" s="697"/>
      <c r="CS630" s="697"/>
      <c r="CT630" s="697"/>
      <c r="CU630" s="697"/>
      <c r="CV630" s="697"/>
      <c r="CW630" s="697"/>
      <c r="CX630" s="697"/>
      <c r="CY630" s="697"/>
      <c r="CZ630" s="697"/>
      <c r="DA630" s="697"/>
      <c r="DB630" s="697"/>
    </row>
    <row r="631" spans="1:106" hidden="1" outlineLevel="1" x14ac:dyDescent="0.2">
      <c r="A631" s="709">
        <f t="shared" si="113"/>
        <v>40878</v>
      </c>
      <c r="B631" s="709" t="str">
        <f t="shared" si="114"/>
        <v>4Q11</v>
      </c>
      <c r="C631" s="709" t="str">
        <f t="shared" si="115"/>
        <v>1Q12</v>
      </c>
      <c r="D631" s="710">
        <f t="shared" si="121"/>
        <v>40967</v>
      </c>
      <c r="E631" s="710">
        <f t="shared" si="121"/>
        <v>40907</v>
      </c>
      <c r="F631" s="712">
        <v>99.81</v>
      </c>
      <c r="G631" s="713">
        <f t="shared" si="116"/>
        <v>1.4900000000000011</v>
      </c>
      <c r="H631" s="713">
        <f t="shared" si="117"/>
        <v>1.4900000000000011</v>
      </c>
      <c r="I631" s="697"/>
      <c r="J631" s="697"/>
      <c r="K631" s="697"/>
      <c r="L631" s="697"/>
      <c r="M631" s="697"/>
      <c r="N631" s="697"/>
      <c r="O631" s="697"/>
      <c r="P631" s="697"/>
      <c r="Q631" s="697"/>
      <c r="R631" s="697"/>
      <c r="S631" s="697"/>
      <c r="T631" s="697"/>
      <c r="U631" s="697"/>
      <c r="V631" s="697"/>
      <c r="W631" s="697"/>
      <c r="X631" s="697"/>
      <c r="Y631" s="697"/>
      <c r="Z631" s="697"/>
      <c r="AA631" s="697"/>
      <c r="AB631" s="697"/>
      <c r="AC631" s="697"/>
      <c r="AD631" s="697"/>
      <c r="AE631" s="697"/>
      <c r="AF631" s="697"/>
      <c r="AG631" s="697"/>
      <c r="AH631" s="697"/>
      <c r="AI631" s="697"/>
      <c r="AJ631" s="697"/>
      <c r="AK631" s="697"/>
      <c r="AL631" s="697"/>
      <c r="AM631" s="697"/>
      <c r="AN631" s="697"/>
      <c r="AO631" s="697"/>
      <c r="AP631" s="697"/>
      <c r="AQ631" s="697"/>
      <c r="AR631" s="697"/>
      <c r="AS631" s="697"/>
      <c r="AT631" s="697"/>
      <c r="AU631" s="697"/>
      <c r="AV631" s="697"/>
      <c r="AW631" s="697"/>
      <c r="AX631" s="697"/>
      <c r="AY631" s="697"/>
      <c r="AZ631" s="697"/>
      <c r="BA631" s="697"/>
      <c r="BB631" s="697"/>
      <c r="BC631" s="697"/>
      <c r="BD631" s="697"/>
      <c r="BE631" s="697"/>
      <c r="BF631" s="697"/>
      <c r="BG631" s="697"/>
      <c r="BH631" s="697"/>
      <c r="BI631" s="697"/>
      <c r="BJ631" s="697"/>
      <c r="BK631" s="697"/>
      <c r="BL631" s="697"/>
      <c r="BM631" s="697"/>
      <c r="BN631" s="697"/>
      <c r="BO631" s="697"/>
      <c r="BP631" s="697"/>
      <c r="BQ631" s="697"/>
      <c r="BR631" s="697"/>
      <c r="BS631" s="697"/>
      <c r="BT631" s="697"/>
      <c r="BU631" s="697"/>
      <c r="BV631" s="697"/>
      <c r="BW631" s="697"/>
      <c r="BX631" s="697"/>
      <c r="BY631" s="697"/>
      <c r="BZ631" s="697"/>
      <c r="CA631" s="697"/>
      <c r="CB631" s="697"/>
      <c r="CC631" s="697"/>
      <c r="CD631" s="697"/>
      <c r="CE631" s="697"/>
      <c r="CF631" s="697"/>
      <c r="CG631" s="697"/>
      <c r="CH631" s="697"/>
      <c r="CI631" s="697"/>
      <c r="CJ631" s="697"/>
      <c r="CK631" s="697"/>
      <c r="CL631" s="697"/>
      <c r="CM631" s="697"/>
      <c r="CN631" s="697"/>
      <c r="CO631" s="697"/>
      <c r="CP631" s="697"/>
      <c r="CQ631" s="697"/>
      <c r="CR631" s="697"/>
      <c r="CS631" s="697"/>
      <c r="CT631" s="697"/>
      <c r="CU631" s="697"/>
      <c r="CV631" s="697"/>
      <c r="CW631" s="697"/>
      <c r="CX631" s="697"/>
      <c r="CY631" s="697"/>
      <c r="CZ631" s="697"/>
      <c r="DA631" s="697"/>
      <c r="DB631" s="697"/>
    </row>
    <row r="632" spans="1:106" hidden="1" outlineLevel="1" x14ac:dyDescent="0.2">
      <c r="A632" s="709">
        <f t="shared" si="113"/>
        <v>40909</v>
      </c>
      <c r="B632" s="709" t="str">
        <f t="shared" si="114"/>
        <v>1Q12</v>
      </c>
      <c r="C632" s="709" t="str">
        <f t="shared" si="115"/>
        <v>1Q12</v>
      </c>
      <c r="D632" s="710">
        <f t="shared" si="121"/>
        <v>40974</v>
      </c>
      <c r="E632" s="710">
        <f t="shared" si="121"/>
        <v>40914</v>
      </c>
      <c r="F632" s="712">
        <v>102.39</v>
      </c>
      <c r="G632" s="713">
        <f t="shared" si="116"/>
        <v>1.4900000000000011</v>
      </c>
      <c r="H632" s="713">
        <f t="shared" si="117"/>
        <v>1.4900000000000011</v>
      </c>
      <c r="I632" s="697"/>
      <c r="J632" s="697"/>
      <c r="K632" s="697"/>
      <c r="L632" s="697"/>
      <c r="M632" s="697"/>
      <c r="N632" s="697"/>
      <c r="O632" s="697"/>
      <c r="P632" s="697"/>
      <c r="Q632" s="697"/>
      <c r="R632" s="697"/>
      <c r="S632" s="697"/>
      <c r="T632" s="697"/>
      <c r="U632" s="697"/>
      <c r="V632" s="697"/>
      <c r="W632" s="697"/>
      <c r="X632" s="697"/>
      <c r="Y632" s="697"/>
      <c r="Z632" s="697"/>
      <c r="AA632" s="697"/>
      <c r="AB632" s="697"/>
      <c r="AC632" s="697"/>
      <c r="AD632" s="697"/>
      <c r="AE632" s="697"/>
      <c r="AF632" s="697"/>
      <c r="AG632" s="697"/>
      <c r="AH632" s="697"/>
      <c r="AI632" s="697"/>
      <c r="AJ632" s="697"/>
      <c r="AK632" s="697"/>
      <c r="AL632" s="697"/>
      <c r="AM632" s="697"/>
      <c r="AN632" s="697"/>
      <c r="AO632" s="697"/>
      <c r="AP632" s="697"/>
      <c r="AQ632" s="697"/>
      <c r="AR632" s="697"/>
      <c r="AS632" s="697"/>
      <c r="AT632" s="697"/>
      <c r="AU632" s="697"/>
      <c r="AV632" s="697"/>
      <c r="AW632" s="697"/>
      <c r="AX632" s="697"/>
      <c r="AY632" s="697"/>
      <c r="AZ632" s="697"/>
      <c r="BA632" s="697"/>
      <c r="BB632" s="697"/>
      <c r="BC632" s="697"/>
      <c r="BD632" s="697"/>
      <c r="BE632" s="697"/>
      <c r="BF632" s="697"/>
      <c r="BG632" s="697"/>
      <c r="BH632" s="697"/>
      <c r="BI632" s="697"/>
      <c r="BJ632" s="697"/>
      <c r="BK632" s="697"/>
      <c r="BL632" s="697"/>
      <c r="BM632" s="697"/>
      <c r="BN632" s="697"/>
      <c r="BO632" s="697"/>
      <c r="BP632" s="697"/>
      <c r="BQ632" s="697"/>
      <c r="BR632" s="697"/>
      <c r="BS632" s="697"/>
      <c r="BT632" s="697"/>
      <c r="BU632" s="697"/>
      <c r="BV632" s="697"/>
      <c r="BW632" s="697"/>
      <c r="BX632" s="697"/>
      <c r="BY632" s="697"/>
      <c r="BZ632" s="697"/>
      <c r="CA632" s="697"/>
      <c r="CB632" s="697"/>
      <c r="CC632" s="697"/>
      <c r="CD632" s="697"/>
      <c r="CE632" s="697"/>
      <c r="CF632" s="697"/>
      <c r="CG632" s="697"/>
      <c r="CH632" s="697"/>
      <c r="CI632" s="697"/>
      <c r="CJ632" s="697"/>
      <c r="CK632" s="697"/>
      <c r="CL632" s="697"/>
      <c r="CM632" s="697"/>
      <c r="CN632" s="697"/>
      <c r="CO632" s="697"/>
      <c r="CP632" s="697"/>
      <c r="CQ632" s="697"/>
      <c r="CR632" s="697"/>
      <c r="CS632" s="697"/>
      <c r="CT632" s="697"/>
      <c r="CU632" s="697"/>
      <c r="CV632" s="697"/>
      <c r="CW632" s="697"/>
      <c r="CX632" s="697"/>
      <c r="CY632" s="697"/>
      <c r="CZ632" s="697"/>
      <c r="DA632" s="697"/>
      <c r="DB632" s="697"/>
    </row>
    <row r="633" spans="1:106" hidden="1" outlineLevel="1" x14ac:dyDescent="0.2">
      <c r="A633" s="709">
        <f t="shared" si="113"/>
        <v>40909</v>
      </c>
      <c r="B633" s="709" t="str">
        <f t="shared" si="114"/>
        <v>1Q12</v>
      </c>
      <c r="C633" s="709" t="str">
        <f t="shared" si="115"/>
        <v>1Q12</v>
      </c>
      <c r="D633" s="710">
        <f t="shared" si="121"/>
        <v>40981</v>
      </c>
      <c r="E633" s="710">
        <f t="shared" si="121"/>
        <v>40921</v>
      </c>
      <c r="F633" s="712">
        <v>100.43</v>
      </c>
      <c r="G633" s="713">
        <f t="shared" si="116"/>
        <v>1.4900000000000011</v>
      </c>
      <c r="H633" s="713">
        <f t="shared" si="117"/>
        <v>1.4900000000000011</v>
      </c>
      <c r="I633" s="697"/>
      <c r="J633" s="697"/>
      <c r="K633" s="697"/>
      <c r="L633" s="697"/>
      <c r="M633" s="697"/>
      <c r="N633" s="697"/>
      <c r="O633" s="697"/>
      <c r="P633" s="697"/>
      <c r="Q633" s="697"/>
      <c r="R633" s="697"/>
      <c r="S633" s="697"/>
      <c r="T633" s="697"/>
      <c r="U633" s="697"/>
      <c r="V633" s="697"/>
      <c r="W633" s="697"/>
      <c r="X633" s="697"/>
      <c r="Y633" s="697"/>
      <c r="Z633" s="697"/>
      <c r="AA633" s="697"/>
      <c r="AB633" s="697"/>
      <c r="AC633" s="697"/>
      <c r="AD633" s="697"/>
      <c r="AE633" s="697"/>
      <c r="AF633" s="697"/>
      <c r="AG633" s="697"/>
      <c r="AH633" s="697"/>
      <c r="AI633" s="697"/>
      <c r="AJ633" s="697"/>
      <c r="AK633" s="697"/>
      <c r="AL633" s="697"/>
      <c r="AM633" s="697"/>
      <c r="AN633" s="697"/>
      <c r="AO633" s="697"/>
      <c r="AP633" s="697"/>
      <c r="AQ633" s="697"/>
      <c r="AR633" s="697"/>
      <c r="AS633" s="697"/>
      <c r="AT633" s="697"/>
      <c r="AU633" s="697"/>
      <c r="AV633" s="697"/>
      <c r="AW633" s="697"/>
      <c r="AX633" s="697"/>
      <c r="AY633" s="697"/>
      <c r="AZ633" s="697"/>
      <c r="BA633" s="697"/>
      <c r="BB633" s="697"/>
      <c r="BC633" s="697"/>
      <c r="BD633" s="697"/>
      <c r="BE633" s="697"/>
      <c r="BF633" s="697"/>
      <c r="BG633" s="697"/>
      <c r="BH633" s="697"/>
      <c r="BI633" s="697"/>
      <c r="BJ633" s="697"/>
      <c r="BK633" s="697"/>
      <c r="BL633" s="697"/>
      <c r="BM633" s="697"/>
      <c r="BN633" s="697"/>
      <c r="BO633" s="697"/>
      <c r="BP633" s="697"/>
      <c r="BQ633" s="697"/>
      <c r="BR633" s="697"/>
      <c r="BS633" s="697"/>
      <c r="BT633" s="697"/>
      <c r="BU633" s="697"/>
      <c r="BV633" s="697"/>
      <c r="BW633" s="697"/>
      <c r="BX633" s="697"/>
      <c r="BY633" s="697"/>
      <c r="BZ633" s="697"/>
      <c r="CA633" s="697"/>
      <c r="CB633" s="697"/>
      <c r="CC633" s="697"/>
      <c r="CD633" s="697"/>
      <c r="CE633" s="697"/>
      <c r="CF633" s="697"/>
      <c r="CG633" s="697"/>
      <c r="CH633" s="697"/>
      <c r="CI633" s="697"/>
      <c r="CJ633" s="697"/>
      <c r="CK633" s="697"/>
      <c r="CL633" s="697"/>
      <c r="CM633" s="697"/>
      <c r="CN633" s="697"/>
      <c r="CO633" s="697"/>
      <c r="CP633" s="697"/>
      <c r="CQ633" s="697"/>
      <c r="CR633" s="697"/>
      <c r="CS633" s="697"/>
      <c r="CT633" s="697"/>
      <c r="CU633" s="697"/>
      <c r="CV633" s="697"/>
      <c r="CW633" s="697"/>
      <c r="CX633" s="697"/>
      <c r="CY633" s="697"/>
      <c r="CZ633" s="697"/>
      <c r="DA633" s="697"/>
      <c r="DB633" s="697"/>
    </row>
    <row r="634" spans="1:106" hidden="1" outlineLevel="1" x14ac:dyDescent="0.2">
      <c r="A634" s="709">
        <f t="shared" si="113"/>
        <v>40909</v>
      </c>
      <c r="B634" s="709" t="str">
        <f t="shared" si="114"/>
        <v>1Q12</v>
      </c>
      <c r="C634" s="709" t="str">
        <f t="shared" si="115"/>
        <v>1Q12</v>
      </c>
      <c r="D634" s="710">
        <f t="shared" si="121"/>
        <v>40988</v>
      </c>
      <c r="E634" s="710">
        <f t="shared" si="121"/>
        <v>40928</v>
      </c>
      <c r="F634" s="712">
        <v>99.95</v>
      </c>
      <c r="G634" s="713">
        <f t="shared" si="116"/>
        <v>1.4900000000000011</v>
      </c>
      <c r="H634" s="713">
        <f t="shared" si="117"/>
        <v>1.4900000000000011</v>
      </c>
      <c r="I634" s="697"/>
      <c r="J634" s="697"/>
      <c r="K634" s="697"/>
      <c r="L634" s="697"/>
      <c r="M634" s="697"/>
      <c r="N634" s="697"/>
      <c r="O634" s="697"/>
      <c r="P634" s="697"/>
      <c r="Q634" s="697"/>
      <c r="R634" s="697"/>
      <c r="S634" s="697"/>
      <c r="T634" s="697"/>
      <c r="U634" s="697"/>
      <c r="V634" s="697"/>
      <c r="W634" s="697"/>
      <c r="X634" s="697"/>
      <c r="Y634" s="697"/>
      <c r="Z634" s="697"/>
      <c r="AA634" s="697"/>
      <c r="AB634" s="697"/>
      <c r="AC634" s="697"/>
      <c r="AD634" s="697"/>
      <c r="AE634" s="697"/>
      <c r="AF634" s="697"/>
      <c r="AG634" s="697"/>
      <c r="AH634" s="697"/>
      <c r="AI634" s="697"/>
      <c r="AJ634" s="697"/>
      <c r="AK634" s="697"/>
      <c r="AL634" s="697"/>
      <c r="AM634" s="697"/>
      <c r="AN634" s="697"/>
      <c r="AO634" s="697"/>
      <c r="AP634" s="697"/>
      <c r="AQ634" s="697"/>
      <c r="AR634" s="697"/>
      <c r="AS634" s="697"/>
      <c r="AT634" s="697"/>
      <c r="AU634" s="697"/>
      <c r="AV634" s="697"/>
      <c r="AW634" s="697"/>
      <c r="AX634" s="697"/>
      <c r="AY634" s="697"/>
      <c r="AZ634" s="697"/>
      <c r="BA634" s="697"/>
      <c r="BB634" s="697"/>
      <c r="BC634" s="697"/>
      <c r="BD634" s="697"/>
      <c r="BE634" s="697"/>
      <c r="BF634" s="697"/>
      <c r="BG634" s="697"/>
      <c r="BH634" s="697"/>
      <c r="BI634" s="697"/>
      <c r="BJ634" s="697"/>
      <c r="BK634" s="697"/>
      <c r="BL634" s="697"/>
      <c r="BM634" s="697"/>
      <c r="BN634" s="697"/>
      <c r="BO634" s="697"/>
      <c r="BP634" s="697"/>
      <c r="BQ634" s="697"/>
      <c r="BR634" s="697"/>
      <c r="BS634" s="697"/>
      <c r="BT634" s="697"/>
      <c r="BU634" s="697"/>
      <c r="BV634" s="697"/>
      <c r="BW634" s="697"/>
      <c r="BX634" s="697"/>
      <c r="BY634" s="697"/>
      <c r="BZ634" s="697"/>
      <c r="CA634" s="697"/>
      <c r="CB634" s="697"/>
      <c r="CC634" s="697"/>
      <c r="CD634" s="697"/>
      <c r="CE634" s="697"/>
      <c r="CF634" s="697"/>
      <c r="CG634" s="697"/>
      <c r="CH634" s="697"/>
      <c r="CI634" s="697"/>
      <c r="CJ634" s="697"/>
      <c r="CK634" s="697"/>
      <c r="CL634" s="697"/>
      <c r="CM634" s="697"/>
      <c r="CN634" s="697"/>
      <c r="CO634" s="697"/>
      <c r="CP634" s="697"/>
      <c r="CQ634" s="697"/>
      <c r="CR634" s="697"/>
      <c r="CS634" s="697"/>
      <c r="CT634" s="697"/>
      <c r="CU634" s="697"/>
      <c r="CV634" s="697"/>
      <c r="CW634" s="697"/>
      <c r="CX634" s="697"/>
      <c r="CY634" s="697"/>
      <c r="CZ634" s="697"/>
      <c r="DA634" s="697"/>
      <c r="DB634" s="697"/>
    </row>
    <row r="635" spans="1:106" hidden="1" outlineLevel="1" x14ac:dyDescent="0.2">
      <c r="A635" s="709">
        <f t="shared" si="113"/>
        <v>40909</v>
      </c>
      <c r="B635" s="709" t="str">
        <f t="shared" si="114"/>
        <v>1Q12</v>
      </c>
      <c r="C635" s="709" t="str">
        <f t="shared" si="115"/>
        <v>1Q12</v>
      </c>
      <c r="D635" s="710">
        <f t="shared" si="121"/>
        <v>40995</v>
      </c>
      <c r="E635" s="710">
        <f t="shared" si="121"/>
        <v>40935</v>
      </c>
      <c r="F635" s="712">
        <v>99.35</v>
      </c>
      <c r="G635" s="713">
        <f t="shared" si="116"/>
        <v>1.4900000000000011</v>
      </c>
      <c r="H635" s="713">
        <f t="shared" si="117"/>
        <v>1.4900000000000011</v>
      </c>
      <c r="I635" s="697"/>
      <c r="J635" s="697"/>
      <c r="K635" s="697"/>
      <c r="L635" s="697"/>
      <c r="M635" s="697"/>
      <c r="N635" s="697"/>
      <c r="O635" s="697"/>
      <c r="P635" s="697"/>
      <c r="Q635" s="697"/>
      <c r="R635" s="697"/>
      <c r="S635" s="697"/>
      <c r="T635" s="697"/>
      <c r="U635" s="697"/>
      <c r="V635" s="697"/>
      <c r="W635" s="697"/>
      <c r="X635" s="697"/>
      <c r="Y635" s="697"/>
      <c r="Z635" s="697"/>
      <c r="AA635" s="697"/>
      <c r="AB635" s="697"/>
      <c r="AC635" s="697"/>
      <c r="AD635" s="697"/>
      <c r="AE635" s="697"/>
      <c r="AF635" s="697"/>
      <c r="AG635" s="697"/>
      <c r="AH635" s="697"/>
      <c r="AI635" s="697"/>
      <c r="AJ635" s="697"/>
      <c r="AK635" s="697"/>
      <c r="AL635" s="697"/>
      <c r="AM635" s="697"/>
      <c r="AN635" s="697"/>
      <c r="AO635" s="697"/>
      <c r="AP635" s="697"/>
      <c r="AQ635" s="697"/>
      <c r="AR635" s="697"/>
      <c r="AS635" s="697"/>
      <c r="AT635" s="697"/>
      <c r="AU635" s="697"/>
      <c r="AV635" s="697"/>
      <c r="AW635" s="697"/>
      <c r="AX635" s="697"/>
      <c r="AY635" s="697"/>
      <c r="AZ635" s="697"/>
      <c r="BA635" s="697"/>
      <c r="BB635" s="697"/>
      <c r="BC635" s="697"/>
      <c r="BD635" s="697"/>
      <c r="BE635" s="697"/>
      <c r="BF635" s="697"/>
      <c r="BG635" s="697"/>
      <c r="BH635" s="697"/>
      <c r="BI635" s="697"/>
      <c r="BJ635" s="697"/>
      <c r="BK635" s="697"/>
      <c r="BL635" s="697"/>
      <c r="BM635" s="697"/>
      <c r="BN635" s="697"/>
      <c r="BO635" s="697"/>
      <c r="BP635" s="697"/>
      <c r="BQ635" s="697"/>
      <c r="BR635" s="697"/>
      <c r="BS635" s="697"/>
      <c r="BT635" s="697"/>
      <c r="BU635" s="697"/>
      <c r="BV635" s="697"/>
      <c r="BW635" s="697"/>
      <c r="BX635" s="697"/>
      <c r="BY635" s="697"/>
      <c r="BZ635" s="697"/>
      <c r="CA635" s="697"/>
      <c r="CB635" s="697"/>
      <c r="CC635" s="697"/>
      <c r="CD635" s="697"/>
      <c r="CE635" s="697"/>
      <c r="CF635" s="697"/>
      <c r="CG635" s="697"/>
      <c r="CH635" s="697"/>
      <c r="CI635" s="697"/>
      <c r="CJ635" s="697"/>
      <c r="CK635" s="697"/>
      <c r="CL635" s="697"/>
      <c r="CM635" s="697"/>
      <c r="CN635" s="697"/>
      <c r="CO635" s="697"/>
      <c r="CP635" s="697"/>
      <c r="CQ635" s="697"/>
      <c r="CR635" s="697"/>
      <c r="CS635" s="697"/>
      <c r="CT635" s="697"/>
      <c r="CU635" s="697"/>
      <c r="CV635" s="697"/>
      <c r="CW635" s="697"/>
      <c r="CX635" s="697"/>
      <c r="CY635" s="697"/>
      <c r="CZ635" s="697"/>
      <c r="DA635" s="697"/>
      <c r="DB635" s="697"/>
    </row>
    <row r="636" spans="1:106" hidden="1" outlineLevel="1" x14ac:dyDescent="0.2">
      <c r="A636" s="709">
        <f t="shared" si="113"/>
        <v>40940</v>
      </c>
      <c r="B636" s="709" t="str">
        <f t="shared" si="114"/>
        <v>1Q12</v>
      </c>
      <c r="C636" s="709" t="str">
        <f t="shared" si="115"/>
        <v>2Q12</v>
      </c>
      <c r="D636" s="710">
        <f t="shared" si="121"/>
        <v>41002</v>
      </c>
      <c r="E636" s="710">
        <f t="shared" si="121"/>
        <v>40942</v>
      </c>
      <c r="F636" s="712">
        <v>97.8</v>
      </c>
      <c r="G636" s="713">
        <f t="shared" si="116"/>
        <v>1.4900000000000011</v>
      </c>
      <c r="H636" s="713">
        <f t="shared" si="117"/>
        <v>1.4900000000000011</v>
      </c>
      <c r="I636" s="697"/>
      <c r="J636" s="697"/>
      <c r="K636" s="697"/>
      <c r="L636" s="697"/>
      <c r="M636" s="697"/>
      <c r="N636" s="697"/>
      <c r="O636" s="697"/>
      <c r="P636" s="697"/>
      <c r="Q636" s="697"/>
      <c r="R636" s="697"/>
      <c r="S636" s="697"/>
      <c r="T636" s="697"/>
      <c r="U636" s="697"/>
      <c r="V636" s="697"/>
      <c r="W636" s="697"/>
      <c r="X636" s="697"/>
      <c r="Y636" s="697"/>
      <c r="Z636" s="697"/>
      <c r="AA636" s="697"/>
      <c r="AB636" s="697"/>
      <c r="AC636" s="697"/>
      <c r="AD636" s="697"/>
      <c r="AE636" s="697"/>
      <c r="AF636" s="697"/>
      <c r="AG636" s="697"/>
      <c r="AH636" s="697"/>
      <c r="AI636" s="697"/>
      <c r="AJ636" s="697"/>
      <c r="AK636" s="697"/>
      <c r="AL636" s="697"/>
      <c r="AM636" s="697"/>
      <c r="AN636" s="697"/>
      <c r="AO636" s="697"/>
      <c r="AP636" s="697"/>
      <c r="AQ636" s="697"/>
      <c r="AR636" s="697"/>
      <c r="AS636" s="697"/>
      <c r="AT636" s="697"/>
      <c r="AU636" s="697"/>
      <c r="AV636" s="697"/>
      <c r="AW636" s="697"/>
      <c r="AX636" s="697"/>
      <c r="AY636" s="697"/>
      <c r="AZ636" s="697"/>
      <c r="BA636" s="697"/>
      <c r="BB636" s="697"/>
      <c r="BC636" s="697"/>
      <c r="BD636" s="697"/>
      <c r="BE636" s="697"/>
      <c r="BF636" s="697"/>
      <c r="BG636" s="697"/>
      <c r="BH636" s="697"/>
      <c r="BI636" s="697"/>
      <c r="BJ636" s="697"/>
      <c r="BK636" s="697"/>
      <c r="BL636" s="697"/>
      <c r="BM636" s="697"/>
      <c r="BN636" s="697"/>
      <c r="BO636" s="697"/>
      <c r="BP636" s="697"/>
      <c r="BQ636" s="697"/>
      <c r="BR636" s="697"/>
      <c r="BS636" s="697"/>
      <c r="BT636" s="697"/>
      <c r="BU636" s="697"/>
      <c r="BV636" s="697"/>
      <c r="BW636" s="697"/>
      <c r="BX636" s="697"/>
      <c r="BY636" s="697"/>
      <c r="BZ636" s="697"/>
      <c r="CA636" s="697"/>
      <c r="CB636" s="697"/>
      <c r="CC636" s="697"/>
      <c r="CD636" s="697"/>
      <c r="CE636" s="697"/>
      <c r="CF636" s="697"/>
      <c r="CG636" s="697"/>
      <c r="CH636" s="697"/>
      <c r="CI636" s="697"/>
      <c r="CJ636" s="697"/>
      <c r="CK636" s="697"/>
      <c r="CL636" s="697"/>
      <c r="CM636" s="697"/>
      <c r="CN636" s="697"/>
      <c r="CO636" s="697"/>
      <c r="CP636" s="697"/>
      <c r="CQ636" s="697"/>
      <c r="CR636" s="697"/>
      <c r="CS636" s="697"/>
      <c r="CT636" s="697"/>
      <c r="CU636" s="697"/>
      <c r="CV636" s="697"/>
      <c r="CW636" s="697"/>
      <c r="CX636" s="697"/>
      <c r="CY636" s="697"/>
      <c r="CZ636" s="697"/>
      <c r="DA636" s="697"/>
      <c r="DB636" s="697"/>
    </row>
    <row r="637" spans="1:106" hidden="1" outlineLevel="1" x14ac:dyDescent="0.2">
      <c r="A637" s="709">
        <f t="shared" si="113"/>
        <v>40940</v>
      </c>
      <c r="B637" s="709" t="str">
        <f t="shared" si="114"/>
        <v>1Q12</v>
      </c>
      <c r="C637" s="709" t="str">
        <f t="shared" si="115"/>
        <v>2Q12</v>
      </c>
      <c r="D637" s="710">
        <f t="shared" si="121"/>
        <v>41009</v>
      </c>
      <c r="E637" s="710">
        <f t="shared" si="121"/>
        <v>40949</v>
      </c>
      <c r="F637" s="712">
        <v>98.56</v>
      </c>
      <c r="G637" s="713">
        <f t="shared" si="116"/>
        <v>1.4900000000000011</v>
      </c>
      <c r="H637" s="713">
        <f t="shared" si="117"/>
        <v>1.4900000000000011</v>
      </c>
      <c r="I637" s="697"/>
      <c r="J637" s="697"/>
      <c r="K637" s="697"/>
      <c r="L637" s="697"/>
      <c r="M637" s="697"/>
      <c r="N637" s="697"/>
      <c r="O637" s="697"/>
      <c r="P637" s="697"/>
      <c r="Q637" s="697"/>
      <c r="R637" s="697"/>
      <c r="S637" s="697"/>
      <c r="T637" s="697"/>
      <c r="U637" s="697"/>
      <c r="V637" s="697"/>
      <c r="W637" s="697"/>
      <c r="X637" s="697"/>
      <c r="Y637" s="697"/>
      <c r="Z637" s="697"/>
      <c r="AA637" s="697"/>
      <c r="AB637" s="697"/>
      <c r="AC637" s="697"/>
      <c r="AD637" s="697"/>
      <c r="AE637" s="697"/>
      <c r="AF637" s="697"/>
      <c r="AG637" s="697"/>
      <c r="AH637" s="697"/>
      <c r="AI637" s="697"/>
      <c r="AJ637" s="697"/>
      <c r="AK637" s="697"/>
      <c r="AL637" s="697"/>
      <c r="AM637" s="697"/>
      <c r="AN637" s="697"/>
      <c r="AO637" s="697"/>
      <c r="AP637" s="697"/>
      <c r="AQ637" s="697"/>
      <c r="AR637" s="697"/>
      <c r="AS637" s="697"/>
      <c r="AT637" s="697"/>
      <c r="AU637" s="697"/>
      <c r="AV637" s="697"/>
      <c r="AW637" s="697"/>
      <c r="AX637" s="697"/>
      <c r="AY637" s="697"/>
      <c r="AZ637" s="697"/>
      <c r="BA637" s="697"/>
      <c r="BB637" s="697"/>
      <c r="BC637" s="697"/>
      <c r="BD637" s="697"/>
      <c r="BE637" s="697"/>
      <c r="BF637" s="697"/>
      <c r="BG637" s="697"/>
      <c r="BH637" s="697"/>
      <c r="BI637" s="697"/>
      <c r="BJ637" s="697"/>
      <c r="BK637" s="697"/>
      <c r="BL637" s="697"/>
      <c r="BM637" s="697"/>
      <c r="BN637" s="697"/>
      <c r="BO637" s="697"/>
      <c r="BP637" s="697"/>
      <c r="BQ637" s="697"/>
      <c r="BR637" s="697"/>
      <c r="BS637" s="697"/>
      <c r="BT637" s="697"/>
      <c r="BU637" s="697"/>
      <c r="BV637" s="697"/>
      <c r="BW637" s="697"/>
      <c r="BX637" s="697"/>
      <c r="BY637" s="697"/>
      <c r="BZ637" s="697"/>
      <c r="CA637" s="697"/>
      <c r="CB637" s="697"/>
      <c r="CC637" s="697"/>
      <c r="CD637" s="697"/>
      <c r="CE637" s="697"/>
      <c r="CF637" s="697"/>
      <c r="CG637" s="697"/>
      <c r="CH637" s="697"/>
      <c r="CI637" s="697"/>
      <c r="CJ637" s="697"/>
      <c r="CK637" s="697"/>
      <c r="CL637" s="697"/>
      <c r="CM637" s="697"/>
      <c r="CN637" s="697"/>
      <c r="CO637" s="697"/>
      <c r="CP637" s="697"/>
      <c r="CQ637" s="697"/>
      <c r="CR637" s="697"/>
      <c r="CS637" s="697"/>
      <c r="CT637" s="697"/>
      <c r="CU637" s="697"/>
      <c r="CV637" s="697"/>
      <c r="CW637" s="697"/>
      <c r="CX637" s="697"/>
      <c r="CY637" s="697"/>
      <c r="CZ637" s="697"/>
      <c r="DA637" s="697"/>
      <c r="DB637" s="697"/>
    </row>
    <row r="638" spans="1:106" hidden="1" outlineLevel="1" x14ac:dyDescent="0.2">
      <c r="A638" s="709">
        <f t="shared" si="113"/>
        <v>40940</v>
      </c>
      <c r="B638" s="709" t="str">
        <f t="shared" si="114"/>
        <v>1Q12</v>
      </c>
      <c r="C638" s="709" t="str">
        <f t="shared" si="115"/>
        <v>2Q12</v>
      </c>
      <c r="D638" s="710">
        <f t="shared" si="121"/>
        <v>41016</v>
      </c>
      <c r="E638" s="710">
        <f t="shared" si="121"/>
        <v>40956</v>
      </c>
      <c r="F638" s="712">
        <v>101.73</v>
      </c>
      <c r="G638" s="713">
        <f t="shared" si="116"/>
        <v>1.4900000000000011</v>
      </c>
      <c r="H638" s="713">
        <f t="shared" si="117"/>
        <v>1.4900000000000011</v>
      </c>
      <c r="I638" s="697"/>
      <c r="J638" s="697"/>
      <c r="K638" s="697"/>
      <c r="L638" s="697"/>
      <c r="M638" s="697"/>
      <c r="N638" s="697"/>
      <c r="O638" s="697"/>
      <c r="P638" s="697"/>
      <c r="Q638" s="697"/>
      <c r="R638" s="697"/>
      <c r="S638" s="697"/>
      <c r="T638" s="697"/>
      <c r="U638" s="697"/>
      <c r="V638" s="697"/>
      <c r="W638" s="697"/>
      <c r="X638" s="697"/>
      <c r="Y638" s="697"/>
      <c r="Z638" s="697"/>
      <c r="AA638" s="697"/>
      <c r="AB638" s="697"/>
      <c r="AC638" s="697"/>
      <c r="AD638" s="697"/>
      <c r="AE638" s="697"/>
      <c r="AF638" s="697"/>
      <c r="AG638" s="697"/>
      <c r="AH638" s="697"/>
      <c r="AI638" s="697"/>
      <c r="AJ638" s="697"/>
      <c r="AK638" s="697"/>
      <c r="AL638" s="697"/>
      <c r="AM638" s="697"/>
      <c r="AN638" s="697"/>
      <c r="AO638" s="697"/>
      <c r="AP638" s="697"/>
      <c r="AQ638" s="697"/>
      <c r="AR638" s="697"/>
      <c r="AS638" s="697"/>
      <c r="AT638" s="697"/>
      <c r="AU638" s="697"/>
      <c r="AV638" s="697"/>
      <c r="AW638" s="697"/>
      <c r="AX638" s="697"/>
      <c r="AY638" s="697"/>
      <c r="AZ638" s="697"/>
      <c r="BA638" s="697"/>
      <c r="BB638" s="697"/>
      <c r="BC638" s="697"/>
      <c r="BD638" s="697"/>
      <c r="BE638" s="697"/>
      <c r="BF638" s="697"/>
      <c r="BG638" s="697"/>
      <c r="BH638" s="697"/>
      <c r="BI638" s="697"/>
      <c r="BJ638" s="697"/>
      <c r="BK638" s="697"/>
      <c r="BL638" s="697"/>
      <c r="BM638" s="697"/>
      <c r="BN638" s="697"/>
      <c r="BO638" s="697"/>
      <c r="BP638" s="697"/>
      <c r="BQ638" s="697"/>
      <c r="BR638" s="697"/>
      <c r="BS638" s="697"/>
      <c r="BT638" s="697"/>
      <c r="BU638" s="697"/>
      <c r="BV638" s="697"/>
      <c r="BW638" s="697"/>
      <c r="BX638" s="697"/>
      <c r="BY638" s="697"/>
      <c r="BZ638" s="697"/>
      <c r="CA638" s="697"/>
      <c r="CB638" s="697"/>
      <c r="CC638" s="697"/>
      <c r="CD638" s="697"/>
      <c r="CE638" s="697"/>
      <c r="CF638" s="697"/>
      <c r="CG638" s="697"/>
      <c r="CH638" s="697"/>
      <c r="CI638" s="697"/>
      <c r="CJ638" s="697"/>
      <c r="CK638" s="697"/>
      <c r="CL638" s="697"/>
      <c r="CM638" s="697"/>
      <c r="CN638" s="697"/>
      <c r="CO638" s="697"/>
      <c r="CP638" s="697"/>
      <c r="CQ638" s="697"/>
      <c r="CR638" s="697"/>
      <c r="CS638" s="697"/>
      <c r="CT638" s="697"/>
      <c r="CU638" s="697"/>
      <c r="CV638" s="697"/>
      <c r="CW638" s="697"/>
      <c r="CX638" s="697"/>
      <c r="CY638" s="697"/>
      <c r="CZ638" s="697"/>
      <c r="DA638" s="697"/>
      <c r="DB638" s="697"/>
    </row>
    <row r="639" spans="1:106" hidden="1" outlineLevel="1" x14ac:dyDescent="0.2">
      <c r="A639" s="709">
        <f t="shared" si="113"/>
        <v>40940</v>
      </c>
      <c r="B639" s="709" t="str">
        <f t="shared" si="114"/>
        <v>1Q12</v>
      </c>
      <c r="C639" s="709" t="str">
        <f t="shared" si="115"/>
        <v>2Q12</v>
      </c>
      <c r="D639" s="710">
        <f t="shared" si="121"/>
        <v>41023</v>
      </c>
      <c r="E639" s="710">
        <f t="shared" si="121"/>
        <v>40963</v>
      </c>
      <c r="F639" s="712">
        <v>107.18</v>
      </c>
      <c r="G639" s="713">
        <f t="shared" si="116"/>
        <v>1.4900000000000011</v>
      </c>
      <c r="H639" s="713">
        <f t="shared" si="117"/>
        <v>1.4900000000000011</v>
      </c>
      <c r="I639" s="697"/>
      <c r="J639" s="697"/>
      <c r="K639" s="697"/>
      <c r="L639" s="697"/>
      <c r="M639" s="697"/>
      <c r="N639" s="697"/>
      <c r="O639" s="697"/>
      <c r="P639" s="697"/>
      <c r="Q639" s="697"/>
      <c r="R639" s="697"/>
      <c r="S639" s="697"/>
      <c r="T639" s="697"/>
      <c r="U639" s="697"/>
      <c r="V639" s="697"/>
      <c r="W639" s="697"/>
      <c r="X639" s="697"/>
      <c r="Y639" s="697"/>
      <c r="Z639" s="697"/>
      <c r="AA639" s="697"/>
      <c r="AB639" s="697"/>
      <c r="AC639" s="697"/>
      <c r="AD639" s="697"/>
      <c r="AE639" s="697"/>
      <c r="AF639" s="697"/>
      <c r="AG639" s="697"/>
      <c r="AH639" s="697"/>
      <c r="AI639" s="697"/>
      <c r="AJ639" s="697"/>
      <c r="AK639" s="697"/>
      <c r="AL639" s="697"/>
      <c r="AM639" s="697"/>
      <c r="AN639" s="697"/>
      <c r="AO639" s="697"/>
      <c r="AP639" s="697"/>
      <c r="AQ639" s="697"/>
      <c r="AR639" s="697"/>
      <c r="AS639" s="697"/>
      <c r="AT639" s="697"/>
      <c r="AU639" s="697"/>
      <c r="AV639" s="697"/>
      <c r="AW639" s="697"/>
      <c r="AX639" s="697"/>
      <c r="AY639" s="697"/>
      <c r="AZ639" s="697"/>
      <c r="BA639" s="697"/>
      <c r="BB639" s="697"/>
      <c r="BC639" s="697"/>
      <c r="BD639" s="697"/>
      <c r="BE639" s="697"/>
      <c r="BF639" s="697"/>
      <c r="BG639" s="697"/>
      <c r="BH639" s="697"/>
      <c r="BI639" s="697"/>
      <c r="BJ639" s="697"/>
      <c r="BK639" s="697"/>
      <c r="BL639" s="697"/>
      <c r="BM639" s="697"/>
      <c r="BN639" s="697"/>
      <c r="BO639" s="697"/>
      <c r="BP639" s="697"/>
      <c r="BQ639" s="697"/>
      <c r="BR639" s="697"/>
      <c r="BS639" s="697"/>
      <c r="BT639" s="697"/>
      <c r="BU639" s="697"/>
      <c r="BV639" s="697"/>
      <c r="BW639" s="697"/>
      <c r="BX639" s="697"/>
      <c r="BY639" s="697"/>
      <c r="BZ639" s="697"/>
      <c r="CA639" s="697"/>
      <c r="CB639" s="697"/>
      <c r="CC639" s="697"/>
      <c r="CD639" s="697"/>
      <c r="CE639" s="697"/>
      <c r="CF639" s="697"/>
      <c r="CG639" s="697"/>
      <c r="CH639" s="697"/>
      <c r="CI639" s="697"/>
      <c r="CJ639" s="697"/>
      <c r="CK639" s="697"/>
      <c r="CL639" s="697"/>
      <c r="CM639" s="697"/>
      <c r="CN639" s="697"/>
      <c r="CO639" s="697"/>
      <c r="CP639" s="697"/>
      <c r="CQ639" s="697"/>
      <c r="CR639" s="697"/>
      <c r="CS639" s="697"/>
      <c r="CT639" s="697"/>
      <c r="CU639" s="697"/>
      <c r="CV639" s="697"/>
      <c r="CW639" s="697"/>
      <c r="CX639" s="697"/>
      <c r="CY639" s="697"/>
      <c r="CZ639" s="697"/>
      <c r="DA639" s="697"/>
      <c r="DB639" s="697"/>
    </row>
    <row r="640" spans="1:106" hidden="1" outlineLevel="1" x14ac:dyDescent="0.2">
      <c r="A640" s="709">
        <f t="shared" si="113"/>
        <v>40969</v>
      </c>
      <c r="B640" s="709" t="str">
        <f t="shared" si="114"/>
        <v>1Q12</v>
      </c>
      <c r="C640" s="709" t="str">
        <f t="shared" si="115"/>
        <v>2Q12</v>
      </c>
      <c r="D640" s="710">
        <f t="shared" si="121"/>
        <v>41030</v>
      </c>
      <c r="E640" s="710">
        <f t="shared" si="121"/>
        <v>40970</v>
      </c>
      <c r="F640" s="712">
        <v>107.52</v>
      </c>
      <c r="G640" s="713">
        <f t="shared" si="116"/>
        <v>1.4900000000000011</v>
      </c>
      <c r="H640" s="713">
        <f t="shared" si="117"/>
        <v>1.4900000000000011</v>
      </c>
      <c r="I640" s="697"/>
      <c r="J640" s="697"/>
      <c r="K640" s="697"/>
      <c r="L640" s="697"/>
      <c r="M640" s="697"/>
      <c r="N640" s="697"/>
      <c r="O640" s="697"/>
      <c r="P640" s="697"/>
      <c r="Q640" s="697"/>
      <c r="R640" s="697"/>
      <c r="S640" s="697"/>
      <c r="T640" s="697"/>
      <c r="U640" s="697"/>
      <c r="V640" s="697"/>
      <c r="W640" s="697"/>
      <c r="X640" s="697"/>
      <c r="Y640" s="697"/>
      <c r="Z640" s="697"/>
      <c r="AA640" s="697"/>
      <c r="AB640" s="697"/>
      <c r="AC640" s="697"/>
      <c r="AD640" s="697"/>
      <c r="AE640" s="697"/>
      <c r="AF640" s="697"/>
      <c r="AG640" s="697"/>
      <c r="AH640" s="697"/>
      <c r="AI640" s="697"/>
      <c r="AJ640" s="697"/>
      <c r="AK640" s="697"/>
      <c r="AL640" s="697"/>
      <c r="AM640" s="697"/>
      <c r="AN640" s="697"/>
      <c r="AO640" s="697"/>
      <c r="AP640" s="697"/>
      <c r="AQ640" s="697"/>
      <c r="AR640" s="697"/>
      <c r="AS640" s="697"/>
      <c r="AT640" s="697"/>
      <c r="AU640" s="697"/>
      <c r="AV640" s="697"/>
      <c r="AW640" s="697"/>
      <c r="AX640" s="697"/>
      <c r="AY640" s="697"/>
      <c r="AZ640" s="697"/>
      <c r="BA640" s="697"/>
      <c r="BB640" s="697"/>
      <c r="BC640" s="697"/>
      <c r="BD640" s="697"/>
      <c r="BE640" s="697"/>
      <c r="BF640" s="697"/>
      <c r="BG640" s="697"/>
      <c r="BH640" s="697"/>
      <c r="BI640" s="697"/>
      <c r="BJ640" s="697"/>
      <c r="BK640" s="697"/>
      <c r="BL640" s="697"/>
      <c r="BM640" s="697"/>
      <c r="BN640" s="697"/>
      <c r="BO640" s="697"/>
      <c r="BP640" s="697"/>
      <c r="BQ640" s="697"/>
      <c r="BR640" s="697"/>
      <c r="BS640" s="697"/>
      <c r="BT640" s="697"/>
      <c r="BU640" s="697"/>
      <c r="BV640" s="697"/>
      <c r="BW640" s="697"/>
      <c r="BX640" s="697"/>
      <c r="BY640" s="697"/>
      <c r="BZ640" s="697"/>
      <c r="CA640" s="697"/>
      <c r="CB640" s="697"/>
      <c r="CC640" s="697"/>
      <c r="CD640" s="697"/>
      <c r="CE640" s="697"/>
      <c r="CF640" s="697"/>
      <c r="CG640" s="697"/>
      <c r="CH640" s="697"/>
      <c r="CI640" s="697"/>
      <c r="CJ640" s="697"/>
      <c r="CK640" s="697"/>
      <c r="CL640" s="697"/>
      <c r="CM640" s="697"/>
      <c r="CN640" s="697"/>
      <c r="CO640" s="697"/>
      <c r="CP640" s="697"/>
      <c r="CQ640" s="697"/>
      <c r="CR640" s="697"/>
      <c r="CS640" s="697"/>
      <c r="CT640" s="697"/>
      <c r="CU640" s="697"/>
      <c r="CV640" s="697"/>
      <c r="CW640" s="697"/>
      <c r="CX640" s="697"/>
      <c r="CY640" s="697"/>
      <c r="CZ640" s="697"/>
      <c r="DA640" s="697"/>
      <c r="DB640" s="697"/>
    </row>
    <row r="641" spans="1:106" hidden="1" outlineLevel="1" x14ac:dyDescent="0.2">
      <c r="A641" s="709">
        <f t="shared" si="113"/>
        <v>40969</v>
      </c>
      <c r="B641" s="709" t="str">
        <f t="shared" si="114"/>
        <v>1Q12</v>
      </c>
      <c r="C641" s="709" t="str">
        <f t="shared" si="115"/>
        <v>2Q12</v>
      </c>
      <c r="D641" s="710">
        <f t="shared" si="121"/>
        <v>41037</v>
      </c>
      <c r="E641" s="710">
        <f t="shared" si="121"/>
        <v>40977</v>
      </c>
      <c r="F641" s="712">
        <v>106.32</v>
      </c>
      <c r="G641" s="713">
        <f t="shared" si="116"/>
        <v>1.4900000000000011</v>
      </c>
      <c r="H641" s="713">
        <f t="shared" si="117"/>
        <v>1.4900000000000011</v>
      </c>
      <c r="I641" s="697"/>
      <c r="J641" s="697"/>
      <c r="K641" s="697"/>
      <c r="L641" s="697"/>
      <c r="M641" s="697"/>
      <c r="N641" s="697"/>
      <c r="O641" s="697"/>
      <c r="P641" s="697"/>
      <c r="Q641" s="697"/>
      <c r="R641" s="697"/>
      <c r="S641" s="697"/>
      <c r="T641" s="697"/>
      <c r="U641" s="697"/>
      <c r="V641" s="697"/>
      <c r="W641" s="697"/>
      <c r="X641" s="697"/>
      <c r="Y641" s="697"/>
      <c r="Z641" s="697"/>
      <c r="AA641" s="697"/>
      <c r="AB641" s="697"/>
      <c r="AC641" s="697"/>
      <c r="AD641" s="697"/>
      <c r="AE641" s="697"/>
      <c r="AF641" s="697"/>
      <c r="AG641" s="697"/>
      <c r="AH641" s="697"/>
      <c r="AI641" s="697"/>
      <c r="AJ641" s="697"/>
      <c r="AK641" s="697"/>
      <c r="AL641" s="697"/>
      <c r="AM641" s="697"/>
      <c r="AN641" s="697"/>
      <c r="AO641" s="697"/>
      <c r="AP641" s="697"/>
      <c r="AQ641" s="697"/>
      <c r="AR641" s="697"/>
      <c r="AS641" s="697"/>
      <c r="AT641" s="697"/>
      <c r="AU641" s="697"/>
      <c r="AV641" s="697"/>
      <c r="AW641" s="697"/>
      <c r="AX641" s="697"/>
      <c r="AY641" s="697"/>
      <c r="AZ641" s="697"/>
      <c r="BA641" s="697"/>
      <c r="BB641" s="697"/>
      <c r="BC641" s="697"/>
      <c r="BD641" s="697"/>
      <c r="BE641" s="697"/>
      <c r="BF641" s="697"/>
      <c r="BG641" s="697"/>
      <c r="BH641" s="697"/>
      <c r="BI641" s="697"/>
      <c r="BJ641" s="697"/>
      <c r="BK641" s="697"/>
      <c r="BL641" s="697"/>
      <c r="BM641" s="697"/>
      <c r="BN641" s="697"/>
      <c r="BO641" s="697"/>
      <c r="BP641" s="697"/>
      <c r="BQ641" s="697"/>
      <c r="BR641" s="697"/>
      <c r="BS641" s="697"/>
      <c r="BT641" s="697"/>
      <c r="BU641" s="697"/>
      <c r="BV641" s="697"/>
      <c r="BW641" s="697"/>
      <c r="BX641" s="697"/>
      <c r="BY641" s="697"/>
      <c r="BZ641" s="697"/>
      <c r="CA641" s="697"/>
      <c r="CB641" s="697"/>
      <c r="CC641" s="697"/>
      <c r="CD641" s="697"/>
      <c r="CE641" s="697"/>
      <c r="CF641" s="697"/>
      <c r="CG641" s="697"/>
      <c r="CH641" s="697"/>
      <c r="CI641" s="697"/>
      <c r="CJ641" s="697"/>
      <c r="CK641" s="697"/>
      <c r="CL641" s="697"/>
      <c r="CM641" s="697"/>
      <c r="CN641" s="697"/>
      <c r="CO641" s="697"/>
      <c r="CP641" s="697"/>
      <c r="CQ641" s="697"/>
      <c r="CR641" s="697"/>
      <c r="CS641" s="697"/>
      <c r="CT641" s="697"/>
      <c r="CU641" s="697"/>
      <c r="CV641" s="697"/>
      <c r="CW641" s="697"/>
      <c r="CX641" s="697"/>
      <c r="CY641" s="697"/>
      <c r="CZ641" s="697"/>
      <c r="DA641" s="697"/>
      <c r="DB641" s="697"/>
    </row>
    <row r="642" spans="1:106" hidden="1" outlineLevel="1" x14ac:dyDescent="0.2">
      <c r="A642" s="709">
        <f t="shared" si="113"/>
        <v>40969</v>
      </c>
      <c r="B642" s="709" t="str">
        <f t="shared" si="114"/>
        <v>1Q12</v>
      </c>
      <c r="C642" s="709" t="str">
        <f t="shared" si="115"/>
        <v>2Q12</v>
      </c>
      <c r="D642" s="710">
        <f t="shared" si="121"/>
        <v>41044</v>
      </c>
      <c r="E642" s="710">
        <f t="shared" si="121"/>
        <v>40984</v>
      </c>
      <c r="F642" s="712">
        <v>106.15</v>
      </c>
      <c r="G642" s="713">
        <f t="shared" si="116"/>
        <v>1.4900000000000011</v>
      </c>
      <c r="H642" s="713">
        <f t="shared" si="117"/>
        <v>1.4900000000000011</v>
      </c>
      <c r="I642" s="697"/>
      <c r="J642" s="697"/>
      <c r="K642" s="697"/>
      <c r="L642" s="697"/>
      <c r="M642" s="697"/>
      <c r="N642" s="697"/>
      <c r="O642" s="697"/>
      <c r="P642" s="697"/>
      <c r="Q642" s="697"/>
      <c r="R642" s="697"/>
      <c r="S642" s="697"/>
      <c r="T642" s="697"/>
      <c r="U642" s="697"/>
      <c r="V642" s="697"/>
      <c r="W642" s="697"/>
      <c r="X642" s="697"/>
      <c r="Y642" s="697"/>
      <c r="Z642" s="697"/>
      <c r="AA642" s="697"/>
      <c r="AB642" s="697"/>
      <c r="AC642" s="697"/>
      <c r="AD642" s="697"/>
      <c r="AE642" s="697"/>
      <c r="AF642" s="697"/>
      <c r="AG642" s="697"/>
      <c r="AH642" s="697"/>
      <c r="AI642" s="697"/>
      <c r="AJ642" s="697"/>
      <c r="AK642" s="697"/>
      <c r="AL642" s="697"/>
      <c r="AM642" s="697"/>
      <c r="AN642" s="697"/>
      <c r="AO642" s="697"/>
      <c r="AP642" s="697"/>
      <c r="AQ642" s="697"/>
      <c r="AR642" s="697"/>
      <c r="AS642" s="697"/>
      <c r="AT642" s="697"/>
      <c r="AU642" s="697"/>
      <c r="AV642" s="697"/>
      <c r="AW642" s="697"/>
      <c r="AX642" s="697"/>
      <c r="AY642" s="697"/>
      <c r="AZ642" s="697"/>
      <c r="BA642" s="697"/>
      <c r="BB642" s="697"/>
      <c r="BC642" s="697"/>
      <c r="BD642" s="697"/>
      <c r="BE642" s="697"/>
      <c r="BF642" s="697"/>
      <c r="BG642" s="697"/>
      <c r="BH642" s="697"/>
      <c r="BI642" s="697"/>
      <c r="BJ642" s="697"/>
      <c r="BK642" s="697"/>
      <c r="BL642" s="697"/>
      <c r="BM642" s="697"/>
      <c r="BN642" s="697"/>
      <c r="BO642" s="697"/>
      <c r="BP642" s="697"/>
      <c r="BQ642" s="697"/>
      <c r="BR642" s="697"/>
      <c r="BS642" s="697"/>
      <c r="BT642" s="697"/>
      <c r="BU642" s="697"/>
      <c r="BV642" s="697"/>
      <c r="BW642" s="697"/>
      <c r="BX642" s="697"/>
      <c r="BY642" s="697"/>
      <c r="BZ642" s="697"/>
      <c r="CA642" s="697"/>
      <c r="CB642" s="697"/>
      <c r="CC642" s="697"/>
      <c r="CD642" s="697"/>
      <c r="CE642" s="697"/>
      <c r="CF642" s="697"/>
      <c r="CG642" s="697"/>
      <c r="CH642" s="697"/>
      <c r="CI642" s="697"/>
      <c r="CJ642" s="697"/>
      <c r="CK642" s="697"/>
      <c r="CL642" s="697"/>
      <c r="CM642" s="697"/>
      <c r="CN642" s="697"/>
      <c r="CO642" s="697"/>
      <c r="CP642" s="697"/>
      <c r="CQ642" s="697"/>
      <c r="CR642" s="697"/>
      <c r="CS642" s="697"/>
      <c r="CT642" s="697"/>
      <c r="CU642" s="697"/>
      <c r="CV642" s="697"/>
      <c r="CW642" s="697"/>
      <c r="CX642" s="697"/>
      <c r="CY642" s="697"/>
      <c r="CZ642" s="697"/>
      <c r="DA642" s="697"/>
      <c r="DB642" s="697"/>
    </row>
    <row r="643" spans="1:106" hidden="1" outlineLevel="1" x14ac:dyDescent="0.2">
      <c r="A643" s="709">
        <f t="shared" si="113"/>
        <v>40969</v>
      </c>
      <c r="B643" s="709" t="str">
        <f t="shared" si="114"/>
        <v>1Q12</v>
      </c>
      <c r="C643" s="709" t="str">
        <f t="shared" si="115"/>
        <v>2Q12</v>
      </c>
      <c r="D643" s="710">
        <f t="shared" si="121"/>
        <v>41051</v>
      </c>
      <c r="E643" s="710">
        <f t="shared" si="121"/>
        <v>40991</v>
      </c>
      <c r="F643" s="712">
        <v>106.41</v>
      </c>
      <c r="G643" s="713">
        <f t="shared" si="116"/>
        <v>1.4900000000000011</v>
      </c>
      <c r="H643" s="713">
        <f t="shared" si="117"/>
        <v>1.4900000000000011</v>
      </c>
      <c r="I643" s="697"/>
      <c r="J643" s="697"/>
      <c r="K643" s="697"/>
      <c r="L643" s="697"/>
      <c r="M643" s="697"/>
      <c r="N643" s="697"/>
      <c r="O643" s="697"/>
      <c r="P643" s="697"/>
      <c r="Q643" s="697"/>
      <c r="R643" s="697"/>
      <c r="S643" s="697"/>
      <c r="T643" s="697"/>
      <c r="U643" s="697"/>
      <c r="V643" s="697"/>
      <c r="W643" s="697"/>
      <c r="X643" s="697"/>
      <c r="Y643" s="697"/>
      <c r="Z643" s="697"/>
      <c r="AA643" s="697"/>
      <c r="AB643" s="697"/>
      <c r="AC643" s="697"/>
      <c r="AD643" s="697"/>
      <c r="AE643" s="697"/>
      <c r="AF643" s="697"/>
      <c r="AG643" s="697"/>
      <c r="AH643" s="697"/>
      <c r="AI643" s="697"/>
      <c r="AJ643" s="697"/>
      <c r="AK643" s="697"/>
      <c r="AL643" s="697"/>
      <c r="AM643" s="697"/>
      <c r="AN643" s="697"/>
      <c r="AO643" s="697"/>
      <c r="AP643" s="697"/>
      <c r="AQ643" s="697"/>
      <c r="AR643" s="697"/>
      <c r="AS643" s="697"/>
      <c r="AT643" s="697"/>
      <c r="AU643" s="697"/>
      <c r="AV643" s="697"/>
      <c r="AW643" s="697"/>
      <c r="AX643" s="697"/>
      <c r="AY643" s="697"/>
      <c r="AZ643" s="697"/>
      <c r="BA643" s="697"/>
      <c r="BB643" s="697"/>
      <c r="BC643" s="697"/>
      <c r="BD643" s="697"/>
      <c r="BE643" s="697"/>
      <c r="BF643" s="697"/>
      <c r="BG643" s="697"/>
      <c r="BH643" s="697"/>
      <c r="BI643" s="697"/>
      <c r="BJ643" s="697"/>
      <c r="BK643" s="697"/>
      <c r="BL643" s="697"/>
      <c r="BM643" s="697"/>
      <c r="BN643" s="697"/>
      <c r="BO643" s="697"/>
      <c r="BP643" s="697"/>
      <c r="BQ643" s="697"/>
      <c r="BR643" s="697"/>
      <c r="BS643" s="697"/>
      <c r="BT643" s="697"/>
      <c r="BU643" s="697"/>
      <c r="BV643" s="697"/>
      <c r="BW643" s="697"/>
      <c r="BX643" s="697"/>
      <c r="BY643" s="697"/>
      <c r="BZ643" s="697"/>
      <c r="CA643" s="697"/>
      <c r="CB643" s="697"/>
      <c r="CC643" s="697"/>
      <c r="CD643" s="697"/>
      <c r="CE643" s="697"/>
      <c r="CF643" s="697"/>
      <c r="CG643" s="697"/>
      <c r="CH643" s="697"/>
      <c r="CI643" s="697"/>
      <c r="CJ643" s="697"/>
      <c r="CK643" s="697"/>
      <c r="CL643" s="697"/>
      <c r="CM643" s="697"/>
      <c r="CN643" s="697"/>
      <c r="CO643" s="697"/>
      <c r="CP643" s="697"/>
      <c r="CQ643" s="697"/>
      <c r="CR643" s="697"/>
      <c r="CS643" s="697"/>
      <c r="CT643" s="697"/>
      <c r="CU643" s="697"/>
      <c r="CV643" s="697"/>
      <c r="CW643" s="697"/>
      <c r="CX643" s="697"/>
      <c r="CY643" s="697"/>
      <c r="CZ643" s="697"/>
      <c r="DA643" s="697"/>
      <c r="DB643" s="697"/>
    </row>
    <row r="644" spans="1:106" hidden="1" outlineLevel="1" x14ac:dyDescent="0.2">
      <c r="A644" s="709">
        <f t="shared" ref="A644:A707" si="122">DATE(YEAR(E644),MONTH(E644),1)</f>
        <v>40969</v>
      </c>
      <c r="B644" s="709" t="str">
        <f t="shared" ref="B644:B707" si="123">VLOOKUP(MONTH(A644),$N$4:$O$16,2,FALSE) &amp; "Q" &amp; RIGHT(YEAR(A644),2)</f>
        <v>1Q12</v>
      </c>
      <c r="C644" s="709" t="str">
        <f t="shared" ref="C644:C707" si="124">VLOOKUP(MONTH(D644),$N$4:$O$16,2,FALSE) &amp; "Q" &amp; RIGHT(YEAR(D644),2)</f>
        <v>2Q12</v>
      </c>
      <c r="D644" s="710">
        <f t="shared" si="121"/>
        <v>41058</v>
      </c>
      <c r="E644" s="710">
        <f t="shared" si="121"/>
        <v>40998</v>
      </c>
      <c r="F644" s="712">
        <v>105.12</v>
      </c>
      <c r="G644" s="713">
        <f t="shared" ref="G644:G707" si="125">INDEX($I$4:$K$153,MATCH(F644,$I$4:$I$153,1),3)</f>
        <v>1.4900000000000011</v>
      </c>
      <c r="H644" s="713">
        <f t="shared" ref="H644:H707" si="126">G645</f>
        <v>1.4900000000000011</v>
      </c>
      <c r="I644" s="697"/>
      <c r="J644" s="697"/>
      <c r="K644" s="697"/>
      <c r="L644" s="697"/>
      <c r="M644" s="697"/>
      <c r="N644" s="697"/>
      <c r="O644" s="697"/>
      <c r="P644" s="697"/>
      <c r="Q644" s="697"/>
      <c r="R644" s="697"/>
      <c r="S644" s="697"/>
      <c r="T644" s="697"/>
      <c r="U644" s="697"/>
      <c r="V644" s="697"/>
      <c r="W644" s="697"/>
      <c r="X644" s="697"/>
      <c r="Y644" s="697"/>
      <c r="Z644" s="697"/>
      <c r="AA644" s="697"/>
      <c r="AB644" s="697"/>
      <c r="AC644" s="697"/>
      <c r="AD644" s="697"/>
      <c r="AE644" s="697"/>
      <c r="AF644" s="697"/>
      <c r="AG644" s="697"/>
      <c r="AH644" s="697"/>
      <c r="AI644" s="697"/>
      <c r="AJ644" s="697"/>
      <c r="AK644" s="697"/>
      <c r="AL644" s="697"/>
      <c r="AM644" s="697"/>
      <c r="AN644" s="697"/>
      <c r="AO644" s="697"/>
      <c r="AP644" s="697"/>
      <c r="AQ644" s="697"/>
      <c r="AR644" s="697"/>
      <c r="AS644" s="697"/>
      <c r="AT644" s="697"/>
      <c r="AU644" s="697"/>
      <c r="AV644" s="697"/>
      <c r="AW644" s="697"/>
      <c r="AX644" s="697"/>
      <c r="AY644" s="697"/>
      <c r="AZ644" s="697"/>
      <c r="BA644" s="697"/>
      <c r="BB644" s="697"/>
      <c r="BC644" s="697"/>
      <c r="BD644" s="697"/>
      <c r="BE644" s="697"/>
      <c r="BF644" s="697"/>
      <c r="BG644" s="697"/>
      <c r="BH644" s="697"/>
      <c r="BI644" s="697"/>
      <c r="BJ644" s="697"/>
      <c r="BK644" s="697"/>
      <c r="BL644" s="697"/>
      <c r="BM644" s="697"/>
      <c r="BN644" s="697"/>
      <c r="BO644" s="697"/>
      <c r="BP644" s="697"/>
      <c r="BQ644" s="697"/>
      <c r="BR644" s="697"/>
      <c r="BS644" s="697"/>
      <c r="BT644" s="697"/>
      <c r="BU644" s="697"/>
      <c r="BV644" s="697"/>
      <c r="BW644" s="697"/>
      <c r="BX644" s="697"/>
      <c r="BY644" s="697"/>
      <c r="BZ644" s="697"/>
      <c r="CA644" s="697"/>
      <c r="CB644" s="697"/>
      <c r="CC644" s="697"/>
      <c r="CD644" s="697"/>
      <c r="CE644" s="697"/>
      <c r="CF644" s="697"/>
      <c r="CG644" s="697"/>
      <c r="CH644" s="697"/>
      <c r="CI644" s="697"/>
      <c r="CJ644" s="697"/>
      <c r="CK644" s="697"/>
      <c r="CL644" s="697"/>
      <c r="CM644" s="697"/>
      <c r="CN644" s="697"/>
      <c r="CO644" s="697"/>
      <c r="CP644" s="697"/>
      <c r="CQ644" s="697"/>
      <c r="CR644" s="697"/>
      <c r="CS644" s="697"/>
      <c r="CT644" s="697"/>
      <c r="CU644" s="697"/>
      <c r="CV644" s="697"/>
      <c r="CW644" s="697"/>
      <c r="CX644" s="697"/>
      <c r="CY644" s="697"/>
      <c r="CZ644" s="697"/>
      <c r="DA644" s="697"/>
      <c r="DB644" s="697"/>
    </row>
    <row r="645" spans="1:106" hidden="1" outlineLevel="1" x14ac:dyDescent="0.2">
      <c r="A645" s="709">
        <f t="shared" si="122"/>
        <v>41000</v>
      </c>
      <c r="B645" s="709" t="str">
        <f t="shared" si="123"/>
        <v>2Q12</v>
      </c>
      <c r="C645" s="709" t="str">
        <f t="shared" si="124"/>
        <v>2Q12</v>
      </c>
      <c r="D645" s="710">
        <f t="shared" ref="D645:E660" si="127">D644+7</f>
        <v>41065</v>
      </c>
      <c r="E645" s="710">
        <f t="shared" si="127"/>
        <v>41005</v>
      </c>
      <c r="F645" s="712">
        <v>103.52</v>
      </c>
      <c r="G645" s="713">
        <f t="shared" si="125"/>
        <v>1.4900000000000011</v>
      </c>
      <c r="H645" s="713">
        <f t="shared" si="126"/>
        <v>1.4900000000000011</v>
      </c>
      <c r="I645" s="697"/>
      <c r="J645" s="697"/>
      <c r="K645" s="697"/>
      <c r="L645" s="697"/>
      <c r="M645" s="697"/>
      <c r="N645" s="697"/>
      <c r="O645" s="697"/>
      <c r="P645" s="697"/>
      <c r="Q645" s="697"/>
      <c r="R645" s="697"/>
      <c r="S645" s="697"/>
      <c r="T645" s="697"/>
      <c r="U645" s="697"/>
      <c r="V645" s="697"/>
      <c r="W645" s="697"/>
      <c r="X645" s="697"/>
      <c r="Y645" s="697"/>
      <c r="Z645" s="697"/>
      <c r="AA645" s="697"/>
      <c r="AB645" s="697"/>
      <c r="AC645" s="697"/>
      <c r="AD645" s="697"/>
      <c r="AE645" s="697"/>
      <c r="AF645" s="697"/>
      <c r="AG645" s="697"/>
      <c r="AH645" s="697"/>
      <c r="AI645" s="697"/>
      <c r="AJ645" s="697"/>
      <c r="AK645" s="697"/>
      <c r="AL645" s="697"/>
      <c r="AM645" s="697"/>
      <c r="AN645" s="697"/>
      <c r="AO645" s="697"/>
      <c r="AP645" s="697"/>
      <c r="AQ645" s="697"/>
      <c r="AR645" s="697"/>
      <c r="AS645" s="697"/>
      <c r="AT645" s="697"/>
      <c r="AU645" s="697"/>
      <c r="AV645" s="697"/>
      <c r="AW645" s="697"/>
      <c r="AX645" s="697"/>
      <c r="AY645" s="697"/>
      <c r="AZ645" s="697"/>
      <c r="BA645" s="697"/>
      <c r="BB645" s="697"/>
      <c r="BC645" s="697"/>
      <c r="BD645" s="697"/>
      <c r="BE645" s="697"/>
      <c r="BF645" s="697"/>
      <c r="BG645" s="697"/>
      <c r="BH645" s="697"/>
      <c r="BI645" s="697"/>
      <c r="BJ645" s="697"/>
      <c r="BK645" s="697"/>
      <c r="BL645" s="697"/>
      <c r="BM645" s="697"/>
      <c r="BN645" s="697"/>
      <c r="BO645" s="697"/>
      <c r="BP645" s="697"/>
      <c r="BQ645" s="697"/>
      <c r="BR645" s="697"/>
      <c r="BS645" s="697"/>
      <c r="BT645" s="697"/>
      <c r="BU645" s="697"/>
      <c r="BV645" s="697"/>
      <c r="BW645" s="697"/>
      <c r="BX645" s="697"/>
      <c r="BY645" s="697"/>
      <c r="BZ645" s="697"/>
      <c r="CA645" s="697"/>
      <c r="CB645" s="697"/>
      <c r="CC645" s="697"/>
      <c r="CD645" s="697"/>
      <c r="CE645" s="697"/>
      <c r="CF645" s="697"/>
      <c r="CG645" s="697"/>
      <c r="CH645" s="697"/>
      <c r="CI645" s="697"/>
      <c r="CJ645" s="697"/>
      <c r="CK645" s="697"/>
      <c r="CL645" s="697"/>
      <c r="CM645" s="697"/>
      <c r="CN645" s="697"/>
      <c r="CO645" s="697"/>
      <c r="CP645" s="697"/>
      <c r="CQ645" s="697"/>
      <c r="CR645" s="697"/>
      <c r="CS645" s="697"/>
      <c r="CT645" s="697"/>
      <c r="CU645" s="697"/>
      <c r="CV645" s="697"/>
      <c r="CW645" s="697"/>
      <c r="CX645" s="697"/>
      <c r="CY645" s="697"/>
      <c r="CZ645" s="697"/>
      <c r="DA645" s="697"/>
      <c r="DB645" s="697"/>
    </row>
    <row r="646" spans="1:106" hidden="1" outlineLevel="1" x14ac:dyDescent="0.2">
      <c r="A646" s="709">
        <f t="shared" si="122"/>
        <v>41000</v>
      </c>
      <c r="B646" s="709" t="str">
        <f t="shared" si="123"/>
        <v>2Q12</v>
      </c>
      <c r="C646" s="709" t="str">
        <f t="shared" si="124"/>
        <v>2Q12</v>
      </c>
      <c r="D646" s="710">
        <f t="shared" si="127"/>
        <v>41072</v>
      </c>
      <c r="E646" s="710">
        <f t="shared" si="127"/>
        <v>41012</v>
      </c>
      <c r="F646" s="712">
        <v>102.55</v>
      </c>
      <c r="G646" s="713">
        <f t="shared" si="125"/>
        <v>1.4900000000000011</v>
      </c>
      <c r="H646" s="713">
        <f t="shared" si="126"/>
        <v>1.4900000000000011</v>
      </c>
      <c r="I646" s="697"/>
      <c r="J646" s="697"/>
      <c r="K646" s="697"/>
      <c r="L646" s="697"/>
      <c r="M646" s="697"/>
      <c r="N646" s="697"/>
      <c r="O646" s="697"/>
      <c r="P646" s="697"/>
      <c r="Q646" s="697"/>
      <c r="R646" s="697"/>
      <c r="S646" s="697"/>
      <c r="T646" s="697"/>
      <c r="U646" s="697"/>
      <c r="V646" s="697"/>
      <c r="W646" s="697"/>
      <c r="X646" s="697"/>
      <c r="Y646" s="697"/>
      <c r="Z646" s="697"/>
      <c r="AA646" s="697"/>
      <c r="AB646" s="697"/>
      <c r="AC646" s="697"/>
      <c r="AD646" s="697"/>
      <c r="AE646" s="697"/>
      <c r="AF646" s="697"/>
      <c r="AG646" s="697"/>
      <c r="AH646" s="697"/>
      <c r="AI646" s="697"/>
      <c r="AJ646" s="697"/>
      <c r="AK646" s="697"/>
      <c r="AL646" s="697"/>
      <c r="AM646" s="697"/>
      <c r="AN646" s="697"/>
      <c r="AO646" s="697"/>
      <c r="AP646" s="697"/>
      <c r="AQ646" s="697"/>
      <c r="AR646" s="697"/>
      <c r="AS646" s="697"/>
      <c r="AT646" s="697"/>
      <c r="AU646" s="697"/>
      <c r="AV646" s="697"/>
      <c r="AW646" s="697"/>
      <c r="AX646" s="697"/>
      <c r="AY646" s="697"/>
      <c r="AZ646" s="697"/>
      <c r="BA646" s="697"/>
      <c r="BB646" s="697"/>
      <c r="BC646" s="697"/>
      <c r="BD646" s="697"/>
      <c r="BE646" s="697"/>
      <c r="BF646" s="697"/>
      <c r="BG646" s="697"/>
      <c r="BH646" s="697"/>
      <c r="BI646" s="697"/>
      <c r="BJ646" s="697"/>
      <c r="BK646" s="697"/>
      <c r="BL646" s="697"/>
      <c r="BM646" s="697"/>
      <c r="BN646" s="697"/>
      <c r="BO646" s="697"/>
      <c r="BP646" s="697"/>
      <c r="BQ646" s="697"/>
      <c r="BR646" s="697"/>
      <c r="BS646" s="697"/>
      <c r="BT646" s="697"/>
      <c r="BU646" s="697"/>
      <c r="BV646" s="697"/>
      <c r="BW646" s="697"/>
      <c r="BX646" s="697"/>
      <c r="BY646" s="697"/>
      <c r="BZ646" s="697"/>
      <c r="CA646" s="697"/>
      <c r="CB646" s="697"/>
      <c r="CC646" s="697"/>
      <c r="CD646" s="697"/>
      <c r="CE646" s="697"/>
      <c r="CF646" s="697"/>
      <c r="CG646" s="697"/>
      <c r="CH646" s="697"/>
      <c r="CI646" s="697"/>
      <c r="CJ646" s="697"/>
      <c r="CK646" s="697"/>
      <c r="CL646" s="697"/>
      <c r="CM646" s="697"/>
      <c r="CN646" s="697"/>
      <c r="CO646" s="697"/>
      <c r="CP646" s="697"/>
      <c r="CQ646" s="697"/>
      <c r="CR646" s="697"/>
      <c r="CS646" s="697"/>
      <c r="CT646" s="697"/>
      <c r="CU646" s="697"/>
      <c r="CV646" s="697"/>
      <c r="CW646" s="697"/>
      <c r="CX646" s="697"/>
      <c r="CY646" s="697"/>
      <c r="CZ646" s="697"/>
      <c r="DA646" s="697"/>
      <c r="DB646" s="697"/>
    </row>
    <row r="647" spans="1:106" hidden="1" outlineLevel="1" x14ac:dyDescent="0.2">
      <c r="A647" s="709">
        <f t="shared" si="122"/>
        <v>41000</v>
      </c>
      <c r="B647" s="709" t="str">
        <f t="shared" si="123"/>
        <v>2Q12</v>
      </c>
      <c r="C647" s="709" t="str">
        <f t="shared" si="124"/>
        <v>2Q12</v>
      </c>
      <c r="D647" s="710">
        <f t="shared" si="127"/>
        <v>41079</v>
      </c>
      <c r="E647" s="710">
        <f t="shared" si="127"/>
        <v>41019</v>
      </c>
      <c r="F647" s="712">
        <v>103.15</v>
      </c>
      <c r="G647" s="713">
        <f t="shared" si="125"/>
        <v>1.4900000000000011</v>
      </c>
      <c r="H647" s="713">
        <f t="shared" si="126"/>
        <v>1.4900000000000011</v>
      </c>
      <c r="I647" s="697"/>
      <c r="J647" s="697"/>
      <c r="K647" s="697"/>
      <c r="L647" s="697"/>
      <c r="M647" s="697"/>
      <c r="N647" s="697"/>
      <c r="O647" s="697"/>
      <c r="P647" s="697"/>
      <c r="Q647" s="697"/>
      <c r="R647" s="697"/>
      <c r="S647" s="697"/>
      <c r="T647" s="697"/>
      <c r="U647" s="697"/>
      <c r="V647" s="697"/>
      <c r="W647" s="697"/>
      <c r="X647" s="697"/>
      <c r="Y647" s="697"/>
      <c r="Z647" s="697"/>
      <c r="AA647" s="697"/>
      <c r="AB647" s="697"/>
      <c r="AC647" s="697"/>
      <c r="AD647" s="697"/>
      <c r="AE647" s="697"/>
      <c r="AF647" s="697"/>
      <c r="AG647" s="697"/>
      <c r="AH647" s="697"/>
      <c r="AI647" s="697"/>
      <c r="AJ647" s="697"/>
      <c r="AK647" s="697"/>
      <c r="AL647" s="697"/>
      <c r="AM647" s="697"/>
      <c r="AN647" s="697"/>
      <c r="AO647" s="697"/>
      <c r="AP647" s="697"/>
      <c r="AQ647" s="697"/>
      <c r="AR647" s="697"/>
      <c r="AS647" s="697"/>
      <c r="AT647" s="697"/>
      <c r="AU647" s="697"/>
      <c r="AV647" s="697"/>
      <c r="AW647" s="697"/>
      <c r="AX647" s="697"/>
      <c r="AY647" s="697"/>
      <c r="AZ647" s="697"/>
      <c r="BA647" s="697"/>
      <c r="BB647" s="697"/>
      <c r="BC647" s="697"/>
      <c r="BD647" s="697"/>
      <c r="BE647" s="697"/>
      <c r="BF647" s="697"/>
      <c r="BG647" s="697"/>
      <c r="BH647" s="697"/>
      <c r="BI647" s="697"/>
      <c r="BJ647" s="697"/>
      <c r="BK647" s="697"/>
      <c r="BL647" s="697"/>
      <c r="BM647" s="697"/>
      <c r="BN647" s="697"/>
      <c r="BO647" s="697"/>
      <c r="BP647" s="697"/>
      <c r="BQ647" s="697"/>
      <c r="BR647" s="697"/>
      <c r="BS647" s="697"/>
      <c r="BT647" s="697"/>
      <c r="BU647" s="697"/>
      <c r="BV647" s="697"/>
      <c r="BW647" s="697"/>
      <c r="BX647" s="697"/>
      <c r="BY647" s="697"/>
      <c r="BZ647" s="697"/>
      <c r="CA647" s="697"/>
      <c r="CB647" s="697"/>
      <c r="CC647" s="697"/>
      <c r="CD647" s="697"/>
      <c r="CE647" s="697"/>
      <c r="CF647" s="697"/>
      <c r="CG647" s="697"/>
      <c r="CH647" s="697"/>
      <c r="CI647" s="697"/>
      <c r="CJ647" s="697"/>
      <c r="CK647" s="697"/>
      <c r="CL647" s="697"/>
      <c r="CM647" s="697"/>
      <c r="CN647" s="697"/>
      <c r="CO647" s="697"/>
      <c r="CP647" s="697"/>
      <c r="CQ647" s="697"/>
      <c r="CR647" s="697"/>
      <c r="CS647" s="697"/>
      <c r="CT647" s="697"/>
      <c r="CU647" s="697"/>
      <c r="CV647" s="697"/>
      <c r="CW647" s="697"/>
      <c r="CX647" s="697"/>
      <c r="CY647" s="697"/>
      <c r="CZ647" s="697"/>
      <c r="DA647" s="697"/>
      <c r="DB647" s="697"/>
    </row>
    <row r="648" spans="1:106" hidden="1" outlineLevel="1" x14ac:dyDescent="0.2">
      <c r="A648" s="709">
        <f t="shared" si="122"/>
        <v>41000</v>
      </c>
      <c r="B648" s="709" t="str">
        <f t="shared" si="123"/>
        <v>2Q12</v>
      </c>
      <c r="C648" s="709" t="str">
        <f t="shared" si="124"/>
        <v>2Q12</v>
      </c>
      <c r="D648" s="710">
        <f t="shared" si="127"/>
        <v>41086</v>
      </c>
      <c r="E648" s="710">
        <f t="shared" si="127"/>
        <v>41026</v>
      </c>
      <c r="F648" s="712">
        <v>103.78</v>
      </c>
      <c r="G648" s="713">
        <f t="shared" si="125"/>
        <v>1.4900000000000011</v>
      </c>
      <c r="H648" s="713">
        <f t="shared" si="126"/>
        <v>1.4900000000000011</v>
      </c>
      <c r="I648" s="697"/>
      <c r="J648" s="697"/>
      <c r="K648" s="697"/>
      <c r="L648" s="697"/>
      <c r="M648" s="697"/>
      <c r="N648" s="697"/>
      <c r="O648" s="697"/>
      <c r="P648" s="697"/>
      <c r="Q648" s="697"/>
      <c r="R648" s="697"/>
      <c r="S648" s="697"/>
      <c r="T648" s="697"/>
      <c r="U648" s="697"/>
      <c r="V648" s="697"/>
      <c r="W648" s="697"/>
      <c r="X648" s="697"/>
      <c r="Y648" s="697"/>
      <c r="Z648" s="697"/>
      <c r="AA648" s="697"/>
      <c r="AB648" s="697"/>
      <c r="AC648" s="697"/>
      <c r="AD648" s="697"/>
      <c r="AE648" s="697"/>
      <c r="AF648" s="697"/>
      <c r="AG648" s="697"/>
      <c r="AH648" s="697"/>
      <c r="AI648" s="697"/>
      <c r="AJ648" s="697"/>
      <c r="AK648" s="697"/>
      <c r="AL648" s="697"/>
      <c r="AM648" s="697"/>
      <c r="AN648" s="697"/>
      <c r="AO648" s="697"/>
      <c r="AP648" s="697"/>
      <c r="AQ648" s="697"/>
      <c r="AR648" s="697"/>
      <c r="AS648" s="697"/>
      <c r="AT648" s="697"/>
      <c r="AU648" s="697"/>
      <c r="AV648" s="697"/>
      <c r="AW648" s="697"/>
      <c r="AX648" s="697"/>
      <c r="AY648" s="697"/>
      <c r="AZ648" s="697"/>
      <c r="BA648" s="697"/>
      <c r="BB648" s="697"/>
      <c r="BC648" s="697"/>
      <c r="BD648" s="697"/>
      <c r="BE648" s="697"/>
      <c r="BF648" s="697"/>
      <c r="BG648" s="697"/>
      <c r="BH648" s="697"/>
      <c r="BI648" s="697"/>
      <c r="BJ648" s="697"/>
      <c r="BK648" s="697"/>
      <c r="BL648" s="697"/>
      <c r="BM648" s="697"/>
      <c r="BN648" s="697"/>
      <c r="BO648" s="697"/>
      <c r="BP648" s="697"/>
      <c r="BQ648" s="697"/>
      <c r="BR648" s="697"/>
      <c r="BS648" s="697"/>
      <c r="BT648" s="697"/>
      <c r="BU648" s="697"/>
      <c r="BV648" s="697"/>
      <c r="BW648" s="697"/>
      <c r="BX648" s="697"/>
      <c r="BY648" s="697"/>
      <c r="BZ648" s="697"/>
      <c r="CA648" s="697"/>
      <c r="CB648" s="697"/>
      <c r="CC648" s="697"/>
      <c r="CD648" s="697"/>
      <c r="CE648" s="697"/>
      <c r="CF648" s="697"/>
      <c r="CG648" s="697"/>
      <c r="CH648" s="697"/>
      <c r="CI648" s="697"/>
      <c r="CJ648" s="697"/>
      <c r="CK648" s="697"/>
      <c r="CL648" s="697"/>
      <c r="CM648" s="697"/>
      <c r="CN648" s="697"/>
      <c r="CO648" s="697"/>
      <c r="CP648" s="697"/>
      <c r="CQ648" s="697"/>
      <c r="CR648" s="697"/>
      <c r="CS648" s="697"/>
      <c r="CT648" s="697"/>
      <c r="CU648" s="697"/>
      <c r="CV648" s="697"/>
      <c r="CW648" s="697"/>
      <c r="CX648" s="697"/>
      <c r="CY648" s="697"/>
      <c r="CZ648" s="697"/>
      <c r="DA648" s="697"/>
      <c r="DB648" s="697"/>
    </row>
    <row r="649" spans="1:106" hidden="1" outlineLevel="1" x14ac:dyDescent="0.2">
      <c r="A649" s="709">
        <f t="shared" si="122"/>
        <v>41030</v>
      </c>
      <c r="B649" s="709" t="str">
        <f t="shared" si="123"/>
        <v>2Q12</v>
      </c>
      <c r="C649" s="709" t="str">
        <f t="shared" si="124"/>
        <v>3Q12</v>
      </c>
      <c r="D649" s="710">
        <f t="shared" si="127"/>
        <v>41093</v>
      </c>
      <c r="E649" s="710">
        <f t="shared" si="127"/>
        <v>41033</v>
      </c>
      <c r="F649" s="712">
        <v>103.47</v>
      </c>
      <c r="G649" s="713">
        <f t="shared" si="125"/>
        <v>1.4900000000000011</v>
      </c>
      <c r="H649" s="713">
        <f t="shared" si="126"/>
        <v>1.4900000000000011</v>
      </c>
      <c r="I649" s="697"/>
      <c r="J649" s="697"/>
      <c r="K649" s="697"/>
      <c r="L649" s="697"/>
      <c r="M649" s="697"/>
      <c r="N649" s="697"/>
      <c r="O649" s="697"/>
      <c r="P649" s="697"/>
      <c r="Q649" s="697"/>
      <c r="R649" s="697"/>
      <c r="S649" s="697"/>
      <c r="T649" s="697"/>
      <c r="U649" s="697"/>
      <c r="V649" s="697"/>
      <c r="W649" s="697"/>
      <c r="X649" s="697"/>
      <c r="Y649" s="697"/>
      <c r="Z649" s="697"/>
      <c r="AA649" s="697"/>
      <c r="AB649" s="697"/>
      <c r="AC649" s="697"/>
      <c r="AD649" s="697"/>
      <c r="AE649" s="697"/>
      <c r="AF649" s="697"/>
      <c r="AG649" s="697"/>
      <c r="AH649" s="697"/>
      <c r="AI649" s="697"/>
      <c r="AJ649" s="697"/>
      <c r="AK649" s="697"/>
      <c r="AL649" s="697"/>
      <c r="AM649" s="697"/>
      <c r="AN649" s="697"/>
      <c r="AO649" s="697"/>
      <c r="AP649" s="697"/>
      <c r="AQ649" s="697"/>
      <c r="AR649" s="697"/>
      <c r="AS649" s="697"/>
      <c r="AT649" s="697"/>
      <c r="AU649" s="697"/>
      <c r="AV649" s="697"/>
      <c r="AW649" s="697"/>
      <c r="AX649" s="697"/>
      <c r="AY649" s="697"/>
      <c r="AZ649" s="697"/>
      <c r="BA649" s="697"/>
      <c r="BB649" s="697"/>
      <c r="BC649" s="697"/>
      <c r="BD649" s="697"/>
      <c r="BE649" s="697"/>
      <c r="BF649" s="697"/>
      <c r="BG649" s="697"/>
      <c r="BH649" s="697"/>
      <c r="BI649" s="697"/>
      <c r="BJ649" s="697"/>
      <c r="BK649" s="697"/>
      <c r="BL649" s="697"/>
      <c r="BM649" s="697"/>
      <c r="BN649" s="697"/>
      <c r="BO649" s="697"/>
      <c r="BP649" s="697"/>
      <c r="BQ649" s="697"/>
      <c r="BR649" s="697"/>
      <c r="BS649" s="697"/>
      <c r="BT649" s="697"/>
      <c r="BU649" s="697"/>
      <c r="BV649" s="697"/>
      <c r="BW649" s="697"/>
      <c r="BX649" s="697"/>
      <c r="BY649" s="697"/>
      <c r="BZ649" s="697"/>
      <c r="CA649" s="697"/>
      <c r="CB649" s="697"/>
      <c r="CC649" s="697"/>
      <c r="CD649" s="697"/>
      <c r="CE649" s="697"/>
      <c r="CF649" s="697"/>
      <c r="CG649" s="697"/>
      <c r="CH649" s="697"/>
      <c r="CI649" s="697"/>
      <c r="CJ649" s="697"/>
      <c r="CK649" s="697"/>
      <c r="CL649" s="697"/>
      <c r="CM649" s="697"/>
      <c r="CN649" s="697"/>
      <c r="CO649" s="697"/>
      <c r="CP649" s="697"/>
      <c r="CQ649" s="697"/>
      <c r="CR649" s="697"/>
      <c r="CS649" s="697"/>
      <c r="CT649" s="697"/>
      <c r="CU649" s="697"/>
      <c r="CV649" s="697"/>
      <c r="CW649" s="697"/>
      <c r="CX649" s="697"/>
      <c r="CY649" s="697"/>
      <c r="CZ649" s="697"/>
      <c r="DA649" s="697"/>
      <c r="DB649" s="697"/>
    </row>
    <row r="650" spans="1:106" hidden="1" outlineLevel="1" x14ac:dyDescent="0.2">
      <c r="A650" s="709">
        <f t="shared" si="122"/>
        <v>41030</v>
      </c>
      <c r="B650" s="709" t="str">
        <f t="shared" si="123"/>
        <v>2Q12</v>
      </c>
      <c r="C650" s="709" t="str">
        <f t="shared" si="124"/>
        <v>3Q12</v>
      </c>
      <c r="D650" s="710">
        <f t="shared" si="127"/>
        <v>41100</v>
      </c>
      <c r="E650" s="710">
        <f t="shared" si="127"/>
        <v>41040</v>
      </c>
      <c r="F650" s="712">
        <v>96.98</v>
      </c>
      <c r="G650" s="713">
        <f t="shared" si="125"/>
        <v>1.4900000000000011</v>
      </c>
      <c r="H650" s="713">
        <f t="shared" si="126"/>
        <v>1.4900000000000011</v>
      </c>
      <c r="I650" s="697"/>
      <c r="J650" s="697"/>
      <c r="K650" s="697"/>
      <c r="L650" s="697"/>
      <c r="M650" s="697"/>
      <c r="N650" s="697"/>
      <c r="O650" s="697"/>
      <c r="P650" s="697"/>
      <c r="Q650" s="697"/>
      <c r="R650" s="697"/>
      <c r="S650" s="697"/>
      <c r="T650" s="697"/>
      <c r="U650" s="697"/>
      <c r="V650" s="697"/>
      <c r="W650" s="697"/>
      <c r="X650" s="697"/>
      <c r="Y650" s="697"/>
      <c r="Z650" s="697"/>
      <c r="AA650" s="697"/>
      <c r="AB650" s="697"/>
      <c r="AC650" s="697"/>
      <c r="AD650" s="697"/>
      <c r="AE650" s="697"/>
      <c r="AF650" s="697"/>
      <c r="AG650" s="697"/>
      <c r="AH650" s="697"/>
      <c r="AI650" s="697"/>
      <c r="AJ650" s="697"/>
      <c r="AK650" s="697"/>
      <c r="AL650" s="697"/>
      <c r="AM650" s="697"/>
      <c r="AN650" s="697"/>
      <c r="AO650" s="697"/>
      <c r="AP650" s="697"/>
      <c r="AQ650" s="697"/>
      <c r="AR650" s="697"/>
      <c r="AS650" s="697"/>
      <c r="AT650" s="697"/>
      <c r="AU650" s="697"/>
      <c r="AV650" s="697"/>
      <c r="AW650" s="697"/>
      <c r="AX650" s="697"/>
      <c r="AY650" s="697"/>
      <c r="AZ650" s="697"/>
      <c r="BA650" s="697"/>
      <c r="BB650" s="697"/>
      <c r="BC650" s="697"/>
      <c r="BD650" s="697"/>
      <c r="BE650" s="697"/>
      <c r="BF650" s="697"/>
      <c r="BG650" s="697"/>
      <c r="BH650" s="697"/>
      <c r="BI650" s="697"/>
      <c r="BJ650" s="697"/>
      <c r="BK650" s="697"/>
      <c r="BL650" s="697"/>
      <c r="BM650" s="697"/>
      <c r="BN650" s="697"/>
      <c r="BO650" s="697"/>
      <c r="BP650" s="697"/>
      <c r="BQ650" s="697"/>
      <c r="BR650" s="697"/>
      <c r="BS650" s="697"/>
      <c r="BT650" s="697"/>
      <c r="BU650" s="697"/>
      <c r="BV650" s="697"/>
      <c r="BW650" s="697"/>
      <c r="BX650" s="697"/>
      <c r="BY650" s="697"/>
      <c r="BZ650" s="697"/>
      <c r="CA650" s="697"/>
      <c r="CB650" s="697"/>
      <c r="CC650" s="697"/>
      <c r="CD650" s="697"/>
      <c r="CE650" s="697"/>
      <c r="CF650" s="697"/>
      <c r="CG650" s="697"/>
      <c r="CH650" s="697"/>
      <c r="CI650" s="697"/>
      <c r="CJ650" s="697"/>
      <c r="CK650" s="697"/>
      <c r="CL650" s="697"/>
      <c r="CM650" s="697"/>
      <c r="CN650" s="697"/>
      <c r="CO650" s="697"/>
      <c r="CP650" s="697"/>
      <c r="CQ650" s="697"/>
      <c r="CR650" s="697"/>
      <c r="CS650" s="697"/>
      <c r="CT650" s="697"/>
      <c r="CU650" s="697"/>
      <c r="CV650" s="697"/>
      <c r="CW650" s="697"/>
      <c r="CX650" s="697"/>
      <c r="CY650" s="697"/>
      <c r="CZ650" s="697"/>
      <c r="DA650" s="697"/>
      <c r="DB650" s="697"/>
    </row>
    <row r="651" spans="1:106" hidden="1" outlineLevel="1" x14ac:dyDescent="0.2">
      <c r="A651" s="709">
        <f t="shared" si="122"/>
        <v>41030</v>
      </c>
      <c r="B651" s="709" t="str">
        <f t="shared" si="123"/>
        <v>2Q12</v>
      </c>
      <c r="C651" s="709" t="str">
        <f t="shared" si="124"/>
        <v>3Q12</v>
      </c>
      <c r="D651" s="710">
        <f t="shared" si="127"/>
        <v>41107</v>
      </c>
      <c r="E651" s="710">
        <f t="shared" si="127"/>
        <v>41047</v>
      </c>
      <c r="F651" s="712">
        <v>93.11</v>
      </c>
      <c r="G651" s="713">
        <f t="shared" si="125"/>
        <v>1.4900000000000011</v>
      </c>
      <c r="H651" s="713">
        <f t="shared" si="126"/>
        <v>1.4900000000000011</v>
      </c>
      <c r="I651" s="697"/>
      <c r="J651" s="697"/>
      <c r="K651" s="697"/>
      <c r="L651" s="697"/>
      <c r="M651" s="697"/>
      <c r="N651" s="697"/>
      <c r="O651" s="697"/>
      <c r="P651" s="697"/>
      <c r="Q651" s="697"/>
      <c r="R651" s="697"/>
      <c r="S651" s="697"/>
      <c r="T651" s="697"/>
      <c r="U651" s="697"/>
      <c r="V651" s="697"/>
      <c r="W651" s="697"/>
      <c r="X651" s="697"/>
      <c r="Y651" s="697"/>
      <c r="Z651" s="697"/>
      <c r="AA651" s="697"/>
      <c r="AB651" s="697"/>
      <c r="AC651" s="697"/>
      <c r="AD651" s="697"/>
      <c r="AE651" s="697"/>
      <c r="AF651" s="697"/>
      <c r="AG651" s="697"/>
      <c r="AH651" s="697"/>
      <c r="AI651" s="697"/>
      <c r="AJ651" s="697"/>
      <c r="AK651" s="697"/>
      <c r="AL651" s="697"/>
      <c r="AM651" s="697"/>
      <c r="AN651" s="697"/>
      <c r="AO651" s="697"/>
      <c r="AP651" s="697"/>
      <c r="AQ651" s="697"/>
      <c r="AR651" s="697"/>
      <c r="AS651" s="697"/>
      <c r="AT651" s="697"/>
      <c r="AU651" s="697"/>
      <c r="AV651" s="697"/>
      <c r="AW651" s="697"/>
      <c r="AX651" s="697"/>
      <c r="AY651" s="697"/>
      <c r="AZ651" s="697"/>
      <c r="BA651" s="697"/>
      <c r="BB651" s="697"/>
      <c r="BC651" s="697"/>
      <c r="BD651" s="697"/>
      <c r="BE651" s="697"/>
      <c r="BF651" s="697"/>
      <c r="BG651" s="697"/>
      <c r="BH651" s="697"/>
      <c r="BI651" s="697"/>
      <c r="BJ651" s="697"/>
      <c r="BK651" s="697"/>
      <c r="BL651" s="697"/>
      <c r="BM651" s="697"/>
      <c r="BN651" s="697"/>
      <c r="BO651" s="697"/>
      <c r="BP651" s="697"/>
      <c r="BQ651" s="697"/>
      <c r="BR651" s="697"/>
      <c r="BS651" s="697"/>
      <c r="BT651" s="697"/>
      <c r="BU651" s="697"/>
      <c r="BV651" s="697"/>
      <c r="BW651" s="697"/>
      <c r="BX651" s="697"/>
      <c r="BY651" s="697"/>
      <c r="BZ651" s="697"/>
      <c r="CA651" s="697"/>
      <c r="CB651" s="697"/>
      <c r="CC651" s="697"/>
      <c r="CD651" s="697"/>
      <c r="CE651" s="697"/>
      <c r="CF651" s="697"/>
      <c r="CG651" s="697"/>
      <c r="CH651" s="697"/>
      <c r="CI651" s="697"/>
      <c r="CJ651" s="697"/>
      <c r="CK651" s="697"/>
      <c r="CL651" s="697"/>
      <c r="CM651" s="697"/>
      <c r="CN651" s="697"/>
      <c r="CO651" s="697"/>
      <c r="CP651" s="697"/>
      <c r="CQ651" s="697"/>
      <c r="CR651" s="697"/>
      <c r="CS651" s="697"/>
      <c r="CT651" s="697"/>
      <c r="CU651" s="697"/>
      <c r="CV651" s="697"/>
      <c r="CW651" s="697"/>
      <c r="CX651" s="697"/>
      <c r="CY651" s="697"/>
      <c r="CZ651" s="697"/>
      <c r="DA651" s="697"/>
      <c r="DB651" s="697"/>
    </row>
    <row r="652" spans="1:106" hidden="1" outlineLevel="1" x14ac:dyDescent="0.2">
      <c r="A652" s="709">
        <f t="shared" si="122"/>
        <v>41030</v>
      </c>
      <c r="B652" s="709" t="str">
        <f t="shared" si="123"/>
        <v>2Q12</v>
      </c>
      <c r="C652" s="709" t="str">
        <f t="shared" si="124"/>
        <v>3Q12</v>
      </c>
      <c r="D652" s="710">
        <f t="shared" si="127"/>
        <v>41114</v>
      </c>
      <c r="E652" s="710">
        <f t="shared" si="127"/>
        <v>41054</v>
      </c>
      <c r="F652" s="712">
        <v>90.88</v>
      </c>
      <c r="G652" s="713">
        <f t="shared" si="125"/>
        <v>1.4900000000000011</v>
      </c>
      <c r="H652" s="713">
        <f t="shared" si="126"/>
        <v>1.4900000000000011</v>
      </c>
      <c r="I652" s="697"/>
      <c r="J652" s="697"/>
      <c r="K652" s="697"/>
      <c r="L652" s="697"/>
      <c r="M652" s="697"/>
      <c r="N652" s="697"/>
      <c r="O652" s="697"/>
      <c r="P652" s="697"/>
      <c r="Q652" s="697"/>
      <c r="R652" s="697"/>
      <c r="S652" s="697"/>
      <c r="T652" s="697"/>
      <c r="U652" s="697"/>
      <c r="V652" s="697"/>
      <c r="W652" s="697"/>
      <c r="X652" s="697"/>
      <c r="Y652" s="697"/>
      <c r="Z652" s="697"/>
      <c r="AA652" s="697"/>
      <c r="AB652" s="697"/>
      <c r="AC652" s="697"/>
      <c r="AD652" s="697"/>
      <c r="AE652" s="697"/>
      <c r="AF652" s="697"/>
      <c r="AG652" s="697"/>
      <c r="AH652" s="697"/>
      <c r="AI652" s="697"/>
      <c r="AJ652" s="697"/>
      <c r="AK652" s="697"/>
      <c r="AL652" s="697"/>
      <c r="AM652" s="697"/>
      <c r="AN652" s="697"/>
      <c r="AO652" s="697"/>
      <c r="AP652" s="697"/>
      <c r="AQ652" s="697"/>
      <c r="AR652" s="697"/>
      <c r="AS652" s="697"/>
      <c r="AT652" s="697"/>
      <c r="AU652" s="697"/>
      <c r="AV652" s="697"/>
      <c r="AW652" s="697"/>
      <c r="AX652" s="697"/>
      <c r="AY652" s="697"/>
      <c r="AZ652" s="697"/>
      <c r="BA652" s="697"/>
      <c r="BB652" s="697"/>
      <c r="BC652" s="697"/>
      <c r="BD652" s="697"/>
      <c r="BE652" s="697"/>
      <c r="BF652" s="697"/>
      <c r="BG652" s="697"/>
      <c r="BH652" s="697"/>
      <c r="BI652" s="697"/>
      <c r="BJ652" s="697"/>
      <c r="BK652" s="697"/>
      <c r="BL652" s="697"/>
      <c r="BM652" s="697"/>
      <c r="BN652" s="697"/>
      <c r="BO652" s="697"/>
      <c r="BP652" s="697"/>
      <c r="BQ652" s="697"/>
      <c r="BR652" s="697"/>
      <c r="BS652" s="697"/>
      <c r="BT652" s="697"/>
      <c r="BU652" s="697"/>
      <c r="BV652" s="697"/>
      <c r="BW652" s="697"/>
      <c r="BX652" s="697"/>
      <c r="BY652" s="697"/>
      <c r="BZ652" s="697"/>
      <c r="CA652" s="697"/>
      <c r="CB652" s="697"/>
      <c r="CC652" s="697"/>
      <c r="CD652" s="697"/>
      <c r="CE652" s="697"/>
      <c r="CF652" s="697"/>
      <c r="CG652" s="697"/>
      <c r="CH652" s="697"/>
      <c r="CI652" s="697"/>
      <c r="CJ652" s="697"/>
      <c r="CK652" s="697"/>
      <c r="CL652" s="697"/>
      <c r="CM652" s="697"/>
      <c r="CN652" s="697"/>
      <c r="CO652" s="697"/>
      <c r="CP652" s="697"/>
      <c r="CQ652" s="697"/>
      <c r="CR652" s="697"/>
      <c r="CS652" s="697"/>
      <c r="CT652" s="697"/>
      <c r="CU652" s="697"/>
      <c r="CV652" s="697"/>
      <c r="CW652" s="697"/>
      <c r="CX652" s="697"/>
      <c r="CY652" s="697"/>
      <c r="CZ652" s="697"/>
      <c r="DA652" s="697"/>
      <c r="DB652" s="697"/>
    </row>
    <row r="653" spans="1:106" hidden="1" outlineLevel="1" x14ac:dyDescent="0.2">
      <c r="A653" s="709">
        <f t="shared" si="122"/>
        <v>41061</v>
      </c>
      <c r="B653" s="709" t="str">
        <f t="shared" si="123"/>
        <v>2Q12</v>
      </c>
      <c r="C653" s="709" t="str">
        <f t="shared" si="124"/>
        <v>3Q12</v>
      </c>
      <c r="D653" s="710">
        <f t="shared" si="127"/>
        <v>41121</v>
      </c>
      <c r="E653" s="710">
        <f t="shared" si="127"/>
        <v>41061</v>
      </c>
      <c r="F653" s="712">
        <v>87.06</v>
      </c>
      <c r="G653" s="713">
        <f t="shared" si="125"/>
        <v>1.4900000000000011</v>
      </c>
      <c r="H653" s="713">
        <f t="shared" si="126"/>
        <v>1.4900000000000011</v>
      </c>
      <c r="I653" s="697"/>
      <c r="J653" s="697"/>
      <c r="K653" s="697"/>
      <c r="L653" s="697"/>
      <c r="M653" s="697"/>
      <c r="N653" s="697"/>
      <c r="O653" s="697"/>
      <c r="P653" s="697"/>
      <c r="Q653" s="697"/>
      <c r="R653" s="697"/>
      <c r="S653" s="697"/>
      <c r="T653" s="697"/>
      <c r="U653" s="697"/>
      <c r="V653" s="697"/>
      <c r="W653" s="697"/>
      <c r="X653" s="697"/>
      <c r="Y653" s="697"/>
      <c r="Z653" s="697"/>
      <c r="AA653" s="697"/>
      <c r="AB653" s="697"/>
      <c r="AC653" s="697"/>
      <c r="AD653" s="697"/>
      <c r="AE653" s="697"/>
      <c r="AF653" s="697"/>
      <c r="AG653" s="697"/>
      <c r="AH653" s="697"/>
      <c r="AI653" s="697"/>
      <c r="AJ653" s="697"/>
      <c r="AK653" s="697"/>
      <c r="AL653" s="697"/>
      <c r="AM653" s="697"/>
      <c r="AN653" s="697"/>
      <c r="AO653" s="697"/>
      <c r="AP653" s="697"/>
      <c r="AQ653" s="697"/>
      <c r="AR653" s="697"/>
      <c r="AS653" s="697"/>
      <c r="AT653" s="697"/>
      <c r="AU653" s="697"/>
      <c r="AV653" s="697"/>
      <c r="AW653" s="697"/>
      <c r="AX653" s="697"/>
      <c r="AY653" s="697"/>
      <c r="AZ653" s="697"/>
      <c r="BA653" s="697"/>
      <c r="BB653" s="697"/>
      <c r="BC653" s="697"/>
      <c r="BD653" s="697"/>
      <c r="BE653" s="697"/>
      <c r="BF653" s="697"/>
      <c r="BG653" s="697"/>
      <c r="BH653" s="697"/>
      <c r="BI653" s="697"/>
      <c r="BJ653" s="697"/>
      <c r="BK653" s="697"/>
      <c r="BL653" s="697"/>
      <c r="BM653" s="697"/>
      <c r="BN653" s="697"/>
      <c r="BO653" s="697"/>
      <c r="BP653" s="697"/>
      <c r="BQ653" s="697"/>
      <c r="BR653" s="697"/>
      <c r="BS653" s="697"/>
      <c r="BT653" s="697"/>
      <c r="BU653" s="697"/>
      <c r="BV653" s="697"/>
      <c r="BW653" s="697"/>
      <c r="BX653" s="697"/>
      <c r="BY653" s="697"/>
      <c r="BZ653" s="697"/>
      <c r="CA653" s="697"/>
      <c r="CB653" s="697"/>
      <c r="CC653" s="697"/>
      <c r="CD653" s="697"/>
      <c r="CE653" s="697"/>
      <c r="CF653" s="697"/>
      <c r="CG653" s="697"/>
      <c r="CH653" s="697"/>
      <c r="CI653" s="697"/>
      <c r="CJ653" s="697"/>
      <c r="CK653" s="697"/>
      <c r="CL653" s="697"/>
      <c r="CM653" s="697"/>
      <c r="CN653" s="697"/>
      <c r="CO653" s="697"/>
      <c r="CP653" s="697"/>
      <c r="CQ653" s="697"/>
      <c r="CR653" s="697"/>
      <c r="CS653" s="697"/>
      <c r="CT653" s="697"/>
      <c r="CU653" s="697"/>
      <c r="CV653" s="697"/>
      <c r="CW653" s="697"/>
      <c r="CX653" s="697"/>
      <c r="CY653" s="697"/>
      <c r="CZ653" s="697"/>
      <c r="DA653" s="697"/>
      <c r="DB653" s="697"/>
    </row>
    <row r="654" spans="1:106" hidden="1" outlineLevel="1" x14ac:dyDescent="0.2">
      <c r="A654" s="709">
        <f t="shared" si="122"/>
        <v>41061</v>
      </c>
      <c r="B654" s="709" t="str">
        <f t="shared" si="123"/>
        <v>2Q12</v>
      </c>
      <c r="C654" s="709" t="str">
        <f t="shared" si="124"/>
        <v>3Q12</v>
      </c>
      <c r="D654" s="710">
        <f t="shared" si="127"/>
        <v>41128</v>
      </c>
      <c r="E654" s="710">
        <f t="shared" si="127"/>
        <v>41068</v>
      </c>
      <c r="F654" s="712">
        <v>84.43</v>
      </c>
      <c r="G654" s="713">
        <f t="shared" si="125"/>
        <v>1.4900000000000011</v>
      </c>
      <c r="H654" s="713">
        <f t="shared" si="126"/>
        <v>1.4900000000000011</v>
      </c>
      <c r="I654" s="697"/>
      <c r="J654" s="697"/>
      <c r="K654" s="697"/>
      <c r="L654" s="697"/>
      <c r="M654" s="697"/>
      <c r="N654" s="697"/>
      <c r="O654" s="697"/>
      <c r="P654" s="697"/>
      <c r="Q654" s="697"/>
      <c r="R654" s="697"/>
      <c r="S654" s="697"/>
      <c r="T654" s="697"/>
      <c r="U654" s="697"/>
      <c r="V654" s="697"/>
      <c r="W654" s="697"/>
      <c r="X654" s="697"/>
      <c r="Y654" s="697"/>
      <c r="Z654" s="697"/>
      <c r="AA654" s="697"/>
      <c r="AB654" s="697"/>
      <c r="AC654" s="697"/>
      <c r="AD654" s="697"/>
      <c r="AE654" s="697"/>
      <c r="AF654" s="697"/>
      <c r="AG654" s="697"/>
      <c r="AH654" s="697"/>
      <c r="AI654" s="697"/>
      <c r="AJ654" s="697"/>
      <c r="AK654" s="697"/>
      <c r="AL654" s="697"/>
      <c r="AM654" s="697"/>
      <c r="AN654" s="697"/>
      <c r="AO654" s="697"/>
      <c r="AP654" s="697"/>
      <c r="AQ654" s="697"/>
      <c r="AR654" s="697"/>
      <c r="AS654" s="697"/>
      <c r="AT654" s="697"/>
      <c r="AU654" s="697"/>
      <c r="AV654" s="697"/>
      <c r="AW654" s="697"/>
      <c r="AX654" s="697"/>
      <c r="AY654" s="697"/>
      <c r="AZ654" s="697"/>
      <c r="BA654" s="697"/>
      <c r="BB654" s="697"/>
      <c r="BC654" s="697"/>
      <c r="BD654" s="697"/>
      <c r="BE654" s="697"/>
      <c r="BF654" s="697"/>
      <c r="BG654" s="697"/>
      <c r="BH654" s="697"/>
      <c r="BI654" s="697"/>
      <c r="BJ654" s="697"/>
      <c r="BK654" s="697"/>
      <c r="BL654" s="697"/>
      <c r="BM654" s="697"/>
      <c r="BN654" s="697"/>
      <c r="BO654" s="697"/>
      <c r="BP654" s="697"/>
      <c r="BQ654" s="697"/>
      <c r="BR654" s="697"/>
      <c r="BS654" s="697"/>
      <c r="BT654" s="697"/>
      <c r="BU654" s="697"/>
      <c r="BV654" s="697"/>
      <c r="BW654" s="697"/>
      <c r="BX654" s="697"/>
      <c r="BY654" s="697"/>
      <c r="BZ654" s="697"/>
      <c r="CA654" s="697"/>
      <c r="CB654" s="697"/>
      <c r="CC654" s="697"/>
      <c r="CD654" s="697"/>
      <c r="CE654" s="697"/>
      <c r="CF654" s="697"/>
      <c r="CG654" s="697"/>
      <c r="CH654" s="697"/>
      <c r="CI654" s="697"/>
      <c r="CJ654" s="697"/>
      <c r="CK654" s="697"/>
      <c r="CL654" s="697"/>
      <c r="CM654" s="697"/>
      <c r="CN654" s="697"/>
      <c r="CO654" s="697"/>
      <c r="CP654" s="697"/>
      <c r="CQ654" s="697"/>
      <c r="CR654" s="697"/>
      <c r="CS654" s="697"/>
      <c r="CT654" s="697"/>
      <c r="CU654" s="697"/>
      <c r="CV654" s="697"/>
      <c r="CW654" s="697"/>
      <c r="CX654" s="697"/>
      <c r="CY654" s="697"/>
      <c r="CZ654" s="697"/>
      <c r="DA654" s="697"/>
      <c r="DB654" s="697"/>
    </row>
    <row r="655" spans="1:106" hidden="1" outlineLevel="1" x14ac:dyDescent="0.2">
      <c r="A655" s="709">
        <f t="shared" si="122"/>
        <v>41061</v>
      </c>
      <c r="B655" s="709" t="str">
        <f t="shared" si="123"/>
        <v>2Q12</v>
      </c>
      <c r="C655" s="709" t="str">
        <f t="shared" si="124"/>
        <v>3Q12</v>
      </c>
      <c r="D655" s="710">
        <f t="shared" si="127"/>
        <v>41135</v>
      </c>
      <c r="E655" s="710">
        <f t="shared" si="127"/>
        <v>41075</v>
      </c>
      <c r="F655" s="712">
        <v>83.27</v>
      </c>
      <c r="G655" s="713">
        <f t="shared" si="125"/>
        <v>1.4900000000000011</v>
      </c>
      <c r="H655" s="713">
        <f t="shared" si="126"/>
        <v>1.4900000000000011</v>
      </c>
      <c r="I655" s="697"/>
      <c r="J655" s="697"/>
      <c r="K655" s="697"/>
      <c r="L655" s="697"/>
      <c r="M655" s="697"/>
      <c r="N655" s="697"/>
      <c r="O655" s="697"/>
      <c r="P655" s="697"/>
      <c r="Q655" s="697"/>
      <c r="R655" s="697"/>
      <c r="S655" s="697"/>
      <c r="T655" s="697"/>
      <c r="U655" s="697"/>
      <c r="V655" s="697"/>
      <c r="W655" s="697"/>
      <c r="X655" s="697"/>
      <c r="Y655" s="697"/>
      <c r="Z655" s="697"/>
      <c r="AA655" s="697"/>
      <c r="AB655" s="697"/>
      <c r="AC655" s="697"/>
      <c r="AD655" s="697"/>
      <c r="AE655" s="697"/>
      <c r="AF655" s="697"/>
      <c r="AG655" s="697"/>
      <c r="AH655" s="697"/>
      <c r="AI655" s="697"/>
      <c r="AJ655" s="697"/>
      <c r="AK655" s="697"/>
      <c r="AL655" s="697"/>
      <c r="AM655" s="697"/>
      <c r="AN655" s="697"/>
      <c r="AO655" s="697"/>
      <c r="AP655" s="697"/>
      <c r="AQ655" s="697"/>
      <c r="AR655" s="697"/>
      <c r="AS655" s="697"/>
      <c r="AT655" s="697"/>
      <c r="AU655" s="697"/>
      <c r="AV655" s="697"/>
      <c r="AW655" s="697"/>
      <c r="AX655" s="697"/>
      <c r="AY655" s="697"/>
      <c r="AZ655" s="697"/>
      <c r="BA655" s="697"/>
      <c r="BB655" s="697"/>
      <c r="BC655" s="697"/>
      <c r="BD655" s="697"/>
      <c r="BE655" s="697"/>
      <c r="BF655" s="697"/>
      <c r="BG655" s="697"/>
      <c r="BH655" s="697"/>
      <c r="BI655" s="697"/>
      <c r="BJ655" s="697"/>
      <c r="BK655" s="697"/>
      <c r="BL655" s="697"/>
      <c r="BM655" s="697"/>
      <c r="BN655" s="697"/>
      <c r="BO655" s="697"/>
      <c r="BP655" s="697"/>
      <c r="BQ655" s="697"/>
      <c r="BR655" s="697"/>
      <c r="BS655" s="697"/>
      <c r="BT655" s="697"/>
      <c r="BU655" s="697"/>
      <c r="BV655" s="697"/>
      <c r="BW655" s="697"/>
      <c r="BX655" s="697"/>
      <c r="BY655" s="697"/>
      <c r="BZ655" s="697"/>
      <c r="CA655" s="697"/>
      <c r="CB655" s="697"/>
      <c r="CC655" s="697"/>
      <c r="CD655" s="697"/>
      <c r="CE655" s="697"/>
      <c r="CF655" s="697"/>
      <c r="CG655" s="697"/>
      <c r="CH655" s="697"/>
      <c r="CI655" s="697"/>
      <c r="CJ655" s="697"/>
      <c r="CK655" s="697"/>
      <c r="CL655" s="697"/>
      <c r="CM655" s="697"/>
      <c r="CN655" s="697"/>
      <c r="CO655" s="697"/>
      <c r="CP655" s="697"/>
      <c r="CQ655" s="697"/>
      <c r="CR655" s="697"/>
      <c r="CS655" s="697"/>
      <c r="CT655" s="697"/>
      <c r="CU655" s="697"/>
      <c r="CV655" s="697"/>
      <c r="CW655" s="697"/>
      <c r="CX655" s="697"/>
      <c r="CY655" s="697"/>
      <c r="CZ655" s="697"/>
      <c r="DA655" s="697"/>
      <c r="DB655" s="697"/>
    </row>
    <row r="656" spans="1:106" hidden="1" outlineLevel="1" x14ac:dyDescent="0.2">
      <c r="A656" s="709">
        <f t="shared" si="122"/>
        <v>41061</v>
      </c>
      <c r="B656" s="709" t="str">
        <f t="shared" si="123"/>
        <v>2Q12</v>
      </c>
      <c r="C656" s="709" t="str">
        <f t="shared" si="124"/>
        <v>3Q12</v>
      </c>
      <c r="D656" s="710">
        <f t="shared" si="127"/>
        <v>41142</v>
      </c>
      <c r="E656" s="710">
        <f t="shared" si="127"/>
        <v>41082</v>
      </c>
      <c r="F656" s="712">
        <v>81.11</v>
      </c>
      <c r="G656" s="713">
        <f t="shared" si="125"/>
        <v>1.4900000000000011</v>
      </c>
      <c r="H656" s="713">
        <f t="shared" si="126"/>
        <v>1.4900000000000011</v>
      </c>
      <c r="I656" s="697"/>
      <c r="J656" s="697"/>
      <c r="K656" s="697"/>
      <c r="L656" s="697"/>
      <c r="M656" s="697"/>
      <c r="N656" s="697"/>
      <c r="O656" s="697"/>
      <c r="P656" s="697"/>
      <c r="Q656" s="697"/>
      <c r="R656" s="697"/>
      <c r="S656" s="697"/>
      <c r="T656" s="697"/>
      <c r="U656" s="697"/>
      <c r="V656" s="697"/>
      <c r="W656" s="697"/>
      <c r="X656" s="697"/>
      <c r="Y656" s="697"/>
      <c r="Z656" s="697"/>
      <c r="AA656" s="697"/>
      <c r="AB656" s="697"/>
      <c r="AC656" s="697"/>
      <c r="AD656" s="697"/>
      <c r="AE656" s="697"/>
      <c r="AF656" s="697"/>
      <c r="AG656" s="697"/>
      <c r="AH656" s="697"/>
      <c r="AI656" s="697"/>
      <c r="AJ656" s="697"/>
      <c r="AK656" s="697"/>
      <c r="AL656" s="697"/>
      <c r="AM656" s="697"/>
      <c r="AN656" s="697"/>
      <c r="AO656" s="697"/>
      <c r="AP656" s="697"/>
      <c r="AQ656" s="697"/>
      <c r="AR656" s="697"/>
      <c r="AS656" s="697"/>
      <c r="AT656" s="697"/>
      <c r="AU656" s="697"/>
      <c r="AV656" s="697"/>
      <c r="AW656" s="697"/>
      <c r="AX656" s="697"/>
      <c r="AY656" s="697"/>
      <c r="AZ656" s="697"/>
      <c r="BA656" s="697"/>
      <c r="BB656" s="697"/>
      <c r="BC656" s="697"/>
      <c r="BD656" s="697"/>
      <c r="BE656" s="697"/>
      <c r="BF656" s="697"/>
      <c r="BG656" s="697"/>
      <c r="BH656" s="697"/>
      <c r="BI656" s="697"/>
      <c r="BJ656" s="697"/>
      <c r="BK656" s="697"/>
      <c r="BL656" s="697"/>
      <c r="BM656" s="697"/>
      <c r="BN656" s="697"/>
      <c r="BO656" s="697"/>
      <c r="BP656" s="697"/>
      <c r="BQ656" s="697"/>
      <c r="BR656" s="697"/>
      <c r="BS656" s="697"/>
      <c r="BT656" s="697"/>
      <c r="BU656" s="697"/>
      <c r="BV656" s="697"/>
      <c r="BW656" s="697"/>
      <c r="BX656" s="697"/>
      <c r="BY656" s="697"/>
      <c r="BZ656" s="697"/>
      <c r="CA656" s="697"/>
      <c r="CB656" s="697"/>
      <c r="CC656" s="697"/>
      <c r="CD656" s="697"/>
      <c r="CE656" s="697"/>
      <c r="CF656" s="697"/>
      <c r="CG656" s="697"/>
      <c r="CH656" s="697"/>
      <c r="CI656" s="697"/>
      <c r="CJ656" s="697"/>
      <c r="CK656" s="697"/>
      <c r="CL656" s="697"/>
      <c r="CM656" s="697"/>
      <c r="CN656" s="697"/>
      <c r="CO656" s="697"/>
      <c r="CP656" s="697"/>
      <c r="CQ656" s="697"/>
      <c r="CR656" s="697"/>
      <c r="CS656" s="697"/>
      <c r="CT656" s="697"/>
      <c r="CU656" s="697"/>
      <c r="CV656" s="697"/>
      <c r="CW656" s="697"/>
      <c r="CX656" s="697"/>
      <c r="CY656" s="697"/>
      <c r="CZ656" s="697"/>
      <c r="DA656" s="697"/>
      <c r="DB656" s="697"/>
    </row>
    <row r="657" spans="1:106" hidden="1" outlineLevel="1" x14ac:dyDescent="0.2">
      <c r="A657" s="709">
        <f t="shared" si="122"/>
        <v>41061</v>
      </c>
      <c r="B657" s="709" t="str">
        <f t="shared" si="123"/>
        <v>2Q12</v>
      </c>
      <c r="C657" s="709" t="str">
        <f t="shared" si="124"/>
        <v>3Q12</v>
      </c>
      <c r="D657" s="710">
        <f t="shared" si="127"/>
        <v>41149</v>
      </c>
      <c r="E657" s="710">
        <f t="shared" si="127"/>
        <v>41089</v>
      </c>
      <c r="F657" s="712">
        <v>80.23</v>
      </c>
      <c r="G657" s="713">
        <f t="shared" si="125"/>
        <v>1.4900000000000011</v>
      </c>
      <c r="H657" s="713">
        <f t="shared" si="126"/>
        <v>1.4900000000000011</v>
      </c>
      <c r="I657" s="697"/>
      <c r="J657" s="697"/>
      <c r="K657" s="697"/>
      <c r="L657" s="697"/>
      <c r="M657" s="697"/>
      <c r="N657" s="697"/>
      <c r="O657" s="697"/>
      <c r="P657" s="697"/>
      <c r="Q657" s="697"/>
      <c r="R657" s="697"/>
      <c r="S657" s="697"/>
      <c r="T657" s="697"/>
      <c r="U657" s="697"/>
      <c r="V657" s="697"/>
      <c r="W657" s="697"/>
      <c r="X657" s="697"/>
      <c r="Y657" s="697"/>
      <c r="Z657" s="697"/>
      <c r="AA657" s="697"/>
      <c r="AB657" s="697"/>
      <c r="AC657" s="697"/>
      <c r="AD657" s="697"/>
      <c r="AE657" s="697"/>
      <c r="AF657" s="697"/>
      <c r="AG657" s="697"/>
      <c r="AH657" s="697"/>
      <c r="AI657" s="697"/>
      <c r="AJ657" s="697"/>
      <c r="AK657" s="697"/>
      <c r="AL657" s="697"/>
      <c r="AM657" s="697"/>
      <c r="AN657" s="697"/>
      <c r="AO657" s="697"/>
      <c r="AP657" s="697"/>
      <c r="AQ657" s="697"/>
      <c r="AR657" s="697"/>
      <c r="AS657" s="697"/>
      <c r="AT657" s="697"/>
      <c r="AU657" s="697"/>
      <c r="AV657" s="697"/>
      <c r="AW657" s="697"/>
      <c r="AX657" s="697"/>
      <c r="AY657" s="697"/>
      <c r="AZ657" s="697"/>
      <c r="BA657" s="697"/>
      <c r="BB657" s="697"/>
      <c r="BC657" s="697"/>
      <c r="BD657" s="697"/>
      <c r="BE657" s="697"/>
      <c r="BF657" s="697"/>
      <c r="BG657" s="697"/>
      <c r="BH657" s="697"/>
      <c r="BI657" s="697"/>
      <c r="BJ657" s="697"/>
      <c r="BK657" s="697"/>
      <c r="BL657" s="697"/>
      <c r="BM657" s="697"/>
      <c r="BN657" s="697"/>
      <c r="BO657" s="697"/>
      <c r="BP657" s="697"/>
      <c r="BQ657" s="697"/>
      <c r="BR657" s="697"/>
      <c r="BS657" s="697"/>
      <c r="BT657" s="697"/>
      <c r="BU657" s="697"/>
      <c r="BV657" s="697"/>
      <c r="BW657" s="697"/>
      <c r="BX657" s="697"/>
      <c r="BY657" s="697"/>
      <c r="BZ657" s="697"/>
      <c r="CA657" s="697"/>
      <c r="CB657" s="697"/>
      <c r="CC657" s="697"/>
      <c r="CD657" s="697"/>
      <c r="CE657" s="697"/>
      <c r="CF657" s="697"/>
      <c r="CG657" s="697"/>
      <c r="CH657" s="697"/>
      <c r="CI657" s="697"/>
      <c r="CJ657" s="697"/>
      <c r="CK657" s="697"/>
      <c r="CL657" s="697"/>
      <c r="CM657" s="697"/>
      <c r="CN657" s="697"/>
      <c r="CO657" s="697"/>
      <c r="CP657" s="697"/>
      <c r="CQ657" s="697"/>
      <c r="CR657" s="697"/>
      <c r="CS657" s="697"/>
      <c r="CT657" s="697"/>
      <c r="CU657" s="697"/>
      <c r="CV657" s="697"/>
      <c r="CW657" s="697"/>
      <c r="CX657" s="697"/>
      <c r="CY657" s="697"/>
      <c r="CZ657" s="697"/>
      <c r="DA657" s="697"/>
      <c r="DB657" s="697"/>
    </row>
    <row r="658" spans="1:106" collapsed="1" x14ac:dyDescent="0.2">
      <c r="A658" s="709">
        <f t="shared" si="122"/>
        <v>41091</v>
      </c>
      <c r="B658" s="709" t="str">
        <f t="shared" si="123"/>
        <v>3Q12</v>
      </c>
      <c r="C658" s="709" t="str">
        <f t="shared" si="124"/>
        <v>3Q12</v>
      </c>
      <c r="D658" s="710">
        <f t="shared" si="127"/>
        <v>41156</v>
      </c>
      <c r="E658" s="710">
        <f t="shared" si="127"/>
        <v>41096</v>
      </c>
      <c r="F658" s="712">
        <v>85.74</v>
      </c>
      <c r="G658" s="713">
        <f t="shared" si="125"/>
        <v>1.4900000000000011</v>
      </c>
      <c r="H658" s="713">
        <f t="shared" si="126"/>
        <v>1.4900000000000011</v>
      </c>
      <c r="I658" s="697"/>
      <c r="J658" s="697"/>
      <c r="K658" s="697"/>
      <c r="L658" s="697"/>
      <c r="M658" s="697" t="s">
        <v>109</v>
      </c>
      <c r="N658" s="697"/>
      <c r="O658" s="697"/>
      <c r="P658" s="697"/>
      <c r="Q658" s="697"/>
      <c r="R658" s="697"/>
      <c r="S658" s="697"/>
      <c r="T658" s="697"/>
      <c r="U658" s="697"/>
      <c r="V658" s="697"/>
      <c r="W658" s="697"/>
      <c r="X658" s="697"/>
      <c r="Y658" s="697"/>
      <c r="Z658" s="697"/>
      <c r="AA658" s="697"/>
      <c r="AB658" s="697"/>
      <c r="AC658" s="697"/>
      <c r="AD658" s="697"/>
      <c r="AE658" s="697"/>
      <c r="AF658" s="697"/>
      <c r="AG658" s="697"/>
      <c r="AH658" s="697"/>
      <c r="AI658" s="697"/>
      <c r="AJ658" s="697"/>
      <c r="AK658" s="697"/>
      <c r="AL658" s="697"/>
      <c r="AM658" s="697"/>
      <c r="AN658" s="697"/>
      <c r="AO658" s="697"/>
      <c r="AP658" s="697"/>
      <c r="AQ658" s="697"/>
      <c r="AR658" s="697"/>
      <c r="AS658" s="723"/>
      <c r="AT658" s="723">
        <f t="shared" ref="AT658:CB658" si="128">+AT13-AT14</f>
        <v>6.9065092617629081E-3</v>
      </c>
      <c r="AU658" s="723">
        <f t="shared" si="128"/>
        <v>9.1337593247106108E-3</v>
      </c>
      <c r="AV658" s="723">
        <f t="shared" si="128"/>
        <v>2.6388533299113393E-2</v>
      </c>
      <c r="AW658" s="723">
        <f t="shared" si="128"/>
        <v>2.5510933635537622E-2</v>
      </c>
      <c r="AX658" s="723">
        <f t="shared" si="128"/>
        <v>1.6874176009555042E-2</v>
      </c>
      <c r="AY658" s="723">
        <f t="shared" si="128"/>
        <v>1.8494114727455491E-2</v>
      </c>
      <c r="AZ658" s="723">
        <f t="shared" si="128"/>
        <v>2.3151953875837905E-2</v>
      </c>
      <c r="BA658" s="723">
        <f t="shared" si="128"/>
        <v>2.6976237645834705E-2</v>
      </c>
      <c r="BB658" s="723">
        <f t="shared" si="128"/>
        <v>1.7528451171139506E-2</v>
      </c>
      <c r="BC658" s="723">
        <f t="shared" si="128"/>
        <v>2.1730955181796643E-2</v>
      </c>
      <c r="BD658" s="723">
        <f t="shared" si="128"/>
        <v>2.6156315276185574E-2</v>
      </c>
      <c r="BE658" s="723">
        <f t="shared" si="128"/>
        <v>3.5133311349679425E-2</v>
      </c>
      <c r="BF658" s="723">
        <f t="shared" si="128"/>
        <v>3.6971889926560225E-2</v>
      </c>
      <c r="BG658" s="723">
        <f t="shared" si="128"/>
        <v>3.8984700838399861E-2</v>
      </c>
      <c r="BH658" s="723">
        <f t="shared" si="128"/>
        <v>3.5212290536953378E-2</v>
      </c>
      <c r="BI658" s="723">
        <f t="shared" si="128"/>
        <v>2.0186565064351791E-2</v>
      </c>
      <c r="BJ658" s="723">
        <f t="shared" si="128"/>
        <v>4.8063455848117512E-3</v>
      </c>
      <c r="BK658" s="723">
        <f t="shared" si="128"/>
        <v>-1.5434968984579085E-2</v>
      </c>
      <c r="BL658" s="723">
        <f t="shared" si="128"/>
        <v>-2.1771087833924778E-2</v>
      </c>
      <c r="BM658" s="723">
        <f t="shared" si="128"/>
        <v>-2.7479672113146919E-3</v>
      </c>
      <c r="BN658" s="723">
        <f t="shared" si="128"/>
        <v>-1.2457318603371403E-2</v>
      </c>
      <c r="BO658" s="723">
        <f t="shared" si="128"/>
        <v>-6.9514231233072099E-3</v>
      </c>
      <c r="BP658" s="723">
        <f t="shared" si="128"/>
        <v>-7.0026371068544896E-3</v>
      </c>
      <c r="BQ658" s="723">
        <f t="shared" si="128"/>
        <v>-5.9911733491821578E-3</v>
      </c>
      <c r="BR658" s="723">
        <f t="shared" si="128"/>
        <v>-8.0255556397566957E-3</v>
      </c>
      <c r="BS658" s="723">
        <f t="shared" si="128"/>
        <v>-4.0462514356162244E-3</v>
      </c>
      <c r="BT658" s="723">
        <f t="shared" si="128"/>
        <v>1.0408517515375332E-2</v>
      </c>
      <c r="BU658" s="723">
        <f t="shared" si="128"/>
        <v>1.2028914901376753E-2</v>
      </c>
      <c r="BV658" s="723">
        <f t="shared" si="128"/>
        <v>8.0733217897640402E-3</v>
      </c>
      <c r="BW658" s="723">
        <f t="shared" si="128"/>
        <v>6.9363527294505484E-3</v>
      </c>
      <c r="BX658" s="723">
        <f t="shared" si="128"/>
        <v>1.6096583416583821E-3</v>
      </c>
      <c r="BY658" s="723">
        <f t="shared" si="128"/>
        <v>5.2992853726583911E-3</v>
      </c>
      <c r="BZ658" s="723">
        <f t="shared" si="128"/>
        <v>7.6561080182799834E-3</v>
      </c>
      <c r="CA658" s="723">
        <f t="shared" si="128"/>
        <v>7.4721380223470996E-3</v>
      </c>
      <c r="CB658" s="723">
        <f t="shared" si="128"/>
        <v>5.6801036357618795E-3</v>
      </c>
      <c r="CC658" s="723">
        <f t="shared" ref="CC658:CH658" si="129">+CC13-CC14</f>
        <v>-1.1816243756244127E-3</v>
      </c>
      <c r="CD658" s="723">
        <f t="shared" si="129"/>
        <v>1.7845384615384485E-3</v>
      </c>
      <c r="CE658" s="723">
        <f t="shared" si="129"/>
        <v>-7.3258763330158461E-4</v>
      </c>
      <c r="CF658" s="723">
        <f t="shared" si="129"/>
        <v>-1.3796383363472164E-3</v>
      </c>
      <c r="CG658" s="723">
        <f t="shared" si="129"/>
        <v>-2.8427459823734957E-4</v>
      </c>
      <c r="CH658" s="723">
        <f t="shared" si="129"/>
        <v>-7.5160484544693762E-4</v>
      </c>
      <c r="CI658" s="723">
        <f t="shared" ref="CI658:CN658" si="130">+CI13-CI14</f>
        <v>-1.4564511062707397E-3</v>
      </c>
      <c r="CJ658" s="723">
        <f t="shared" si="130"/>
        <v>-1.2543827011030628E-3</v>
      </c>
      <c r="CK658" s="723">
        <f t="shared" si="130"/>
        <v>4.215425388818847E-3</v>
      </c>
      <c r="CL658" s="723">
        <f t="shared" si="130"/>
        <v>4.2185852404433288E-4</v>
      </c>
      <c r="CM658" s="723">
        <f t="shared" si="130"/>
        <v>1.0416968258031456E-2</v>
      </c>
      <c r="CN658" s="723">
        <f t="shared" si="130"/>
        <v>6.0312502224067477E-3</v>
      </c>
      <c r="CO658" s="723">
        <f t="shared" ref="CO658:CU658" si="131">+CO13-CO14</f>
        <v>-6.9506923076922897E-3</v>
      </c>
      <c r="CP658" s="723">
        <f t="shared" si="131"/>
        <v>5.4838944044461185E-3</v>
      </c>
      <c r="CQ658" s="723">
        <f t="shared" si="131"/>
        <v>3.5832156973980706E-3</v>
      </c>
      <c r="CR658" s="723">
        <f t="shared" si="131"/>
        <v>7.2632316452000169E-3</v>
      </c>
      <c r="CS658" s="723">
        <f t="shared" si="131"/>
        <v>8.9783611928836611E-3</v>
      </c>
      <c r="CT658" s="723">
        <f t="shared" si="131"/>
        <v>-4.5451265771265827E-3</v>
      </c>
      <c r="CU658" s="723">
        <f t="shared" si="131"/>
        <v>-2.3068417037507977E-3</v>
      </c>
      <c r="CV658" s="723">
        <f t="shared" ref="CV658:CW658" si="132">+CV13-CV14</f>
        <v>2.3833717762759415E-3</v>
      </c>
      <c r="CW658" s="723">
        <f t="shared" si="132"/>
        <v>-5.7701025127177633E-3</v>
      </c>
      <c r="CX658" s="723">
        <f t="shared" ref="CX658:CY658" si="133">+CX13-CX14</f>
        <v>-7.0233284301904828E-3</v>
      </c>
      <c r="CY658" s="723">
        <f t="shared" si="133"/>
        <v>8.7890630019632487E-4</v>
      </c>
      <c r="CZ658" s="723">
        <f t="shared" ref="CZ658:DA658" si="134">+CZ13-CZ14</f>
        <v>5.7768489193495073E-3</v>
      </c>
      <c r="DA658" s="723">
        <f t="shared" si="134"/>
        <v>-1.5205835949764351E-3</v>
      </c>
      <c r="DB658" s="723">
        <f t="shared" ref="DB658" si="135">+DB13-DB14</f>
        <v>-4.503383306561963E-3</v>
      </c>
    </row>
    <row r="659" spans="1:106" x14ac:dyDescent="0.2">
      <c r="A659" s="709">
        <f t="shared" si="122"/>
        <v>41091</v>
      </c>
      <c r="B659" s="709" t="str">
        <f t="shared" si="123"/>
        <v>3Q12</v>
      </c>
      <c r="C659" s="709" t="str">
        <f t="shared" si="124"/>
        <v>3Q12</v>
      </c>
      <c r="D659" s="710">
        <f t="shared" si="127"/>
        <v>41163</v>
      </c>
      <c r="E659" s="710">
        <f t="shared" si="127"/>
        <v>41103</v>
      </c>
      <c r="F659" s="712">
        <v>85.78</v>
      </c>
      <c r="G659" s="713">
        <f t="shared" si="125"/>
        <v>1.4900000000000011</v>
      </c>
      <c r="H659" s="713">
        <f t="shared" si="126"/>
        <v>1.4900000000000011</v>
      </c>
      <c r="I659" s="697"/>
      <c r="J659" s="697"/>
      <c r="K659" s="697"/>
      <c r="L659" s="697"/>
      <c r="M659" s="697"/>
      <c r="N659" s="697"/>
      <c r="O659" s="697"/>
      <c r="P659" s="697"/>
      <c r="Q659" s="697"/>
      <c r="R659" s="697"/>
      <c r="S659" s="697"/>
      <c r="T659" s="697"/>
      <c r="U659" s="697"/>
      <c r="V659" s="697"/>
      <c r="W659" s="697"/>
      <c r="X659" s="697"/>
      <c r="Y659" s="697"/>
      <c r="Z659" s="697"/>
      <c r="AA659" s="697"/>
      <c r="AB659" s="697"/>
      <c r="AC659" s="697"/>
      <c r="AD659" s="697"/>
      <c r="AE659" s="697"/>
      <c r="AF659" s="697"/>
      <c r="AG659" s="697"/>
      <c r="AH659" s="697"/>
      <c r="AI659" s="697"/>
      <c r="AJ659" s="697"/>
      <c r="AK659" s="697"/>
      <c r="AL659" s="697"/>
      <c r="AM659" s="697"/>
      <c r="AN659" s="697"/>
      <c r="AO659" s="697"/>
      <c r="AP659" s="697"/>
      <c r="AQ659" s="697"/>
      <c r="AR659" s="697"/>
      <c r="AS659" s="697"/>
      <c r="AT659" s="697"/>
      <c r="AU659" s="697"/>
      <c r="AV659" s="697"/>
      <c r="AW659" s="697"/>
      <c r="AX659" s="697"/>
      <c r="AY659" s="697"/>
      <c r="AZ659" s="697"/>
      <c r="BA659" s="697"/>
      <c r="BB659" s="697"/>
      <c r="BC659" s="697"/>
      <c r="BD659" s="697"/>
      <c r="BE659" s="697"/>
      <c r="BF659" s="697"/>
      <c r="BG659" s="697"/>
      <c r="BH659" s="697"/>
      <c r="BI659" s="697"/>
      <c r="BJ659" s="697"/>
      <c r="BK659" s="697"/>
      <c r="BL659" s="697"/>
      <c r="BM659" s="697"/>
      <c r="BN659" s="697"/>
      <c r="BO659" s="697"/>
      <c r="BP659" s="697"/>
      <c r="BQ659" s="697"/>
      <c r="BR659" s="697"/>
      <c r="BS659" s="697"/>
      <c r="BT659" s="697"/>
      <c r="BU659" s="697"/>
      <c r="BV659" s="697"/>
      <c r="BW659" s="697"/>
      <c r="BX659" s="697"/>
      <c r="BY659" s="697"/>
      <c r="BZ659" s="697"/>
      <c r="CA659" s="697"/>
      <c r="CB659" s="697"/>
      <c r="CC659" s="723"/>
      <c r="CD659" s="697"/>
      <c r="CE659" s="697"/>
      <c r="CF659" s="697"/>
      <c r="CG659" s="697"/>
      <c r="CH659" s="697"/>
      <c r="CI659" s="697"/>
      <c r="CJ659" s="697"/>
      <c r="CK659" s="697"/>
      <c r="CL659" s="697"/>
      <c r="CM659" s="697"/>
      <c r="CN659" s="697"/>
      <c r="CO659" s="697"/>
      <c r="CP659" s="697"/>
      <c r="CQ659" s="697"/>
      <c r="CR659" s="697"/>
      <c r="CS659" s="697"/>
      <c r="CT659" s="697"/>
      <c r="CU659" s="697"/>
      <c r="CV659" s="697"/>
      <c r="CW659" s="697"/>
      <c r="CX659" s="697"/>
      <c r="CY659" s="697"/>
      <c r="CZ659" s="697"/>
      <c r="DA659" s="697"/>
    </row>
    <row r="660" spans="1:106" x14ac:dyDescent="0.2">
      <c r="A660" s="709">
        <f t="shared" si="122"/>
        <v>41091</v>
      </c>
      <c r="B660" s="709" t="str">
        <f t="shared" si="123"/>
        <v>3Q12</v>
      </c>
      <c r="C660" s="709" t="str">
        <f t="shared" si="124"/>
        <v>3Q12</v>
      </c>
      <c r="D660" s="710">
        <f t="shared" si="127"/>
        <v>41170</v>
      </c>
      <c r="E660" s="710">
        <f t="shared" si="127"/>
        <v>41110</v>
      </c>
      <c r="F660" s="712">
        <v>90.34</v>
      </c>
      <c r="G660" s="713">
        <f t="shared" si="125"/>
        <v>1.4900000000000011</v>
      </c>
      <c r="H660" s="713">
        <f t="shared" si="126"/>
        <v>1.4900000000000011</v>
      </c>
      <c r="I660" s="697"/>
      <c r="J660" s="697"/>
      <c r="K660" s="697"/>
      <c r="L660" s="697"/>
      <c r="M660" s="697"/>
      <c r="N660" s="697"/>
      <c r="O660" s="697"/>
      <c r="P660" s="697"/>
      <c r="Q660" s="697"/>
      <c r="R660" s="697"/>
      <c r="S660" s="697"/>
      <c r="T660" s="697"/>
      <c r="U660" s="697"/>
      <c r="V660" s="697"/>
      <c r="W660" s="697"/>
      <c r="X660" s="697"/>
      <c r="Y660" s="697"/>
      <c r="Z660" s="697"/>
      <c r="AA660" s="697"/>
      <c r="AB660" s="697"/>
      <c r="AC660" s="697"/>
      <c r="AD660" s="697"/>
      <c r="AE660" s="697"/>
      <c r="AF660" s="697"/>
      <c r="AG660" s="697"/>
      <c r="AH660" s="697"/>
      <c r="AI660" s="697"/>
      <c r="AJ660" s="697"/>
      <c r="AK660" s="697"/>
      <c r="AL660" s="697"/>
      <c r="AM660" s="697"/>
      <c r="AN660" s="697"/>
      <c r="AO660" s="697"/>
      <c r="AP660" s="697"/>
      <c r="AQ660" s="697"/>
      <c r="AR660" s="697"/>
      <c r="AS660" s="697"/>
      <c r="AT660" s="697"/>
      <c r="AU660" s="697"/>
      <c r="AV660" s="697"/>
      <c r="AW660" s="697"/>
      <c r="AX660" s="697"/>
      <c r="AY660" s="697"/>
      <c r="AZ660" s="697"/>
      <c r="BA660" s="697"/>
      <c r="BB660" s="697"/>
      <c r="BC660" s="697"/>
      <c r="BD660" s="697"/>
      <c r="BE660" s="697"/>
      <c r="BF660" s="697"/>
      <c r="BG660" s="697"/>
      <c r="BH660" s="697"/>
      <c r="BI660" s="697"/>
      <c r="BJ660" s="697"/>
      <c r="BK660" s="697"/>
      <c r="BL660" s="697"/>
      <c r="BM660" s="697"/>
      <c r="BN660" s="697"/>
      <c r="BO660" s="697"/>
      <c r="BP660" s="697"/>
      <c r="BQ660" s="697"/>
      <c r="BR660" s="697"/>
      <c r="BS660" s="697"/>
      <c r="BT660" s="697"/>
      <c r="BU660" s="697"/>
      <c r="BV660" s="697"/>
      <c r="BW660" s="697"/>
      <c r="BX660" s="697"/>
      <c r="BY660" s="697"/>
      <c r="BZ660" s="697"/>
      <c r="CA660" s="697"/>
      <c r="CB660" s="697"/>
      <c r="CC660" s="697"/>
      <c r="CD660" s="697"/>
      <c r="CE660" s="697"/>
      <c r="CF660" s="697"/>
      <c r="CG660" s="697"/>
      <c r="CH660" s="697"/>
      <c r="CI660" s="697"/>
      <c r="CJ660" s="697"/>
      <c r="CK660" s="697"/>
      <c r="CL660" s="697"/>
      <c r="CM660" s="697"/>
      <c r="CN660" s="697"/>
      <c r="CO660" s="697"/>
      <c r="CP660" s="697"/>
      <c r="CQ660" s="697"/>
      <c r="CR660" s="697"/>
      <c r="CS660" s="697"/>
      <c r="CT660" s="697"/>
      <c r="CU660" s="697"/>
      <c r="CV660" s="697"/>
      <c r="CW660" s="697"/>
      <c r="CX660" s="697"/>
      <c r="CY660" s="697"/>
      <c r="CZ660" s="697"/>
      <c r="DA660" s="697"/>
    </row>
    <row r="661" spans="1:106" x14ac:dyDescent="0.2">
      <c r="A661" s="709">
        <f t="shared" si="122"/>
        <v>41091</v>
      </c>
      <c r="B661" s="709" t="str">
        <f t="shared" si="123"/>
        <v>3Q12</v>
      </c>
      <c r="C661" s="709" t="str">
        <f t="shared" si="124"/>
        <v>3Q12</v>
      </c>
      <c r="D661" s="710">
        <f t="shared" ref="D661:E676" si="136">D660+7</f>
        <v>41177</v>
      </c>
      <c r="E661" s="710">
        <f t="shared" si="136"/>
        <v>41117</v>
      </c>
      <c r="F661" s="712">
        <v>88.88</v>
      </c>
      <c r="G661" s="713">
        <f t="shared" si="125"/>
        <v>1.4900000000000011</v>
      </c>
      <c r="H661" s="713">
        <f t="shared" si="126"/>
        <v>1.4900000000000011</v>
      </c>
      <c r="I661" s="697"/>
      <c r="J661" s="697"/>
      <c r="K661" s="697"/>
      <c r="L661" s="697"/>
      <c r="M661" s="697"/>
      <c r="N661" s="697"/>
      <c r="O661" s="697"/>
      <c r="P661" s="697"/>
      <c r="Q661" s="697"/>
      <c r="R661" s="697"/>
      <c r="S661" s="697"/>
      <c r="T661" s="697"/>
      <c r="U661" s="697"/>
      <c r="V661" s="697"/>
      <c r="W661" s="697"/>
      <c r="X661" s="697"/>
      <c r="Y661" s="697"/>
      <c r="Z661" s="697"/>
      <c r="AA661" s="697"/>
      <c r="AB661" s="697"/>
      <c r="AC661" s="697"/>
      <c r="AD661" s="697"/>
      <c r="AE661" s="697"/>
      <c r="AF661" s="697"/>
      <c r="AG661" s="697"/>
      <c r="AH661" s="697"/>
      <c r="AI661" s="697"/>
      <c r="AJ661" s="697"/>
      <c r="AK661" s="697"/>
      <c r="AL661" s="697"/>
      <c r="AM661" s="697"/>
      <c r="AN661" s="697"/>
      <c r="AO661" s="697"/>
      <c r="AP661" s="697"/>
      <c r="AQ661" s="697"/>
      <c r="AR661" s="697"/>
      <c r="AS661" s="697"/>
      <c r="AT661" s="697"/>
      <c r="AU661" s="697"/>
      <c r="AV661" s="697"/>
      <c r="AW661" s="697"/>
      <c r="AX661" s="697"/>
      <c r="AY661" s="697"/>
      <c r="AZ661" s="697"/>
      <c r="BA661" s="697"/>
      <c r="BB661" s="697"/>
      <c r="BC661" s="697"/>
      <c r="BD661" s="697"/>
      <c r="BE661" s="697"/>
      <c r="BF661" s="697"/>
      <c r="BG661" s="697"/>
      <c r="BH661" s="697"/>
      <c r="BI661" s="697"/>
      <c r="BJ661" s="697"/>
      <c r="BK661" s="697"/>
      <c r="BL661" s="697"/>
      <c r="BM661" s="697"/>
      <c r="BN661" s="697"/>
      <c r="BO661" s="697"/>
      <c r="BP661" s="697"/>
      <c r="BQ661" s="697"/>
      <c r="BR661" s="697"/>
      <c r="BS661" s="697"/>
      <c r="BT661" s="697"/>
      <c r="BU661" s="697"/>
      <c r="BV661" s="697"/>
      <c r="BW661" s="697"/>
      <c r="BX661" s="697"/>
      <c r="BY661" s="697"/>
      <c r="BZ661" s="697"/>
      <c r="CA661" s="697"/>
      <c r="CB661" s="697"/>
      <c r="CC661" s="697"/>
      <c r="CD661" s="697"/>
      <c r="CE661" s="697"/>
      <c r="CF661" s="697"/>
      <c r="CG661" s="697"/>
      <c r="CH661" s="697"/>
      <c r="CI661" s="697"/>
      <c r="CJ661" s="697"/>
      <c r="CK661" s="697"/>
      <c r="CL661" s="697"/>
      <c r="CM661" s="697"/>
      <c r="CN661" s="697"/>
      <c r="CO661" s="697"/>
      <c r="CP661" s="697"/>
      <c r="CQ661" s="697"/>
      <c r="CR661" s="697"/>
      <c r="CS661" s="697"/>
      <c r="CT661" s="697"/>
      <c r="CU661" s="697"/>
      <c r="CV661" s="697"/>
      <c r="CW661" s="697"/>
      <c r="CX661" s="697"/>
      <c r="CY661" s="697"/>
      <c r="CZ661" s="697"/>
      <c r="DA661" s="697"/>
    </row>
    <row r="662" spans="1:106" x14ac:dyDescent="0.2">
      <c r="A662" s="709">
        <f t="shared" si="122"/>
        <v>41122</v>
      </c>
      <c r="B662" s="709" t="str">
        <f t="shared" si="123"/>
        <v>3Q12</v>
      </c>
      <c r="C662" s="709" t="str">
        <f t="shared" si="124"/>
        <v>4Q12</v>
      </c>
      <c r="D662" s="710">
        <f t="shared" si="136"/>
        <v>41184</v>
      </c>
      <c r="E662" s="710">
        <f t="shared" si="136"/>
        <v>41124</v>
      </c>
      <c r="F662" s="712">
        <v>89.1</v>
      </c>
      <c r="G662" s="713">
        <f t="shared" si="125"/>
        <v>1.4900000000000011</v>
      </c>
      <c r="H662" s="713">
        <f t="shared" si="126"/>
        <v>1.4900000000000011</v>
      </c>
      <c r="I662" s="697"/>
      <c r="J662" s="697"/>
      <c r="K662" s="697"/>
      <c r="L662" s="697"/>
      <c r="M662" s="697"/>
      <c r="N662" s="697"/>
      <c r="O662" s="697"/>
      <c r="P662" s="697"/>
      <c r="Q662" s="697"/>
      <c r="R662" s="697"/>
      <c r="S662" s="697"/>
      <c r="T662" s="697"/>
      <c r="U662" s="697"/>
      <c r="V662" s="697"/>
      <c r="W662" s="697"/>
      <c r="X662" s="697"/>
      <c r="Y662" s="697"/>
      <c r="Z662" s="697"/>
      <c r="AA662" s="697"/>
      <c r="AB662" s="697"/>
      <c r="AC662" s="697"/>
      <c r="AD662" s="697"/>
      <c r="AE662" s="697"/>
      <c r="AF662" s="697"/>
      <c r="AG662" s="697"/>
      <c r="AH662" s="697"/>
      <c r="AI662" s="697"/>
      <c r="AJ662" s="697"/>
      <c r="AK662" s="697"/>
      <c r="AL662" s="697"/>
      <c r="AM662" s="697"/>
      <c r="AN662" s="697"/>
      <c r="AO662" s="697"/>
      <c r="AP662" s="697"/>
      <c r="AQ662" s="697"/>
      <c r="AR662" s="697"/>
      <c r="AS662" s="697"/>
      <c r="AT662" s="697"/>
      <c r="AU662" s="697"/>
      <c r="AV662" s="697"/>
      <c r="AW662" s="697"/>
      <c r="AX662" s="697"/>
      <c r="AY662" s="697"/>
      <c r="AZ662" s="697"/>
      <c r="BA662" s="697"/>
      <c r="BB662" s="697"/>
      <c r="BC662" s="697"/>
      <c r="BD662" s="697"/>
      <c r="BE662" s="697"/>
      <c r="BF662" s="697"/>
      <c r="BG662" s="697"/>
      <c r="BH662" s="697"/>
      <c r="BI662" s="697"/>
      <c r="BJ662" s="697"/>
      <c r="BK662" s="697"/>
      <c r="BL662" s="697"/>
      <c r="BM662" s="697"/>
      <c r="BN662" s="697"/>
      <c r="BO662" s="697"/>
      <c r="BP662" s="697"/>
      <c r="BQ662" s="697"/>
      <c r="BR662" s="697"/>
      <c r="BS662" s="697"/>
      <c r="BT662" s="697"/>
      <c r="BU662" s="697"/>
      <c r="BV662" s="697"/>
      <c r="BW662" s="697"/>
      <c r="BX662" s="697"/>
      <c r="BY662" s="697"/>
      <c r="BZ662" s="697"/>
      <c r="CA662" s="697"/>
      <c r="CB662" s="697"/>
      <c r="CC662" s="697"/>
      <c r="CD662" s="697"/>
      <c r="CE662" s="697"/>
      <c r="CF662" s="697"/>
      <c r="CG662" s="697"/>
      <c r="CH662" s="697"/>
      <c r="CI662" s="697"/>
      <c r="CJ662" s="697"/>
      <c r="CK662" s="697"/>
      <c r="CL662" s="697"/>
      <c r="CM662" s="697"/>
      <c r="CN662" s="697"/>
      <c r="CO662" s="697"/>
      <c r="CP662" s="697"/>
      <c r="CQ662" s="697"/>
      <c r="CR662" s="697"/>
      <c r="CS662" s="697"/>
      <c r="CT662" s="697"/>
      <c r="CU662" s="697"/>
      <c r="CV662" s="697"/>
      <c r="CW662" s="697"/>
      <c r="CX662" s="697"/>
      <c r="CY662" s="697"/>
      <c r="CZ662" s="697"/>
      <c r="DA662" s="697"/>
    </row>
    <row r="663" spans="1:106" x14ac:dyDescent="0.2">
      <c r="A663" s="709">
        <f t="shared" si="122"/>
        <v>41122</v>
      </c>
      <c r="B663" s="709" t="str">
        <f t="shared" si="123"/>
        <v>3Q12</v>
      </c>
      <c r="C663" s="709" t="str">
        <f t="shared" si="124"/>
        <v>4Q12</v>
      </c>
      <c r="D663" s="710">
        <f t="shared" si="136"/>
        <v>41191</v>
      </c>
      <c r="E663" s="710">
        <f t="shared" si="136"/>
        <v>41131</v>
      </c>
      <c r="F663" s="712">
        <v>93.14</v>
      </c>
      <c r="G663" s="713">
        <f t="shared" si="125"/>
        <v>1.4900000000000011</v>
      </c>
      <c r="H663" s="713">
        <f t="shared" si="126"/>
        <v>1.4900000000000011</v>
      </c>
      <c r="I663" s="697"/>
      <c r="J663" s="697"/>
      <c r="K663" s="697"/>
      <c r="L663" s="697"/>
      <c r="M663" s="697"/>
      <c r="N663" s="697"/>
      <c r="O663" s="697"/>
      <c r="P663" s="697"/>
      <c r="Q663" s="697"/>
      <c r="R663" s="697"/>
      <c r="S663" s="697"/>
      <c r="T663" s="697"/>
      <c r="U663" s="697"/>
      <c r="V663" s="697"/>
      <c r="W663" s="697"/>
      <c r="X663" s="697"/>
      <c r="Y663" s="697"/>
      <c r="Z663" s="697"/>
      <c r="AA663" s="697"/>
      <c r="AB663" s="697"/>
      <c r="AC663" s="697"/>
      <c r="AD663" s="697"/>
      <c r="AE663" s="697"/>
      <c r="AF663" s="697"/>
      <c r="AG663" s="697"/>
      <c r="AH663" s="697"/>
      <c r="AI663" s="697"/>
      <c r="AJ663" s="697"/>
      <c r="AK663" s="697"/>
      <c r="AL663" s="697"/>
      <c r="AM663" s="697"/>
      <c r="AN663" s="697"/>
      <c r="AO663" s="697"/>
      <c r="AP663" s="697"/>
      <c r="AQ663" s="697"/>
      <c r="AR663" s="697"/>
      <c r="AS663" s="697"/>
      <c r="AT663" s="697"/>
      <c r="AU663" s="697"/>
      <c r="AV663" s="697"/>
      <c r="AW663" s="697"/>
      <c r="AX663" s="697"/>
      <c r="AY663" s="697"/>
      <c r="AZ663" s="697"/>
      <c r="BA663" s="697"/>
      <c r="BB663" s="697"/>
      <c r="BC663" s="697"/>
      <c r="BD663" s="697"/>
      <c r="BE663" s="697"/>
      <c r="BF663" s="697"/>
      <c r="BG663" s="697"/>
      <c r="BH663" s="697"/>
      <c r="BI663" s="697"/>
      <c r="BJ663" s="697"/>
      <c r="BK663" s="697"/>
      <c r="BL663" s="697"/>
      <c r="BM663" s="697"/>
      <c r="BN663" s="697"/>
      <c r="BO663" s="697"/>
      <c r="BP663" s="697"/>
      <c r="BQ663" s="697"/>
      <c r="BR663" s="697"/>
      <c r="BS663" s="697"/>
      <c r="BT663" s="697"/>
      <c r="BU663" s="697"/>
      <c r="BV663" s="697"/>
      <c r="BW663" s="697"/>
      <c r="BX663" s="697"/>
      <c r="BY663" s="697"/>
      <c r="BZ663" s="697"/>
      <c r="CA663" s="697"/>
      <c r="CB663" s="697"/>
      <c r="CC663" s="697"/>
      <c r="CD663" s="697"/>
      <c r="CE663" s="697"/>
      <c r="CF663" s="697"/>
      <c r="CG663" s="697"/>
      <c r="CH663" s="697"/>
      <c r="CI663" s="697"/>
      <c r="CJ663" s="697"/>
      <c r="CK663" s="697"/>
      <c r="CL663" s="697"/>
      <c r="CM663" s="697"/>
      <c r="CN663" s="697"/>
      <c r="CO663" s="697"/>
      <c r="CP663" s="697"/>
      <c r="CQ663" s="697"/>
      <c r="CR663" s="697"/>
      <c r="CS663" s="697"/>
      <c r="CT663" s="697"/>
      <c r="CU663" s="697"/>
      <c r="CV663" s="697"/>
      <c r="CW663" s="697"/>
      <c r="CX663" s="697"/>
      <c r="CY663" s="697"/>
      <c r="CZ663" s="697"/>
      <c r="DA663" s="697"/>
    </row>
    <row r="664" spans="1:106" x14ac:dyDescent="0.2">
      <c r="A664" s="709">
        <f t="shared" si="122"/>
        <v>41122</v>
      </c>
      <c r="B664" s="709" t="str">
        <f t="shared" si="123"/>
        <v>3Q12</v>
      </c>
      <c r="C664" s="709" t="str">
        <f t="shared" si="124"/>
        <v>4Q12</v>
      </c>
      <c r="D664" s="710">
        <f t="shared" si="136"/>
        <v>41198</v>
      </c>
      <c r="E664" s="710">
        <f t="shared" si="136"/>
        <v>41138</v>
      </c>
      <c r="F664" s="712">
        <v>94.43</v>
      </c>
      <c r="G664" s="713">
        <f t="shared" si="125"/>
        <v>1.4900000000000011</v>
      </c>
      <c r="H664" s="713">
        <f t="shared" si="126"/>
        <v>1.4900000000000011</v>
      </c>
      <c r="I664" s="697"/>
      <c r="J664" s="697"/>
      <c r="K664" s="697"/>
      <c r="L664" s="697"/>
      <c r="M664" s="697"/>
      <c r="N664" s="697"/>
      <c r="O664" s="697"/>
      <c r="P664" s="697"/>
      <c r="Q664" s="697"/>
      <c r="R664" s="697"/>
      <c r="S664" s="697"/>
      <c r="T664" s="697"/>
      <c r="U664" s="697"/>
      <c r="V664" s="697"/>
      <c r="W664" s="697"/>
      <c r="X664" s="697"/>
      <c r="Y664" s="697"/>
      <c r="Z664" s="697"/>
      <c r="AA664" s="697"/>
      <c r="AB664" s="697"/>
      <c r="AC664" s="697"/>
      <c r="AD664" s="697"/>
      <c r="AE664" s="697"/>
      <c r="AF664" s="697"/>
      <c r="AG664" s="697"/>
      <c r="AH664" s="697"/>
      <c r="AI664" s="697"/>
      <c r="AJ664" s="697"/>
      <c r="AK664" s="697"/>
      <c r="AL664" s="697"/>
      <c r="AM664" s="697"/>
      <c r="AN664" s="697"/>
      <c r="AO664" s="697"/>
      <c r="AP664" s="697"/>
      <c r="AQ664" s="697"/>
      <c r="AR664" s="697"/>
      <c r="AS664" s="697"/>
      <c r="AT664" s="697"/>
      <c r="AU664" s="697"/>
      <c r="AV664" s="697"/>
      <c r="AW664" s="697"/>
      <c r="AX664" s="697"/>
      <c r="AY664" s="697"/>
      <c r="AZ664" s="697"/>
      <c r="BA664" s="697"/>
      <c r="BB664" s="697"/>
      <c r="BC664" s="697"/>
      <c r="BD664" s="697"/>
      <c r="BE664" s="697"/>
      <c r="BF664" s="697"/>
      <c r="BG664" s="697"/>
      <c r="BH664" s="697"/>
      <c r="BI664" s="697"/>
      <c r="BJ664" s="697"/>
      <c r="BK664" s="697"/>
      <c r="BL664" s="697"/>
      <c r="BM664" s="697"/>
      <c r="BN664" s="697"/>
      <c r="BO664" s="697"/>
      <c r="BP664" s="697"/>
      <c r="BQ664" s="697"/>
      <c r="BR664" s="697"/>
      <c r="BS664" s="697"/>
      <c r="BT664" s="697"/>
      <c r="BU664" s="697"/>
      <c r="BV664" s="697"/>
      <c r="BW664" s="697"/>
      <c r="BX664" s="697"/>
      <c r="BY664" s="697"/>
      <c r="BZ664" s="697"/>
      <c r="CA664" s="697"/>
      <c r="CB664" s="697"/>
      <c r="CC664" s="697"/>
      <c r="CD664" s="697"/>
      <c r="CE664" s="697"/>
      <c r="CF664" s="697"/>
      <c r="CG664" s="697"/>
      <c r="CH664" s="697"/>
      <c r="CI664" s="697"/>
      <c r="CJ664" s="697"/>
      <c r="CK664" s="697"/>
      <c r="CL664" s="697"/>
      <c r="CM664" s="697"/>
      <c r="CN664" s="697"/>
      <c r="CO664" s="697"/>
      <c r="CP664" s="697"/>
      <c r="CQ664" s="697"/>
      <c r="CR664" s="697"/>
      <c r="CS664" s="697"/>
      <c r="CT664" s="697"/>
      <c r="CU664" s="697"/>
      <c r="CV664" s="697"/>
      <c r="CW664" s="697"/>
      <c r="CX664" s="697"/>
      <c r="CY664" s="697"/>
      <c r="CZ664" s="697"/>
      <c r="DA664" s="697"/>
    </row>
    <row r="665" spans="1:106" x14ac:dyDescent="0.2">
      <c r="A665" s="709">
        <f t="shared" si="122"/>
        <v>41122</v>
      </c>
      <c r="B665" s="709" t="str">
        <f t="shared" si="123"/>
        <v>3Q12</v>
      </c>
      <c r="C665" s="709" t="str">
        <f t="shared" si="124"/>
        <v>4Q12</v>
      </c>
      <c r="D665" s="710">
        <f t="shared" si="136"/>
        <v>41205</v>
      </c>
      <c r="E665" s="710">
        <f t="shared" si="136"/>
        <v>41145</v>
      </c>
      <c r="F665" s="712">
        <v>96.22</v>
      </c>
      <c r="G665" s="713">
        <f t="shared" si="125"/>
        <v>1.4900000000000011</v>
      </c>
      <c r="H665" s="713">
        <f t="shared" si="126"/>
        <v>1.4900000000000011</v>
      </c>
      <c r="I665" s="697"/>
      <c r="J665" s="697"/>
      <c r="K665" s="697"/>
      <c r="L665" s="697"/>
      <c r="M665" s="697"/>
      <c r="N665" s="697"/>
      <c r="O665" s="697"/>
      <c r="P665" s="697"/>
      <c r="Q665" s="697"/>
      <c r="R665" s="697"/>
      <c r="S665" s="697"/>
      <c r="T665" s="697"/>
      <c r="U665" s="697"/>
      <c r="V665" s="697"/>
      <c r="W665" s="697"/>
      <c r="X665" s="697"/>
      <c r="Y665" s="697"/>
      <c r="Z665" s="697"/>
      <c r="AA665" s="697"/>
      <c r="AB665" s="697"/>
      <c r="AC665" s="697"/>
      <c r="AD665" s="697"/>
      <c r="AE665" s="697"/>
      <c r="AF665" s="697"/>
      <c r="AG665" s="697"/>
      <c r="AH665" s="697"/>
      <c r="AI665" s="697"/>
      <c r="AJ665" s="697"/>
      <c r="AK665" s="697"/>
      <c r="AL665" s="697"/>
      <c r="AM665" s="697"/>
      <c r="AN665" s="697"/>
      <c r="AO665" s="697"/>
      <c r="AP665" s="697"/>
      <c r="AQ665" s="697"/>
      <c r="AR665" s="697"/>
      <c r="AS665" s="697"/>
      <c r="AT665" s="697"/>
      <c r="AU665" s="697"/>
      <c r="AV665" s="697"/>
      <c r="AW665" s="697"/>
      <c r="AX665" s="697"/>
      <c r="AY665" s="697"/>
      <c r="AZ665" s="697"/>
      <c r="BA665" s="697"/>
      <c r="BB665" s="697"/>
      <c r="BC665" s="697"/>
      <c r="BD665" s="697"/>
      <c r="BE665" s="697"/>
      <c r="BF665" s="697"/>
      <c r="BG665" s="697"/>
      <c r="BH665" s="697"/>
      <c r="BI665" s="697"/>
      <c r="BJ665" s="697"/>
      <c r="BK665" s="697"/>
      <c r="BL665" s="697"/>
      <c r="BM665" s="697"/>
      <c r="BN665" s="697"/>
      <c r="BO665" s="697"/>
      <c r="BP665" s="697"/>
      <c r="BQ665" s="697"/>
      <c r="BR665" s="697"/>
      <c r="BS665" s="697"/>
      <c r="BT665" s="697"/>
      <c r="BU665" s="697"/>
      <c r="BV665" s="697"/>
      <c r="BW665" s="697"/>
      <c r="BX665" s="697"/>
      <c r="BY665" s="697"/>
      <c r="BZ665" s="697"/>
      <c r="CA665" s="697"/>
      <c r="CB665" s="697"/>
      <c r="CC665" s="697"/>
      <c r="CD665" s="697"/>
      <c r="CE665" s="697"/>
      <c r="CF665" s="697"/>
      <c r="CG665" s="697"/>
      <c r="CH665" s="697"/>
      <c r="CI665" s="697"/>
      <c r="CJ665" s="697"/>
      <c r="CK665" s="697"/>
      <c r="CL665" s="697"/>
      <c r="CM665" s="697"/>
      <c r="CN665" s="697"/>
      <c r="CO665" s="697"/>
      <c r="CP665" s="697"/>
      <c r="CQ665" s="697"/>
      <c r="CR665" s="697"/>
      <c r="CS665" s="697"/>
      <c r="CT665" s="697"/>
      <c r="CU665" s="697"/>
      <c r="CV665" s="697"/>
      <c r="CW665" s="697"/>
      <c r="CX665" s="697"/>
      <c r="CY665" s="697"/>
      <c r="CZ665" s="697"/>
      <c r="DA665" s="697"/>
    </row>
    <row r="666" spans="1:106" x14ac:dyDescent="0.2">
      <c r="A666" s="709">
        <f t="shared" si="122"/>
        <v>41122</v>
      </c>
      <c r="B666" s="709" t="str">
        <f t="shared" si="123"/>
        <v>3Q12</v>
      </c>
      <c r="C666" s="709" t="str">
        <f t="shared" si="124"/>
        <v>4Q12</v>
      </c>
      <c r="D666" s="710">
        <f t="shared" si="136"/>
        <v>41212</v>
      </c>
      <c r="E666" s="710">
        <f t="shared" si="136"/>
        <v>41152</v>
      </c>
      <c r="F666" s="712">
        <v>95.68</v>
      </c>
      <c r="G666" s="713">
        <f t="shared" si="125"/>
        <v>1.4900000000000011</v>
      </c>
      <c r="H666" s="713">
        <f t="shared" si="126"/>
        <v>1.4900000000000011</v>
      </c>
      <c r="I666" s="697"/>
      <c r="J666" s="697"/>
      <c r="K666" s="697"/>
      <c r="L666" s="697"/>
      <c r="M666" s="697"/>
      <c r="N666" s="697"/>
      <c r="O666" s="697"/>
      <c r="P666" s="697"/>
      <c r="Q666" s="697"/>
      <c r="R666" s="697"/>
      <c r="S666" s="697"/>
      <c r="T666" s="697"/>
      <c r="U666" s="697"/>
      <c r="V666" s="697"/>
      <c r="W666" s="697"/>
      <c r="X666" s="697"/>
      <c r="Y666" s="697"/>
      <c r="Z666" s="697"/>
      <c r="AA666" s="697"/>
      <c r="AB666" s="697"/>
      <c r="AC666" s="697"/>
      <c r="AD666" s="697"/>
      <c r="AE666" s="697"/>
      <c r="AF666" s="697"/>
      <c r="AG666" s="697"/>
      <c r="AH666" s="697"/>
      <c r="AI666" s="697"/>
      <c r="AJ666" s="697"/>
      <c r="AK666" s="697"/>
      <c r="AL666" s="697"/>
      <c r="AM666" s="697"/>
      <c r="AN666" s="697"/>
      <c r="AO666" s="697"/>
      <c r="AP666" s="697"/>
      <c r="AQ666" s="697"/>
      <c r="AR666" s="697"/>
      <c r="AS666" s="697"/>
      <c r="AT666" s="697"/>
      <c r="AU666" s="697"/>
      <c r="AV666" s="697"/>
      <c r="AW666" s="697"/>
      <c r="AX666" s="697"/>
      <c r="AY666" s="697"/>
      <c r="AZ666" s="697"/>
      <c r="BA666" s="697"/>
      <c r="BB666" s="697"/>
      <c r="BC666" s="697"/>
      <c r="BD666" s="697"/>
      <c r="BE666" s="697"/>
      <c r="BF666" s="697"/>
      <c r="BG666" s="697"/>
      <c r="BH666" s="697"/>
      <c r="BI666" s="697"/>
      <c r="BJ666" s="697"/>
      <c r="BK666" s="697"/>
      <c r="BL666" s="697"/>
      <c r="BM666" s="697"/>
      <c r="BN666" s="697"/>
      <c r="BO666" s="697"/>
      <c r="BP666" s="697"/>
      <c r="BQ666" s="697"/>
      <c r="BR666" s="697"/>
      <c r="BS666" s="697"/>
      <c r="BT666" s="697"/>
      <c r="BU666" s="697"/>
      <c r="BV666" s="697"/>
      <c r="BW666" s="697"/>
      <c r="BX666" s="697"/>
      <c r="BY666" s="697"/>
      <c r="BZ666" s="697"/>
      <c r="CA666" s="697"/>
      <c r="CB666" s="697"/>
      <c r="CC666" s="697"/>
      <c r="CD666" s="697"/>
      <c r="CE666" s="697"/>
      <c r="CF666" s="697"/>
      <c r="CG666" s="697"/>
      <c r="CH666" s="697"/>
      <c r="CI666" s="697"/>
      <c r="CJ666" s="697"/>
      <c r="CK666" s="697"/>
      <c r="CL666" s="697"/>
      <c r="CM666" s="697"/>
      <c r="CN666" s="697"/>
      <c r="CO666" s="697"/>
      <c r="CP666" s="697"/>
      <c r="CQ666" s="697"/>
      <c r="CR666" s="697"/>
      <c r="CS666" s="697"/>
      <c r="CT666" s="697"/>
      <c r="CU666" s="697"/>
      <c r="CV666" s="697"/>
      <c r="CW666" s="697"/>
      <c r="CX666" s="697"/>
      <c r="CY666" s="697"/>
      <c r="CZ666" s="697"/>
      <c r="DA666" s="697"/>
    </row>
    <row r="667" spans="1:106" x14ac:dyDescent="0.2">
      <c r="A667" s="709">
        <f t="shared" si="122"/>
        <v>41153</v>
      </c>
      <c r="B667" s="709" t="str">
        <f t="shared" si="123"/>
        <v>3Q12</v>
      </c>
      <c r="C667" s="709" t="str">
        <f t="shared" si="124"/>
        <v>4Q12</v>
      </c>
      <c r="D667" s="710">
        <f t="shared" si="136"/>
        <v>41219</v>
      </c>
      <c r="E667" s="710">
        <f t="shared" si="136"/>
        <v>41159</v>
      </c>
      <c r="F667" s="712">
        <v>95.68</v>
      </c>
      <c r="G667" s="713">
        <f t="shared" si="125"/>
        <v>1.4900000000000011</v>
      </c>
      <c r="H667" s="713">
        <f t="shared" si="126"/>
        <v>1.4900000000000011</v>
      </c>
      <c r="I667" s="697"/>
      <c r="J667" s="697"/>
      <c r="K667" s="697"/>
      <c r="L667" s="697"/>
      <c r="M667" s="697"/>
      <c r="N667" s="697"/>
      <c r="O667" s="697"/>
      <c r="P667" s="697"/>
      <c r="Q667" s="697"/>
      <c r="R667" s="697"/>
      <c r="S667" s="697"/>
      <c r="T667" s="697"/>
      <c r="U667" s="697"/>
      <c r="V667" s="697"/>
      <c r="W667" s="697"/>
      <c r="X667" s="697"/>
      <c r="Y667" s="697"/>
      <c r="Z667" s="697"/>
      <c r="AA667" s="697"/>
      <c r="AB667" s="697"/>
      <c r="AC667" s="697"/>
      <c r="AD667" s="697"/>
      <c r="AE667" s="697"/>
      <c r="AF667" s="697"/>
      <c r="AG667" s="697"/>
      <c r="AH667" s="697"/>
      <c r="AI667" s="697"/>
      <c r="AJ667" s="697"/>
      <c r="AK667" s="697"/>
      <c r="AL667" s="697"/>
      <c r="AM667" s="697"/>
      <c r="AN667" s="697"/>
      <c r="AO667" s="697"/>
      <c r="AP667" s="697"/>
      <c r="AQ667" s="697"/>
      <c r="AR667" s="697"/>
      <c r="AS667" s="697"/>
      <c r="AT667" s="697"/>
      <c r="AU667" s="697"/>
      <c r="AV667" s="697"/>
      <c r="AW667" s="697"/>
      <c r="AX667" s="697"/>
      <c r="AY667" s="697"/>
      <c r="AZ667" s="697"/>
      <c r="BA667" s="697"/>
      <c r="BB667" s="697"/>
      <c r="BC667" s="697"/>
      <c r="BD667" s="697"/>
      <c r="BE667" s="697"/>
      <c r="BF667" s="697"/>
      <c r="BG667" s="697"/>
      <c r="BH667" s="697"/>
      <c r="BI667" s="697"/>
      <c r="BJ667" s="697"/>
      <c r="BK667" s="697"/>
      <c r="BL667" s="697"/>
      <c r="BM667" s="697"/>
      <c r="BN667" s="697"/>
      <c r="BO667" s="697"/>
      <c r="BP667" s="697"/>
      <c r="BQ667" s="697"/>
      <c r="BR667" s="697"/>
      <c r="BS667" s="697"/>
      <c r="BT667" s="697"/>
      <c r="BU667" s="697"/>
      <c r="BV667" s="697"/>
      <c r="BW667" s="697"/>
      <c r="BX667" s="697"/>
      <c r="BY667" s="697"/>
      <c r="BZ667" s="697"/>
      <c r="CA667" s="697"/>
      <c r="CB667" s="697"/>
      <c r="CC667" s="697"/>
      <c r="CD667" s="697"/>
      <c r="CE667" s="697"/>
      <c r="CF667" s="697"/>
      <c r="CG667" s="697"/>
      <c r="CH667" s="697"/>
      <c r="CI667" s="697"/>
      <c r="CJ667" s="697"/>
      <c r="CK667" s="697"/>
      <c r="CL667" s="697"/>
      <c r="CM667" s="697"/>
      <c r="CN667" s="697"/>
      <c r="CO667" s="697"/>
      <c r="CP667" s="697"/>
      <c r="CQ667" s="697"/>
      <c r="CR667" s="697"/>
      <c r="CS667" s="697"/>
      <c r="CT667" s="697"/>
      <c r="CU667" s="697"/>
      <c r="CV667" s="697"/>
      <c r="CW667" s="697"/>
      <c r="CX667" s="697"/>
      <c r="CY667" s="697"/>
      <c r="CZ667" s="697"/>
      <c r="DA667" s="697"/>
    </row>
    <row r="668" spans="1:106" x14ac:dyDescent="0.2">
      <c r="A668" s="709">
        <f t="shared" si="122"/>
        <v>41153</v>
      </c>
      <c r="B668" s="709" t="str">
        <f t="shared" si="123"/>
        <v>3Q12</v>
      </c>
      <c r="C668" s="709" t="str">
        <f t="shared" si="124"/>
        <v>4Q12</v>
      </c>
      <c r="D668" s="710">
        <f t="shared" si="136"/>
        <v>41226</v>
      </c>
      <c r="E668" s="710">
        <f t="shared" si="136"/>
        <v>41166</v>
      </c>
      <c r="F668" s="712">
        <v>97.56</v>
      </c>
      <c r="G668" s="713">
        <f t="shared" si="125"/>
        <v>1.4900000000000011</v>
      </c>
      <c r="H668" s="713">
        <f t="shared" si="126"/>
        <v>1.4900000000000011</v>
      </c>
      <c r="I668" s="697"/>
      <c r="J668" s="697"/>
      <c r="K668" s="697"/>
      <c r="L668" s="697"/>
      <c r="M668" s="697"/>
      <c r="N668" s="697"/>
      <c r="O668" s="697"/>
      <c r="P668" s="697"/>
      <c r="Q668" s="697"/>
      <c r="R668" s="697"/>
      <c r="S668" s="697"/>
      <c r="T668" s="697"/>
      <c r="U668" s="697"/>
      <c r="V668" s="697"/>
      <c r="W668" s="697"/>
      <c r="X668" s="697"/>
      <c r="Y668" s="697"/>
      <c r="Z668" s="697"/>
      <c r="AA668" s="697"/>
      <c r="AB668" s="697"/>
      <c r="AC668" s="697"/>
      <c r="AD668" s="697"/>
      <c r="AE668" s="697"/>
      <c r="AF668" s="697"/>
      <c r="AG668" s="697"/>
      <c r="AH668" s="697"/>
      <c r="AI668" s="697"/>
      <c r="AJ668" s="697"/>
      <c r="AK668" s="697"/>
      <c r="AL668" s="697"/>
      <c r="AM668" s="697"/>
      <c r="AN668" s="697"/>
      <c r="AO668" s="697"/>
      <c r="AP668" s="697"/>
      <c r="AQ668" s="697"/>
      <c r="AR668" s="697"/>
      <c r="AS668" s="697"/>
      <c r="AT668" s="697"/>
      <c r="AU668" s="697"/>
      <c r="AV668" s="697"/>
      <c r="AW668" s="697"/>
      <c r="AX668" s="697"/>
      <c r="AY668" s="697"/>
      <c r="AZ668" s="697"/>
      <c r="BA668" s="697"/>
      <c r="BB668" s="697"/>
      <c r="BC668" s="697"/>
      <c r="BD668" s="697"/>
      <c r="BE668" s="697"/>
      <c r="BF668" s="697"/>
      <c r="BG668" s="697"/>
      <c r="BH668" s="697"/>
      <c r="BI668" s="697"/>
      <c r="BJ668" s="697"/>
      <c r="BK668" s="697"/>
      <c r="BL668" s="697"/>
      <c r="BM668" s="697"/>
      <c r="BN668" s="697"/>
      <c r="BO668" s="697"/>
      <c r="BP668" s="697"/>
      <c r="BQ668" s="697"/>
      <c r="BR668" s="697"/>
      <c r="BS668" s="697"/>
      <c r="BT668" s="697"/>
      <c r="BU668" s="697"/>
      <c r="BV668" s="697"/>
      <c r="BW668" s="697"/>
      <c r="BX668" s="697"/>
      <c r="BY668" s="697"/>
      <c r="BZ668" s="697"/>
      <c r="CA668" s="697"/>
      <c r="CB668" s="697"/>
      <c r="CC668" s="697"/>
      <c r="CD668" s="697"/>
      <c r="CE668" s="697"/>
      <c r="CF668" s="697"/>
      <c r="CG668" s="697"/>
      <c r="CH668" s="697"/>
      <c r="CI668" s="697"/>
      <c r="CJ668" s="697"/>
      <c r="CK668" s="697"/>
      <c r="CL668" s="697"/>
      <c r="CM668" s="697"/>
      <c r="CN668" s="697"/>
      <c r="CO668" s="697"/>
      <c r="CP668" s="697"/>
      <c r="CQ668" s="697"/>
      <c r="CR668" s="697"/>
      <c r="CS668" s="697"/>
      <c r="CT668" s="697"/>
      <c r="CU668" s="697"/>
      <c r="CV668" s="697"/>
      <c r="CW668" s="697"/>
      <c r="CX668" s="697"/>
      <c r="CY668" s="697"/>
      <c r="CZ668" s="697"/>
      <c r="DA668" s="697"/>
    </row>
    <row r="669" spans="1:106" x14ac:dyDescent="0.2">
      <c r="A669" s="709">
        <f t="shared" si="122"/>
        <v>41153</v>
      </c>
      <c r="B669" s="709" t="str">
        <f t="shared" si="123"/>
        <v>3Q12</v>
      </c>
      <c r="C669" s="709" t="str">
        <f t="shared" si="124"/>
        <v>4Q12</v>
      </c>
      <c r="D669" s="710">
        <f t="shared" si="136"/>
        <v>41233</v>
      </c>
      <c r="E669" s="710">
        <f t="shared" si="136"/>
        <v>41173</v>
      </c>
      <c r="F669" s="712">
        <v>93.7</v>
      </c>
      <c r="G669" s="713">
        <f t="shared" si="125"/>
        <v>1.4900000000000011</v>
      </c>
      <c r="H669" s="713">
        <f t="shared" si="126"/>
        <v>1.4900000000000011</v>
      </c>
      <c r="I669" s="697"/>
      <c r="J669" s="697"/>
      <c r="K669" s="697"/>
      <c r="L669" s="697"/>
      <c r="M669" s="697"/>
      <c r="N669" s="697"/>
      <c r="O669" s="697"/>
      <c r="P669" s="697"/>
      <c r="Q669" s="697"/>
      <c r="R669" s="697"/>
      <c r="S669" s="697"/>
      <c r="T669" s="697"/>
      <c r="U669" s="697"/>
      <c r="V669" s="697"/>
      <c r="W669" s="697"/>
      <c r="X669" s="697"/>
      <c r="Y669" s="697"/>
      <c r="Z669" s="697"/>
      <c r="AA669" s="697"/>
      <c r="AB669" s="697"/>
      <c r="AC669" s="697"/>
      <c r="AD669" s="697"/>
      <c r="AE669" s="697"/>
      <c r="AF669" s="697"/>
      <c r="AG669" s="697"/>
      <c r="AH669" s="697"/>
      <c r="AI669" s="697"/>
      <c r="AJ669" s="697"/>
      <c r="AK669" s="697"/>
      <c r="AL669" s="697"/>
      <c r="AM669" s="697"/>
      <c r="AN669" s="697"/>
      <c r="AO669" s="697"/>
      <c r="AP669" s="697"/>
      <c r="AQ669" s="697"/>
      <c r="AR669" s="697"/>
      <c r="AS669" s="697"/>
      <c r="AT669" s="697"/>
      <c r="AU669" s="697"/>
      <c r="AV669" s="697"/>
      <c r="AW669" s="697"/>
      <c r="AX669" s="697"/>
      <c r="AY669" s="697"/>
      <c r="AZ669" s="697"/>
      <c r="BA669" s="697"/>
      <c r="BB669" s="697"/>
      <c r="BC669" s="697"/>
      <c r="BD669" s="697"/>
      <c r="BE669" s="697"/>
      <c r="BF669" s="697"/>
      <c r="BG669" s="697"/>
      <c r="BH669" s="697"/>
      <c r="BI669" s="697"/>
      <c r="BJ669" s="697"/>
      <c r="BK669" s="697"/>
      <c r="BL669" s="697"/>
      <c r="BM669" s="697"/>
      <c r="BN669" s="697"/>
      <c r="BO669" s="697"/>
      <c r="BP669" s="697"/>
      <c r="BQ669" s="697"/>
      <c r="BR669" s="697"/>
      <c r="BS669" s="697"/>
      <c r="BT669" s="697"/>
      <c r="BU669" s="697"/>
      <c r="BV669" s="697"/>
      <c r="BW669" s="697"/>
      <c r="BX669" s="697"/>
      <c r="BY669" s="697"/>
      <c r="BZ669" s="697"/>
      <c r="CA669" s="697"/>
      <c r="CB669" s="697"/>
      <c r="CC669" s="697"/>
      <c r="CD669" s="697"/>
      <c r="CE669" s="697"/>
      <c r="CF669" s="697"/>
      <c r="CG669" s="697"/>
      <c r="CH669" s="697"/>
      <c r="CI669" s="697"/>
      <c r="CJ669" s="697"/>
      <c r="CK669" s="697"/>
      <c r="CL669" s="697"/>
      <c r="CM669" s="697"/>
      <c r="CN669" s="697"/>
      <c r="CO669" s="697"/>
      <c r="CP669" s="697"/>
      <c r="CQ669" s="697"/>
      <c r="CR669" s="697"/>
      <c r="CS669" s="697"/>
      <c r="CT669" s="697"/>
      <c r="CU669" s="697"/>
      <c r="CV669" s="697"/>
      <c r="CW669" s="697"/>
      <c r="CX669" s="697"/>
      <c r="CY669" s="697"/>
      <c r="CZ669" s="697"/>
      <c r="DA669" s="697"/>
    </row>
    <row r="670" spans="1:106" x14ac:dyDescent="0.2">
      <c r="A670" s="709">
        <f t="shared" si="122"/>
        <v>41153</v>
      </c>
      <c r="B670" s="709" t="str">
        <f t="shared" si="123"/>
        <v>3Q12</v>
      </c>
      <c r="C670" s="709" t="str">
        <f t="shared" si="124"/>
        <v>4Q12</v>
      </c>
      <c r="D670" s="710">
        <f t="shared" si="136"/>
        <v>41240</v>
      </c>
      <c r="E670" s="710">
        <f t="shared" si="136"/>
        <v>41180</v>
      </c>
      <c r="F670" s="712">
        <v>91.35</v>
      </c>
      <c r="G670" s="713">
        <f t="shared" si="125"/>
        <v>1.4900000000000011</v>
      </c>
      <c r="H670" s="713">
        <f t="shared" si="126"/>
        <v>1.4900000000000011</v>
      </c>
      <c r="I670" s="697"/>
      <c r="J670" s="697"/>
      <c r="K670" s="697"/>
      <c r="L670" s="697"/>
      <c r="M670" s="697"/>
      <c r="N670" s="697"/>
      <c r="O670" s="697"/>
      <c r="P670" s="697"/>
      <c r="Q670" s="697"/>
      <c r="R670" s="697"/>
      <c r="S670" s="697"/>
      <c r="T670" s="697"/>
      <c r="U670" s="697"/>
      <c r="V670" s="697"/>
      <c r="W670" s="697"/>
      <c r="X670" s="697"/>
      <c r="Y670" s="697"/>
      <c r="Z670" s="697"/>
      <c r="AA670" s="697"/>
      <c r="AB670" s="697"/>
      <c r="AC670" s="697"/>
      <c r="AD670" s="697"/>
      <c r="AE670" s="697"/>
      <c r="AF670" s="697"/>
      <c r="AG670" s="697"/>
      <c r="AH670" s="697"/>
      <c r="AI670" s="697"/>
      <c r="AJ670" s="697"/>
      <c r="AK670" s="697"/>
      <c r="AL670" s="697"/>
      <c r="AM670" s="697"/>
      <c r="AN670" s="697"/>
      <c r="AO670" s="697"/>
      <c r="AP670" s="697"/>
      <c r="AQ670" s="697"/>
      <c r="AR670" s="697"/>
      <c r="AS670" s="697"/>
      <c r="AT670" s="697"/>
      <c r="AU670" s="697"/>
      <c r="AV670" s="697"/>
      <c r="AW670" s="697"/>
      <c r="AX670" s="697"/>
      <c r="AY670" s="697"/>
      <c r="AZ670" s="697"/>
      <c r="BA670" s="697"/>
      <c r="BB670" s="697"/>
      <c r="BC670" s="697"/>
      <c r="BD670" s="697"/>
      <c r="BE670" s="697"/>
      <c r="BF670" s="697"/>
      <c r="BG670" s="697"/>
      <c r="BH670" s="697"/>
      <c r="BI670" s="697"/>
      <c r="BJ670" s="697"/>
      <c r="BK670" s="697"/>
      <c r="BL670" s="697"/>
      <c r="BM670" s="697"/>
      <c r="BN670" s="697"/>
      <c r="BO670" s="697"/>
      <c r="BP670" s="697"/>
      <c r="BQ670" s="697"/>
      <c r="BR670" s="697"/>
      <c r="BS670" s="697"/>
      <c r="BT670" s="697"/>
      <c r="BU670" s="697"/>
      <c r="BV670" s="697"/>
      <c r="BW670" s="697"/>
      <c r="BX670" s="697"/>
      <c r="BY670" s="697"/>
      <c r="BZ670" s="697"/>
      <c r="CA670" s="697"/>
      <c r="CB670" s="697"/>
      <c r="CC670" s="697"/>
      <c r="CD670" s="697"/>
      <c r="CE670" s="697"/>
      <c r="CF670" s="697"/>
      <c r="CG670" s="697"/>
      <c r="CH670" s="697"/>
      <c r="CI670" s="697"/>
      <c r="CJ670" s="697"/>
      <c r="CK670" s="697"/>
      <c r="CL670" s="697"/>
      <c r="CM670" s="697"/>
      <c r="CN670" s="697"/>
      <c r="CO670" s="697"/>
      <c r="CP670" s="697"/>
      <c r="CQ670" s="697"/>
      <c r="CR670" s="697"/>
      <c r="CS670" s="697"/>
      <c r="CT670" s="697"/>
      <c r="CU670" s="697"/>
      <c r="CV670" s="697"/>
      <c r="CW670" s="697"/>
      <c r="CX670" s="697"/>
      <c r="CY670" s="697"/>
      <c r="CZ670" s="697"/>
      <c r="DA670" s="697"/>
    </row>
    <row r="671" spans="1:106" x14ac:dyDescent="0.2">
      <c r="A671" s="709">
        <f t="shared" si="122"/>
        <v>41183</v>
      </c>
      <c r="B671" s="709" t="str">
        <f t="shared" si="123"/>
        <v>4Q12</v>
      </c>
      <c r="C671" s="709" t="str">
        <f t="shared" si="124"/>
        <v>4Q12</v>
      </c>
      <c r="D671" s="710">
        <f t="shared" si="136"/>
        <v>41247</v>
      </c>
      <c r="E671" s="710">
        <f t="shared" si="136"/>
        <v>41187</v>
      </c>
      <c r="F671" s="712">
        <v>90.81</v>
      </c>
      <c r="G671" s="713">
        <f t="shared" si="125"/>
        <v>1.4900000000000011</v>
      </c>
      <c r="H671" s="713">
        <f t="shared" si="126"/>
        <v>1.4900000000000011</v>
      </c>
      <c r="I671" s="697"/>
      <c r="J671" s="697"/>
      <c r="K671" s="697"/>
      <c r="L671" s="697"/>
      <c r="M671" s="697"/>
      <c r="N671" s="697"/>
      <c r="O671" s="697"/>
      <c r="P671" s="697"/>
      <c r="Q671" s="697"/>
      <c r="R671" s="697"/>
      <c r="S671" s="697"/>
      <c r="T671" s="697"/>
      <c r="U671" s="697"/>
      <c r="V671" s="697"/>
      <c r="W671" s="697"/>
      <c r="X671" s="697"/>
      <c r="Y671" s="697"/>
      <c r="Z671" s="697"/>
      <c r="AA671" s="697"/>
      <c r="AB671" s="697"/>
      <c r="AC671" s="697"/>
      <c r="AD671" s="697"/>
      <c r="AE671" s="697"/>
      <c r="AF671" s="697"/>
      <c r="AG671" s="697"/>
      <c r="AH671" s="697"/>
      <c r="AI671" s="697"/>
      <c r="AJ671" s="697"/>
      <c r="AK671" s="697"/>
      <c r="AL671" s="697"/>
      <c r="AM671" s="697"/>
      <c r="AN671" s="697"/>
      <c r="AO671" s="697"/>
      <c r="AP671" s="697"/>
      <c r="AQ671" s="697"/>
      <c r="AR671" s="697"/>
      <c r="AS671" s="697"/>
      <c r="AT671" s="697"/>
      <c r="AU671" s="697"/>
      <c r="AV671" s="697"/>
      <c r="AW671" s="697"/>
      <c r="AX671" s="697"/>
      <c r="AY671" s="697"/>
      <c r="AZ671" s="697"/>
      <c r="BA671" s="697"/>
      <c r="BB671" s="697"/>
      <c r="BC671" s="697"/>
      <c r="BD671" s="697"/>
      <c r="BE671" s="697"/>
      <c r="BF671" s="697"/>
      <c r="BG671" s="697"/>
      <c r="BH671" s="697"/>
      <c r="BI671" s="697"/>
      <c r="BJ671" s="697"/>
      <c r="BK671" s="697"/>
      <c r="BL671" s="697"/>
      <c r="BM671" s="697"/>
      <c r="BN671" s="697"/>
      <c r="BO671" s="697"/>
      <c r="BP671" s="697"/>
      <c r="BQ671" s="697"/>
      <c r="BR671" s="697"/>
      <c r="BS671" s="697"/>
      <c r="BT671" s="697"/>
      <c r="BU671" s="697"/>
      <c r="BV671" s="697"/>
      <c r="BW671" s="697"/>
      <c r="BX671" s="697"/>
      <c r="BY671" s="697"/>
      <c r="BZ671" s="697"/>
      <c r="CA671" s="697"/>
      <c r="CB671" s="697"/>
      <c r="CC671" s="697"/>
      <c r="CD671" s="697"/>
      <c r="CE671" s="697"/>
      <c r="CF671" s="697"/>
      <c r="CG671" s="697"/>
      <c r="CH671" s="697"/>
      <c r="CI671" s="697"/>
      <c r="CJ671" s="697"/>
      <c r="CK671" s="697"/>
      <c r="CL671" s="697"/>
      <c r="CM671" s="697"/>
      <c r="CN671" s="697"/>
      <c r="CO671" s="697"/>
      <c r="CP671" s="697"/>
      <c r="CQ671" s="697"/>
      <c r="CR671" s="697"/>
      <c r="CS671" s="697"/>
      <c r="CT671" s="697"/>
      <c r="CU671" s="697"/>
      <c r="CV671" s="697"/>
      <c r="CW671" s="697"/>
      <c r="CX671" s="697"/>
      <c r="CY671" s="697"/>
      <c r="CZ671" s="697"/>
      <c r="DA671" s="697"/>
    </row>
    <row r="672" spans="1:106" x14ac:dyDescent="0.2">
      <c r="A672" s="709">
        <f t="shared" si="122"/>
        <v>41183</v>
      </c>
      <c r="B672" s="709" t="str">
        <f t="shared" si="123"/>
        <v>4Q12</v>
      </c>
      <c r="C672" s="709" t="str">
        <f t="shared" si="124"/>
        <v>4Q12</v>
      </c>
      <c r="D672" s="710">
        <f t="shared" si="136"/>
        <v>41254</v>
      </c>
      <c r="E672" s="710">
        <f t="shared" si="136"/>
        <v>41194</v>
      </c>
      <c r="F672" s="712">
        <v>91.42</v>
      </c>
      <c r="G672" s="713">
        <f t="shared" si="125"/>
        <v>1.4900000000000011</v>
      </c>
      <c r="H672" s="713">
        <f t="shared" si="126"/>
        <v>1.4900000000000011</v>
      </c>
      <c r="I672" s="697"/>
      <c r="J672" s="697"/>
      <c r="K672" s="697"/>
      <c r="L672" s="697"/>
      <c r="M672" s="697"/>
      <c r="N672" s="697"/>
      <c r="O672" s="697"/>
      <c r="P672" s="697"/>
      <c r="Q672" s="697"/>
      <c r="R672" s="697"/>
      <c r="S672" s="697"/>
      <c r="T672" s="697"/>
      <c r="U672" s="697"/>
      <c r="V672" s="697"/>
      <c r="W672" s="697"/>
      <c r="X672" s="697"/>
      <c r="Y672" s="697"/>
      <c r="Z672" s="697"/>
      <c r="AA672" s="697"/>
      <c r="AB672" s="697"/>
      <c r="AC672" s="697"/>
      <c r="AD672" s="697"/>
      <c r="AE672" s="697"/>
      <c r="AF672" s="697"/>
      <c r="AG672" s="697"/>
      <c r="AH672" s="697"/>
      <c r="AI672" s="697"/>
      <c r="AJ672" s="697"/>
      <c r="AK672" s="697"/>
      <c r="AL672" s="697"/>
      <c r="AM672" s="697"/>
      <c r="AN672" s="697"/>
      <c r="AO672" s="697"/>
      <c r="AP672" s="697"/>
      <c r="AQ672" s="697"/>
      <c r="AR672" s="697"/>
      <c r="AS672" s="697"/>
      <c r="AT672" s="697"/>
      <c r="AU672" s="697"/>
      <c r="AV672" s="697"/>
      <c r="AW672" s="697"/>
      <c r="AX672" s="697"/>
      <c r="AY672" s="697"/>
      <c r="AZ672" s="697"/>
      <c r="BA672" s="697"/>
      <c r="BB672" s="697"/>
      <c r="BC672" s="697"/>
      <c r="BD672" s="697"/>
      <c r="BE672" s="697"/>
      <c r="BF672" s="697"/>
      <c r="BG672" s="697"/>
      <c r="BH672" s="697"/>
      <c r="BI672" s="697"/>
      <c r="BJ672" s="697"/>
      <c r="BK672" s="697"/>
      <c r="BL672" s="697"/>
      <c r="BM672" s="697"/>
      <c r="BN672" s="697"/>
      <c r="BO672" s="697"/>
      <c r="BP672" s="697"/>
      <c r="BQ672" s="697"/>
      <c r="BR672" s="697"/>
      <c r="BS672" s="697"/>
      <c r="BT672" s="697"/>
      <c r="BU672" s="697"/>
      <c r="BV672" s="697"/>
      <c r="BW672" s="697"/>
      <c r="BX672" s="697"/>
      <c r="BY672" s="697"/>
      <c r="BZ672" s="697"/>
      <c r="CA672" s="697"/>
      <c r="CB672" s="697"/>
      <c r="CC672" s="697"/>
      <c r="CD672" s="697"/>
      <c r="CE672" s="697"/>
      <c r="CF672" s="697"/>
      <c r="CG672" s="697"/>
      <c r="CH672" s="697"/>
      <c r="CI672" s="697"/>
      <c r="CJ672" s="697"/>
      <c r="CK672" s="697"/>
      <c r="CL672" s="697"/>
      <c r="CM672" s="697"/>
      <c r="CN672" s="697"/>
      <c r="CO672" s="697"/>
      <c r="CP672" s="697"/>
      <c r="CQ672" s="697"/>
      <c r="CR672" s="697"/>
      <c r="CS672" s="697"/>
      <c r="CT672" s="697"/>
      <c r="CU672" s="697"/>
      <c r="CV672" s="697"/>
      <c r="CW672" s="697"/>
      <c r="CX672" s="697"/>
      <c r="CY672" s="697"/>
      <c r="CZ672" s="697"/>
      <c r="DA672" s="697"/>
    </row>
    <row r="673" spans="1:105" x14ac:dyDescent="0.2">
      <c r="A673" s="709">
        <f t="shared" si="122"/>
        <v>41183</v>
      </c>
      <c r="B673" s="709" t="str">
        <f t="shared" si="123"/>
        <v>4Q12</v>
      </c>
      <c r="C673" s="709" t="str">
        <f t="shared" si="124"/>
        <v>4Q12</v>
      </c>
      <c r="D673" s="710">
        <f t="shared" si="136"/>
        <v>41261</v>
      </c>
      <c r="E673" s="710">
        <f t="shared" si="136"/>
        <v>41201</v>
      </c>
      <c r="F673" s="712">
        <v>91.59</v>
      </c>
      <c r="G673" s="713">
        <f t="shared" si="125"/>
        <v>1.4900000000000011</v>
      </c>
      <c r="H673" s="713">
        <f t="shared" si="126"/>
        <v>1.4900000000000011</v>
      </c>
      <c r="I673" s="697"/>
      <c r="J673" s="697"/>
      <c r="K673" s="697"/>
      <c r="L673" s="697"/>
      <c r="M673" s="697"/>
      <c r="N673" s="697"/>
      <c r="O673" s="697"/>
      <c r="P673" s="697"/>
      <c r="Q673" s="697"/>
      <c r="R673" s="697"/>
      <c r="S673" s="697"/>
      <c r="T673" s="697"/>
      <c r="U673" s="697"/>
      <c r="V673" s="697"/>
      <c r="W673" s="697"/>
      <c r="X673" s="697"/>
      <c r="Y673" s="697"/>
      <c r="Z673" s="697"/>
      <c r="AA673" s="697"/>
      <c r="AB673" s="697"/>
      <c r="AC673" s="697"/>
      <c r="AD673" s="697"/>
      <c r="AE673" s="697"/>
      <c r="AF673" s="697"/>
      <c r="AG673" s="697"/>
      <c r="AH673" s="697"/>
      <c r="AI673" s="697"/>
      <c r="AJ673" s="697"/>
      <c r="AK673" s="697"/>
      <c r="AL673" s="697"/>
      <c r="AM673" s="697"/>
      <c r="AN673" s="697"/>
      <c r="AO673" s="697"/>
      <c r="AP673" s="697"/>
      <c r="AQ673" s="697"/>
      <c r="AR673" s="697"/>
      <c r="AS673" s="697"/>
      <c r="AT673" s="697"/>
      <c r="AU673" s="697"/>
      <c r="AV673" s="697"/>
      <c r="AW673" s="697"/>
      <c r="AX673" s="697"/>
      <c r="AY673" s="697"/>
      <c r="AZ673" s="697"/>
      <c r="BA673" s="697"/>
      <c r="BB673" s="697"/>
      <c r="BC673" s="697"/>
      <c r="BD673" s="697"/>
      <c r="BE673" s="697"/>
      <c r="BF673" s="697"/>
      <c r="BG673" s="697"/>
      <c r="BH673" s="697"/>
      <c r="BI673" s="697"/>
      <c r="BJ673" s="697"/>
      <c r="BK673" s="697"/>
      <c r="BL673" s="697"/>
      <c r="BM673" s="697"/>
      <c r="BN673" s="697"/>
      <c r="BO673" s="697"/>
      <c r="BP673" s="697"/>
      <c r="BQ673" s="697"/>
      <c r="BR673" s="697"/>
      <c r="BS673" s="697"/>
      <c r="BT673" s="697"/>
      <c r="BU673" s="697"/>
      <c r="BV673" s="697"/>
      <c r="BW673" s="697"/>
      <c r="BX673" s="697"/>
      <c r="BY673" s="697"/>
      <c r="BZ673" s="697"/>
      <c r="CA673" s="697"/>
      <c r="CB673" s="697"/>
      <c r="CC673" s="697"/>
      <c r="CD673" s="697"/>
      <c r="CE673" s="697"/>
      <c r="CF673" s="697"/>
      <c r="CG673" s="697"/>
      <c r="CH673" s="697"/>
      <c r="CI673" s="697"/>
      <c r="CJ673" s="697"/>
      <c r="CK673" s="697"/>
      <c r="CL673" s="697"/>
      <c r="CM673" s="697"/>
      <c r="CN673" s="697"/>
      <c r="CO673" s="697"/>
      <c r="CP673" s="697"/>
      <c r="CQ673" s="697"/>
      <c r="CR673" s="697"/>
      <c r="CS673" s="697"/>
      <c r="CT673" s="697"/>
      <c r="CU673" s="697"/>
      <c r="CV673" s="697"/>
      <c r="CW673" s="697"/>
      <c r="CX673" s="697"/>
      <c r="CY673" s="697"/>
      <c r="CZ673" s="697"/>
      <c r="DA673" s="697"/>
    </row>
    <row r="674" spans="1:105" x14ac:dyDescent="0.2">
      <c r="A674" s="709">
        <f t="shared" si="122"/>
        <v>41183</v>
      </c>
      <c r="B674" s="709" t="str">
        <f t="shared" si="123"/>
        <v>4Q12</v>
      </c>
      <c r="C674" s="709" t="str">
        <f t="shared" si="124"/>
        <v>4Q12</v>
      </c>
      <c r="D674" s="710">
        <f t="shared" si="136"/>
        <v>41268</v>
      </c>
      <c r="E674" s="710">
        <f t="shared" si="136"/>
        <v>41208</v>
      </c>
      <c r="F674" s="712">
        <v>86.35</v>
      </c>
      <c r="G674" s="713">
        <f t="shared" si="125"/>
        <v>1.4900000000000011</v>
      </c>
      <c r="H674" s="713">
        <f t="shared" si="126"/>
        <v>1.4900000000000011</v>
      </c>
      <c r="I674" s="697"/>
      <c r="J674" s="697"/>
      <c r="K674" s="697"/>
      <c r="L674" s="697"/>
      <c r="M674" s="697"/>
      <c r="N674" s="697"/>
      <c r="O674" s="697"/>
      <c r="P674" s="697"/>
      <c r="Q674" s="697"/>
      <c r="R674" s="697"/>
      <c r="S674" s="697"/>
      <c r="T674" s="697"/>
      <c r="U674" s="697"/>
      <c r="V674" s="697"/>
      <c r="W674" s="697"/>
      <c r="X674" s="697"/>
      <c r="Y674" s="697"/>
      <c r="Z674" s="697"/>
      <c r="AA674" s="697"/>
      <c r="AB674" s="697"/>
      <c r="AC674" s="697"/>
      <c r="AD674" s="697"/>
      <c r="AE674" s="697"/>
      <c r="AF674" s="697"/>
      <c r="AG674" s="697"/>
      <c r="AH674" s="697"/>
      <c r="AI674" s="697"/>
      <c r="AJ674" s="697"/>
      <c r="AK674" s="697"/>
      <c r="AL674" s="697"/>
      <c r="AM674" s="697"/>
      <c r="AN674" s="697"/>
      <c r="AO674" s="697"/>
      <c r="AP674" s="697"/>
      <c r="AQ674" s="697"/>
      <c r="AR674" s="697"/>
      <c r="AS674" s="697"/>
      <c r="AT674" s="697"/>
      <c r="AU674" s="697"/>
      <c r="AV674" s="697"/>
      <c r="AW674" s="697"/>
      <c r="AX674" s="697"/>
      <c r="AY674" s="697"/>
      <c r="AZ674" s="697"/>
      <c r="BA674" s="697"/>
      <c r="BB674" s="697"/>
      <c r="BC674" s="697"/>
      <c r="BD674" s="697"/>
      <c r="BE674" s="697"/>
      <c r="BF674" s="697"/>
      <c r="BG674" s="697"/>
      <c r="BH674" s="697"/>
      <c r="BI674" s="697"/>
      <c r="BJ674" s="697"/>
      <c r="BK674" s="697"/>
      <c r="BL674" s="697"/>
      <c r="BM674" s="697"/>
      <c r="BN674" s="697"/>
      <c r="BO674" s="697"/>
      <c r="BP674" s="697"/>
      <c r="BQ674" s="697"/>
      <c r="BR674" s="697"/>
      <c r="BS674" s="697"/>
      <c r="BT674" s="697"/>
      <c r="BU674" s="697"/>
      <c r="BV674" s="697"/>
      <c r="BW674" s="697"/>
      <c r="BX674" s="697"/>
      <c r="BY674" s="697"/>
      <c r="BZ674" s="697"/>
      <c r="CA674" s="697"/>
      <c r="CB674" s="697"/>
      <c r="CC674" s="697"/>
      <c r="CD674" s="697"/>
      <c r="CE674" s="697"/>
      <c r="CF674" s="697"/>
      <c r="CG674" s="697"/>
      <c r="CH674" s="697"/>
      <c r="CI674" s="697"/>
      <c r="CJ674" s="697"/>
      <c r="CK674" s="697"/>
      <c r="CL674" s="697"/>
      <c r="CM674" s="697"/>
      <c r="CN674" s="697"/>
      <c r="CO674" s="697"/>
      <c r="CP674" s="697"/>
      <c r="CQ674" s="697"/>
      <c r="CR674" s="697"/>
      <c r="CS674" s="697"/>
      <c r="CT674" s="697"/>
      <c r="CU674" s="697"/>
      <c r="CV674" s="697"/>
      <c r="CW674" s="697"/>
      <c r="CX674" s="697"/>
      <c r="CY674" s="697"/>
      <c r="CZ674" s="697"/>
      <c r="DA674" s="697"/>
    </row>
    <row r="675" spans="1:105" x14ac:dyDescent="0.2">
      <c r="A675" s="709">
        <f t="shared" si="122"/>
        <v>41214</v>
      </c>
      <c r="B675" s="709" t="str">
        <f t="shared" si="123"/>
        <v>4Q12</v>
      </c>
      <c r="C675" s="709" t="str">
        <f t="shared" si="124"/>
        <v>1Q13</v>
      </c>
      <c r="D675" s="710">
        <f t="shared" si="136"/>
        <v>41275</v>
      </c>
      <c r="E675" s="710">
        <f t="shared" si="136"/>
        <v>41215</v>
      </c>
      <c r="F675" s="712">
        <v>85.87</v>
      </c>
      <c r="G675" s="713">
        <f t="shared" si="125"/>
        <v>1.4900000000000011</v>
      </c>
      <c r="H675" s="713">
        <f t="shared" si="126"/>
        <v>1.4900000000000011</v>
      </c>
      <c r="I675" s="697"/>
      <c r="J675" s="697"/>
      <c r="K675" s="697"/>
      <c r="L675" s="697"/>
      <c r="M675" s="697"/>
      <c r="N675" s="697"/>
      <c r="O675" s="697"/>
      <c r="P675" s="697"/>
      <c r="Q675" s="697"/>
      <c r="R675" s="697"/>
      <c r="S675" s="697"/>
      <c r="T675" s="697"/>
      <c r="U675" s="697"/>
      <c r="V675" s="697"/>
      <c r="W675" s="697"/>
      <c r="X675" s="697"/>
      <c r="Y675" s="697"/>
      <c r="Z675" s="697"/>
      <c r="AA675" s="697"/>
      <c r="AB675" s="697"/>
      <c r="AC675" s="697"/>
      <c r="AD675" s="697"/>
      <c r="AE675" s="697"/>
      <c r="AF675" s="697"/>
      <c r="AG675" s="697"/>
      <c r="AH675" s="697"/>
      <c r="AI675" s="697"/>
      <c r="AJ675" s="697"/>
      <c r="AK675" s="697"/>
      <c r="AL675" s="697"/>
      <c r="AM675" s="697"/>
      <c r="AN675" s="697"/>
      <c r="AO675" s="697"/>
      <c r="AP675" s="697"/>
      <c r="AQ675" s="697"/>
      <c r="AR675" s="697"/>
      <c r="AS675" s="697"/>
      <c r="AT675" s="697"/>
      <c r="AU675" s="697"/>
      <c r="AV675" s="697"/>
      <c r="AW675" s="697"/>
      <c r="AX675" s="697"/>
      <c r="AY675" s="697"/>
      <c r="AZ675" s="697"/>
      <c r="BA675" s="697"/>
      <c r="BB675" s="697"/>
      <c r="BC675" s="697"/>
      <c r="BD675" s="697"/>
      <c r="BE675" s="697"/>
      <c r="BF675" s="697"/>
      <c r="BG675" s="697"/>
      <c r="BH675" s="697"/>
      <c r="BI675" s="697"/>
      <c r="BJ675" s="697"/>
      <c r="BK675" s="697"/>
      <c r="BL675" s="697"/>
      <c r="BM675" s="697"/>
      <c r="BN675" s="697"/>
      <c r="BO675" s="697"/>
      <c r="BP675" s="697"/>
      <c r="BQ675" s="697"/>
      <c r="BR675" s="697"/>
      <c r="BS675" s="697"/>
      <c r="BT675" s="697"/>
      <c r="BU675" s="697"/>
      <c r="BV675" s="697"/>
      <c r="BW675" s="697"/>
      <c r="BX675" s="697"/>
      <c r="BY675" s="697"/>
      <c r="BZ675" s="697"/>
      <c r="CA675" s="697"/>
      <c r="CB675" s="697"/>
      <c r="CC675" s="697"/>
      <c r="CD675" s="697"/>
      <c r="CE675" s="697"/>
      <c r="CF675" s="697"/>
      <c r="CG675" s="697"/>
      <c r="CH675" s="697"/>
      <c r="CI675" s="697"/>
      <c r="CJ675" s="697"/>
      <c r="CK675" s="697"/>
      <c r="CL675" s="697"/>
      <c r="CM675" s="697"/>
      <c r="CN675" s="697"/>
      <c r="CO675" s="697"/>
      <c r="CP675" s="697"/>
      <c r="CQ675" s="697"/>
      <c r="CR675" s="697"/>
      <c r="CS675" s="697"/>
      <c r="CT675" s="697"/>
      <c r="CU675" s="697"/>
      <c r="CV675" s="697"/>
      <c r="CW675" s="697"/>
      <c r="CX675" s="697"/>
      <c r="CY675" s="697"/>
      <c r="CZ675" s="697"/>
      <c r="DA675" s="697"/>
    </row>
    <row r="676" spans="1:105" x14ac:dyDescent="0.2">
      <c r="A676" s="709">
        <f t="shared" si="122"/>
        <v>41214</v>
      </c>
      <c r="B676" s="709" t="str">
        <f t="shared" si="123"/>
        <v>4Q12</v>
      </c>
      <c r="C676" s="709" t="str">
        <f t="shared" si="124"/>
        <v>1Q13</v>
      </c>
      <c r="D676" s="710">
        <f t="shared" si="136"/>
        <v>41282</v>
      </c>
      <c r="E676" s="710">
        <f t="shared" si="136"/>
        <v>41222</v>
      </c>
      <c r="F676" s="712">
        <v>85.98</v>
      </c>
      <c r="G676" s="713">
        <f t="shared" si="125"/>
        <v>1.4900000000000011</v>
      </c>
      <c r="H676" s="713">
        <f t="shared" si="126"/>
        <v>1.4900000000000011</v>
      </c>
      <c r="I676" s="697"/>
      <c r="J676" s="697"/>
      <c r="K676" s="697"/>
      <c r="L676" s="697"/>
      <c r="M676" s="697"/>
      <c r="N676" s="697"/>
      <c r="O676" s="697"/>
      <c r="P676" s="697"/>
      <c r="Q676" s="697"/>
      <c r="R676" s="697"/>
      <c r="S676" s="697"/>
      <c r="T676" s="697"/>
      <c r="U676" s="697"/>
      <c r="V676" s="697"/>
      <c r="W676" s="697"/>
      <c r="X676" s="697"/>
      <c r="Y676" s="697"/>
      <c r="Z676" s="697"/>
      <c r="AA676" s="697"/>
      <c r="AB676" s="697"/>
      <c r="AC676" s="697"/>
      <c r="AD676" s="697"/>
      <c r="AE676" s="697"/>
      <c r="AF676" s="697"/>
      <c r="AG676" s="697"/>
      <c r="AH676" s="697"/>
      <c r="AI676" s="697"/>
      <c r="AJ676" s="697"/>
      <c r="AK676" s="697"/>
      <c r="AL676" s="697"/>
      <c r="AM676" s="697"/>
      <c r="AN676" s="697"/>
      <c r="AO676" s="697"/>
      <c r="AP676" s="697"/>
      <c r="AQ676" s="697"/>
      <c r="AR676" s="697"/>
      <c r="AS676" s="697"/>
      <c r="AT676" s="697"/>
      <c r="AU676" s="697"/>
      <c r="AV676" s="697"/>
      <c r="AW676" s="697"/>
      <c r="AX676" s="697"/>
      <c r="AY676" s="697"/>
      <c r="AZ676" s="697"/>
      <c r="BA676" s="697"/>
      <c r="BB676" s="697"/>
      <c r="BC676" s="697"/>
      <c r="BD676" s="697"/>
      <c r="BE676" s="697"/>
      <c r="BF676" s="697"/>
      <c r="BG676" s="697"/>
      <c r="BH676" s="697"/>
      <c r="BI676" s="697"/>
      <c r="BJ676" s="697"/>
      <c r="BK676" s="697"/>
      <c r="BL676" s="697"/>
      <c r="BM676" s="697"/>
      <c r="BN676" s="697"/>
      <c r="BO676" s="697"/>
      <c r="BP676" s="697"/>
      <c r="BQ676" s="697"/>
      <c r="BR676" s="697"/>
      <c r="BS676" s="697"/>
      <c r="BT676" s="697"/>
      <c r="BU676" s="697"/>
      <c r="BV676" s="697"/>
      <c r="BW676" s="697"/>
      <c r="BX676" s="697"/>
      <c r="BY676" s="697"/>
      <c r="BZ676" s="697"/>
      <c r="CA676" s="697"/>
      <c r="CB676" s="697"/>
      <c r="CC676" s="697"/>
      <c r="CD676" s="697"/>
      <c r="CE676" s="697"/>
      <c r="CF676" s="697"/>
      <c r="CG676" s="697"/>
      <c r="CH676" s="697"/>
      <c r="CI676" s="697"/>
      <c r="CJ676" s="697"/>
      <c r="CK676" s="697"/>
      <c r="CL676" s="697"/>
      <c r="CM676" s="697"/>
      <c r="CN676" s="697"/>
      <c r="CO676" s="697"/>
      <c r="CP676" s="697"/>
      <c r="CQ676" s="697"/>
      <c r="CR676" s="697"/>
      <c r="CS676" s="697"/>
      <c r="CT676" s="697"/>
      <c r="CU676" s="697"/>
      <c r="CV676" s="697"/>
      <c r="CW676" s="697"/>
      <c r="CX676" s="697"/>
      <c r="CY676" s="697"/>
      <c r="CZ676" s="697"/>
      <c r="DA676" s="697"/>
    </row>
    <row r="677" spans="1:105" x14ac:dyDescent="0.2">
      <c r="A677" s="709">
        <f t="shared" si="122"/>
        <v>41214</v>
      </c>
      <c r="B677" s="709" t="str">
        <f t="shared" si="123"/>
        <v>4Q12</v>
      </c>
      <c r="C677" s="709" t="str">
        <f t="shared" si="124"/>
        <v>1Q13</v>
      </c>
      <c r="D677" s="710">
        <f t="shared" ref="D677:E692" si="137">D676+7</f>
        <v>41289</v>
      </c>
      <c r="E677" s="710">
        <f t="shared" si="137"/>
        <v>41229</v>
      </c>
      <c r="F677" s="712">
        <v>85.87</v>
      </c>
      <c r="G677" s="713">
        <f t="shared" si="125"/>
        <v>1.4900000000000011</v>
      </c>
      <c r="H677" s="713">
        <f t="shared" si="126"/>
        <v>1.4900000000000011</v>
      </c>
      <c r="I677" s="697"/>
      <c r="J677" s="697"/>
      <c r="K677" s="697"/>
      <c r="L677" s="697"/>
      <c r="M677" s="697"/>
      <c r="N677" s="697"/>
      <c r="O677" s="697"/>
      <c r="P677" s="697"/>
      <c r="Q677" s="697"/>
      <c r="R677" s="697"/>
      <c r="S677" s="697"/>
      <c r="T677" s="697"/>
      <c r="U677" s="697"/>
      <c r="V677" s="697"/>
      <c r="W677" s="697"/>
      <c r="X677" s="697"/>
      <c r="Y677" s="697"/>
      <c r="Z677" s="697"/>
      <c r="AA677" s="697"/>
      <c r="AB677" s="697"/>
      <c r="AC677" s="697"/>
      <c r="AD677" s="697"/>
      <c r="AE677" s="697"/>
      <c r="AF677" s="697"/>
      <c r="AG677" s="697"/>
      <c r="AH677" s="697"/>
      <c r="AI677" s="697"/>
      <c r="AJ677" s="697"/>
      <c r="AK677" s="697"/>
      <c r="AL677" s="697"/>
      <c r="AM677" s="697"/>
      <c r="AN677" s="697"/>
      <c r="AO677" s="697"/>
      <c r="AP677" s="697"/>
      <c r="AQ677" s="697"/>
      <c r="AR677" s="697"/>
      <c r="AS677" s="697"/>
      <c r="AT677" s="697"/>
      <c r="AU677" s="697"/>
      <c r="AV677" s="697"/>
      <c r="AW677" s="697"/>
      <c r="AX677" s="697"/>
      <c r="AY677" s="697"/>
      <c r="AZ677" s="697"/>
      <c r="BA677" s="697"/>
      <c r="BB677" s="697"/>
      <c r="BC677" s="697"/>
      <c r="BD677" s="697"/>
      <c r="BE677" s="697"/>
      <c r="BF677" s="697"/>
      <c r="BG677" s="697"/>
      <c r="BH677" s="697"/>
      <c r="BI677" s="697"/>
      <c r="BJ677" s="697"/>
      <c r="BK677" s="697"/>
      <c r="BL677" s="697"/>
      <c r="BM677" s="697"/>
      <c r="BN677" s="697"/>
      <c r="BO677" s="697"/>
      <c r="BP677" s="697"/>
      <c r="BQ677" s="697"/>
      <c r="BR677" s="697"/>
      <c r="BS677" s="697"/>
      <c r="BT677" s="697"/>
      <c r="BU677" s="697"/>
      <c r="BV677" s="697"/>
      <c r="BW677" s="697"/>
      <c r="BX677" s="697"/>
      <c r="BY677" s="697"/>
      <c r="BZ677" s="697"/>
      <c r="CA677" s="697"/>
      <c r="CB677" s="697"/>
      <c r="CC677" s="697"/>
      <c r="CD677" s="697"/>
      <c r="CE677" s="697"/>
      <c r="CF677" s="697"/>
      <c r="CG677" s="697"/>
      <c r="CH677" s="697"/>
      <c r="CI677" s="697"/>
      <c r="CJ677" s="697"/>
      <c r="CK677" s="697"/>
      <c r="CL677" s="697"/>
      <c r="CM677" s="697"/>
      <c r="CN677" s="697"/>
      <c r="CO677" s="697"/>
      <c r="CP677" s="697"/>
      <c r="CQ677" s="697"/>
      <c r="CR677" s="697"/>
      <c r="CS677" s="697"/>
      <c r="CT677" s="697"/>
      <c r="CU677" s="697"/>
      <c r="CV677" s="697"/>
      <c r="CW677" s="697"/>
      <c r="CX677" s="697"/>
      <c r="CY677" s="697"/>
      <c r="CZ677" s="697"/>
      <c r="DA677" s="697"/>
    </row>
    <row r="678" spans="1:105" x14ac:dyDescent="0.2">
      <c r="A678" s="709">
        <f t="shared" si="122"/>
        <v>41214</v>
      </c>
      <c r="B678" s="709" t="str">
        <f t="shared" si="123"/>
        <v>4Q12</v>
      </c>
      <c r="C678" s="709" t="str">
        <f t="shared" si="124"/>
        <v>1Q13</v>
      </c>
      <c r="D678" s="710">
        <f t="shared" si="137"/>
        <v>41296</v>
      </c>
      <c r="E678" s="710">
        <f t="shared" si="137"/>
        <v>41236</v>
      </c>
      <c r="F678" s="712">
        <v>87.4</v>
      </c>
      <c r="G678" s="713">
        <f t="shared" si="125"/>
        <v>1.4900000000000011</v>
      </c>
      <c r="H678" s="713">
        <f t="shared" si="126"/>
        <v>1.4900000000000011</v>
      </c>
      <c r="I678" s="697"/>
      <c r="J678" s="697"/>
      <c r="K678" s="697"/>
      <c r="L678" s="697"/>
      <c r="M678" s="697"/>
      <c r="N678" s="697"/>
      <c r="O678" s="697"/>
      <c r="P678" s="697"/>
      <c r="Q678" s="697"/>
      <c r="R678" s="697"/>
      <c r="S678" s="697"/>
      <c r="T678" s="697"/>
      <c r="U678" s="697"/>
      <c r="V678" s="697"/>
      <c r="W678" s="697"/>
      <c r="X678" s="697"/>
      <c r="Y678" s="697"/>
      <c r="Z678" s="697"/>
      <c r="AA678" s="697"/>
      <c r="AB678" s="697"/>
      <c r="AC678" s="697"/>
      <c r="AD678" s="697"/>
      <c r="AE678" s="697"/>
      <c r="AF678" s="697"/>
      <c r="AG678" s="697"/>
      <c r="AH678" s="697"/>
      <c r="AI678" s="697"/>
      <c r="AJ678" s="697"/>
      <c r="AK678" s="697"/>
      <c r="AL678" s="697"/>
      <c r="AM678" s="697"/>
      <c r="AN678" s="697"/>
      <c r="AO678" s="697"/>
      <c r="AP678" s="697"/>
      <c r="AQ678" s="697"/>
      <c r="AR678" s="697"/>
      <c r="AS678" s="697"/>
      <c r="AT678" s="697"/>
      <c r="AU678" s="697"/>
      <c r="AV678" s="697"/>
      <c r="AW678" s="697"/>
      <c r="AX678" s="697"/>
      <c r="AY678" s="697"/>
      <c r="AZ678" s="697"/>
      <c r="BA678" s="697"/>
      <c r="BB678" s="697"/>
      <c r="BC678" s="697"/>
      <c r="BD678" s="697"/>
      <c r="BE678" s="697"/>
      <c r="BF678" s="697"/>
      <c r="BG678" s="697"/>
      <c r="BH678" s="697"/>
      <c r="BI678" s="697"/>
      <c r="BJ678" s="697"/>
      <c r="BK678" s="697"/>
      <c r="BL678" s="697"/>
      <c r="BM678" s="697"/>
      <c r="BN678" s="697"/>
      <c r="BO678" s="697"/>
      <c r="BP678" s="697"/>
      <c r="BQ678" s="697"/>
      <c r="BR678" s="697"/>
      <c r="BS678" s="697"/>
      <c r="BT678" s="697"/>
      <c r="BU678" s="697"/>
      <c r="BV678" s="697"/>
      <c r="BW678" s="697"/>
      <c r="BX678" s="697"/>
      <c r="BY678" s="697"/>
      <c r="BZ678" s="697"/>
      <c r="CA678" s="697"/>
      <c r="CB678" s="697"/>
      <c r="CC678" s="697"/>
      <c r="CD678" s="697"/>
      <c r="CE678" s="697"/>
      <c r="CF678" s="697"/>
      <c r="CG678" s="697"/>
      <c r="CH678" s="697"/>
      <c r="CI678" s="697"/>
      <c r="CJ678" s="697"/>
      <c r="CK678" s="697"/>
      <c r="CL678" s="697"/>
      <c r="CM678" s="697"/>
      <c r="CN678" s="697"/>
      <c r="CO678" s="697"/>
      <c r="CP678" s="697"/>
      <c r="CQ678" s="697"/>
      <c r="CR678" s="697"/>
      <c r="CS678" s="697"/>
      <c r="CT678" s="697"/>
      <c r="CU678" s="697"/>
      <c r="CV678" s="697"/>
      <c r="CW678" s="697"/>
      <c r="CX678" s="697"/>
      <c r="CY678" s="697"/>
      <c r="CZ678" s="697"/>
      <c r="DA678" s="697"/>
    </row>
    <row r="679" spans="1:105" x14ac:dyDescent="0.2">
      <c r="A679" s="709">
        <f t="shared" si="122"/>
        <v>41214</v>
      </c>
      <c r="B679" s="709" t="str">
        <f t="shared" si="123"/>
        <v>4Q12</v>
      </c>
      <c r="C679" s="709" t="str">
        <f t="shared" si="124"/>
        <v>1Q13</v>
      </c>
      <c r="D679" s="710">
        <f t="shared" si="137"/>
        <v>41303</v>
      </c>
      <c r="E679" s="710">
        <f t="shared" si="137"/>
        <v>41243</v>
      </c>
      <c r="F679" s="712">
        <v>87.27</v>
      </c>
      <c r="G679" s="713">
        <f t="shared" si="125"/>
        <v>1.4900000000000011</v>
      </c>
      <c r="H679" s="713">
        <f t="shared" si="126"/>
        <v>1.4900000000000011</v>
      </c>
      <c r="I679" s="697"/>
      <c r="J679" s="697"/>
      <c r="K679" s="697"/>
      <c r="L679" s="697"/>
      <c r="M679" s="697"/>
      <c r="N679" s="697"/>
      <c r="O679" s="697"/>
      <c r="P679" s="697"/>
      <c r="Q679" s="697"/>
      <c r="R679" s="697"/>
      <c r="S679" s="697"/>
      <c r="T679" s="697"/>
      <c r="U679" s="697"/>
      <c r="V679" s="697"/>
      <c r="W679" s="697"/>
      <c r="X679" s="697"/>
      <c r="Y679" s="697"/>
      <c r="Z679" s="697"/>
      <c r="AA679" s="697"/>
      <c r="AB679" s="697"/>
      <c r="AC679" s="697"/>
      <c r="AD679" s="697"/>
      <c r="AE679" s="697"/>
      <c r="AF679" s="697"/>
      <c r="AG679" s="697"/>
      <c r="AH679" s="697"/>
      <c r="AI679" s="697"/>
      <c r="AJ679" s="697"/>
      <c r="AK679" s="697"/>
      <c r="AL679" s="697"/>
      <c r="AM679" s="697"/>
      <c r="AN679" s="697"/>
      <c r="AO679" s="697"/>
      <c r="AP679" s="697"/>
      <c r="AQ679" s="697"/>
      <c r="AR679" s="697"/>
      <c r="AS679" s="697"/>
      <c r="AT679" s="697"/>
      <c r="AU679" s="697"/>
      <c r="AV679" s="697"/>
      <c r="AW679" s="697"/>
      <c r="AX679" s="697"/>
      <c r="AY679" s="697"/>
      <c r="AZ679" s="697"/>
      <c r="BA679" s="697"/>
      <c r="BB679" s="697"/>
      <c r="BC679" s="697"/>
      <c r="BD679" s="697"/>
      <c r="BE679" s="697"/>
      <c r="BF679" s="697"/>
      <c r="BG679" s="697"/>
      <c r="BH679" s="697"/>
      <c r="BI679" s="697"/>
      <c r="BJ679" s="697"/>
      <c r="BK679" s="697"/>
      <c r="BL679" s="697"/>
      <c r="BM679" s="697"/>
      <c r="BN679" s="697"/>
      <c r="BO679" s="697"/>
      <c r="BP679" s="697"/>
      <c r="BQ679" s="697"/>
      <c r="BR679" s="697"/>
      <c r="BS679" s="697"/>
      <c r="BT679" s="697"/>
      <c r="BU679" s="697"/>
      <c r="BV679" s="697"/>
      <c r="BW679" s="697"/>
      <c r="BX679" s="697"/>
      <c r="BY679" s="697"/>
      <c r="BZ679" s="697"/>
      <c r="CA679" s="697"/>
      <c r="CB679" s="697"/>
      <c r="CC679" s="697"/>
      <c r="CD679" s="697"/>
      <c r="CE679" s="697"/>
      <c r="CF679" s="697"/>
      <c r="CG679" s="697"/>
      <c r="CH679" s="697"/>
      <c r="CI679" s="697"/>
      <c r="CJ679" s="697"/>
      <c r="CK679" s="697"/>
      <c r="CL679" s="697"/>
      <c r="CM679" s="697"/>
      <c r="CN679" s="697"/>
      <c r="CO679" s="697"/>
      <c r="CP679" s="697"/>
      <c r="CQ679" s="697"/>
      <c r="CR679" s="697"/>
      <c r="CS679" s="697"/>
      <c r="CT679" s="697"/>
      <c r="CU679" s="697"/>
      <c r="CV679" s="697"/>
      <c r="CW679" s="697"/>
      <c r="CX679" s="697"/>
      <c r="CY679" s="697"/>
      <c r="CZ679" s="697"/>
      <c r="DA679" s="697"/>
    </row>
    <row r="680" spans="1:105" x14ac:dyDescent="0.2">
      <c r="A680" s="709">
        <f t="shared" si="122"/>
        <v>41244</v>
      </c>
      <c r="B680" s="709" t="str">
        <f t="shared" si="123"/>
        <v>4Q12</v>
      </c>
      <c r="C680" s="709" t="str">
        <f t="shared" si="124"/>
        <v>1Q13</v>
      </c>
      <c r="D680" s="710">
        <f t="shared" si="137"/>
        <v>41310</v>
      </c>
      <c r="E680" s="710">
        <f t="shared" si="137"/>
        <v>41250</v>
      </c>
      <c r="F680" s="712">
        <v>87</v>
      </c>
      <c r="G680" s="713">
        <f t="shared" si="125"/>
        <v>1.4900000000000011</v>
      </c>
      <c r="H680" s="713">
        <f t="shared" si="126"/>
        <v>1.4900000000000011</v>
      </c>
      <c r="I680" s="697"/>
      <c r="J680" s="697"/>
      <c r="K680" s="697"/>
      <c r="L680" s="697"/>
      <c r="M680" s="697"/>
      <c r="N680" s="697"/>
      <c r="O680" s="697"/>
      <c r="P680" s="697"/>
      <c r="Q680" s="697"/>
      <c r="R680" s="697"/>
      <c r="S680" s="697"/>
      <c r="T680" s="697"/>
      <c r="U680" s="697"/>
      <c r="V680" s="697"/>
      <c r="W680" s="697"/>
      <c r="X680" s="697"/>
      <c r="Y680" s="697"/>
      <c r="Z680" s="697"/>
      <c r="AA680" s="697"/>
      <c r="AB680" s="697"/>
      <c r="AC680" s="697"/>
      <c r="AD680" s="697"/>
      <c r="AE680" s="697"/>
      <c r="AF680" s="697"/>
      <c r="AG680" s="697"/>
      <c r="AH680" s="697"/>
      <c r="AI680" s="697"/>
      <c r="AJ680" s="697"/>
      <c r="AK680" s="697"/>
      <c r="AL680" s="697"/>
      <c r="AM680" s="697"/>
      <c r="AN680" s="697"/>
      <c r="AO680" s="697"/>
      <c r="AP680" s="697"/>
      <c r="AQ680" s="697"/>
      <c r="AR680" s="697"/>
      <c r="AS680" s="697"/>
      <c r="AT680" s="697"/>
      <c r="AU680" s="697"/>
      <c r="AV680" s="697"/>
      <c r="AW680" s="697"/>
      <c r="AX680" s="697"/>
      <c r="AY680" s="697"/>
      <c r="AZ680" s="697"/>
      <c r="BA680" s="697"/>
      <c r="BB680" s="697"/>
      <c r="BC680" s="697"/>
      <c r="BD680" s="697"/>
      <c r="BE680" s="697"/>
      <c r="BF680" s="697"/>
      <c r="BG680" s="697"/>
      <c r="BH680" s="697"/>
      <c r="BI680" s="697"/>
      <c r="BJ680" s="697"/>
      <c r="BK680" s="697"/>
      <c r="BL680" s="697"/>
      <c r="BM680" s="697"/>
      <c r="BN680" s="697"/>
      <c r="BO680" s="697"/>
      <c r="BP680" s="697"/>
      <c r="BQ680" s="697"/>
      <c r="BR680" s="697"/>
      <c r="BS680" s="697"/>
      <c r="BT680" s="697"/>
      <c r="BU680" s="697"/>
      <c r="BV680" s="697"/>
      <c r="BW680" s="697"/>
      <c r="BX680" s="697"/>
      <c r="BY680" s="697"/>
      <c r="BZ680" s="697"/>
      <c r="CA680" s="697"/>
      <c r="CB680" s="697"/>
      <c r="CC680" s="697"/>
      <c r="CD680" s="697"/>
      <c r="CE680" s="697"/>
      <c r="CF680" s="697"/>
      <c r="CG680" s="697"/>
      <c r="CH680" s="697"/>
      <c r="CI680" s="697"/>
      <c r="CJ680" s="697"/>
      <c r="CK680" s="697"/>
      <c r="CL680" s="697"/>
      <c r="CM680" s="697"/>
      <c r="CN680" s="697"/>
      <c r="CO680" s="697"/>
      <c r="CP680" s="697"/>
      <c r="CQ680" s="697"/>
      <c r="CR680" s="697"/>
      <c r="CS680" s="697"/>
      <c r="CT680" s="697"/>
      <c r="CU680" s="697"/>
      <c r="CV680" s="697"/>
      <c r="CW680" s="697"/>
      <c r="CX680" s="697"/>
      <c r="CY680" s="697"/>
      <c r="CZ680" s="697"/>
      <c r="DA680" s="697"/>
    </row>
    <row r="681" spans="1:105" x14ac:dyDescent="0.2">
      <c r="A681" s="709">
        <f t="shared" si="122"/>
        <v>41244</v>
      </c>
      <c r="B681" s="709" t="str">
        <f t="shared" si="123"/>
        <v>4Q12</v>
      </c>
      <c r="C681" s="709" t="str">
        <f t="shared" si="124"/>
        <v>1Q13</v>
      </c>
      <c r="D681" s="710">
        <f t="shared" si="137"/>
        <v>41317</v>
      </c>
      <c r="E681" s="710">
        <f t="shared" si="137"/>
        <v>41257</v>
      </c>
      <c r="F681" s="712">
        <v>85.71</v>
      </c>
      <c r="G681" s="713">
        <f t="shared" si="125"/>
        <v>1.4900000000000011</v>
      </c>
      <c r="H681" s="713">
        <f t="shared" si="126"/>
        <v>1.4900000000000011</v>
      </c>
      <c r="I681" s="697"/>
      <c r="J681" s="697"/>
      <c r="K681" s="697"/>
      <c r="L681" s="697"/>
      <c r="M681" s="697"/>
      <c r="N681" s="697"/>
      <c r="O681" s="697"/>
      <c r="P681" s="697"/>
      <c r="Q681" s="697"/>
      <c r="R681" s="697"/>
      <c r="S681" s="697"/>
      <c r="T681" s="697"/>
      <c r="U681" s="697"/>
      <c r="V681" s="697"/>
      <c r="W681" s="697"/>
      <c r="X681" s="697"/>
      <c r="Y681" s="697"/>
      <c r="Z681" s="697"/>
      <c r="AA681" s="697"/>
      <c r="AB681" s="697"/>
      <c r="AC681" s="697"/>
      <c r="AD681" s="697"/>
      <c r="AE681" s="697"/>
      <c r="AF681" s="697"/>
      <c r="AG681" s="697"/>
      <c r="AH681" s="697"/>
      <c r="AI681" s="697"/>
      <c r="AJ681" s="697"/>
      <c r="AK681" s="697"/>
      <c r="AL681" s="697"/>
      <c r="AM681" s="697"/>
      <c r="AN681" s="697"/>
      <c r="AO681" s="697"/>
      <c r="AP681" s="697"/>
      <c r="AQ681" s="697"/>
      <c r="AR681" s="697"/>
      <c r="AS681" s="697"/>
      <c r="AT681" s="697"/>
      <c r="AU681" s="697"/>
      <c r="AV681" s="697"/>
      <c r="AW681" s="697"/>
      <c r="AX681" s="697"/>
      <c r="AY681" s="697"/>
      <c r="AZ681" s="697"/>
      <c r="BA681" s="697"/>
      <c r="BB681" s="697"/>
      <c r="BC681" s="697"/>
      <c r="BD681" s="697"/>
      <c r="BE681" s="697"/>
      <c r="BF681" s="697"/>
      <c r="BG681" s="697"/>
      <c r="BH681" s="697"/>
      <c r="BI681" s="697"/>
      <c r="BJ681" s="697"/>
      <c r="BK681" s="697"/>
      <c r="BL681" s="697"/>
      <c r="BM681" s="697"/>
      <c r="BN681" s="697"/>
      <c r="BO681" s="697"/>
      <c r="BP681" s="697"/>
      <c r="BQ681" s="697"/>
      <c r="BR681" s="697"/>
      <c r="BS681" s="697"/>
      <c r="BT681" s="697"/>
      <c r="BU681" s="697"/>
      <c r="BV681" s="697"/>
      <c r="BW681" s="697"/>
      <c r="BX681" s="697"/>
      <c r="BY681" s="697"/>
      <c r="BZ681" s="697"/>
      <c r="CA681" s="697"/>
      <c r="CB681" s="697"/>
      <c r="CC681" s="697"/>
      <c r="CD681" s="697"/>
      <c r="CE681" s="697"/>
      <c r="CF681" s="697"/>
      <c r="CG681" s="697"/>
      <c r="CH681" s="697"/>
      <c r="CI681" s="697"/>
      <c r="CJ681" s="697"/>
      <c r="CK681" s="697"/>
      <c r="CL681" s="697"/>
      <c r="CM681" s="697"/>
      <c r="CN681" s="697"/>
      <c r="CO681" s="697"/>
      <c r="CP681" s="697"/>
      <c r="CQ681" s="697"/>
      <c r="CR681" s="697"/>
      <c r="CS681" s="697"/>
      <c r="CT681" s="697"/>
      <c r="CU681" s="697"/>
      <c r="CV681" s="697"/>
      <c r="CW681" s="697"/>
      <c r="CX681" s="697"/>
      <c r="CY681" s="697"/>
      <c r="CZ681" s="697"/>
      <c r="DA681" s="697"/>
    </row>
    <row r="682" spans="1:105" x14ac:dyDescent="0.2">
      <c r="A682" s="709">
        <f t="shared" si="122"/>
        <v>41244</v>
      </c>
      <c r="B682" s="709" t="str">
        <f t="shared" si="123"/>
        <v>4Q12</v>
      </c>
      <c r="C682" s="709" t="str">
        <f t="shared" si="124"/>
        <v>1Q13</v>
      </c>
      <c r="D682" s="710">
        <f t="shared" si="137"/>
        <v>41324</v>
      </c>
      <c r="E682" s="710">
        <f t="shared" si="137"/>
        <v>41264</v>
      </c>
      <c r="F682" s="712">
        <v>88.24</v>
      </c>
      <c r="G682" s="713">
        <f t="shared" si="125"/>
        <v>1.4900000000000011</v>
      </c>
      <c r="H682" s="713">
        <f t="shared" si="126"/>
        <v>1.4900000000000011</v>
      </c>
      <c r="I682" s="697"/>
      <c r="J682" s="697"/>
      <c r="K682" s="697"/>
      <c r="L682" s="697"/>
      <c r="M682" s="697"/>
      <c r="N682" s="697"/>
      <c r="O682" s="697"/>
      <c r="P682" s="697"/>
      <c r="Q682" s="697"/>
      <c r="R682" s="697"/>
      <c r="S682" s="697"/>
      <c r="T682" s="697"/>
      <c r="U682" s="697"/>
      <c r="V682" s="697"/>
      <c r="W682" s="697"/>
      <c r="X682" s="697"/>
      <c r="Y682" s="697"/>
      <c r="Z682" s="697"/>
      <c r="AA682" s="697"/>
      <c r="AB682" s="697"/>
      <c r="AC682" s="697"/>
      <c r="AD682" s="697"/>
      <c r="AE682" s="697"/>
      <c r="AF682" s="697"/>
      <c r="AG682" s="697"/>
      <c r="AH682" s="697"/>
      <c r="AI682" s="697"/>
      <c r="AJ682" s="697"/>
      <c r="AK682" s="697"/>
      <c r="AL682" s="697"/>
      <c r="AM682" s="697"/>
      <c r="AN682" s="697"/>
      <c r="AO682" s="697"/>
      <c r="AP682" s="697"/>
      <c r="AQ682" s="697"/>
      <c r="AR682" s="697"/>
      <c r="AS682" s="697"/>
      <c r="AT682" s="697"/>
      <c r="AU682" s="697"/>
      <c r="AV682" s="697"/>
      <c r="AW682" s="697"/>
      <c r="AX682" s="697"/>
      <c r="AY682" s="697"/>
      <c r="AZ682" s="697"/>
      <c r="BA682" s="697"/>
      <c r="BB682" s="697"/>
      <c r="BC682" s="697"/>
      <c r="BD682" s="697"/>
      <c r="BE682" s="697"/>
      <c r="BF682" s="697"/>
      <c r="BG682" s="697"/>
      <c r="BH682" s="697"/>
      <c r="BI682" s="697"/>
      <c r="BJ682" s="697"/>
      <c r="BK682" s="697"/>
      <c r="BL682" s="697"/>
      <c r="BM682" s="697"/>
      <c r="BN682" s="697"/>
      <c r="BO682" s="697"/>
      <c r="BP682" s="697"/>
      <c r="BQ682" s="697"/>
      <c r="BR682" s="697"/>
      <c r="BS682" s="697"/>
      <c r="BT682" s="697"/>
      <c r="BU682" s="697"/>
      <c r="BV682" s="697"/>
      <c r="BW682" s="697"/>
      <c r="BX682" s="697"/>
      <c r="BY682" s="697"/>
      <c r="BZ682" s="697"/>
      <c r="CA682" s="697"/>
      <c r="CB682" s="697"/>
      <c r="CC682" s="697"/>
      <c r="CD682" s="697"/>
      <c r="CE682" s="697"/>
      <c r="CF682" s="697"/>
      <c r="CG682" s="697"/>
      <c r="CH682" s="697"/>
      <c r="CI682" s="697"/>
      <c r="CJ682" s="697"/>
      <c r="CK682" s="697"/>
      <c r="CL682" s="697"/>
      <c r="CM682" s="697"/>
      <c r="CN682" s="697"/>
      <c r="CO682" s="697"/>
      <c r="CP682" s="697"/>
      <c r="CQ682" s="697"/>
      <c r="CR682" s="697"/>
      <c r="CS682" s="697"/>
      <c r="CT682" s="697"/>
      <c r="CU682" s="697"/>
      <c r="CV682" s="697"/>
      <c r="CW682" s="697"/>
      <c r="CX682" s="697"/>
      <c r="CY682" s="697"/>
      <c r="CZ682" s="697"/>
      <c r="DA682" s="697"/>
    </row>
    <row r="683" spans="1:105" x14ac:dyDescent="0.2">
      <c r="A683" s="709">
        <f t="shared" si="122"/>
        <v>41244</v>
      </c>
      <c r="B683" s="709" t="str">
        <f t="shared" si="123"/>
        <v>4Q12</v>
      </c>
      <c r="C683" s="709" t="str">
        <f t="shared" si="124"/>
        <v>1Q13</v>
      </c>
      <c r="D683" s="710">
        <f t="shared" si="137"/>
        <v>41331</v>
      </c>
      <c r="E683" s="710">
        <f t="shared" si="137"/>
        <v>41271</v>
      </c>
      <c r="F683" s="712">
        <v>90.14</v>
      </c>
      <c r="G683" s="713">
        <f t="shared" si="125"/>
        <v>1.4900000000000011</v>
      </c>
      <c r="H683" s="713">
        <f t="shared" si="126"/>
        <v>1.4900000000000011</v>
      </c>
      <c r="I683" s="697"/>
      <c r="J683" s="697"/>
      <c r="K683" s="697"/>
      <c r="L683" s="697"/>
      <c r="M683" s="697"/>
      <c r="N683" s="697"/>
      <c r="O683" s="697"/>
      <c r="P683" s="697"/>
      <c r="Q683" s="697"/>
      <c r="R683" s="697"/>
      <c r="S683" s="697"/>
      <c r="T683" s="697"/>
      <c r="U683" s="697"/>
      <c r="V683" s="697"/>
      <c r="W683" s="697"/>
      <c r="X683" s="697"/>
      <c r="Y683" s="697"/>
      <c r="Z683" s="697"/>
      <c r="AA683" s="697"/>
      <c r="AB683" s="697"/>
      <c r="AC683" s="697"/>
      <c r="AD683" s="697"/>
      <c r="AE683" s="697"/>
      <c r="AF683" s="697"/>
      <c r="AG683" s="697"/>
      <c r="AH683" s="697"/>
      <c r="AI683" s="697"/>
      <c r="AJ683" s="697"/>
      <c r="AK683" s="697"/>
      <c r="AL683" s="697"/>
      <c r="AM683" s="697"/>
      <c r="AN683" s="697"/>
      <c r="AO683" s="697"/>
      <c r="AP683" s="697"/>
      <c r="AQ683" s="697"/>
      <c r="AR683" s="697"/>
      <c r="AS683" s="697"/>
      <c r="AT683" s="697"/>
      <c r="AU683" s="697"/>
      <c r="AV683" s="697"/>
      <c r="AW683" s="697"/>
      <c r="AX683" s="697"/>
      <c r="AY683" s="697"/>
      <c r="AZ683" s="697"/>
      <c r="BA683" s="697"/>
      <c r="BB683" s="697"/>
      <c r="BC683" s="697"/>
      <c r="BD683" s="697"/>
      <c r="BE683" s="697"/>
      <c r="BF683" s="697"/>
      <c r="BG683" s="697"/>
      <c r="BH683" s="697"/>
      <c r="BI683" s="697"/>
      <c r="BJ683" s="697"/>
      <c r="BK683" s="697"/>
      <c r="BL683" s="697"/>
      <c r="BM683" s="697"/>
      <c r="BN683" s="697"/>
      <c r="BO683" s="697"/>
      <c r="BP683" s="697"/>
      <c r="BQ683" s="697"/>
      <c r="BR683" s="697"/>
      <c r="BS683" s="697"/>
      <c r="BT683" s="697"/>
      <c r="BU683" s="697"/>
      <c r="BV683" s="697"/>
      <c r="BW683" s="697"/>
      <c r="BX683" s="697"/>
      <c r="BY683" s="697"/>
      <c r="BZ683" s="697"/>
      <c r="CA683" s="697"/>
      <c r="CB683" s="697"/>
      <c r="CC683" s="697"/>
      <c r="CD683" s="697"/>
      <c r="CE683" s="697"/>
      <c r="CF683" s="697"/>
      <c r="CG683" s="697"/>
      <c r="CH683" s="697"/>
      <c r="CI683" s="697"/>
      <c r="CJ683" s="697"/>
      <c r="CK683" s="697"/>
      <c r="CL683" s="697"/>
      <c r="CM683" s="697"/>
      <c r="CN683" s="697"/>
      <c r="CO683" s="697"/>
      <c r="CP683" s="697"/>
      <c r="CQ683" s="697"/>
      <c r="CR683" s="697"/>
      <c r="CS683" s="697"/>
      <c r="CT683" s="697"/>
      <c r="CU683" s="697"/>
      <c r="CV683" s="697"/>
      <c r="CW683" s="697"/>
      <c r="CX683" s="697"/>
      <c r="CY683" s="697"/>
      <c r="CZ683" s="697"/>
      <c r="DA683" s="697"/>
    </row>
    <row r="684" spans="1:105" x14ac:dyDescent="0.2">
      <c r="A684" s="709">
        <f t="shared" si="122"/>
        <v>41275</v>
      </c>
      <c r="B684" s="709" t="str">
        <f t="shared" si="123"/>
        <v>1Q13</v>
      </c>
      <c r="C684" s="709" t="str">
        <f t="shared" si="124"/>
        <v>1Q13</v>
      </c>
      <c r="D684" s="710">
        <f t="shared" si="137"/>
        <v>41338</v>
      </c>
      <c r="E684" s="710">
        <f t="shared" si="137"/>
        <v>41278</v>
      </c>
      <c r="F684" s="712">
        <v>92.77</v>
      </c>
      <c r="G684" s="713">
        <f t="shared" si="125"/>
        <v>1.4900000000000011</v>
      </c>
      <c r="H684" s="713">
        <f t="shared" si="126"/>
        <v>1.4900000000000011</v>
      </c>
      <c r="I684" s="697"/>
      <c r="J684" s="697"/>
      <c r="K684" s="697"/>
      <c r="L684" s="697"/>
      <c r="M684" s="697"/>
      <c r="N684" s="697"/>
      <c r="O684" s="697"/>
      <c r="P684" s="697"/>
      <c r="Q684" s="697"/>
      <c r="R684" s="697"/>
      <c r="S684" s="697"/>
      <c r="T684" s="697"/>
      <c r="U684" s="697"/>
      <c r="V684" s="697"/>
      <c r="W684" s="697"/>
      <c r="X684" s="697"/>
      <c r="Y684" s="697"/>
      <c r="Z684" s="697"/>
      <c r="AA684" s="697"/>
      <c r="AB684" s="697"/>
      <c r="AC684" s="697"/>
      <c r="AD684" s="697"/>
      <c r="AE684" s="697"/>
      <c r="AF684" s="697"/>
      <c r="AG684" s="697"/>
      <c r="AH684" s="697"/>
      <c r="AI684" s="697"/>
      <c r="AJ684" s="697"/>
      <c r="AK684" s="697"/>
      <c r="AL684" s="697"/>
      <c r="AM684" s="697"/>
      <c r="AN684" s="697"/>
      <c r="AO684" s="697"/>
      <c r="AP684" s="697"/>
      <c r="AQ684" s="697"/>
      <c r="AR684" s="697"/>
      <c r="AS684" s="697"/>
      <c r="AT684" s="697"/>
      <c r="AU684" s="697"/>
      <c r="AV684" s="697"/>
      <c r="AW684" s="697"/>
      <c r="AX684" s="697"/>
      <c r="AY684" s="697"/>
      <c r="AZ684" s="697"/>
      <c r="BA684" s="697"/>
      <c r="BB684" s="697"/>
      <c r="BC684" s="697"/>
      <c r="BD684" s="697"/>
      <c r="BE684" s="697"/>
      <c r="BF684" s="697"/>
      <c r="BG684" s="697"/>
      <c r="BH684" s="697"/>
      <c r="BI684" s="697"/>
      <c r="BJ684" s="697"/>
      <c r="BK684" s="697"/>
      <c r="BL684" s="697"/>
      <c r="BM684" s="697"/>
      <c r="BN684" s="697"/>
      <c r="BO684" s="697"/>
      <c r="BP684" s="697"/>
      <c r="BQ684" s="697"/>
      <c r="BR684" s="697"/>
      <c r="BS684" s="697"/>
      <c r="BT684" s="697"/>
      <c r="BU684" s="697"/>
      <c r="BV684" s="697"/>
      <c r="BW684" s="697"/>
      <c r="BX684" s="697"/>
      <c r="BY684" s="697"/>
      <c r="BZ684" s="697"/>
      <c r="CA684" s="697"/>
      <c r="CB684" s="697"/>
      <c r="CC684" s="697"/>
      <c r="CD684" s="697"/>
      <c r="CE684" s="697"/>
      <c r="CF684" s="697"/>
      <c r="CG684" s="697"/>
      <c r="CH684" s="697"/>
      <c r="CI684" s="697"/>
      <c r="CJ684" s="697"/>
      <c r="CK684" s="697"/>
      <c r="CL684" s="697"/>
      <c r="CM684" s="697"/>
      <c r="CN684" s="697"/>
      <c r="CO684" s="697"/>
      <c r="CP684" s="697"/>
      <c r="CQ684" s="697"/>
      <c r="CR684" s="697"/>
      <c r="CS684" s="697"/>
      <c r="CT684" s="697"/>
      <c r="CU684" s="697"/>
      <c r="CV684" s="697"/>
      <c r="CW684" s="697"/>
      <c r="CX684" s="697"/>
      <c r="CY684" s="697"/>
      <c r="CZ684" s="697"/>
      <c r="DA684" s="697"/>
    </row>
    <row r="685" spans="1:105" x14ac:dyDescent="0.2">
      <c r="A685" s="709">
        <f t="shared" si="122"/>
        <v>41275</v>
      </c>
      <c r="B685" s="709" t="str">
        <f t="shared" si="123"/>
        <v>1Q13</v>
      </c>
      <c r="C685" s="709" t="str">
        <f t="shared" si="124"/>
        <v>1Q13</v>
      </c>
      <c r="D685" s="710">
        <f t="shared" si="137"/>
        <v>41345</v>
      </c>
      <c r="E685" s="710">
        <f t="shared" si="137"/>
        <v>41285</v>
      </c>
      <c r="F685" s="712">
        <v>93.38</v>
      </c>
      <c r="G685" s="713">
        <f t="shared" si="125"/>
        <v>1.4900000000000011</v>
      </c>
      <c r="H685" s="713">
        <f t="shared" si="126"/>
        <v>1.4900000000000011</v>
      </c>
      <c r="I685" s="697"/>
      <c r="J685" s="697"/>
      <c r="K685" s="697"/>
      <c r="L685" s="697"/>
      <c r="M685" s="697"/>
      <c r="N685" s="697"/>
      <c r="O685" s="697"/>
      <c r="P685" s="697"/>
      <c r="Q685" s="697"/>
      <c r="R685" s="697"/>
      <c r="S685" s="697"/>
      <c r="T685" s="697"/>
      <c r="U685" s="697"/>
      <c r="V685" s="697"/>
      <c r="W685" s="697"/>
      <c r="X685" s="697"/>
      <c r="Y685" s="697"/>
      <c r="Z685" s="697"/>
      <c r="AA685" s="697"/>
      <c r="AB685" s="697"/>
      <c r="AC685" s="697"/>
      <c r="AD685" s="697"/>
      <c r="AE685" s="697"/>
      <c r="AF685" s="697"/>
      <c r="AG685" s="697"/>
      <c r="AH685" s="697"/>
      <c r="AI685" s="697"/>
      <c r="AJ685" s="697"/>
      <c r="AK685" s="697"/>
      <c r="AL685" s="697"/>
      <c r="AM685" s="697"/>
      <c r="AN685" s="697"/>
      <c r="AO685" s="697"/>
      <c r="AP685" s="697"/>
      <c r="AQ685" s="697"/>
      <c r="AR685" s="697"/>
      <c r="AS685" s="697"/>
      <c r="AT685" s="697"/>
      <c r="AU685" s="697"/>
      <c r="AV685" s="697"/>
      <c r="AW685" s="697"/>
      <c r="AX685" s="697"/>
      <c r="AY685" s="697"/>
      <c r="AZ685" s="697"/>
      <c r="BA685" s="697"/>
      <c r="BB685" s="697"/>
      <c r="BC685" s="697"/>
      <c r="BD685" s="697"/>
      <c r="BE685" s="697"/>
      <c r="BF685" s="697"/>
      <c r="BG685" s="697"/>
      <c r="BH685" s="697"/>
      <c r="BI685" s="697"/>
      <c r="BJ685" s="697"/>
      <c r="BK685" s="697"/>
      <c r="BL685" s="697"/>
      <c r="BM685" s="697"/>
      <c r="BN685" s="697"/>
      <c r="BO685" s="697"/>
      <c r="BP685" s="697"/>
      <c r="BQ685" s="697"/>
      <c r="BR685" s="697"/>
      <c r="BS685" s="697"/>
      <c r="BT685" s="697"/>
      <c r="BU685" s="697"/>
      <c r="BV685" s="697"/>
      <c r="BW685" s="697"/>
      <c r="BX685" s="697"/>
      <c r="BY685" s="697"/>
      <c r="BZ685" s="697"/>
      <c r="CA685" s="697"/>
      <c r="CB685" s="697"/>
      <c r="CC685" s="697"/>
      <c r="CD685" s="697"/>
      <c r="CE685" s="697"/>
      <c r="CF685" s="697"/>
      <c r="CG685" s="697"/>
      <c r="CH685" s="697"/>
      <c r="CI685" s="697"/>
      <c r="CJ685" s="697"/>
      <c r="CK685" s="697"/>
      <c r="CL685" s="697"/>
      <c r="CM685" s="697"/>
      <c r="CN685" s="697"/>
      <c r="CO685" s="697"/>
      <c r="CP685" s="697"/>
      <c r="CQ685" s="697"/>
      <c r="CR685" s="697"/>
      <c r="CS685" s="697"/>
      <c r="CT685" s="697"/>
      <c r="CU685" s="697"/>
      <c r="CV685" s="697"/>
      <c r="CW685" s="697"/>
      <c r="CX685" s="697"/>
      <c r="CY685" s="697"/>
      <c r="CZ685" s="697"/>
      <c r="DA685" s="697"/>
    </row>
    <row r="686" spans="1:105" x14ac:dyDescent="0.2">
      <c r="A686" s="709">
        <f t="shared" si="122"/>
        <v>41275</v>
      </c>
      <c r="B686" s="709" t="str">
        <f t="shared" si="123"/>
        <v>1Q13</v>
      </c>
      <c r="C686" s="709" t="str">
        <f t="shared" si="124"/>
        <v>1Q13</v>
      </c>
      <c r="D686" s="710">
        <f t="shared" si="137"/>
        <v>41352</v>
      </c>
      <c r="E686" s="710">
        <f t="shared" si="137"/>
        <v>41292</v>
      </c>
      <c r="F686" s="712">
        <v>94.58</v>
      </c>
      <c r="G686" s="713">
        <f t="shared" si="125"/>
        <v>1.4900000000000011</v>
      </c>
      <c r="H686" s="713">
        <f t="shared" si="126"/>
        <v>1.4900000000000011</v>
      </c>
      <c r="I686" s="697"/>
      <c r="J686" s="697"/>
      <c r="K686" s="697"/>
      <c r="L686" s="697"/>
      <c r="M686" s="697"/>
      <c r="N686" s="697"/>
      <c r="O686" s="697"/>
      <c r="P686" s="697"/>
      <c r="Q686" s="697"/>
      <c r="R686" s="697"/>
      <c r="S686" s="697"/>
      <c r="T686" s="697"/>
      <c r="U686" s="697"/>
      <c r="V686" s="697"/>
      <c r="W686" s="697"/>
      <c r="X686" s="697"/>
      <c r="Y686" s="697"/>
      <c r="Z686" s="697"/>
      <c r="AA686" s="697"/>
      <c r="AB686" s="697"/>
      <c r="AC686" s="697"/>
      <c r="AD686" s="697"/>
      <c r="AE686" s="697"/>
      <c r="AF686" s="697"/>
      <c r="AG686" s="697"/>
      <c r="AH686" s="697"/>
      <c r="AI686" s="697"/>
      <c r="AJ686" s="697"/>
      <c r="AK686" s="697"/>
      <c r="AL686" s="697"/>
      <c r="AM686" s="697"/>
      <c r="AN686" s="697"/>
      <c r="AO686" s="697"/>
      <c r="AP686" s="697"/>
      <c r="AQ686" s="697"/>
      <c r="AR686" s="697"/>
      <c r="AS686" s="697"/>
      <c r="AT686" s="697"/>
      <c r="AU686" s="697"/>
      <c r="AV686" s="697"/>
      <c r="AW686" s="697"/>
      <c r="AX686" s="697"/>
      <c r="AY686" s="697"/>
      <c r="AZ686" s="697"/>
      <c r="BA686" s="697"/>
      <c r="BB686" s="697"/>
      <c r="BC686" s="697"/>
      <c r="BD686" s="697"/>
      <c r="BE686" s="697"/>
      <c r="BF686" s="697"/>
      <c r="BG686" s="697"/>
      <c r="BH686" s="697"/>
      <c r="BI686" s="697"/>
      <c r="BJ686" s="697"/>
      <c r="BK686" s="697"/>
      <c r="BL686" s="697"/>
      <c r="BM686" s="697"/>
      <c r="BN686" s="697"/>
      <c r="BO686" s="697"/>
      <c r="BP686" s="697"/>
      <c r="BQ686" s="697"/>
      <c r="BR686" s="697"/>
      <c r="BS686" s="697"/>
      <c r="BT686" s="697"/>
      <c r="BU686" s="697"/>
      <c r="BV686" s="697"/>
      <c r="BW686" s="697"/>
      <c r="BX686" s="697"/>
      <c r="BY686" s="697"/>
      <c r="BZ686" s="697"/>
      <c r="CA686" s="697"/>
      <c r="CB686" s="697"/>
      <c r="CC686" s="697"/>
      <c r="CD686" s="697"/>
      <c r="CE686" s="697"/>
      <c r="CF686" s="697"/>
      <c r="CG686" s="697"/>
      <c r="CH686" s="697"/>
      <c r="CI686" s="697"/>
      <c r="CJ686" s="697"/>
      <c r="CK686" s="697"/>
      <c r="CL686" s="697"/>
      <c r="CM686" s="697"/>
      <c r="CN686" s="697"/>
      <c r="CO686" s="697"/>
      <c r="CP686" s="697"/>
      <c r="CQ686" s="697"/>
      <c r="CR686" s="697"/>
      <c r="CS686" s="697"/>
      <c r="CT686" s="697"/>
      <c r="CU686" s="697"/>
      <c r="CV686" s="697"/>
      <c r="CW686" s="697"/>
      <c r="CX686" s="697"/>
      <c r="CY686" s="697"/>
      <c r="CZ686" s="697"/>
      <c r="DA686" s="697"/>
    </row>
    <row r="687" spans="1:105" x14ac:dyDescent="0.2">
      <c r="A687" s="709">
        <f t="shared" si="122"/>
        <v>41275</v>
      </c>
      <c r="B687" s="709" t="str">
        <f t="shared" si="123"/>
        <v>1Q13</v>
      </c>
      <c r="C687" s="709" t="str">
        <f t="shared" si="124"/>
        <v>1Q13</v>
      </c>
      <c r="D687" s="710">
        <f t="shared" si="137"/>
        <v>41359</v>
      </c>
      <c r="E687" s="710">
        <f t="shared" si="137"/>
        <v>41299</v>
      </c>
      <c r="F687" s="712">
        <v>95.41</v>
      </c>
      <c r="G687" s="713">
        <f t="shared" si="125"/>
        <v>1.4900000000000011</v>
      </c>
      <c r="H687" s="713">
        <f t="shared" si="126"/>
        <v>1.4900000000000011</v>
      </c>
      <c r="I687" s="697"/>
      <c r="J687" s="697"/>
      <c r="K687" s="697"/>
      <c r="L687" s="697"/>
      <c r="M687" s="697"/>
      <c r="N687" s="697"/>
      <c r="O687" s="697"/>
      <c r="P687" s="697"/>
      <c r="Q687" s="697"/>
      <c r="R687" s="697"/>
      <c r="S687" s="697"/>
      <c r="T687" s="697"/>
      <c r="U687" s="697"/>
      <c r="V687" s="697"/>
      <c r="W687" s="697"/>
      <c r="X687" s="697"/>
      <c r="Y687" s="697"/>
      <c r="Z687" s="697"/>
      <c r="AA687" s="697"/>
      <c r="AB687" s="697"/>
      <c r="AC687" s="697"/>
      <c r="AD687" s="697"/>
      <c r="AE687" s="697"/>
      <c r="AF687" s="697"/>
      <c r="AG687" s="697"/>
      <c r="AH687" s="697"/>
      <c r="AI687" s="697"/>
      <c r="AJ687" s="697"/>
      <c r="AK687" s="697"/>
      <c r="AL687" s="697"/>
      <c r="AM687" s="697"/>
      <c r="AN687" s="697"/>
      <c r="AO687" s="697"/>
      <c r="AP687" s="697"/>
      <c r="AQ687" s="697"/>
      <c r="AR687" s="697"/>
      <c r="AS687" s="697"/>
      <c r="AT687" s="697"/>
      <c r="AU687" s="697"/>
      <c r="AV687" s="697"/>
      <c r="AW687" s="697"/>
      <c r="AX687" s="697"/>
      <c r="AY687" s="697"/>
      <c r="AZ687" s="697"/>
      <c r="BA687" s="697"/>
      <c r="BB687" s="697"/>
      <c r="BC687" s="697"/>
      <c r="BD687" s="697"/>
      <c r="BE687" s="697"/>
      <c r="BF687" s="697"/>
      <c r="BG687" s="697"/>
      <c r="BH687" s="697"/>
      <c r="BI687" s="697"/>
      <c r="BJ687" s="697"/>
      <c r="BK687" s="697"/>
      <c r="BL687" s="697"/>
      <c r="BM687" s="697"/>
      <c r="BN687" s="697"/>
      <c r="BO687" s="697"/>
      <c r="BP687" s="697"/>
      <c r="BQ687" s="697"/>
      <c r="BR687" s="697"/>
      <c r="BS687" s="697"/>
      <c r="BT687" s="697"/>
      <c r="BU687" s="697"/>
      <c r="BV687" s="697"/>
      <c r="BW687" s="697"/>
      <c r="BX687" s="697"/>
      <c r="BY687" s="697"/>
      <c r="BZ687" s="697"/>
      <c r="CA687" s="697"/>
      <c r="CB687" s="697"/>
      <c r="CC687" s="697"/>
      <c r="CD687" s="697"/>
      <c r="CE687" s="697"/>
      <c r="CF687" s="697"/>
      <c r="CG687" s="697"/>
      <c r="CH687" s="697"/>
      <c r="CI687" s="697"/>
      <c r="CJ687" s="697"/>
      <c r="CK687" s="697"/>
      <c r="CL687" s="697"/>
      <c r="CM687" s="697"/>
      <c r="CN687" s="697"/>
      <c r="CO687" s="697"/>
      <c r="CP687" s="697"/>
      <c r="CQ687" s="697"/>
      <c r="CR687" s="697"/>
      <c r="CS687" s="697"/>
      <c r="CT687" s="697"/>
      <c r="CU687" s="697"/>
      <c r="CV687" s="697"/>
      <c r="CW687" s="697"/>
      <c r="CX687" s="697"/>
      <c r="CY687" s="697"/>
      <c r="CZ687" s="697"/>
      <c r="DA687" s="697"/>
    </row>
    <row r="688" spans="1:105" x14ac:dyDescent="0.2">
      <c r="A688" s="709">
        <f t="shared" si="122"/>
        <v>41306</v>
      </c>
      <c r="B688" s="709" t="str">
        <f t="shared" si="123"/>
        <v>1Q13</v>
      </c>
      <c r="C688" s="709" t="str">
        <f t="shared" si="124"/>
        <v>2Q13</v>
      </c>
      <c r="D688" s="710">
        <f t="shared" si="137"/>
        <v>41366</v>
      </c>
      <c r="E688" s="710">
        <f t="shared" si="137"/>
        <v>41306</v>
      </c>
      <c r="F688" s="712">
        <v>97.33</v>
      </c>
      <c r="G688" s="713">
        <f t="shared" si="125"/>
        <v>1.4900000000000011</v>
      </c>
      <c r="H688" s="713">
        <f t="shared" si="126"/>
        <v>1.4900000000000011</v>
      </c>
      <c r="I688" s="697"/>
      <c r="J688" s="697"/>
      <c r="K688" s="697"/>
      <c r="L688" s="697"/>
      <c r="M688" s="697"/>
      <c r="N688" s="697"/>
      <c r="O688" s="697"/>
      <c r="P688" s="697"/>
      <c r="Q688" s="697"/>
      <c r="R688" s="697"/>
      <c r="S688" s="697"/>
      <c r="T688" s="697"/>
      <c r="U688" s="697"/>
      <c r="V688" s="697"/>
      <c r="W688" s="697"/>
      <c r="X688" s="697"/>
      <c r="Y688" s="697"/>
      <c r="Z688" s="697"/>
      <c r="AA688" s="697"/>
      <c r="AB688" s="697"/>
      <c r="AC688" s="697"/>
      <c r="AD688" s="697"/>
      <c r="AE688" s="697"/>
      <c r="AF688" s="697"/>
      <c r="AG688" s="697"/>
      <c r="AH688" s="697"/>
      <c r="AI688" s="697"/>
      <c r="AJ688" s="697"/>
      <c r="AK688" s="697"/>
      <c r="AL688" s="697"/>
      <c r="AM688" s="697"/>
      <c r="AN688" s="697"/>
      <c r="AO688" s="697"/>
      <c r="AP688" s="697"/>
      <c r="AQ688" s="697"/>
      <c r="AR688" s="697"/>
      <c r="AS688" s="697"/>
      <c r="AT688" s="697"/>
      <c r="AU688" s="697"/>
      <c r="AV688" s="697"/>
      <c r="AW688" s="697"/>
      <c r="AX688" s="697"/>
      <c r="AY688" s="697"/>
      <c r="AZ688" s="697"/>
      <c r="BA688" s="697"/>
      <c r="BB688" s="697"/>
      <c r="BC688" s="697"/>
      <c r="BD688" s="697"/>
      <c r="BE688" s="697"/>
      <c r="BF688" s="697"/>
      <c r="BG688" s="697"/>
      <c r="BH688" s="697"/>
      <c r="BI688" s="697"/>
      <c r="BJ688" s="697"/>
      <c r="BK688" s="697"/>
      <c r="BL688" s="697"/>
      <c r="BM688" s="697"/>
      <c r="BN688" s="697"/>
      <c r="BO688" s="697"/>
      <c r="BP688" s="697"/>
      <c r="BQ688" s="697"/>
      <c r="BR688" s="697"/>
      <c r="BS688" s="697"/>
      <c r="BT688" s="697"/>
      <c r="BU688" s="697"/>
      <c r="BV688" s="697"/>
      <c r="BW688" s="697"/>
      <c r="BX688" s="697"/>
      <c r="BY688" s="697"/>
      <c r="BZ688" s="697"/>
      <c r="CA688" s="697"/>
      <c r="CB688" s="697"/>
      <c r="CC688" s="697"/>
      <c r="CD688" s="697"/>
      <c r="CE688" s="697"/>
      <c r="CF688" s="697"/>
      <c r="CG688" s="697"/>
      <c r="CH688" s="697"/>
      <c r="CI688" s="697"/>
      <c r="CJ688" s="697"/>
      <c r="CK688" s="697"/>
      <c r="CL688" s="697"/>
      <c r="CM688" s="697"/>
      <c r="CN688" s="697"/>
      <c r="CO688" s="697"/>
      <c r="CP688" s="697"/>
      <c r="CQ688" s="697"/>
      <c r="CR688" s="697"/>
      <c r="CS688" s="697"/>
      <c r="CT688" s="697"/>
      <c r="CU688" s="697"/>
      <c r="CV688" s="697"/>
      <c r="CW688" s="697"/>
      <c r="CX688" s="697"/>
      <c r="CY688" s="697"/>
      <c r="CZ688" s="697"/>
      <c r="DA688" s="697"/>
    </row>
    <row r="689" spans="1:105" x14ac:dyDescent="0.2">
      <c r="A689" s="709">
        <f t="shared" si="122"/>
        <v>41306</v>
      </c>
      <c r="B689" s="709" t="str">
        <f t="shared" si="123"/>
        <v>1Q13</v>
      </c>
      <c r="C689" s="709" t="str">
        <f t="shared" si="124"/>
        <v>2Q13</v>
      </c>
      <c r="D689" s="710">
        <f t="shared" si="137"/>
        <v>41373</v>
      </c>
      <c r="E689" s="710">
        <f t="shared" si="137"/>
        <v>41313</v>
      </c>
      <c r="F689" s="712">
        <v>96.18</v>
      </c>
      <c r="G689" s="713">
        <f t="shared" si="125"/>
        <v>1.4900000000000011</v>
      </c>
      <c r="H689" s="713">
        <f t="shared" si="126"/>
        <v>1.4900000000000011</v>
      </c>
      <c r="I689" s="697"/>
      <c r="J689" s="697"/>
      <c r="K689" s="697"/>
      <c r="L689" s="697"/>
      <c r="M689" s="697"/>
      <c r="N689" s="697"/>
      <c r="O689" s="697"/>
      <c r="P689" s="697"/>
      <c r="Q689" s="697"/>
      <c r="R689" s="697"/>
      <c r="S689" s="697"/>
      <c r="T689" s="697"/>
      <c r="U689" s="697"/>
      <c r="V689" s="697"/>
      <c r="W689" s="697"/>
      <c r="X689" s="697"/>
      <c r="Y689" s="697"/>
      <c r="Z689" s="697"/>
      <c r="AA689" s="697"/>
      <c r="AB689" s="697"/>
      <c r="AC689" s="697"/>
      <c r="AD689" s="697"/>
      <c r="AE689" s="697"/>
      <c r="AF689" s="697"/>
      <c r="AG689" s="697"/>
      <c r="AH689" s="697"/>
      <c r="AI689" s="697"/>
      <c r="AJ689" s="697"/>
      <c r="AK689" s="697"/>
      <c r="AL689" s="697"/>
      <c r="AM689" s="697"/>
      <c r="AN689" s="697"/>
      <c r="AO689" s="697"/>
      <c r="AP689" s="697"/>
      <c r="AQ689" s="697"/>
      <c r="AR689" s="697"/>
      <c r="AS689" s="697"/>
      <c r="AT689" s="697"/>
      <c r="AU689" s="697"/>
      <c r="AV689" s="697"/>
      <c r="AW689" s="697"/>
      <c r="AX689" s="697"/>
      <c r="AY689" s="697"/>
      <c r="AZ689" s="697"/>
      <c r="BA689" s="697"/>
      <c r="BB689" s="697"/>
      <c r="BC689" s="697"/>
      <c r="BD689" s="697"/>
      <c r="BE689" s="697"/>
      <c r="BF689" s="697"/>
      <c r="BG689" s="697"/>
      <c r="BH689" s="697"/>
      <c r="BI689" s="697"/>
      <c r="BJ689" s="697"/>
      <c r="BK689" s="697"/>
      <c r="BL689" s="697"/>
      <c r="BM689" s="697"/>
      <c r="BN689" s="697"/>
      <c r="BO689" s="697"/>
      <c r="BP689" s="697"/>
      <c r="BQ689" s="697"/>
      <c r="BR689" s="697"/>
      <c r="BS689" s="697"/>
      <c r="BT689" s="697"/>
      <c r="BU689" s="697"/>
      <c r="BV689" s="697"/>
      <c r="BW689" s="697"/>
      <c r="BX689" s="697"/>
      <c r="BY689" s="697"/>
      <c r="BZ689" s="697"/>
      <c r="CA689" s="697"/>
      <c r="CB689" s="697"/>
      <c r="CC689" s="697"/>
      <c r="CD689" s="697"/>
      <c r="CE689" s="697"/>
      <c r="CF689" s="697"/>
      <c r="CG689" s="697"/>
      <c r="CH689" s="697"/>
      <c r="CI689" s="697"/>
      <c r="CJ689" s="697"/>
      <c r="CK689" s="697"/>
      <c r="CL689" s="697"/>
      <c r="CM689" s="697"/>
      <c r="CN689" s="697"/>
      <c r="CO689" s="697"/>
      <c r="CP689" s="697"/>
      <c r="CQ689" s="697"/>
      <c r="CR689" s="697"/>
      <c r="CS689" s="697"/>
      <c r="CT689" s="697"/>
      <c r="CU689" s="697"/>
      <c r="CV689" s="697"/>
      <c r="CW689" s="697"/>
      <c r="CX689" s="697"/>
      <c r="CY689" s="697"/>
      <c r="CZ689" s="697"/>
      <c r="DA689" s="697"/>
    </row>
    <row r="690" spans="1:105" x14ac:dyDescent="0.2">
      <c r="A690" s="709">
        <f t="shared" si="122"/>
        <v>41306</v>
      </c>
      <c r="B690" s="709" t="str">
        <f t="shared" si="123"/>
        <v>1Q13</v>
      </c>
      <c r="C690" s="709" t="str">
        <f t="shared" si="124"/>
        <v>2Q13</v>
      </c>
      <c r="D690" s="710">
        <f t="shared" si="137"/>
        <v>41380</v>
      </c>
      <c r="E690" s="710">
        <f t="shared" si="137"/>
        <v>41320</v>
      </c>
      <c r="F690" s="712">
        <v>96.95</v>
      </c>
      <c r="G690" s="713">
        <f t="shared" si="125"/>
        <v>1.4900000000000011</v>
      </c>
      <c r="H690" s="713">
        <f t="shared" si="126"/>
        <v>1.4900000000000011</v>
      </c>
      <c r="I690" s="697"/>
      <c r="J690" s="697"/>
      <c r="K690" s="697"/>
      <c r="L690" s="697"/>
      <c r="M690" s="697"/>
      <c r="N690" s="697"/>
      <c r="O690" s="697"/>
      <c r="P690" s="697"/>
      <c r="Q690" s="697"/>
      <c r="R690" s="697"/>
      <c r="S690" s="697"/>
      <c r="T690" s="697"/>
      <c r="U690" s="697"/>
      <c r="V690" s="697"/>
      <c r="W690" s="697"/>
      <c r="X690" s="697"/>
      <c r="Y690" s="697"/>
      <c r="Z690" s="697"/>
      <c r="AA690" s="697"/>
      <c r="AB690" s="697"/>
      <c r="AC690" s="697"/>
      <c r="AD690" s="697"/>
      <c r="AE690" s="697"/>
      <c r="AF690" s="697"/>
      <c r="AG690" s="697"/>
      <c r="AH690" s="697"/>
      <c r="AI690" s="697"/>
      <c r="AJ690" s="697"/>
      <c r="AK690" s="697"/>
      <c r="AL690" s="697"/>
      <c r="AM690" s="697"/>
      <c r="AN690" s="697"/>
      <c r="AO690" s="697"/>
      <c r="AP690" s="697"/>
      <c r="AQ690" s="697"/>
      <c r="AR690" s="697"/>
      <c r="AS690" s="697"/>
      <c r="AT690" s="697"/>
      <c r="AU690" s="697"/>
      <c r="AV690" s="697"/>
      <c r="AW690" s="697"/>
      <c r="AX690" s="697"/>
      <c r="AY690" s="697"/>
      <c r="AZ690" s="697"/>
      <c r="BA690" s="697"/>
      <c r="BB690" s="697"/>
      <c r="BC690" s="697"/>
      <c r="BD690" s="697"/>
      <c r="BE690" s="697"/>
      <c r="BF690" s="697"/>
      <c r="BG690" s="697"/>
      <c r="BH690" s="697"/>
      <c r="BI690" s="697"/>
      <c r="BJ690" s="697"/>
      <c r="BK690" s="697"/>
      <c r="BL690" s="697"/>
      <c r="BM690" s="697"/>
      <c r="BN690" s="697"/>
      <c r="BO690" s="697"/>
      <c r="BP690" s="697"/>
      <c r="BQ690" s="697"/>
      <c r="BR690" s="697"/>
      <c r="BS690" s="697"/>
      <c r="BT690" s="697"/>
      <c r="BU690" s="697"/>
      <c r="BV690" s="697"/>
      <c r="BW690" s="697"/>
      <c r="BX690" s="697"/>
      <c r="BY690" s="697"/>
      <c r="BZ690" s="697"/>
      <c r="CA690" s="697"/>
      <c r="CB690" s="697"/>
      <c r="CC690" s="697"/>
      <c r="CD690" s="697"/>
      <c r="CE690" s="697"/>
      <c r="CF690" s="697"/>
      <c r="CG690" s="697"/>
      <c r="CH690" s="697"/>
      <c r="CI690" s="697"/>
      <c r="CJ690" s="697"/>
      <c r="CK690" s="697"/>
      <c r="CL690" s="697"/>
      <c r="CM690" s="697"/>
      <c r="CN690" s="697"/>
      <c r="CO690" s="697"/>
      <c r="CP690" s="697"/>
      <c r="CQ690" s="697"/>
      <c r="CR690" s="697"/>
      <c r="CS690" s="697"/>
      <c r="CT690" s="697"/>
      <c r="CU690" s="697"/>
      <c r="CV690" s="697"/>
      <c r="CW690" s="697"/>
      <c r="CX690" s="697"/>
      <c r="CY690" s="697"/>
      <c r="CZ690" s="697"/>
      <c r="DA690" s="697"/>
    </row>
    <row r="691" spans="1:105" x14ac:dyDescent="0.2">
      <c r="A691" s="709">
        <f t="shared" si="122"/>
        <v>41306</v>
      </c>
      <c r="B691" s="709" t="str">
        <f t="shared" si="123"/>
        <v>1Q13</v>
      </c>
      <c r="C691" s="709" t="str">
        <f t="shared" si="124"/>
        <v>2Q13</v>
      </c>
      <c r="D691" s="710">
        <f t="shared" si="137"/>
        <v>41387</v>
      </c>
      <c r="E691" s="710">
        <f t="shared" si="137"/>
        <v>41327</v>
      </c>
      <c r="F691" s="712">
        <v>94.38</v>
      </c>
      <c r="G691" s="713">
        <f t="shared" si="125"/>
        <v>1.4900000000000011</v>
      </c>
      <c r="H691" s="713">
        <f t="shared" si="126"/>
        <v>1.4900000000000011</v>
      </c>
      <c r="I691" s="697"/>
      <c r="J691" s="697"/>
      <c r="K691" s="697"/>
      <c r="L691" s="697"/>
      <c r="M691" s="697"/>
      <c r="N691" s="697"/>
      <c r="O691" s="697"/>
      <c r="P691" s="697"/>
      <c r="Q691" s="697"/>
      <c r="R691" s="697"/>
      <c r="S691" s="697"/>
      <c r="T691" s="697"/>
      <c r="U691" s="697"/>
      <c r="V691" s="697"/>
      <c r="W691" s="697"/>
      <c r="X691" s="697"/>
      <c r="Y691" s="697"/>
      <c r="Z691" s="697"/>
      <c r="AA691" s="697"/>
      <c r="AB691" s="697"/>
      <c r="AC691" s="697"/>
      <c r="AD691" s="697"/>
      <c r="AE691" s="697"/>
      <c r="AF691" s="697"/>
      <c r="AG691" s="697"/>
      <c r="AH691" s="697"/>
      <c r="AI691" s="697"/>
      <c r="AJ691" s="697"/>
      <c r="AK691" s="697"/>
      <c r="AL691" s="697"/>
      <c r="AM691" s="697"/>
      <c r="AN691" s="697"/>
      <c r="AO691" s="697"/>
      <c r="AP691" s="697"/>
      <c r="AQ691" s="697"/>
      <c r="AR691" s="697"/>
      <c r="AS691" s="697"/>
      <c r="AT691" s="697"/>
      <c r="AU691" s="697"/>
      <c r="AV691" s="697"/>
      <c r="AW691" s="697"/>
      <c r="AX691" s="697"/>
      <c r="AY691" s="697"/>
      <c r="AZ691" s="697"/>
      <c r="BA691" s="697"/>
      <c r="BB691" s="697"/>
      <c r="BC691" s="697"/>
      <c r="BD691" s="697"/>
      <c r="BE691" s="697"/>
      <c r="BF691" s="697"/>
      <c r="BG691" s="697"/>
      <c r="BH691" s="697"/>
      <c r="BI691" s="697"/>
      <c r="BJ691" s="697"/>
      <c r="BK691" s="697"/>
      <c r="BL691" s="697"/>
      <c r="BM691" s="697"/>
      <c r="BN691" s="697"/>
      <c r="BO691" s="697"/>
      <c r="BP691" s="697"/>
      <c r="BQ691" s="697"/>
      <c r="BR691" s="697"/>
      <c r="BS691" s="697"/>
      <c r="BT691" s="697"/>
      <c r="BU691" s="697"/>
      <c r="BV691" s="697"/>
      <c r="BW691" s="697"/>
      <c r="BX691" s="697"/>
      <c r="BY691" s="697"/>
      <c r="BZ691" s="697"/>
      <c r="CA691" s="697"/>
      <c r="CB691" s="697"/>
      <c r="CC691" s="697"/>
      <c r="CD691" s="697"/>
      <c r="CE691" s="697"/>
      <c r="CF691" s="697"/>
      <c r="CG691" s="697"/>
      <c r="CH691" s="697"/>
      <c r="CI691" s="697"/>
      <c r="CJ691" s="697"/>
      <c r="CK691" s="697"/>
      <c r="CL691" s="697"/>
      <c r="CM691" s="697"/>
      <c r="CN691" s="697"/>
      <c r="CO691" s="697"/>
      <c r="CP691" s="697"/>
      <c r="CQ691" s="697"/>
      <c r="CR691" s="697"/>
      <c r="CS691" s="697"/>
      <c r="CT691" s="697"/>
      <c r="CU691" s="697"/>
      <c r="CV691" s="697"/>
      <c r="CW691" s="697"/>
      <c r="CX691" s="697"/>
      <c r="CY691" s="697"/>
      <c r="CZ691" s="697"/>
      <c r="DA691" s="697"/>
    </row>
    <row r="692" spans="1:105" x14ac:dyDescent="0.2">
      <c r="A692" s="709">
        <f t="shared" si="122"/>
        <v>41334</v>
      </c>
      <c r="B692" s="709" t="str">
        <f t="shared" si="123"/>
        <v>1Q13</v>
      </c>
      <c r="C692" s="709" t="str">
        <f t="shared" si="124"/>
        <v>2Q13</v>
      </c>
      <c r="D692" s="710">
        <f t="shared" si="137"/>
        <v>41394</v>
      </c>
      <c r="E692" s="710">
        <f t="shared" si="137"/>
        <v>41334</v>
      </c>
      <c r="F692" s="712">
        <v>92.19</v>
      </c>
      <c r="G692" s="713">
        <f t="shared" si="125"/>
        <v>1.4900000000000011</v>
      </c>
      <c r="H692" s="713">
        <f t="shared" si="126"/>
        <v>1.4900000000000011</v>
      </c>
      <c r="I692" s="697"/>
      <c r="J692" s="697"/>
      <c r="K692" s="697"/>
      <c r="L692" s="697"/>
      <c r="M692" s="697"/>
      <c r="N692" s="697"/>
      <c r="O692" s="697"/>
      <c r="P692" s="697"/>
      <c r="Q692" s="697"/>
      <c r="R692" s="697"/>
      <c r="S692" s="697"/>
      <c r="T692" s="697"/>
      <c r="U692" s="697"/>
      <c r="V692" s="697"/>
      <c r="W692" s="697"/>
      <c r="X692" s="697"/>
      <c r="Y692" s="697"/>
      <c r="Z692" s="697"/>
      <c r="AA692" s="697"/>
      <c r="AB692" s="697"/>
      <c r="AC692" s="697"/>
      <c r="AD692" s="697"/>
      <c r="AE692" s="697"/>
      <c r="AF692" s="697"/>
      <c r="AG692" s="697"/>
      <c r="AH692" s="697"/>
      <c r="AI692" s="697"/>
      <c r="AJ692" s="697"/>
      <c r="AK692" s="697"/>
      <c r="AL692" s="697"/>
      <c r="AM692" s="697"/>
      <c r="AN692" s="697"/>
      <c r="AO692" s="697"/>
      <c r="AP692" s="697"/>
      <c r="AQ692" s="697"/>
      <c r="AR692" s="697"/>
      <c r="AS692" s="697"/>
      <c r="AT692" s="697"/>
      <c r="AU692" s="697"/>
      <c r="AV692" s="697"/>
      <c r="AW692" s="697"/>
      <c r="AX692" s="697"/>
      <c r="AY692" s="697"/>
      <c r="AZ692" s="697"/>
      <c r="BA692" s="697"/>
      <c r="BB692" s="697"/>
      <c r="BC692" s="697"/>
      <c r="BD692" s="697"/>
      <c r="BE692" s="697"/>
      <c r="BF692" s="697"/>
      <c r="BG692" s="697"/>
      <c r="BH692" s="697"/>
      <c r="BI692" s="697"/>
      <c r="BJ692" s="697"/>
      <c r="BK692" s="697"/>
      <c r="BL692" s="697"/>
      <c r="BM692" s="697"/>
      <c r="BN692" s="697"/>
      <c r="BO692" s="697"/>
      <c r="BP692" s="697"/>
      <c r="BQ692" s="697"/>
      <c r="BR692" s="697"/>
      <c r="BS692" s="697"/>
      <c r="BT692" s="697"/>
      <c r="BU692" s="697"/>
      <c r="BV692" s="697"/>
      <c r="BW692" s="697"/>
      <c r="BX692" s="697"/>
      <c r="BY692" s="697"/>
      <c r="BZ692" s="697"/>
      <c r="CA692" s="697"/>
      <c r="CB692" s="697"/>
      <c r="CC692" s="697"/>
      <c r="CD692" s="697"/>
      <c r="CE692" s="697"/>
      <c r="CF692" s="697"/>
      <c r="CG692" s="697"/>
      <c r="CH692" s="697"/>
      <c r="CI692" s="697"/>
      <c r="CJ692" s="697"/>
      <c r="CK692" s="697"/>
      <c r="CL692" s="697"/>
      <c r="CM692" s="697"/>
      <c r="CN692" s="697"/>
      <c r="CO692" s="697"/>
      <c r="CP692" s="697"/>
      <c r="CQ692" s="697"/>
      <c r="CR692" s="697"/>
      <c r="CS692" s="697"/>
      <c r="CT692" s="697"/>
      <c r="CU692" s="697"/>
      <c r="CV692" s="697"/>
      <c r="CW692" s="697"/>
      <c r="CX692" s="697"/>
      <c r="CY692" s="697"/>
      <c r="CZ692" s="697"/>
      <c r="DA692" s="697"/>
    </row>
    <row r="693" spans="1:105" x14ac:dyDescent="0.2">
      <c r="A693" s="709">
        <f t="shared" si="122"/>
        <v>41334</v>
      </c>
      <c r="B693" s="709" t="str">
        <f t="shared" si="123"/>
        <v>1Q13</v>
      </c>
      <c r="C693" s="709" t="str">
        <f t="shared" si="124"/>
        <v>2Q13</v>
      </c>
      <c r="D693" s="710">
        <f t="shared" ref="D693:E708" si="138">D692+7</f>
        <v>41401</v>
      </c>
      <c r="E693" s="710">
        <f t="shared" si="138"/>
        <v>41341</v>
      </c>
      <c r="F693" s="712">
        <v>91</v>
      </c>
      <c r="G693" s="713">
        <f t="shared" si="125"/>
        <v>1.4900000000000011</v>
      </c>
      <c r="H693" s="713">
        <f t="shared" si="126"/>
        <v>1.4900000000000011</v>
      </c>
      <c r="I693" s="697"/>
      <c r="J693" s="697"/>
      <c r="K693" s="697"/>
      <c r="L693" s="697"/>
      <c r="M693" s="697"/>
      <c r="N693" s="697"/>
      <c r="O693" s="697"/>
      <c r="P693" s="697"/>
      <c r="Q693" s="697"/>
      <c r="R693" s="697"/>
      <c r="S693" s="697"/>
      <c r="T693" s="697"/>
      <c r="U693" s="697"/>
      <c r="V693" s="697"/>
      <c r="W693" s="697"/>
      <c r="X693" s="697"/>
      <c r="Y693" s="697"/>
      <c r="Z693" s="697"/>
      <c r="AA693" s="697"/>
      <c r="AB693" s="697"/>
      <c r="AC693" s="697"/>
      <c r="AD693" s="697"/>
      <c r="AE693" s="697"/>
      <c r="AF693" s="697"/>
      <c r="AG693" s="697"/>
      <c r="AH693" s="697"/>
      <c r="AI693" s="697"/>
      <c r="AJ693" s="697"/>
      <c r="AK693" s="697"/>
      <c r="AL693" s="697"/>
      <c r="AM693" s="697"/>
      <c r="AN693" s="697"/>
      <c r="AO693" s="697"/>
      <c r="AP693" s="697"/>
      <c r="AQ693" s="697"/>
      <c r="AR693" s="697"/>
      <c r="AS693" s="697"/>
      <c r="AT693" s="697"/>
      <c r="AU693" s="697"/>
      <c r="AV693" s="697"/>
      <c r="AW693" s="697"/>
      <c r="AX693" s="697"/>
      <c r="AY693" s="697"/>
      <c r="AZ693" s="697"/>
      <c r="BA693" s="697"/>
      <c r="BB693" s="697"/>
      <c r="BC693" s="697"/>
      <c r="BD693" s="697"/>
      <c r="BE693" s="697"/>
      <c r="BF693" s="697"/>
      <c r="BG693" s="697"/>
      <c r="BH693" s="697"/>
      <c r="BI693" s="697"/>
      <c r="BJ693" s="697"/>
      <c r="BK693" s="697"/>
      <c r="BL693" s="697"/>
      <c r="BM693" s="697"/>
      <c r="BN693" s="697"/>
      <c r="BO693" s="697"/>
      <c r="BP693" s="697"/>
      <c r="BQ693" s="697"/>
      <c r="BR693" s="697"/>
      <c r="BS693" s="697"/>
      <c r="BT693" s="697"/>
      <c r="BU693" s="697"/>
      <c r="BV693" s="697"/>
      <c r="BW693" s="697"/>
      <c r="BX693" s="697"/>
      <c r="BY693" s="697"/>
      <c r="BZ693" s="697"/>
      <c r="CA693" s="697"/>
      <c r="CB693" s="697"/>
      <c r="CC693" s="697"/>
      <c r="CD693" s="697"/>
      <c r="CE693" s="697"/>
      <c r="CF693" s="697"/>
      <c r="CG693" s="697"/>
      <c r="CH693" s="697"/>
      <c r="CI693" s="697"/>
      <c r="CJ693" s="697"/>
      <c r="CK693" s="697"/>
      <c r="CL693" s="697"/>
      <c r="CM693" s="697"/>
      <c r="CN693" s="697"/>
      <c r="CO693" s="697"/>
      <c r="CP693" s="697"/>
      <c r="CQ693" s="697"/>
      <c r="CR693" s="697"/>
      <c r="CS693" s="697"/>
      <c r="CT693" s="697"/>
      <c r="CU693" s="697"/>
      <c r="CV693" s="697"/>
      <c r="CW693" s="697"/>
      <c r="CX693" s="697"/>
      <c r="CY693" s="697"/>
      <c r="CZ693" s="697"/>
      <c r="DA693" s="697"/>
    </row>
    <row r="694" spans="1:105" x14ac:dyDescent="0.2">
      <c r="A694" s="709">
        <f t="shared" si="122"/>
        <v>41334</v>
      </c>
      <c r="B694" s="709" t="str">
        <f t="shared" si="123"/>
        <v>1Q13</v>
      </c>
      <c r="C694" s="709" t="str">
        <f t="shared" si="124"/>
        <v>2Q13</v>
      </c>
      <c r="D694" s="710">
        <f t="shared" si="138"/>
        <v>41408</v>
      </c>
      <c r="E694" s="710">
        <f t="shared" si="138"/>
        <v>41348</v>
      </c>
      <c r="F694" s="712">
        <v>92.7</v>
      </c>
      <c r="G694" s="713">
        <f t="shared" si="125"/>
        <v>1.4900000000000011</v>
      </c>
      <c r="H694" s="713">
        <f t="shared" si="126"/>
        <v>1.4900000000000011</v>
      </c>
      <c r="I694" s="697"/>
      <c r="J694" s="697"/>
      <c r="K694" s="697"/>
      <c r="L694" s="697"/>
      <c r="M694" s="697"/>
      <c r="N694" s="697"/>
      <c r="O694" s="697"/>
      <c r="P694" s="697"/>
      <c r="Q694" s="697"/>
      <c r="R694" s="697"/>
      <c r="S694" s="697"/>
      <c r="T694" s="697"/>
      <c r="U694" s="697"/>
      <c r="V694" s="697"/>
      <c r="W694" s="697"/>
      <c r="X694" s="697"/>
      <c r="Y694" s="697"/>
      <c r="Z694" s="697"/>
      <c r="AA694" s="697"/>
      <c r="AB694" s="697"/>
      <c r="AC694" s="697"/>
      <c r="AD694" s="697"/>
      <c r="AE694" s="697"/>
      <c r="AF694" s="697"/>
      <c r="AG694" s="697"/>
      <c r="AH694" s="697"/>
      <c r="AI694" s="697"/>
      <c r="AJ694" s="697"/>
      <c r="AK694" s="697"/>
      <c r="AL694" s="697"/>
      <c r="AM694" s="697"/>
      <c r="AN694" s="697"/>
      <c r="AO694" s="697"/>
      <c r="AP694" s="697"/>
      <c r="AQ694" s="697"/>
      <c r="AR694" s="697"/>
      <c r="AS694" s="697"/>
      <c r="AT694" s="697"/>
      <c r="AU694" s="697"/>
      <c r="AV694" s="697"/>
      <c r="AW694" s="697"/>
      <c r="AX694" s="697"/>
      <c r="AY694" s="697"/>
      <c r="AZ694" s="697"/>
      <c r="BA694" s="697"/>
      <c r="BB694" s="697"/>
      <c r="BC694" s="697"/>
      <c r="BD694" s="697"/>
      <c r="BE694" s="697"/>
      <c r="BF694" s="697"/>
      <c r="BG694" s="697"/>
      <c r="BH694" s="697"/>
      <c r="BI694" s="697"/>
      <c r="BJ694" s="697"/>
      <c r="BK694" s="697"/>
      <c r="BL694" s="697"/>
      <c r="BM694" s="697"/>
      <c r="BN694" s="697"/>
      <c r="BO694" s="697"/>
      <c r="BP694" s="697"/>
      <c r="BQ694" s="697"/>
      <c r="BR694" s="697"/>
      <c r="BS694" s="697"/>
      <c r="BT694" s="697"/>
      <c r="BU694" s="697"/>
      <c r="BV694" s="697"/>
      <c r="BW694" s="697"/>
      <c r="BX694" s="697"/>
      <c r="BY694" s="697"/>
      <c r="BZ694" s="697"/>
      <c r="CA694" s="697"/>
      <c r="CB694" s="697"/>
      <c r="CC694" s="697"/>
      <c r="CD694" s="697"/>
      <c r="CE694" s="697"/>
      <c r="CF694" s="697"/>
      <c r="CG694" s="697"/>
      <c r="CH694" s="697"/>
      <c r="CI694" s="697"/>
      <c r="CJ694" s="697"/>
      <c r="CK694" s="697"/>
      <c r="CL694" s="697"/>
      <c r="CM694" s="697"/>
      <c r="CN694" s="697"/>
      <c r="CO694" s="697"/>
      <c r="CP694" s="697"/>
      <c r="CQ694" s="697"/>
      <c r="CR694" s="697"/>
      <c r="CS694" s="697"/>
      <c r="CT694" s="697"/>
      <c r="CU694" s="697"/>
      <c r="CV694" s="697"/>
      <c r="CW694" s="697"/>
      <c r="CX694" s="697"/>
      <c r="CY694" s="697"/>
      <c r="CZ694" s="697"/>
      <c r="DA694" s="697"/>
    </row>
    <row r="695" spans="1:105" x14ac:dyDescent="0.2">
      <c r="A695" s="709">
        <f t="shared" si="122"/>
        <v>41334</v>
      </c>
      <c r="B695" s="709" t="str">
        <f t="shared" si="123"/>
        <v>1Q13</v>
      </c>
      <c r="C695" s="709" t="str">
        <f t="shared" si="124"/>
        <v>2Q13</v>
      </c>
      <c r="D695" s="710">
        <f t="shared" si="138"/>
        <v>41415</v>
      </c>
      <c r="E695" s="710">
        <f t="shared" si="138"/>
        <v>41355</v>
      </c>
      <c r="F695" s="712">
        <v>93.05</v>
      </c>
      <c r="G695" s="713">
        <f t="shared" si="125"/>
        <v>1.4900000000000011</v>
      </c>
      <c r="H695" s="713">
        <f t="shared" si="126"/>
        <v>1.4900000000000011</v>
      </c>
      <c r="I695" s="697"/>
      <c r="J695" s="697"/>
      <c r="K695" s="697"/>
      <c r="L695" s="697"/>
      <c r="M695" s="697"/>
      <c r="N695" s="697"/>
      <c r="O695" s="697"/>
      <c r="P695" s="697"/>
      <c r="Q695" s="697"/>
      <c r="R695" s="697"/>
      <c r="S695" s="697"/>
      <c r="T695" s="697"/>
      <c r="U695" s="697"/>
      <c r="V695" s="697"/>
      <c r="W695" s="697"/>
      <c r="X695" s="697"/>
      <c r="Y695" s="697"/>
      <c r="Z695" s="697"/>
      <c r="AA695" s="697"/>
      <c r="AB695" s="697"/>
      <c r="AC695" s="697"/>
      <c r="AD695" s="697"/>
      <c r="AE695" s="697"/>
      <c r="AF695" s="697"/>
      <c r="AG695" s="697"/>
      <c r="AH695" s="697"/>
      <c r="AI695" s="697"/>
      <c r="AJ695" s="697"/>
      <c r="AK695" s="697"/>
      <c r="AL695" s="697"/>
      <c r="AM695" s="697"/>
      <c r="AN695" s="697"/>
      <c r="AO695" s="697"/>
      <c r="AP695" s="697"/>
      <c r="AQ695" s="697"/>
      <c r="AR695" s="697"/>
      <c r="AS695" s="697"/>
      <c r="AT695" s="697"/>
      <c r="AU695" s="697"/>
      <c r="AV695" s="697"/>
      <c r="AW695" s="697"/>
      <c r="AX695" s="697"/>
      <c r="AY695" s="697"/>
      <c r="AZ695" s="697"/>
      <c r="BA695" s="697"/>
      <c r="BB695" s="697"/>
      <c r="BC695" s="697"/>
      <c r="BD695" s="697"/>
      <c r="BE695" s="697"/>
      <c r="BF695" s="697"/>
      <c r="BG695" s="697"/>
      <c r="BH695" s="697"/>
      <c r="BI695" s="697"/>
      <c r="BJ695" s="697"/>
      <c r="BK695" s="697"/>
      <c r="BL695" s="697"/>
      <c r="BM695" s="697"/>
      <c r="BN695" s="697"/>
      <c r="BO695" s="697"/>
      <c r="BP695" s="697"/>
      <c r="BQ695" s="697"/>
      <c r="BR695" s="697"/>
      <c r="BS695" s="697"/>
      <c r="BT695" s="697"/>
      <c r="BU695" s="697"/>
      <c r="BV695" s="697"/>
      <c r="BW695" s="697"/>
      <c r="BX695" s="697"/>
      <c r="BY695" s="697"/>
      <c r="BZ695" s="697"/>
      <c r="CA695" s="697"/>
      <c r="CB695" s="697"/>
      <c r="CC695" s="697"/>
      <c r="CD695" s="697"/>
      <c r="CE695" s="697"/>
      <c r="CF695" s="697"/>
      <c r="CG695" s="697"/>
      <c r="CH695" s="697"/>
      <c r="CI695" s="697"/>
      <c r="CJ695" s="697"/>
      <c r="CK695" s="697"/>
      <c r="CL695" s="697"/>
      <c r="CM695" s="697"/>
      <c r="CN695" s="697"/>
      <c r="CO695" s="697"/>
      <c r="CP695" s="697"/>
      <c r="CQ695" s="697"/>
      <c r="CR695" s="697"/>
      <c r="CS695" s="697"/>
      <c r="CT695" s="697"/>
      <c r="CU695" s="697"/>
      <c r="CV695" s="697"/>
      <c r="CW695" s="697"/>
      <c r="CX695" s="697"/>
      <c r="CY695" s="697"/>
      <c r="CZ695" s="697"/>
      <c r="DA695" s="697"/>
    </row>
    <row r="696" spans="1:105" x14ac:dyDescent="0.2">
      <c r="A696" s="709">
        <f t="shared" si="122"/>
        <v>41334</v>
      </c>
      <c r="B696" s="709" t="str">
        <f t="shared" si="123"/>
        <v>1Q13</v>
      </c>
      <c r="C696" s="709" t="str">
        <f t="shared" si="124"/>
        <v>2Q13</v>
      </c>
      <c r="D696" s="710">
        <f t="shared" si="138"/>
        <v>41422</v>
      </c>
      <c r="E696" s="710">
        <f t="shared" si="138"/>
        <v>41362</v>
      </c>
      <c r="F696" s="712">
        <v>96.08</v>
      </c>
      <c r="G696" s="713">
        <f t="shared" si="125"/>
        <v>1.4900000000000011</v>
      </c>
      <c r="H696" s="713">
        <f t="shared" si="126"/>
        <v>1.4900000000000011</v>
      </c>
      <c r="I696" s="697"/>
      <c r="J696" s="697"/>
      <c r="K696" s="697"/>
      <c r="L696" s="697"/>
      <c r="M696" s="697"/>
      <c r="N696" s="697"/>
      <c r="O696" s="697"/>
      <c r="P696" s="697"/>
      <c r="Q696" s="697"/>
      <c r="R696" s="697"/>
      <c r="S696" s="697"/>
      <c r="T696" s="697"/>
      <c r="U696" s="697"/>
      <c r="V696" s="697"/>
      <c r="W696" s="697"/>
      <c r="X696" s="697"/>
      <c r="Y696" s="697"/>
      <c r="Z696" s="697"/>
      <c r="AA696" s="697"/>
      <c r="AB696" s="697"/>
      <c r="AC696" s="697"/>
      <c r="AD696" s="697"/>
      <c r="AE696" s="697"/>
      <c r="AF696" s="697"/>
      <c r="AG696" s="697"/>
      <c r="AH696" s="697"/>
      <c r="AI696" s="697"/>
      <c r="AJ696" s="697"/>
      <c r="AK696" s="697"/>
      <c r="AL696" s="697"/>
      <c r="AM696" s="697"/>
      <c r="AN696" s="697"/>
      <c r="AO696" s="697"/>
      <c r="AP696" s="697"/>
      <c r="AQ696" s="697"/>
      <c r="AR696" s="697"/>
      <c r="AS696" s="697"/>
      <c r="AT696" s="697"/>
      <c r="AU696" s="697"/>
      <c r="AV696" s="697"/>
      <c r="AW696" s="697"/>
      <c r="AX696" s="697"/>
      <c r="AY696" s="697"/>
      <c r="AZ696" s="697"/>
      <c r="BA696" s="697"/>
      <c r="BB696" s="697"/>
      <c r="BC696" s="697"/>
      <c r="BD696" s="697"/>
      <c r="BE696" s="697"/>
      <c r="BF696" s="697"/>
      <c r="BG696" s="697"/>
      <c r="BH696" s="697"/>
      <c r="BI696" s="697"/>
      <c r="BJ696" s="697"/>
      <c r="BK696" s="697"/>
      <c r="BL696" s="697"/>
      <c r="BM696" s="697"/>
      <c r="BN696" s="697"/>
      <c r="BO696" s="697"/>
      <c r="BP696" s="697"/>
      <c r="BQ696" s="697"/>
      <c r="BR696" s="697"/>
      <c r="BS696" s="697"/>
      <c r="BT696" s="697"/>
      <c r="BU696" s="697"/>
      <c r="BV696" s="697"/>
      <c r="BW696" s="697"/>
      <c r="BX696" s="697"/>
      <c r="BY696" s="697"/>
      <c r="BZ696" s="697"/>
      <c r="CA696" s="697"/>
      <c r="CB696" s="697"/>
      <c r="CC696" s="697"/>
      <c r="CD696" s="697"/>
      <c r="CE696" s="697"/>
      <c r="CF696" s="697"/>
      <c r="CG696" s="697"/>
      <c r="CH696" s="697"/>
      <c r="CI696" s="697"/>
      <c r="CJ696" s="697"/>
      <c r="CK696" s="697"/>
      <c r="CL696" s="697"/>
      <c r="CM696" s="697"/>
      <c r="CN696" s="697"/>
      <c r="CO696" s="697"/>
      <c r="CP696" s="697"/>
      <c r="CQ696" s="697"/>
      <c r="CR696" s="697"/>
      <c r="CS696" s="697"/>
      <c r="CT696" s="697"/>
      <c r="CU696" s="697"/>
      <c r="CV696" s="697"/>
      <c r="CW696" s="697"/>
      <c r="CX696" s="697"/>
      <c r="CY696" s="697"/>
      <c r="CZ696" s="697"/>
      <c r="DA696" s="697"/>
    </row>
    <row r="697" spans="1:105" x14ac:dyDescent="0.2">
      <c r="A697" s="709">
        <f t="shared" si="122"/>
        <v>41365</v>
      </c>
      <c r="B697" s="709" t="str">
        <f t="shared" si="123"/>
        <v>2Q13</v>
      </c>
      <c r="C697" s="709" t="str">
        <f t="shared" si="124"/>
        <v>2Q13</v>
      </c>
      <c r="D697" s="710">
        <f t="shared" si="138"/>
        <v>41429</v>
      </c>
      <c r="E697" s="710">
        <f t="shared" si="138"/>
        <v>41369</v>
      </c>
      <c r="F697" s="712">
        <v>95.07</v>
      </c>
      <c r="G697" s="713">
        <f t="shared" si="125"/>
        <v>1.4900000000000011</v>
      </c>
      <c r="H697" s="713">
        <f t="shared" si="126"/>
        <v>1.4900000000000011</v>
      </c>
      <c r="I697" s="697"/>
      <c r="J697" s="697"/>
      <c r="K697" s="697"/>
      <c r="L697" s="697"/>
      <c r="M697" s="697"/>
      <c r="N697" s="697"/>
      <c r="O697" s="697"/>
      <c r="P697" s="697"/>
      <c r="Q697" s="697"/>
      <c r="R697" s="697"/>
      <c r="S697" s="697"/>
      <c r="T697" s="697"/>
      <c r="U697" s="697"/>
      <c r="V697" s="697"/>
      <c r="W697" s="697"/>
      <c r="X697" s="697"/>
      <c r="Y697" s="697"/>
      <c r="Z697" s="697"/>
      <c r="AA697" s="697"/>
      <c r="AB697" s="697"/>
      <c r="AC697" s="697"/>
      <c r="AD697" s="697"/>
      <c r="AE697" s="697"/>
      <c r="AF697" s="697"/>
      <c r="AG697" s="697"/>
      <c r="AH697" s="697"/>
      <c r="AI697" s="697"/>
      <c r="AJ697" s="697"/>
      <c r="AK697" s="697"/>
      <c r="AL697" s="697"/>
      <c r="AM697" s="697"/>
      <c r="AN697" s="697"/>
      <c r="AO697" s="697"/>
      <c r="AP697" s="697"/>
      <c r="AQ697" s="697"/>
      <c r="AR697" s="697"/>
      <c r="AS697" s="697"/>
      <c r="AT697" s="697"/>
      <c r="AU697" s="697"/>
      <c r="AV697" s="697"/>
      <c r="AW697" s="697"/>
      <c r="AX697" s="697"/>
      <c r="AY697" s="697"/>
      <c r="AZ697" s="697"/>
      <c r="BA697" s="697"/>
      <c r="BB697" s="697"/>
      <c r="BC697" s="697"/>
      <c r="BD697" s="697"/>
      <c r="BE697" s="697"/>
      <c r="BF697" s="697"/>
      <c r="BG697" s="697"/>
      <c r="BH697" s="697"/>
      <c r="BI697" s="697"/>
      <c r="BJ697" s="697"/>
      <c r="BK697" s="697"/>
      <c r="BL697" s="697"/>
      <c r="BM697" s="697"/>
      <c r="BN697" s="697"/>
      <c r="BO697" s="697"/>
      <c r="BP697" s="697"/>
      <c r="BQ697" s="697"/>
      <c r="BR697" s="697"/>
      <c r="BS697" s="697"/>
      <c r="BT697" s="697"/>
      <c r="BU697" s="697"/>
      <c r="BV697" s="697"/>
      <c r="BW697" s="697"/>
      <c r="BX697" s="697"/>
      <c r="BY697" s="697"/>
      <c r="BZ697" s="697"/>
      <c r="CA697" s="697"/>
      <c r="CB697" s="697"/>
      <c r="CC697" s="697"/>
      <c r="CD697" s="697"/>
      <c r="CE697" s="697"/>
      <c r="CF697" s="697"/>
      <c r="CG697" s="697"/>
      <c r="CH697" s="697"/>
      <c r="CI697" s="697"/>
      <c r="CJ697" s="697"/>
      <c r="CK697" s="697"/>
      <c r="CL697" s="697"/>
      <c r="CM697" s="697"/>
      <c r="CN697" s="697"/>
      <c r="CO697" s="697"/>
      <c r="CP697" s="697"/>
      <c r="CQ697" s="697"/>
      <c r="CR697" s="697"/>
      <c r="CS697" s="697"/>
      <c r="CT697" s="697"/>
      <c r="CU697" s="697"/>
      <c r="CV697" s="697"/>
      <c r="CW697" s="697"/>
      <c r="CX697" s="697"/>
      <c r="CY697" s="697"/>
      <c r="CZ697" s="697"/>
      <c r="DA697" s="697"/>
    </row>
    <row r="698" spans="1:105" x14ac:dyDescent="0.2">
      <c r="A698" s="709">
        <f t="shared" si="122"/>
        <v>41365</v>
      </c>
      <c r="B698" s="709" t="str">
        <f t="shared" si="123"/>
        <v>2Q13</v>
      </c>
      <c r="C698" s="709" t="str">
        <f t="shared" si="124"/>
        <v>2Q13</v>
      </c>
      <c r="D698" s="710">
        <f t="shared" si="138"/>
        <v>41436</v>
      </c>
      <c r="E698" s="710">
        <f t="shared" si="138"/>
        <v>41376</v>
      </c>
      <c r="F698" s="712">
        <v>93.36</v>
      </c>
      <c r="G698" s="713">
        <f t="shared" si="125"/>
        <v>1.4900000000000011</v>
      </c>
      <c r="H698" s="713">
        <f t="shared" si="126"/>
        <v>1.4900000000000011</v>
      </c>
      <c r="I698" s="697"/>
      <c r="J698" s="697"/>
      <c r="K698" s="697"/>
      <c r="L698" s="697"/>
      <c r="M698" s="697"/>
      <c r="N698" s="697"/>
      <c r="O698" s="697"/>
      <c r="P698" s="697"/>
      <c r="Q698" s="697"/>
      <c r="R698" s="697"/>
      <c r="S698" s="697"/>
      <c r="T698" s="697"/>
      <c r="U698" s="697"/>
      <c r="V698" s="697"/>
      <c r="W698" s="697"/>
      <c r="X698" s="697"/>
      <c r="Y698" s="697"/>
      <c r="Z698" s="697"/>
      <c r="AA698" s="697"/>
      <c r="AB698" s="697"/>
      <c r="AC698" s="697"/>
      <c r="AD698" s="697"/>
      <c r="AE698" s="697"/>
      <c r="AF698" s="697"/>
      <c r="AG698" s="697"/>
      <c r="AH698" s="697"/>
      <c r="AI698" s="697"/>
      <c r="AJ698" s="697"/>
      <c r="AK698" s="697"/>
      <c r="AL698" s="697"/>
      <c r="AM698" s="697"/>
      <c r="AN698" s="697"/>
      <c r="AO698" s="697"/>
      <c r="AP698" s="697"/>
      <c r="AQ698" s="697"/>
      <c r="AR698" s="697"/>
      <c r="AS698" s="697"/>
      <c r="AT698" s="697"/>
      <c r="AU698" s="697"/>
      <c r="AV698" s="697"/>
      <c r="AW698" s="697"/>
      <c r="AX698" s="697"/>
      <c r="AY698" s="697"/>
      <c r="AZ698" s="697"/>
      <c r="BA698" s="697"/>
      <c r="BB698" s="697"/>
      <c r="BC698" s="697"/>
      <c r="BD698" s="697"/>
      <c r="BE698" s="697"/>
      <c r="BF698" s="697"/>
      <c r="BG698" s="697"/>
      <c r="BH698" s="697"/>
      <c r="BI698" s="697"/>
      <c r="BJ698" s="697"/>
      <c r="BK698" s="697"/>
      <c r="BL698" s="697"/>
      <c r="BM698" s="697"/>
      <c r="BN698" s="697"/>
      <c r="BO698" s="697"/>
      <c r="BP698" s="697"/>
      <c r="BQ698" s="697"/>
      <c r="BR698" s="697"/>
      <c r="BS698" s="697"/>
      <c r="BT698" s="697"/>
      <c r="BU698" s="697"/>
      <c r="BV698" s="697"/>
      <c r="BW698" s="697"/>
      <c r="BX698" s="697"/>
      <c r="BY698" s="697"/>
      <c r="BZ698" s="697"/>
      <c r="CA698" s="697"/>
      <c r="CB698" s="697"/>
      <c r="CC698" s="697"/>
      <c r="CD698" s="697"/>
      <c r="CE698" s="697"/>
      <c r="CF698" s="697"/>
      <c r="CG698" s="697"/>
      <c r="CH698" s="697"/>
      <c r="CI698" s="697"/>
      <c r="CJ698" s="697"/>
      <c r="CK698" s="697"/>
      <c r="CL698" s="697"/>
      <c r="CM698" s="697"/>
      <c r="CN698" s="697"/>
      <c r="CO698" s="697"/>
      <c r="CP698" s="697"/>
      <c r="CQ698" s="697"/>
      <c r="CR698" s="697"/>
      <c r="CS698" s="697"/>
      <c r="CT698" s="697"/>
      <c r="CU698" s="697"/>
      <c r="CV698" s="697"/>
      <c r="CW698" s="697"/>
      <c r="CX698" s="697"/>
      <c r="CY698" s="697"/>
      <c r="CZ698" s="697"/>
      <c r="DA698" s="697"/>
    </row>
    <row r="699" spans="1:105" x14ac:dyDescent="0.2">
      <c r="A699" s="709">
        <f t="shared" si="122"/>
        <v>41365</v>
      </c>
      <c r="B699" s="709" t="str">
        <f t="shared" si="123"/>
        <v>2Q13</v>
      </c>
      <c r="C699" s="709" t="str">
        <f t="shared" si="124"/>
        <v>2Q13</v>
      </c>
      <c r="D699" s="710">
        <f t="shared" si="138"/>
        <v>41443</v>
      </c>
      <c r="E699" s="710">
        <f t="shared" si="138"/>
        <v>41383</v>
      </c>
      <c r="F699" s="712">
        <v>88</v>
      </c>
      <c r="G699" s="713">
        <f t="shared" si="125"/>
        <v>1.4900000000000011</v>
      </c>
      <c r="H699" s="713">
        <f t="shared" si="126"/>
        <v>1.4900000000000011</v>
      </c>
      <c r="I699" s="697"/>
      <c r="J699" s="697"/>
      <c r="K699" s="697"/>
      <c r="L699" s="697"/>
      <c r="M699" s="697"/>
      <c r="N699" s="697"/>
      <c r="O699" s="697"/>
      <c r="P699" s="697"/>
      <c r="Q699" s="697"/>
      <c r="R699" s="697"/>
      <c r="S699" s="697"/>
      <c r="T699" s="697"/>
      <c r="U699" s="697"/>
      <c r="V699" s="697"/>
      <c r="W699" s="697"/>
      <c r="X699" s="697"/>
      <c r="Y699" s="697"/>
      <c r="Z699" s="697"/>
      <c r="AA699" s="697"/>
      <c r="AB699" s="697"/>
      <c r="AC699" s="697"/>
      <c r="AD699" s="697"/>
      <c r="AE699" s="697"/>
      <c r="AF699" s="697"/>
      <c r="AG699" s="697"/>
      <c r="AH699" s="697"/>
      <c r="AI699" s="697"/>
      <c r="AJ699" s="697"/>
      <c r="AK699" s="697"/>
      <c r="AL699" s="697"/>
      <c r="AM699" s="697"/>
      <c r="AN699" s="697"/>
      <c r="AO699" s="697"/>
      <c r="AP699" s="697"/>
      <c r="AQ699" s="697"/>
      <c r="AR699" s="697"/>
      <c r="AS699" s="697"/>
      <c r="AT699" s="697"/>
      <c r="AU699" s="697"/>
      <c r="AV699" s="697"/>
      <c r="AW699" s="697"/>
      <c r="AX699" s="697"/>
      <c r="AY699" s="697"/>
      <c r="AZ699" s="697"/>
      <c r="BA699" s="697"/>
      <c r="BB699" s="697"/>
      <c r="BC699" s="697"/>
      <c r="BD699" s="697"/>
      <c r="BE699" s="697"/>
      <c r="BF699" s="697"/>
      <c r="BG699" s="697"/>
      <c r="BH699" s="697"/>
      <c r="BI699" s="697"/>
      <c r="BJ699" s="697"/>
      <c r="BK699" s="697"/>
      <c r="BL699" s="697"/>
      <c r="BM699" s="697"/>
      <c r="BN699" s="697"/>
      <c r="BO699" s="697"/>
      <c r="BP699" s="697"/>
      <c r="BQ699" s="697"/>
      <c r="BR699" s="697"/>
      <c r="BS699" s="697"/>
      <c r="BT699" s="697"/>
      <c r="BU699" s="697"/>
      <c r="BV699" s="697"/>
      <c r="BW699" s="697"/>
      <c r="BX699" s="697"/>
      <c r="BY699" s="697"/>
      <c r="BZ699" s="697"/>
      <c r="CA699" s="697"/>
      <c r="CB699" s="697"/>
      <c r="CC699" s="697"/>
      <c r="CD699" s="697"/>
      <c r="CE699" s="697"/>
      <c r="CF699" s="697"/>
      <c r="CG699" s="697"/>
      <c r="CH699" s="697"/>
      <c r="CI699" s="697"/>
      <c r="CJ699" s="697"/>
      <c r="CK699" s="697"/>
      <c r="CL699" s="697"/>
      <c r="CM699" s="697"/>
      <c r="CN699" s="697"/>
      <c r="CO699" s="697"/>
      <c r="CP699" s="697"/>
      <c r="CQ699" s="697"/>
      <c r="CR699" s="697"/>
      <c r="CS699" s="697"/>
      <c r="CT699" s="697"/>
      <c r="CU699" s="697"/>
      <c r="CV699" s="697"/>
      <c r="CW699" s="697"/>
      <c r="CX699" s="697"/>
      <c r="CY699" s="697"/>
      <c r="CZ699" s="697"/>
      <c r="DA699" s="697"/>
    </row>
    <row r="700" spans="1:105" x14ac:dyDescent="0.2">
      <c r="A700" s="709">
        <f t="shared" si="122"/>
        <v>41365</v>
      </c>
      <c r="B700" s="709" t="str">
        <f t="shared" si="123"/>
        <v>2Q13</v>
      </c>
      <c r="C700" s="709" t="str">
        <f t="shared" si="124"/>
        <v>2Q13</v>
      </c>
      <c r="D700" s="710">
        <f t="shared" si="138"/>
        <v>41450</v>
      </c>
      <c r="E700" s="710">
        <f t="shared" si="138"/>
        <v>41390</v>
      </c>
      <c r="F700" s="712">
        <v>91</v>
      </c>
      <c r="G700" s="713">
        <f t="shared" si="125"/>
        <v>1.4900000000000011</v>
      </c>
      <c r="H700" s="713">
        <f t="shared" si="126"/>
        <v>1.4900000000000011</v>
      </c>
      <c r="I700" s="697"/>
      <c r="J700" s="697"/>
      <c r="K700" s="697"/>
      <c r="L700" s="697"/>
      <c r="M700" s="697"/>
      <c r="N700" s="697"/>
      <c r="O700" s="697"/>
      <c r="P700" s="697"/>
      <c r="Q700" s="697"/>
      <c r="R700" s="697"/>
      <c r="S700" s="697"/>
      <c r="T700" s="697"/>
      <c r="U700" s="697"/>
      <c r="V700" s="697"/>
      <c r="W700" s="697"/>
      <c r="X700" s="697"/>
      <c r="Y700" s="697"/>
      <c r="Z700" s="697"/>
      <c r="AA700" s="697"/>
      <c r="AB700" s="697"/>
      <c r="AC700" s="697"/>
      <c r="AD700" s="697"/>
      <c r="AE700" s="697"/>
      <c r="AF700" s="697"/>
      <c r="AG700" s="697"/>
      <c r="AH700" s="697"/>
      <c r="AI700" s="697"/>
      <c r="AJ700" s="697"/>
      <c r="AK700" s="697"/>
      <c r="AL700" s="697"/>
      <c r="AM700" s="697"/>
      <c r="AN700" s="697"/>
      <c r="AO700" s="697"/>
      <c r="AP700" s="697"/>
      <c r="AQ700" s="697"/>
      <c r="AR700" s="697"/>
      <c r="AS700" s="697"/>
      <c r="AT700" s="697"/>
      <c r="AU700" s="697"/>
      <c r="AV700" s="697"/>
      <c r="AW700" s="697"/>
      <c r="AX700" s="697"/>
      <c r="AY700" s="697"/>
      <c r="AZ700" s="697"/>
      <c r="BA700" s="697"/>
      <c r="BB700" s="697"/>
      <c r="BC700" s="697"/>
      <c r="BD700" s="697"/>
      <c r="BE700" s="697"/>
      <c r="BF700" s="697"/>
      <c r="BG700" s="697"/>
      <c r="BH700" s="697"/>
      <c r="BI700" s="697"/>
      <c r="BJ700" s="697"/>
      <c r="BK700" s="697"/>
      <c r="BL700" s="697"/>
      <c r="BM700" s="697"/>
      <c r="BN700" s="697"/>
      <c r="BO700" s="697"/>
      <c r="BP700" s="697"/>
      <c r="BQ700" s="697"/>
      <c r="BR700" s="697"/>
      <c r="BS700" s="697"/>
      <c r="BT700" s="697"/>
      <c r="BU700" s="697"/>
      <c r="BV700" s="697"/>
      <c r="BW700" s="697"/>
      <c r="BX700" s="697"/>
      <c r="BY700" s="697"/>
      <c r="BZ700" s="697"/>
      <c r="CA700" s="697"/>
      <c r="CB700" s="697"/>
      <c r="CC700" s="697"/>
      <c r="CD700" s="697"/>
      <c r="CE700" s="697"/>
      <c r="CF700" s="697"/>
      <c r="CG700" s="697"/>
      <c r="CH700" s="697"/>
      <c r="CI700" s="697"/>
      <c r="CJ700" s="697"/>
      <c r="CK700" s="697"/>
      <c r="CL700" s="697"/>
      <c r="CM700" s="697"/>
      <c r="CN700" s="697"/>
      <c r="CO700" s="697"/>
      <c r="CP700" s="697"/>
      <c r="CQ700" s="697"/>
      <c r="CR700" s="697"/>
      <c r="CS700" s="697"/>
      <c r="CT700" s="697"/>
      <c r="CU700" s="697"/>
      <c r="CV700" s="697"/>
      <c r="CW700" s="697"/>
      <c r="CX700" s="697"/>
      <c r="CY700" s="697"/>
      <c r="CZ700" s="697"/>
      <c r="DA700" s="697"/>
    </row>
    <row r="701" spans="1:105" x14ac:dyDescent="0.2">
      <c r="A701" s="709">
        <f t="shared" si="122"/>
        <v>41395</v>
      </c>
      <c r="B701" s="709" t="str">
        <f t="shared" si="123"/>
        <v>2Q13</v>
      </c>
      <c r="C701" s="709" t="str">
        <f t="shared" si="124"/>
        <v>3Q13</v>
      </c>
      <c r="D701" s="710">
        <f t="shared" si="138"/>
        <v>41457</v>
      </c>
      <c r="E701" s="710">
        <f t="shared" si="138"/>
        <v>41397</v>
      </c>
      <c r="F701" s="712">
        <v>93.4</v>
      </c>
      <c r="G701" s="713">
        <f t="shared" si="125"/>
        <v>1.4900000000000011</v>
      </c>
      <c r="H701" s="713">
        <f t="shared" si="126"/>
        <v>1.4900000000000011</v>
      </c>
      <c r="I701" s="697"/>
      <c r="J701" s="697"/>
      <c r="K701" s="697"/>
      <c r="L701" s="697"/>
      <c r="M701" s="697"/>
      <c r="N701" s="697"/>
      <c r="O701" s="697"/>
      <c r="P701" s="697"/>
      <c r="Q701" s="697"/>
      <c r="R701" s="697"/>
      <c r="S701" s="697"/>
      <c r="T701" s="697"/>
      <c r="U701" s="697"/>
      <c r="V701" s="697"/>
      <c r="W701" s="697"/>
      <c r="X701" s="697"/>
      <c r="Y701" s="697"/>
      <c r="Z701" s="697"/>
      <c r="AA701" s="697"/>
      <c r="AB701" s="697"/>
      <c r="AC701" s="697"/>
      <c r="AD701" s="697"/>
      <c r="AE701" s="697"/>
      <c r="AF701" s="697"/>
      <c r="AG701" s="697"/>
      <c r="AH701" s="697"/>
      <c r="AI701" s="697"/>
      <c r="AJ701" s="697"/>
      <c r="AK701" s="697"/>
      <c r="AL701" s="697"/>
      <c r="AM701" s="697"/>
      <c r="AN701" s="697"/>
      <c r="AO701" s="697"/>
      <c r="AP701" s="697"/>
      <c r="AQ701" s="697"/>
      <c r="AR701" s="697"/>
      <c r="AS701" s="697"/>
      <c r="AT701" s="697"/>
      <c r="AU701" s="697"/>
      <c r="AV701" s="697"/>
      <c r="AW701" s="697"/>
      <c r="AX701" s="697"/>
      <c r="AY701" s="697"/>
      <c r="AZ701" s="697"/>
      <c r="BA701" s="697"/>
      <c r="BB701" s="697"/>
      <c r="BC701" s="697"/>
      <c r="BD701" s="697"/>
      <c r="BE701" s="697"/>
      <c r="BF701" s="697"/>
      <c r="BG701" s="697"/>
      <c r="BH701" s="697"/>
      <c r="BI701" s="697"/>
      <c r="BJ701" s="697"/>
      <c r="BK701" s="697"/>
      <c r="BL701" s="697"/>
      <c r="BM701" s="697"/>
      <c r="BN701" s="697"/>
      <c r="BO701" s="697"/>
      <c r="BP701" s="697"/>
      <c r="BQ701" s="697"/>
      <c r="BR701" s="697"/>
      <c r="BS701" s="697"/>
      <c r="BT701" s="697"/>
      <c r="BU701" s="697"/>
      <c r="BV701" s="697"/>
      <c r="BW701" s="697"/>
      <c r="BX701" s="697"/>
      <c r="BY701" s="697"/>
      <c r="BZ701" s="697"/>
      <c r="CA701" s="697"/>
      <c r="CB701" s="697"/>
      <c r="CC701" s="697"/>
      <c r="CD701" s="697"/>
      <c r="CE701" s="697"/>
      <c r="CF701" s="697"/>
      <c r="CG701" s="697"/>
      <c r="CH701" s="697"/>
      <c r="CI701" s="697"/>
      <c r="CJ701" s="697"/>
      <c r="CK701" s="697"/>
      <c r="CL701" s="697"/>
      <c r="CM701" s="697"/>
      <c r="CN701" s="697"/>
      <c r="CO701" s="697"/>
      <c r="CP701" s="697"/>
      <c r="CQ701" s="697"/>
      <c r="CR701" s="697"/>
      <c r="CS701" s="697"/>
      <c r="CT701" s="697"/>
      <c r="CU701" s="697"/>
      <c r="CV701" s="697"/>
      <c r="CW701" s="697"/>
      <c r="CX701" s="697"/>
      <c r="CY701" s="697"/>
      <c r="CZ701" s="697"/>
      <c r="DA701" s="697"/>
    </row>
    <row r="702" spans="1:105" x14ac:dyDescent="0.2">
      <c r="A702" s="709">
        <f t="shared" si="122"/>
        <v>41395</v>
      </c>
      <c r="B702" s="709" t="str">
        <f t="shared" si="123"/>
        <v>2Q13</v>
      </c>
      <c r="C702" s="709" t="str">
        <f t="shared" si="124"/>
        <v>3Q13</v>
      </c>
      <c r="D702" s="710">
        <f t="shared" si="138"/>
        <v>41464</v>
      </c>
      <c r="E702" s="710">
        <f t="shared" si="138"/>
        <v>41404</v>
      </c>
      <c r="F702" s="712">
        <v>95.84</v>
      </c>
      <c r="G702" s="713">
        <f t="shared" si="125"/>
        <v>1.4900000000000011</v>
      </c>
      <c r="H702" s="713">
        <f t="shared" si="126"/>
        <v>1.4900000000000011</v>
      </c>
      <c r="I702" s="697"/>
      <c r="J702" s="697"/>
      <c r="K702" s="697"/>
      <c r="L702" s="697"/>
      <c r="M702" s="697"/>
      <c r="N702" s="697"/>
      <c r="O702" s="697"/>
      <c r="P702" s="697"/>
      <c r="Q702" s="697"/>
      <c r="R702" s="697"/>
      <c r="S702" s="697"/>
      <c r="T702" s="697"/>
      <c r="U702" s="697"/>
      <c r="V702" s="697"/>
      <c r="W702" s="697"/>
      <c r="X702" s="697"/>
      <c r="Y702" s="697"/>
      <c r="Z702" s="697"/>
      <c r="AA702" s="697"/>
      <c r="AB702" s="697"/>
      <c r="AC702" s="697"/>
      <c r="AD702" s="697"/>
      <c r="AE702" s="697"/>
      <c r="AF702" s="697"/>
      <c r="AG702" s="697"/>
      <c r="AH702" s="697"/>
      <c r="AI702" s="697"/>
      <c r="AJ702" s="697"/>
      <c r="AK702" s="697"/>
      <c r="AL702" s="697"/>
      <c r="AM702" s="697"/>
      <c r="AN702" s="697"/>
      <c r="AO702" s="697"/>
      <c r="AP702" s="697"/>
      <c r="AQ702" s="697"/>
      <c r="AR702" s="697"/>
      <c r="AS702" s="697"/>
      <c r="AT702" s="697"/>
      <c r="AU702" s="697"/>
      <c r="AV702" s="697"/>
      <c r="AW702" s="697"/>
      <c r="AX702" s="697"/>
      <c r="AY702" s="697"/>
      <c r="AZ702" s="697"/>
      <c r="BA702" s="697"/>
      <c r="BB702" s="697"/>
      <c r="BC702" s="697"/>
      <c r="BD702" s="697"/>
      <c r="BE702" s="697"/>
      <c r="BF702" s="697"/>
      <c r="BG702" s="697"/>
      <c r="BH702" s="697"/>
      <c r="BI702" s="697"/>
      <c r="BJ702" s="697"/>
      <c r="BK702" s="697"/>
      <c r="BL702" s="697"/>
      <c r="BM702" s="697"/>
      <c r="BN702" s="697"/>
      <c r="BO702" s="697"/>
      <c r="BP702" s="697"/>
      <c r="BQ702" s="697"/>
      <c r="BR702" s="697"/>
      <c r="BS702" s="697"/>
      <c r="BT702" s="697"/>
      <c r="BU702" s="697"/>
      <c r="BV702" s="697"/>
      <c r="BW702" s="697"/>
      <c r="BX702" s="697"/>
      <c r="BY702" s="697"/>
      <c r="BZ702" s="697"/>
      <c r="CA702" s="697"/>
      <c r="CB702" s="697"/>
      <c r="CC702" s="697"/>
      <c r="CD702" s="697"/>
      <c r="CE702" s="697"/>
      <c r="CF702" s="697"/>
      <c r="CG702" s="697"/>
      <c r="CH702" s="697"/>
      <c r="CI702" s="697"/>
      <c r="CJ702" s="697"/>
      <c r="CK702" s="697"/>
      <c r="CL702" s="697"/>
      <c r="CM702" s="697"/>
      <c r="CN702" s="697"/>
      <c r="CO702" s="697"/>
      <c r="CP702" s="697"/>
      <c r="CQ702" s="697"/>
      <c r="CR702" s="697"/>
      <c r="CS702" s="697"/>
      <c r="CT702" s="697"/>
      <c r="CU702" s="697"/>
      <c r="CV702" s="697"/>
      <c r="CW702" s="697"/>
      <c r="CX702" s="697"/>
      <c r="CY702" s="697"/>
      <c r="CZ702" s="697"/>
      <c r="DA702" s="697"/>
    </row>
    <row r="703" spans="1:105" x14ac:dyDescent="0.2">
      <c r="A703" s="709">
        <f t="shared" si="122"/>
        <v>41395</v>
      </c>
      <c r="B703" s="709" t="str">
        <f t="shared" si="123"/>
        <v>2Q13</v>
      </c>
      <c r="C703" s="709" t="str">
        <f t="shared" si="124"/>
        <v>3Q13</v>
      </c>
      <c r="D703" s="710">
        <f t="shared" si="138"/>
        <v>41471</v>
      </c>
      <c r="E703" s="710">
        <f t="shared" si="138"/>
        <v>41411</v>
      </c>
      <c r="F703" s="712">
        <v>94.65</v>
      </c>
      <c r="G703" s="713">
        <f t="shared" si="125"/>
        <v>1.4900000000000011</v>
      </c>
      <c r="H703" s="713">
        <f t="shared" si="126"/>
        <v>1.4900000000000011</v>
      </c>
      <c r="I703" s="697"/>
      <c r="J703" s="697"/>
      <c r="K703" s="697"/>
      <c r="L703" s="697"/>
      <c r="M703" s="697"/>
      <c r="N703" s="697"/>
      <c r="O703" s="697"/>
      <c r="P703" s="697"/>
      <c r="Q703" s="697"/>
      <c r="R703" s="697"/>
      <c r="S703" s="697"/>
      <c r="T703" s="697"/>
      <c r="U703" s="697"/>
      <c r="V703" s="697"/>
      <c r="W703" s="697"/>
      <c r="X703" s="697"/>
      <c r="Y703" s="697"/>
      <c r="Z703" s="697"/>
      <c r="AA703" s="697"/>
      <c r="AB703" s="697"/>
      <c r="AC703" s="697"/>
      <c r="AD703" s="697"/>
      <c r="AE703" s="697"/>
      <c r="AF703" s="697"/>
      <c r="AG703" s="697"/>
      <c r="AH703" s="697"/>
      <c r="AI703" s="697"/>
      <c r="AJ703" s="697"/>
      <c r="AK703" s="697"/>
      <c r="AL703" s="697"/>
      <c r="AM703" s="697"/>
      <c r="AN703" s="697"/>
      <c r="AO703" s="697"/>
      <c r="AP703" s="697"/>
      <c r="AQ703" s="697"/>
      <c r="AR703" s="697"/>
      <c r="AS703" s="697"/>
      <c r="AT703" s="697"/>
      <c r="AU703" s="697"/>
      <c r="AV703" s="697"/>
      <c r="AW703" s="697"/>
      <c r="AX703" s="697"/>
      <c r="AY703" s="697"/>
      <c r="AZ703" s="697"/>
      <c r="BA703" s="697"/>
      <c r="BB703" s="697"/>
      <c r="BC703" s="697"/>
      <c r="BD703" s="697"/>
      <c r="BE703" s="697"/>
      <c r="BF703" s="697"/>
      <c r="BG703" s="697"/>
      <c r="BH703" s="697"/>
      <c r="BI703" s="697"/>
      <c r="BJ703" s="697"/>
      <c r="BK703" s="697"/>
      <c r="BL703" s="697"/>
      <c r="BM703" s="697"/>
      <c r="BN703" s="697"/>
      <c r="BO703" s="697"/>
      <c r="BP703" s="697"/>
      <c r="BQ703" s="697"/>
      <c r="BR703" s="697"/>
      <c r="BS703" s="697"/>
      <c r="BT703" s="697"/>
      <c r="BU703" s="697"/>
      <c r="BV703" s="697"/>
      <c r="BW703" s="697"/>
      <c r="BX703" s="697"/>
      <c r="BY703" s="697"/>
      <c r="BZ703" s="697"/>
      <c r="CA703" s="697"/>
      <c r="CB703" s="697"/>
      <c r="CC703" s="697"/>
      <c r="CD703" s="697"/>
      <c r="CE703" s="697"/>
      <c r="CF703" s="697"/>
      <c r="CG703" s="697"/>
      <c r="CH703" s="697"/>
      <c r="CI703" s="697"/>
      <c r="CJ703" s="697"/>
      <c r="CK703" s="697"/>
      <c r="CL703" s="697"/>
      <c r="CM703" s="697"/>
      <c r="CN703" s="697"/>
      <c r="CO703" s="697"/>
      <c r="CP703" s="697"/>
      <c r="CQ703" s="697"/>
      <c r="CR703" s="697"/>
      <c r="CS703" s="697"/>
      <c r="CT703" s="697"/>
      <c r="CU703" s="697"/>
      <c r="CV703" s="697"/>
      <c r="CW703" s="697"/>
      <c r="CX703" s="697"/>
      <c r="CY703" s="697"/>
      <c r="CZ703" s="697"/>
      <c r="DA703" s="697"/>
    </row>
    <row r="704" spans="1:105" x14ac:dyDescent="0.2">
      <c r="A704" s="709">
        <f t="shared" si="122"/>
        <v>41395</v>
      </c>
      <c r="B704" s="709" t="str">
        <f t="shared" si="123"/>
        <v>2Q13</v>
      </c>
      <c r="C704" s="709" t="str">
        <f t="shared" si="124"/>
        <v>3Q13</v>
      </c>
      <c r="D704" s="710">
        <f t="shared" si="138"/>
        <v>41478</v>
      </c>
      <c r="E704" s="710">
        <f t="shared" si="138"/>
        <v>41418</v>
      </c>
      <c r="F704" s="712">
        <v>94.76</v>
      </c>
      <c r="G704" s="713">
        <f t="shared" si="125"/>
        <v>1.4900000000000011</v>
      </c>
      <c r="H704" s="713">
        <f t="shared" si="126"/>
        <v>1.4900000000000011</v>
      </c>
      <c r="I704" s="697"/>
      <c r="J704" s="697"/>
      <c r="K704" s="697"/>
      <c r="L704" s="697"/>
      <c r="M704" s="697"/>
      <c r="N704" s="697"/>
      <c r="O704" s="697"/>
      <c r="P704" s="697"/>
      <c r="Q704" s="697"/>
      <c r="R704" s="697"/>
      <c r="S704" s="697"/>
      <c r="T704" s="697"/>
      <c r="U704" s="697"/>
      <c r="V704" s="697"/>
      <c r="W704" s="697"/>
      <c r="X704" s="697"/>
      <c r="Y704" s="697"/>
      <c r="Z704" s="697"/>
      <c r="AA704" s="697"/>
      <c r="AB704" s="697"/>
      <c r="AC704" s="697"/>
      <c r="AD704" s="697"/>
      <c r="AE704" s="697"/>
      <c r="AF704" s="697"/>
      <c r="AG704" s="697"/>
      <c r="AH704" s="697"/>
      <c r="AI704" s="697"/>
      <c r="AJ704" s="697"/>
      <c r="AK704" s="697"/>
      <c r="AL704" s="697"/>
      <c r="AM704" s="697"/>
      <c r="AN704" s="697"/>
      <c r="AO704" s="697"/>
      <c r="AP704" s="697"/>
      <c r="AQ704" s="697"/>
      <c r="AR704" s="697"/>
      <c r="AS704" s="697"/>
      <c r="AT704" s="697"/>
      <c r="AU704" s="697"/>
      <c r="AV704" s="697"/>
      <c r="AW704" s="697"/>
      <c r="AX704" s="697"/>
      <c r="AY704" s="697"/>
      <c r="AZ704" s="697"/>
      <c r="BA704" s="697"/>
      <c r="BB704" s="697"/>
      <c r="BC704" s="697"/>
      <c r="BD704" s="697"/>
      <c r="BE704" s="697"/>
      <c r="BF704" s="697"/>
      <c r="BG704" s="697"/>
      <c r="BH704" s="697"/>
      <c r="BI704" s="697"/>
      <c r="BJ704" s="697"/>
      <c r="BK704" s="697"/>
      <c r="BL704" s="697"/>
      <c r="BM704" s="697"/>
      <c r="BN704" s="697"/>
      <c r="BO704" s="697"/>
      <c r="BP704" s="697"/>
      <c r="BQ704" s="697"/>
      <c r="BR704" s="697"/>
      <c r="BS704" s="697"/>
      <c r="BT704" s="697"/>
      <c r="BU704" s="697"/>
      <c r="BV704" s="697"/>
      <c r="BW704" s="697"/>
      <c r="BX704" s="697"/>
      <c r="BY704" s="697"/>
      <c r="BZ704" s="697"/>
      <c r="CA704" s="697"/>
      <c r="CB704" s="697"/>
      <c r="CC704" s="697"/>
      <c r="CD704" s="697"/>
      <c r="CE704" s="697"/>
      <c r="CF704" s="697"/>
      <c r="CG704" s="697"/>
      <c r="CH704" s="697"/>
      <c r="CI704" s="697"/>
      <c r="CJ704" s="697"/>
      <c r="CK704" s="697"/>
      <c r="CL704" s="697"/>
      <c r="CM704" s="697"/>
      <c r="CN704" s="697"/>
      <c r="CO704" s="697"/>
      <c r="CP704" s="697"/>
      <c r="CQ704" s="697"/>
      <c r="CR704" s="697"/>
      <c r="CS704" s="697"/>
      <c r="CT704" s="697"/>
      <c r="CU704" s="697"/>
      <c r="CV704" s="697"/>
      <c r="CW704" s="697"/>
      <c r="CX704" s="697"/>
      <c r="CY704" s="697"/>
      <c r="CZ704" s="697"/>
      <c r="DA704" s="697"/>
    </row>
    <row r="705" spans="1:105" x14ac:dyDescent="0.2">
      <c r="A705" s="709">
        <f t="shared" si="122"/>
        <v>41395</v>
      </c>
      <c r="B705" s="709" t="str">
        <f t="shared" si="123"/>
        <v>2Q13</v>
      </c>
      <c r="C705" s="709" t="str">
        <f t="shared" si="124"/>
        <v>3Q13</v>
      </c>
      <c r="D705" s="710">
        <f t="shared" si="138"/>
        <v>41485</v>
      </c>
      <c r="E705" s="710">
        <f t="shared" si="138"/>
        <v>41425</v>
      </c>
      <c r="F705" s="712">
        <v>93.32</v>
      </c>
      <c r="G705" s="713">
        <f t="shared" si="125"/>
        <v>1.4900000000000011</v>
      </c>
      <c r="H705" s="713">
        <f t="shared" si="126"/>
        <v>1.4900000000000011</v>
      </c>
      <c r="I705" s="697"/>
      <c r="J705" s="697"/>
      <c r="K705" s="697"/>
      <c r="L705" s="697"/>
      <c r="M705" s="697"/>
      <c r="N705" s="697"/>
      <c r="O705" s="697"/>
      <c r="P705" s="697"/>
      <c r="Q705" s="697"/>
      <c r="R705" s="697"/>
      <c r="S705" s="697"/>
      <c r="T705" s="697"/>
      <c r="U705" s="697"/>
      <c r="V705" s="697"/>
      <c r="W705" s="697"/>
      <c r="X705" s="697"/>
      <c r="Y705" s="697"/>
      <c r="Z705" s="697"/>
      <c r="AA705" s="697"/>
      <c r="AB705" s="697"/>
      <c r="AC705" s="697"/>
      <c r="AD705" s="697"/>
      <c r="AE705" s="697"/>
      <c r="AF705" s="697"/>
      <c r="AG705" s="697"/>
      <c r="AH705" s="697"/>
      <c r="AI705" s="697"/>
      <c r="AJ705" s="697"/>
      <c r="AK705" s="697"/>
      <c r="AL705" s="697"/>
      <c r="AM705" s="697"/>
      <c r="AN705" s="697"/>
      <c r="AO705" s="697"/>
      <c r="AP705" s="697"/>
      <c r="AQ705" s="697"/>
      <c r="AR705" s="697"/>
      <c r="AS705" s="697"/>
      <c r="AT705" s="697"/>
      <c r="AU705" s="697"/>
      <c r="AV705" s="697"/>
      <c r="AW705" s="697"/>
      <c r="AX705" s="697"/>
      <c r="AY705" s="697"/>
      <c r="AZ705" s="697"/>
      <c r="BA705" s="697"/>
      <c r="BB705" s="697"/>
      <c r="BC705" s="697"/>
      <c r="BD705" s="697"/>
      <c r="BE705" s="697"/>
      <c r="BF705" s="697"/>
      <c r="BG705" s="697"/>
      <c r="BH705" s="697"/>
      <c r="BI705" s="697"/>
      <c r="BJ705" s="697"/>
      <c r="BK705" s="697"/>
      <c r="BL705" s="697"/>
      <c r="BM705" s="697"/>
      <c r="BN705" s="697"/>
      <c r="BO705" s="697"/>
      <c r="BP705" s="697"/>
      <c r="BQ705" s="697"/>
      <c r="BR705" s="697"/>
      <c r="BS705" s="697"/>
      <c r="BT705" s="697"/>
      <c r="BU705" s="697"/>
      <c r="BV705" s="697"/>
      <c r="BW705" s="697"/>
      <c r="BX705" s="697"/>
      <c r="BY705" s="697"/>
      <c r="BZ705" s="697"/>
      <c r="CA705" s="697"/>
      <c r="CB705" s="697"/>
      <c r="CC705" s="697"/>
      <c r="CD705" s="697"/>
      <c r="CE705" s="697"/>
      <c r="CF705" s="697"/>
      <c r="CG705" s="697"/>
      <c r="CH705" s="697"/>
      <c r="CI705" s="697"/>
      <c r="CJ705" s="697"/>
      <c r="CK705" s="697"/>
      <c r="CL705" s="697"/>
      <c r="CM705" s="697"/>
      <c r="CN705" s="697"/>
      <c r="CO705" s="697"/>
      <c r="CP705" s="697"/>
      <c r="CQ705" s="697"/>
      <c r="CR705" s="697"/>
      <c r="CS705" s="697"/>
      <c r="CT705" s="697"/>
      <c r="CU705" s="697"/>
      <c r="CV705" s="697"/>
      <c r="CW705" s="697"/>
      <c r="CX705" s="697"/>
      <c r="CY705" s="697"/>
      <c r="CZ705" s="697"/>
      <c r="DA705" s="697"/>
    </row>
    <row r="706" spans="1:105" x14ac:dyDescent="0.2">
      <c r="A706" s="709">
        <f t="shared" si="122"/>
        <v>41426</v>
      </c>
      <c r="B706" s="709" t="str">
        <f t="shared" si="123"/>
        <v>2Q13</v>
      </c>
      <c r="C706" s="709" t="str">
        <f t="shared" si="124"/>
        <v>3Q13</v>
      </c>
      <c r="D706" s="710">
        <f t="shared" si="138"/>
        <v>41492</v>
      </c>
      <c r="E706" s="710">
        <f t="shared" si="138"/>
        <v>41432</v>
      </c>
      <c r="F706" s="712">
        <v>94.25</v>
      </c>
      <c r="G706" s="713">
        <f t="shared" si="125"/>
        <v>1.4900000000000011</v>
      </c>
      <c r="H706" s="713">
        <f t="shared" si="126"/>
        <v>1.4900000000000011</v>
      </c>
      <c r="I706" s="697"/>
      <c r="J706" s="697"/>
      <c r="K706" s="697"/>
      <c r="L706" s="697"/>
      <c r="M706" s="697"/>
      <c r="N706" s="697"/>
      <c r="O706" s="697"/>
      <c r="P706" s="697"/>
      <c r="Q706" s="697"/>
      <c r="R706" s="697"/>
      <c r="S706" s="697"/>
      <c r="T706" s="697"/>
      <c r="U706" s="697"/>
      <c r="V706" s="697"/>
      <c r="W706" s="697"/>
      <c r="X706" s="697"/>
      <c r="Y706" s="697"/>
      <c r="Z706" s="697"/>
      <c r="AA706" s="697"/>
      <c r="AB706" s="697"/>
      <c r="AC706" s="697"/>
      <c r="AD706" s="697"/>
      <c r="AE706" s="697"/>
      <c r="AF706" s="697"/>
      <c r="AG706" s="697"/>
      <c r="AH706" s="697"/>
      <c r="AI706" s="697"/>
      <c r="AJ706" s="697"/>
      <c r="AK706" s="697"/>
      <c r="AL706" s="697"/>
      <c r="AM706" s="697"/>
      <c r="AN706" s="697"/>
      <c r="AO706" s="697"/>
      <c r="AP706" s="697"/>
      <c r="AQ706" s="697"/>
      <c r="AR706" s="697"/>
      <c r="AS706" s="697"/>
      <c r="AT706" s="697"/>
      <c r="AU706" s="697"/>
      <c r="AV706" s="697"/>
      <c r="AW706" s="697"/>
      <c r="AX706" s="697"/>
      <c r="AY706" s="697"/>
      <c r="AZ706" s="697"/>
      <c r="BA706" s="697"/>
      <c r="BB706" s="697"/>
      <c r="BC706" s="697"/>
      <c r="BD706" s="697"/>
      <c r="BE706" s="697"/>
      <c r="BF706" s="697"/>
      <c r="BG706" s="697"/>
      <c r="BH706" s="697"/>
      <c r="BI706" s="697"/>
      <c r="BJ706" s="697"/>
      <c r="BK706" s="697"/>
      <c r="BL706" s="697"/>
      <c r="BM706" s="697"/>
      <c r="BN706" s="697"/>
      <c r="BO706" s="697"/>
      <c r="BP706" s="697"/>
      <c r="BQ706" s="697"/>
      <c r="BR706" s="697"/>
      <c r="BS706" s="697"/>
      <c r="BT706" s="697"/>
      <c r="BU706" s="697"/>
      <c r="BV706" s="697"/>
      <c r="BW706" s="697"/>
      <c r="BX706" s="697"/>
      <c r="BY706" s="697"/>
      <c r="BZ706" s="697"/>
      <c r="CA706" s="697"/>
      <c r="CB706" s="697"/>
      <c r="CC706" s="697"/>
      <c r="CD706" s="697"/>
      <c r="CE706" s="697"/>
      <c r="CF706" s="697"/>
      <c r="CG706" s="697"/>
      <c r="CH706" s="697"/>
      <c r="CI706" s="697"/>
      <c r="CJ706" s="697"/>
      <c r="CK706" s="697"/>
      <c r="CL706" s="697"/>
      <c r="CM706" s="697"/>
      <c r="CN706" s="697"/>
      <c r="CO706" s="697"/>
      <c r="CP706" s="697"/>
      <c r="CQ706" s="697"/>
      <c r="CR706" s="697"/>
      <c r="CS706" s="697"/>
      <c r="CT706" s="697"/>
      <c r="CU706" s="697"/>
      <c r="CV706" s="697"/>
      <c r="CW706" s="697"/>
      <c r="CX706" s="697"/>
      <c r="CY706" s="697"/>
      <c r="CZ706" s="697"/>
      <c r="DA706" s="697"/>
    </row>
    <row r="707" spans="1:105" x14ac:dyDescent="0.2">
      <c r="A707" s="709">
        <f t="shared" si="122"/>
        <v>41426</v>
      </c>
      <c r="B707" s="709" t="str">
        <f t="shared" si="123"/>
        <v>2Q13</v>
      </c>
      <c r="C707" s="709" t="str">
        <f t="shared" si="124"/>
        <v>3Q13</v>
      </c>
      <c r="D707" s="710">
        <f t="shared" si="138"/>
        <v>41499</v>
      </c>
      <c r="E707" s="710">
        <f t="shared" si="138"/>
        <v>41439</v>
      </c>
      <c r="F707" s="712">
        <v>96.36</v>
      </c>
      <c r="G707" s="713">
        <f t="shared" si="125"/>
        <v>1.4900000000000011</v>
      </c>
      <c r="H707" s="713">
        <f t="shared" si="126"/>
        <v>1.4900000000000011</v>
      </c>
      <c r="I707" s="697"/>
      <c r="J707" s="697"/>
      <c r="K707" s="697"/>
      <c r="L707" s="697"/>
      <c r="M707" s="697"/>
      <c r="N707" s="697"/>
      <c r="O707" s="697"/>
      <c r="P707" s="697"/>
      <c r="Q707" s="697"/>
      <c r="R707" s="697"/>
      <c r="S707" s="697"/>
      <c r="T707" s="697"/>
      <c r="U707" s="697"/>
      <c r="V707" s="697"/>
      <c r="W707" s="697"/>
      <c r="X707" s="697"/>
      <c r="Y707" s="697"/>
      <c r="Z707" s="697"/>
      <c r="AA707" s="697"/>
      <c r="AB707" s="697"/>
      <c r="AC707" s="697"/>
      <c r="AD707" s="697"/>
      <c r="AE707" s="697"/>
      <c r="AF707" s="697"/>
      <c r="AG707" s="697"/>
      <c r="AH707" s="697"/>
      <c r="AI707" s="697"/>
      <c r="AJ707" s="697"/>
      <c r="AK707" s="697"/>
      <c r="AL707" s="697"/>
      <c r="AM707" s="697"/>
      <c r="AN707" s="697"/>
      <c r="AO707" s="697"/>
      <c r="AP707" s="697"/>
      <c r="AQ707" s="697"/>
      <c r="AR707" s="697"/>
      <c r="AS707" s="697"/>
      <c r="AT707" s="697"/>
      <c r="AU707" s="697"/>
      <c r="AV707" s="697"/>
      <c r="AW707" s="697"/>
      <c r="AX707" s="697"/>
      <c r="AY707" s="697"/>
      <c r="AZ707" s="697"/>
      <c r="BA707" s="697"/>
      <c r="BB707" s="697"/>
      <c r="BC707" s="697"/>
      <c r="BD707" s="697"/>
      <c r="BE707" s="697"/>
      <c r="BF707" s="697"/>
      <c r="BG707" s="697"/>
      <c r="BH707" s="697"/>
      <c r="BI707" s="697"/>
      <c r="BJ707" s="697"/>
      <c r="BK707" s="697"/>
      <c r="BL707" s="697"/>
      <c r="BM707" s="697"/>
      <c r="BN707" s="697"/>
      <c r="BO707" s="697"/>
      <c r="BP707" s="697"/>
      <c r="BQ707" s="697"/>
      <c r="BR707" s="697"/>
      <c r="BS707" s="697"/>
      <c r="BT707" s="697"/>
      <c r="BU707" s="697"/>
      <c r="BV707" s="697"/>
      <c r="BW707" s="697"/>
      <c r="BX707" s="697"/>
      <c r="BY707" s="697"/>
      <c r="BZ707" s="697"/>
      <c r="CA707" s="697"/>
      <c r="CB707" s="697"/>
      <c r="CC707" s="697"/>
      <c r="CD707" s="697"/>
      <c r="CE707" s="697"/>
      <c r="CF707" s="697"/>
      <c r="CG707" s="697"/>
      <c r="CH707" s="697"/>
      <c r="CI707" s="697"/>
      <c r="CJ707" s="697"/>
      <c r="CK707" s="697"/>
      <c r="CL707" s="697"/>
      <c r="CM707" s="697"/>
      <c r="CN707" s="697"/>
      <c r="CO707" s="697"/>
      <c r="CP707" s="697"/>
      <c r="CQ707" s="697"/>
      <c r="CR707" s="697"/>
      <c r="CS707" s="697"/>
      <c r="CT707" s="697"/>
      <c r="CU707" s="697"/>
      <c r="CV707" s="697"/>
      <c r="CW707" s="697"/>
      <c r="CX707" s="697"/>
      <c r="CY707" s="697"/>
      <c r="CZ707" s="697"/>
      <c r="DA707" s="697"/>
    </row>
    <row r="708" spans="1:105" x14ac:dyDescent="0.2">
      <c r="A708" s="709">
        <f t="shared" ref="A708:A771" si="139">DATE(YEAR(E708),MONTH(E708),1)</f>
        <v>41426</v>
      </c>
      <c r="B708" s="709" t="str">
        <f t="shared" ref="B708:B771" si="140">VLOOKUP(MONTH(A708),$N$4:$O$16,2,FALSE) &amp; "Q" &amp; RIGHT(YEAR(A708),2)</f>
        <v>2Q13</v>
      </c>
      <c r="C708" s="709" t="str">
        <f t="shared" ref="C708:C771" si="141">VLOOKUP(MONTH(D708),$N$4:$O$16,2,FALSE) &amp; "Q" &amp; RIGHT(YEAR(D708),2)</f>
        <v>3Q13</v>
      </c>
      <c r="D708" s="710">
        <f t="shared" si="138"/>
        <v>41506</v>
      </c>
      <c r="E708" s="710">
        <f t="shared" si="138"/>
        <v>41446</v>
      </c>
      <c r="F708" s="712">
        <v>96.65</v>
      </c>
      <c r="G708" s="713">
        <f t="shared" ref="G708:G771" si="142">INDEX($I$4:$K$153,MATCH(F708,$I$4:$I$153,1),3)</f>
        <v>1.4900000000000011</v>
      </c>
      <c r="H708" s="713">
        <f t="shared" ref="H708:H771" si="143">G709</f>
        <v>1.4900000000000011</v>
      </c>
      <c r="I708" s="697"/>
      <c r="J708" s="697"/>
      <c r="K708" s="697"/>
      <c r="L708" s="697"/>
      <c r="M708" s="697"/>
      <c r="N708" s="697"/>
      <c r="O708" s="697"/>
      <c r="P708" s="697"/>
      <c r="Q708" s="697"/>
      <c r="R708" s="697"/>
      <c r="S708" s="697"/>
      <c r="T708" s="697"/>
      <c r="U708" s="697"/>
      <c r="V708" s="697"/>
      <c r="W708" s="697"/>
      <c r="X708" s="697"/>
      <c r="Y708" s="697"/>
      <c r="Z708" s="697"/>
      <c r="AA708" s="697"/>
      <c r="AB708" s="697"/>
      <c r="AC708" s="697"/>
      <c r="AD708" s="697"/>
      <c r="AE708" s="697"/>
      <c r="AF708" s="697"/>
      <c r="AG708" s="697"/>
      <c r="AH708" s="697"/>
      <c r="AI708" s="697"/>
      <c r="AJ708" s="697"/>
      <c r="AK708" s="697"/>
      <c r="AL708" s="697"/>
      <c r="AM708" s="697"/>
      <c r="AN708" s="697"/>
      <c r="AO708" s="697"/>
      <c r="AP708" s="697"/>
      <c r="AQ708" s="697"/>
      <c r="AR708" s="697"/>
      <c r="AS708" s="697"/>
      <c r="AT708" s="697"/>
      <c r="AU708" s="697"/>
      <c r="AV708" s="697"/>
      <c r="AW708" s="697"/>
      <c r="AX708" s="697"/>
      <c r="AY708" s="697"/>
      <c r="AZ708" s="697"/>
      <c r="BA708" s="697"/>
      <c r="BB708" s="697"/>
      <c r="BC708" s="697"/>
      <c r="BD708" s="697"/>
      <c r="BE708" s="697"/>
      <c r="BF708" s="697"/>
      <c r="BG708" s="697"/>
      <c r="BH708" s="697"/>
      <c r="BI708" s="697"/>
      <c r="BJ708" s="697"/>
      <c r="BK708" s="697"/>
      <c r="BL708" s="697"/>
      <c r="BM708" s="697"/>
      <c r="BN708" s="697"/>
      <c r="BO708" s="697"/>
      <c r="BP708" s="697"/>
      <c r="BQ708" s="697"/>
      <c r="BR708" s="697"/>
      <c r="BS708" s="697"/>
      <c r="BT708" s="697"/>
      <c r="BU708" s="697"/>
      <c r="BV708" s="697"/>
      <c r="BW708" s="697"/>
      <c r="BX708" s="697"/>
      <c r="BY708" s="697"/>
      <c r="BZ708" s="697"/>
      <c r="CA708" s="697"/>
      <c r="CB708" s="697"/>
      <c r="CC708" s="697"/>
      <c r="CD708" s="697"/>
      <c r="CE708" s="697"/>
      <c r="CF708" s="697"/>
      <c r="CG708" s="697"/>
      <c r="CH708" s="697"/>
      <c r="CI708" s="697"/>
      <c r="CJ708" s="697"/>
      <c r="CK708" s="697"/>
      <c r="CL708" s="697"/>
      <c r="CM708" s="697"/>
      <c r="CN708" s="697"/>
      <c r="CO708" s="697"/>
      <c r="CP708" s="697"/>
      <c r="CQ708" s="697"/>
      <c r="CR708" s="697"/>
      <c r="CS708" s="697"/>
      <c r="CT708" s="697"/>
      <c r="CU708" s="697"/>
      <c r="CV708" s="697"/>
      <c r="CW708" s="697"/>
      <c r="CX708" s="697"/>
      <c r="CY708" s="697"/>
      <c r="CZ708" s="697"/>
      <c r="DA708" s="697"/>
    </row>
    <row r="709" spans="1:105" x14ac:dyDescent="0.2">
      <c r="A709" s="709">
        <f t="shared" si="139"/>
        <v>41426</v>
      </c>
      <c r="B709" s="709" t="str">
        <f t="shared" si="140"/>
        <v>2Q13</v>
      </c>
      <c r="C709" s="709" t="str">
        <f t="shared" si="141"/>
        <v>3Q13</v>
      </c>
      <c r="D709" s="710">
        <f t="shared" ref="D709:E724" si="144">D708+7</f>
        <v>41513</v>
      </c>
      <c r="E709" s="710">
        <f t="shared" si="144"/>
        <v>41453</v>
      </c>
      <c r="F709" s="712">
        <v>95.83</v>
      </c>
      <c r="G709" s="713">
        <f t="shared" si="142"/>
        <v>1.4900000000000011</v>
      </c>
      <c r="H709" s="713">
        <f t="shared" si="143"/>
        <v>1.4900000000000011</v>
      </c>
      <c r="I709" s="697"/>
      <c r="J709" s="697"/>
      <c r="K709" s="697"/>
      <c r="L709" s="697"/>
      <c r="M709" s="697"/>
      <c r="N709" s="697"/>
      <c r="O709" s="697"/>
      <c r="P709" s="697"/>
      <c r="Q709" s="697"/>
      <c r="R709" s="697"/>
      <c r="S709" s="697"/>
      <c r="T709" s="697"/>
      <c r="U709" s="697"/>
      <c r="V709" s="697"/>
      <c r="W709" s="697"/>
      <c r="X709" s="697"/>
      <c r="Y709" s="697"/>
      <c r="Z709" s="697"/>
      <c r="AA709" s="697"/>
      <c r="AB709" s="697"/>
      <c r="AC709" s="697"/>
      <c r="AD709" s="697"/>
      <c r="AE709" s="697"/>
      <c r="AF709" s="697"/>
      <c r="AG709" s="697"/>
      <c r="AH709" s="697"/>
      <c r="AI709" s="697"/>
      <c r="AJ709" s="697"/>
      <c r="AK709" s="697"/>
      <c r="AL709" s="697"/>
      <c r="AM709" s="697"/>
      <c r="AN709" s="697"/>
      <c r="AO709" s="697"/>
      <c r="AP709" s="697"/>
      <c r="AQ709" s="697"/>
      <c r="AR709" s="697"/>
      <c r="AS709" s="697"/>
      <c r="AT709" s="697"/>
      <c r="AU709" s="697"/>
      <c r="AV709" s="697"/>
      <c r="AW709" s="697"/>
      <c r="AX709" s="697"/>
      <c r="AY709" s="697"/>
      <c r="AZ709" s="697"/>
      <c r="BA709" s="697"/>
      <c r="BB709" s="697"/>
      <c r="BC709" s="697"/>
      <c r="BD709" s="697"/>
      <c r="BE709" s="697"/>
      <c r="BF709" s="697"/>
      <c r="BG709" s="697"/>
      <c r="BH709" s="697"/>
      <c r="BI709" s="697"/>
      <c r="BJ709" s="697"/>
      <c r="BK709" s="697"/>
      <c r="BL709" s="697"/>
      <c r="BM709" s="697"/>
      <c r="BN709" s="697"/>
      <c r="BO709" s="697"/>
      <c r="BP709" s="697"/>
      <c r="BQ709" s="697"/>
      <c r="BR709" s="697"/>
      <c r="BS709" s="697"/>
      <c r="BT709" s="697"/>
      <c r="BU709" s="697"/>
      <c r="BV709" s="697"/>
      <c r="BW709" s="697"/>
      <c r="BX709" s="697"/>
      <c r="BY709" s="697"/>
      <c r="BZ709" s="697"/>
      <c r="CA709" s="697"/>
      <c r="CB709" s="697"/>
      <c r="CC709" s="697"/>
      <c r="CD709" s="697"/>
      <c r="CE709" s="697"/>
      <c r="CF709" s="697"/>
      <c r="CG709" s="697"/>
      <c r="CH709" s="697"/>
      <c r="CI709" s="697"/>
      <c r="CJ709" s="697"/>
      <c r="CK709" s="697"/>
      <c r="CL709" s="697"/>
      <c r="CM709" s="697"/>
      <c r="CN709" s="697"/>
      <c r="CO709" s="697"/>
      <c r="CP709" s="697"/>
      <c r="CQ709" s="697"/>
      <c r="CR709" s="697"/>
      <c r="CS709" s="697"/>
      <c r="CT709" s="697"/>
      <c r="CU709" s="697"/>
      <c r="CV709" s="697"/>
      <c r="CW709" s="697"/>
      <c r="CX709" s="697"/>
      <c r="CY709" s="697"/>
      <c r="CZ709" s="697"/>
      <c r="DA709" s="697"/>
    </row>
    <row r="710" spans="1:105" x14ac:dyDescent="0.2">
      <c r="A710" s="709">
        <f t="shared" si="139"/>
        <v>41456</v>
      </c>
      <c r="B710" s="709" t="str">
        <f t="shared" si="140"/>
        <v>3Q13</v>
      </c>
      <c r="C710" s="709" t="str">
        <f t="shared" si="141"/>
        <v>3Q13</v>
      </c>
      <c r="D710" s="710">
        <f t="shared" si="144"/>
        <v>41520</v>
      </c>
      <c r="E710" s="710">
        <f t="shared" si="144"/>
        <v>41460</v>
      </c>
      <c r="F710" s="712">
        <v>100.65</v>
      </c>
      <c r="G710" s="713">
        <f t="shared" si="142"/>
        <v>1.4900000000000011</v>
      </c>
      <c r="H710" s="713">
        <f t="shared" si="143"/>
        <v>1.4900000000000011</v>
      </c>
      <c r="I710" s="697"/>
      <c r="J710" s="697"/>
      <c r="K710" s="697"/>
      <c r="L710" s="697"/>
      <c r="M710" s="697"/>
      <c r="N710" s="697"/>
      <c r="O710" s="697"/>
      <c r="P710" s="697"/>
      <c r="Q710" s="697"/>
      <c r="R710" s="697"/>
      <c r="S710" s="697"/>
      <c r="T710" s="697"/>
      <c r="U710" s="697"/>
      <c r="V710" s="697"/>
      <c r="W710" s="697"/>
      <c r="X710" s="697"/>
      <c r="Y710" s="697"/>
      <c r="Z710" s="697"/>
      <c r="AA710" s="697"/>
      <c r="AB710" s="697"/>
      <c r="AC710" s="697"/>
      <c r="AD710" s="697"/>
      <c r="AE710" s="697"/>
      <c r="AF710" s="697"/>
      <c r="AG710" s="697"/>
      <c r="AH710" s="697"/>
      <c r="AI710" s="697"/>
      <c r="AJ710" s="697"/>
      <c r="AK710" s="697"/>
      <c r="AL710" s="697"/>
      <c r="AM710" s="697"/>
      <c r="AN710" s="697"/>
      <c r="AO710" s="697"/>
      <c r="AP710" s="697"/>
      <c r="AQ710" s="697"/>
      <c r="AR710" s="697"/>
      <c r="AS710" s="697"/>
      <c r="AT710" s="697"/>
      <c r="AU710" s="697"/>
      <c r="AV710" s="697"/>
      <c r="AW710" s="697"/>
      <c r="AX710" s="697"/>
      <c r="AY710" s="697"/>
      <c r="AZ710" s="697"/>
      <c r="BA710" s="697"/>
      <c r="BB710" s="697"/>
      <c r="BC710" s="697"/>
      <c r="BD710" s="697"/>
      <c r="BE710" s="697"/>
      <c r="BF710" s="697"/>
      <c r="BG710" s="697"/>
      <c r="BH710" s="697"/>
      <c r="BI710" s="697"/>
      <c r="BJ710" s="697"/>
      <c r="BK710" s="697"/>
      <c r="BL710" s="697"/>
      <c r="BM710" s="697"/>
      <c r="BN710" s="697"/>
      <c r="BO710" s="697"/>
      <c r="BP710" s="697"/>
      <c r="BQ710" s="697"/>
      <c r="BR710" s="697"/>
      <c r="BS710" s="697"/>
      <c r="BT710" s="697"/>
      <c r="BU710" s="697"/>
      <c r="BV710" s="697"/>
      <c r="BW710" s="697"/>
      <c r="BX710" s="697"/>
      <c r="BY710" s="697"/>
      <c r="BZ710" s="697"/>
      <c r="CA710" s="697"/>
      <c r="CB710" s="697"/>
      <c r="CC710" s="697"/>
      <c r="CD710" s="697"/>
      <c r="CE710" s="697"/>
      <c r="CF710" s="697"/>
      <c r="CG710" s="697"/>
      <c r="CH710" s="697"/>
      <c r="CI710" s="697"/>
      <c r="CJ710" s="697"/>
      <c r="CK710" s="697"/>
      <c r="CL710" s="697"/>
      <c r="CM710" s="697"/>
      <c r="CN710" s="697"/>
      <c r="CO710" s="697"/>
      <c r="CP710" s="697"/>
      <c r="CQ710" s="697"/>
      <c r="CR710" s="697"/>
      <c r="CS710" s="697"/>
      <c r="CT710" s="697"/>
      <c r="CU710" s="697"/>
      <c r="CV710" s="697"/>
      <c r="CW710" s="697"/>
      <c r="CX710" s="697"/>
      <c r="CY710" s="697"/>
      <c r="CZ710" s="697"/>
      <c r="DA710" s="697"/>
    </row>
    <row r="711" spans="1:105" x14ac:dyDescent="0.2">
      <c r="A711" s="709">
        <f t="shared" si="139"/>
        <v>41456</v>
      </c>
      <c r="B711" s="709" t="str">
        <f t="shared" si="140"/>
        <v>3Q13</v>
      </c>
      <c r="C711" s="709" t="str">
        <f t="shared" si="141"/>
        <v>3Q13</v>
      </c>
      <c r="D711" s="710">
        <f t="shared" si="144"/>
        <v>41527</v>
      </c>
      <c r="E711" s="710">
        <f t="shared" si="144"/>
        <v>41467</v>
      </c>
      <c r="F711" s="712">
        <v>104.7</v>
      </c>
      <c r="G711" s="713">
        <f t="shared" si="142"/>
        <v>1.4900000000000011</v>
      </c>
      <c r="H711" s="713">
        <f t="shared" si="143"/>
        <v>1.4900000000000011</v>
      </c>
      <c r="I711" s="697"/>
      <c r="J711" s="697"/>
      <c r="K711" s="697"/>
      <c r="L711" s="697"/>
      <c r="M711" s="697"/>
      <c r="N711" s="697"/>
      <c r="O711" s="697"/>
      <c r="P711" s="697"/>
      <c r="Q711" s="697"/>
      <c r="R711" s="697"/>
      <c r="S711" s="697"/>
      <c r="T711" s="697"/>
      <c r="U711" s="697"/>
      <c r="V711" s="697"/>
      <c r="W711" s="697"/>
      <c r="X711" s="697"/>
      <c r="Y711" s="697"/>
      <c r="Z711" s="697"/>
      <c r="AA711" s="697"/>
      <c r="AB711" s="697"/>
      <c r="AC711" s="697"/>
      <c r="AD711" s="697"/>
      <c r="AE711" s="697"/>
      <c r="AF711" s="697"/>
      <c r="AG711" s="697"/>
      <c r="AH711" s="697"/>
      <c r="AI711" s="697"/>
      <c r="AJ711" s="697"/>
      <c r="AK711" s="697"/>
      <c r="AL711" s="697"/>
      <c r="AM711" s="697"/>
      <c r="AN711" s="697"/>
      <c r="AO711" s="697"/>
      <c r="AP711" s="697"/>
      <c r="AQ711" s="697"/>
      <c r="AR711" s="697"/>
      <c r="AS711" s="697"/>
      <c r="AT711" s="697"/>
      <c r="AU711" s="697"/>
      <c r="AV711" s="697"/>
      <c r="AW711" s="697"/>
      <c r="AX711" s="697"/>
      <c r="AY711" s="697"/>
      <c r="AZ711" s="697"/>
      <c r="BA711" s="697"/>
      <c r="BB711" s="697"/>
      <c r="BC711" s="697"/>
      <c r="BD711" s="697"/>
      <c r="BE711" s="697"/>
      <c r="BF711" s="697"/>
      <c r="BG711" s="697"/>
      <c r="BH711" s="697"/>
      <c r="BI711" s="697"/>
      <c r="BJ711" s="697"/>
      <c r="BK711" s="697"/>
      <c r="BL711" s="697"/>
      <c r="BM711" s="697"/>
      <c r="BN711" s="697"/>
      <c r="BO711" s="697"/>
      <c r="BP711" s="697"/>
      <c r="BQ711" s="697"/>
      <c r="BR711" s="697"/>
      <c r="BS711" s="697"/>
      <c r="BT711" s="697"/>
      <c r="BU711" s="697"/>
      <c r="BV711" s="697"/>
      <c r="BW711" s="697"/>
      <c r="BX711" s="697"/>
      <c r="BY711" s="697"/>
      <c r="BZ711" s="697"/>
      <c r="CA711" s="697"/>
      <c r="CB711" s="697"/>
      <c r="CC711" s="697"/>
      <c r="CD711" s="697"/>
      <c r="CE711" s="697"/>
      <c r="CF711" s="697"/>
      <c r="CG711" s="697"/>
      <c r="CH711" s="697"/>
      <c r="CI711" s="697"/>
      <c r="CJ711" s="697"/>
      <c r="CK711" s="697"/>
      <c r="CL711" s="697"/>
      <c r="CM711" s="697"/>
      <c r="CN711" s="697"/>
      <c r="CO711" s="697"/>
      <c r="CP711" s="697"/>
      <c r="CQ711" s="697"/>
      <c r="CR711" s="697"/>
      <c r="CS711" s="697"/>
      <c r="CT711" s="697"/>
      <c r="CU711" s="697"/>
      <c r="CV711" s="697"/>
      <c r="CW711" s="697"/>
      <c r="CX711" s="697"/>
      <c r="CY711" s="697"/>
      <c r="CZ711" s="697"/>
      <c r="DA711" s="697"/>
    </row>
    <row r="712" spans="1:105" x14ac:dyDescent="0.2">
      <c r="A712" s="709">
        <f t="shared" si="139"/>
        <v>41456</v>
      </c>
      <c r="B712" s="709" t="str">
        <f t="shared" si="140"/>
        <v>3Q13</v>
      </c>
      <c r="C712" s="709" t="str">
        <f t="shared" si="141"/>
        <v>3Q13</v>
      </c>
      <c r="D712" s="710">
        <f t="shared" si="144"/>
        <v>41534</v>
      </c>
      <c r="E712" s="710">
        <f t="shared" si="144"/>
        <v>41474</v>
      </c>
      <c r="F712" s="712">
        <v>106.88</v>
      </c>
      <c r="G712" s="713">
        <f t="shared" si="142"/>
        <v>1.4900000000000011</v>
      </c>
      <c r="H712" s="713">
        <f t="shared" si="143"/>
        <v>1.4900000000000011</v>
      </c>
      <c r="I712" s="697"/>
      <c r="J712" s="697"/>
      <c r="K712" s="697"/>
      <c r="L712" s="697"/>
      <c r="M712" s="697"/>
      <c r="N712" s="697"/>
      <c r="O712" s="697"/>
      <c r="P712" s="697"/>
      <c r="Q712" s="697"/>
      <c r="R712" s="697"/>
      <c r="S712" s="697"/>
      <c r="T712" s="697"/>
      <c r="U712" s="697"/>
      <c r="V712" s="697"/>
      <c r="W712" s="697"/>
      <c r="X712" s="697"/>
      <c r="Y712" s="697"/>
      <c r="Z712" s="697"/>
      <c r="AA712" s="697"/>
      <c r="AB712" s="697"/>
      <c r="AC712" s="697"/>
      <c r="AD712" s="697"/>
      <c r="AE712" s="697"/>
      <c r="AF712" s="697"/>
      <c r="AG712" s="697"/>
      <c r="AH712" s="697"/>
      <c r="AI712" s="697"/>
      <c r="AJ712" s="697"/>
      <c r="AK712" s="697"/>
      <c r="AL712" s="697"/>
      <c r="AM712" s="697"/>
      <c r="AN712" s="697"/>
      <c r="AO712" s="697"/>
      <c r="AP712" s="697"/>
      <c r="AQ712" s="697"/>
      <c r="AR712" s="697"/>
      <c r="AS712" s="697"/>
      <c r="AT712" s="697"/>
      <c r="AU712" s="697"/>
      <c r="AV712" s="697"/>
      <c r="AW712" s="697"/>
      <c r="AX712" s="697"/>
      <c r="AY712" s="697"/>
      <c r="AZ712" s="697"/>
      <c r="BA712" s="697"/>
      <c r="BB712" s="697"/>
      <c r="BC712" s="697"/>
      <c r="BD712" s="697"/>
      <c r="BE712" s="697"/>
      <c r="BF712" s="697"/>
      <c r="BG712" s="697"/>
      <c r="BH712" s="697"/>
      <c r="BI712" s="697"/>
      <c r="BJ712" s="697"/>
      <c r="BK712" s="697"/>
      <c r="BL712" s="697"/>
      <c r="BM712" s="697"/>
      <c r="BN712" s="697"/>
      <c r="BO712" s="697"/>
      <c r="BP712" s="697"/>
      <c r="BQ712" s="697"/>
      <c r="BR712" s="697"/>
      <c r="BS712" s="697"/>
      <c r="BT712" s="697"/>
      <c r="BU712" s="697"/>
      <c r="BV712" s="697"/>
      <c r="BW712" s="697"/>
      <c r="BX712" s="697"/>
      <c r="BY712" s="697"/>
      <c r="BZ712" s="697"/>
      <c r="CA712" s="697"/>
      <c r="CB712" s="697"/>
      <c r="CC712" s="697"/>
      <c r="CD712" s="697"/>
      <c r="CE712" s="697"/>
      <c r="CF712" s="697"/>
      <c r="CG712" s="697"/>
      <c r="CH712" s="697"/>
      <c r="CI712" s="697"/>
      <c r="CJ712" s="697"/>
      <c r="CK712" s="697"/>
      <c r="CL712" s="697"/>
      <c r="CM712" s="697"/>
      <c r="CN712" s="697"/>
      <c r="CO712" s="697"/>
      <c r="CP712" s="697"/>
      <c r="CQ712" s="697"/>
      <c r="CR712" s="697"/>
      <c r="CS712" s="697"/>
      <c r="CT712" s="697"/>
      <c r="CU712" s="697"/>
      <c r="CV712" s="697"/>
      <c r="CW712" s="697"/>
      <c r="CX712" s="697"/>
      <c r="CY712" s="697"/>
      <c r="CZ712" s="697"/>
      <c r="DA712" s="697"/>
    </row>
    <row r="713" spans="1:105" x14ac:dyDescent="0.2">
      <c r="A713" s="709">
        <f t="shared" si="139"/>
        <v>41456</v>
      </c>
      <c r="B713" s="709" t="str">
        <f t="shared" si="140"/>
        <v>3Q13</v>
      </c>
      <c r="C713" s="709" t="str">
        <f t="shared" si="141"/>
        <v>3Q13</v>
      </c>
      <c r="D713" s="710">
        <f t="shared" si="144"/>
        <v>41541</v>
      </c>
      <c r="E713" s="710">
        <f t="shared" si="144"/>
        <v>41481</v>
      </c>
      <c r="F713" s="712">
        <v>105.88</v>
      </c>
      <c r="G713" s="713">
        <f t="shared" si="142"/>
        <v>1.4900000000000011</v>
      </c>
      <c r="H713" s="713">
        <f t="shared" si="143"/>
        <v>1.4900000000000011</v>
      </c>
      <c r="I713" s="697"/>
      <c r="J713" s="697"/>
      <c r="K713" s="697"/>
      <c r="L713" s="697"/>
      <c r="M713" s="697"/>
      <c r="N713" s="697"/>
      <c r="O713" s="697"/>
      <c r="P713" s="697"/>
      <c r="Q713" s="697"/>
      <c r="R713" s="697"/>
      <c r="S713" s="697"/>
      <c r="T713" s="697"/>
      <c r="U713" s="697"/>
      <c r="V713" s="697"/>
      <c r="W713" s="697"/>
      <c r="X713" s="697"/>
      <c r="Y713" s="697"/>
      <c r="Z713" s="697"/>
      <c r="AA713" s="697"/>
      <c r="AB713" s="697"/>
      <c r="AC713" s="697"/>
      <c r="AD713" s="697"/>
      <c r="AE713" s="697"/>
      <c r="AF713" s="697"/>
      <c r="AG713" s="697"/>
      <c r="AH713" s="697"/>
      <c r="AI713" s="697"/>
      <c r="AJ713" s="697"/>
      <c r="AK713" s="697"/>
      <c r="AL713" s="697"/>
      <c r="AM713" s="697"/>
      <c r="AN713" s="697"/>
      <c r="AO713" s="697"/>
      <c r="AP713" s="697"/>
      <c r="AQ713" s="697"/>
      <c r="AR713" s="697"/>
      <c r="AS713" s="697"/>
      <c r="AT713" s="697"/>
      <c r="AU713" s="697"/>
      <c r="AV713" s="697"/>
      <c r="AW713" s="697"/>
      <c r="AX713" s="697"/>
      <c r="AY713" s="697"/>
      <c r="AZ713" s="697"/>
      <c r="BA713" s="697"/>
      <c r="BB713" s="697"/>
      <c r="BC713" s="697"/>
      <c r="BD713" s="697"/>
      <c r="BE713" s="697"/>
      <c r="BF713" s="697"/>
      <c r="BG713" s="697"/>
      <c r="BH713" s="697"/>
      <c r="BI713" s="697"/>
      <c r="BJ713" s="697"/>
      <c r="BK713" s="697"/>
      <c r="BL713" s="697"/>
      <c r="BM713" s="697"/>
      <c r="BN713" s="697"/>
      <c r="BO713" s="697"/>
      <c r="BP713" s="697"/>
      <c r="BQ713" s="697"/>
      <c r="BR713" s="697"/>
      <c r="BS713" s="697"/>
      <c r="BT713" s="697"/>
      <c r="BU713" s="697"/>
      <c r="BV713" s="697"/>
      <c r="BW713" s="697"/>
      <c r="BX713" s="697"/>
      <c r="BY713" s="697"/>
      <c r="BZ713" s="697"/>
      <c r="CA713" s="697"/>
      <c r="CB713" s="697"/>
      <c r="CC713" s="697"/>
      <c r="CD713" s="697"/>
      <c r="CE713" s="697"/>
      <c r="CF713" s="697"/>
      <c r="CG713" s="697"/>
      <c r="CH713" s="697"/>
      <c r="CI713" s="697"/>
      <c r="CJ713" s="697"/>
      <c r="CK713" s="697"/>
      <c r="CL713" s="697"/>
      <c r="CM713" s="697"/>
      <c r="CN713" s="697"/>
      <c r="CO713" s="697"/>
      <c r="CP713" s="697"/>
      <c r="CQ713" s="697"/>
      <c r="CR713" s="697"/>
      <c r="CS713" s="697"/>
      <c r="CT713" s="697"/>
      <c r="CU713" s="697"/>
      <c r="CV713" s="697"/>
      <c r="CW713" s="697"/>
      <c r="CX713" s="697"/>
      <c r="CY713" s="697"/>
      <c r="CZ713" s="697"/>
      <c r="DA713" s="697"/>
    </row>
    <row r="714" spans="1:105" x14ac:dyDescent="0.2">
      <c r="A714" s="709">
        <f t="shared" si="139"/>
        <v>41487</v>
      </c>
      <c r="B714" s="709" t="str">
        <f t="shared" si="140"/>
        <v>3Q13</v>
      </c>
      <c r="C714" s="709" t="str">
        <f t="shared" si="141"/>
        <v>4Q13</v>
      </c>
      <c r="D714" s="710">
        <f t="shared" si="144"/>
        <v>41548</v>
      </c>
      <c r="E714" s="710">
        <f t="shared" si="144"/>
        <v>41488</v>
      </c>
      <c r="F714" s="712">
        <v>105.54</v>
      </c>
      <c r="G714" s="713">
        <f t="shared" si="142"/>
        <v>1.4900000000000011</v>
      </c>
      <c r="H714" s="713">
        <f t="shared" si="143"/>
        <v>1.4900000000000011</v>
      </c>
      <c r="I714" s="697"/>
      <c r="J714" s="697"/>
      <c r="K714" s="697"/>
      <c r="L714" s="697"/>
      <c r="M714" s="697"/>
      <c r="N714" s="697"/>
      <c r="O714" s="697"/>
      <c r="P714" s="697"/>
      <c r="Q714" s="697"/>
      <c r="R714" s="697"/>
      <c r="S714" s="697"/>
      <c r="T714" s="697"/>
      <c r="U714" s="697"/>
      <c r="V714" s="697"/>
      <c r="W714" s="697"/>
      <c r="X714" s="697"/>
      <c r="Y714" s="697"/>
      <c r="Z714" s="697"/>
      <c r="AA714" s="697"/>
      <c r="AB714" s="697"/>
      <c r="AC714" s="697"/>
      <c r="AD714" s="697"/>
      <c r="AE714" s="697"/>
      <c r="AF714" s="697"/>
      <c r="AG714" s="697"/>
      <c r="AH714" s="697"/>
      <c r="AI714" s="697"/>
      <c r="AJ714" s="697"/>
      <c r="AK714" s="697"/>
      <c r="AL714" s="697"/>
      <c r="AM714" s="697"/>
      <c r="AN714" s="697"/>
      <c r="AO714" s="697"/>
      <c r="AP714" s="697"/>
      <c r="AQ714" s="697"/>
      <c r="AR714" s="697"/>
      <c r="AS714" s="697"/>
      <c r="AT714" s="697"/>
      <c r="AU714" s="697"/>
      <c r="AV714" s="697"/>
      <c r="AW714" s="697"/>
      <c r="AX714" s="697"/>
      <c r="AY714" s="697"/>
      <c r="AZ714" s="697"/>
      <c r="BA714" s="697"/>
      <c r="BB714" s="697"/>
      <c r="BC714" s="697"/>
      <c r="BD714" s="697"/>
      <c r="BE714" s="697"/>
      <c r="BF714" s="697"/>
      <c r="BG714" s="697"/>
      <c r="BH714" s="697"/>
      <c r="BI714" s="697"/>
      <c r="BJ714" s="697"/>
      <c r="BK714" s="697"/>
      <c r="BL714" s="697"/>
      <c r="BM714" s="697"/>
      <c r="BN714" s="697"/>
      <c r="BO714" s="697"/>
      <c r="BP714" s="697"/>
      <c r="BQ714" s="697"/>
      <c r="BR714" s="697"/>
      <c r="BS714" s="697"/>
      <c r="BT714" s="697"/>
      <c r="BU714" s="697"/>
      <c r="BV714" s="697"/>
      <c r="BW714" s="697"/>
      <c r="BX714" s="697"/>
      <c r="BY714" s="697"/>
      <c r="BZ714" s="697"/>
      <c r="CA714" s="697"/>
      <c r="CB714" s="697"/>
      <c r="CC714" s="697"/>
      <c r="CD714" s="697"/>
      <c r="CE714" s="697"/>
      <c r="CF714" s="697"/>
      <c r="CG714" s="697"/>
      <c r="CH714" s="697"/>
      <c r="CI714" s="697"/>
      <c r="CJ714" s="697"/>
      <c r="CK714" s="697"/>
      <c r="CL714" s="697"/>
      <c r="CM714" s="697"/>
      <c r="CN714" s="697"/>
      <c r="CO714" s="697"/>
      <c r="CP714" s="697"/>
      <c r="CQ714" s="697"/>
      <c r="CR714" s="697"/>
      <c r="CS714" s="697"/>
      <c r="CT714" s="697"/>
      <c r="CU714" s="697"/>
      <c r="CV714" s="697"/>
      <c r="CW714" s="697"/>
      <c r="CX714" s="697"/>
      <c r="CY714" s="697"/>
      <c r="CZ714" s="697"/>
      <c r="DA714" s="697"/>
    </row>
    <row r="715" spans="1:105" x14ac:dyDescent="0.2">
      <c r="A715" s="709">
        <f t="shared" si="139"/>
        <v>41487</v>
      </c>
      <c r="B715" s="709" t="str">
        <f t="shared" si="140"/>
        <v>3Q13</v>
      </c>
      <c r="C715" s="709" t="str">
        <f t="shared" si="141"/>
        <v>4Q13</v>
      </c>
      <c r="D715" s="710">
        <f t="shared" si="144"/>
        <v>41555</v>
      </c>
      <c r="E715" s="710">
        <f t="shared" si="144"/>
        <v>41495</v>
      </c>
      <c r="F715" s="712">
        <v>105.17</v>
      </c>
      <c r="G715" s="713">
        <f t="shared" si="142"/>
        <v>1.4900000000000011</v>
      </c>
      <c r="H715" s="713">
        <f t="shared" si="143"/>
        <v>1.4900000000000011</v>
      </c>
      <c r="I715" s="697"/>
      <c r="J715" s="697"/>
      <c r="K715" s="697"/>
      <c r="L715" s="697"/>
      <c r="M715" s="697"/>
      <c r="N715" s="697"/>
      <c r="O715" s="697"/>
      <c r="P715" s="697"/>
      <c r="Q715" s="697"/>
      <c r="R715" s="697"/>
      <c r="S715" s="697"/>
      <c r="T715" s="697"/>
      <c r="U715" s="697"/>
      <c r="V715" s="697"/>
      <c r="W715" s="697"/>
      <c r="X715" s="697"/>
      <c r="Y715" s="697"/>
      <c r="Z715" s="697"/>
      <c r="AA715" s="697"/>
      <c r="AB715" s="697"/>
      <c r="AC715" s="697"/>
      <c r="AD715" s="697"/>
      <c r="AE715" s="697"/>
      <c r="AF715" s="697"/>
      <c r="AG715" s="697"/>
      <c r="AH715" s="697"/>
      <c r="AI715" s="697"/>
      <c r="AJ715" s="697"/>
      <c r="AK715" s="697"/>
      <c r="AL715" s="697"/>
      <c r="AM715" s="697"/>
      <c r="AN715" s="697"/>
      <c r="AO715" s="697"/>
      <c r="AP715" s="697"/>
      <c r="AQ715" s="697"/>
      <c r="AR715" s="697"/>
      <c r="AS715" s="697"/>
      <c r="AT715" s="697"/>
      <c r="AU715" s="697"/>
      <c r="AV715" s="697"/>
      <c r="AW715" s="697"/>
      <c r="AX715" s="697"/>
      <c r="AY715" s="697"/>
      <c r="AZ715" s="697"/>
      <c r="BA715" s="697"/>
      <c r="BB715" s="697"/>
      <c r="BC715" s="697"/>
      <c r="BD715" s="697"/>
      <c r="BE715" s="697"/>
      <c r="BF715" s="697"/>
      <c r="BG715" s="697"/>
      <c r="BH715" s="697"/>
      <c r="BI715" s="697"/>
      <c r="BJ715" s="697"/>
      <c r="BK715" s="697"/>
      <c r="BL715" s="697"/>
      <c r="BM715" s="697"/>
      <c r="BN715" s="697"/>
      <c r="BO715" s="697"/>
      <c r="BP715" s="697"/>
      <c r="BQ715" s="697"/>
      <c r="BR715" s="697"/>
      <c r="BS715" s="697"/>
      <c r="BT715" s="697"/>
      <c r="BU715" s="697"/>
      <c r="BV715" s="697"/>
      <c r="BW715" s="697"/>
      <c r="BX715" s="697"/>
      <c r="BY715" s="697"/>
      <c r="BZ715" s="697"/>
      <c r="CA715" s="697"/>
      <c r="CB715" s="697"/>
      <c r="CC715" s="697"/>
      <c r="CD715" s="697"/>
      <c r="CE715" s="697"/>
      <c r="CF715" s="697"/>
      <c r="CG715" s="697"/>
      <c r="CH715" s="697"/>
      <c r="CI715" s="697"/>
      <c r="CJ715" s="697"/>
      <c r="CK715" s="697"/>
      <c r="CL715" s="697"/>
      <c r="CM715" s="697"/>
      <c r="CN715" s="697"/>
      <c r="CO715" s="697"/>
      <c r="CP715" s="697"/>
      <c r="CQ715" s="697"/>
      <c r="CR715" s="697"/>
      <c r="CS715" s="697"/>
      <c r="CT715" s="697"/>
      <c r="CU715" s="697"/>
      <c r="CV715" s="697"/>
      <c r="CW715" s="697"/>
      <c r="CX715" s="697"/>
      <c r="CY715" s="697"/>
      <c r="CZ715" s="697"/>
      <c r="DA715" s="697"/>
    </row>
    <row r="716" spans="1:105" x14ac:dyDescent="0.2">
      <c r="A716" s="709">
        <f t="shared" si="139"/>
        <v>41487</v>
      </c>
      <c r="B716" s="709" t="str">
        <f t="shared" si="140"/>
        <v>3Q13</v>
      </c>
      <c r="C716" s="709" t="str">
        <f t="shared" si="141"/>
        <v>4Q13</v>
      </c>
      <c r="D716" s="710">
        <f t="shared" si="144"/>
        <v>41562</v>
      </c>
      <c r="E716" s="710">
        <f t="shared" si="144"/>
        <v>41502</v>
      </c>
      <c r="F716" s="712">
        <v>106.97</v>
      </c>
      <c r="G716" s="713">
        <f t="shared" si="142"/>
        <v>1.4900000000000011</v>
      </c>
      <c r="H716" s="713">
        <f t="shared" si="143"/>
        <v>1.4900000000000011</v>
      </c>
      <c r="I716" s="697"/>
      <c r="J716" s="697"/>
      <c r="K716" s="697"/>
      <c r="L716" s="697"/>
      <c r="M716" s="697"/>
      <c r="N716" s="697"/>
      <c r="O716" s="697"/>
      <c r="P716" s="697"/>
      <c r="Q716" s="697"/>
      <c r="R716" s="697"/>
      <c r="S716" s="697"/>
      <c r="T716" s="697"/>
      <c r="U716" s="697"/>
      <c r="V716" s="697"/>
      <c r="W716" s="697"/>
      <c r="X716" s="697"/>
      <c r="Y716" s="697"/>
      <c r="Z716" s="697"/>
      <c r="AA716" s="697"/>
      <c r="AB716" s="697"/>
      <c r="AC716" s="697"/>
      <c r="AD716" s="697"/>
      <c r="AE716" s="697"/>
      <c r="AF716" s="697"/>
      <c r="AG716" s="697"/>
      <c r="AH716" s="697"/>
      <c r="AI716" s="697"/>
      <c r="AJ716" s="697"/>
      <c r="AK716" s="697"/>
      <c r="AL716" s="697"/>
      <c r="AM716" s="697"/>
      <c r="AN716" s="697"/>
      <c r="AO716" s="697"/>
      <c r="AP716" s="697"/>
      <c r="AQ716" s="697"/>
      <c r="AR716" s="697"/>
      <c r="AS716" s="697"/>
      <c r="AT716" s="697"/>
      <c r="AU716" s="697"/>
      <c r="AV716" s="697"/>
      <c r="AW716" s="697"/>
      <c r="AX716" s="697"/>
      <c r="AY716" s="697"/>
      <c r="AZ716" s="697"/>
      <c r="BA716" s="697"/>
      <c r="BB716" s="697"/>
      <c r="BC716" s="697"/>
      <c r="BD716" s="697"/>
      <c r="BE716" s="697"/>
      <c r="BF716" s="697"/>
      <c r="BG716" s="697"/>
      <c r="BH716" s="697"/>
      <c r="BI716" s="697"/>
      <c r="BJ716" s="697"/>
      <c r="BK716" s="697"/>
      <c r="BL716" s="697"/>
      <c r="BM716" s="697"/>
      <c r="BN716" s="697"/>
      <c r="BO716" s="697"/>
      <c r="BP716" s="697"/>
      <c r="BQ716" s="697"/>
      <c r="BR716" s="697"/>
      <c r="BS716" s="697"/>
      <c r="BT716" s="697"/>
      <c r="BU716" s="697"/>
      <c r="BV716" s="697"/>
      <c r="BW716" s="697"/>
      <c r="BX716" s="697"/>
      <c r="BY716" s="697"/>
      <c r="BZ716" s="697"/>
      <c r="CA716" s="697"/>
      <c r="CB716" s="697"/>
      <c r="CC716" s="697"/>
      <c r="CD716" s="697"/>
      <c r="CE716" s="697"/>
      <c r="CF716" s="697"/>
      <c r="CG716" s="697"/>
      <c r="CH716" s="697"/>
      <c r="CI716" s="697"/>
      <c r="CJ716" s="697"/>
      <c r="CK716" s="697"/>
      <c r="CL716" s="697"/>
      <c r="CM716" s="697"/>
      <c r="CN716" s="697"/>
      <c r="CO716" s="697"/>
      <c r="CP716" s="697"/>
      <c r="CQ716" s="697"/>
      <c r="CR716" s="697"/>
      <c r="CS716" s="697"/>
      <c r="CT716" s="697"/>
      <c r="CU716" s="697"/>
      <c r="CV716" s="697"/>
      <c r="CW716" s="697"/>
      <c r="CX716" s="697"/>
      <c r="CY716" s="697"/>
      <c r="CZ716" s="697"/>
      <c r="DA716" s="697"/>
    </row>
    <row r="717" spans="1:105" x14ac:dyDescent="0.2">
      <c r="A717" s="709">
        <f t="shared" si="139"/>
        <v>41487</v>
      </c>
      <c r="B717" s="709" t="str">
        <f t="shared" si="140"/>
        <v>3Q13</v>
      </c>
      <c r="C717" s="709" t="str">
        <f t="shared" si="141"/>
        <v>4Q13</v>
      </c>
      <c r="D717" s="710">
        <f t="shared" si="144"/>
        <v>41569</v>
      </c>
      <c r="E717" s="710">
        <f t="shared" si="144"/>
        <v>41509</v>
      </c>
      <c r="F717" s="712">
        <v>105.48</v>
      </c>
      <c r="G717" s="713">
        <f t="shared" si="142"/>
        <v>1.4900000000000011</v>
      </c>
      <c r="H717" s="713">
        <f t="shared" si="143"/>
        <v>1.4900000000000011</v>
      </c>
      <c r="I717" s="697"/>
      <c r="J717" s="697"/>
      <c r="K717" s="697"/>
      <c r="L717" s="697"/>
      <c r="M717" s="697"/>
      <c r="N717" s="697"/>
      <c r="O717" s="697"/>
      <c r="P717" s="697"/>
      <c r="Q717" s="697"/>
      <c r="R717" s="697"/>
      <c r="S717" s="697"/>
      <c r="T717" s="697"/>
      <c r="U717" s="697"/>
      <c r="V717" s="697"/>
      <c r="W717" s="697"/>
      <c r="X717" s="697"/>
      <c r="Y717" s="697"/>
      <c r="Z717" s="697"/>
      <c r="AA717" s="697"/>
      <c r="AB717" s="697"/>
      <c r="AC717" s="697"/>
      <c r="AD717" s="697"/>
      <c r="AE717" s="697"/>
      <c r="AF717" s="697"/>
      <c r="AG717" s="697"/>
      <c r="AH717" s="697"/>
      <c r="AI717" s="697"/>
      <c r="AJ717" s="697"/>
      <c r="AK717" s="697"/>
      <c r="AL717" s="697"/>
      <c r="AM717" s="697"/>
      <c r="AN717" s="697"/>
      <c r="AO717" s="697"/>
      <c r="AP717" s="697"/>
      <c r="AQ717" s="697"/>
      <c r="AR717" s="697"/>
      <c r="AS717" s="697"/>
      <c r="AT717" s="697"/>
      <c r="AU717" s="697"/>
      <c r="AV717" s="697"/>
      <c r="AW717" s="697"/>
      <c r="AX717" s="697"/>
      <c r="AY717" s="697"/>
      <c r="AZ717" s="697"/>
      <c r="BA717" s="697"/>
      <c r="BB717" s="697"/>
      <c r="BC717" s="697"/>
      <c r="BD717" s="697"/>
      <c r="BE717" s="697"/>
      <c r="BF717" s="697"/>
      <c r="BG717" s="697"/>
      <c r="BH717" s="697"/>
      <c r="BI717" s="697"/>
      <c r="BJ717" s="697"/>
      <c r="BK717" s="697"/>
      <c r="BL717" s="697"/>
      <c r="BM717" s="697"/>
      <c r="BN717" s="697"/>
      <c r="BO717" s="697"/>
      <c r="BP717" s="697"/>
      <c r="BQ717" s="697"/>
      <c r="BR717" s="697"/>
      <c r="BS717" s="697"/>
      <c r="BT717" s="697"/>
      <c r="BU717" s="697"/>
      <c r="BV717" s="697"/>
      <c r="BW717" s="697"/>
      <c r="BX717" s="697"/>
      <c r="BY717" s="697"/>
      <c r="BZ717" s="697"/>
      <c r="CA717" s="697"/>
      <c r="CB717" s="697"/>
      <c r="CC717" s="697"/>
      <c r="CD717" s="697"/>
      <c r="CE717" s="697"/>
      <c r="CF717" s="697"/>
      <c r="CG717" s="697"/>
      <c r="CH717" s="697"/>
      <c r="CI717" s="697"/>
      <c r="CJ717" s="697"/>
      <c r="CK717" s="697"/>
      <c r="CL717" s="697"/>
      <c r="CM717" s="697"/>
      <c r="CN717" s="697"/>
      <c r="CO717" s="697"/>
      <c r="CP717" s="697"/>
      <c r="CQ717" s="697"/>
      <c r="CR717" s="697"/>
      <c r="CS717" s="697"/>
      <c r="CT717" s="697"/>
      <c r="CU717" s="697"/>
      <c r="CV717" s="697"/>
      <c r="CW717" s="697"/>
      <c r="CX717" s="697"/>
      <c r="CY717" s="697"/>
      <c r="CZ717" s="697"/>
      <c r="DA717" s="697"/>
    </row>
    <row r="718" spans="1:105" x14ac:dyDescent="0.2">
      <c r="A718" s="709">
        <f t="shared" si="139"/>
        <v>41487</v>
      </c>
      <c r="B718" s="709" t="str">
        <f t="shared" si="140"/>
        <v>3Q13</v>
      </c>
      <c r="C718" s="709" t="str">
        <f t="shared" si="141"/>
        <v>4Q13</v>
      </c>
      <c r="D718" s="710">
        <f t="shared" si="144"/>
        <v>41576</v>
      </c>
      <c r="E718" s="710">
        <f t="shared" si="144"/>
        <v>41516</v>
      </c>
      <c r="F718" s="712">
        <v>108.33</v>
      </c>
      <c r="G718" s="713">
        <f t="shared" si="142"/>
        <v>1.4900000000000011</v>
      </c>
      <c r="H718" s="713">
        <f t="shared" si="143"/>
        <v>1.4900000000000011</v>
      </c>
      <c r="I718" s="697"/>
      <c r="J718" s="697"/>
      <c r="K718" s="697"/>
      <c r="L718" s="697"/>
      <c r="M718" s="697"/>
      <c r="N718" s="697"/>
      <c r="O718" s="697"/>
      <c r="P718" s="697"/>
      <c r="Q718" s="697"/>
      <c r="R718" s="697"/>
      <c r="S718" s="697"/>
      <c r="T718" s="697"/>
      <c r="U718" s="697"/>
      <c r="V718" s="697"/>
      <c r="W718" s="697"/>
      <c r="X718" s="697"/>
      <c r="Y718" s="697"/>
      <c r="Z718" s="697"/>
      <c r="AA718" s="697"/>
      <c r="AB718" s="697"/>
      <c r="AC718" s="697"/>
      <c r="AD718" s="697"/>
      <c r="AE718" s="697"/>
      <c r="AF718" s="697"/>
      <c r="AG718" s="697"/>
      <c r="AH718" s="697"/>
      <c r="AI718" s="697"/>
      <c r="AJ718" s="697"/>
      <c r="AK718" s="697"/>
      <c r="AL718" s="697"/>
      <c r="AM718" s="697"/>
      <c r="AN718" s="697"/>
      <c r="AO718" s="697"/>
      <c r="AP718" s="697"/>
      <c r="AQ718" s="697"/>
      <c r="AR718" s="697"/>
      <c r="AS718" s="697"/>
      <c r="AT718" s="697"/>
      <c r="AU718" s="697"/>
      <c r="AV718" s="697"/>
      <c r="AW718" s="697"/>
      <c r="AX718" s="697"/>
      <c r="AY718" s="697"/>
      <c r="AZ718" s="697"/>
      <c r="BA718" s="697"/>
      <c r="BB718" s="697"/>
      <c r="BC718" s="697"/>
      <c r="BD718" s="697"/>
      <c r="BE718" s="697"/>
      <c r="BF718" s="697"/>
      <c r="BG718" s="697"/>
      <c r="BH718" s="697"/>
      <c r="BI718" s="697"/>
      <c r="BJ718" s="697"/>
      <c r="BK718" s="697"/>
      <c r="BL718" s="697"/>
      <c r="BM718" s="697"/>
      <c r="BN718" s="697"/>
      <c r="BO718" s="697"/>
      <c r="BP718" s="697"/>
      <c r="BQ718" s="697"/>
      <c r="BR718" s="697"/>
      <c r="BS718" s="697"/>
      <c r="BT718" s="697"/>
      <c r="BU718" s="697"/>
      <c r="BV718" s="697"/>
      <c r="BW718" s="697"/>
      <c r="BX718" s="697"/>
      <c r="BY718" s="697"/>
      <c r="BZ718" s="697"/>
      <c r="CA718" s="697"/>
      <c r="CB718" s="697"/>
      <c r="CC718" s="697"/>
      <c r="CD718" s="697"/>
      <c r="CE718" s="697"/>
      <c r="CF718" s="697"/>
      <c r="CG718" s="697"/>
      <c r="CH718" s="697"/>
      <c r="CI718" s="697"/>
      <c r="CJ718" s="697"/>
      <c r="CK718" s="697"/>
      <c r="CL718" s="697"/>
      <c r="CM718" s="697"/>
      <c r="CN718" s="697"/>
      <c r="CO718" s="697"/>
      <c r="CP718" s="697"/>
      <c r="CQ718" s="697"/>
      <c r="CR718" s="697"/>
      <c r="CS718" s="697"/>
      <c r="CT718" s="697"/>
      <c r="CU718" s="697"/>
      <c r="CV718" s="697"/>
      <c r="CW718" s="697"/>
      <c r="CX718" s="697"/>
      <c r="CY718" s="697"/>
      <c r="CZ718" s="697"/>
      <c r="DA718" s="697"/>
    </row>
    <row r="719" spans="1:105" x14ac:dyDescent="0.2">
      <c r="A719" s="709">
        <f t="shared" si="139"/>
        <v>41518</v>
      </c>
      <c r="B719" s="709" t="str">
        <f t="shared" si="140"/>
        <v>3Q13</v>
      </c>
      <c r="C719" s="709" t="str">
        <f t="shared" si="141"/>
        <v>4Q13</v>
      </c>
      <c r="D719" s="710">
        <f t="shared" si="144"/>
        <v>41583</v>
      </c>
      <c r="E719" s="710">
        <f t="shared" si="144"/>
        <v>41523</v>
      </c>
      <c r="F719" s="712">
        <v>108.77</v>
      </c>
      <c r="G719" s="713">
        <f t="shared" si="142"/>
        <v>1.4900000000000011</v>
      </c>
      <c r="H719" s="713">
        <f t="shared" si="143"/>
        <v>1.4900000000000011</v>
      </c>
      <c r="I719" s="697"/>
      <c r="J719" s="697"/>
      <c r="K719" s="697"/>
      <c r="L719" s="697"/>
      <c r="M719" s="697"/>
      <c r="N719" s="697"/>
      <c r="O719" s="697"/>
      <c r="P719" s="697"/>
      <c r="Q719" s="697"/>
      <c r="R719" s="697"/>
      <c r="S719" s="697"/>
      <c r="T719" s="697"/>
      <c r="U719" s="697"/>
      <c r="V719" s="697"/>
      <c r="W719" s="697"/>
      <c r="X719" s="697"/>
      <c r="Y719" s="697"/>
      <c r="Z719" s="697"/>
      <c r="AA719" s="697"/>
      <c r="AB719" s="697"/>
      <c r="AC719" s="697"/>
      <c r="AD719" s="697"/>
      <c r="AE719" s="697"/>
      <c r="AF719" s="697"/>
      <c r="AG719" s="697"/>
      <c r="AH719" s="697"/>
      <c r="AI719" s="697"/>
      <c r="AJ719" s="697"/>
      <c r="AK719" s="697"/>
      <c r="AL719" s="697"/>
      <c r="AM719" s="697"/>
      <c r="AN719" s="697"/>
      <c r="AO719" s="697"/>
      <c r="AP719" s="697"/>
      <c r="AQ719" s="697"/>
      <c r="AR719" s="697"/>
      <c r="AS719" s="697"/>
      <c r="AT719" s="697"/>
      <c r="AU719" s="697"/>
      <c r="AV719" s="697"/>
      <c r="AW719" s="697"/>
      <c r="AX719" s="697"/>
      <c r="AY719" s="697"/>
      <c r="AZ719" s="697"/>
      <c r="BA719" s="697"/>
      <c r="BB719" s="697"/>
      <c r="BC719" s="697"/>
      <c r="BD719" s="697"/>
      <c r="BE719" s="697"/>
      <c r="BF719" s="697"/>
      <c r="BG719" s="697"/>
      <c r="BH719" s="697"/>
      <c r="BI719" s="697"/>
      <c r="BJ719" s="697"/>
      <c r="BK719" s="697"/>
      <c r="BL719" s="697"/>
      <c r="BM719" s="697"/>
      <c r="BN719" s="697"/>
      <c r="BO719" s="697"/>
      <c r="BP719" s="697"/>
      <c r="BQ719" s="697"/>
      <c r="BR719" s="697"/>
      <c r="BS719" s="697"/>
      <c r="BT719" s="697"/>
      <c r="BU719" s="697"/>
      <c r="BV719" s="697"/>
      <c r="BW719" s="697"/>
      <c r="BX719" s="697"/>
      <c r="BY719" s="697"/>
      <c r="BZ719" s="697"/>
      <c r="CA719" s="697"/>
      <c r="CB719" s="697"/>
      <c r="CC719" s="697"/>
      <c r="CD719" s="697"/>
      <c r="CE719" s="697"/>
      <c r="CF719" s="697"/>
      <c r="CG719" s="697"/>
      <c r="CH719" s="697"/>
      <c r="CI719" s="697"/>
      <c r="CJ719" s="697"/>
      <c r="CK719" s="697"/>
      <c r="CL719" s="697"/>
      <c r="CM719" s="697"/>
      <c r="CN719" s="697"/>
      <c r="CO719" s="697"/>
      <c r="CP719" s="697"/>
      <c r="CQ719" s="697"/>
      <c r="CR719" s="697"/>
      <c r="CS719" s="697"/>
      <c r="CT719" s="697"/>
      <c r="CU719" s="697"/>
      <c r="CV719" s="697"/>
      <c r="CW719" s="697"/>
      <c r="CX719" s="697"/>
      <c r="CY719" s="697"/>
      <c r="CZ719" s="697"/>
      <c r="DA719" s="697"/>
    </row>
    <row r="720" spans="1:105" x14ac:dyDescent="0.2">
      <c r="A720" s="709">
        <f t="shared" si="139"/>
        <v>41518</v>
      </c>
      <c r="B720" s="709" t="str">
        <f t="shared" si="140"/>
        <v>3Q13</v>
      </c>
      <c r="C720" s="709" t="str">
        <f t="shared" si="141"/>
        <v>4Q13</v>
      </c>
      <c r="D720" s="710">
        <f t="shared" si="144"/>
        <v>41590</v>
      </c>
      <c r="E720" s="710">
        <f t="shared" si="144"/>
        <v>41530</v>
      </c>
      <c r="F720" s="712">
        <v>108.36</v>
      </c>
      <c r="G720" s="713">
        <f t="shared" si="142"/>
        <v>1.4900000000000011</v>
      </c>
      <c r="H720" s="713">
        <f t="shared" si="143"/>
        <v>1.4900000000000011</v>
      </c>
      <c r="I720" s="697"/>
      <c r="J720" s="697"/>
      <c r="K720" s="697"/>
      <c r="L720" s="697"/>
      <c r="M720" s="697"/>
      <c r="N720" s="697"/>
      <c r="O720" s="697"/>
      <c r="P720" s="697"/>
      <c r="Q720" s="697"/>
      <c r="R720" s="697"/>
      <c r="S720" s="697"/>
      <c r="T720" s="697"/>
      <c r="U720" s="697"/>
      <c r="V720" s="697"/>
      <c r="W720" s="697"/>
      <c r="X720" s="697"/>
      <c r="Y720" s="697"/>
      <c r="Z720" s="697"/>
      <c r="AA720" s="697"/>
      <c r="AB720" s="697"/>
      <c r="AC720" s="697"/>
      <c r="AD720" s="697"/>
      <c r="AE720" s="697"/>
      <c r="AF720" s="697"/>
      <c r="AG720" s="697"/>
      <c r="AH720" s="697"/>
      <c r="AI720" s="697"/>
      <c r="AJ720" s="697"/>
      <c r="AK720" s="697"/>
      <c r="AL720" s="697"/>
      <c r="AM720" s="697"/>
      <c r="AN720" s="697"/>
      <c r="AO720" s="697"/>
      <c r="AP720" s="697"/>
      <c r="AQ720" s="697"/>
      <c r="AR720" s="697"/>
      <c r="AS720" s="697"/>
      <c r="AT720" s="697"/>
      <c r="AU720" s="697"/>
      <c r="AV720" s="697"/>
      <c r="AW720" s="697"/>
      <c r="AX720" s="697"/>
      <c r="AY720" s="697"/>
      <c r="AZ720" s="697"/>
      <c r="BA720" s="697"/>
      <c r="BB720" s="697"/>
      <c r="BC720" s="697"/>
      <c r="BD720" s="697"/>
      <c r="BE720" s="697"/>
      <c r="BF720" s="697"/>
      <c r="BG720" s="697"/>
      <c r="BH720" s="697"/>
      <c r="BI720" s="697"/>
      <c r="BJ720" s="697"/>
      <c r="BK720" s="697"/>
      <c r="BL720" s="697"/>
      <c r="BM720" s="697"/>
      <c r="BN720" s="697"/>
      <c r="BO720" s="697"/>
      <c r="BP720" s="697"/>
      <c r="BQ720" s="697"/>
      <c r="BR720" s="697"/>
      <c r="BS720" s="697"/>
      <c r="BT720" s="697"/>
      <c r="BU720" s="697"/>
      <c r="BV720" s="697"/>
      <c r="BW720" s="697"/>
      <c r="BX720" s="697"/>
      <c r="BY720" s="697"/>
      <c r="BZ720" s="697"/>
      <c r="CA720" s="697"/>
      <c r="CB720" s="697"/>
      <c r="CC720" s="697"/>
      <c r="CD720" s="697"/>
      <c r="CE720" s="697"/>
      <c r="CF720" s="697"/>
      <c r="CG720" s="697"/>
      <c r="CH720" s="697"/>
      <c r="CI720" s="697"/>
      <c r="CJ720" s="697"/>
      <c r="CK720" s="697"/>
      <c r="CL720" s="697"/>
      <c r="CM720" s="697"/>
      <c r="CN720" s="697"/>
      <c r="CO720" s="697"/>
      <c r="CP720" s="697"/>
      <c r="CQ720" s="697"/>
      <c r="CR720" s="697"/>
      <c r="CS720" s="697"/>
      <c r="CT720" s="697"/>
      <c r="CU720" s="697"/>
      <c r="CV720" s="697"/>
      <c r="CW720" s="697"/>
      <c r="CX720" s="697"/>
      <c r="CY720" s="697"/>
      <c r="CZ720" s="697"/>
      <c r="DA720" s="697"/>
    </row>
    <row r="721" spans="1:105" x14ac:dyDescent="0.2">
      <c r="A721" s="709">
        <f t="shared" si="139"/>
        <v>41518</v>
      </c>
      <c r="B721" s="709" t="str">
        <f t="shared" si="140"/>
        <v>3Q13</v>
      </c>
      <c r="C721" s="709" t="str">
        <f t="shared" si="141"/>
        <v>4Q13</v>
      </c>
      <c r="D721" s="710">
        <f t="shared" si="144"/>
        <v>41597</v>
      </c>
      <c r="E721" s="710">
        <f t="shared" si="144"/>
        <v>41537</v>
      </c>
      <c r="F721" s="712">
        <v>106.22</v>
      </c>
      <c r="G721" s="713">
        <f t="shared" si="142"/>
        <v>1.4900000000000011</v>
      </c>
      <c r="H721" s="713">
        <f t="shared" si="143"/>
        <v>1.4900000000000011</v>
      </c>
      <c r="I721" s="697"/>
      <c r="J721" s="697"/>
      <c r="K721" s="697"/>
      <c r="L721" s="697"/>
      <c r="M721" s="697"/>
      <c r="N721" s="697"/>
      <c r="O721" s="697"/>
      <c r="P721" s="697"/>
      <c r="Q721" s="697"/>
      <c r="R721" s="697"/>
      <c r="S721" s="697"/>
      <c r="T721" s="697"/>
      <c r="U721" s="697"/>
      <c r="V721" s="697"/>
      <c r="W721" s="697"/>
      <c r="X721" s="697"/>
      <c r="Y721" s="697"/>
      <c r="Z721" s="697"/>
      <c r="AA721" s="697"/>
      <c r="AB721" s="697"/>
      <c r="AC721" s="697"/>
      <c r="AD721" s="697"/>
      <c r="AE721" s="697"/>
      <c r="AF721" s="697"/>
      <c r="AG721" s="697"/>
      <c r="AH721" s="697"/>
      <c r="AI721" s="697"/>
      <c r="AJ721" s="697"/>
      <c r="AK721" s="697"/>
      <c r="AL721" s="697"/>
      <c r="AM721" s="697"/>
      <c r="AN721" s="697"/>
      <c r="AO721" s="697"/>
      <c r="AP721" s="697"/>
      <c r="AQ721" s="697"/>
      <c r="AR721" s="697"/>
      <c r="AS721" s="697"/>
      <c r="AT721" s="697"/>
      <c r="AU721" s="697"/>
      <c r="AV721" s="697"/>
      <c r="AW721" s="697"/>
      <c r="AX721" s="697"/>
      <c r="AY721" s="697"/>
      <c r="AZ721" s="697"/>
      <c r="BA721" s="697"/>
      <c r="BB721" s="697"/>
      <c r="BC721" s="697"/>
      <c r="BD721" s="697"/>
      <c r="BE721" s="697"/>
      <c r="BF721" s="697"/>
      <c r="BG721" s="697"/>
      <c r="BH721" s="697"/>
      <c r="BI721" s="697"/>
      <c r="BJ721" s="697"/>
      <c r="BK721" s="697"/>
      <c r="BL721" s="697"/>
      <c r="BM721" s="697"/>
      <c r="BN721" s="697"/>
      <c r="BO721" s="697"/>
      <c r="BP721" s="697"/>
      <c r="BQ721" s="697"/>
      <c r="BR721" s="697"/>
      <c r="BS721" s="697"/>
      <c r="BT721" s="697"/>
      <c r="BU721" s="697"/>
      <c r="BV721" s="697"/>
      <c r="BW721" s="697"/>
      <c r="BX721" s="697"/>
      <c r="BY721" s="697"/>
      <c r="BZ721" s="697"/>
      <c r="CA721" s="697"/>
      <c r="CB721" s="697"/>
      <c r="CC721" s="697"/>
      <c r="CD721" s="697"/>
      <c r="CE721" s="697"/>
      <c r="CF721" s="697"/>
      <c r="CG721" s="697"/>
      <c r="CH721" s="697"/>
      <c r="CI721" s="697"/>
      <c r="CJ721" s="697"/>
      <c r="CK721" s="697"/>
      <c r="CL721" s="697"/>
      <c r="CM721" s="697"/>
      <c r="CN721" s="697"/>
      <c r="CO721" s="697"/>
      <c r="CP721" s="697"/>
      <c r="CQ721" s="697"/>
      <c r="CR721" s="697"/>
      <c r="CS721" s="697"/>
      <c r="CT721" s="697"/>
      <c r="CU721" s="697"/>
      <c r="CV721" s="697"/>
      <c r="CW721" s="697"/>
      <c r="CX721" s="697"/>
      <c r="CY721" s="697"/>
      <c r="CZ721" s="697"/>
      <c r="DA721" s="697"/>
    </row>
    <row r="722" spans="1:105" x14ac:dyDescent="0.2">
      <c r="A722" s="709">
        <f t="shared" si="139"/>
        <v>41518</v>
      </c>
      <c r="B722" s="709" t="str">
        <f t="shared" si="140"/>
        <v>3Q13</v>
      </c>
      <c r="C722" s="709" t="str">
        <f t="shared" si="141"/>
        <v>4Q13</v>
      </c>
      <c r="D722" s="710">
        <f t="shared" si="144"/>
        <v>41604</v>
      </c>
      <c r="E722" s="710">
        <f t="shared" si="144"/>
        <v>41544</v>
      </c>
      <c r="F722" s="712">
        <v>103.1</v>
      </c>
      <c r="G722" s="713">
        <f t="shared" si="142"/>
        <v>1.4900000000000011</v>
      </c>
      <c r="H722" s="713">
        <f t="shared" si="143"/>
        <v>1.4900000000000011</v>
      </c>
      <c r="I722" s="697"/>
      <c r="J722" s="697"/>
      <c r="K722" s="697"/>
      <c r="L722" s="697"/>
      <c r="M722" s="697"/>
      <c r="N722" s="697"/>
      <c r="O722" s="697"/>
      <c r="P722" s="697"/>
      <c r="Q722" s="697"/>
      <c r="R722" s="697"/>
      <c r="S722" s="697"/>
      <c r="T722" s="697"/>
      <c r="U722" s="697"/>
      <c r="V722" s="697"/>
      <c r="W722" s="697"/>
      <c r="X722" s="697"/>
      <c r="Y722" s="697"/>
      <c r="Z722" s="697"/>
      <c r="AA722" s="697"/>
      <c r="AB722" s="697"/>
      <c r="AC722" s="697"/>
      <c r="AD722" s="697"/>
      <c r="AE722" s="697"/>
      <c r="AF722" s="697"/>
      <c r="AG722" s="697"/>
      <c r="AH722" s="697"/>
      <c r="AI722" s="697"/>
      <c r="AJ722" s="697"/>
      <c r="AK722" s="697"/>
      <c r="AL722" s="697"/>
      <c r="AM722" s="697"/>
      <c r="AN722" s="697"/>
      <c r="AO722" s="697"/>
      <c r="AP722" s="697"/>
      <c r="AQ722" s="697"/>
      <c r="AR722" s="697"/>
      <c r="AS722" s="697"/>
      <c r="AT722" s="697"/>
      <c r="AU722" s="697"/>
      <c r="AV722" s="697"/>
      <c r="AW722" s="697"/>
      <c r="AX722" s="697"/>
      <c r="AY722" s="697"/>
      <c r="AZ722" s="697"/>
      <c r="BA722" s="697"/>
      <c r="BB722" s="697"/>
      <c r="BC722" s="697"/>
      <c r="BD722" s="697"/>
      <c r="BE722" s="697"/>
      <c r="BF722" s="697"/>
      <c r="BG722" s="697"/>
      <c r="BH722" s="697"/>
      <c r="BI722" s="697"/>
      <c r="BJ722" s="697"/>
      <c r="BK722" s="697"/>
      <c r="BL722" s="697"/>
      <c r="BM722" s="697"/>
      <c r="BN722" s="697"/>
      <c r="BO722" s="697"/>
      <c r="BP722" s="697"/>
      <c r="BQ722" s="697"/>
      <c r="BR722" s="697"/>
      <c r="BS722" s="697"/>
      <c r="BT722" s="697"/>
      <c r="BU722" s="697"/>
      <c r="BV722" s="697"/>
      <c r="BW722" s="697"/>
      <c r="BX722" s="697"/>
      <c r="BY722" s="697"/>
      <c r="BZ722" s="697"/>
      <c r="CA722" s="697"/>
      <c r="CB722" s="697"/>
      <c r="CC722" s="697"/>
      <c r="CD722" s="697"/>
      <c r="CE722" s="697"/>
      <c r="CF722" s="697"/>
      <c r="CG722" s="697"/>
      <c r="CH722" s="697"/>
      <c r="CI722" s="697"/>
      <c r="CJ722" s="697"/>
      <c r="CK722" s="697"/>
      <c r="CL722" s="697"/>
      <c r="CM722" s="697"/>
      <c r="CN722" s="697"/>
      <c r="CO722" s="697"/>
      <c r="CP722" s="697"/>
      <c r="CQ722" s="697"/>
      <c r="CR722" s="697"/>
      <c r="CS722" s="697"/>
      <c r="CT722" s="697"/>
      <c r="CU722" s="697"/>
      <c r="CV722" s="697"/>
      <c r="CW722" s="697"/>
      <c r="CX722" s="697"/>
      <c r="CY722" s="697"/>
      <c r="CZ722" s="697"/>
      <c r="DA722" s="697"/>
    </row>
    <row r="723" spans="1:105" x14ac:dyDescent="0.2">
      <c r="A723" s="709">
        <f t="shared" si="139"/>
        <v>41548</v>
      </c>
      <c r="B723" s="709" t="str">
        <f t="shared" si="140"/>
        <v>4Q13</v>
      </c>
      <c r="C723" s="709" t="str">
        <f t="shared" si="141"/>
        <v>4Q13</v>
      </c>
      <c r="D723" s="710">
        <f t="shared" si="144"/>
        <v>41611</v>
      </c>
      <c r="E723" s="710">
        <f t="shared" si="144"/>
        <v>41551</v>
      </c>
      <c r="F723" s="712">
        <v>103.14</v>
      </c>
      <c r="G723" s="713">
        <f t="shared" si="142"/>
        <v>1.4900000000000011</v>
      </c>
      <c r="H723" s="713">
        <f t="shared" si="143"/>
        <v>1.4900000000000011</v>
      </c>
      <c r="I723" s="697"/>
      <c r="J723" s="697"/>
      <c r="K723" s="697"/>
      <c r="L723" s="697"/>
      <c r="M723" s="697"/>
      <c r="N723" s="697"/>
      <c r="O723" s="697"/>
      <c r="P723" s="697"/>
      <c r="Q723" s="697"/>
      <c r="R723" s="697"/>
      <c r="S723" s="697"/>
      <c r="T723" s="697"/>
      <c r="U723" s="697"/>
      <c r="V723" s="697"/>
      <c r="W723" s="697"/>
      <c r="X723" s="697"/>
      <c r="Y723" s="697"/>
      <c r="Z723" s="697"/>
      <c r="AA723" s="697"/>
      <c r="AB723" s="697"/>
      <c r="AC723" s="697"/>
      <c r="AD723" s="697"/>
      <c r="AE723" s="697"/>
      <c r="AF723" s="697"/>
      <c r="AG723" s="697"/>
      <c r="AH723" s="697"/>
      <c r="AI723" s="697"/>
      <c r="AJ723" s="697"/>
      <c r="AK723" s="697"/>
      <c r="AL723" s="697"/>
      <c r="AM723" s="697"/>
      <c r="AN723" s="697"/>
      <c r="AO723" s="697"/>
      <c r="AP723" s="697"/>
      <c r="AQ723" s="697"/>
      <c r="AR723" s="697"/>
      <c r="AS723" s="697"/>
      <c r="AT723" s="697"/>
      <c r="AU723" s="697"/>
      <c r="AV723" s="697"/>
      <c r="AW723" s="697"/>
      <c r="AX723" s="697"/>
      <c r="AY723" s="697"/>
      <c r="AZ723" s="697"/>
      <c r="BA723" s="697"/>
      <c r="BB723" s="697"/>
      <c r="BC723" s="697"/>
      <c r="BD723" s="697"/>
      <c r="BE723" s="697"/>
      <c r="BF723" s="697"/>
      <c r="BG723" s="697"/>
      <c r="BH723" s="697"/>
      <c r="BI723" s="697"/>
      <c r="BJ723" s="697"/>
      <c r="BK723" s="697"/>
      <c r="BL723" s="697"/>
      <c r="BM723" s="697"/>
      <c r="BN723" s="697"/>
      <c r="BO723" s="697"/>
      <c r="BP723" s="697"/>
      <c r="BQ723" s="697"/>
      <c r="BR723" s="697"/>
      <c r="BS723" s="697"/>
      <c r="BT723" s="697"/>
      <c r="BU723" s="697"/>
      <c r="BV723" s="697"/>
      <c r="BW723" s="697"/>
      <c r="BX723" s="697"/>
      <c r="BY723" s="697"/>
      <c r="BZ723" s="697"/>
      <c r="CA723" s="697"/>
      <c r="CB723" s="697"/>
      <c r="CC723" s="697"/>
      <c r="CD723" s="697"/>
      <c r="CE723" s="697"/>
      <c r="CF723" s="697"/>
      <c r="CG723" s="697"/>
      <c r="CH723" s="697"/>
      <c r="CI723" s="697"/>
      <c r="CJ723" s="697"/>
      <c r="CK723" s="697"/>
      <c r="CL723" s="697"/>
      <c r="CM723" s="697"/>
      <c r="CN723" s="697"/>
      <c r="CO723" s="697"/>
      <c r="CP723" s="697"/>
      <c r="CQ723" s="697"/>
      <c r="CR723" s="697"/>
      <c r="CS723" s="697"/>
      <c r="CT723" s="697"/>
      <c r="CU723" s="697"/>
      <c r="CV723" s="697"/>
      <c r="CW723" s="697"/>
      <c r="CX723" s="697"/>
      <c r="CY723" s="697"/>
      <c r="CZ723" s="697"/>
      <c r="DA723" s="697"/>
    </row>
    <row r="724" spans="1:105" x14ac:dyDescent="0.2">
      <c r="A724" s="709">
        <f t="shared" si="139"/>
        <v>41548</v>
      </c>
      <c r="B724" s="709" t="str">
        <f t="shared" si="140"/>
        <v>4Q13</v>
      </c>
      <c r="C724" s="709" t="str">
        <f t="shared" si="141"/>
        <v>4Q13</v>
      </c>
      <c r="D724" s="710">
        <f t="shared" si="144"/>
        <v>41618</v>
      </c>
      <c r="E724" s="710">
        <f t="shared" si="144"/>
        <v>41558</v>
      </c>
      <c r="F724" s="712">
        <v>102.7</v>
      </c>
      <c r="G724" s="713">
        <f t="shared" si="142"/>
        <v>1.4900000000000011</v>
      </c>
      <c r="H724" s="713">
        <f t="shared" si="143"/>
        <v>1.4900000000000011</v>
      </c>
      <c r="I724" s="697"/>
      <c r="J724" s="697"/>
      <c r="K724" s="697"/>
      <c r="L724" s="697"/>
      <c r="M724" s="697"/>
      <c r="N724" s="697"/>
      <c r="O724" s="697"/>
      <c r="P724" s="697"/>
      <c r="Q724" s="697"/>
      <c r="R724" s="697"/>
      <c r="S724" s="697"/>
      <c r="T724" s="697"/>
      <c r="U724" s="697"/>
      <c r="V724" s="697"/>
      <c r="W724" s="697"/>
      <c r="X724" s="697"/>
      <c r="Y724" s="697"/>
      <c r="Z724" s="697"/>
      <c r="AA724" s="697"/>
      <c r="AB724" s="697"/>
      <c r="AC724" s="697"/>
      <c r="AD724" s="697"/>
      <c r="AE724" s="697"/>
      <c r="AF724" s="697"/>
      <c r="AG724" s="697"/>
      <c r="AH724" s="697"/>
      <c r="AI724" s="697"/>
      <c r="AJ724" s="697"/>
      <c r="AK724" s="697"/>
      <c r="AL724" s="697"/>
      <c r="AM724" s="697"/>
      <c r="AN724" s="697"/>
      <c r="AO724" s="697"/>
      <c r="AP724" s="697"/>
      <c r="AQ724" s="697"/>
      <c r="AR724" s="697"/>
      <c r="AS724" s="697"/>
      <c r="AT724" s="697"/>
      <c r="AU724" s="697"/>
      <c r="AV724" s="697"/>
      <c r="AW724" s="697"/>
      <c r="AX724" s="697"/>
      <c r="AY724" s="697"/>
      <c r="AZ724" s="697"/>
      <c r="BA724" s="697"/>
      <c r="BB724" s="697"/>
      <c r="BC724" s="697"/>
      <c r="BD724" s="697"/>
      <c r="BE724" s="697"/>
      <c r="BF724" s="697"/>
      <c r="BG724" s="697"/>
      <c r="BH724" s="697"/>
      <c r="BI724" s="697"/>
      <c r="BJ724" s="697"/>
      <c r="BK724" s="697"/>
      <c r="BL724" s="697"/>
      <c r="BM724" s="697"/>
      <c r="BN724" s="697"/>
      <c r="BO724" s="697"/>
      <c r="BP724" s="697"/>
      <c r="BQ724" s="697"/>
      <c r="BR724" s="697"/>
      <c r="BS724" s="697"/>
      <c r="BT724" s="697"/>
      <c r="BU724" s="697"/>
      <c r="BV724" s="697"/>
      <c r="BW724" s="697"/>
      <c r="BX724" s="697"/>
      <c r="BY724" s="697"/>
      <c r="BZ724" s="697"/>
      <c r="CA724" s="697"/>
      <c r="CB724" s="697"/>
      <c r="CC724" s="697"/>
      <c r="CD724" s="697"/>
      <c r="CE724" s="697"/>
      <c r="CF724" s="697"/>
      <c r="CG724" s="697"/>
      <c r="CH724" s="697"/>
      <c r="CI724" s="697"/>
      <c r="CJ724" s="697"/>
      <c r="CK724" s="697"/>
      <c r="CL724" s="697"/>
      <c r="CM724" s="697"/>
      <c r="CN724" s="697"/>
      <c r="CO724" s="697"/>
      <c r="CP724" s="697"/>
      <c r="CQ724" s="697"/>
      <c r="CR724" s="697"/>
      <c r="CS724" s="697"/>
      <c r="CT724" s="697"/>
      <c r="CU724" s="697"/>
      <c r="CV724" s="697"/>
      <c r="CW724" s="697"/>
      <c r="CX724" s="697"/>
      <c r="CY724" s="697"/>
      <c r="CZ724" s="697"/>
      <c r="DA724" s="697"/>
    </row>
    <row r="725" spans="1:105" x14ac:dyDescent="0.2">
      <c r="A725" s="709">
        <f t="shared" si="139"/>
        <v>41548</v>
      </c>
      <c r="B725" s="709" t="str">
        <f t="shared" si="140"/>
        <v>4Q13</v>
      </c>
      <c r="C725" s="709" t="str">
        <f t="shared" si="141"/>
        <v>4Q13</v>
      </c>
      <c r="D725" s="710">
        <f t="shared" ref="D725:E740" si="145">D724+7</f>
        <v>41625</v>
      </c>
      <c r="E725" s="710">
        <f t="shared" si="145"/>
        <v>41565</v>
      </c>
      <c r="F725" s="712">
        <v>101.51</v>
      </c>
      <c r="G725" s="713">
        <f t="shared" si="142"/>
        <v>1.4900000000000011</v>
      </c>
      <c r="H725" s="713">
        <f t="shared" si="143"/>
        <v>1.4900000000000011</v>
      </c>
      <c r="I725" s="697"/>
      <c r="J725" s="697"/>
      <c r="K725" s="697"/>
      <c r="L725" s="697"/>
      <c r="M725" s="697"/>
      <c r="N725" s="697"/>
      <c r="O725" s="697"/>
      <c r="P725" s="697"/>
      <c r="Q725" s="697"/>
      <c r="R725" s="697"/>
      <c r="S725" s="697"/>
      <c r="T725" s="697"/>
      <c r="U725" s="697"/>
      <c r="V725" s="697"/>
      <c r="W725" s="697"/>
      <c r="X725" s="697"/>
      <c r="Y725" s="697"/>
      <c r="Z725" s="697"/>
      <c r="AA725" s="697"/>
      <c r="AB725" s="697"/>
      <c r="AC725" s="697"/>
      <c r="AD725" s="697"/>
      <c r="AE725" s="697"/>
      <c r="AF725" s="697"/>
      <c r="AG725" s="697"/>
      <c r="AH725" s="697"/>
      <c r="AI725" s="697"/>
      <c r="AJ725" s="697"/>
      <c r="AK725" s="697"/>
      <c r="AL725" s="697"/>
      <c r="AM725" s="697"/>
      <c r="AN725" s="697"/>
      <c r="AO725" s="697"/>
      <c r="AP725" s="697"/>
      <c r="AQ725" s="697"/>
      <c r="AR725" s="697"/>
      <c r="AS725" s="697"/>
      <c r="AT725" s="697"/>
      <c r="AU725" s="697"/>
      <c r="AV725" s="697"/>
      <c r="AW725" s="697"/>
      <c r="AX725" s="697"/>
      <c r="AY725" s="697"/>
      <c r="AZ725" s="697"/>
      <c r="BA725" s="697"/>
      <c r="BB725" s="697"/>
      <c r="BC725" s="697"/>
      <c r="BD725" s="697"/>
      <c r="BE725" s="697"/>
      <c r="BF725" s="697"/>
      <c r="BG725" s="697"/>
      <c r="BH725" s="697"/>
      <c r="BI725" s="697"/>
      <c r="BJ725" s="697"/>
      <c r="BK725" s="697"/>
      <c r="BL725" s="697"/>
      <c r="BM725" s="697"/>
      <c r="BN725" s="697"/>
      <c r="BO725" s="697"/>
      <c r="BP725" s="697"/>
      <c r="BQ725" s="697"/>
      <c r="BR725" s="697"/>
      <c r="BS725" s="697"/>
      <c r="BT725" s="697"/>
      <c r="BU725" s="697"/>
      <c r="BV725" s="697"/>
      <c r="BW725" s="697"/>
      <c r="BX725" s="697"/>
      <c r="BY725" s="697"/>
      <c r="BZ725" s="697"/>
      <c r="CA725" s="697"/>
      <c r="CB725" s="697"/>
      <c r="CC725" s="697"/>
      <c r="CD725" s="697"/>
      <c r="CE725" s="697"/>
      <c r="CF725" s="697"/>
      <c r="CG725" s="697"/>
      <c r="CH725" s="697"/>
      <c r="CI725" s="697"/>
      <c r="CJ725" s="697"/>
      <c r="CK725" s="697"/>
      <c r="CL725" s="697"/>
      <c r="CM725" s="697"/>
      <c r="CN725" s="697"/>
      <c r="CO725" s="697"/>
      <c r="CP725" s="697"/>
      <c r="CQ725" s="697"/>
      <c r="CR725" s="697"/>
      <c r="CS725" s="697"/>
      <c r="CT725" s="697"/>
      <c r="CU725" s="697"/>
      <c r="CV725" s="697"/>
      <c r="CW725" s="697"/>
      <c r="CX725" s="697"/>
      <c r="CY725" s="697"/>
      <c r="CZ725" s="697"/>
      <c r="DA725" s="697"/>
    </row>
    <row r="726" spans="1:105" x14ac:dyDescent="0.2">
      <c r="A726" s="709">
        <f t="shared" si="139"/>
        <v>41548</v>
      </c>
      <c r="B726" s="709" t="str">
        <f t="shared" si="140"/>
        <v>4Q13</v>
      </c>
      <c r="C726" s="709" t="str">
        <f t="shared" si="141"/>
        <v>4Q13</v>
      </c>
      <c r="D726" s="710">
        <f t="shared" si="145"/>
        <v>41632</v>
      </c>
      <c r="E726" s="710">
        <f t="shared" si="145"/>
        <v>41572</v>
      </c>
      <c r="F726" s="712">
        <v>97.57</v>
      </c>
      <c r="G726" s="713">
        <f t="shared" si="142"/>
        <v>1.4900000000000011</v>
      </c>
      <c r="H726" s="713">
        <f t="shared" si="143"/>
        <v>1.4900000000000011</v>
      </c>
      <c r="I726" s="697"/>
      <c r="J726" s="697"/>
      <c r="K726" s="697"/>
      <c r="L726" s="697"/>
      <c r="M726" s="697"/>
      <c r="N726" s="697"/>
      <c r="O726" s="697"/>
      <c r="P726" s="697"/>
      <c r="Q726" s="697"/>
      <c r="R726" s="697"/>
      <c r="S726" s="697"/>
      <c r="T726" s="697"/>
      <c r="U726" s="697"/>
      <c r="V726" s="697"/>
      <c r="W726" s="697"/>
      <c r="X726" s="697"/>
      <c r="Y726" s="697"/>
      <c r="Z726" s="697"/>
      <c r="AA726" s="697"/>
      <c r="AB726" s="697"/>
      <c r="AC726" s="697"/>
      <c r="AD726" s="697"/>
      <c r="AE726" s="697"/>
      <c r="AF726" s="697"/>
      <c r="AG726" s="697"/>
      <c r="AH726" s="697"/>
      <c r="AI726" s="697"/>
      <c r="AJ726" s="697"/>
      <c r="AK726" s="697"/>
      <c r="AL726" s="697"/>
      <c r="AM726" s="697"/>
      <c r="AN726" s="697"/>
      <c r="AO726" s="697"/>
      <c r="AP726" s="697"/>
      <c r="AQ726" s="697"/>
      <c r="AR726" s="697"/>
      <c r="AS726" s="697"/>
      <c r="AT726" s="697"/>
      <c r="AU726" s="697"/>
      <c r="AV726" s="697"/>
      <c r="AW726" s="697"/>
      <c r="AX726" s="697"/>
      <c r="AY726" s="697"/>
      <c r="AZ726" s="697"/>
      <c r="BA726" s="697"/>
      <c r="BB726" s="697"/>
      <c r="BC726" s="697"/>
      <c r="BD726" s="697"/>
      <c r="BE726" s="697"/>
      <c r="BF726" s="697"/>
      <c r="BG726" s="697"/>
      <c r="BH726" s="697"/>
      <c r="BI726" s="697"/>
      <c r="BJ726" s="697"/>
      <c r="BK726" s="697"/>
      <c r="BL726" s="697"/>
      <c r="BM726" s="697"/>
      <c r="BN726" s="697"/>
      <c r="BO726" s="697"/>
      <c r="BP726" s="697"/>
      <c r="BQ726" s="697"/>
      <c r="BR726" s="697"/>
      <c r="BS726" s="697"/>
      <c r="BT726" s="697"/>
      <c r="BU726" s="697"/>
      <c r="BV726" s="697"/>
      <c r="BW726" s="697"/>
      <c r="BX726" s="697"/>
      <c r="BY726" s="697"/>
      <c r="BZ726" s="697"/>
      <c r="CA726" s="697"/>
      <c r="CB726" s="697"/>
      <c r="CC726" s="697"/>
      <c r="CD726" s="697"/>
      <c r="CE726" s="697"/>
      <c r="CF726" s="697"/>
      <c r="CG726" s="697"/>
      <c r="CH726" s="697"/>
      <c r="CI726" s="697"/>
      <c r="CJ726" s="697"/>
      <c r="CK726" s="697"/>
      <c r="CL726" s="697"/>
      <c r="CM726" s="697"/>
      <c r="CN726" s="697"/>
      <c r="CO726" s="697"/>
      <c r="CP726" s="697"/>
      <c r="CQ726" s="697"/>
      <c r="CR726" s="697"/>
      <c r="CS726" s="697"/>
      <c r="CT726" s="697"/>
      <c r="CU726" s="697"/>
      <c r="CV726" s="697"/>
      <c r="CW726" s="697"/>
      <c r="CX726" s="697"/>
      <c r="CY726" s="697"/>
      <c r="CZ726" s="697"/>
      <c r="DA726" s="697"/>
    </row>
    <row r="727" spans="1:105" x14ac:dyDescent="0.2">
      <c r="A727" s="709">
        <f t="shared" si="139"/>
        <v>41579</v>
      </c>
      <c r="B727" s="709" t="str">
        <f t="shared" si="140"/>
        <v>4Q13</v>
      </c>
      <c r="C727" s="709" t="str">
        <f t="shared" si="141"/>
        <v>4Q13</v>
      </c>
      <c r="D727" s="710">
        <f t="shared" si="145"/>
        <v>41639</v>
      </c>
      <c r="E727" s="710">
        <f t="shared" si="145"/>
        <v>41579</v>
      </c>
      <c r="F727" s="712">
        <v>96.94</v>
      </c>
      <c r="G727" s="713">
        <f t="shared" si="142"/>
        <v>1.4900000000000011</v>
      </c>
      <c r="H727" s="713">
        <f t="shared" si="143"/>
        <v>1.4900000000000011</v>
      </c>
      <c r="I727" s="697"/>
      <c r="J727" s="697"/>
      <c r="K727" s="697"/>
      <c r="L727" s="697"/>
      <c r="M727" s="697"/>
      <c r="N727" s="697"/>
      <c r="O727" s="697"/>
      <c r="P727" s="697"/>
      <c r="Q727" s="697"/>
      <c r="R727" s="697"/>
      <c r="S727" s="697"/>
      <c r="T727" s="697"/>
      <c r="U727" s="697"/>
      <c r="V727" s="697"/>
      <c r="W727" s="697"/>
      <c r="X727" s="697"/>
      <c r="Y727" s="697"/>
      <c r="Z727" s="697"/>
      <c r="AA727" s="697"/>
      <c r="AB727" s="697"/>
      <c r="AC727" s="697"/>
      <c r="AD727" s="697"/>
      <c r="AE727" s="697"/>
      <c r="AF727" s="697"/>
      <c r="AG727" s="697"/>
      <c r="AH727" s="697"/>
      <c r="AI727" s="697"/>
      <c r="AJ727" s="697"/>
      <c r="AK727" s="697"/>
      <c r="AL727" s="697"/>
      <c r="AM727" s="697"/>
      <c r="AN727" s="697"/>
      <c r="AO727" s="697"/>
      <c r="AP727" s="697"/>
      <c r="AQ727" s="697"/>
      <c r="AR727" s="697"/>
      <c r="AS727" s="697"/>
      <c r="AT727" s="697"/>
      <c r="AU727" s="697"/>
      <c r="AV727" s="697"/>
      <c r="AW727" s="697"/>
      <c r="AX727" s="697"/>
      <c r="AY727" s="697"/>
      <c r="AZ727" s="697"/>
      <c r="BA727" s="697"/>
      <c r="BB727" s="697"/>
      <c r="BC727" s="697"/>
      <c r="BD727" s="697"/>
      <c r="BE727" s="697"/>
      <c r="BF727" s="697"/>
      <c r="BG727" s="697"/>
      <c r="BH727" s="697"/>
      <c r="BI727" s="697"/>
      <c r="BJ727" s="697"/>
      <c r="BK727" s="697"/>
      <c r="BL727" s="697"/>
      <c r="BM727" s="697"/>
      <c r="BN727" s="697"/>
      <c r="BO727" s="697"/>
      <c r="BP727" s="697"/>
      <c r="BQ727" s="697"/>
      <c r="BR727" s="697"/>
      <c r="BS727" s="697"/>
      <c r="BT727" s="697"/>
      <c r="BU727" s="697"/>
      <c r="BV727" s="697"/>
      <c r="BW727" s="697"/>
      <c r="BX727" s="697"/>
      <c r="BY727" s="697"/>
      <c r="BZ727" s="697"/>
      <c r="CA727" s="697"/>
      <c r="CB727" s="697"/>
      <c r="CC727" s="697"/>
      <c r="CD727" s="697"/>
      <c r="CE727" s="697"/>
      <c r="CF727" s="697"/>
      <c r="CG727" s="697"/>
      <c r="CH727" s="697"/>
      <c r="CI727" s="697"/>
      <c r="CJ727" s="697"/>
      <c r="CK727" s="697"/>
      <c r="CL727" s="697"/>
      <c r="CM727" s="697"/>
      <c r="CN727" s="697"/>
      <c r="CO727" s="697"/>
      <c r="CP727" s="697"/>
      <c r="CQ727" s="697"/>
      <c r="CR727" s="697"/>
      <c r="CS727" s="697"/>
      <c r="CT727" s="697"/>
      <c r="CU727" s="697"/>
      <c r="CV727" s="697"/>
      <c r="CW727" s="697"/>
      <c r="CX727" s="697"/>
      <c r="CY727" s="697"/>
      <c r="CZ727" s="697"/>
      <c r="DA727" s="697"/>
    </row>
    <row r="728" spans="1:105" x14ac:dyDescent="0.2">
      <c r="A728" s="709">
        <f t="shared" si="139"/>
        <v>41579</v>
      </c>
      <c r="B728" s="709" t="str">
        <f t="shared" si="140"/>
        <v>4Q13</v>
      </c>
      <c r="C728" s="709" t="str">
        <f t="shared" si="141"/>
        <v>1Q14</v>
      </c>
      <c r="D728" s="710">
        <f t="shared" si="145"/>
        <v>41646</v>
      </c>
      <c r="E728" s="710">
        <f t="shared" si="145"/>
        <v>41586</v>
      </c>
      <c r="F728" s="712">
        <v>94.31</v>
      </c>
      <c r="G728" s="713">
        <f t="shared" si="142"/>
        <v>1.4900000000000011</v>
      </c>
      <c r="H728" s="713">
        <f t="shared" si="143"/>
        <v>1.4900000000000011</v>
      </c>
      <c r="I728" s="697"/>
      <c r="J728" s="697"/>
      <c r="K728" s="697"/>
      <c r="L728" s="697"/>
      <c r="M728" s="697"/>
      <c r="N728" s="697"/>
      <c r="O728" s="697"/>
      <c r="P728" s="697"/>
      <c r="Q728" s="697"/>
      <c r="R728" s="697"/>
      <c r="S728" s="697"/>
      <c r="T728" s="697"/>
      <c r="U728" s="697"/>
      <c r="V728" s="697"/>
      <c r="W728" s="697"/>
      <c r="X728" s="697"/>
      <c r="Y728" s="697"/>
      <c r="Z728" s="697"/>
      <c r="AA728" s="697"/>
      <c r="AB728" s="697"/>
      <c r="AC728" s="697"/>
      <c r="AD728" s="697"/>
      <c r="AE728" s="697"/>
      <c r="AF728" s="697"/>
      <c r="AG728" s="697"/>
      <c r="AH728" s="697"/>
      <c r="AI728" s="697"/>
      <c r="AJ728" s="697"/>
      <c r="AK728" s="697"/>
      <c r="AL728" s="697"/>
      <c r="AM728" s="697"/>
      <c r="AN728" s="697"/>
      <c r="AO728" s="697"/>
      <c r="AP728" s="697"/>
      <c r="AQ728" s="697"/>
      <c r="AR728" s="697"/>
      <c r="AS728" s="697"/>
      <c r="AT728" s="697"/>
      <c r="AU728" s="697"/>
      <c r="AV728" s="697"/>
      <c r="AW728" s="697"/>
      <c r="AX728" s="697"/>
      <c r="AY728" s="697"/>
      <c r="AZ728" s="697"/>
      <c r="BA728" s="697"/>
      <c r="BB728" s="697"/>
      <c r="BC728" s="697"/>
      <c r="BD728" s="697"/>
      <c r="BE728" s="697"/>
      <c r="BF728" s="697"/>
      <c r="BG728" s="697"/>
      <c r="BH728" s="697"/>
      <c r="BI728" s="697"/>
      <c r="BJ728" s="697"/>
      <c r="BK728" s="697"/>
      <c r="BL728" s="697"/>
      <c r="BM728" s="697"/>
      <c r="BN728" s="697"/>
      <c r="BO728" s="697"/>
      <c r="BP728" s="697"/>
      <c r="BQ728" s="697"/>
      <c r="BR728" s="697"/>
      <c r="BS728" s="697"/>
      <c r="BT728" s="697"/>
      <c r="BU728" s="697"/>
      <c r="BV728" s="697"/>
      <c r="BW728" s="697"/>
      <c r="BX728" s="697"/>
      <c r="BY728" s="697"/>
      <c r="BZ728" s="697"/>
      <c r="CA728" s="697"/>
      <c r="CB728" s="697"/>
      <c r="CC728" s="697"/>
      <c r="CD728" s="697"/>
      <c r="CE728" s="697"/>
      <c r="CF728" s="697"/>
      <c r="CG728" s="697"/>
      <c r="CH728" s="697"/>
      <c r="CI728" s="697"/>
      <c r="CJ728" s="697"/>
      <c r="CK728" s="697"/>
      <c r="CL728" s="697"/>
      <c r="CM728" s="697"/>
      <c r="CN728" s="697"/>
      <c r="CO728" s="697"/>
      <c r="CP728" s="697"/>
      <c r="CQ728" s="697"/>
      <c r="CR728" s="697"/>
      <c r="CS728" s="697"/>
      <c r="CT728" s="697"/>
      <c r="CU728" s="697"/>
      <c r="CV728" s="697"/>
      <c r="CW728" s="697"/>
      <c r="CX728" s="697"/>
      <c r="CY728" s="697"/>
      <c r="CZ728" s="697"/>
      <c r="DA728" s="697"/>
    </row>
    <row r="729" spans="1:105" x14ac:dyDescent="0.2">
      <c r="A729" s="709">
        <f t="shared" si="139"/>
        <v>41579</v>
      </c>
      <c r="B729" s="709" t="str">
        <f t="shared" si="140"/>
        <v>4Q13</v>
      </c>
      <c r="C729" s="709" t="str">
        <f t="shared" si="141"/>
        <v>1Q14</v>
      </c>
      <c r="D729" s="710">
        <f t="shared" si="145"/>
        <v>41653</v>
      </c>
      <c r="E729" s="710">
        <f t="shared" si="145"/>
        <v>41593</v>
      </c>
      <c r="F729" s="712">
        <v>93.94</v>
      </c>
      <c r="G729" s="713">
        <f t="shared" si="142"/>
        <v>1.4900000000000011</v>
      </c>
      <c r="H729" s="713">
        <f t="shared" si="143"/>
        <v>1.4900000000000011</v>
      </c>
      <c r="I729" s="697"/>
      <c r="J729" s="697"/>
      <c r="K729" s="697"/>
      <c r="L729" s="697"/>
      <c r="M729" s="697"/>
      <c r="N729" s="697"/>
      <c r="O729" s="697"/>
      <c r="P729" s="697"/>
      <c r="Q729" s="697"/>
      <c r="R729" s="697"/>
      <c r="S729" s="697"/>
      <c r="T729" s="697"/>
      <c r="U729" s="697"/>
      <c r="V729" s="697"/>
      <c r="W729" s="697"/>
      <c r="X729" s="697"/>
      <c r="Y729" s="697"/>
      <c r="Z729" s="697"/>
      <c r="AA729" s="697"/>
      <c r="AB729" s="697"/>
      <c r="AC729" s="697"/>
      <c r="AD729" s="697"/>
      <c r="AE729" s="697"/>
      <c r="AF729" s="697"/>
      <c r="AG729" s="697"/>
      <c r="AH729" s="697"/>
      <c r="AI729" s="697"/>
      <c r="AJ729" s="697"/>
      <c r="AK729" s="697"/>
      <c r="AL729" s="697"/>
      <c r="AM729" s="697"/>
      <c r="AN729" s="697"/>
      <c r="AO729" s="697"/>
      <c r="AP729" s="697"/>
      <c r="AQ729" s="697"/>
      <c r="AR729" s="697"/>
      <c r="AS729" s="697"/>
      <c r="AT729" s="697"/>
      <c r="AU729" s="697"/>
      <c r="AV729" s="697"/>
      <c r="AW729" s="697"/>
      <c r="AX729" s="697"/>
      <c r="AY729" s="697"/>
      <c r="AZ729" s="697"/>
      <c r="BA729" s="697"/>
      <c r="BB729" s="697"/>
      <c r="BC729" s="697"/>
      <c r="BD729" s="697"/>
      <c r="BE729" s="697"/>
      <c r="BF729" s="697"/>
      <c r="BG729" s="697"/>
      <c r="BH729" s="697"/>
      <c r="BI729" s="697"/>
      <c r="BJ729" s="697"/>
      <c r="BK729" s="697"/>
      <c r="BL729" s="697"/>
      <c r="BM729" s="697"/>
      <c r="BN729" s="697"/>
      <c r="BO729" s="697"/>
      <c r="BP729" s="697"/>
      <c r="BQ729" s="697"/>
      <c r="BR729" s="697"/>
      <c r="BS729" s="697"/>
      <c r="BT729" s="697"/>
      <c r="BU729" s="697"/>
      <c r="BV729" s="697"/>
      <c r="BW729" s="697"/>
      <c r="BX729" s="697"/>
      <c r="BY729" s="697"/>
      <c r="BZ729" s="697"/>
      <c r="CA729" s="697"/>
      <c r="CB729" s="697"/>
      <c r="CC729" s="697"/>
      <c r="CD729" s="697"/>
      <c r="CE729" s="697"/>
      <c r="CF729" s="697"/>
      <c r="CG729" s="697"/>
      <c r="CH729" s="697"/>
      <c r="CI729" s="697"/>
      <c r="CJ729" s="697"/>
      <c r="CK729" s="697"/>
      <c r="CL729" s="697"/>
      <c r="CM729" s="697"/>
      <c r="CN729" s="697"/>
      <c r="CO729" s="697"/>
      <c r="CP729" s="697"/>
      <c r="CQ729" s="697"/>
      <c r="CR729" s="697"/>
      <c r="CS729" s="697"/>
      <c r="CT729" s="697"/>
      <c r="CU729" s="697"/>
      <c r="CV729" s="697"/>
      <c r="CW729" s="697"/>
      <c r="CX729" s="697"/>
      <c r="CY729" s="697"/>
      <c r="CZ729" s="697"/>
      <c r="DA729" s="697"/>
    </row>
    <row r="730" spans="1:105" x14ac:dyDescent="0.2">
      <c r="A730" s="709">
        <f t="shared" si="139"/>
        <v>41579</v>
      </c>
      <c r="B730" s="709" t="str">
        <f t="shared" si="140"/>
        <v>4Q13</v>
      </c>
      <c r="C730" s="709" t="str">
        <f t="shared" si="141"/>
        <v>1Q14</v>
      </c>
      <c r="D730" s="710">
        <f t="shared" si="145"/>
        <v>41660</v>
      </c>
      <c r="E730" s="710">
        <f t="shared" si="145"/>
        <v>41600</v>
      </c>
      <c r="F730" s="712">
        <v>93.92</v>
      </c>
      <c r="G730" s="713">
        <f t="shared" si="142"/>
        <v>1.4900000000000011</v>
      </c>
      <c r="H730" s="713">
        <f t="shared" si="143"/>
        <v>1.4900000000000011</v>
      </c>
      <c r="I730" s="697"/>
      <c r="J730" s="697"/>
      <c r="K730" s="697"/>
      <c r="L730" s="697"/>
      <c r="M730" s="697"/>
      <c r="N730" s="697"/>
      <c r="O730" s="697"/>
      <c r="P730" s="697"/>
      <c r="Q730" s="697"/>
      <c r="R730" s="697"/>
      <c r="S730" s="697"/>
      <c r="T730" s="697"/>
      <c r="U730" s="697"/>
      <c r="V730" s="697"/>
      <c r="W730" s="697"/>
      <c r="X730" s="697"/>
      <c r="Y730" s="697"/>
      <c r="Z730" s="697"/>
      <c r="AA730" s="697"/>
      <c r="AB730" s="697"/>
      <c r="AC730" s="697"/>
      <c r="AD730" s="697"/>
      <c r="AE730" s="697"/>
      <c r="AF730" s="697"/>
      <c r="AG730" s="697"/>
      <c r="AH730" s="697"/>
      <c r="AI730" s="697"/>
      <c r="AJ730" s="697"/>
      <c r="AK730" s="697"/>
      <c r="AL730" s="697"/>
      <c r="AM730" s="697"/>
      <c r="AN730" s="697"/>
      <c r="AO730" s="697"/>
      <c r="AP730" s="697"/>
      <c r="AQ730" s="697"/>
      <c r="AR730" s="697"/>
      <c r="AS730" s="697"/>
      <c r="AT730" s="697"/>
      <c r="AU730" s="697"/>
      <c r="AV730" s="697"/>
      <c r="AW730" s="697"/>
      <c r="AX730" s="697"/>
      <c r="AY730" s="697"/>
      <c r="AZ730" s="697"/>
      <c r="BA730" s="697"/>
      <c r="BB730" s="697"/>
      <c r="BC730" s="697"/>
      <c r="BD730" s="697"/>
      <c r="BE730" s="697"/>
      <c r="BF730" s="697"/>
      <c r="BG730" s="697"/>
      <c r="BH730" s="697"/>
      <c r="BI730" s="697"/>
      <c r="BJ730" s="697"/>
      <c r="BK730" s="697"/>
      <c r="BL730" s="697"/>
      <c r="BM730" s="697"/>
      <c r="BN730" s="697"/>
      <c r="BO730" s="697"/>
      <c r="BP730" s="697"/>
      <c r="BQ730" s="697"/>
      <c r="BR730" s="697"/>
      <c r="BS730" s="697"/>
      <c r="BT730" s="697"/>
      <c r="BU730" s="697"/>
      <c r="BV730" s="697"/>
      <c r="BW730" s="697"/>
      <c r="BX730" s="697"/>
      <c r="BY730" s="697"/>
      <c r="BZ730" s="697"/>
      <c r="CA730" s="697"/>
      <c r="CB730" s="697"/>
      <c r="CC730" s="697"/>
      <c r="CD730" s="697"/>
      <c r="CE730" s="697"/>
      <c r="CF730" s="697"/>
      <c r="CG730" s="697"/>
      <c r="CH730" s="697"/>
      <c r="CI730" s="697"/>
      <c r="CJ730" s="697"/>
      <c r="CK730" s="697"/>
      <c r="CL730" s="697"/>
      <c r="CM730" s="697"/>
      <c r="CN730" s="697"/>
      <c r="CO730" s="697"/>
      <c r="CP730" s="697"/>
      <c r="CQ730" s="697"/>
      <c r="CR730" s="697"/>
      <c r="CS730" s="697"/>
      <c r="CT730" s="697"/>
      <c r="CU730" s="697"/>
      <c r="CV730" s="697"/>
      <c r="CW730" s="697"/>
      <c r="CX730" s="697"/>
      <c r="CY730" s="697"/>
      <c r="CZ730" s="697"/>
      <c r="DA730" s="697"/>
    </row>
    <row r="731" spans="1:105" x14ac:dyDescent="0.2">
      <c r="A731" s="709">
        <f t="shared" si="139"/>
        <v>41579</v>
      </c>
      <c r="B731" s="709" t="str">
        <f t="shared" si="140"/>
        <v>4Q13</v>
      </c>
      <c r="C731" s="709" t="str">
        <f t="shared" si="141"/>
        <v>1Q14</v>
      </c>
      <c r="D731" s="710">
        <f t="shared" si="145"/>
        <v>41667</v>
      </c>
      <c r="E731" s="710">
        <f t="shared" si="145"/>
        <v>41607</v>
      </c>
      <c r="F731" s="712">
        <v>92.97</v>
      </c>
      <c r="G731" s="713">
        <f t="shared" si="142"/>
        <v>1.4900000000000011</v>
      </c>
      <c r="H731" s="713">
        <f t="shared" si="143"/>
        <v>1.4900000000000011</v>
      </c>
      <c r="I731" s="697"/>
      <c r="J731" s="697"/>
      <c r="K731" s="697"/>
      <c r="L731" s="697"/>
      <c r="M731" s="697"/>
      <c r="N731" s="697"/>
      <c r="O731" s="697"/>
      <c r="P731" s="697"/>
      <c r="Q731" s="697"/>
      <c r="R731" s="697"/>
      <c r="S731" s="697"/>
      <c r="T731" s="697"/>
      <c r="U731" s="697"/>
      <c r="V731" s="697"/>
      <c r="W731" s="697"/>
      <c r="X731" s="697"/>
      <c r="Y731" s="697"/>
      <c r="Z731" s="697"/>
      <c r="AA731" s="697"/>
      <c r="AB731" s="697"/>
      <c r="AC731" s="697"/>
      <c r="AD731" s="697"/>
      <c r="AE731" s="697"/>
      <c r="AF731" s="697"/>
      <c r="AG731" s="697"/>
      <c r="AH731" s="697"/>
      <c r="AI731" s="697"/>
      <c r="AJ731" s="697"/>
      <c r="AK731" s="697"/>
      <c r="AL731" s="697"/>
      <c r="AM731" s="697"/>
      <c r="AN731" s="697"/>
      <c r="AO731" s="697"/>
      <c r="AP731" s="697"/>
      <c r="AQ731" s="697"/>
      <c r="AR731" s="697"/>
      <c r="AS731" s="697"/>
      <c r="AT731" s="697"/>
      <c r="AU731" s="697"/>
      <c r="AV731" s="697"/>
      <c r="AW731" s="697"/>
      <c r="AX731" s="697"/>
      <c r="AY731" s="697"/>
      <c r="AZ731" s="697"/>
      <c r="BA731" s="697"/>
      <c r="BB731" s="697"/>
      <c r="BC731" s="697"/>
      <c r="BD731" s="697"/>
      <c r="BE731" s="697"/>
      <c r="BF731" s="697"/>
      <c r="BG731" s="697"/>
      <c r="BH731" s="697"/>
      <c r="BI731" s="697"/>
      <c r="BJ731" s="697"/>
      <c r="BK731" s="697"/>
      <c r="BL731" s="697"/>
      <c r="BM731" s="697"/>
      <c r="BN731" s="697"/>
      <c r="BO731" s="697"/>
      <c r="BP731" s="697"/>
      <c r="BQ731" s="697"/>
      <c r="BR731" s="697"/>
      <c r="BS731" s="697"/>
      <c r="BT731" s="697"/>
      <c r="BU731" s="697"/>
      <c r="BV731" s="697"/>
      <c r="BW731" s="697"/>
      <c r="BX731" s="697"/>
      <c r="BY731" s="697"/>
      <c r="BZ731" s="697"/>
      <c r="CA731" s="697"/>
      <c r="CB731" s="697"/>
      <c r="CC731" s="697"/>
      <c r="CD731" s="697"/>
      <c r="CE731" s="697"/>
      <c r="CF731" s="697"/>
      <c r="CG731" s="697"/>
      <c r="CH731" s="697"/>
      <c r="CI731" s="697"/>
      <c r="CJ731" s="697"/>
      <c r="CK731" s="697"/>
      <c r="CL731" s="697"/>
      <c r="CM731" s="697"/>
      <c r="CN731" s="697"/>
      <c r="CO731" s="697"/>
      <c r="CP731" s="697"/>
      <c r="CQ731" s="697"/>
      <c r="CR731" s="697"/>
      <c r="CS731" s="697"/>
      <c r="CT731" s="697"/>
      <c r="CU731" s="697"/>
      <c r="CV731" s="697"/>
      <c r="CW731" s="697"/>
      <c r="CX731" s="697"/>
      <c r="CY731" s="697"/>
      <c r="CZ731" s="697"/>
      <c r="DA731" s="697"/>
    </row>
    <row r="732" spans="1:105" x14ac:dyDescent="0.2">
      <c r="A732" s="709">
        <f t="shared" si="139"/>
        <v>41609</v>
      </c>
      <c r="B732" s="709" t="str">
        <f t="shared" si="140"/>
        <v>4Q13</v>
      </c>
      <c r="C732" s="709" t="str">
        <f t="shared" si="141"/>
        <v>1Q14</v>
      </c>
      <c r="D732" s="710">
        <f t="shared" si="145"/>
        <v>41674</v>
      </c>
      <c r="E732" s="710">
        <f t="shared" si="145"/>
        <v>41614</v>
      </c>
      <c r="F732" s="712">
        <v>96.21</v>
      </c>
      <c r="G732" s="713">
        <f t="shared" si="142"/>
        <v>1.4900000000000011</v>
      </c>
      <c r="H732" s="713">
        <f t="shared" si="143"/>
        <v>1.4900000000000011</v>
      </c>
      <c r="I732" s="697"/>
      <c r="J732" s="697"/>
      <c r="K732" s="697"/>
      <c r="L732" s="697"/>
      <c r="M732" s="697"/>
      <c r="N732" s="697"/>
      <c r="O732" s="697"/>
      <c r="P732" s="697"/>
      <c r="Q732" s="697"/>
      <c r="R732" s="697"/>
      <c r="S732" s="697"/>
      <c r="T732" s="697"/>
      <c r="U732" s="697"/>
      <c r="V732" s="697"/>
      <c r="W732" s="697"/>
      <c r="X732" s="697"/>
      <c r="Y732" s="697"/>
      <c r="Z732" s="697"/>
      <c r="AA732" s="697"/>
      <c r="AB732" s="697"/>
      <c r="AC732" s="697"/>
      <c r="AD732" s="697"/>
      <c r="AE732" s="697"/>
      <c r="AF732" s="697"/>
      <c r="AG732" s="697"/>
      <c r="AH732" s="697"/>
      <c r="AI732" s="697"/>
      <c r="AJ732" s="697"/>
      <c r="AK732" s="697"/>
      <c r="AL732" s="697"/>
      <c r="AM732" s="697"/>
      <c r="AN732" s="697"/>
      <c r="AO732" s="697"/>
      <c r="AP732" s="697"/>
      <c r="AQ732" s="697"/>
      <c r="AR732" s="697"/>
      <c r="AS732" s="697"/>
      <c r="AT732" s="697"/>
      <c r="AU732" s="697"/>
      <c r="AV732" s="697"/>
      <c r="AW732" s="697"/>
      <c r="AX732" s="697"/>
      <c r="AY732" s="697"/>
      <c r="AZ732" s="697"/>
      <c r="BA732" s="697"/>
      <c r="BB732" s="697"/>
      <c r="BC732" s="697"/>
      <c r="BD732" s="697"/>
      <c r="BE732" s="697"/>
      <c r="BF732" s="697"/>
      <c r="BG732" s="697"/>
      <c r="BH732" s="697"/>
      <c r="BI732" s="697"/>
      <c r="BJ732" s="697"/>
      <c r="BK732" s="697"/>
      <c r="BL732" s="697"/>
      <c r="BM732" s="697"/>
      <c r="BN732" s="697"/>
      <c r="BO732" s="697"/>
      <c r="BP732" s="697"/>
      <c r="BQ732" s="697"/>
      <c r="BR732" s="697"/>
      <c r="BS732" s="697"/>
      <c r="BT732" s="697"/>
      <c r="BU732" s="697"/>
      <c r="BV732" s="697"/>
      <c r="BW732" s="697"/>
      <c r="BX732" s="697"/>
      <c r="BY732" s="697"/>
      <c r="BZ732" s="697"/>
      <c r="CA732" s="697"/>
      <c r="CB732" s="697"/>
      <c r="CC732" s="697"/>
      <c r="CD732" s="697"/>
      <c r="CE732" s="697"/>
      <c r="CF732" s="697"/>
      <c r="CG732" s="697"/>
      <c r="CH732" s="697"/>
      <c r="CI732" s="697"/>
      <c r="CJ732" s="697"/>
      <c r="CK732" s="697"/>
      <c r="CL732" s="697"/>
      <c r="CM732" s="697"/>
      <c r="CN732" s="697"/>
      <c r="CO732" s="697"/>
      <c r="CP732" s="697"/>
      <c r="CQ732" s="697"/>
      <c r="CR732" s="697"/>
      <c r="CS732" s="697"/>
      <c r="CT732" s="697"/>
      <c r="CU732" s="697"/>
      <c r="CV732" s="697"/>
      <c r="CW732" s="697"/>
      <c r="CX732" s="697"/>
      <c r="CY732" s="697"/>
      <c r="CZ732" s="697"/>
      <c r="DA732" s="697"/>
    </row>
    <row r="733" spans="1:105" x14ac:dyDescent="0.2">
      <c r="A733" s="709">
        <f t="shared" si="139"/>
        <v>41609</v>
      </c>
      <c r="B733" s="709" t="str">
        <f t="shared" si="140"/>
        <v>4Q13</v>
      </c>
      <c r="C733" s="709" t="str">
        <f t="shared" si="141"/>
        <v>1Q14</v>
      </c>
      <c r="D733" s="710">
        <f t="shared" si="145"/>
        <v>41681</v>
      </c>
      <c r="E733" s="710">
        <f t="shared" si="145"/>
        <v>41621</v>
      </c>
      <c r="F733" s="712">
        <v>97.23</v>
      </c>
      <c r="G733" s="713">
        <f t="shared" si="142"/>
        <v>1.4900000000000011</v>
      </c>
      <c r="H733" s="713">
        <f t="shared" si="143"/>
        <v>1.4900000000000011</v>
      </c>
      <c r="I733" s="697"/>
      <c r="J733" s="697"/>
      <c r="K733" s="697"/>
      <c r="L733" s="697"/>
      <c r="M733" s="697"/>
      <c r="N733" s="697"/>
      <c r="O733" s="697"/>
      <c r="P733" s="697"/>
      <c r="Q733" s="697"/>
      <c r="R733" s="697"/>
      <c r="S733" s="697"/>
      <c r="T733" s="697"/>
      <c r="U733" s="697"/>
      <c r="V733" s="697"/>
      <c r="W733" s="697"/>
      <c r="X733" s="697"/>
      <c r="Y733" s="697"/>
      <c r="Z733" s="697"/>
      <c r="AA733" s="697"/>
      <c r="AB733" s="697"/>
      <c r="AC733" s="697"/>
      <c r="AD733" s="697"/>
      <c r="AE733" s="697"/>
      <c r="AF733" s="697"/>
      <c r="AG733" s="697"/>
      <c r="AH733" s="697"/>
      <c r="AI733" s="697"/>
      <c r="AJ733" s="697"/>
      <c r="AK733" s="697"/>
      <c r="AL733" s="697"/>
      <c r="AM733" s="697"/>
      <c r="AN733" s="697"/>
      <c r="AO733" s="697"/>
      <c r="AP733" s="697"/>
      <c r="AQ733" s="697"/>
      <c r="AR733" s="697"/>
      <c r="AS733" s="697"/>
      <c r="AT733" s="697"/>
      <c r="AU733" s="697"/>
      <c r="AV733" s="697"/>
      <c r="AW733" s="697"/>
      <c r="AX733" s="697"/>
      <c r="AY733" s="697"/>
      <c r="AZ733" s="697"/>
      <c r="BA733" s="697"/>
      <c r="BB733" s="697"/>
      <c r="BC733" s="697"/>
      <c r="BD733" s="697"/>
      <c r="BE733" s="697"/>
      <c r="BF733" s="697"/>
      <c r="BG733" s="697"/>
      <c r="BH733" s="697"/>
      <c r="BI733" s="697"/>
      <c r="BJ733" s="697"/>
      <c r="BK733" s="697"/>
      <c r="BL733" s="697"/>
      <c r="BM733" s="697"/>
      <c r="BN733" s="697"/>
      <c r="BO733" s="697"/>
      <c r="BP733" s="697"/>
      <c r="BQ733" s="697"/>
      <c r="BR733" s="697"/>
      <c r="BS733" s="697"/>
      <c r="BT733" s="697"/>
      <c r="BU733" s="697"/>
      <c r="BV733" s="697"/>
      <c r="BW733" s="697"/>
      <c r="BX733" s="697"/>
      <c r="BY733" s="697"/>
      <c r="BZ733" s="697"/>
      <c r="CA733" s="697"/>
      <c r="CB733" s="697"/>
      <c r="CC733" s="697"/>
      <c r="CD733" s="697"/>
      <c r="CE733" s="697"/>
      <c r="CF733" s="697"/>
      <c r="CG733" s="697"/>
      <c r="CH733" s="697"/>
      <c r="CI733" s="697"/>
      <c r="CJ733" s="697"/>
      <c r="CK733" s="697"/>
      <c r="CL733" s="697"/>
      <c r="CM733" s="697"/>
      <c r="CN733" s="697"/>
      <c r="CO733" s="697"/>
      <c r="CP733" s="697"/>
      <c r="CQ733" s="697"/>
      <c r="CR733" s="697"/>
      <c r="CS733" s="697"/>
      <c r="CT733" s="697"/>
      <c r="CU733" s="697"/>
      <c r="CV733" s="697"/>
      <c r="CW733" s="697"/>
      <c r="CX733" s="697"/>
      <c r="CY733" s="697"/>
      <c r="CZ733" s="697"/>
      <c r="DA733" s="697"/>
    </row>
    <row r="734" spans="1:105" x14ac:dyDescent="0.2">
      <c r="A734" s="709">
        <f t="shared" si="139"/>
        <v>41609</v>
      </c>
      <c r="B734" s="709" t="str">
        <f t="shared" si="140"/>
        <v>4Q13</v>
      </c>
      <c r="C734" s="709" t="str">
        <f t="shared" si="141"/>
        <v>1Q14</v>
      </c>
      <c r="D734" s="710">
        <f t="shared" si="145"/>
        <v>41688</v>
      </c>
      <c r="E734" s="710">
        <f t="shared" si="145"/>
        <v>41628</v>
      </c>
      <c r="F734" s="712">
        <v>97.85</v>
      </c>
      <c r="G734" s="713">
        <f t="shared" si="142"/>
        <v>1.4900000000000011</v>
      </c>
      <c r="H734" s="713">
        <f t="shared" si="143"/>
        <v>1.4900000000000011</v>
      </c>
      <c r="I734" s="697"/>
      <c r="J734" s="697"/>
      <c r="K734" s="697"/>
      <c r="L734" s="697"/>
      <c r="M734" s="697"/>
      <c r="N734" s="697"/>
      <c r="O734" s="697"/>
      <c r="P734" s="697"/>
      <c r="Q734" s="697"/>
      <c r="R734" s="697"/>
      <c r="S734" s="697"/>
      <c r="T734" s="697"/>
      <c r="U734" s="697"/>
      <c r="V734" s="697"/>
      <c r="W734" s="697"/>
      <c r="X734" s="697"/>
      <c r="Y734" s="697"/>
      <c r="Z734" s="697"/>
      <c r="AA734" s="697"/>
      <c r="AB734" s="697"/>
      <c r="AC734" s="697"/>
      <c r="AD734" s="697"/>
      <c r="AE734" s="697"/>
      <c r="AF734" s="697"/>
      <c r="AG734" s="697"/>
      <c r="AH734" s="697"/>
      <c r="AI734" s="697"/>
      <c r="AJ734" s="697"/>
      <c r="AK734" s="697"/>
      <c r="AL734" s="697"/>
      <c r="AM734" s="697"/>
      <c r="AN734" s="697"/>
      <c r="AO734" s="697"/>
      <c r="AP734" s="697"/>
      <c r="AQ734" s="697"/>
      <c r="AR734" s="697"/>
      <c r="AS734" s="697"/>
      <c r="AT734" s="697"/>
      <c r="AU734" s="697"/>
      <c r="AV734" s="697"/>
      <c r="AW734" s="697"/>
      <c r="AX734" s="697"/>
      <c r="AY734" s="697"/>
      <c r="AZ734" s="697"/>
      <c r="BA734" s="697"/>
      <c r="BB734" s="697"/>
      <c r="BC734" s="697"/>
      <c r="BD734" s="697"/>
      <c r="BE734" s="697"/>
      <c r="BF734" s="697"/>
      <c r="BG734" s="697"/>
      <c r="BH734" s="697"/>
      <c r="BI734" s="697"/>
      <c r="BJ734" s="697"/>
      <c r="BK734" s="697"/>
      <c r="BL734" s="697"/>
      <c r="BM734" s="697"/>
      <c r="BN734" s="697"/>
      <c r="BO734" s="697"/>
      <c r="BP734" s="697"/>
      <c r="BQ734" s="697"/>
      <c r="BR734" s="697"/>
      <c r="BS734" s="697"/>
      <c r="BT734" s="697"/>
      <c r="BU734" s="697"/>
      <c r="BV734" s="697"/>
      <c r="BW734" s="697"/>
      <c r="BX734" s="697"/>
      <c r="BY734" s="697"/>
      <c r="BZ734" s="697"/>
      <c r="CA734" s="697"/>
      <c r="CB734" s="697"/>
      <c r="CC734" s="697"/>
      <c r="CD734" s="697"/>
      <c r="CE734" s="697"/>
      <c r="CF734" s="697"/>
      <c r="CG734" s="697"/>
      <c r="CH734" s="697"/>
      <c r="CI734" s="697"/>
      <c r="CJ734" s="697"/>
      <c r="CK734" s="697"/>
      <c r="CL734" s="697"/>
      <c r="CM734" s="697"/>
      <c r="CN734" s="697"/>
      <c r="CO734" s="697"/>
      <c r="CP734" s="697"/>
      <c r="CQ734" s="697"/>
      <c r="CR734" s="697"/>
      <c r="CS734" s="697"/>
      <c r="CT734" s="697"/>
      <c r="CU734" s="697"/>
      <c r="CV734" s="697"/>
      <c r="CW734" s="697"/>
      <c r="CX734" s="697"/>
      <c r="CY734" s="697"/>
      <c r="CZ734" s="697"/>
      <c r="DA734" s="697"/>
    </row>
    <row r="735" spans="1:105" x14ac:dyDescent="0.2">
      <c r="A735" s="709">
        <f t="shared" si="139"/>
        <v>41609</v>
      </c>
      <c r="B735" s="709" t="str">
        <f t="shared" si="140"/>
        <v>4Q13</v>
      </c>
      <c r="C735" s="709" t="str">
        <f t="shared" si="141"/>
        <v>1Q14</v>
      </c>
      <c r="D735" s="710">
        <f t="shared" si="145"/>
        <v>41695</v>
      </c>
      <c r="E735" s="710">
        <f t="shared" si="145"/>
        <v>41635</v>
      </c>
      <c r="F735" s="712">
        <v>99.15</v>
      </c>
      <c r="G735" s="713">
        <f t="shared" si="142"/>
        <v>1.4900000000000011</v>
      </c>
      <c r="H735" s="713">
        <f t="shared" si="143"/>
        <v>1.4900000000000011</v>
      </c>
    </row>
    <row r="736" spans="1:105" x14ac:dyDescent="0.2">
      <c r="A736" s="709">
        <f t="shared" si="139"/>
        <v>41640</v>
      </c>
      <c r="B736" s="709" t="str">
        <f t="shared" si="140"/>
        <v>1Q14</v>
      </c>
      <c r="C736" s="709" t="str">
        <f t="shared" si="141"/>
        <v>1Q14</v>
      </c>
      <c r="D736" s="710">
        <f t="shared" si="145"/>
        <v>41702</v>
      </c>
      <c r="E736" s="710">
        <f t="shared" si="145"/>
        <v>41642</v>
      </c>
      <c r="F736" s="712">
        <v>96.47</v>
      </c>
      <c r="G736" s="713">
        <f t="shared" si="142"/>
        <v>1.4900000000000011</v>
      </c>
      <c r="H736" s="713">
        <f t="shared" si="143"/>
        <v>1.4900000000000011</v>
      </c>
    </row>
    <row r="737" spans="1:8" x14ac:dyDescent="0.2">
      <c r="A737" s="709">
        <f t="shared" si="139"/>
        <v>41640</v>
      </c>
      <c r="B737" s="709" t="str">
        <f t="shared" si="140"/>
        <v>1Q14</v>
      </c>
      <c r="C737" s="709" t="str">
        <f t="shared" si="141"/>
        <v>1Q14</v>
      </c>
      <c r="D737" s="710">
        <f t="shared" si="145"/>
        <v>41709</v>
      </c>
      <c r="E737" s="710">
        <f t="shared" si="145"/>
        <v>41649</v>
      </c>
      <c r="F737" s="712">
        <v>92.42</v>
      </c>
      <c r="G737" s="713">
        <f t="shared" si="142"/>
        <v>1.4900000000000011</v>
      </c>
      <c r="H737" s="713">
        <f t="shared" si="143"/>
        <v>1.4900000000000011</v>
      </c>
    </row>
    <row r="738" spans="1:8" x14ac:dyDescent="0.2">
      <c r="A738" s="709">
        <f t="shared" si="139"/>
        <v>41640</v>
      </c>
      <c r="B738" s="709" t="str">
        <f t="shared" si="140"/>
        <v>1Q14</v>
      </c>
      <c r="C738" s="709" t="str">
        <f t="shared" si="141"/>
        <v>1Q14</v>
      </c>
      <c r="D738" s="710">
        <f t="shared" si="145"/>
        <v>41716</v>
      </c>
      <c r="E738" s="710">
        <f t="shared" si="145"/>
        <v>41656</v>
      </c>
      <c r="F738" s="712">
        <v>92.98</v>
      </c>
      <c r="G738" s="713">
        <f t="shared" si="142"/>
        <v>1.4900000000000011</v>
      </c>
      <c r="H738" s="713">
        <f t="shared" si="143"/>
        <v>1.4900000000000011</v>
      </c>
    </row>
    <row r="739" spans="1:8" x14ac:dyDescent="0.2">
      <c r="A739" s="709">
        <f t="shared" si="139"/>
        <v>41640</v>
      </c>
      <c r="B739" s="709" t="str">
        <f t="shared" si="140"/>
        <v>1Q14</v>
      </c>
      <c r="C739" s="709" t="str">
        <f t="shared" si="141"/>
        <v>1Q14</v>
      </c>
      <c r="D739" s="710">
        <f t="shared" si="145"/>
        <v>41723</v>
      </c>
      <c r="E739" s="710">
        <f t="shared" si="145"/>
        <v>41663</v>
      </c>
      <c r="F739" s="712">
        <v>96.19</v>
      </c>
      <c r="G739" s="713">
        <f t="shared" si="142"/>
        <v>1.4900000000000011</v>
      </c>
      <c r="H739" s="713">
        <f t="shared" si="143"/>
        <v>1.4900000000000011</v>
      </c>
    </row>
    <row r="740" spans="1:8" x14ac:dyDescent="0.2">
      <c r="A740" s="709">
        <f t="shared" si="139"/>
        <v>41640</v>
      </c>
      <c r="B740" s="709" t="str">
        <f t="shared" si="140"/>
        <v>1Q14</v>
      </c>
      <c r="C740" s="709" t="str">
        <f t="shared" si="141"/>
        <v>2Q14</v>
      </c>
      <c r="D740" s="710">
        <f t="shared" si="145"/>
        <v>41730</v>
      </c>
      <c r="E740" s="710">
        <f t="shared" si="145"/>
        <v>41670</v>
      </c>
      <c r="F740" s="712">
        <v>97.29</v>
      </c>
      <c r="G740" s="713">
        <f t="shared" si="142"/>
        <v>1.4900000000000011</v>
      </c>
      <c r="H740" s="713">
        <f t="shared" si="143"/>
        <v>1.4900000000000011</v>
      </c>
    </row>
    <row r="741" spans="1:8" x14ac:dyDescent="0.2">
      <c r="A741" s="709">
        <f t="shared" si="139"/>
        <v>41671</v>
      </c>
      <c r="B741" s="709" t="str">
        <f t="shared" si="140"/>
        <v>1Q14</v>
      </c>
      <c r="C741" s="709" t="str">
        <f t="shared" si="141"/>
        <v>2Q14</v>
      </c>
      <c r="D741" s="710">
        <f t="shared" ref="D741:E756" si="146">D740+7</f>
        <v>41737</v>
      </c>
      <c r="E741" s="710">
        <f t="shared" si="146"/>
        <v>41677</v>
      </c>
      <c r="F741" s="712">
        <v>97.78</v>
      </c>
      <c r="G741" s="713">
        <f t="shared" si="142"/>
        <v>1.4900000000000011</v>
      </c>
      <c r="H741" s="713">
        <f t="shared" si="143"/>
        <v>1.4900000000000011</v>
      </c>
    </row>
    <row r="742" spans="1:8" x14ac:dyDescent="0.2">
      <c r="A742" s="709">
        <f t="shared" si="139"/>
        <v>41671</v>
      </c>
      <c r="B742" s="709" t="str">
        <f t="shared" si="140"/>
        <v>1Q14</v>
      </c>
      <c r="C742" s="709" t="str">
        <f t="shared" si="141"/>
        <v>2Q14</v>
      </c>
      <c r="D742" s="710">
        <f t="shared" si="146"/>
        <v>41744</v>
      </c>
      <c r="E742" s="710">
        <f t="shared" si="146"/>
        <v>41684</v>
      </c>
      <c r="F742" s="712">
        <v>100.21</v>
      </c>
      <c r="G742" s="713">
        <f t="shared" si="142"/>
        <v>1.4900000000000011</v>
      </c>
      <c r="H742" s="713">
        <f t="shared" si="143"/>
        <v>1.4900000000000011</v>
      </c>
    </row>
    <row r="743" spans="1:8" x14ac:dyDescent="0.2">
      <c r="A743" s="709">
        <f t="shared" si="139"/>
        <v>41671</v>
      </c>
      <c r="B743" s="709" t="str">
        <f t="shared" si="140"/>
        <v>1Q14</v>
      </c>
      <c r="C743" s="709" t="str">
        <f t="shared" si="141"/>
        <v>2Q14</v>
      </c>
      <c r="D743" s="710">
        <f t="shared" si="146"/>
        <v>41751</v>
      </c>
      <c r="E743" s="710">
        <f t="shared" si="146"/>
        <v>41691</v>
      </c>
      <c r="F743" s="712">
        <v>102.93</v>
      </c>
      <c r="G743" s="713">
        <f t="shared" si="142"/>
        <v>1.4900000000000011</v>
      </c>
      <c r="H743" s="713">
        <f t="shared" si="143"/>
        <v>1.4900000000000011</v>
      </c>
    </row>
    <row r="744" spans="1:8" x14ac:dyDescent="0.2">
      <c r="A744" s="709">
        <f t="shared" si="139"/>
        <v>41671</v>
      </c>
      <c r="B744" s="709" t="str">
        <f t="shared" si="140"/>
        <v>1Q14</v>
      </c>
      <c r="C744" s="709" t="str">
        <f t="shared" si="141"/>
        <v>2Q14</v>
      </c>
      <c r="D744" s="710">
        <f t="shared" si="146"/>
        <v>41758</v>
      </c>
      <c r="E744" s="710">
        <f t="shared" si="146"/>
        <v>41698</v>
      </c>
      <c r="F744" s="712">
        <v>102.77</v>
      </c>
      <c r="G744" s="713">
        <f t="shared" si="142"/>
        <v>1.4900000000000011</v>
      </c>
      <c r="H744" s="713">
        <f t="shared" si="143"/>
        <v>1.4900000000000011</v>
      </c>
    </row>
    <row r="745" spans="1:8" x14ac:dyDescent="0.2">
      <c r="A745" s="709">
        <f t="shared" si="139"/>
        <v>41699</v>
      </c>
      <c r="B745" s="709" t="str">
        <f t="shared" si="140"/>
        <v>1Q14</v>
      </c>
      <c r="C745" s="709" t="str">
        <f t="shared" si="141"/>
        <v>2Q14</v>
      </c>
      <c r="D745" s="710">
        <f t="shared" si="146"/>
        <v>41765</v>
      </c>
      <c r="E745" s="710">
        <f t="shared" si="146"/>
        <v>41705</v>
      </c>
      <c r="F745" s="712">
        <v>103.07</v>
      </c>
      <c r="G745" s="713">
        <f t="shared" si="142"/>
        <v>1.4900000000000011</v>
      </c>
      <c r="H745" s="713">
        <f t="shared" si="143"/>
        <v>1.4900000000000011</v>
      </c>
    </row>
    <row r="746" spans="1:8" x14ac:dyDescent="0.2">
      <c r="A746" s="709">
        <f t="shared" si="139"/>
        <v>41699</v>
      </c>
      <c r="B746" s="709" t="str">
        <f t="shared" si="140"/>
        <v>1Q14</v>
      </c>
      <c r="C746" s="709" t="str">
        <f t="shared" si="141"/>
        <v>2Q14</v>
      </c>
      <c r="D746" s="710">
        <f t="shared" si="146"/>
        <v>41772</v>
      </c>
      <c r="E746" s="710">
        <f t="shared" si="146"/>
        <v>41712</v>
      </c>
      <c r="F746" s="712">
        <v>99.55</v>
      </c>
      <c r="G746" s="713">
        <f t="shared" si="142"/>
        <v>1.4900000000000011</v>
      </c>
      <c r="H746" s="713">
        <f t="shared" si="143"/>
        <v>1.4900000000000011</v>
      </c>
    </row>
    <row r="747" spans="1:8" x14ac:dyDescent="0.2">
      <c r="A747" s="709">
        <f t="shared" si="139"/>
        <v>41699</v>
      </c>
      <c r="B747" s="709" t="str">
        <f t="shared" si="140"/>
        <v>1Q14</v>
      </c>
      <c r="C747" s="709" t="str">
        <f t="shared" si="141"/>
        <v>2Q14</v>
      </c>
      <c r="D747" s="710">
        <f t="shared" si="146"/>
        <v>41779</v>
      </c>
      <c r="E747" s="710">
        <f t="shared" si="146"/>
        <v>41719</v>
      </c>
      <c r="F747" s="712">
        <v>99.77</v>
      </c>
      <c r="G747" s="713">
        <f t="shared" si="142"/>
        <v>1.4900000000000011</v>
      </c>
      <c r="H747" s="713">
        <f t="shared" si="143"/>
        <v>1.4900000000000011</v>
      </c>
    </row>
    <row r="748" spans="1:8" x14ac:dyDescent="0.2">
      <c r="A748" s="709">
        <f t="shared" si="139"/>
        <v>41699</v>
      </c>
      <c r="B748" s="709" t="str">
        <f t="shared" si="140"/>
        <v>1Q14</v>
      </c>
      <c r="C748" s="709" t="str">
        <f t="shared" si="141"/>
        <v>2Q14</v>
      </c>
      <c r="D748" s="710">
        <f t="shared" si="146"/>
        <v>41786</v>
      </c>
      <c r="E748" s="710">
        <f t="shared" si="146"/>
        <v>41726</v>
      </c>
      <c r="F748" s="712">
        <v>100.66</v>
      </c>
      <c r="G748" s="713">
        <f t="shared" si="142"/>
        <v>1.4900000000000011</v>
      </c>
      <c r="H748" s="713">
        <f t="shared" si="143"/>
        <v>1.4900000000000011</v>
      </c>
    </row>
    <row r="749" spans="1:8" x14ac:dyDescent="0.2">
      <c r="A749" s="709">
        <f t="shared" si="139"/>
        <v>41730</v>
      </c>
      <c r="B749" s="709" t="str">
        <f t="shared" si="140"/>
        <v>2Q14</v>
      </c>
      <c r="C749" s="709" t="str">
        <f t="shared" si="141"/>
        <v>2Q14</v>
      </c>
      <c r="D749" s="710">
        <f t="shared" si="146"/>
        <v>41793</v>
      </c>
      <c r="E749" s="710">
        <f t="shared" si="146"/>
        <v>41733</v>
      </c>
      <c r="F749" s="712">
        <v>100.46</v>
      </c>
      <c r="G749" s="713">
        <f t="shared" si="142"/>
        <v>1.4900000000000011</v>
      </c>
      <c r="H749" s="713">
        <f t="shared" si="143"/>
        <v>1.4900000000000011</v>
      </c>
    </row>
    <row r="750" spans="1:8" x14ac:dyDescent="0.2">
      <c r="A750" s="709">
        <f t="shared" si="139"/>
        <v>41730</v>
      </c>
      <c r="B750" s="709" t="str">
        <f t="shared" si="140"/>
        <v>2Q14</v>
      </c>
      <c r="C750" s="709" t="str">
        <f t="shared" si="141"/>
        <v>2Q14</v>
      </c>
      <c r="D750" s="710">
        <f t="shared" si="146"/>
        <v>41800</v>
      </c>
      <c r="E750" s="710">
        <f t="shared" si="146"/>
        <v>41740</v>
      </c>
      <c r="F750" s="712">
        <v>102.72</v>
      </c>
      <c r="G750" s="713">
        <f t="shared" si="142"/>
        <v>1.4900000000000011</v>
      </c>
      <c r="H750" s="713">
        <f t="shared" si="143"/>
        <v>1.4900000000000011</v>
      </c>
    </row>
    <row r="751" spans="1:8" x14ac:dyDescent="0.2">
      <c r="A751" s="709">
        <f t="shared" si="139"/>
        <v>41730</v>
      </c>
      <c r="B751" s="709" t="str">
        <f t="shared" si="140"/>
        <v>2Q14</v>
      </c>
      <c r="C751" s="709" t="str">
        <f t="shared" si="141"/>
        <v>2Q14</v>
      </c>
      <c r="D751" s="710">
        <f t="shared" si="146"/>
        <v>41807</v>
      </c>
      <c r="E751" s="710">
        <f t="shared" si="146"/>
        <v>41747</v>
      </c>
      <c r="F751" s="712">
        <v>103.95</v>
      </c>
      <c r="G751" s="713">
        <f t="shared" si="142"/>
        <v>1.4900000000000011</v>
      </c>
      <c r="H751" s="713">
        <f t="shared" si="143"/>
        <v>1.4900000000000011</v>
      </c>
    </row>
    <row r="752" spans="1:8" x14ac:dyDescent="0.2">
      <c r="A752" s="709">
        <f t="shared" si="139"/>
        <v>41730</v>
      </c>
      <c r="B752" s="709" t="str">
        <f t="shared" si="140"/>
        <v>2Q14</v>
      </c>
      <c r="C752" s="709" t="str">
        <f t="shared" si="141"/>
        <v>2Q14</v>
      </c>
      <c r="D752" s="710">
        <f t="shared" si="146"/>
        <v>41814</v>
      </c>
      <c r="E752" s="710">
        <f t="shared" si="146"/>
        <v>41754</v>
      </c>
      <c r="F752" s="712">
        <v>102.11</v>
      </c>
      <c r="G752" s="713">
        <f t="shared" si="142"/>
        <v>1.4900000000000011</v>
      </c>
      <c r="H752" s="713">
        <f t="shared" si="143"/>
        <v>1.4900000000000011</v>
      </c>
    </row>
    <row r="753" spans="1:8" x14ac:dyDescent="0.2">
      <c r="A753" s="709">
        <f t="shared" si="139"/>
        <v>41760</v>
      </c>
      <c r="B753" s="709" t="str">
        <f t="shared" si="140"/>
        <v>2Q14</v>
      </c>
      <c r="C753" s="709" t="str">
        <f t="shared" si="141"/>
        <v>3Q14</v>
      </c>
      <c r="D753" s="710">
        <f t="shared" si="146"/>
        <v>41821</v>
      </c>
      <c r="E753" s="710">
        <f t="shared" si="146"/>
        <v>41761</v>
      </c>
      <c r="F753" s="712">
        <v>100.51</v>
      </c>
      <c r="G753" s="713">
        <f t="shared" si="142"/>
        <v>1.4900000000000011</v>
      </c>
      <c r="H753" s="713">
        <f t="shared" si="143"/>
        <v>1.4900000000000011</v>
      </c>
    </row>
    <row r="754" spans="1:8" x14ac:dyDescent="0.2">
      <c r="A754" s="709">
        <f t="shared" si="139"/>
        <v>41760</v>
      </c>
      <c r="B754" s="709" t="str">
        <f t="shared" si="140"/>
        <v>2Q14</v>
      </c>
      <c r="C754" s="709" t="str">
        <f t="shared" si="141"/>
        <v>3Q14</v>
      </c>
      <c r="D754" s="710">
        <f t="shared" si="146"/>
        <v>41828</v>
      </c>
      <c r="E754" s="710">
        <f t="shared" si="146"/>
        <v>41768</v>
      </c>
      <c r="F754" s="712">
        <v>100.29</v>
      </c>
      <c r="G754" s="713">
        <f t="shared" si="142"/>
        <v>1.4900000000000011</v>
      </c>
      <c r="H754" s="713">
        <f t="shared" si="143"/>
        <v>1.4900000000000011</v>
      </c>
    </row>
    <row r="755" spans="1:8" x14ac:dyDescent="0.2">
      <c r="A755" s="709">
        <f t="shared" si="139"/>
        <v>41760</v>
      </c>
      <c r="B755" s="709" t="str">
        <f t="shared" si="140"/>
        <v>2Q14</v>
      </c>
      <c r="C755" s="709" t="str">
        <f t="shared" si="141"/>
        <v>3Q14</v>
      </c>
      <c r="D755" s="710">
        <f t="shared" si="146"/>
        <v>41835</v>
      </c>
      <c r="E755" s="710">
        <f t="shared" si="146"/>
        <v>41775</v>
      </c>
      <c r="F755" s="712">
        <v>101.92</v>
      </c>
      <c r="G755" s="713">
        <f t="shared" si="142"/>
        <v>1.4900000000000011</v>
      </c>
      <c r="H755" s="713">
        <f t="shared" si="143"/>
        <v>1.4900000000000011</v>
      </c>
    </row>
    <row r="756" spans="1:8" x14ac:dyDescent="0.2">
      <c r="A756" s="709">
        <f t="shared" si="139"/>
        <v>41760</v>
      </c>
      <c r="B756" s="709" t="str">
        <f t="shared" si="140"/>
        <v>2Q14</v>
      </c>
      <c r="C756" s="709" t="str">
        <f t="shared" si="141"/>
        <v>3Q14</v>
      </c>
      <c r="D756" s="710">
        <f t="shared" si="146"/>
        <v>41842</v>
      </c>
      <c r="E756" s="710">
        <f t="shared" si="146"/>
        <v>41782</v>
      </c>
      <c r="F756" s="712">
        <v>103.82</v>
      </c>
      <c r="G756" s="713">
        <f t="shared" si="142"/>
        <v>1.4900000000000011</v>
      </c>
      <c r="H756" s="713">
        <f t="shared" si="143"/>
        <v>1.4900000000000011</v>
      </c>
    </row>
    <row r="757" spans="1:8" x14ac:dyDescent="0.2">
      <c r="A757" s="709">
        <f t="shared" si="139"/>
        <v>41760</v>
      </c>
      <c r="B757" s="709" t="str">
        <f t="shared" si="140"/>
        <v>2Q14</v>
      </c>
      <c r="C757" s="709" t="str">
        <f t="shared" si="141"/>
        <v>3Q14</v>
      </c>
      <c r="D757" s="710">
        <f t="shared" ref="D757:E772" si="147">D756+7</f>
        <v>41849</v>
      </c>
      <c r="E757" s="710">
        <f t="shared" si="147"/>
        <v>41789</v>
      </c>
      <c r="F757" s="712">
        <v>103.95</v>
      </c>
      <c r="G757" s="713">
        <f t="shared" si="142"/>
        <v>1.4900000000000011</v>
      </c>
      <c r="H757" s="713">
        <f t="shared" si="143"/>
        <v>1.4900000000000011</v>
      </c>
    </row>
    <row r="758" spans="1:8" x14ac:dyDescent="0.2">
      <c r="A758" s="709">
        <f t="shared" si="139"/>
        <v>41791</v>
      </c>
      <c r="B758" s="709" t="str">
        <f t="shared" si="140"/>
        <v>2Q14</v>
      </c>
      <c r="C758" s="709" t="str">
        <f t="shared" si="141"/>
        <v>3Q14</v>
      </c>
      <c r="D758" s="710">
        <f t="shared" si="147"/>
        <v>41856</v>
      </c>
      <c r="E758" s="710">
        <f t="shared" si="147"/>
        <v>41796</v>
      </c>
      <c r="F758" s="712">
        <v>103.23</v>
      </c>
      <c r="G758" s="713">
        <f t="shared" si="142"/>
        <v>1.4900000000000011</v>
      </c>
      <c r="H758" s="713">
        <f t="shared" si="143"/>
        <v>1.4900000000000011</v>
      </c>
    </row>
    <row r="759" spans="1:8" x14ac:dyDescent="0.2">
      <c r="A759" s="709">
        <f t="shared" si="139"/>
        <v>41791</v>
      </c>
      <c r="B759" s="709" t="str">
        <f t="shared" si="140"/>
        <v>2Q14</v>
      </c>
      <c r="C759" s="709" t="str">
        <f t="shared" si="141"/>
        <v>3Q14</v>
      </c>
      <c r="D759" s="710">
        <f t="shared" si="147"/>
        <v>41863</v>
      </c>
      <c r="E759" s="710">
        <f t="shared" si="147"/>
        <v>41803</v>
      </c>
      <c r="F759" s="712">
        <v>105.97</v>
      </c>
      <c r="G759" s="713">
        <f t="shared" si="142"/>
        <v>1.4900000000000011</v>
      </c>
      <c r="H759" s="713">
        <f t="shared" si="143"/>
        <v>1.4900000000000011</v>
      </c>
    </row>
    <row r="760" spans="1:8" x14ac:dyDescent="0.2">
      <c r="A760" s="709">
        <f t="shared" si="139"/>
        <v>41791</v>
      </c>
      <c r="B760" s="709" t="str">
        <f t="shared" si="140"/>
        <v>2Q14</v>
      </c>
      <c r="C760" s="709" t="str">
        <f t="shared" si="141"/>
        <v>3Q14</v>
      </c>
      <c r="D760" s="710">
        <f t="shared" si="147"/>
        <v>41870</v>
      </c>
      <c r="E760" s="710">
        <f t="shared" si="147"/>
        <v>41810</v>
      </c>
      <c r="F760" s="712">
        <v>107.23</v>
      </c>
      <c r="G760" s="713">
        <f t="shared" si="142"/>
        <v>1.4900000000000011</v>
      </c>
      <c r="H760" s="713">
        <f t="shared" si="143"/>
        <v>1.4900000000000011</v>
      </c>
    </row>
    <row r="761" spans="1:8" x14ac:dyDescent="0.2">
      <c r="A761" s="709">
        <f t="shared" si="139"/>
        <v>41791</v>
      </c>
      <c r="B761" s="709" t="str">
        <f t="shared" si="140"/>
        <v>2Q14</v>
      </c>
      <c r="C761" s="709" t="str">
        <f t="shared" si="141"/>
        <v>3Q14</v>
      </c>
      <c r="D761" s="710">
        <f t="shared" si="147"/>
        <v>41877</v>
      </c>
      <c r="E761" s="710">
        <f t="shared" si="147"/>
        <v>41817</v>
      </c>
      <c r="F761" s="712">
        <v>106.69</v>
      </c>
      <c r="G761" s="713">
        <f t="shared" si="142"/>
        <v>1.4900000000000011</v>
      </c>
      <c r="H761" s="713">
        <f t="shared" si="143"/>
        <v>1.4900000000000011</v>
      </c>
    </row>
    <row r="762" spans="1:8" x14ac:dyDescent="0.2">
      <c r="A762" s="709">
        <f t="shared" si="139"/>
        <v>41821</v>
      </c>
      <c r="B762" s="709" t="str">
        <f t="shared" si="140"/>
        <v>3Q14</v>
      </c>
      <c r="C762" s="709" t="str">
        <f t="shared" si="141"/>
        <v>3Q14</v>
      </c>
      <c r="D762" s="710">
        <f t="shared" si="147"/>
        <v>41884</v>
      </c>
      <c r="E762" s="710">
        <f t="shared" si="147"/>
        <v>41824</v>
      </c>
      <c r="F762" s="712">
        <v>105.52</v>
      </c>
      <c r="G762" s="713">
        <f t="shared" si="142"/>
        <v>1.4900000000000011</v>
      </c>
      <c r="H762" s="713">
        <f t="shared" si="143"/>
        <v>1.4900000000000011</v>
      </c>
    </row>
    <row r="763" spans="1:8" x14ac:dyDescent="0.2">
      <c r="A763" s="709">
        <f t="shared" si="139"/>
        <v>41821</v>
      </c>
      <c r="B763" s="709" t="str">
        <f t="shared" si="140"/>
        <v>3Q14</v>
      </c>
      <c r="C763" s="709" t="str">
        <f t="shared" si="141"/>
        <v>3Q14</v>
      </c>
      <c r="D763" s="710">
        <f t="shared" si="147"/>
        <v>41891</v>
      </c>
      <c r="E763" s="710">
        <f t="shared" si="147"/>
        <v>41831</v>
      </c>
      <c r="F763" s="712">
        <v>103.25</v>
      </c>
      <c r="G763" s="713">
        <f t="shared" si="142"/>
        <v>1.4900000000000011</v>
      </c>
      <c r="H763" s="713">
        <f t="shared" si="143"/>
        <v>1.4900000000000011</v>
      </c>
    </row>
    <row r="764" spans="1:8" x14ac:dyDescent="0.2">
      <c r="A764" s="709">
        <f t="shared" si="139"/>
        <v>41821</v>
      </c>
      <c r="B764" s="709" t="str">
        <f t="shared" si="140"/>
        <v>3Q14</v>
      </c>
      <c r="C764" s="709" t="str">
        <f t="shared" si="141"/>
        <v>3Q14</v>
      </c>
      <c r="D764" s="710">
        <f t="shared" si="147"/>
        <v>41898</v>
      </c>
      <c r="E764" s="710">
        <f t="shared" si="147"/>
        <v>41838</v>
      </c>
      <c r="F764" s="712">
        <v>102.37</v>
      </c>
      <c r="G764" s="713">
        <f t="shared" si="142"/>
        <v>1.4900000000000011</v>
      </c>
      <c r="H764" s="713">
        <f t="shared" si="143"/>
        <v>1.4900000000000011</v>
      </c>
    </row>
    <row r="765" spans="1:8" x14ac:dyDescent="0.2">
      <c r="A765" s="709">
        <f t="shared" si="139"/>
        <v>41821</v>
      </c>
      <c r="B765" s="709" t="str">
        <f t="shared" si="140"/>
        <v>3Q14</v>
      </c>
      <c r="C765" s="709" t="str">
        <f t="shared" si="141"/>
        <v>3Q14</v>
      </c>
      <c r="D765" s="710">
        <f t="shared" si="147"/>
        <v>41905</v>
      </c>
      <c r="E765" s="710">
        <f t="shared" si="147"/>
        <v>41845</v>
      </c>
      <c r="F765" s="712">
        <v>104.35</v>
      </c>
      <c r="G765" s="713">
        <f t="shared" si="142"/>
        <v>1.4900000000000011</v>
      </c>
      <c r="H765" s="713">
        <f t="shared" si="143"/>
        <v>1.4900000000000011</v>
      </c>
    </row>
    <row r="766" spans="1:8" x14ac:dyDescent="0.2">
      <c r="A766" s="709">
        <f t="shared" si="139"/>
        <v>41852</v>
      </c>
      <c r="B766" s="709" t="str">
        <f t="shared" si="140"/>
        <v>3Q14</v>
      </c>
      <c r="C766" s="709" t="str">
        <f t="shared" si="141"/>
        <v>3Q14</v>
      </c>
      <c r="D766" s="710">
        <f t="shared" si="147"/>
        <v>41912</v>
      </c>
      <c r="E766" s="710">
        <f t="shared" si="147"/>
        <v>41852</v>
      </c>
      <c r="F766" s="712">
        <v>102.19</v>
      </c>
      <c r="G766" s="713">
        <f t="shared" si="142"/>
        <v>1.4900000000000011</v>
      </c>
      <c r="H766" s="713">
        <f t="shared" si="143"/>
        <v>1.4900000000000011</v>
      </c>
    </row>
    <row r="767" spans="1:8" x14ac:dyDescent="0.2">
      <c r="A767" s="709">
        <f t="shared" si="139"/>
        <v>41852</v>
      </c>
      <c r="B767" s="709" t="str">
        <f t="shared" si="140"/>
        <v>3Q14</v>
      </c>
      <c r="C767" s="709" t="str">
        <f t="shared" si="141"/>
        <v>4Q14</v>
      </c>
      <c r="D767" s="710">
        <f t="shared" si="147"/>
        <v>41919</v>
      </c>
      <c r="E767" s="710">
        <f t="shared" si="147"/>
        <v>41859</v>
      </c>
      <c r="F767" s="712">
        <v>97.5</v>
      </c>
      <c r="G767" s="713">
        <f t="shared" si="142"/>
        <v>1.4900000000000011</v>
      </c>
      <c r="H767" s="713">
        <f t="shared" si="143"/>
        <v>1.4900000000000011</v>
      </c>
    </row>
    <row r="768" spans="1:8" x14ac:dyDescent="0.2">
      <c r="A768" s="709">
        <f t="shared" si="139"/>
        <v>41852</v>
      </c>
      <c r="B768" s="709" t="str">
        <f t="shared" si="140"/>
        <v>3Q14</v>
      </c>
      <c r="C768" s="709" t="str">
        <f t="shared" si="141"/>
        <v>4Q14</v>
      </c>
      <c r="D768" s="710">
        <f t="shared" si="147"/>
        <v>41926</v>
      </c>
      <c r="E768" s="710">
        <f t="shared" si="147"/>
        <v>41866</v>
      </c>
      <c r="F768" s="712">
        <v>97.17</v>
      </c>
      <c r="G768" s="713">
        <f t="shared" si="142"/>
        <v>1.4900000000000011</v>
      </c>
      <c r="H768" s="713">
        <f t="shared" si="143"/>
        <v>1.4900000000000011</v>
      </c>
    </row>
    <row r="769" spans="1:8" x14ac:dyDescent="0.2">
      <c r="A769" s="709">
        <f t="shared" si="139"/>
        <v>41852</v>
      </c>
      <c r="B769" s="709" t="str">
        <f t="shared" si="140"/>
        <v>3Q14</v>
      </c>
      <c r="C769" s="709" t="str">
        <f t="shared" si="141"/>
        <v>4Q14</v>
      </c>
      <c r="D769" s="710">
        <f t="shared" si="147"/>
        <v>41933</v>
      </c>
      <c r="E769" s="710">
        <f t="shared" si="147"/>
        <v>41873</v>
      </c>
      <c r="F769" s="712">
        <v>94.95</v>
      </c>
      <c r="G769" s="713">
        <f t="shared" si="142"/>
        <v>1.4900000000000011</v>
      </c>
      <c r="H769" s="713">
        <f t="shared" si="143"/>
        <v>1.4900000000000011</v>
      </c>
    </row>
    <row r="770" spans="1:8" x14ac:dyDescent="0.2">
      <c r="A770" s="709">
        <f t="shared" si="139"/>
        <v>41852</v>
      </c>
      <c r="B770" s="709" t="str">
        <f t="shared" si="140"/>
        <v>3Q14</v>
      </c>
      <c r="C770" s="709" t="str">
        <f t="shared" si="141"/>
        <v>4Q14</v>
      </c>
      <c r="D770" s="710">
        <f t="shared" si="147"/>
        <v>41940</v>
      </c>
      <c r="E770" s="710">
        <f t="shared" si="147"/>
        <v>41880</v>
      </c>
      <c r="F770" s="712">
        <v>96.25</v>
      </c>
      <c r="G770" s="713">
        <f t="shared" si="142"/>
        <v>1.4900000000000011</v>
      </c>
      <c r="H770" s="713">
        <f t="shared" si="143"/>
        <v>1.4900000000000011</v>
      </c>
    </row>
    <row r="771" spans="1:8" x14ac:dyDescent="0.2">
      <c r="A771" s="709">
        <f t="shared" si="139"/>
        <v>41883</v>
      </c>
      <c r="B771" s="709" t="str">
        <f t="shared" si="140"/>
        <v>3Q14</v>
      </c>
      <c r="C771" s="709" t="str">
        <f t="shared" si="141"/>
        <v>4Q14</v>
      </c>
      <c r="D771" s="710">
        <f t="shared" si="147"/>
        <v>41947</v>
      </c>
      <c r="E771" s="710">
        <f t="shared" si="147"/>
        <v>41887</v>
      </c>
      <c r="F771" s="712">
        <v>94.06</v>
      </c>
      <c r="G771" s="713">
        <f t="shared" si="142"/>
        <v>1.4900000000000011</v>
      </c>
      <c r="H771" s="713">
        <f t="shared" si="143"/>
        <v>1.4900000000000011</v>
      </c>
    </row>
    <row r="772" spans="1:8" x14ac:dyDescent="0.2">
      <c r="A772" s="709">
        <f t="shared" ref="A772:A835" si="148">DATE(YEAR(E772),MONTH(E772),1)</f>
        <v>41883</v>
      </c>
      <c r="B772" s="709" t="str">
        <f t="shared" ref="B772:B835" si="149">VLOOKUP(MONTH(A772),$N$4:$O$16,2,FALSE) &amp; "Q" &amp; RIGHT(YEAR(A772),2)</f>
        <v>3Q14</v>
      </c>
      <c r="C772" s="709" t="str">
        <f t="shared" ref="C772:C835" si="150">VLOOKUP(MONTH(D772),$N$4:$O$16,2,FALSE) &amp; "Q" &amp; RIGHT(YEAR(D772),2)</f>
        <v>4Q14</v>
      </c>
      <c r="D772" s="710">
        <f t="shared" si="147"/>
        <v>41954</v>
      </c>
      <c r="E772" s="710">
        <f t="shared" si="147"/>
        <v>41894</v>
      </c>
      <c r="F772" s="712">
        <v>92.43</v>
      </c>
      <c r="G772" s="713">
        <f t="shared" ref="G772:G835" si="151">INDEX($I$4:$K$153,MATCH(F772,$I$4:$I$153,1),3)</f>
        <v>1.4900000000000011</v>
      </c>
      <c r="H772" s="713">
        <f t="shared" ref="H772:H835" si="152">G773</f>
        <v>1.4900000000000011</v>
      </c>
    </row>
    <row r="773" spans="1:8" x14ac:dyDescent="0.2">
      <c r="A773" s="709">
        <f t="shared" si="148"/>
        <v>41883</v>
      </c>
      <c r="B773" s="709" t="str">
        <f t="shared" si="149"/>
        <v>3Q14</v>
      </c>
      <c r="C773" s="709" t="str">
        <f t="shared" si="150"/>
        <v>4Q14</v>
      </c>
      <c r="D773" s="710">
        <f t="shared" ref="D773:E788" si="153">D772+7</f>
        <v>41961</v>
      </c>
      <c r="E773" s="710">
        <f t="shared" si="153"/>
        <v>41901</v>
      </c>
      <c r="F773" s="712">
        <v>93.52</v>
      </c>
      <c r="G773" s="713">
        <f t="shared" si="151"/>
        <v>1.4900000000000011</v>
      </c>
      <c r="H773" s="713">
        <f t="shared" si="152"/>
        <v>1.4900000000000011</v>
      </c>
    </row>
    <row r="774" spans="1:8" x14ac:dyDescent="0.2">
      <c r="A774" s="709">
        <f t="shared" si="148"/>
        <v>41883</v>
      </c>
      <c r="B774" s="709" t="str">
        <f t="shared" si="149"/>
        <v>3Q14</v>
      </c>
      <c r="C774" s="709" t="str">
        <f t="shared" si="150"/>
        <v>4Q14</v>
      </c>
      <c r="D774" s="710">
        <f t="shared" si="153"/>
        <v>41968</v>
      </c>
      <c r="E774" s="710">
        <f t="shared" si="153"/>
        <v>41908</v>
      </c>
      <c r="F774" s="712">
        <v>93.15</v>
      </c>
      <c r="G774" s="713">
        <f t="shared" si="151"/>
        <v>1.4900000000000011</v>
      </c>
      <c r="H774" s="713">
        <f t="shared" si="152"/>
        <v>1.4900000000000011</v>
      </c>
    </row>
    <row r="775" spans="1:8" x14ac:dyDescent="0.2">
      <c r="A775" s="709">
        <f t="shared" si="148"/>
        <v>41913</v>
      </c>
      <c r="B775" s="709" t="str">
        <f t="shared" si="149"/>
        <v>4Q14</v>
      </c>
      <c r="C775" s="709" t="str">
        <f t="shared" si="150"/>
        <v>4Q14</v>
      </c>
      <c r="D775" s="710">
        <f t="shared" si="153"/>
        <v>41975</v>
      </c>
      <c r="E775" s="710">
        <f t="shared" si="153"/>
        <v>41915</v>
      </c>
      <c r="F775" s="712">
        <v>91.44</v>
      </c>
      <c r="G775" s="713">
        <f t="shared" si="151"/>
        <v>1.4900000000000011</v>
      </c>
      <c r="H775" s="713">
        <f t="shared" si="152"/>
        <v>1.4900000000000011</v>
      </c>
    </row>
    <row r="776" spans="1:8" x14ac:dyDescent="0.2">
      <c r="A776" s="709">
        <f t="shared" si="148"/>
        <v>41913</v>
      </c>
      <c r="B776" s="709" t="str">
        <f t="shared" si="149"/>
        <v>4Q14</v>
      </c>
      <c r="C776" s="709" t="str">
        <f t="shared" si="150"/>
        <v>4Q14</v>
      </c>
      <c r="D776" s="710">
        <f t="shared" si="153"/>
        <v>41982</v>
      </c>
      <c r="E776" s="710">
        <f t="shared" si="153"/>
        <v>41922</v>
      </c>
      <c r="F776" s="712">
        <v>87.63</v>
      </c>
      <c r="G776" s="713">
        <f t="shared" si="151"/>
        <v>1.4900000000000011</v>
      </c>
      <c r="H776" s="713">
        <f t="shared" si="152"/>
        <v>1.4900000000000011</v>
      </c>
    </row>
    <row r="777" spans="1:8" x14ac:dyDescent="0.2">
      <c r="A777" s="709">
        <f t="shared" si="148"/>
        <v>41913</v>
      </c>
      <c r="B777" s="709" t="str">
        <f t="shared" si="149"/>
        <v>4Q14</v>
      </c>
      <c r="C777" s="709" t="str">
        <f t="shared" si="150"/>
        <v>4Q14</v>
      </c>
      <c r="D777" s="710">
        <f t="shared" si="153"/>
        <v>41989</v>
      </c>
      <c r="E777" s="710">
        <f t="shared" si="153"/>
        <v>41929</v>
      </c>
      <c r="F777" s="712">
        <v>82.88</v>
      </c>
      <c r="G777" s="713">
        <f t="shared" si="151"/>
        <v>1.4900000000000011</v>
      </c>
      <c r="H777" s="713">
        <f t="shared" si="152"/>
        <v>1.4900000000000011</v>
      </c>
    </row>
    <row r="778" spans="1:8" x14ac:dyDescent="0.2">
      <c r="A778" s="709">
        <f t="shared" si="148"/>
        <v>41913</v>
      </c>
      <c r="B778" s="709" t="str">
        <f t="shared" si="149"/>
        <v>4Q14</v>
      </c>
      <c r="C778" s="709" t="str">
        <f t="shared" si="150"/>
        <v>4Q14</v>
      </c>
      <c r="D778" s="710">
        <f t="shared" si="153"/>
        <v>41996</v>
      </c>
      <c r="E778" s="710">
        <f t="shared" si="153"/>
        <v>41936</v>
      </c>
      <c r="F778" s="712">
        <v>82.12</v>
      </c>
      <c r="G778" s="713">
        <f t="shared" si="151"/>
        <v>1.4900000000000011</v>
      </c>
      <c r="H778" s="713">
        <f t="shared" si="152"/>
        <v>1.4900000000000011</v>
      </c>
    </row>
    <row r="779" spans="1:8" x14ac:dyDescent="0.2">
      <c r="A779" s="709">
        <f t="shared" si="148"/>
        <v>41913</v>
      </c>
      <c r="B779" s="709" t="str">
        <f t="shared" si="149"/>
        <v>4Q14</v>
      </c>
      <c r="C779" s="709" t="str">
        <f t="shared" si="150"/>
        <v>4Q14</v>
      </c>
      <c r="D779" s="710">
        <f t="shared" si="153"/>
        <v>42003</v>
      </c>
      <c r="E779" s="710">
        <f t="shared" si="153"/>
        <v>41943</v>
      </c>
      <c r="F779" s="712">
        <v>81.290000000000006</v>
      </c>
      <c r="G779" s="713">
        <f t="shared" si="151"/>
        <v>1.4900000000000011</v>
      </c>
      <c r="H779" s="713">
        <f t="shared" si="152"/>
        <v>1.4900000000000011</v>
      </c>
    </row>
    <row r="780" spans="1:8" x14ac:dyDescent="0.2">
      <c r="A780" s="709">
        <f t="shared" si="148"/>
        <v>41944</v>
      </c>
      <c r="B780" s="709" t="str">
        <f t="shared" si="149"/>
        <v>4Q14</v>
      </c>
      <c r="C780" s="709" t="str">
        <f t="shared" si="150"/>
        <v>1Q15</v>
      </c>
      <c r="D780" s="710">
        <f t="shared" si="153"/>
        <v>42010</v>
      </c>
      <c r="E780" s="710">
        <f t="shared" si="153"/>
        <v>41950</v>
      </c>
      <c r="F780" s="712">
        <v>78.239999999999995</v>
      </c>
      <c r="G780" s="713">
        <f t="shared" si="151"/>
        <v>1.4900000000000011</v>
      </c>
      <c r="H780" s="713">
        <f t="shared" si="152"/>
        <v>1.4900000000000011</v>
      </c>
    </row>
    <row r="781" spans="1:8" x14ac:dyDescent="0.2">
      <c r="A781" s="709">
        <f t="shared" si="148"/>
        <v>41944</v>
      </c>
      <c r="B781" s="709" t="str">
        <f t="shared" si="149"/>
        <v>4Q14</v>
      </c>
      <c r="C781" s="709" t="str">
        <f t="shared" si="150"/>
        <v>1Q15</v>
      </c>
      <c r="D781" s="710">
        <f t="shared" si="153"/>
        <v>42017</v>
      </c>
      <c r="E781" s="710">
        <f t="shared" si="153"/>
        <v>41957</v>
      </c>
      <c r="F781" s="712">
        <v>76.5</v>
      </c>
      <c r="G781" s="713">
        <f t="shared" si="151"/>
        <v>1.4900000000000011</v>
      </c>
      <c r="H781" s="713">
        <f t="shared" si="152"/>
        <v>1.4900000000000011</v>
      </c>
    </row>
    <row r="782" spans="1:8" x14ac:dyDescent="0.2">
      <c r="A782" s="709">
        <f t="shared" si="148"/>
        <v>41944</v>
      </c>
      <c r="B782" s="709" t="str">
        <f t="shared" si="149"/>
        <v>4Q14</v>
      </c>
      <c r="C782" s="709" t="str">
        <f t="shared" si="150"/>
        <v>1Q15</v>
      </c>
      <c r="D782" s="710">
        <f t="shared" si="153"/>
        <v>42024</v>
      </c>
      <c r="E782" s="710">
        <f t="shared" si="153"/>
        <v>41964</v>
      </c>
      <c r="F782" s="712">
        <v>75.38</v>
      </c>
      <c r="G782" s="713">
        <f t="shared" si="151"/>
        <v>1.4900000000000011</v>
      </c>
      <c r="H782" s="713">
        <f t="shared" si="152"/>
        <v>1.4900000000000011</v>
      </c>
    </row>
    <row r="783" spans="1:8" x14ac:dyDescent="0.2">
      <c r="A783" s="709">
        <f t="shared" si="148"/>
        <v>41944</v>
      </c>
      <c r="B783" s="709" t="str">
        <f t="shared" si="149"/>
        <v>4Q14</v>
      </c>
      <c r="C783" s="709" t="str">
        <f t="shared" si="150"/>
        <v>1Q15</v>
      </c>
      <c r="D783" s="710">
        <f t="shared" si="153"/>
        <v>42031</v>
      </c>
      <c r="E783" s="710">
        <f t="shared" si="153"/>
        <v>41971</v>
      </c>
      <c r="F783" s="712">
        <v>72.36</v>
      </c>
      <c r="G783" s="713">
        <f t="shared" si="151"/>
        <v>1.4900000000000011</v>
      </c>
      <c r="H783" s="713">
        <f t="shared" si="152"/>
        <v>1.4900000000000011</v>
      </c>
    </row>
    <row r="784" spans="1:8" x14ac:dyDescent="0.2">
      <c r="A784" s="709">
        <f t="shared" si="148"/>
        <v>41974</v>
      </c>
      <c r="B784" s="709" t="str">
        <f t="shared" si="149"/>
        <v>4Q14</v>
      </c>
      <c r="C784" s="709" t="str">
        <f t="shared" si="150"/>
        <v>1Q15</v>
      </c>
      <c r="D784" s="710">
        <f t="shared" si="153"/>
        <v>42038</v>
      </c>
      <c r="E784" s="710">
        <f t="shared" si="153"/>
        <v>41978</v>
      </c>
      <c r="F784" s="712">
        <v>67.180000000000007</v>
      </c>
      <c r="G784" s="713">
        <f t="shared" si="151"/>
        <v>1.4900000000000011</v>
      </c>
      <c r="H784" s="713">
        <f t="shared" si="152"/>
        <v>1.4900000000000011</v>
      </c>
    </row>
    <row r="785" spans="1:8" x14ac:dyDescent="0.2">
      <c r="A785" s="709">
        <f t="shared" si="148"/>
        <v>41974</v>
      </c>
      <c r="B785" s="709" t="str">
        <f t="shared" si="149"/>
        <v>4Q14</v>
      </c>
      <c r="C785" s="709" t="str">
        <f t="shared" si="150"/>
        <v>1Q15</v>
      </c>
      <c r="D785" s="710">
        <f t="shared" si="153"/>
        <v>42045</v>
      </c>
      <c r="E785" s="710">
        <f t="shared" si="153"/>
        <v>41985</v>
      </c>
      <c r="F785" s="712">
        <v>61.14</v>
      </c>
      <c r="G785" s="713">
        <f t="shared" si="151"/>
        <v>1.4900000000000011</v>
      </c>
      <c r="H785" s="713">
        <f t="shared" si="152"/>
        <v>1.4900000000000011</v>
      </c>
    </row>
    <row r="786" spans="1:8" x14ac:dyDescent="0.2">
      <c r="A786" s="709">
        <f t="shared" si="148"/>
        <v>41974</v>
      </c>
      <c r="B786" s="709" t="str">
        <f t="shared" si="149"/>
        <v>4Q14</v>
      </c>
      <c r="C786" s="709" t="str">
        <f t="shared" si="150"/>
        <v>1Q15</v>
      </c>
      <c r="D786" s="710">
        <f t="shared" si="153"/>
        <v>42052</v>
      </c>
      <c r="E786" s="710">
        <f t="shared" si="153"/>
        <v>41992</v>
      </c>
      <c r="F786" s="712">
        <v>55.89</v>
      </c>
      <c r="G786" s="713">
        <f t="shared" si="151"/>
        <v>1.4900000000000011</v>
      </c>
      <c r="H786" s="713">
        <f t="shared" si="152"/>
        <v>1.4900000000000011</v>
      </c>
    </row>
    <row r="787" spans="1:8" x14ac:dyDescent="0.2">
      <c r="A787" s="709">
        <f t="shared" si="148"/>
        <v>41974</v>
      </c>
      <c r="B787" s="709" t="str">
        <f t="shared" si="149"/>
        <v>4Q14</v>
      </c>
      <c r="C787" s="709" t="str">
        <f t="shared" si="150"/>
        <v>1Q15</v>
      </c>
      <c r="D787" s="710">
        <f t="shared" si="153"/>
        <v>42059</v>
      </c>
      <c r="E787" s="710">
        <f t="shared" si="153"/>
        <v>41999</v>
      </c>
      <c r="F787" s="712">
        <v>55.58</v>
      </c>
      <c r="G787" s="713">
        <f t="shared" si="151"/>
        <v>1.4900000000000011</v>
      </c>
      <c r="H787" s="713">
        <f t="shared" si="152"/>
        <v>1.4900000000000011</v>
      </c>
    </row>
    <row r="788" spans="1:8" x14ac:dyDescent="0.2">
      <c r="A788" s="709">
        <f t="shared" si="148"/>
        <v>42005</v>
      </c>
      <c r="B788" s="709" t="str">
        <f t="shared" si="149"/>
        <v>1Q15</v>
      </c>
      <c r="C788" s="709" t="str">
        <f t="shared" si="150"/>
        <v>1Q15</v>
      </c>
      <c r="D788" s="710">
        <f t="shared" si="153"/>
        <v>42066</v>
      </c>
      <c r="E788" s="710">
        <f t="shared" si="153"/>
        <v>42006</v>
      </c>
      <c r="F788" s="712">
        <v>53.44</v>
      </c>
      <c r="G788" s="713">
        <f t="shared" si="151"/>
        <v>1.4900000000000011</v>
      </c>
      <c r="H788" s="713">
        <f t="shared" si="152"/>
        <v>1.4900000000000011</v>
      </c>
    </row>
    <row r="789" spans="1:8" x14ac:dyDescent="0.2">
      <c r="A789" s="709">
        <f t="shared" si="148"/>
        <v>42005</v>
      </c>
      <c r="B789" s="709" t="str">
        <f t="shared" si="149"/>
        <v>1Q15</v>
      </c>
      <c r="C789" s="709" t="str">
        <f t="shared" si="150"/>
        <v>1Q15</v>
      </c>
      <c r="D789" s="710">
        <f t="shared" ref="D789:E804" si="154">D788+7</f>
        <v>42073</v>
      </c>
      <c r="E789" s="710">
        <f t="shared" si="154"/>
        <v>42013</v>
      </c>
      <c r="F789" s="712">
        <v>48.77</v>
      </c>
      <c r="G789" s="713">
        <f t="shared" si="151"/>
        <v>1.4900000000000011</v>
      </c>
      <c r="H789" s="713">
        <f t="shared" si="152"/>
        <v>1.4900000000000011</v>
      </c>
    </row>
    <row r="790" spans="1:8" x14ac:dyDescent="0.2">
      <c r="A790" s="709">
        <f t="shared" si="148"/>
        <v>42005</v>
      </c>
      <c r="B790" s="709" t="str">
        <f t="shared" si="149"/>
        <v>1Q15</v>
      </c>
      <c r="C790" s="709" t="str">
        <f t="shared" si="150"/>
        <v>1Q15</v>
      </c>
      <c r="D790" s="710">
        <f t="shared" si="154"/>
        <v>42080</v>
      </c>
      <c r="E790" s="710">
        <f t="shared" si="154"/>
        <v>42020</v>
      </c>
      <c r="F790" s="712">
        <v>47.07</v>
      </c>
      <c r="G790" s="713">
        <f t="shared" si="151"/>
        <v>1.4900000000000011</v>
      </c>
      <c r="H790" s="713">
        <f t="shared" si="152"/>
        <v>1.4900000000000011</v>
      </c>
    </row>
    <row r="791" spans="1:8" x14ac:dyDescent="0.2">
      <c r="A791" s="709">
        <f t="shared" si="148"/>
        <v>42005</v>
      </c>
      <c r="B791" s="709" t="str">
        <f t="shared" si="149"/>
        <v>1Q15</v>
      </c>
      <c r="C791" s="709" t="str">
        <f t="shared" si="150"/>
        <v>1Q15</v>
      </c>
      <c r="D791" s="710">
        <f t="shared" si="154"/>
        <v>42087</v>
      </c>
      <c r="E791" s="710">
        <f t="shared" si="154"/>
        <v>42027</v>
      </c>
      <c r="F791" s="712">
        <v>46.46</v>
      </c>
      <c r="G791" s="713">
        <f t="shared" si="151"/>
        <v>1.4900000000000011</v>
      </c>
      <c r="H791" s="713">
        <f t="shared" si="152"/>
        <v>1.4900000000000011</v>
      </c>
    </row>
    <row r="792" spans="1:8" x14ac:dyDescent="0.2">
      <c r="A792" s="709">
        <f t="shared" si="148"/>
        <v>42005</v>
      </c>
      <c r="B792" s="709" t="str">
        <f t="shared" si="149"/>
        <v>1Q15</v>
      </c>
      <c r="C792" s="709" t="str">
        <f t="shared" si="150"/>
        <v>1Q15</v>
      </c>
      <c r="D792" s="710">
        <f t="shared" si="154"/>
        <v>42094</v>
      </c>
      <c r="E792" s="710">
        <f t="shared" si="154"/>
        <v>42034</v>
      </c>
      <c r="F792" s="712">
        <v>45.32</v>
      </c>
      <c r="G792" s="713">
        <f t="shared" si="151"/>
        <v>1.4900000000000011</v>
      </c>
      <c r="H792" s="713">
        <f t="shared" si="152"/>
        <v>1.4900000000000011</v>
      </c>
    </row>
    <row r="793" spans="1:8" x14ac:dyDescent="0.2">
      <c r="A793" s="709">
        <f t="shared" si="148"/>
        <v>42036</v>
      </c>
      <c r="B793" s="709" t="str">
        <f t="shared" si="149"/>
        <v>1Q15</v>
      </c>
      <c r="C793" s="709" t="str">
        <f t="shared" si="150"/>
        <v>2Q15</v>
      </c>
      <c r="D793" s="710">
        <f t="shared" si="154"/>
        <v>42101</v>
      </c>
      <c r="E793" s="710">
        <f t="shared" si="154"/>
        <v>42041</v>
      </c>
      <c r="F793" s="712">
        <v>50.58</v>
      </c>
      <c r="G793" s="713">
        <f t="shared" si="151"/>
        <v>1.4900000000000011</v>
      </c>
      <c r="H793" s="713">
        <f t="shared" si="152"/>
        <v>1.4900000000000011</v>
      </c>
    </row>
    <row r="794" spans="1:8" x14ac:dyDescent="0.2">
      <c r="A794" s="709">
        <f t="shared" si="148"/>
        <v>42036</v>
      </c>
      <c r="B794" s="709" t="str">
        <f t="shared" si="149"/>
        <v>1Q15</v>
      </c>
      <c r="C794" s="709" t="str">
        <f t="shared" si="150"/>
        <v>2Q15</v>
      </c>
      <c r="D794" s="710">
        <f t="shared" si="154"/>
        <v>42108</v>
      </c>
      <c r="E794" s="710">
        <f t="shared" si="154"/>
        <v>42048</v>
      </c>
      <c r="F794" s="712">
        <v>51.14</v>
      </c>
      <c r="G794" s="713">
        <f t="shared" si="151"/>
        <v>1.4900000000000011</v>
      </c>
      <c r="H794" s="713">
        <f t="shared" si="152"/>
        <v>1.4900000000000011</v>
      </c>
    </row>
    <row r="795" spans="1:8" x14ac:dyDescent="0.2">
      <c r="A795" s="709">
        <f t="shared" si="148"/>
        <v>42036</v>
      </c>
      <c r="B795" s="709" t="str">
        <f t="shared" si="149"/>
        <v>1Q15</v>
      </c>
      <c r="C795" s="709" t="str">
        <f t="shared" si="150"/>
        <v>2Q15</v>
      </c>
      <c r="D795" s="710">
        <f t="shared" si="154"/>
        <v>42115</v>
      </c>
      <c r="E795" s="710">
        <f t="shared" si="154"/>
        <v>42055</v>
      </c>
      <c r="F795" s="712">
        <v>51.69</v>
      </c>
      <c r="G795" s="713">
        <f t="shared" si="151"/>
        <v>1.4900000000000011</v>
      </c>
      <c r="H795" s="713">
        <f t="shared" si="152"/>
        <v>1.4900000000000011</v>
      </c>
    </row>
    <row r="796" spans="1:8" x14ac:dyDescent="0.2">
      <c r="A796" s="709">
        <f t="shared" si="148"/>
        <v>42036</v>
      </c>
      <c r="B796" s="709" t="str">
        <f t="shared" si="149"/>
        <v>1Q15</v>
      </c>
      <c r="C796" s="709" t="str">
        <f t="shared" si="150"/>
        <v>2Q15</v>
      </c>
      <c r="D796" s="710">
        <f t="shared" si="154"/>
        <v>42122</v>
      </c>
      <c r="E796" s="710">
        <f t="shared" si="154"/>
        <v>42062</v>
      </c>
      <c r="F796" s="712">
        <v>49.16</v>
      </c>
      <c r="G796" s="713">
        <f t="shared" si="151"/>
        <v>1.4900000000000011</v>
      </c>
      <c r="H796" s="713">
        <f t="shared" si="152"/>
        <v>1.4900000000000011</v>
      </c>
    </row>
    <row r="797" spans="1:8" x14ac:dyDescent="0.2">
      <c r="A797" s="709">
        <f t="shared" si="148"/>
        <v>42064</v>
      </c>
      <c r="B797" s="709" t="str">
        <f t="shared" si="149"/>
        <v>1Q15</v>
      </c>
      <c r="C797" s="709" t="str">
        <f t="shared" si="150"/>
        <v>2Q15</v>
      </c>
      <c r="D797" s="710">
        <f t="shared" si="154"/>
        <v>42129</v>
      </c>
      <c r="E797" s="710">
        <f t="shared" si="154"/>
        <v>42069</v>
      </c>
      <c r="F797" s="712">
        <v>50.38</v>
      </c>
      <c r="G797" s="713">
        <f t="shared" si="151"/>
        <v>1.4900000000000011</v>
      </c>
      <c r="H797" s="713">
        <f t="shared" si="152"/>
        <v>1.4900000000000011</v>
      </c>
    </row>
    <row r="798" spans="1:8" x14ac:dyDescent="0.2">
      <c r="A798" s="709">
        <f t="shared" si="148"/>
        <v>42064</v>
      </c>
      <c r="B798" s="709" t="str">
        <f t="shared" si="149"/>
        <v>1Q15</v>
      </c>
      <c r="C798" s="709" t="str">
        <f t="shared" si="150"/>
        <v>2Q15</v>
      </c>
      <c r="D798" s="710">
        <f t="shared" si="154"/>
        <v>42136</v>
      </c>
      <c r="E798" s="710">
        <f t="shared" si="154"/>
        <v>42076</v>
      </c>
      <c r="F798" s="712">
        <v>47.69</v>
      </c>
      <c r="G798" s="713">
        <f t="shared" si="151"/>
        <v>1.4900000000000011</v>
      </c>
      <c r="H798" s="713">
        <f t="shared" si="152"/>
        <v>1.4900000000000011</v>
      </c>
    </row>
    <row r="799" spans="1:8" x14ac:dyDescent="0.2">
      <c r="A799" s="709">
        <f t="shared" si="148"/>
        <v>42064</v>
      </c>
      <c r="B799" s="709" t="str">
        <f t="shared" si="149"/>
        <v>1Q15</v>
      </c>
      <c r="C799" s="709" t="str">
        <f t="shared" si="150"/>
        <v>2Q15</v>
      </c>
      <c r="D799" s="710">
        <f t="shared" si="154"/>
        <v>42143</v>
      </c>
      <c r="E799" s="710">
        <f t="shared" si="154"/>
        <v>42083</v>
      </c>
      <c r="F799" s="712">
        <v>44.39</v>
      </c>
      <c r="G799" s="713">
        <f t="shared" si="151"/>
        <v>1.4900000000000011</v>
      </c>
      <c r="H799" s="713">
        <f t="shared" si="152"/>
        <v>1.4900000000000011</v>
      </c>
    </row>
    <row r="800" spans="1:8" x14ac:dyDescent="0.2">
      <c r="A800" s="709">
        <f t="shared" si="148"/>
        <v>42064</v>
      </c>
      <c r="B800" s="709" t="str">
        <f t="shared" si="149"/>
        <v>1Q15</v>
      </c>
      <c r="C800" s="709" t="str">
        <f t="shared" si="150"/>
        <v>2Q15</v>
      </c>
      <c r="D800" s="710">
        <f t="shared" si="154"/>
        <v>42150</v>
      </c>
      <c r="E800" s="710">
        <f t="shared" si="154"/>
        <v>42090</v>
      </c>
      <c r="F800" s="712">
        <v>48.68</v>
      </c>
      <c r="G800" s="713">
        <f t="shared" si="151"/>
        <v>1.4900000000000011</v>
      </c>
      <c r="H800" s="713">
        <f t="shared" si="152"/>
        <v>1.4900000000000011</v>
      </c>
    </row>
    <row r="801" spans="1:8" x14ac:dyDescent="0.2">
      <c r="A801" s="709">
        <f t="shared" si="148"/>
        <v>42095</v>
      </c>
      <c r="B801" s="709" t="str">
        <f t="shared" si="149"/>
        <v>2Q15</v>
      </c>
      <c r="C801" s="709" t="str">
        <f t="shared" si="150"/>
        <v>2Q15</v>
      </c>
      <c r="D801" s="710">
        <f t="shared" si="154"/>
        <v>42157</v>
      </c>
      <c r="E801" s="710">
        <f t="shared" si="154"/>
        <v>42097</v>
      </c>
      <c r="F801" s="712">
        <v>48.91</v>
      </c>
      <c r="G801" s="713">
        <f t="shared" si="151"/>
        <v>1.4900000000000011</v>
      </c>
      <c r="H801" s="713">
        <f t="shared" si="152"/>
        <v>1.4900000000000011</v>
      </c>
    </row>
    <row r="802" spans="1:8" x14ac:dyDescent="0.2">
      <c r="A802" s="709">
        <f t="shared" si="148"/>
        <v>42095</v>
      </c>
      <c r="B802" s="709" t="str">
        <f t="shared" si="149"/>
        <v>2Q15</v>
      </c>
      <c r="C802" s="709" t="str">
        <f t="shared" si="150"/>
        <v>2Q15</v>
      </c>
      <c r="D802" s="710">
        <f t="shared" si="154"/>
        <v>42164</v>
      </c>
      <c r="E802" s="710">
        <f t="shared" si="154"/>
        <v>42104</v>
      </c>
      <c r="F802" s="712">
        <v>51.78</v>
      </c>
      <c r="G802" s="713">
        <f t="shared" si="151"/>
        <v>1.4900000000000011</v>
      </c>
      <c r="H802" s="713">
        <f t="shared" si="152"/>
        <v>1.4900000000000011</v>
      </c>
    </row>
    <row r="803" spans="1:8" x14ac:dyDescent="0.2">
      <c r="A803" s="709">
        <f t="shared" si="148"/>
        <v>42095</v>
      </c>
      <c r="B803" s="709" t="str">
        <f t="shared" si="149"/>
        <v>2Q15</v>
      </c>
      <c r="C803" s="709" t="str">
        <f t="shared" si="150"/>
        <v>2Q15</v>
      </c>
      <c r="D803" s="710">
        <f t="shared" si="154"/>
        <v>42171</v>
      </c>
      <c r="E803" s="710">
        <f t="shared" si="154"/>
        <v>42111</v>
      </c>
      <c r="F803" s="712">
        <v>54.78</v>
      </c>
      <c r="G803" s="713">
        <f t="shared" si="151"/>
        <v>1.4900000000000011</v>
      </c>
      <c r="H803" s="713">
        <f t="shared" si="152"/>
        <v>1.4900000000000011</v>
      </c>
    </row>
    <row r="804" spans="1:8" x14ac:dyDescent="0.2">
      <c r="A804" s="709">
        <f t="shared" si="148"/>
        <v>42095</v>
      </c>
      <c r="B804" s="709" t="str">
        <f t="shared" si="149"/>
        <v>2Q15</v>
      </c>
      <c r="C804" s="709" t="str">
        <f t="shared" si="150"/>
        <v>2Q15</v>
      </c>
      <c r="D804" s="710">
        <f t="shared" si="154"/>
        <v>42178</v>
      </c>
      <c r="E804" s="710">
        <f t="shared" si="154"/>
        <v>42118</v>
      </c>
      <c r="F804" s="712">
        <v>56.14</v>
      </c>
      <c r="G804" s="713">
        <f t="shared" si="151"/>
        <v>1.4900000000000011</v>
      </c>
      <c r="H804" s="713">
        <f t="shared" si="152"/>
        <v>1.4900000000000011</v>
      </c>
    </row>
    <row r="805" spans="1:8" x14ac:dyDescent="0.2">
      <c r="A805" s="709">
        <f t="shared" si="148"/>
        <v>42125</v>
      </c>
      <c r="B805" s="709" t="str">
        <f t="shared" si="149"/>
        <v>2Q15</v>
      </c>
      <c r="C805" s="709" t="str">
        <f t="shared" si="150"/>
        <v>2Q15</v>
      </c>
      <c r="D805" s="710">
        <f t="shared" ref="D805:E820" si="155">D804+7</f>
        <v>42185</v>
      </c>
      <c r="E805" s="710">
        <f t="shared" si="155"/>
        <v>42125</v>
      </c>
      <c r="F805" s="712">
        <v>57.98</v>
      </c>
      <c r="G805" s="713">
        <f t="shared" si="151"/>
        <v>1.4900000000000011</v>
      </c>
      <c r="H805" s="713">
        <f t="shared" si="152"/>
        <v>1.4900000000000011</v>
      </c>
    </row>
    <row r="806" spans="1:8" x14ac:dyDescent="0.2">
      <c r="A806" s="709">
        <f t="shared" si="148"/>
        <v>42125</v>
      </c>
      <c r="B806" s="709" t="str">
        <f t="shared" si="149"/>
        <v>2Q15</v>
      </c>
      <c r="C806" s="709" t="str">
        <f t="shared" si="150"/>
        <v>3Q15</v>
      </c>
      <c r="D806" s="710">
        <f t="shared" si="155"/>
        <v>42192</v>
      </c>
      <c r="E806" s="710">
        <f t="shared" si="155"/>
        <v>42132</v>
      </c>
      <c r="F806" s="712">
        <v>59.73</v>
      </c>
      <c r="G806" s="713">
        <f t="shared" si="151"/>
        <v>1.4900000000000011</v>
      </c>
      <c r="H806" s="713">
        <f t="shared" si="152"/>
        <v>1.4900000000000011</v>
      </c>
    </row>
    <row r="807" spans="1:8" x14ac:dyDescent="0.2">
      <c r="A807" s="709">
        <f t="shared" si="148"/>
        <v>42125</v>
      </c>
      <c r="B807" s="709" t="str">
        <f t="shared" si="149"/>
        <v>2Q15</v>
      </c>
      <c r="C807" s="709" t="str">
        <f t="shared" si="150"/>
        <v>3Q15</v>
      </c>
      <c r="D807" s="710">
        <f t="shared" si="155"/>
        <v>42199</v>
      </c>
      <c r="E807" s="710">
        <f t="shared" si="155"/>
        <v>42139</v>
      </c>
      <c r="F807" s="712">
        <v>60.01</v>
      </c>
      <c r="G807" s="713">
        <f t="shared" si="151"/>
        <v>1.4900000000000011</v>
      </c>
      <c r="H807" s="713">
        <f t="shared" si="152"/>
        <v>1.4900000000000011</v>
      </c>
    </row>
    <row r="808" spans="1:8" x14ac:dyDescent="0.2">
      <c r="A808" s="709">
        <f t="shared" si="148"/>
        <v>42125</v>
      </c>
      <c r="B808" s="709" t="str">
        <f t="shared" si="149"/>
        <v>2Q15</v>
      </c>
      <c r="C808" s="709" t="str">
        <f t="shared" si="150"/>
        <v>3Q15</v>
      </c>
      <c r="D808" s="710">
        <f t="shared" si="155"/>
        <v>42206</v>
      </c>
      <c r="E808" s="710">
        <f t="shared" si="155"/>
        <v>42146</v>
      </c>
      <c r="F808" s="712">
        <v>58.95</v>
      </c>
      <c r="G808" s="713">
        <f t="shared" si="151"/>
        <v>1.4900000000000011</v>
      </c>
      <c r="H808" s="713">
        <f t="shared" si="152"/>
        <v>1.4900000000000011</v>
      </c>
    </row>
    <row r="809" spans="1:8" x14ac:dyDescent="0.2">
      <c r="A809" s="709">
        <f t="shared" si="148"/>
        <v>42125</v>
      </c>
      <c r="B809" s="709" t="str">
        <f t="shared" si="149"/>
        <v>2Q15</v>
      </c>
      <c r="C809" s="709" t="str">
        <f t="shared" si="150"/>
        <v>3Q15</v>
      </c>
      <c r="D809" s="710">
        <f t="shared" si="155"/>
        <v>42213</v>
      </c>
      <c r="E809" s="710">
        <f t="shared" si="155"/>
        <v>42153</v>
      </c>
      <c r="F809" s="712">
        <v>58.19</v>
      </c>
      <c r="G809" s="713">
        <f t="shared" si="151"/>
        <v>1.4900000000000011</v>
      </c>
      <c r="H809" s="713">
        <f t="shared" si="152"/>
        <v>1.4900000000000011</v>
      </c>
    </row>
    <row r="810" spans="1:8" x14ac:dyDescent="0.2">
      <c r="A810" s="709">
        <f t="shared" si="148"/>
        <v>42156</v>
      </c>
      <c r="B810" s="709" t="str">
        <f t="shared" si="149"/>
        <v>2Q15</v>
      </c>
      <c r="C810" s="709" t="str">
        <f t="shared" si="150"/>
        <v>3Q15</v>
      </c>
      <c r="D810" s="710">
        <f t="shared" si="155"/>
        <v>42220</v>
      </c>
      <c r="E810" s="710">
        <f t="shared" si="155"/>
        <v>42160</v>
      </c>
      <c r="F810" s="712">
        <v>59.66</v>
      </c>
      <c r="G810" s="713">
        <f t="shared" si="151"/>
        <v>1.4900000000000011</v>
      </c>
      <c r="H810" s="713">
        <f t="shared" si="152"/>
        <v>1.4900000000000011</v>
      </c>
    </row>
    <row r="811" spans="1:8" x14ac:dyDescent="0.2">
      <c r="A811" s="709">
        <f t="shared" si="148"/>
        <v>42156</v>
      </c>
      <c r="B811" s="709" t="str">
        <f t="shared" si="149"/>
        <v>2Q15</v>
      </c>
      <c r="C811" s="709" t="str">
        <f t="shared" si="150"/>
        <v>3Q15</v>
      </c>
      <c r="D811" s="710">
        <f t="shared" si="155"/>
        <v>42227</v>
      </c>
      <c r="E811" s="710">
        <f t="shared" si="155"/>
        <v>42167</v>
      </c>
      <c r="F811" s="712">
        <v>60.07</v>
      </c>
      <c r="G811" s="713">
        <f t="shared" si="151"/>
        <v>1.4900000000000011</v>
      </c>
      <c r="H811" s="713">
        <f t="shared" si="152"/>
        <v>1.4900000000000011</v>
      </c>
    </row>
    <row r="812" spans="1:8" x14ac:dyDescent="0.2">
      <c r="A812" s="709">
        <f t="shared" si="148"/>
        <v>42156</v>
      </c>
      <c r="B812" s="709" t="str">
        <f t="shared" si="149"/>
        <v>2Q15</v>
      </c>
      <c r="C812" s="709" t="str">
        <f t="shared" si="150"/>
        <v>3Q15</v>
      </c>
      <c r="D812" s="710">
        <f t="shared" si="155"/>
        <v>42234</v>
      </c>
      <c r="E812" s="710">
        <f t="shared" si="155"/>
        <v>42174</v>
      </c>
      <c r="F812" s="712">
        <v>59.89</v>
      </c>
      <c r="G812" s="713">
        <f t="shared" si="151"/>
        <v>1.4900000000000011</v>
      </c>
      <c r="H812" s="713">
        <f t="shared" si="152"/>
        <v>1.4900000000000011</v>
      </c>
    </row>
    <row r="813" spans="1:8" x14ac:dyDescent="0.2">
      <c r="A813" s="709">
        <f t="shared" si="148"/>
        <v>42156</v>
      </c>
      <c r="B813" s="709" t="str">
        <f t="shared" si="149"/>
        <v>2Q15</v>
      </c>
      <c r="C813" s="709" t="str">
        <f t="shared" si="150"/>
        <v>3Q15</v>
      </c>
      <c r="D813" s="710">
        <f t="shared" si="155"/>
        <v>42241</v>
      </c>
      <c r="E813" s="710">
        <f t="shared" si="155"/>
        <v>42181</v>
      </c>
      <c r="F813" s="712">
        <v>60.01</v>
      </c>
      <c r="G813" s="713">
        <f t="shared" si="151"/>
        <v>1.4900000000000011</v>
      </c>
      <c r="H813" s="713">
        <f t="shared" si="152"/>
        <v>1.4900000000000011</v>
      </c>
    </row>
    <row r="814" spans="1:8" x14ac:dyDescent="0.2">
      <c r="A814" s="709">
        <f t="shared" si="148"/>
        <v>42186</v>
      </c>
      <c r="B814" s="709" t="str">
        <f t="shared" si="149"/>
        <v>3Q15</v>
      </c>
      <c r="C814" s="709" t="str">
        <f t="shared" si="150"/>
        <v>3Q15</v>
      </c>
      <c r="D814" s="710">
        <f t="shared" si="155"/>
        <v>42248</v>
      </c>
      <c r="E814" s="710">
        <f t="shared" si="155"/>
        <v>42188</v>
      </c>
      <c r="F814" s="712">
        <v>57.92</v>
      </c>
      <c r="G814" s="713">
        <f t="shared" si="151"/>
        <v>1.4900000000000011</v>
      </c>
      <c r="H814" s="713">
        <f t="shared" si="152"/>
        <v>1.4900000000000011</v>
      </c>
    </row>
    <row r="815" spans="1:8" x14ac:dyDescent="0.2">
      <c r="A815" s="709">
        <f t="shared" si="148"/>
        <v>42186</v>
      </c>
      <c r="B815" s="709" t="str">
        <f t="shared" si="149"/>
        <v>3Q15</v>
      </c>
      <c r="C815" s="709" t="str">
        <f t="shared" si="150"/>
        <v>3Q15</v>
      </c>
      <c r="D815" s="710">
        <f t="shared" si="155"/>
        <v>42255</v>
      </c>
      <c r="E815" s="710">
        <f t="shared" si="155"/>
        <v>42195</v>
      </c>
      <c r="F815" s="712">
        <v>52.38</v>
      </c>
      <c r="G815" s="713">
        <f t="shared" si="151"/>
        <v>1.4900000000000011</v>
      </c>
      <c r="H815" s="713">
        <f t="shared" si="152"/>
        <v>1.4900000000000011</v>
      </c>
    </row>
    <row r="816" spans="1:8" x14ac:dyDescent="0.2">
      <c r="A816" s="709">
        <f t="shared" si="148"/>
        <v>42186</v>
      </c>
      <c r="B816" s="709" t="str">
        <f t="shared" si="149"/>
        <v>3Q15</v>
      </c>
      <c r="C816" s="709" t="str">
        <f t="shared" si="150"/>
        <v>3Q15</v>
      </c>
      <c r="D816" s="710">
        <f t="shared" si="155"/>
        <v>42262</v>
      </c>
      <c r="E816" s="710">
        <f t="shared" si="155"/>
        <v>42202</v>
      </c>
      <c r="F816" s="712">
        <v>51.68</v>
      </c>
      <c r="G816" s="713">
        <f t="shared" si="151"/>
        <v>1.4900000000000011</v>
      </c>
      <c r="H816" s="713">
        <f t="shared" si="152"/>
        <v>1.4900000000000011</v>
      </c>
    </row>
    <row r="817" spans="1:8" x14ac:dyDescent="0.2">
      <c r="A817" s="709">
        <f t="shared" si="148"/>
        <v>42186</v>
      </c>
      <c r="B817" s="709" t="str">
        <f t="shared" si="149"/>
        <v>3Q15</v>
      </c>
      <c r="C817" s="709" t="str">
        <f t="shared" si="150"/>
        <v>3Q15</v>
      </c>
      <c r="D817" s="710">
        <f t="shared" si="155"/>
        <v>42269</v>
      </c>
      <c r="E817" s="710">
        <f t="shared" si="155"/>
        <v>42209</v>
      </c>
      <c r="F817" s="712">
        <v>49.21</v>
      </c>
      <c r="G817" s="713">
        <f t="shared" si="151"/>
        <v>1.4900000000000011</v>
      </c>
      <c r="H817" s="713">
        <f t="shared" si="152"/>
        <v>1.4900000000000011</v>
      </c>
    </row>
    <row r="818" spans="1:8" x14ac:dyDescent="0.2">
      <c r="A818" s="709">
        <f t="shared" si="148"/>
        <v>42186</v>
      </c>
      <c r="B818" s="709" t="str">
        <f t="shared" si="149"/>
        <v>3Q15</v>
      </c>
      <c r="C818" s="709" t="str">
        <f t="shared" si="150"/>
        <v>3Q15</v>
      </c>
      <c r="D818" s="710">
        <f t="shared" si="155"/>
        <v>42276</v>
      </c>
      <c r="E818" s="710">
        <f t="shared" si="155"/>
        <v>42216</v>
      </c>
      <c r="F818" s="712">
        <v>47.91</v>
      </c>
      <c r="G818" s="713">
        <f t="shared" si="151"/>
        <v>1.4900000000000011</v>
      </c>
      <c r="H818" s="713">
        <f t="shared" si="152"/>
        <v>1.4900000000000011</v>
      </c>
    </row>
    <row r="819" spans="1:8" x14ac:dyDescent="0.2">
      <c r="A819" s="709">
        <f t="shared" si="148"/>
        <v>42217</v>
      </c>
      <c r="B819" s="709" t="str">
        <f t="shared" si="149"/>
        <v>3Q15</v>
      </c>
      <c r="C819" s="709" t="str">
        <f t="shared" si="150"/>
        <v>4Q15</v>
      </c>
      <c r="D819" s="710">
        <f t="shared" si="155"/>
        <v>42283</v>
      </c>
      <c r="E819" s="710">
        <f t="shared" si="155"/>
        <v>42223</v>
      </c>
      <c r="F819" s="712">
        <v>44.94</v>
      </c>
      <c r="G819" s="713">
        <f t="shared" si="151"/>
        <v>1.4900000000000011</v>
      </c>
      <c r="H819" s="713">
        <f t="shared" si="152"/>
        <v>1.4900000000000011</v>
      </c>
    </row>
    <row r="820" spans="1:8" x14ac:dyDescent="0.2">
      <c r="A820" s="709">
        <f t="shared" si="148"/>
        <v>42217</v>
      </c>
      <c r="B820" s="709" t="str">
        <f t="shared" si="149"/>
        <v>3Q15</v>
      </c>
      <c r="C820" s="709" t="str">
        <f t="shared" si="150"/>
        <v>4Q15</v>
      </c>
      <c r="D820" s="710">
        <f t="shared" si="155"/>
        <v>42290</v>
      </c>
      <c r="E820" s="710">
        <f t="shared" si="155"/>
        <v>42230</v>
      </c>
      <c r="F820" s="712">
        <v>43.2</v>
      </c>
      <c r="G820" s="713">
        <f t="shared" si="151"/>
        <v>1.4900000000000011</v>
      </c>
      <c r="H820" s="713">
        <f t="shared" si="152"/>
        <v>1.4900000000000011</v>
      </c>
    </row>
    <row r="821" spans="1:8" x14ac:dyDescent="0.2">
      <c r="A821" s="709">
        <f t="shared" si="148"/>
        <v>42217</v>
      </c>
      <c r="B821" s="709" t="str">
        <f t="shared" si="149"/>
        <v>3Q15</v>
      </c>
      <c r="C821" s="709" t="str">
        <f t="shared" si="150"/>
        <v>4Q15</v>
      </c>
      <c r="D821" s="710">
        <f t="shared" ref="D821:E836" si="156">D820+7</f>
        <v>42297</v>
      </c>
      <c r="E821" s="710">
        <f t="shared" si="156"/>
        <v>42237</v>
      </c>
      <c r="F821" s="712">
        <v>41.34</v>
      </c>
      <c r="G821" s="713">
        <f t="shared" si="151"/>
        <v>1.4900000000000011</v>
      </c>
      <c r="H821" s="713">
        <f t="shared" si="152"/>
        <v>1.4900000000000011</v>
      </c>
    </row>
    <row r="822" spans="1:8" x14ac:dyDescent="0.2">
      <c r="A822" s="709">
        <f t="shared" si="148"/>
        <v>42217</v>
      </c>
      <c r="B822" s="709" t="str">
        <f t="shared" si="149"/>
        <v>3Q15</v>
      </c>
      <c r="C822" s="709" t="str">
        <f t="shared" si="150"/>
        <v>4Q15</v>
      </c>
      <c r="D822" s="710">
        <f t="shared" si="156"/>
        <v>42304</v>
      </c>
      <c r="E822" s="710">
        <f t="shared" si="156"/>
        <v>42244</v>
      </c>
      <c r="F822" s="712">
        <v>40.729999999999997</v>
      </c>
      <c r="G822" s="713">
        <f t="shared" si="151"/>
        <v>1.4900000000000011</v>
      </c>
      <c r="H822" s="713">
        <f t="shared" si="152"/>
        <v>1.4900000000000011</v>
      </c>
    </row>
    <row r="823" spans="1:8" x14ac:dyDescent="0.2">
      <c r="A823" s="709">
        <f t="shared" si="148"/>
        <v>42248</v>
      </c>
      <c r="B823" s="709" t="str">
        <f t="shared" si="149"/>
        <v>3Q15</v>
      </c>
      <c r="C823" s="709" t="str">
        <f t="shared" si="150"/>
        <v>4Q15</v>
      </c>
      <c r="D823" s="710">
        <f t="shared" si="156"/>
        <v>42311</v>
      </c>
      <c r="E823" s="710">
        <f t="shared" si="156"/>
        <v>42251</v>
      </c>
      <c r="F823" s="712">
        <v>46.73</v>
      </c>
      <c r="G823" s="713">
        <f t="shared" si="151"/>
        <v>1.4900000000000011</v>
      </c>
      <c r="H823" s="713">
        <f t="shared" si="152"/>
        <v>1.4900000000000011</v>
      </c>
    </row>
    <row r="824" spans="1:8" x14ac:dyDescent="0.2">
      <c r="A824" s="709">
        <f t="shared" si="148"/>
        <v>42248</v>
      </c>
      <c r="B824" s="709" t="str">
        <f t="shared" si="149"/>
        <v>3Q15</v>
      </c>
      <c r="C824" s="709" t="str">
        <f t="shared" si="150"/>
        <v>4Q15</v>
      </c>
      <c r="D824" s="710">
        <f t="shared" si="156"/>
        <v>42318</v>
      </c>
      <c r="E824" s="710">
        <f t="shared" si="156"/>
        <v>42258</v>
      </c>
      <c r="F824" s="712">
        <v>45.16</v>
      </c>
      <c r="G824" s="713">
        <f t="shared" si="151"/>
        <v>1.4900000000000011</v>
      </c>
      <c r="H824" s="713">
        <f t="shared" si="152"/>
        <v>1.4900000000000011</v>
      </c>
    </row>
    <row r="825" spans="1:8" x14ac:dyDescent="0.2">
      <c r="A825" s="709">
        <f t="shared" si="148"/>
        <v>42248</v>
      </c>
      <c r="B825" s="709" t="str">
        <f t="shared" si="149"/>
        <v>3Q15</v>
      </c>
      <c r="C825" s="709" t="str">
        <f t="shared" si="150"/>
        <v>4Q15</v>
      </c>
      <c r="D825" s="710">
        <f t="shared" si="156"/>
        <v>42325</v>
      </c>
      <c r="E825" s="710">
        <f t="shared" si="156"/>
        <v>42265</v>
      </c>
      <c r="F825" s="712">
        <v>45.48</v>
      </c>
      <c r="G825" s="713">
        <f t="shared" si="151"/>
        <v>1.4900000000000011</v>
      </c>
      <c r="H825" s="713">
        <f t="shared" si="152"/>
        <v>1.4900000000000011</v>
      </c>
    </row>
    <row r="826" spans="1:8" x14ac:dyDescent="0.2">
      <c r="A826" s="709">
        <f t="shared" si="148"/>
        <v>42248</v>
      </c>
      <c r="B826" s="709" t="str">
        <f t="shared" si="149"/>
        <v>3Q15</v>
      </c>
      <c r="C826" s="709" t="str">
        <f t="shared" si="150"/>
        <v>4Q15</v>
      </c>
      <c r="D826" s="710">
        <f t="shared" si="156"/>
        <v>42332</v>
      </c>
      <c r="E826" s="710">
        <f t="shared" si="156"/>
        <v>42272</v>
      </c>
      <c r="F826" s="712">
        <v>45.57</v>
      </c>
      <c r="G826" s="713">
        <f t="shared" si="151"/>
        <v>1.4900000000000011</v>
      </c>
      <c r="H826" s="713">
        <f t="shared" si="152"/>
        <v>1.4900000000000011</v>
      </c>
    </row>
    <row r="827" spans="1:8" x14ac:dyDescent="0.2">
      <c r="A827" s="709">
        <f t="shared" si="148"/>
        <v>42278</v>
      </c>
      <c r="B827" s="709" t="str">
        <f t="shared" si="149"/>
        <v>4Q15</v>
      </c>
      <c r="C827" s="709" t="str">
        <f t="shared" si="150"/>
        <v>4Q15</v>
      </c>
      <c r="D827" s="710">
        <f t="shared" si="156"/>
        <v>42339</v>
      </c>
      <c r="E827" s="710">
        <f t="shared" si="156"/>
        <v>42279</v>
      </c>
      <c r="F827" s="712">
        <v>45</v>
      </c>
      <c r="G827" s="713">
        <f t="shared" si="151"/>
        <v>1.4900000000000011</v>
      </c>
      <c r="H827" s="713">
        <f t="shared" si="152"/>
        <v>1.4900000000000011</v>
      </c>
    </row>
    <row r="828" spans="1:8" x14ac:dyDescent="0.2">
      <c r="A828" s="709">
        <f t="shared" si="148"/>
        <v>42278</v>
      </c>
      <c r="B828" s="709" t="str">
        <f t="shared" si="149"/>
        <v>4Q15</v>
      </c>
      <c r="C828" s="709" t="str">
        <f t="shared" si="150"/>
        <v>4Q15</v>
      </c>
      <c r="D828" s="710">
        <f t="shared" si="156"/>
        <v>42346</v>
      </c>
      <c r="E828" s="710">
        <f t="shared" si="156"/>
        <v>42286</v>
      </c>
      <c r="F828" s="712">
        <v>48.36</v>
      </c>
      <c r="G828" s="713">
        <f t="shared" si="151"/>
        <v>1.4900000000000011</v>
      </c>
      <c r="H828" s="713">
        <f t="shared" si="152"/>
        <v>1.4900000000000011</v>
      </c>
    </row>
    <row r="829" spans="1:8" x14ac:dyDescent="0.2">
      <c r="A829" s="709">
        <f t="shared" si="148"/>
        <v>42278</v>
      </c>
      <c r="B829" s="709" t="str">
        <f t="shared" si="149"/>
        <v>4Q15</v>
      </c>
      <c r="C829" s="709" t="str">
        <f t="shared" si="150"/>
        <v>4Q15</v>
      </c>
      <c r="D829" s="710">
        <f t="shared" si="156"/>
        <v>42353</v>
      </c>
      <c r="E829" s="710">
        <f t="shared" si="156"/>
        <v>42293</v>
      </c>
      <c r="F829" s="712">
        <v>46.82</v>
      </c>
      <c r="G829" s="713">
        <f t="shared" si="151"/>
        <v>1.4900000000000011</v>
      </c>
      <c r="H829" s="713">
        <f t="shared" si="152"/>
        <v>1.4900000000000011</v>
      </c>
    </row>
    <row r="830" spans="1:8" x14ac:dyDescent="0.2">
      <c r="A830" s="709">
        <f t="shared" si="148"/>
        <v>42278</v>
      </c>
      <c r="B830" s="709" t="str">
        <f t="shared" si="149"/>
        <v>4Q15</v>
      </c>
      <c r="C830" s="709" t="str">
        <f t="shared" si="150"/>
        <v>4Q15</v>
      </c>
      <c r="D830" s="710">
        <f t="shared" si="156"/>
        <v>42360</v>
      </c>
      <c r="E830" s="710">
        <f t="shared" si="156"/>
        <v>42300</v>
      </c>
      <c r="F830" s="712">
        <v>45.16</v>
      </c>
      <c r="G830" s="713">
        <f t="shared" si="151"/>
        <v>1.4900000000000011</v>
      </c>
      <c r="H830" s="713">
        <f t="shared" si="152"/>
        <v>1.4900000000000011</v>
      </c>
    </row>
    <row r="831" spans="1:8" x14ac:dyDescent="0.2">
      <c r="A831" s="709">
        <f t="shared" si="148"/>
        <v>42278</v>
      </c>
      <c r="B831" s="709" t="str">
        <f t="shared" si="149"/>
        <v>4Q15</v>
      </c>
      <c r="C831" s="709" t="str">
        <f t="shared" si="150"/>
        <v>4Q15</v>
      </c>
      <c r="D831" s="710">
        <f t="shared" si="156"/>
        <v>42367</v>
      </c>
      <c r="E831" s="710">
        <f t="shared" si="156"/>
        <v>42307</v>
      </c>
      <c r="F831" s="712">
        <v>44.99</v>
      </c>
      <c r="G831" s="713">
        <f t="shared" si="151"/>
        <v>1.4900000000000011</v>
      </c>
      <c r="H831" s="713">
        <f t="shared" si="152"/>
        <v>1.4900000000000011</v>
      </c>
    </row>
    <row r="832" spans="1:8" x14ac:dyDescent="0.2">
      <c r="A832" s="709">
        <f t="shared" si="148"/>
        <v>42309</v>
      </c>
      <c r="B832" s="709" t="str">
        <f t="shared" si="149"/>
        <v>4Q15</v>
      </c>
      <c r="C832" s="709" t="str">
        <f t="shared" si="150"/>
        <v>1Q16</v>
      </c>
      <c r="D832" s="710">
        <f t="shared" si="156"/>
        <v>42374</v>
      </c>
      <c r="E832" s="710">
        <f t="shared" si="156"/>
        <v>42314</v>
      </c>
      <c r="F832" s="712">
        <v>45.98</v>
      </c>
      <c r="G832" s="713">
        <f t="shared" si="151"/>
        <v>1.4900000000000011</v>
      </c>
      <c r="H832" s="713">
        <f t="shared" si="152"/>
        <v>1.4900000000000011</v>
      </c>
    </row>
    <row r="833" spans="1:8" x14ac:dyDescent="0.2">
      <c r="A833" s="709">
        <f t="shared" si="148"/>
        <v>42309</v>
      </c>
      <c r="B833" s="709" t="str">
        <f t="shared" si="149"/>
        <v>4Q15</v>
      </c>
      <c r="C833" s="709" t="str">
        <f t="shared" si="150"/>
        <v>1Q16</v>
      </c>
      <c r="D833" s="710">
        <f t="shared" si="156"/>
        <v>42381</v>
      </c>
      <c r="E833" s="710">
        <f t="shared" si="156"/>
        <v>42321</v>
      </c>
      <c r="F833" s="712">
        <v>42.7</v>
      </c>
      <c r="G833" s="713">
        <f t="shared" si="151"/>
        <v>1.4900000000000011</v>
      </c>
      <c r="H833" s="713">
        <f t="shared" si="152"/>
        <v>1.4900000000000011</v>
      </c>
    </row>
    <row r="834" spans="1:8" x14ac:dyDescent="0.2">
      <c r="A834" s="709">
        <f t="shared" si="148"/>
        <v>42309</v>
      </c>
      <c r="B834" s="709" t="str">
        <f t="shared" si="149"/>
        <v>4Q15</v>
      </c>
      <c r="C834" s="709" t="str">
        <f t="shared" si="150"/>
        <v>1Q16</v>
      </c>
      <c r="D834" s="710">
        <f t="shared" si="156"/>
        <v>42388</v>
      </c>
      <c r="E834" s="710">
        <f t="shared" si="156"/>
        <v>42328</v>
      </c>
      <c r="F834" s="712">
        <v>40.619999999999997</v>
      </c>
      <c r="G834" s="713">
        <f t="shared" si="151"/>
        <v>1.4900000000000011</v>
      </c>
      <c r="H834" s="713">
        <f t="shared" si="152"/>
        <v>1.4900000000000011</v>
      </c>
    </row>
    <row r="835" spans="1:8" x14ac:dyDescent="0.2">
      <c r="A835" s="709">
        <f t="shared" si="148"/>
        <v>42309</v>
      </c>
      <c r="B835" s="709" t="str">
        <f t="shared" si="149"/>
        <v>4Q15</v>
      </c>
      <c r="C835" s="709" t="str">
        <f t="shared" si="150"/>
        <v>1Q16</v>
      </c>
      <c r="D835" s="710">
        <f t="shared" si="156"/>
        <v>42395</v>
      </c>
      <c r="E835" s="710">
        <f t="shared" si="156"/>
        <v>42335</v>
      </c>
      <c r="F835" s="712">
        <v>40.49</v>
      </c>
      <c r="G835" s="713">
        <f t="shared" si="151"/>
        <v>1.4900000000000011</v>
      </c>
      <c r="H835" s="713">
        <f t="shared" si="152"/>
        <v>1.4900000000000011</v>
      </c>
    </row>
    <row r="836" spans="1:8" x14ac:dyDescent="0.2">
      <c r="A836" s="709">
        <f t="shared" ref="A836:A851" si="157">DATE(YEAR(E836),MONTH(E836),1)</f>
        <v>42339</v>
      </c>
      <c r="B836" s="709" t="str">
        <f t="shared" ref="B836:B851" si="158">VLOOKUP(MONTH(A836),$N$4:$O$16,2,FALSE) &amp; "Q" &amp; RIGHT(YEAR(A836),2)</f>
        <v>4Q15</v>
      </c>
      <c r="C836" s="709" t="str">
        <f t="shared" ref="C836:C851" si="159">VLOOKUP(MONTH(D836),$N$4:$O$16,2,FALSE) &amp; "Q" &amp; RIGHT(YEAR(D836),2)</f>
        <v>1Q16</v>
      </c>
      <c r="D836" s="710">
        <f t="shared" si="156"/>
        <v>42402</v>
      </c>
      <c r="E836" s="710">
        <f t="shared" si="156"/>
        <v>42342</v>
      </c>
      <c r="F836" s="712">
        <v>40.4</v>
      </c>
      <c r="G836" s="713">
        <f t="shared" ref="G836:G851" si="160">INDEX($I$4:$K$153,MATCH(F836,$I$4:$I$153,1),3)</f>
        <v>1.4900000000000011</v>
      </c>
      <c r="H836" s="713">
        <f t="shared" ref="H836:H850" si="161">G837</f>
        <v>1.4900000000000011</v>
      </c>
    </row>
    <row r="837" spans="1:8" x14ac:dyDescent="0.2">
      <c r="A837" s="709">
        <f t="shared" si="157"/>
        <v>42339</v>
      </c>
      <c r="B837" s="709" t="str">
        <f t="shared" si="158"/>
        <v>4Q15</v>
      </c>
      <c r="C837" s="709" t="str">
        <f t="shared" si="159"/>
        <v>1Q16</v>
      </c>
      <c r="D837" s="710">
        <f t="shared" ref="D837:E851" si="162">D836+7</f>
        <v>42409</v>
      </c>
      <c r="E837" s="710">
        <f t="shared" si="162"/>
        <v>42349</v>
      </c>
      <c r="F837" s="712">
        <v>36.93</v>
      </c>
      <c r="G837" s="713">
        <f t="shared" si="160"/>
        <v>1.4900000000000011</v>
      </c>
      <c r="H837" s="713">
        <f t="shared" si="161"/>
        <v>1.4900000000000011</v>
      </c>
    </row>
    <row r="838" spans="1:8" x14ac:dyDescent="0.2">
      <c r="A838" s="709">
        <f t="shared" si="157"/>
        <v>42339</v>
      </c>
      <c r="B838" s="709" t="str">
        <f t="shared" si="158"/>
        <v>4Q15</v>
      </c>
      <c r="C838" s="709" t="str">
        <f t="shared" si="159"/>
        <v>1Q16</v>
      </c>
      <c r="D838" s="710">
        <f t="shared" si="162"/>
        <v>42416</v>
      </c>
      <c r="E838" s="710">
        <f t="shared" si="162"/>
        <v>42356</v>
      </c>
      <c r="F838" s="712">
        <v>35.78</v>
      </c>
      <c r="G838" s="713">
        <f t="shared" si="160"/>
        <v>1.4900000000000011</v>
      </c>
      <c r="H838" s="713">
        <f t="shared" si="161"/>
        <v>1.4900000000000011</v>
      </c>
    </row>
    <row r="839" spans="1:8" x14ac:dyDescent="0.2">
      <c r="A839" s="709">
        <f t="shared" si="157"/>
        <v>42339</v>
      </c>
      <c r="B839" s="709" t="str">
        <f t="shared" si="158"/>
        <v>4Q15</v>
      </c>
      <c r="C839" s="709" t="str">
        <f t="shared" si="159"/>
        <v>1Q16</v>
      </c>
      <c r="D839" s="710">
        <f t="shared" si="162"/>
        <v>42423</v>
      </c>
      <c r="E839" s="710">
        <f t="shared" si="162"/>
        <v>42363</v>
      </c>
      <c r="F839" s="712">
        <v>36.26</v>
      </c>
      <c r="G839" s="713">
        <f t="shared" si="160"/>
        <v>1.4900000000000011</v>
      </c>
      <c r="H839" s="713">
        <f t="shared" si="161"/>
        <v>1.4900000000000011</v>
      </c>
    </row>
    <row r="840" spans="1:8" x14ac:dyDescent="0.2">
      <c r="A840" s="709">
        <f t="shared" si="157"/>
        <v>42370</v>
      </c>
      <c r="B840" s="709" t="str">
        <f t="shared" si="158"/>
        <v>1Q16</v>
      </c>
      <c r="C840" s="709" t="str">
        <f t="shared" si="159"/>
        <v>1Q16</v>
      </c>
      <c r="D840" s="710">
        <f t="shared" si="162"/>
        <v>42430</v>
      </c>
      <c r="E840" s="710">
        <f t="shared" si="162"/>
        <v>42370</v>
      </c>
      <c r="F840" s="712">
        <v>36.99</v>
      </c>
      <c r="G840" s="713">
        <f t="shared" si="160"/>
        <v>1.4900000000000011</v>
      </c>
      <c r="H840" s="713">
        <f t="shared" si="161"/>
        <v>1.4900000000000011</v>
      </c>
    </row>
    <row r="841" spans="1:8" x14ac:dyDescent="0.2">
      <c r="A841" s="709">
        <f t="shared" si="157"/>
        <v>42370</v>
      </c>
      <c r="B841" s="709" t="str">
        <f t="shared" si="158"/>
        <v>1Q16</v>
      </c>
      <c r="C841" s="709" t="str">
        <f t="shared" si="159"/>
        <v>1Q16</v>
      </c>
      <c r="D841" s="710">
        <f t="shared" si="162"/>
        <v>42437</v>
      </c>
      <c r="E841" s="710">
        <f t="shared" si="162"/>
        <v>42377</v>
      </c>
      <c r="F841" s="712">
        <v>34.65</v>
      </c>
      <c r="G841" s="713">
        <f t="shared" si="160"/>
        <v>1.4900000000000011</v>
      </c>
      <c r="H841" s="713">
        <f t="shared" si="161"/>
        <v>1.4900000000000011</v>
      </c>
    </row>
    <row r="842" spans="1:8" x14ac:dyDescent="0.2">
      <c r="A842" s="709">
        <f t="shared" si="157"/>
        <v>42370</v>
      </c>
      <c r="B842" s="709" t="str">
        <f t="shared" si="158"/>
        <v>1Q16</v>
      </c>
      <c r="C842" s="709" t="str">
        <f t="shared" si="159"/>
        <v>1Q16</v>
      </c>
      <c r="D842" s="710">
        <f t="shared" si="162"/>
        <v>42444</v>
      </c>
      <c r="E842" s="710">
        <f t="shared" si="162"/>
        <v>42384</v>
      </c>
      <c r="F842" s="712">
        <v>30.59</v>
      </c>
      <c r="G842" s="713">
        <f t="shared" si="160"/>
        <v>1.4900000000000011</v>
      </c>
      <c r="H842" s="713">
        <f t="shared" si="161"/>
        <v>1.4900000000000011</v>
      </c>
    </row>
    <row r="843" spans="1:8" x14ac:dyDescent="0.2">
      <c r="A843" s="709">
        <f t="shared" si="157"/>
        <v>42370</v>
      </c>
      <c r="B843" s="709" t="str">
        <f t="shared" si="158"/>
        <v>1Q16</v>
      </c>
      <c r="C843" s="709" t="str">
        <f t="shared" si="159"/>
        <v>1Q16</v>
      </c>
      <c r="D843" s="710">
        <f t="shared" si="162"/>
        <v>42451</v>
      </c>
      <c r="E843" s="710">
        <f t="shared" si="162"/>
        <v>42391</v>
      </c>
      <c r="F843" s="712">
        <v>29.19</v>
      </c>
      <c r="G843" s="713">
        <f t="shared" si="160"/>
        <v>1.4900000000000011</v>
      </c>
      <c r="H843" s="713">
        <f t="shared" si="161"/>
        <v>1.4900000000000011</v>
      </c>
    </row>
    <row r="844" spans="1:8" x14ac:dyDescent="0.2">
      <c r="A844" s="709">
        <f t="shared" si="157"/>
        <v>42370</v>
      </c>
      <c r="B844" s="709" t="str">
        <f t="shared" si="158"/>
        <v>1Q16</v>
      </c>
      <c r="C844" s="709" t="str">
        <f t="shared" si="159"/>
        <v>1Q16</v>
      </c>
      <c r="D844" s="710">
        <f t="shared" si="162"/>
        <v>42458</v>
      </c>
      <c r="E844" s="710">
        <f t="shared" si="162"/>
        <v>42398</v>
      </c>
      <c r="F844" s="712">
        <v>31.81</v>
      </c>
      <c r="G844" s="713">
        <f t="shared" si="160"/>
        <v>1.4900000000000011</v>
      </c>
      <c r="H844" s="713">
        <f t="shared" si="161"/>
        <v>1.4900000000000011</v>
      </c>
    </row>
    <row r="845" spans="1:8" x14ac:dyDescent="0.2">
      <c r="A845" s="709">
        <f t="shared" si="157"/>
        <v>42401</v>
      </c>
      <c r="B845" s="709" t="str">
        <f t="shared" si="158"/>
        <v>1Q16</v>
      </c>
      <c r="C845" s="709" t="str">
        <f t="shared" si="159"/>
        <v>2Q16</v>
      </c>
      <c r="D845" s="710">
        <f t="shared" si="162"/>
        <v>42465</v>
      </c>
      <c r="E845" s="710">
        <f t="shared" si="162"/>
        <v>42405</v>
      </c>
      <c r="F845" s="712">
        <v>31.26</v>
      </c>
      <c r="G845" s="713">
        <f t="shared" si="160"/>
        <v>1.4900000000000011</v>
      </c>
      <c r="H845" s="713">
        <f t="shared" si="161"/>
        <v>1.4900000000000011</v>
      </c>
    </row>
    <row r="846" spans="1:8" x14ac:dyDescent="0.2">
      <c r="A846" s="709">
        <f t="shared" si="157"/>
        <v>42401</v>
      </c>
      <c r="B846" s="709" t="str">
        <f t="shared" si="158"/>
        <v>1Q16</v>
      </c>
      <c r="C846" s="709" t="str">
        <f t="shared" si="159"/>
        <v>2Q16</v>
      </c>
      <c r="D846" s="710">
        <f t="shared" si="162"/>
        <v>42472</v>
      </c>
      <c r="E846" s="710">
        <f t="shared" si="162"/>
        <v>42412</v>
      </c>
      <c r="F846" s="712">
        <v>28.14</v>
      </c>
      <c r="G846" s="713">
        <f t="shared" si="160"/>
        <v>1.4900000000000011</v>
      </c>
      <c r="H846" s="713">
        <f t="shared" si="161"/>
        <v>1.4900000000000011</v>
      </c>
    </row>
    <row r="847" spans="1:8" x14ac:dyDescent="0.2">
      <c r="A847" s="709">
        <f t="shared" si="157"/>
        <v>42401</v>
      </c>
      <c r="B847" s="709" t="str">
        <f t="shared" si="158"/>
        <v>1Q16</v>
      </c>
      <c r="C847" s="709" t="str">
        <f t="shared" si="159"/>
        <v>2Q16</v>
      </c>
      <c r="D847" s="710">
        <f t="shared" si="162"/>
        <v>42479</v>
      </c>
      <c r="E847" s="710">
        <f t="shared" si="162"/>
        <v>42419</v>
      </c>
      <c r="F847" s="712">
        <v>30.02</v>
      </c>
      <c r="G847" s="713">
        <f t="shared" si="160"/>
        <v>1.4900000000000011</v>
      </c>
      <c r="H847" s="713">
        <f t="shared" si="161"/>
        <v>1.4900000000000011</v>
      </c>
    </row>
    <row r="848" spans="1:8" x14ac:dyDescent="0.2">
      <c r="A848" s="709">
        <f t="shared" si="157"/>
        <v>42401</v>
      </c>
      <c r="B848" s="709" t="str">
        <f t="shared" si="158"/>
        <v>1Q16</v>
      </c>
      <c r="C848" s="709" t="str">
        <f t="shared" si="159"/>
        <v>2Q16</v>
      </c>
      <c r="D848" s="710">
        <f t="shared" si="162"/>
        <v>42486</v>
      </c>
      <c r="E848" s="710">
        <f t="shared" si="162"/>
        <v>42426</v>
      </c>
      <c r="F848" s="712">
        <v>31.32</v>
      </c>
      <c r="G848" s="713">
        <f t="shared" si="160"/>
        <v>1.4900000000000011</v>
      </c>
      <c r="H848" s="713">
        <f t="shared" si="161"/>
        <v>1.4900000000000011</v>
      </c>
    </row>
    <row r="849" spans="1:8" x14ac:dyDescent="0.2">
      <c r="A849" s="709">
        <f t="shared" si="157"/>
        <v>42430</v>
      </c>
      <c r="B849" s="709" t="str">
        <f t="shared" si="158"/>
        <v>1Q16</v>
      </c>
      <c r="C849" s="709" t="str">
        <f t="shared" si="159"/>
        <v>2Q16</v>
      </c>
      <c r="D849" s="710">
        <f t="shared" si="162"/>
        <v>42493</v>
      </c>
      <c r="E849" s="710">
        <f t="shared" si="162"/>
        <v>42433</v>
      </c>
      <c r="F849" s="712">
        <v>34.43</v>
      </c>
      <c r="G849" s="713">
        <f t="shared" si="160"/>
        <v>1.4900000000000011</v>
      </c>
      <c r="H849" s="713">
        <f t="shared" si="161"/>
        <v>1.4900000000000011</v>
      </c>
    </row>
    <row r="850" spans="1:8" x14ac:dyDescent="0.2">
      <c r="A850" s="709">
        <f t="shared" si="157"/>
        <v>42430</v>
      </c>
      <c r="B850" s="709" t="str">
        <f t="shared" si="158"/>
        <v>1Q16</v>
      </c>
      <c r="C850" s="709" t="str">
        <f t="shared" si="159"/>
        <v>2Q16</v>
      </c>
      <c r="D850" s="710">
        <f t="shared" si="162"/>
        <v>42500</v>
      </c>
      <c r="E850" s="710">
        <f t="shared" si="162"/>
        <v>42440</v>
      </c>
      <c r="F850" s="712">
        <v>37.69</v>
      </c>
      <c r="G850" s="713">
        <f t="shared" si="160"/>
        <v>1.4900000000000011</v>
      </c>
      <c r="H850" s="713">
        <f t="shared" si="161"/>
        <v>1.4900000000000011</v>
      </c>
    </row>
    <row r="851" spans="1:8" x14ac:dyDescent="0.2">
      <c r="A851" s="709">
        <f t="shared" si="157"/>
        <v>42430</v>
      </c>
      <c r="B851" s="709" t="str">
        <f t="shared" si="158"/>
        <v>1Q16</v>
      </c>
      <c r="C851" s="709" t="str">
        <f t="shared" si="159"/>
        <v>2Q16</v>
      </c>
      <c r="D851" s="710">
        <f t="shared" si="162"/>
        <v>42507</v>
      </c>
      <c r="E851" s="710">
        <f t="shared" si="162"/>
        <v>42447</v>
      </c>
      <c r="F851" s="712">
        <v>38.32</v>
      </c>
      <c r="G851" s="713">
        <f t="shared" si="160"/>
        <v>1.4900000000000011</v>
      </c>
      <c r="H851" s="713"/>
    </row>
    <row r="852" spans="1:8" x14ac:dyDescent="0.2">
      <c r="A852" s="709">
        <f t="shared" ref="A852:A915" si="163">DATE(YEAR(E852),MONTH(E852),1)</f>
        <v>42430</v>
      </c>
      <c r="B852" s="709" t="str">
        <f t="shared" ref="B852:B915" si="164">VLOOKUP(MONTH(A852),$N$4:$O$16,2,FALSE) &amp; "Q" &amp; RIGHT(YEAR(A852),2)</f>
        <v>1Q16</v>
      </c>
      <c r="C852" s="709" t="str">
        <f t="shared" ref="C852:C915" si="165">VLOOKUP(MONTH(D852),$N$4:$O$16,2,FALSE) &amp; "Q" &amp; RIGHT(YEAR(D852),2)</f>
        <v>2Q16</v>
      </c>
      <c r="D852" s="710">
        <f t="shared" ref="D852:D883" si="166">D851+7</f>
        <v>42514</v>
      </c>
      <c r="E852" s="710">
        <f t="shared" ref="E852:E883" si="167">E851+7</f>
        <v>42454</v>
      </c>
      <c r="F852" s="712">
        <v>39.450000000000003</v>
      </c>
      <c r="G852" s="713">
        <f t="shared" ref="G852:G915" si="168">INDEX($I$4:$K$153,MATCH(F852,$I$4:$I$153,1),3)</f>
        <v>1.4900000000000011</v>
      </c>
    </row>
    <row r="853" spans="1:8" x14ac:dyDescent="0.2">
      <c r="A853" s="709">
        <f t="shared" si="163"/>
        <v>42461</v>
      </c>
      <c r="B853" s="709" t="str">
        <f t="shared" si="164"/>
        <v>2Q16</v>
      </c>
      <c r="C853" s="709" t="str">
        <f t="shared" si="165"/>
        <v>2Q16</v>
      </c>
      <c r="D853" s="710">
        <f t="shared" si="166"/>
        <v>42521</v>
      </c>
      <c r="E853" s="710">
        <f t="shared" si="167"/>
        <v>42461</v>
      </c>
      <c r="F853" s="712">
        <v>36.82</v>
      </c>
      <c r="G853" s="713">
        <f t="shared" si="168"/>
        <v>1.4900000000000011</v>
      </c>
    </row>
    <row r="854" spans="1:8" x14ac:dyDescent="0.2">
      <c r="A854" s="709">
        <f t="shared" si="163"/>
        <v>42461</v>
      </c>
      <c r="B854" s="709" t="str">
        <f t="shared" si="164"/>
        <v>2Q16</v>
      </c>
      <c r="C854" s="709" t="str">
        <f t="shared" si="165"/>
        <v>2Q16</v>
      </c>
      <c r="D854" s="710">
        <f t="shared" si="166"/>
        <v>42528</v>
      </c>
      <c r="E854" s="710">
        <f t="shared" si="167"/>
        <v>42468</v>
      </c>
      <c r="F854" s="712">
        <v>36.72</v>
      </c>
      <c r="G854" s="713">
        <f t="shared" si="168"/>
        <v>1.4900000000000011</v>
      </c>
    </row>
    <row r="855" spans="1:8" x14ac:dyDescent="0.2">
      <c r="A855" s="709">
        <f t="shared" si="163"/>
        <v>42461</v>
      </c>
      <c r="B855" s="709" t="str">
        <f t="shared" si="164"/>
        <v>2Q16</v>
      </c>
      <c r="C855" s="709" t="str">
        <f t="shared" si="165"/>
        <v>2Q16</v>
      </c>
      <c r="D855" s="710">
        <f t="shared" si="166"/>
        <v>42535</v>
      </c>
      <c r="E855" s="710">
        <f t="shared" si="167"/>
        <v>42475</v>
      </c>
      <c r="F855" s="712">
        <v>41.23</v>
      </c>
      <c r="G855" s="713">
        <f t="shared" si="168"/>
        <v>1.4900000000000011</v>
      </c>
    </row>
    <row r="856" spans="1:8" x14ac:dyDescent="0.2">
      <c r="A856" s="709">
        <f t="shared" si="163"/>
        <v>42461</v>
      </c>
      <c r="B856" s="709" t="str">
        <f t="shared" si="164"/>
        <v>2Q16</v>
      </c>
      <c r="C856" s="709" t="str">
        <f t="shared" si="165"/>
        <v>2Q16</v>
      </c>
      <c r="D856" s="710">
        <f t="shared" si="166"/>
        <v>42542</v>
      </c>
      <c r="E856" s="710">
        <f t="shared" si="167"/>
        <v>42482</v>
      </c>
      <c r="F856" s="712">
        <v>41.86</v>
      </c>
      <c r="G856" s="713">
        <f t="shared" si="168"/>
        <v>1.4900000000000011</v>
      </c>
    </row>
    <row r="857" spans="1:8" x14ac:dyDescent="0.2">
      <c r="A857" s="709">
        <f t="shared" si="163"/>
        <v>42461</v>
      </c>
      <c r="B857" s="709" t="str">
        <f t="shared" si="164"/>
        <v>2Q16</v>
      </c>
      <c r="C857" s="709" t="str">
        <f t="shared" si="165"/>
        <v>2Q16</v>
      </c>
      <c r="D857" s="710">
        <f t="shared" si="166"/>
        <v>42549</v>
      </c>
      <c r="E857" s="710">
        <f t="shared" si="167"/>
        <v>42489</v>
      </c>
      <c r="F857" s="712">
        <v>44.3</v>
      </c>
      <c r="G857" s="713">
        <f t="shared" si="168"/>
        <v>1.4900000000000011</v>
      </c>
    </row>
    <row r="858" spans="1:8" x14ac:dyDescent="0.2">
      <c r="A858" s="709">
        <f t="shared" si="163"/>
        <v>42491</v>
      </c>
      <c r="B858" s="709" t="str">
        <f t="shared" si="164"/>
        <v>2Q16</v>
      </c>
      <c r="C858" s="709" t="str">
        <f t="shared" si="165"/>
        <v>3Q16</v>
      </c>
      <c r="D858" s="710">
        <f t="shared" si="166"/>
        <v>42556</v>
      </c>
      <c r="E858" s="710">
        <f t="shared" si="167"/>
        <v>42496</v>
      </c>
      <c r="F858" s="712">
        <v>44.22</v>
      </c>
      <c r="G858" s="713">
        <f t="shared" si="168"/>
        <v>1.4900000000000011</v>
      </c>
    </row>
    <row r="859" spans="1:8" x14ac:dyDescent="0.2">
      <c r="A859" s="709">
        <f t="shared" si="163"/>
        <v>42491</v>
      </c>
      <c r="B859" s="709" t="str">
        <f t="shared" si="164"/>
        <v>2Q16</v>
      </c>
      <c r="C859" s="709" t="str">
        <f t="shared" si="165"/>
        <v>3Q16</v>
      </c>
      <c r="D859" s="710">
        <f t="shared" si="166"/>
        <v>42563</v>
      </c>
      <c r="E859" s="710">
        <f t="shared" si="167"/>
        <v>42503</v>
      </c>
      <c r="F859" s="712">
        <v>45.44</v>
      </c>
      <c r="G859" s="713">
        <f t="shared" si="168"/>
        <v>1.4900000000000011</v>
      </c>
    </row>
    <row r="860" spans="1:8" x14ac:dyDescent="0.2">
      <c r="A860" s="709">
        <f t="shared" si="163"/>
        <v>42491</v>
      </c>
      <c r="B860" s="709" t="str">
        <f t="shared" si="164"/>
        <v>2Q16</v>
      </c>
      <c r="C860" s="709" t="str">
        <f t="shared" si="165"/>
        <v>3Q16</v>
      </c>
      <c r="D860" s="710">
        <f t="shared" si="166"/>
        <v>42570</v>
      </c>
      <c r="E860" s="710">
        <f t="shared" si="167"/>
        <v>42510</v>
      </c>
      <c r="F860" s="712">
        <v>47.99</v>
      </c>
      <c r="G860" s="713">
        <f t="shared" si="168"/>
        <v>1.4900000000000011</v>
      </c>
    </row>
    <row r="861" spans="1:8" x14ac:dyDescent="0.2">
      <c r="A861" s="709">
        <f t="shared" si="163"/>
        <v>42491</v>
      </c>
      <c r="B861" s="709" t="str">
        <f t="shared" si="164"/>
        <v>2Q16</v>
      </c>
      <c r="C861" s="709" t="str">
        <f t="shared" si="165"/>
        <v>3Q16</v>
      </c>
      <c r="D861" s="710">
        <f t="shared" si="166"/>
        <v>42577</v>
      </c>
      <c r="E861" s="710">
        <f t="shared" si="167"/>
        <v>42517</v>
      </c>
      <c r="F861" s="712">
        <v>48.72</v>
      </c>
      <c r="G861" s="713">
        <f t="shared" si="168"/>
        <v>1.4900000000000011</v>
      </c>
    </row>
    <row r="862" spans="1:8" x14ac:dyDescent="0.2">
      <c r="A862" s="709">
        <f t="shared" si="163"/>
        <v>42522</v>
      </c>
      <c r="B862" s="709" t="str">
        <f t="shared" si="164"/>
        <v>2Q16</v>
      </c>
      <c r="C862" s="709" t="str">
        <f t="shared" si="165"/>
        <v>3Q16</v>
      </c>
      <c r="D862" s="710">
        <f t="shared" si="166"/>
        <v>42584</v>
      </c>
      <c r="E862" s="710">
        <f t="shared" si="167"/>
        <v>42524</v>
      </c>
      <c r="F862" s="712">
        <v>49</v>
      </c>
      <c r="G862" s="713">
        <f t="shared" si="168"/>
        <v>1.4900000000000011</v>
      </c>
    </row>
    <row r="863" spans="1:8" x14ac:dyDescent="0.2">
      <c r="A863" s="709">
        <f t="shared" si="163"/>
        <v>42522</v>
      </c>
      <c r="B863" s="709" t="str">
        <f t="shared" si="164"/>
        <v>2Q16</v>
      </c>
      <c r="C863" s="709" t="str">
        <f t="shared" si="165"/>
        <v>3Q16</v>
      </c>
      <c r="D863" s="710">
        <f t="shared" si="166"/>
        <v>42591</v>
      </c>
      <c r="E863" s="710">
        <f t="shared" si="167"/>
        <v>42531</v>
      </c>
      <c r="F863" s="712">
        <v>50.18</v>
      </c>
      <c r="G863" s="713">
        <f t="shared" si="168"/>
        <v>1.4900000000000011</v>
      </c>
    </row>
    <row r="864" spans="1:8" x14ac:dyDescent="0.2">
      <c r="A864" s="709">
        <f t="shared" si="163"/>
        <v>42522</v>
      </c>
      <c r="B864" s="709" t="str">
        <f t="shared" si="164"/>
        <v>2Q16</v>
      </c>
      <c r="C864" s="709" t="str">
        <f t="shared" si="165"/>
        <v>3Q16</v>
      </c>
      <c r="D864" s="710">
        <f t="shared" si="166"/>
        <v>42598</v>
      </c>
      <c r="E864" s="710">
        <f t="shared" si="167"/>
        <v>42538</v>
      </c>
      <c r="F864" s="712">
        <v>47.89</v>
      </c>
      <c r="G864" s="713">
        <f t="shared" si="168"/>
        <v>1.4900000000000011</v>
      </c>
    </row>
    <row r="865" spans="1:7" x14ac:dyDescent="0.2">
      <c r="A865" s="709">
        <f t="shared" si="163"/>
        <v>42522</v>
      </c>
      <c r="B865" s="709" t="str">
        <f t="shared" si="164"/>
        <v>2Q16</v>
      </c>
      <c r="C865" s="709" t="str">
        <f t="shared" si="165"/>
        <v>3Q16</v>
      </c>
      <c r="D865" s="710">
        <f t="shared" si="166"/>
        <v>42605</v>
      </c>
      <c r="E865" s="710">
        <f t="shared" si="167"/>
        <v>42545</v>
      </c>
      <c r="F865" s="712">
        <v>48.71</v>
      </c>
      <c r="G865" s="713">
        <f t="shared" si="168"/>
        <v>1.4900000000000011</v>
      </c>
    </row>
    <row r="866" spans="1:7" x14ac:dyDescent="0.2">
      <c r="A866" s="709">
        <f t="shared" si="163"/>
        <v>42552</v>
      </c>
      <c r="B866" s="709" t="str">
        <f t="shared" si="164"/>
        <v>3Q16</v>
      </c>
      <c r="C866" s="709" t="str">
        <f t="shared" si="165"/>
        <v>3Q16</v>
      </c>
      <c r="D866" s="710">
        <f t="shared" si="166"/>
        <v>42612</v>
      </c>
      <c r="E866" s="710">
        <f t="shared" si="167"/>
        <v>42552</v>
      </c>
      <c r="F866" s="712">
        <v>48.17</v>
      </c>
      <c r="G866" s="713">
        <f t="shared" si="168"/>
        <v>1.4900000000000011</v>
      </c>
    </row>
    <row r="867" spans="1:7" x14ac:dyDescent="0.2">
      <c r="A867" s="709">
        <f t="shared" si="163"/>
        <v>42552</v>
      </c>
      <c r="B867" s="709" t="str">
        <f t="shared" si="164"/>
        <v>3Q16</v>
      </c>
      <c r="C867" s="709" t="str">
        <f t="shared" si="165"/>
        <v>3Q16</v>
      </c>
      <c r="D867" s="710">
        <f t="shared" si="166"/>
        <v>42619</v>
      </c>
      <c r="E867" s="710">
        <f t="shared" si="167"/>
        <v>42559</v>
      </c>
      <c r="F867" s="712">
        <v>46.17</v>
      </c>
      <c r="G867" s="713">
        <f t="shared" si="168"/>
        <v>1.4900000000000011</v>
      </c>
    </row>
    <row r="868" spans="1:7" x14ac:dyDescent="0.2">
      <c r="A868" s="709">
        <f t="shared" si="163"/>
        <v>42552</v>
      </c>
      <c r="B868" s="709" t="str">
        <f t="shared" si="164"/>
        <v>3Q16</v>
      </c>
      <c r="C868" s="709" t="str">
        <f t="shared" si="165"/>
        <v>3Q16</v>
      </c>
      <c r="D868" s="710">
        <f t="shared" si="166"/>
        <v>42626</v>
      </c>
      <c r="E868" s="710">
        <f t="shared" si="167"/>
        <v>42566</v>
      </c>
      <c r="F868" s="712">
        <v>45.6</v>
      </c>
      <c r="G868" s="713">
        <f t="shared" si="168"/>
        <v>1.4900000000000011</v>
      </c>
    </row>
    <row r="869" spans="1:7" x14ac:dyDescent="0.2">
      <c r="A869" s="709">
        <f t="shared" si="163"/>
        <v>42552</v>
      </c>
      <c r="B869" s="709" t="str">
        <f t="shared" si="164"/>
        <v>3Q16</v>
      </c>
      <c r="C869" s="709" t="str">
        <f t="shared" si="165"/>
        <v>3Q16</v>
      </c>
      <c r="D869" s="710">
        <f t="shared" si="166"/>
        <v>42633</v>
      </c>
      <c r="E869" s="710">
        <f t="shared" si="167"/>
        <v>42573</v>
      </c>
      <c r="F869" s="712">
        <v>44.44</v>
      </c>
      <c r="G869" s="713">
        <f t="shared" si="168"/>
        <v>1.4900000000000011</v>
      </c>
    </row>
    <row r="870" spans="1:7" x14ac:dyDescent="0.2">
      <c r="A870" s="709">
        <f t="shared" si="163"/>
        <v>42552</v>
      </c>
      <c r="B870" s="709" t="str">
        <f t="shared" si="164"/>
        <v>3Q16</v>
      </c>
      <c r="C870" s="709" t="str">
        <f t="shared" si="165"/>
        <v>3Q16</v>
      </c>
      <c r="D870" s="710">
        <f t="shared" si="166"/>
        <v>42640</v>
      </c>
      <c r="E870" s="710">
        <f t="shared" si="167"/>
        <v>42580</v>
      </c>
      <c r="F870" s="712">
        <v>41.83</v>
      </c>
      <c r="G870" s="713">
        <f t="shared" si="168"/>
        <v>1.4900000000000011</v>
      </c>
    </row>
    <row r="871" spans="1:7" x14ac:dyDescent="0.2">
      <c r="A871" s="709">
        <f t="shared" si="163"/>
        <v>42583</v>
      </c>
      <c r="B871" s="709" t="str">
        <f t="shared" si="164"/>
        <v>3Q16</v>
      </c>
      <c r="C871" s="709" t="str">
        <f t="shared" si="165"/>
        <v>4Q16</v>
      </c>
      <c r="D871" s="710">
        <f t="shared" si="166"/>
        <v>42647</v>
      </c>
      <c r="E871" s="710">
        <f t="shared" si="167"/>
        <v>42587</v>
      </c>
      <c r="F871" s="712">
        <v>40.82</v>
      </c>
      <c r="G871" s="713">
        <f t="shared" si="168"/>
        <v>1.4900000000000011</v>
      </c>
    </row>
    <row r="872" spans="1:7" x14ac:dyDescent="0.2">
      <c r="A872" s="709">
        <f t="shared" si="163"/>
        <v>42583</v>
      </c>
      <c r="B872" s="709" t="str">
        <f t="shared" si="164"/>
        <v>3Q16</v>
      </c>
      <c r="C872" s="709" t="str">
        <f t="shared" si="165"/>
        <v>4Q16</v>
      </c>
      <c r="D872" s="710">
        <f t="shared" si="166"/>
        <v>42654</v>
      </c>
      <c r="E872" s="710">
        <f t="shared" si="167"/>
        <v>42594</v>
      </c>
      <c r="F872" s="712">
        <v>43.11</v>
      </c>
      <c r="G872" s="713">
        <f t="shared" si="168"/>
        <v>1.4900000000000011</v>
      </c>
    </row>
    <row r="873" spans="1:7" x14ac:dyDescent="0.2">
      <c r="A873" s="709">
        <f t="shared" si="163"/>
        <v>42583</v>
      </c>
      <c r="B873" s="709" t="str">
        <f t="shared" si="164"/>
        <v>3Q16</v>
      </c>
      <c r="C873" s="709" t="str">
        <f t="shared" si="165"/>
        <v>4Q16</v>
      </c>
      <c r="D873" s="710">
        <f t="shared" si="166"/>
        <v>42661</v>
      </c>
      <c r="E873" s="710">
        <f t="shared" si="167"/>
        <v>42601</v>
      </c>
      <c r="F873" s="712">
        <v>47.16</v>
      </c>
      <c r="G873" s="713">
        <f t="shared" si="168"/>
        <v>1.4900000000000011</v>
      </c>
    </row>
    <row r="874" spans="1:7" x14ac:dyDescent="0.2">
      <c r="A874" s="709">
        <f t="shared" si="163"/>
        <v>42583</v>
      </c>
      <c r="B874" s="709" t="str">
        <f t="shared" si="164"/>
        <v>3Q16</v>
      </c>
      <c r="C874" s="709" t="str">
        <f t="shared" si="165"/>
        <v>4Q16</v>
      </c>
      <c r="D874" s="710">
        <f t="shared" si="166"/>
        <v>42668</v>
      </c>
      <c r="E874" s="710">
        <f t="shared" si="167"/>
        <v>42608</v>
      </c>
      <c r="F874" s="712">
        <v>47.05</v>
      </c>
      <c r="G874" s="713">
        <f t="shared" si="168"/>
        <v>1.4900000000000011</v>
      </c>
    </row>
    <row r="875" spans="1:7" x14ac:dyDescent="0.2">
      <c r="A875" s="709">
        <f t="shared" si="163"/>
        <v>42614</v>
      </c>
      <c r="B875" s="709" t="str">
        <f t="shared" si="164"/>
        <v>3Q16</v>
      </c>
      <c r="C875" s="709" t="str">
        <f t="shared" si="165"/>
        <v>4Q16</v>
      </c>
      <c r="D875" s="710">
        <f t="shared" si="166"/>
        <v>42675</v>
      </c>
      <c r="E875" s="710">
        <f t="shared" si="167"/>
        <v>42615</v>
      </c>
      <c r="F875" s="712">
        <v>45.11</v>
      </c>
      <c r="G875" s="713">
        <f t="shared" si="168"/>
        <v>1.4900000000000011</v>
      </c>
    </row>
    <row r="876" spans="1:7" x14ac:dyDescent="0.2">
      <c r="A876" s="709">
        <f t="shared" si="163"/>
        <v>42614</v>
      </c>
      <c r="B876" s="709" t="str">
        <f t="shared" si="164"/>
        <v>3Q16</v>
      </c>
      <c r="C876" s="709" t="str">
        <f t="shared" si="165"/>
        <v>4Q16</v>
      </c>
      <c r="D876" s="710">
        <f t="shared" si="166"/>
        <v>42682</v>
      </c>
      <c r="E876" s="710">
        <f t="shared" si="167"/>
        <v>42622</v>
      </c>
      <c r="F876" s="712">
        <v>45.96</v>
      </c>
      <c r="G876" s="713">
        <f t="shared" si="168"/>
        <v>1.4900000000000011</v>
      </c>
    </row>
    <row r="877" spans="1:7" x14ac:dyDescent="0.2">
      <c r="A877" s="709">
        <f t="shared" si="163"/>
        <v>42614</v>
      </c>
      <c r="B877" s="709" t="str">
        <f t="shared" si="164"/>
        <v>3Q16</v>
      </c>
      <c r="C877" s="709" t="str">
        <f t="shared" si="165"/>
        <v>4Q16</v>
      </c>
      <c r="D877" s="710">
        <f t="shared" si="166"/>
        <v>42689</v>
      </c>
      <c r="E877" s="710">
        <f t="shared" si="167"/>
        <v>42629</v>
      </c>
      <c r="F877" s="712">
        <v>44.34</v>
      </c>
      <c r="G877" s="713">
        <f t="shared" si="168"/>
        <v>1.4900000000000011</v>
      </c>
    </row>
    <row r="878" spans="1:7" x14ac:dyDescent="0.2">
      <c r="A878" s="709">
        <f t="shared" si="163"/>
        <v>42614</v>
      </c>
      <c r="B878" s="709" t="str">
        <f t="shared" si="164"/>
        <v>3Q16</v>
      </c>
      <c r="C878" s="709" t="str">
        <f t="shared" si="165"/>
        <v>4Q16</v>
      </c>
      <c r="D878" s="710">
        <f t="shared" si="166"/>
        <v>42696</v>
      </c>
      <c r="E878" s="710">
        <f t="shared" si="167"/>
        <v>42636</v>
      </c>
      <c r="F878" s="712">
        <v>44.59</v>
      </c>
      <c r="G878" s="713">
        <f t="shared" si="168"/>
        <v>1.4900000000000011</v>
      </c>
    </row>
    <row r="879" spans="1:7" x14ac:dyDescent="0.2">
      <c r="A879" s="709">
        <f t="shared" si="163"/>
        <v>42614</v>
      </c>
      <c r="B879" s="709" t="str">
        <f t="shared" si="164"/>
        <v>3Q16</v>
      </c>
      <c r="C879" s="709" t="str">
        <f t="shared" si="165"/>
        <v>4Q16</v>
      </c>
      <c r="D879" s="710">
        <f t="shared" si="166"/>
        <v>42703</v>
      </c>
      <c r="E879" s="710">
        <f t="shared" si="167"/>
        <v>42643</v>
      </c>
      <c r="F879" s="712">
        <v>46.55</v>
      </c>
      <c r="G879" s="713">
        <f t="shared" si="168"/>
        <v>1.4900000000000011</v>
      </c>
    </row>
    <row r="880" spans="1:7" x14ac:dyDescent="0.2">
      <c r="A880" s="709">
        <f t="shared" si="163"/>
        <v>42644</v>
      </c>
      <c r="B880" s="709" t="str">
        <f t="shared" si="164"/>
        <v>4Q16</v>
      </c>
      <c r="C880" s="709" t="str">
        <f t="shared" si="165"/>
        <v>4Q16</v>
      </c>
      <c r="D880" s="710">
        <f t="shared" si="166"/>
        <v>42710</v>
      </c>
      <c r="E880" s="710">
        <f t="shared" si="167"/>
        <v>42650</v>
      </c>
      <c r="F880" s="712">
        <v>49.48</v>
      </c>
      <c r="G880" s="713">
        <f t="shared" si="168"/>
        <v>1.4900000000000011</v>
      </c>
    </row>
    <row r="881" spans="1:7" x14ac:dyDescent="0.2">
      <c r="A881" s="709">
        <f t="shared" si="163"/>
        <v>42644</v>
      </c>
      <c r="B881" s="709" t="str">
        <f t="shared" si="164"/>
        <v>4Q16</v>
      </c>
      <c r="C881" s="709" t="str">
        <f t="shared" si="165"/>
        <v>4Q16</v>
      </c>
      <c r="D881" s="710">
        <f t="shared" si="166"/>
        <v>42717</v>
      </c>
      <c r="E881" s="710">
        <f t="shared" si="167"/>
        <v>42657</v>
      </c>
      <c r="F881" s="712">
        <v>50.29</v>
      </c>
      <c r="G881" s="713">
        <f t="shared" si="168"/>
        <v>1.4900000000000011</v>
      </c>
    </row>
    <row r="882" spans="1:7" x14ac:dyDescent="0.2">
      <c r="A882" s="709">
        <f t="shared" si="163"/>
        <v>42644</v>
      </c>
      <c r="B882" s="709" t="str">
        <f t="shared" si="164"/>
        <v>4Q16</v>
      </c>
      <c r="C882" s="709" t="str">
        <f t="shared" si="165"/>
        <v>4Q16</v>
      </c>
      <c r="D882" s="710">
        <f t="shared" si="166"/>
        <v>42724</v>
      </c>
      <c r="E882" s="710">
        <f t="shared" si="167"/>
        <v>42664</v>
      </c>
      <c r="F882" s="712">
        <v>50.56</v>
      </c>
      <c r="G882" s="713">
        <f t="shared" si="168"/>
        <v>1.4900000000000011</v>
      </c>
    </row>
    <row r="883" spans="1:7" x14ac:dyDescent="0.2">
      <c r="A883" s="709">
        <f t="shared" si="163"/>
        <v>42644</v>
      </c>
      <c r="B883" s="709" t="str">
        <f t="shared" si="164"/>
        <v>4Q16</v>
      </c>
      <c r="C883" s="709" t="str">
        <f t="shared" si="165"/>
        <v>4Q16</v>
      </c>
      <c r="D883" s="710">
        <f t="shared" si="166"/>
        <v>42731</v>
      </c>
      <c r="E883" s="710">
        <f t="shared" si="167"/>
        <v>42671</v>
      </c>
      <c r="F883" s="712">
        <v>49.36</v>
      </c>
      <c r="G883" s="713">
        <f t="shared" si="168"/>
        <v>1.4900000000000011</v>
      </c>
    </row>
    <row r="884" spans="1:7" x14ac:dyDescent="0.2">
      <c r="A884" s="709">
        <f t="shared" si="163"/>
        <v>42675</v>
      </c>
      <c r="B884" s="709" t="str">
        <f t="shared" si="164"/>
        <v>4Q16</v>
      </c>
      <c r="C884" s="709" t="str">
        <f t="shared" si="165"/>
        <v>1Q17</v>
      </c>
      <c r="D884" s="710">
        <f t="shared" ref="D884:D915" si="169">D883+7</f>
        <v>42738</v>
      </c>
      <c r="E884" s="710">
        <f t="shared" ref="E884:E915" si="170">E883+7</f>
        <v>42678</v>
      </c>
      <c r="F884" s="712">
        <v>45.51</v>
      </c>
      <c r="G884" s="713">
        <f t="shared" si="168"/>
        <v>1.4900000000000011</v>
      </c>
    </row>
    <row r="885" spans="1:7" x14ac:dyDescent="0.2">
      <c r="A885" s="709">
        <f t="shared" si="163"/>
        <v>42675</v>
      </c>
      <c r="B885" s="709" t="str">
        <f t="shared" si="164"/>
        <v>4Q16</v>
      </c>
      <c r="C885" s="709" t="str">
        <f t="shared" si="165"/>
        <v>1Q17</v>
      </c>
      <c r="D885" s="710">
        <f t="shared" si="169"/>
        <v>42745</v>
      </c>
      <c r="E885" s="710">
        <f t="shared" si="170"/>
        <v>42685</v>
      </c>
      <c r="F885" s="712">
        <v>44.61</v>
      </c>
      <c r="G885" s="713">
        <f t="shared" si="168"/>
        <v>1.4900000000000011</v>
      </c>
    </row>
    <row r="886" spans="1:7" x14ac:dyDescent="0.2">
      <c r="A886" s="709">
        <f t="shared" si="163"/>
        <v>42675</v>
      </c>
      <c r="B886" s="709" t="str">
        <f t="shared" si="164"/>
        <v>4Q16</v>
      </c>
      <c r="C886" s="709" t="str">
        <f t="shared" si="165"/>
        <v>1Q17</v>
      </c>
      <c r="D886" s="710">
        <f t="shared" si="169"/>
        <v>42752</v>
      </c>
      <c r="E886" s="710">
        <f t="shared" si="170"/>
        <v>42692</v>
      </c>
      <c r="F886" s="712">
        <v>45.15</v>
      </c>
      <c r="G886" s="713">
        <f t="shared" si="168"/>
        <v>1.4900000000000011</v>
      </c>
    </row>
    <row r="887" spans="1:7" x14ac:dyDescent="0.2">
      <c r="A887" s="709">
        <f t="shared" si="163"/>
        <v>42675</v>
      </c>
      <c r="B887" s="709" t="str">
        <f t="shared" si="164"/>
        <v>4Q16</v>
      </c>
      <c r="C887" s="709" t="str">
        <f t="shared" si="165"/>
        <v>1Q17</v>
      </c>
      <c r="D887" s="710">
        <f t="shared" si="169"/>
        <v>42759</v>
      </c>
      <c r="E887" s="710">
        <f t="shared" si="170"/>
        <v>42699</v>
      </c>
      <c r="F887" s="712">
        <v>47.25</v>
      </c>
      <c r="G887" s="713">
        <f t="shared" si="168"/>
        <v>1.4900000000000011</v>
      </c>
    </row>
    <row r="888" spans="1:7" x14ac:dyDescent="0.2">
      <c r="A888" s="709">
        <f t="shared" si="163"/>
        <v>42705</v>
      </c>
      <c r="B888" s="709" t="str">
        <f t="shared" si="164"/>
        <v>4Q16</v>
      </c>
      <c r="C888" s="709" t="str">
        <f t="shared" si="165"/>
        <v>1Q17</v>
      </c>
      <c r="D888" s="710">
        <f t="shared" si="169"/>
        <v>42766</v>
      </c>
      <c r="E888" s="710">
        <f t="shared" si="170"/>
        <v>42706</v>
      </c>
      <c r="F888" s="712">
        <v>48.63</v>
      </c>
      <c r="G888" s="713">
        <f t="shared" si="168"/>
        <v>1.4900000000000011</v>
      </c>
    </row>
    <row r="889" spans="1:7" x14ac:dyDescent="0.2">
      <c r="A889" s="709">
        <f t="shared" si="163"/>
        <v>42705</v>
      </c>
      <c r="B889" s="709" t="str">
        <f t="shared" si="164"/>
        <v>4Q16</v>
      </c>
      <c r="C889" s="709" t="str">
        <f t="shared" si="165"/>
        <v>1Q17</v>
      </c>
      <c r="D889" s="710">
        <f t="shared" si="169"/>
        <v>42773</v>
      </c>
      <c r="E889" s="710">
        <f t="shared" si="170"/>
        <v>42713</v>
      </c>
      <c r="F889" s="712">
        <v>50.97</v>
      </c>
      <c r="G889" s="713">
        <f t="shared" si="168"/>
        <v>1.4900000000000011</v>
      </c>
    </row>
    <row r="890" spans="1:7" x14ac:dyDescent="0.2">
      <c r="A890" s="709">
        <f t="shared" si="163"/>
        <v>42705</v>
      </c>
      <c r="B890" s="709" t="str">
        <f t="shared" si="164"/>
        <v>4Q16</v>
      </c>
      <c r="C890" s="709" t="str">
        <f t="shared" si="165"/>
        <v>1Q17</v>
      </c>
      <c r="D890" s="710">
        <f t="shared" si="169"/>
        <v>42780</v>
      </c>
      <c r="E890" s="710">
        <f t="shared" si="170"/>
        <v>42720</v>
      </c>
      <c r="F890" s="712">
        <v>51.91</v>
      </c>
      <c r="G890" s="713">
        <f t="shared" si="168"/>
        <v>1.4900000000000011</v>
      </c>
    </row>
    <row r="891" spans="1:7" x14ac:dyDescent="0.2">
      <c r="A891" s="709">
        <f t="shared" si="163"/>
        <v>42705</v>
      </c>
      <c r="B891" s="709" t="str">
        <f t="shared" si="164"/>
        <v>4Q16</v>
      </c>
      <c r="C891" s="709" t="str">
        <f t="shared" si="165"/>
        <v>1Q17</v>
      </c>
      <c r="D891" s="710">
        <f t="shared" si="169"/>
        <v>42787</v>
      </c>
      <c r="E891" s="710">
        <f t="shared" si="170"/>
        <v>42727</v>
      </c>
      <c r="F891" s="712">
        <v>51.95</v>
      </c>
      <c r="G891" s="713">
        <f t="shared" si="168"/>
        <v>1.4900000000000011</v>
      </c>
    </row>
    <row r="892" spans="1:7" x14ac:dyDescent="0.2">
      <c r="A892" s="709">
        <f t="shared" si="163"/>
        <v>42705</v>
      </c>
      <c r="B892" s="709" t="str">
        <f t="shared" si="164"/>
        <v>4Q16</v>
      </c>
      <c r="C892" s="709" t="str">
        <f t="shared" si="165"/>
        <v>1Q17</v>
      </c>
      <c r="D892" s="710">
        <f t="shared" si="169"/>
        <v>42794</v>
      </c>
      <c r="E892" s="710">
        <f t="shared" si="170"/>
        <v>42734</v>
      </c>
      <c r="F892" s="712">
        <v>53.6</v>
      </c>
      <c r="G892" s="713">
        <f t="shared" si="168"/>
        <v>1.4900000000000011</v>
      </c>
    </row>
    <row r="893" spans="1:7" x14ac:dyDescent="0.2">
      <c r="A893" s="709">
        <f t="shared" si="163"/>
        <v>42736</v>
      </c>
      <c r="B893" s="709" t="str">
        <f t="shared" si="164"/>
        <v>1Q17</v>
      </c>
      <c r="C893" s="709" t="str">
        <f t="shared" si="165"/>
        <v>1Q17</v>
      </c>
      <c r="D893" s="710">
        <f t="shared" si="169"/>
        <v>42801</v>
      </c>
      <c r="E893" s="710">
        <f t="shared" si="170"/>
        <v>42741</v>
      </c>
      <c r="F893" s="712">
        <v>53.34</v>
      </c>
      <c r="G893" s="713">
        <f t="shared" si="168"/>
        <v>1.4900000000000011</v>
      </c>
    </row>
    <row r="894" spans="1:7" x14ac:dyDescent="0.2">
      <c r="A894" s="709">
        <f t="shared" si="163"/>
        <v>42736</v>
      </c>
      <c r="B894" s="709" t="str">
        <f t="shared" si="164"/>
        <v>1Q17</v>
      </c>
      <c r="C894" s="709" t="str">
        <f t="shared" si="165"/>
        <v>1Q17</v>
      </c>
      <c r="D894" s="710">
        <f t="shared" si="169"/>
        <v>42808</v>
      </c>
      <c r="E894" s="710">
        <f t="shared" si="170"/>
        <v>42748</v>
      </c>
      <c r="F894" s="712">
        <v>52.07</v>
      </c>
      <c r="G894" s="713">
        <f t="shared" si="168"/>
        <v>1.4900000000000011</v>
      </c>
    </row>
    <row r="895" spans="1:7" x14ac:dyDescent="0.2">
      <c r="A895" s="709">
        <f t="shared" si="163"/>
        <v>42736</v>
      </c>
      <c r="B895" s="709" t="str">
        <f t="shared" si="164"/>
        <v>1Q17</v>
      </c>
      <c r="C895" s="709" t="str">
        <f t="shared" si="165"/>
        <v>1Q17</v>
      </c>
      <c r="D895" s="710">
        <f t="shared" si="169"/>
        <v>42815</v>
      </c>
      <c r="E895" s="710">
        <f t="shared" si="170"/>
        <v>42755</v>
      </c>
      <c r="F895" s="712">
        <v>51.82</v>
      </c>
      <c r="G895" s="713">
        <f t="shared" si="168"/>
        <v>1.4900000000000011</v>
      </c>
    </row>
    <row r="896" spans="1:7" x14ac:dyDescent="0.2">
      <c r="A896" s="709">
        <f t="shared" si="163"/>
        <v>42736</v>
      </c>
      <c r="B896" s="709" t="str">
        <f t="shared" si="164"/>
        <v>1Q17</v>
      </c>
      <c r="C896" s="709" t="str">
        <f t="shared" si="165"/>
        <v>1Q17</v>
      </c>
      <c r="D896" s="710">
        <f t="shared" si="169"/>
        <v>42822</v>
      </c>
      <c r="E896" s="710">
        <f t="shared" si="170"/>
        <v>42762</v>
      </c>
      <c r="F896" s="712">
        <v>52.74</v>
      </c>
      <c r="G896" s="713">
        <f t="shared" si="168"/>
        <v>1.4900000000000011</v>
      </c>
    </row>
    <row r="897" spans="1:7" x14ac:dyDescent="0.2">
      <c r="A897" s="709">
        <f t="shared" si="163"/>
        <v>42767</v>
      </c>
      <c r="B897" s="709" t="str">
        <f t="shared" si="164"/>
        <v>1Q17</v>
      </c>
      <c r="C897" s="709" t="str">
        <f t="shared" si="165"/>
        <v>2Q17</v>
      </c>
      <c r="D897" s="710">
        <f t="shared" si="169"/>
        <v>42829</v>
      </c>
      <c r="E897" s="710">
        <f t="shared" si="170"/>
        <v>42769</v>
      </c>
      <c r="F897" s="712">
        <v>53.33</v>
      </c>
      <c r="G897" s="713">
        <f t="shared" si="168"/>
        <v>1.4900000000000011</v>
      </c>
    </row>
    <row r="898" spans="1:7" x14ac:dyDescent="0.2">
      <c r="A898" s="709">
        <f t="shared" si="163"/>
        <v>42767</v>
      </c>
      <c r="B898" s="709" t="str">
        <f t="shared" si="164"/>
        <v>1Q17</v>
      </c>
      <c r="C898" s="709" t="str">
        <f t="shared" si="165"/>
        <v>2Q17</v>
      </c>
      <c r="D898" s="710">
        <f t="shared" si="169"/>
        <v>42836</v>
      </c>
      <c r="E898" s="710">
        <f t="shared" si="170"/>
        <v>42776</v>
      </c>
      <c r="F898" s="712">
        <v>52.88</v>
      </c>
      <c r="G898" s="713">
        <f t="shared" si="168"/>
        <v>1.4900000000000011</v>
      </c>
    </row>
    <row r="899" spans="1:7" x14ac:dyDescent="0.2">
      <c r="A899" s="709">
        <f t="shared" si="163"/>
        <v>42767</v>
      </c>
      <c r="B899" s="709" t="str">
        <f t="shared" si="164"/>
        <v>1Q17</v>
      </c>
      <c r="C899" s="709" t="str">
        <f t="shared" si="165"/>
        <v>2Q17</v>
      </c>
      <c r="D899" s="710">
        <f t="shared" si="169"/>
        <v>42843</v>
      </c>
      <c r="E899" s="710">
        <f t="shared" si="170"/>
        <v>42783</v>
      </c>
      <c r="F899" s="712">
        <v>53.22</v>
      </c>
      <c r="G899" s="713">
        <f t="shared" si="168"/>
        <v>1.4900000000000011</v>
      </c>
    </row>
    <row r="900" spans="1:7" x14ac:dyDescent="0.2">
      <c r="A900" s="709">
        <f t="shared" si="163"/>
        <v>42767</v>
      </c>
      <c r="B900" s="709" t="str">
        <f t="shared" si="164"/>
        <v>1Q17</v>
      </c>
      <c r="C900" s="709" t="str">
        <f t="shared" si="165"/>
        <v>2Q17</v>
      </c>
      <c r="D900" s="710">
        <f t="shared" si="169"/>
        <v>42850</v>
      </c>
      <c r="E900" s="710">
        <f t="shared" si="170"/>
        <v>42790</v>
      </c>
      <c r="F900" s="712">
        <v>54.03</v>
      </c>
      <c r="G900" s="713">
        <f t="shared" si="168"/>
        <v>1.4900000000000011</v>
      </c>
    </row>
    <row r="901" spans="1:7" x14ac:dyDescent="0.2">
      <c r="A901" s="709">
        <f t="shared" si="163"/>
        <v>42795</v>
      </c>
      <c r="B901" s="709" t="str">
        <f t="shared" si="164"/>
        <v>1Q17</v>
      </c>
      <c r="C901" s="709" t="str">
        <f t="shared" si="165"/>
        <v>2Q17</v>
      </c>
      <c r="D901" s="710">
        <f t="shared" si="169"/>
        <v>42857</v>
      </c>
      <c r="E901" s="710">
        <f t="shared" si="170"/>
        <v>42797</v>
      </c>
      <c r="F901" s="712">
        <v>53.56</v>
      </c>
      <c r="G901" s="713">
        <f t="shared" si="168"/>
        <v>1.4900000000000011</v>
      </c>
    </row>
    <row r="902" spans="1:7" x14ac:dyDescent="0.2">
      <c r="A902" s="709">
        <f t="shared" si="163"/>
        <v>42795</v>
      </c>
      <c r="B902" s="709" t="str">
        <f t="shared" si="164"/>
        <v>1Q17</v>
      </c>
      <c r="C902" s="709" t="str">
        <f t="shared" si="165"/>
        <v>2Q17</v>
      </c>
      <c r="D902" s="710">
        <f t="shared" si="169"/>
        <v>42864</v>
      </c>
      <c r="E902" s="710">
        <f t="shared" si="170"/>
        <v>42804</v>
      </c>
      <c r="F902" s="712">
        <v>50.5</v>
      </c>
      <c r="G902" s="713">
        <f t="shared" si="168"/>
        <v>1.4900000000000011</v>
      </c>
    </row>
    <row r="903" spans="1:7" x14ac:dyDescent="0.2">
      <c r="A903" s="709">
        <f t="shared" si="163"/>
        <v>42795</v>
      </c>
      <c r="B903" s="709" t="str">
        <f t="shared" si="164"/>
        <v>1Q17</v>
      </c>
      <c r="C903" s="709" t="str">
        <f t="shared" si="165"/>
        <v>2Q17</v>
      </c>
      <c r="D903" s="710">
        <f t="shared" si="169"/>
        <v>42871</v>
      </c>
      <c r="E903" s="710">
        <f t="shared" si="170"/>
        <v>42811</v>
      </c>
      <c r="F903" s="712">
        <v>48.03</v>
      </c>
      <c r="G903" s="713">
        <f t="shared" si="168"/>
        <v>1.4900000000000011</v>
      </c>
    </row>
    <row r="904" spans="1:7" x14ac:dyDescent="0.2">
      <c r="A904" s="709">
        <f t="shared" si="163"/>
        <v>42795</v>
      </c>
      <c r="B904" s="709" t="str">
        <f t="shared" si="164"/>
        <v>1Q17</v>
      </c>
      <c r="C904" s="709" t="str">
        <f t="shared" si="165"/>
        <v>2Q17</v>
      </c>
      <c r="D904" s="710">
        <f t="shared" si="169"/>
        <v>42878</v>
      </c>
      <c r="E904" s="710">
        <f t="shared" si="170"/>
        <v>42818</v>
      </c>
      <c r="F904" s="712">
        <v>47.28</v>
      </c>
      <c r="G904" s="713">
        <f t="shared" si="168"/>
        <v>1.4900000000000011</v>
      </c>
    </row>
    <row r="905" spans="1:7" x14ac:dyDescent="0.2">
      <c r="A905" s="709">
        <f t="shared" si="163"/>
        <v>42795</v>
      </c>
      <c r="B905" s="709" t="str">
        <f t="shared" si="164"/>
        <v>1Q17</v>
      </c>
      <c r="C905" s="709" t="str">
        <f t="shared" si="165"/>
        <v>2Q17</v>
      </c>
      <c r="D905" s="710">
        <f t="shared" si="169"/>
        <v>42885</v>
      </c>
      <c r="E905" s="710">
        <f t="shared" si="170"/>
        <v>42825</v>
      </c>
      <c r="F905" s="712">
        <v>49.14</v>
      </c>
      <c r="G905" s="713">
        <f t="shared" si="168"/>
        <v>1.4900000000000011</v>
      </c>
    </row>
    <row r="906" spans="1:7" x14ac:dyDescent="0.2">
      <c r="A906" s="709">
        <f t="shared" si="163"/>
        <v>42826</v>
      </c>
      <c r="B906" s="709" t="str">
        <f t="shared" si="164"/>
        <v>2Q17</v>
      </c>
      <c r="C906" s="709" t="str">
        <f t="shared" si="165"/>
        <v>2Q17</v>
      </c>
      <c r="D906" s="710">
        <f t="shared" si="169"/>
        <v>42892</v>
      </c>
      <c r="E906" s="710">
        <f t="shared" si="170"/>
        <v>42832</v>
      </c>
      <c r="F906" s="712">
        <v>51.26</v>
      </c>
      <c r="G906" s="713">
        <f t="shared" si="168"/>
        <v>1.4900000000000011</v>
      </c>
    </row>
    <row r="907" spans="1:7" x14ac:dyDescent="0.2">
      <c r="A907" s="709">
        <f t="shared" si="163"/>
        <v>42826</v>
      </c>
      <c r="B907" s="709" t="str">
        <f t="shared" si="164"/>
        <v>2Q17</v>
      </c>
      <c r="C907" s="709" t="str">
        <f t="shared" si="165"/>
        <v>2Q17</v>
      </c>
      <c r="D907" s="710">
        <f t="shared" si="169"/>
        <v>42899</v>
      </c>
      <c r="E907" s="710">
        <f t="shared" si="170"/>
        <v>42839</v>
      </c>
      <c r="F907" s="712">
        <v>53.19</v>
      </c>
      <c r="G907" s="713">
        <f t="shared" si="168"/>
        <v>1.4900000000000011</v>
      </c>
    </row>
    <row r="908" spans="1:7" x14ac:dyDescent="0.2">
      <c r="A908" s="709">
        <f t="shared" si="163"/>
        <v>42826</v>
      </c>
      <c r="B908" s="709" t="str">
        <f t="shared" si="164"/>
        <v>2Q17</v>
      </c>
      <c r="C908" s="709" t="str">
        <f t="shared" si="165"/>
        <v>2Q17</v>
      </c>
      <c r="D908" s="710">
        <f t="shared" si="169"/>
        <v>42906</v>
      </c>
      <c r="E908" s="710">
        <f t="shared" si="170"/>
        <v>42846</v>
      </c>
      <c r="F908" s="712">
        <v>51.09</v>
      </c>
      <c r="G908" s="713">
        <f t="shared" si="168"/>
        <v>1.4900000000000011</v>
      </c>
    </row>
    <row r="909" spans="1:7" x14ac:dyDescent="0.2">
      <c r="A909" s="709">
        <f t="shared" si="163"/>
        <v>42826</v>
      </c>
      <c r="B909" s="709" t="str">
        <f t="shared" si="164"/>
        <v>2Q17</v>
      </c>
      <c r="C909" s="709" t="str">
        <f t="shared" si="165"/>
        <v>2Q17</v>
      </c>
      <c r="D909" s="710">
        <f t="shared" si="169"/>
        <v>42913</v>
      </c>
      <c r="E909" s="710">
        <f t="shared" si="170"/>
        <v>42853</v>
      </c>
      <c r="F909" s="712">
        <v>49.12</v>
      </c>
      <c r="G909" s="713">
        <f t="shared" si="168"/>
        <v>1.4900000000000011</v>
      </c>
    </row>
    <row r="910" spans="1:7" x14ac:dyDescent="0.2">
      <c r="A910" s="709">
        <f t="shared" si="163"/>
        <v>42856</v>
      </c>
      <c r="B910" s="709" t="str">
        <f t="shared" si="164"/>
        <v>2Q17</v>
      </c>
      <c r="C910" s="709" t="str">
        <f t="shared" si="165"/>
        <v>3Q17</v>
      </c>
      <c r="D910" s="710">
        <f t="shared" si="169"/>
        <v>42920</v>
      </c>
      <c r="E910" s="710">
        <f t="shared" si="170"/>
        <v>42860</v>
      </c>
      <c r="F910" s="712">
        <v>47.21</v>
      </c>
      <c r="G910" s="713">
        <f t="shared" si="168"/>
        <v>1.4900000000000011</v>
      </c>
    </row>
    <row r="911" spans="1:7" x14ac:dyDescent="0.2">
      <c r="A911" s="709">
        <f t="shared" si="163"/>
        <v>42856</v>
      </c>
      <c r="B911" s="709" t="str">
        <f t="shared" si="164"/>
        <v>2Q17</v>
      </c>
      <c r="C911" s="709" t="str">
        <f t="shared" si="165"/>
        <v>3Q17</v>
      </c>
      <c r="D911" s="710">
        <f t="shared" si="169"/>
        <v>42927</v>
      </c>
      <c r="E911" s="710">
        <f t="shared" si="170"/>
        <v>42867</v>
      </c>
      <c r="F911" s="712">
        <v>47.04</v>
      </c>
      <c r="G911" s="713">
        <f t="shared" si="168"/>
        <v>1.4900000000000011</v>
      </c>
    </row>
    <row r="912" spans="1:7" x14ac:dyDescent="0.2">
      <c r="A912" s="709">
        <f t="shared" si="163"/>
        <v>42856</v>
      </c>
      <c r="B912" s="709" t="str">
        <f t="shared" si="164"/>
        <v>2Q17</v>
      </c>
      <c r="C912" s="709" t="str">
        <f t="shared" si="165"/>
        <v>3Q17</v>
      </c>
      <c r="D912" s="710">
        <f t="shared" si="169"/>
        <v>42934</v>
      </c>
      <c r="E912" s="710">
        <f t="shared" si="170"/>
        <v>42874</v>
      </c>
      <c r="F912" s="712">
        <v>49.24</v>
      </c>
      <c r="G912" s="713">
        <f t="shared" si="168"/>
        <v>1.4900000000000011</v>
      </c>
    </row>
    <row r="913" spans="1:7" x14ac:dyDescent="0.2">
      <c r="A913" s="709">
        <f t="shared" si="163"/>
        <v>42856</v>
      </c>
      <c r="B913" s="709" t="str">
        <f t="shared" si="164"/>
        <v>2Q17</v>
      </c>
      <c r="C913" s="709" t="str">
        <f t="shared" si="165"/>
        <v>3Q17</v>
      </c>
      <c r="D913" s="710">
        <f t="shared" si="169"/>
        <v>42941</v>
      </c>
      <c r="E913" s="710">
        <f t="shared" si="170"/>
        <v>42881</v>
      </c>
      <c r="F913" s="712">
        <v>50.21</v>
      </c>
      <c r="G913" s="713">
        <f t="shared" si="168"/>
        <v>1.4900000000000011</v>
      </c>
    </row>
    <row r="914" spans="1:7" x14ac:dyDescent="0.2">
      <c r="A914" s="709">
        <f t="shared" si="163"/>
        <v>42887</v>
      </c>
      <c r="B914" s="709" t="str">
        <f t="shared" si="164"/>
        <v>2Q17</v>
      </c>
      <c r="C914" s="709" t="str">
        <f t="shared" si="165"/>
        <v>3Q17</v>
      </c>
      <c r="D914" s="710">
        <f t="shared" si="169"/>
        <v>42948</v>
      </c>
      <c r="E914" s="710">
        <f t="shared" si="170"/>
        <v>42888</v>
      </c>
      <c r="F914" s="712">
        <v>48.48</v>
      </c>
      <c r="G914" s="713">
        <f t="shared" si="168"/>
        <v>1.4900000000000011</v>
      </c>
    </row>
    <row r="915" spans="1:7" x14ac:dyDescent="0.2">
      <c r="A915" s="709">
        <f t="shared" si="163"/>
        <v>42887</v>
      </c>
      <c r="B915" s="709" t="str">
        <f t="shared" si="164"/>
        <v>2Q17</v>
      </c>
      <c r="C915" s="709" t="str">
        <f t="shared" si="165"/>
        <v>3Q17</v>
      </c>
      <c r="D915" s="710">
        <f t="shared" si="169"/>
        <v>42955</v>
      </c>
      <c r="E915" s="710">
        <f t="shared" si="170"/>
        <v>42895</v>
      </c>
      <c r="F915" s="712">
        <v>46.57</v>
      </c>
      <c r="G915" s="713">
        <f t="shared" si="168"/>
        <v>1.4900000000000011</v>
      </c>
    </row>
    <row r="916" spans="1:7" x14ac:dyDescent="0.2">
      <c r="A916" s="709">
        <f t="shared" ref="A916:A935" si="171">DATE(YEAR(E916),MONTH(E916),1)</f>
        <v>42887</v>
      </c>
      <c r="B916" s="709" t="str">
        <f t="shared" ref="B916:B935" si="172">VLOOKUP(MONTH(A916),$N$4:$O$16,2,FALSE) &amp; "Q" &amp; RIGHT(YEAR(A916),2)</f>
        <v>2Q17</v>
      </c>
      <c r="C916" s="709" t="str">
        <f t="shared" ref="C916:C935" si="173">VLOOKUP(MONTH(D916),$N$4:$O$16,2,FALSE) &amp; "Q" &amp; RIGHT(YEAR(D916),2)</f>
        <v>3Q17</v>
      </c>
      <c r="D916" s="710">
        <f t="shared" ref="D916:D979" si="174">D915+7</f>
        <v>42962</v>
      </c>
      <c r="E916" s="710">
        <f t="shared" ref="E916:E979" si="175">E915+7</f>
        <v>42902</v>
      </c>
      <c r="F916" s="712">
        <v>45.3</v>
      </c>
      <c r="G916" s="713">
        <f t="shared" ref="G916:G935" si="176">INDEX($I$4:$K$153,MATCH(F916,$I$4:$I$153,1),3)</f>
        <v>1.4900000000000011</v>
      </c>
    </row>
    <row r="917" spans="1:7" x14ac:dyDescent="0.2">
      <c r="A917" s="709">
        <f t="shared" si="171"/>
        <v>42887</v>
      </c>
      <c r="B917" s="709" t="str">
        <f t="shared" si="172"/>
        <v>2Q17</v>
      </c>
      <c r="C917" s="709" t="str">
        <f t="shared" si="173"/>
        <v>3Q17</v>
      </c>
      <c r="D917" s="710">
        <f t="shared" si="174"/>
        <v>42969</v>
      </c>
      <c r="E917" s="710">
        <f t="shared" si="175"/>
        <v>42909</v>
      </c>
      <c r="F917" s="712">
        <v>43.09</v>
      </c>
      <c r="G917" s="713">
        <f t="shared" si="176"/>
        <v>1.4900000000000011</v>
      </c>
    </row>
    <row r="918" spans="1:7" x14ac:dyDescent="0.2">
      <c r="A918" s="709">
        <f t="shared" si="171"/>
        <v>42887</v>
      </c>
      <c r="B918" s="709" t="str">
        <f t="shared" si="172"/>
        <v>2Q17</v>
      </c>
      <c r="C918" s="709" t="str">
        <f t="shared" si="173"/>
        <v>3Q17</v>
      </c>
      <c r="D918" s="710">
        <f t="shared" si="174"/>
        <v>42976</v>
      </c>
      <c r="E918" s="710">
        <f t="shared" si="175"/>
        <v>42916</v>
      </c>
      <c r="F918" s="712">
        <v>44.63</v>
      </c>
      <c r="G918" s="713">
        <f t="shared" si="176"/>
        <v>1.4900000000000011</v>
      </c>
    </row>
    <row r="919" spans="1:7" x14ac:dyDescent="0.2">
      <c r="A919" s="709">
        <f t="shared" si="171"/>
        <v>42917</v>
      </c>
      <c r="B919" s="709" t="str">
        <f t="shared" si="172"/>
        <v>3Q17</v>
      </c>
      <c r="C919" s="709" t="str">
        <f t="shared" si="173"/>
        <v>3Q17</v>
      </c>
      <c r="D919" s="710">
        <f t="shared" si="174"/>
        <v>42983</v>
      </c>
      <c r="E919" s="710">
        <f t="shared" si="175"/>
        <v>42923</v>
      </c>
      <c r="F919" s="712">
        <v>44.96</v>
      </c>
      <c r="G919" s="713">
        <f t="shared" si="176"/>
        <v>1.4900000000000011</v>
      </c>
    </row>
    <row r="920" spans="1:7" x14ac:dyDescent="0.2">
      <c r="A920" s="709">
        <f t="shared" si="171"/>
        <v>42917</v>
      </c>
      <c r="B920" s="709" t="str">
        <f t="shared" si="172"/>
        <v>3Q17</v>
      </c>
      <c r="C920" s="709" t="str">
        <f t="shared" si="173"/>
        <v>3Q17</v>
      </c>
      <c r="D920" s="710">
        <f t="shared" si="174"/>
        <v>42990</v>
      </c>
      <c r="E920" s="710">
        <f t="shared" si="175"/>
        <v>42930</v>
      </c>
      <c r="F920" s="712">
        <v>45.51</v>
      </c>
      <c r="G920" s="713">
        <f t="shared" si="176"/>
        <v>1.4900000000000011</v>
      </c>
    </row>
    <row r="921" spans="1:7" x14ac:dyDescent="0.2">
      <c r="A921" s="709">
        <f t="shared" si="171"/>
        <v>42917</v>
      </c>
      <c r="B921" s="709" t="str">
        <f t="shared" si="172"/>
        <v>3Q17</v>
      </c>
      <c r="C921" s="709" t="str">
        <f t="shared" si="173"/>
        <v>3Q17</v>
      </c>
      <c r="D921" s="710">
        <f t="shared" si="174"/>
        <v>42997</v>
      </c>
      <c r="E921" s="710">
        <f t="shared" si="175"/>
        <v>42937</v>
      </c>
      <c r="F921" s="712">
        <v>46.41</v>
      </c>
      <c r="G921" s="713">
        <f t="shared" si="176"/>
        <v>1.4900000000000011</v>
      </c>
    </row>
    <row r="922" spans="1:7" x14ac:dyDescent="0.2">
      <c r="A922" s="709">
        <f t="shared" si="171"/>
        <v>42917</v>
      </c>
      <c r="B922" s="709" t="str">
        <f t="shared" si="172"/>
        <v>3Q17</v>
      </c>
      <c r="C922" s="709" t="str">
        <f t="shared" si="173"/>
        <v>3Q17</v>
      </c>
      <c r="D922" s="710">
        <f t="shared" si="174"/>
        <v>43004</v>
      </c>
      <c r="E922" s="710">
        <f t="shared" si="175"/>
        <v>42944</v>
      </c>
      <c r="F922" s="712">
        <v>48.27</v>
      </c>
      <c r="G922" s="713">
        <f t="shared" si="176"/>
        <v>1.4900000000000011</v>
      </c>
    </row>
    <row r="923" spans="1:7" x14ac:dyDescent="0.2">
      <c r="A923" s="709">
        <f t="shared" si="171"/>
        <v>42948</v>
      </c>
      <c r="B923" s="709" t="str">
        <f t="shared" si="172"/>
        <v>3Q17</v>
      </c>
      <c r="C923" s="709" t="str">
        <f t="shared" si="173"/>
        <v>4Q17</v>
      </c>
      <c r="D923" s="710">
        <f t="shared" si="174"/>
        <v>43011</v>
      </c>
      <c r="E923" s="710">
        <f t="shared" si="175"/>
        <v>42951</v>
      </c>
      <c r="F923" s="712">
        <v>49.52</v>
      </c>
      <c r="G923" s="713">
        <f t="shared" si="176"/>
        <v>1.4900000000000011</v>
      </c>
    </row>
    <row r="924" spans="1:7" x14ac:dyDescent="0.2">
      <c r="A924" s="709">
        <f t="shared" si="171"/>
        <v>42948</v>
      </c>
      <c r="B924" s="709" t="str">
        <f t="shared" si="172"/>
        <v>3Q17</v>
      </c>
      <c r="C924" s="709" t="str">
        <f t="shared" si="173"/>
        <v>4Q17</v>
      </c>
      <c r="D924" s="710">
        <f t="shared" si="174"/>
        <v>43018</v>
      </c>
      <c r="E924" s="710">
        <f t="shared" si="175"/>
        <v>42958</v>
      </c>
      <c r="F924" s="712">
        <v>49.08</v>
      </c>
      <c r="G924" s="713">
        <f t="shared" si="176"/>
        <v>1.4900000000000011</v>
      </c>
    </row>
    <row r="925" spans="1:7" x14ac:dyDescent="0.2">
      <c r="A925" s="709">
        <f t="shared" si="171"/>
        <v>42948</v>
      </c>
      <c r="B925" s="709" t="str">
        <f t="shared" si="172"/>
        <v>3Q17</v>
      </c>
      <c r="C925" s="709" t="str">
        <f t="shared" si="173"/>
        <v>4Q17</v>
      </c>
      <c r="D925" s="710">
        <f t="shared" si="174"/>
        <v>43025</v>
      </c>
      <c r="E925" s="710">
        <f t="shared" si="175"/>
        <v>42965</v>
      </c>
      <c r="F925" s="712">
        <v>47.52</v>
      </c>
      <c r="G925" s="713">
        <f t="shared" si="176"/>
        <v>1.4900000000000011</v>
      </c>
    </row>
    <row r="926" spans="1:7" x14ac:dyDescent="0.2">
      <c r="A926" s="709">
        <f t="shared" si="171"/>
        <v>42948</v>
      </c>
      <c r="B926" s="709" t="str">
        <f t="shared" si="172"/>
        <v>3Q17</v>
      </c>
      <c r="C926" s="709" t="str">
        <f t="shared" si="173"/>
        <v>4Q17</v>
      </c>
      <c r="D926" s="710">
        <f t="shared" si="174"/>
        <v>43032</v>
      </c>
      <c r="E926" s="710">
        <f t="shared" si="175"/>
        <v>42972</v>
      </c>
      <c r="F926" s="712">
        <v>47.68</v>
      </c>
      <c r="G926" s="713">
        <f t="shared" si="176"/>
        <v>1.4900000000000011</v>
      </c>
    </row>
    <row r="927" spans="1:7" x14ac:dyDescent="0.2">
      <c r="A927" s="709">
        <f t="shared" si="171"/>
        <v>42979</v>
      </c>
      <c r="B927" s="709" t="str">
        <f t="shared" si="172"/>
        <v>3Q17</v>
      </c>
      <c r="C927" s="709" t="str">
        <f t="shared" si="173"/>
        <v>4Q17</v>
      </c>
      <c r="D927" s="710">
        <f t="shared" si="174"/>
        <v>43039</v>
      </c>
      <c r="E927" s="710">
        <f t="shared" si="175"/>
        <v>42979</v>
      </c>
      <c r="F927" s="712">
        <v>46.68</v>
      </c>
      <c r="G927" s="713">
        <f t="shared" si="176"/>
        <v>1.4900000000000011</v>
      </c>
    </row>
    <row r="928" spans="1:7" x14ac:dyDescent="0.2">
      <c r="A928" s="709">
        <f t="shared" si="171"/>
        <v>42979</v>
      </c>
      <c r="B928" s="709" t="str">
        <f t="shared" si="172"/>
        <v>3Q17</v>
      </c>
      <c r="C928" s="709" t="str">
        <f t="shared" si="173"/>
        <v>4Q17</v>
      </c>
      <c r="D928" s="710">
        <f t="shared" si="174"/>
        <v>43046</v>
      </c>
      <c r="E928" s="710">
        <f t="shared" si="175"/>
        <v>42986</v>
      </c>
      <c r="F928" s="712">
        <v>48.58</v>
      </c>
      <c r="G928" s="713">
        <f t="shared" si="176"/>
        <v>1.4900000000000011</v>
      </c>
    </row>
    <row r="929" spans="1:7" x14ac:dyDescent="0.2">
      <c r="A929" s="709">
        <f t="shared" si="171"/>
        <v>42979</v>
      </c>
      <c r="B929" s="709" t="str">
        <f t="shared" si="172"/>
        <v>3Q17</v>
      </c>
      <c r="C929" s="709" t="str">
        <f t="shared" si="173"/>
        <v>4Q17</v>
      </c>
      <c r="D929" s="710">
        <f t="shared" si="174"/>
        <v>43053</v>
      </c>
      <c r="E929" s="710">
        <f t="shared" si="175"/>
        <v>42993</v>
      </c>
      <c r="F929" s="712">
        <v>49.07</v>
      </c>
      <c r="G929" s="713">
        <f t="shared" si="176"/>
        <v>1.4900000000000011</v>
      </c>
    </row>
    <row r="930" spans="1:7" x14ac:dyDescent="0.2">
      <c r="A930" s="709">
        <f t="shared" si="171"/>
        <v>42979</v>
      </c>
      <c r="B930" s="709" t="str">
        <f t="shared" si="172"/>
        <v>3Q17</v>
      </c>
      <c r="C930" s="709" t="str">
        <f t="shared" si="173"/>
        <v>4Q17</v>
      </c>
      <c r="D930" s="710">
        <f t="shared" si="174"/>
        <v>43060</v>
      </c>
      <c r="E930" s="710">
        <f t="shared" si="175"/>
        <v>43000</v>
      </c>
      <c r="F930" s="712">
        <v>50.12</v>
      </c>
      <c r="G930" s="713">
        <f t="shared" si="176"/>
        <v>1.4900000000000011</v>
      </c>
    </row>
    <row r="931" spans="1:7" x14ac:dyDescent="0.2">
      <c r="A931" s="709">
        <f t="shared" si="171"/>
        <v>42979</v>
      </c>
      <c r="B931" s="709" t="str">
        <f t="shared" si="172"/>
        <v>3Q17</v>
      </c>
      <c r="C931" s="709" t="str">
        <f t="shared" si="173"/>
        <v>4Q17</v>
      </c>
      <c r="D931" s="710">
        <f t="shared" si="174"/>
        <v>43067</v>
      </c>
      <c r="E931" s="710">
        <f t="shared" si="175"/>
        <v>43007</v>
      </c>
      <c r="F931" s="712">
        <v>51.77</v>
      </c>
      <c r="G931" s="713">
        <f t="shared" si="176"/>
        <v>1.4900000000000011</v>
      </c>
    </row>
    <row r="932" spans="1:7" x14ac:dyDescent="0.2">
      <c r="A932" s="709">
        <f t="shared" si="171"/>
        <v>43009</v>
      </c>
      <c r="B932" s="709" t="str">
        <f t="shared" si="172"/>
        <v>4Q17</v>
      </c>
      <c r="C932" s="709" t="str">
        <f t="shared" si="173"/>
        <v>4Q17</v>
      </c>
      <c r="D932" s="710">
        <f t="shared" si="174"/>
        <v>43074</v>
      </c>
      <c r="E932" s="710">
        <f t="shared" si="175"/>
        <v>43014</v>
      </c>
      <c r="F932" s="712">
        <v>50.23</v>
      </c>
      <c r="G932" s="713">
        <f t="shared" si="176"/>
        <v>1.4900000000000011</v>
      </c>
    </row>
    <row r="933" spans="1:7" x14ac:dyDescent="0.2">
      <c r="A933" s="709">
        <f t="shared" si="171"/>
        <v>43009</v>
      </c>
      <c r="B933" s="709" t="str">
        <f t="shared" si="172"/>
        <v>4Q17</v>
      </c>
      <c r="C933" s="709" t="str">
        <f t="shared" si="173"/>
        <v>4Q17</v>
      </c>
      <c r="D933" s="710">
        <f t="shared" si="174"/>
        <v>43081</v>
      </c>
      <c r="E933" s="710">
        <f t="shared" si="175"/>
        <v>43021</v>
      </c>
      <c r="F933" s="712">
        <v>50.77</v>
      </c>
      <c r="G933" s="713">
        <f t="shared" si="176"/>
        <v>1.4900000000000011</v>
      </c>
    </row>
    <row r="934" spans="1:7" x14ac:dyDescent="0.2">
      <c r="A934" s="709">
        <f t="shared" si="171"/>
        <v>43009</v>
      </c>
      <c r="B934" s="709" t="str">
        <f t="shared" si="172"/>
        <v>4Q17</v>
      </c>
      <c r="C934" s="709" t="str">
        <f t="shared" si="173"/>
        <v>4Q17</v>
      </c>
      <c r="D934" s="710">
        <f t="shared" si="174"/>
        <v>43088</v>
      </c>
      <c r="E934" s="710">
        <f t="shared" si="175"/>
        <v>43028</v>
      </c>
      <c r="F934" s="712">
        <v>51.74</v>
      </c>
      <c r="G934" s="713">
        <f t="shared" si="176"/>
        <v>1.4900000000000011</v>
      </c>
    </row>
    <row r="935" spans="1:7" x14ac:dyDescent="0.2">
      <c r="A935" s="709">
        <f t="shared" si="171"/>
        <v>43009</v>
      </c>
      <c r="B935" s="709" t="str">
        <f t="shared" si="172"/>
        <v>4Q17</v>
      </c>
      <c r="C935" s="709" t="str">
        <f t="shared" si="173"/>
        <v>4Q17</v>
      </c>
      <c r="D935" s="710">
        <f t="shared" si="174"/>
        <v>43095</v>
      </c>
      <c r="E935" s="710">
        <f t="shared" si="175"/>
        <v>43035</v>
      </c>
      <c r="F935" s="712">
        <v>52.51</v>
      </c>
      <c r="G935" s="713">
        <f t="shared" si="176"/>
        <v>1.4900000000000011</v>
      </c>
    </row>
    <row r="936" spans="1:7" x14ac:dyDescent="0.2">
      <c r="A936" s="709">
        <f t="shared" ref="A936:A994" si="177">DATE(YEAR(E936),MONTH(E936),1)</f>
        <v>43040</v>
      </c>
      <c r="B936" s="709" t="str">
        <f t="shared" ref="B936:B994" si="178">VLOOKUP(MONTH(A936),$N$4:$O$16,2,FALSE) &amp; "Q" &amp; RIGHT(YEAR(A936),2)</f>
        <v>4Q17</v>
      </c>
      <c r="C936" s="709" t="str">
        <f t="shared" ref="C936:C994" si="179">VLOOKUP(MONTH(D936),$N$4:$O$16,2,FALSE) &amp; "Q" &amp; RIGHT(YEAR(D936),2)</f>
        <v>1Q18</v>
      </c>
      <c r="D936" s="710">
        <f t="shared" si="174"/>
        <v>43102</v>
      </c>
      <c r="E936" s="710">
        <f t="shared" si="175"/>
        <v>43042</v>
      </c>
      <c r="F936" s="712">
        <v>54.59</v>
      </c>
      <c r="G936" s="713">
        <f t="shared" ref="G936:G994" si="180">INDEX($I$4:$K$153,MATCH(F936,$I$4:$I$153,1),3)</f>
        <v>1.4900000000000011</v>
      </c>
    </row>
    <row r="937" spans="1:7" x14ac:dyDescent="0.2">
      <c r="A937" s="709">
        <f t="shared" si="177"/>
        <v>43040</v>
      </c>
      <c r="B937" s="709" t="str">
        <f t="shared" si="178"/>
        <v>4Q17</v>
      </c>
      <c r="C937" s="709" t="str">
        <f t="shared" si="179"/>
        <v>1Q18</v>
      </c>
      <c r="D937" s="710">
        <f t="shared" si="174"/>
        <v>43109</v>
      </c>
      <c r="E937" s="710">
        <f t="shared" si="175"/>
        <v>43049</v>
      </c>
      <c r="F937" s="712">
        <v>57.05</v>
      </c>
      <c r="G937" s="713">
        <f t="shared" si="180"/>
        <v>1.4900000000000011</v>
      </c>
    </row>
    <row r="938" spans="1:7" x14ac:dyDescent="0.2">
      <c r="A938" s="709">
        <f t="shared" si="177"/>
        <v>43040</v>
      </c>
      <c r="B938" s="709" t="str">
        <f t="shared" si="178"/>
        <v>4Q17</v>
      </c>
      <c r="C938" s="709" t="str">
        <f t="shared" si="179"/>
        <v>1Q18</v>
      </c>
      <c r="D938" s="710">
        <f t="shared" si="174"/>
        <v>43116</v>
      </c>
      <c r="E938" s="710">
        <f t="shared" si="175"/>
        <v>43056</v>
      </c>
      <c r="F938" s="712">
        <v>55.81</v>
      </c>
      <c r="G938" s="713">
        <f t="shared" si="180"/>
        <v>1.4900000000000011</v>
      </c>
    </row>
    <row r="939" spans="1:7" x14ac:dyDescent="0.2">
      <c r="A939" s="709">
        <f t="shared" si="177"/>
        <v>43040</v>
      </c>
      <c r="B939" s="709" t="str">
        <f t="shared" si="178"/>
        <v>4Q17</v>
      </c>
      <c r="C939" s="709" t="str">
        <f t="shared" si="179"/>
        <v>1Q18</v>
      </c>
      <c r="D939" s="710">
        <f t="shared" si="174"/>
        <v>43123</v>
      </c>
      <c r="E939" s="710">
        <f t="shared" si="175"/>
        <v>43063</v>
      </c>
      <c r="F939" s="712">
        <v>57.47</v>
      </c>
      <c r="G939" s="713">
        <f t="shared" si="180"/>
        <v>1.4900000000000011</v>
      </c>
    </row>
    <row r="940" spans="1:7" x14ac:dyDescent="0.2">
      <c r="A940" s="709">
        <f t="shared" si="177"/>
        <v>43070</v>
      </c>
      <c r="B940" s="709" t="str">
        <f t="shared" si="178"/>
        <v>4Q17</v>
      </c>
      <c r="C940" s="709" t="str">
        <f t="shared" si="179"/>
        <v>1Q18</v>
      </c>
      <c r="D940" s="710">
        <f t="shared" si="174"/>
        <v>43130</v>
      </c>
      <c r="E940" s="710">
        <f t="shared" si="175"/>
        <v>43070</v>
      </c>
      <c r="F940" s="712">
        <v>57.81</v>
      </c>
      <c r="G940" s="713">
        <f t="shared" si="180"/>
        <v>1.4900000000000011</v>
      </c>
    </row>
    <row r="941" spans="1:7" x14ac:dyDescent="0.2">
      <c r="A941" s="709">
        <f t="shared" si="177"/>
        <v>43070</v>
      </c>
      <c r="B941" s="709" t="str">
        <f t="shared" si="178"/>
        <v>4Q17</v>
      </c>
      <c r="C941" s="709" t="str">
        <f t="shared" si="179"/>
        <v>1Q18</v>
      </c>
      <c r="D941" s="710">
        <f t="shared" si="174"/>
        <v>43137</v>
      </c>
      <c r="E941" s="710">
        <f t="shared" si="175"/>
        <v>43077</v>
      </c>
      <c r="F941" s="712">
        <v>56.92</v>
      </c>
      <c r="G941" s="713">
        <f t="shared" si="180"/>
        <v>1.4900000000000011</v>
      </c>
    </row>
    <row r="942" spans="1:7" x14ac:dyDescent="0.2">
      <c r="A942" s="709">
        <f t="shared" si="177"/>
        <v>43070</v>
      </c>
      <c r="B942" s="709" t="str">
        <f t="shared" si="178"/>
        <v>4Q17</v>
      </c>
      <c r="C942" s="709" t="str">
        <f t="shared" si="179"/>
        <v>1Q18</v>
      </c>
      <c r="D942" s="710">
        <f t="shared" si="174"/>
        <v>43144</v>
      </c>
      <c r="E942" s="710">
        <f t="shared" si="175"/>
        <v>43084</v>
      </c>
      <c r="F942" s="712">
        <v>57.17</v>
      </c>
      <c r="G942" s="713">
        <f t="shared" si="180"/>
        <v>1.4900000000000011</v>
      </c>
    </row>
    <row r="943" spans="1:7" x14ac:dyDescent="0.2">
      <c r="A943" s="709">
        <f t="shared" si="177"/>
        <v>43070</v>
      </c>
      <c r="B943" s="709" t="str">
        <f t="shared" si="178"/>
        <v>4Q17</v>
      </c>
      <c r="C943" s="709" t="str">
        <f t="shared" si="179"/>
        <v>1Q18</v>
      </c>
      <c r="D943" s="710">
        <f t="shared" si="174"/>
        <v>43151</v>
      </c>
      <c r="E943" s="710">
        <f t="shared" si="175"/>
        <v>43091</v>
      </c>
      <c r="F943" s="712">
        <v>57.87</v>
      </c>
      <c r="G943" s="713">
        <f t="shared" si="180"/>
        <v>1.4900000000000011</v>
      </c>
    </row>
    <row r="944" spans="1:7" x14ac:dyDescent="0.2">
      <c r="A944" s="709">
        <f t="shared" si="177"/>
        <v>43070</v>
      </c>
      <c r="B944" s="709" t="str">
        <f t="shared" si="178"/>
        <v>4Q17</v>
      </c>
      <c r="C944" s="709" t="str">
        <f t="shared" si="179"/>
        <v>1Q18</v>
      </c>
      <c r="D944" s="710">
        <f t="shared" si="174"/>
        <v>43158</v>
      </c>
      <c r="E944" s="710">
        <f t="shared" si="175"/>
        <v>43098</v>
      </c>
      <c r="F944" s="712">
        <v>59.88</v>
      </c>
      <c r="G944" s="713">
        <f t="shared" si="180"/>
        <v>1.4900000000000011</v>
      </c>
    </row>
    <row r="945" spans="1:7" x14ac:dyDescent="0.2">
      <c r="A945" s="709">
        <f t="shared" si="177"/>
        <v>43101</v>
      </c>
      <c r="B945" s="709" t="str">
        <f t="shared" si="178"/>
        <v>1Q18</v>
      </c>
      <c r="C945" s="709" t="str">
        <f t="shared" si="179"/>
        <v>1Q18</v>
      </c>
      <c r="D945" s="710">
        <f t="shared" si="174"/>
        <v>43165</v>
      </c>
      <c r="E945" s="710">
        <f t="shared" si="175"/>
        <v>43105</v>
      </c>
      <c r="F945" s="712">
        <v>61.36</v>
      </c>
      <c r="G945" s="713">
        <f t="shared" si="180"/>
        <v>1.4900000000000011</v>
      </c>
    </row>
    <row r="946" spans="1:7" x14ac:dyDescent="0.2">
      <c r="A946" s="709">
        <f t="shared" si="177"/>
        <v>43101</v>
      </c>
      <c r="B946" s="709" t="str">
        <f t="shared" si="178"/>
        <v>1Q18</v>
      </c>
      <c r="C946" s="709" t="str">
        <f t="shared" si="179"/>
        <v>1Q18</v>
      </c>
      <c r="D946" s="710">
        <f t="shared" si="174"/>
        <v>43172</v>
      </c>
      <c r="E946" s="710">
        <f t="shared" si="175"/>
        <v>43112</v>
      </c>
      <c r="F946" s="712">
        <v>63.26</v>
      </c>
      <c r="G946" s="713">
        <f t="shared" si="180"/>
        <v>1.4900000000000011</v>
      </c>
    </row>
    <row r="947" spans="1:7" x14ac:dyDescent="0.2">
      <c r="A947" s="709">
        <f t="shared" si="177"/>
        <v>43101</v>
      </c>
      <c r="B947" s="709" t="str">
        <f t="shared" si="178"/>
        <v>1Q18</v>
      </c>
      <c r="C947" s="709" t="str">
        <f t="shared" si="179"/>
        <v>1Q18</v>
      </c>
      <c r="D947" s="710">
        <f t="shared" si="174"/>
        <v>43179</v>
      </c>
      <c r="E947" s="710">
        <f t="shared" si="175"/>
        <v>43119</v>
      </c>
      <c r="F947" s="712">
        <v>63.77</v>
      </c>
      <c r="G947" s="713">
        <f t="shared" si="180"/>
        <v>1.4900000000000011</v>
      </c>
    </row>
    <row r="948" spans="1:7" x14ac:dyDescent="0.2">
      <c r="A948" s="709">
        <f t="shared" si="177"/>
        <v>43101</v>
      </c>
      <c r="B948" s="709" t="str">
        <f t="shared" si="178"/>
        <v>1Q18</v>
      </c>
      <c r="C948" s="709" t="str">
        <f t="shared" si="179"/>
        <v>1Q18</v>
      </c>
      <c r="D948" s="710">
        <f t="shared" si="174"/>
        <v>43186</v>
      </c>
      <c r="E948" s="710">
        <f t="shared" si="175"/>
        <v>43126</v>
      </c>
      <c r="F948" s="712">
        <v>65.14</v>
      </c>
      <c r="G948" s="713">
        <f t="shared" si="180"/>
        <v>1.4900000000000011</v>
      </c>
    </row>
    <row r="949" spans="1:7" x14ac:dyDescent="0.2">
      <c r="A949" s="709">
        <f t="shared" si="177"/>
        <v>43132</v>
      </c>
      <c r="B949" s="709" t="str">
        <f t="shared" si="178"/>
        <v>1Q18</v>
      </c>
      <c r="C949" s="709" t="str">
        <f t="shared" si="179"/>
        <v>2Q18</v>
      </c>
      <c r="D949" s="710">
        <f t="shared" si="174"/>
        <v>43193</v>
      </c>
      <c r="E949" s="710">
        <f t="shared" si="175"/>
        <v>43133</v>
      </c>
      <c r="F949" s="712">
        <v>65.319999999999993</v>
      </c>
      <c r="G949" s="713">
        <f t="shared" si="180"/>
        <v>1.4900000000000011</v>
      </c>
    </row>
    <row r="950" spans="1:7" x14ac:dyDescent="0.2">
      <c r="A950" s="709">
        <f t="shared" si="177"/>
        <v>43132</v>
      </c>
      <c r="B950" s="709" t="str">
        <f t="shared" si="178"/>
        <v>1Q18</v>
      </c>
      <c r="C950" s="709" t="str">
        <f t="shared" si="179"/>
        <v>2Q18</v>
      </c>
      <c r="D950" s="710">
        <f t="shared" si="174"/>
        <v>43200</v>
      </c>
      <c r="E950" s="710">
        <f t="shared" si="175"/>
        <v>43140</v>
      </c>
      <c r="F950" s="712">
        <v>62.01</v>
      </c>
      <c r="G950" s="713">
        <f t="shared" si="180"/>
        <v>1.4900000000000011</v>
      </c>
    </row>
    <row r="951" spans="1:7" x14ac:dyDescent="0.2">
      <c r="A951" s="709">
        <f t="shared" si="177"/>
        <v>43132</v>
      </c>
      <c r="B951" s="709" t="str">
        <f t="shared" si="178"/>
        <v>1Q18</v>
      </c>
      <c r="C951" s="709" t="str">
        <f t="shared" si="179"/>
        <v>2Q18</v>
      </c>
      <c r="D951" s="710">
        <f t="shared" si="174"/>
        <v>43207</v>
      </c>
      <c r="E951" s="710">
        <f t="shared" si="175"/>
        <v>43147</v>
      </c>
      <c r="F951" s="712">
        <v>60.56</v>
      </c>
      <c r="G951" s="713">
        <f t="shared" si="180"/>
        <v>1.4900000000000011</v>
      </c>
    </row>
    <row r="952" spans="1:7" x14ac:dyDescent="0.2">
      <c r="A952" s="709">
        <f t="shared" si="177"/>
        <v>43132</v>
      </c>
      <c r="B952" s="709" t="str">
        <f t="shared" si="178"/>
        <v>1Q18</v>
      </c>
      <c r="C952" s="709" t="str">
        <f t="shared" si="179"/>
        <v>2Q18</v>
      </c>
      <c r="D952" s="710">
        <f t="shared" si="174"/>
        <v>43214</v>
      </c>
      <c r="E952" s="710">
        <f t="shared" si="175"/>
        <v>43154</v>
      </c>
      <c r="F952" s="712">
        <v>62.47</v>
      </c>
      <c r="G952" s="713">
        <f t="shared" si="180"/>
        <v>1.4900000000000011</v>
      </c>
    </row>
    <row r="953" spans="1:7" x14ac:dyDescent="0.2">
      <c r="A953" s="709">
        <f t="shared" si="177"/>
        <v>43160</v>
      </c>
      <c r="B953" s="709" t="str">
        <f t="shared" si="178"/>
        <v>1Q18</v>
      </c>
      <c r="C953" s="709" t="str">
        <f t="shared" si="179"/>
        <v>2Q18</v>
      </c>
      <c r="D953" s="710">
        <f t="shared" si="174"/>
        <v>43221</v>
      </c>
      <c r="E953" s="710">
        <f t="shared" si="175"/>
        <v>43161</v>
      </c>
      <c r="F953" s="712">
        <v>62.07</v>
      </c>
      <c r="G953" s="713">
        <f t="shared" si="180"/>
        <v>1.4900000000000011</v>
      </c>
    </row>
    <row r="954" spans="1:7" x14ac:dyDescent="0.2">
      <c r="A954" s="709">
        <f t="shared" si="177"/>
        <v>43160</v>
      </c>
      <c r="B954" s="709" t="str">
        <f t="shared" si="178"/>
        <v>1Q18</v>
      </c>
      <c r="C954" s="709" t="str">
        <f t="shared" si="179"/>
        <v>2Q18</v>
      </c>
      <c r="D954" s="710">
        <f t="shared" si="174"/>
        <v>43228</v>
      </c>
      <c r="E954" s="710">
        <f t="shared" si="175"/>
        <v>43168</v>
      </c>
      <c r="F954" s="712">
        <v>61.65</v>
      </c>
      <c r="G954" s="713">
        <f t="shared" si="180"/>
        <v>1.4900000000000011</v>
      </c>
    </row>
    <row r="955" spans="1:7" x14ac:dyDescent="0.2">
      <c r="A955" s="709">
        <f t="shared" si="177"/>
        <v>43160</v>
      </c>
      <c r="B955" s="709" t="str">
        <f t="shared" si="178"/>
        <v>1Q18</v>
      </c>
      <c r="C955" s="709" t="str">
        <f t="shared" si="179"/>
        <v>2Q18</v>
      </c>
      <c r="D955" s="710">
        <f t="shared" si="174"/>
        <v>43235</v>
      </c>
      <c r="E955" s="710">
        <f t="shared" si="175"/>
        <v>43175</v>
      </c>
      <c r="F955" s="712">
        <v>61.28</v>
      </c>
      <c r="G955" s="713">
        <f t="shared" si="180"/>
        <v>1.4900000000000011</v>
      </c>
    </row>
    <row r="956" spans="1:7" x14ac:dyDescent="0.2">
      <c r="A956" s="709">
        <f t="shared" si="177"/>
        <v>43160</v>
      </c>
      <c r="B956" s="709" t="str">
        <f t="shared" si="178"/>
        <v>1Q18</v>
      </c>
      <c r="C956" s="709" t="str">
        <f t="shared" si="179"/>
        <v>2Q18</v>
      </c>
      <c r="D956" s="710">
        <f t="shared" si="174"/>
        <v>43242</v>
      </c>
      <c r="E956" s="710">
        <f t="shared" si="175"/>
        <v>43182</v>
      </c>
      <c r="F956" s="712">
        <v>64.11</v>
      </c>
      <c r="G956" s="713">
        <f t="shared" si="180"/>
        <v>1.4900000000000011</v>
      </c>
    </row>
    <row r="957" spans="1:7" x14ac:dyDescent="0.2">
      <c r="A957" s="709">
        <f t="shared" si="177"/>
        <v>43160</v>
      </c>
      <c r="B957" s="709" t="str">
        <f t="shared" si="178"/>
        <v>1Q18</v>
      </c>
      <c r="C957" s="709" t="str">
        <f t="shared" si="179"/>
        <v>2Q18</v>
      </c>
      <c r="D957" s="710">
        <f t="shared" si="174"/>
        <v>43249</v>
      </c>
      <c r="E957" s="710">
        <f t="shared" si="175"/>
        <v>43189</v>
      </c>
      <c r="F957" s="712">
        <v>64.97</v>
      </c>
      <c r="G957" s="713">
        <f t="shared" si="180"/>
        <v>1.4900000000000011</v>
      </c>
    </row>
    <row r="958" spans="1:7" x14ac:dyDescent="0.2">
      <c r="A958" s="709">
        <f t="shared" si="177"/>
        <v>43191</v>
      </c>
      <c r="B958" s="709" t="str">
        <f t="shared" si="178"/>
        <v>2Q18</v>
      </c>
      <c r="C958" s="709" t="str">
        <f t="shared" si="179"/>
        <v>2Q18</v>
      </c>
      <c r="D958" s="710">
        <f t="shared" si="174"/>
        <v>43256</v>
      </c>
      <c r="E958" s="710">
        <f t="shared" si="175"/>
        <v>43196</v>
      </c>
      <c r="F958" s="712">
        <v>63.07</v>
      </c>
      <c r="G958" s="713">
        <f t="shared" si="180"/>
        <v>1.4900000000000011</v>
      </c>
    </row>
    <row r="959" spans="1:7" x14ac:dyDescent="0.2">
      <c r="A959" s="709">
        <f t="shared" si="177"/>
        <v>43191</v>
      </c>
      <c r="B959" s="709" t="str">
        <f t="shared" si="178"/>
        <v>2Q18</v>
      </c>
      <c r="C959" s="709" t="str">
        <f t="shared" si="179"/>
        <v>2Q18</v>
      </c>
      <c r="D959" s="710">
        <f t="shared" si="174"/>
        <v>43263</v>
      </c>
      <c r="E959" s="710">
        <f t="shared" si="175"/>
        <v>43203</v>
      </c>
      <c r="F959" s="712">
        <v>66.02</v>
      </c>
      <c r="G959" s="713">
        <f t="shared" si="180"/>
        <v>1.4900000000000011</v>
      </c>
    </row>
    <row r="960" spans="1:7" x14ac:dyDescent="0.2">
      <c r="A960" s="709">
        <f t="shared" si="177"/>
        <v>43191</v>
      </c>
      <c r="B960" s="709" t="str">
        <f t="shared" si="178"/>
        <v>2Q18</v>
      </c>
      <c r="C960" s="709" t="str">
        <f t="shared" si="179"/>
        <v>2Q18</v>
      </c>
      <c r="D960" s="710">
        <f t="shared" si="174"/>
        <v>43270</v>
      </c>
      <c r="E960" s="710">
        <f t="shared" si="175"/>
        <v>43210</v>
      </c>
      <c r="F960" s="712">
        <v>67.55</v>
      </c>
      <c r="G960" s="713">
        <f t="shared" si="180"/>
        <v>1.4900000000000011</v>
      </c>
    </row>
    <row r="961" spans="1:7" x14ac:dyDescent="0.2">
      <c r="A961" s="709">
        <f t="shared" si="177"/>
        <v>43191</v>
      </c>
      <c r="B961" s="709" t="str">
        <f t="shared" si="178"/>
        <v>2Q18</v>
      </c>
      <c r="C961" s="709" t="str">
        <f t="shared" si="179"/>
        <v>2Q18</v>
      </c>
      <c r="D961" s="710">
        <f t="shared" si="174"/>
        <v>43277</v>
      </c>
      <c r="E961" s="710">
        <f t="shared" si="175"/>
        <v>43217</v>
      </c>
      <c r="F961" s="724">
        <f t="shared" ref="F961:F991" si="181">F960</f>
        <v>67.55</v>
      </c>
      <c r="G961" s="713">
        <f t="shared" si="180"/>
        <v>1.4900000000000011</v>
      </c>
    </row>
    <row r="962" spans="1:7" x14ac:dyDescent="0.2">
      <c r="A962" s="709">
        <f t="shared" si="177"/>
        <v>43221</v>
      </c>
      <c r="B962" s="709" t="str">
        <f t="shared" si="178"/>
        <v>2Q18</v>
      </c>
      <c r="C962" s="709" t="str">
        <f t="shared" si="179"/>
        <v>3Q18</v>
      </c>
      <c r="D962" s="710">
        <f t="shared" si="174"/>
        <v>43284</v>
      </c>
      <c r="E962" s="710">
        <f t="shared" si="175"/>
        <v>43224</v>
      </c>
      <c r="F962" s="724">
        <f t="shared" si="181"/>
        <v>67.55</v>
      </c>
      <c r="G962" s="713">
        <f t="shared" si="180"/>
        <v>1.4900000000000011</v>
      </c>
    </row>
    <row r="963" spans="1:7" x14ac:dyDescent="0.2">
      <c r="A963" s="709">
        <f t="shared" si="177"/>
        <v>43221</v>
      </c>
      <c r="B963" s="709" t="str">
        <f t="shared" si="178"/>
        <v>2Q18</v>
      </c>
      <c r="C963" s="709" t="str">
        <f t="shared" si="179"/>
        <v>3Q18</v>
      </c>
      <c r="D963" s="710">
        <f t="shared" si="174"/>
        <v>43291</v>
      </c>
      <c r="E963" s="710">
        <f t="shared" si="175"/>
        <v>43231</v>
      </c>
      <c r="F963" s="724">
        <f t="shared" si="181"/>
        <v>67.55</v>
      </c>
      <c r="G963" s="713">
        <f t="shared" si="180"/>
        <v>1.4900000000000011</v>
      </c>
    </row>
    <row r="964" spans="1:7" x14ac:dyDescent="0.2">
      <c r="A964" s="709">
        <f t="shared" si="177"/>
        <v>43221</v>
      </c>
      <c r="B964" s="709" t="str">
        <f t="shared" si="178"/>
        <v>2Q18</v>
      </c>
      <c r="C964" s="709" t="str">
        <f t="shared" si="179"/>
        <v>3Q18</v>
      </c>
      <c r="D964" s="710">
        <f t="shared" si="174"/>
        <v>43298</v>
      </c>
      <c r="E964" s="710">
        <f t="shared" si="175"/>
        <v>43238</v>
      </c>
      <c r="F964" s="724">
        <f t="shared" si="181"/>
        <v>67.55</v>
      </c>
      <c r="G964" s="713">
        <f t="shared" si="180"/>
        <v>1.4900000000000011</v>
      </c>
    </row>
    <row r="965" spans="1:7" x14ac:dyDescent="0.2">
      <c r="A965" s="709">
        <f t="shared" si="177"/>
        <v>43221</v>
      </c>
      <c r="B965" s="709" t="str">
        <f t="shared" si="178"/>
        <v>2Q18</v>
      </c>
      <c r="C965" s="709" t="str">
        <f t="shared" si="179"/>
        <v>3Q18</v>
      </c>
      <c r="D965" s="710">
        <f t="shared" si="174"/>
        <v>43305</v>
      </c>
      <c r="E965" s="710">
        <f t="shared" si="175"/>
        <v>43245</v>
      </c>
      <c r="F965" s="724">
        <f t="shared" si="181"/>
        <v>67.55</v>
      </c>
      <c r="G965" s="713">
        <f t="shared" si="180"/>
        <v>1.4900000000000011</v>
      </c>
    </row>
    <row r="966" spans="1:7" x14ac:dyDescent="0.2">
      <c r="A966" s="709">
        <f t="shared" si="177"/>
        <v>43252</v>
      </c>
      <c r="B966" s="709" t="str">
        <f t="shared" si="178"/>
        <v>2Q18</v>
      </c>
      <c r="C966" s="709" t="str">
        <f t="shared" si="179"/>
        <v>3Q18</v>
      </c>
      <c r="D966" s="710">
        <f t="shared" si="174"/>
        <v>43312</v>
      </c>
      <c r="E966" s="710">
        <f t="shared" si="175"/>
        <v>43252</v>
      </c>
      <c r="F966" s="724">
        <f t="shared" si="181"/>
        <v>67.55</v>
      </c>
      <c r="G966" s="713">
        <f t="shared" si="180"/>
        <v>1.4900000000000011</v>
      </c>
    </row>
    <row r="967" spans="1:7" x14ac:dyDescent="0.2">
      <c r="A967" s="709">
        <f t="shared" si="177"/>
        <v>43252</v>
      </c>
      <c r="B967" s="709" t="str">
        <f t="shared" si="178"/>
        <v>2Q18</v>
      </c>
      <c r="C967" s="709" t="str">
        <f t="shared" si="179"/>
        <v>3Q18</v>
      </c>
      <c r="D967" s="710">
        <f t="shared" si="174"/>
        <v>43319</v>
      </c>
      <c r="E967" s="710">
        <f t="shared" si="175"/>
        <v>43259</v>
      </c>
      <c r="F967" s="724">
        <f t="shared" si="181"/>
        <v>67.55</v>
      </c>
      <c r="G967" s="713">
        <f t="shared" si="180"/>
        <v>1.4900000000000011</v>
      </c>
    </row>
    <row r="968" spans="1:7" x14ac:dyDescent="0.2">
      <c r="A968" s="709">
        <f t="shared" si="177"/>
        <v>43252</v>
      </c>
      <c r="B968" s="709" t="str">
        <f t="shared" si="178"/>
        <v>2Q18</v>
      </c>
      <c r="C968" s="709" t="str">
        <f t="shared" si="179"/>
        <v>3Q18</v>
      </c>
      <c r="D968" s="710">
        <f t="shared" si="174"/>
        <v>43326</v>
      </c>
      <c r="E968" s="710">
        <f t="shared" si="175"/>
        <v>43266</v>
      </c>
      <c r="F968" s="724">
        <f t="shared" si="181"/>
        <v>67.55</v>
      </c>
      <c r="G968" s="713">
        <f t="shared" si="180"/>
        <v>1.4900000000000011</v>
      </c>
    </row>
    <row r="969" spans="1:7" x14ac:dyDescent="0.2">
      <c r="A969" s="709">
        <f t="shared" si="177"/>
        <v>43252</v>
      </c>
      <c r="B969" s="709" t="str">
        <f t="shared" si="178"/>
        <v>2Q18</v>
      </c>
      <c r="C969" s="709" t="str">
        <f t="shared" si="179"/>
        <v>3Q18</v>
      </c>
      <c r="D969" s="710">
        <f t="shared" si="174"/>
        <v>43333</v>
      </c>
      <c r="E969" s="710">
        <f t="shared" si="175"/>
        <v>43273</v>
      </c>
      <c r="F969" s="724">
        <f t="shared" si="181"/>
        <v>67.55</v>
      </c>
      <c r="G969" s="713">
        <f t="shared" si="180"/>
        <v>1.4900000000000011</v>
      </c>
    </row>
    <row r="970" spans="1:7" x14ac:dyDescent="0.2">
      <c r="A970" s="709">
        <f t="shared" si="177"/>
        <v>43252</v>
      </c>
      <c r="B970" s="709" t="str">
        <f t="shared" si="178"/>
        <v>2Q18</v>
      </c>
      <c r="C970" s="709" t="str">
        <f t="shared" si="179"/>
        <v>3Q18</v>
      </c>
      <c r="D970" s="710">
        <f t="shared" si="174"/>
        <v>43340</v>
      </c>
      <c r="E970" s="710">
        <f t="shared" si="175"/>
        <v>43280</v>
      </c>
      <c r="F970" s="724">
        <f t="shared" si="181"/>
        <v>67.55</v>
      </c>
      <c r="G970" s="713">
        <f t="shared" si="180"/>
        <v>1.4900000000000011</v>
      </c>
    </row>
    <row r="971" spans="1:7" x14ac:dyDescent="0.2">
      <c r="A971" s="709">
        <f t="shared" si="177"/>
        <v>43282</v>
      </c>
      <c r="B971" s="709" t="str">
        <f t="shared" si="178"/>
        <v>3Q18</v>
      </c>
      <c r="C971" s="709" t="str">
        <f t="shared" si="179"/>
        <v>3Q18</v>
      </c>
      <c r="D971" s="710">
        <f t="shared" si="174"/>
        <v>43347</v>
      </c>
      <c r="E971" s="710">
        <f t="shared" si="175"/>
        <v>43287</v>
      </c>
      <c r="F971" s="724">
        <f t="shared" si="181"/>
        <v>67.55</v>
      </c>
      <c r="G971" s="713">
        <f t="shared" si="180"/>
        <v>1.4900000000000011</v>
      </c>
    </row>
    <row r="972" spans="1:7" x14ac:dyDescent="0.2">
      <c r="A972" s="709">
        <f t="shared" si="177"/>
        <v>43282</v>
      </c>
      <c r="B972" s="709" t="str">
        <f t="shared" si="178"/>
        <v>3Q18</v>
      </c>
      <c r="C972" s="709" t="str">
        <f t="shared" si="179"/>
        <v>3Q18</v>
      </c>
      <c r="D972" s="710">
        <f t="shared" si="174"/>
        <v>43354</v>
      </c>
      <c r="E972" s="710">
        <f t="shared" si="175"/>
        <v>43294</v>
      </c>
      <c r="F972" s="724">
        <f t="shared" si="181"/>
        <v>67.55</v>
      </c>
      <c r="G972" s="713">
        <f t="shared" si="180"/>
        <v>1.4900000000000011</v>
      </c>
    </row>
    <row r="973" spans="1:7" x14ac:dyDescent="0.2">
      <c r="A973" s="709">
        <f t="shared" si="177"/>
        <v>43282</v>
      </c>
      <c r="B973" s="709" t="str">
        <f t="shared" si="178"/>
        <v>3Q18</v>
      </c>
      <c r="C973" s="709" t="str">
        <f t="shared" si="179"/>
        <v>3Q18</v>
      </c>
      <c r="D973" s="710">
        <f t="shared" si="174"/>
        <v>43361</v>
      </c>
      <c r="E973" s="710">
        <f t="shared" si="175"/>
        <v>43301</v>
      </c>
      <c r="F973" s="724">
        <f t="shared" si="181"/>
        <v>67.55</v>
      </c>
      <c r="G973" s="713">
        <f t="shared" si="180"/>
        <v>1.4900000000000011</v>
      </c>
    </row>
    <row r="974" spans="1:7" x14ac:dyDescent="0.2">
      <c r="A974" s="709">
        <f t="shared" si="177"/>
        <v>43282</v>
      </c>
      <c r="B974" s="709" t="str">
        <f t="shared" si="178"/>
        <v>3Q18</v>
      </c>
      <c r="C974" s="709" t="str">
        <f t="shared" si="179"/>
        <v>3Q18</v>
      </c>
      <c r="D974" s="710">
        <f t="shared" si="174"/>
        <v>43368</v>
      </c>
      <c r="E974" s="710">
        <f t="shared" si="175"/>
        <v>43308</v>
      </c>
      <c r="F974" s="724">
        <f t="shared" si="181"/>
        <v>67.55</v>
      </c>
      <c r="G974" s="713">
        <f t="shared" si="180"/>
        <v>1.4900000000000011</v>
      </c>
    </row>
    <row r="975" spans="1:7" x14ac:dyDescent="0.2">
      <c r="A975" s="709">
        <f t="shared" si="177"/>
        <v>43313</v>
      </c>
      <c r="B975" s="709" t="str">
        <f t="shared" si="178"/>
        <v>3Q18</v>
      </c>
      <c r="C975" s="709" t="str">
        <f t="shared" si="179"/>
        <v>4Q18</v>
      </c>
      <c r="D975" s="710">
        <f t="shared" si="174"/>
        <v>43375</v>
      </c>
      <c r="E975" s="710">
        <f t="shared" si="175"/>
        <v>43315</v>
      </c>
      <c r="F975" s="724">
        <f t="shared" si="181"/>
        <v>67.55</v>
      </c>
      <c r="G975" s="713">
        <f t="shared" si="180"/>
        <v>1.4900000000000011</v>
      </c>
    </row>
    <row r="976" spans="1:7" x14ac:dyDescent="0.2">
      <c r="A976" s="709">
        <f t="shared" si="177"/>
        <v>43313</v>
      </c>
      <c r="B976" s="709" t="str">
        <f t="shared" si="178"/>
        <v>3Q18</v>
      </c>
      <c r="C976" s="709" t="str">
        <f t="shared" si="179"/>
        <v>4Q18</v>
      </c>
      <c r="D976" s="710">
        <f t="shared" si="174"/>
        <v>43382</v>
      </c>
      <c r="E976" s="710">
        <f t="shared" si="175"/>
        <v>43322</v>
      </c>
      <c r="F976" s="724">
        <f t="shared" si="181"/>
        <v>67.55</v>
      </c>
      <c r="G976" s="713">
        <f t="shared" si="180"/>
        <v>1.4900000000000011</v>
      </c>
    </row>
    <row r="977" spans="1:7" x14ac:dyDescent="0.2">
      <c r="A977" s="709">
        <f t="shared" si="177"/>
        <v>43313</v>
      </c>
      <c r="B977" s="709" t="str">
        <f t="shared" si="178"/>
        <v>3Q18</v>
      </c>
      <c r="C977" s="709" t="str">
        <f t="shared" si="179"/>
        <v>4Q18</v>
      </c>
      <c r="D977" s="710">
        <f t="shared" si="174"/>
        <v>43389</v>
      </c>
      <c r="E977" s="710">
        <f t="shared" si="175"/>
        <v>43329</v>
      </c>
      <c r="F977" s="724">
        <f t="shared" si="181"/>
        <v>67.55</v>
      </c>
      <c r="G977" s="713">
        <f t="shared" si="180"/>
        <v>1.4900000000000011</v>
      </c>
    </row>
    <row r="978" spans="1:7" x14ac:dyDescent="0.2">
      <c r="A978" s="709">
        <f t="shared" si="177"/>
        <v>43313</v>
      </c>
      <c r="B978" s="709" t="str">
        <f t="shared" si="178"/>
        <v>3Q18</v>
      </c>
      <c r="C978" s="709" t="str">
        <f t="shared" si="179"/>
        <v>4Q18</v>
      </c>
      <c r="D978" s="710">
        <f t="shared" si="174"/>
        <v>43396</v>
      </c>
      <c r="E978" s="710">
        <f t="shared" si="175"/>
        <v>43336</v>
      </c>
      <c r="F978" s="724">
        <f t="shared" si="181"/>
        <v>67.55</v>
      </c>
      <c r="G978" s="713">
        <f t="shared" si="180"/>
        <v>1.4900000000000011</v>
      </c>
    </row>
    <row r="979" spans="1:7" x14ac:dyDescent="0.2">
      <c r="A979" s="709">
        <f t="shared" si="177"/>
        <v>43313</v>
      </c>
      <c r="B979" s="709" t="str">
        <f t="shared" si="178"/>
        <v>3Q18</v>
      </c>
      <c r="C979" s="709" t="str">
        <f t="shared" si="179"/>
        <v>4Q18</v>
      </c>
      <c r="D979" s="710">
        <f t="shared" si="174"/>
        <v>43403</v>
      </c>
      <c r="E979" s="710">
        <f t="shared" si="175"/>
        <v>43343</v>
      </c>
      <c r="F979" s="724">
        <f t="shared" si="181"/>
        <v>67.55</v>
      </c>
      <c r="G979" s="713">
        <f t="shared" si="180"/>
        <v>1.4900000000000011</v>
      </c>
    </row>
    <row r="980" spans="1:7" x14ac:dyDescent="0.2">
      <c r="A980" s="709">
        <f t="shared" si="177"/>
        <v>43344</v>
      </c>
      <c r="B980" s="709" t="str">
        <f t="shared" si="178"/>
        <v>3Q18</v>
      </c>
      <c r="C980" s="709" t="str">
        <f t="shared" si="179"/>
        <v>4Q18</v>
      </c>
      <c r="D980" s="710">
        <f t="shared" ref="D980:E994" si="182">D979+7</f>
        <v>43410</v>
      </c>
      <c r="E980" s="710">
        <f t="shared" si="182"/>
        <v>43350</v>
      </c>
      <c r="F980" s="724">
        <f t="shared" si="181"/>
        <v>67.55</v>
      </c>
      <c r="G980" s="713">
        <f t="shared" si="180"/>
        <v>1.4900000000000011</v>
      </c>
    </row>
    <row r="981" spans="1:7" x14ac:dyDescent="0.2">
      <c r="A981" s="709">
        <f t="shared" si="177"/>
        <v>43344</v>
      </c>
      <c r="B981" s="709" t="str">
        <f t="shared" si="178"/>
        <v>3Q18</v>
      </c>
      <c r="C981" s="709" t="str">
        <f t="shared" si="179"/>
        <v>4Q18</v>
      </c>
      <c r="D981" s="710">
        <f t="shared" si="182"/>
        <v>43417</v>
      </c>
      <c r="E981" s="710">
        <f t="shared" si="182"/>
        <v>43357</v>
      </c>
      <c r="F981" s="724">
        <f t="shared" si="181"/>
        <v>67.55</v>
      </c>
      <c r="G981" s="713">
        <f t="shared" si="180"/>
        <v>1.4900000000000011</v>
      </c>
    </row>
    <row r="982" spans="1:7" x14ac:dyDescent="0.2">
      <c r="A982" s="709">
        <f t="shared" si="177"/>
        <v>43344</v>
      </c>
      <c r="B982" s="709" t="str">
        <f t="shared" si="178"/>
        <v>3Q18</v>
      </c>
      <c r="C982" s="709" t="str">
        <f t="shared" si="179"/>
        <v>4Q18</v>
      </c>
      <c r="D982" s="710">
        <f t="shared" si="182"/>
        <v>43424</v>
      </c>
      <c r="E982" s="710">
        <f t="shared" si="182"/>
        <v>43364</v>
      </c>
      <c r="F982" s="724">
        <f t="shared" si="181"/>
        <v>67.55</v>
      </c>
      <c r="G982" s="713">
        <f t="shared" si="180"/>
        <v>1.4900000000000011</v>
      </c>
    </row>
    <row r="983" spans="1:7" x14ac:dyDescent="0.2">
      <c r="A983" s="709">
        <f t="shared" si="177"/>
        <v>43344</v>
      </c>
      <c r="B983" s="709" t="str">
        <f t="shared" si="178"/>
        <v>3Q18</v>
      </c>
      <c r="C983" s="709" t="str">
        <f t="shared" si="179"/>
        <v>4Q18</v>
      </c>
      <c r="D983" s="710">
        <f t="shared" si="182"/>
        <v>43431</v>
      </c>
      <c r="E983" s="710">
        <f t="shared" si="182"/>
        <v>43371</v>
      </c>
      <c r="F983" s="724">
        <f t="shared" si="181"/>
        <v>67.55</v>
      </c>
      <c r="G983" s="713">
        <f t="shared" si="180"/>
        <v>1.4900000000000011</v>
      </c>
    </row>
    <row r="984" spans="1:7" x14ac:dyDescent="0.2">
      <c r="A984" s="709">
        <f t="shared" si="177"/>
        <v>43374</v>
      </c>
      <c r="B984" s="709" t="str">
        <f t="shared" si="178"/>
        <v>4Q18</v>
      </c>
      <c r="C984" s="709" t="str">
        <f t="shared" si="179"/>
        <v>4Q18</v>
      </c>
      <c r="D984" s="710">
        <f t="shared" si="182"/>
        <v>43438</v>
      </c>
      <c r="E984" s="710">
        <f t="shared" si="182"/>
        <v>43378</v>
      </c>
      <c r="F984" s="724">
        <f t="shared" si="181"/>
        <v>67.55</v>
      </c>
      <c r="G984" s="713">
        <f t="shared" si="180"/>
        <v>1.4900000000000011</v>
      </c>
    </row>
    <row r="985" spans="1:7" x14ac:dyDescent="0.2">
      <c r="A985" s="709">
        <f t="shared" si="177"/>
        <v>43374</v>
      </c>
      <c r="B985" s="709" t="str">
        <f t="shared" si="178"/>
        <v>4Q18</v>
      </c>
      <c r="C985" s="709" t="str">
        <f t="shared" si="179"/>
        <v>4Q18</v>
      </c>
      <c r="D985" s="710">
        <f t="shared" si="182"/>
        <v>43445</v>
      </c>
      <c r="E985" s="710">
        <f t="shared" si="182"/>
        <v>43385</v>
      </c>
      <c r="F985" s="724">
        <f t="shared" si="181"/>
        <v>67.55</v>
      </c>
      <c r="G985" s="713">
        <f t="shared" si="180"/>
        <v>1.4900000000000011</v>
      </c>
    </row>
    <row r="986" spans="1:7" x14ac:dyDescent="0.2">
      <c r="A986" s="709">
        <f t="shared" si="177"/>
        <v>43374</v>
      </c>
      <c r="B986" s="709" t="str">
        <f t="shared" si="178"/>
        <v>4Q18</v>
      </c>
      <c r="C986" s="709" t="str">
        <f t="shared" si="179"/>
        <v>4Q18</v>
      </c>
      <c r="D986" s="710">
        <f t="shared" si="182"/>
        <v>43452</v>
      </c>
      <c r="E986" s="710">
        <f t="shared" si="182"/>
        <v>43392</v>
      </c>
      <c r="F986" s="724">
        <f t="shared" si="181"/>
        <v>67.55</v>
      </c>
      <c r="G986" s="713">
        <f t="shared" si="180"/>
        <v>1.4900000000000011</v>
      </c>
    </row>
    <row r="987" spans="1:7" x14ac:dyDescent="0.2">
      <c r="A987" s="709">
        <f t="shared" si="177"/>
        <v>43374</v>
      </c>
      <c r="B987" s="709" t="str">
        <f t="shared" si="178"/>
        <v>4Q18</v>
      </c>
      <c r="C987" s="709" t="str">
        <f t="shared" si="179"/>
        <v>4Q18</v>
      </c>
      <c r="D987" s="710">
        <f t="shared" si="182"/>
        <v>43459</v>
      </c>
      <c r="E987" s="710">
        <f t="shared" si="182"/>
        <v>43399</v>
      </c>
      <c r="F987" s="724">
        <f t="shared" si="181"/>
        <v>67.55</v>
      </c>
      <c r="G987" s="713">
        <f t="shared" si="180"/>
        <v>1.4900000000000011</v>
      </c>
    </row>
    <row r="988" spans="1:7" x14ac:dyDescent="0.2">
      <c r="A988" s="709">
        <f t="shared" si="177"/>
        <v>43405</v>
      </c>
      <c r="B988" s="709" t="str">
        <f t="shared" si="178"/>
        <v>4Q18</v>
      </c>
      <c r="C988" s="709" t="str">
        <f t="shared" si="179"/>
        <v>1Q19</v>
      </c>
      <c r="D988" s="710">
        <f t="shared" si="182"/>
        <v>43466</v>
      </c>
      <c r="E988" s="710">
        <f t="shared" si="182"/>
        <v>43406</v>
      </c>
      <c r="F988" s="724">
        <f t="shared" si="181"/>
        <v>67.55</v>
      </c>
      <c r="G988" s="713">
        <f t="shared" si="180"/>
        <v>1.4900000000000011</v>
      </c>
    </row>
    <row r="989" spans="1:7" x14ac:dyDescent="0.2">
      <c r="A989" s="709">
        <f t="shared" si="177"/>
        <v>43405</v>
      </c>
      <c r="B989" s="709" t="str">
        <f t="shared" si="178"/>
        <v>4Q18</v>
      </c>
      <c r="C989" s="709" t="str">
        <f t="shared" si="179"/>
        <v>1Q19</v>
      </c>
      <c r="D989" s="710">
        <f t="shared" si="182"/>
        <v>43473</v>
      </c>
      <c r="E989" s="710">
        <f t="shared" si="182"/>
        <v>43413</v>
      </c>
      <c r="F989" s="724">
        <f t="shared" si="181"/>
        <v>67.55</v>
      </c>
      <c r="G989" s="713">
        <f t="shared" si="180"/>
        <v>1.4900000000000011</v>
      </c>
    </row>
    <row r="990" spans="1:7" x14ac:dyDescent="0.2">
      <c r="A990" s="709">
        <f t="shared" si="177"/>
        <v>43405</v>
      </c>
      <c r="B990" s="709" t="str">
        <f t="shared" si="178"/>
        <v>4Q18</v>
      </c>
      <c r="C990" s="709" t="str">
        <f t="shared" si="179"/>
        <v>1Q19</v>
      </c>
      <c r="D990" s="710">
        <f t="shared" si="182"/>
        <v>43480</v>
      </c>
      <c r="E990" s="710">
        <f t="shared" si="182"/>
        <v>43420</v>
      </c>
      <c r="F990" s="724">
        <f t="shared" si="181"/>
        <v>67.55</v>
      </c>
      <c r="G990" s="713">
        <f t="shared" si="180"/>
        <v>1.4900000000000011</v>
      </c>
    </row>
    <row r="991" spans="1:7" x14ac:dyDescent="0.2">
      <c r="A991" s="709">
        <f t="shared" si="177"/>
        <v>43405</v>
      </c>
      <c r="B991" s="709" t="str">
        <f t="shared" si="178"/>
        <v>4Q18</v>
      </c>
      <c r="C991" s="709" t="str">
        <f t="shared" si="179"/>
        <v>1Q19</v>
      </c>
      <c r="D991" s="710">
        <f t="shared" si="182"/>
        <v>43487</v>
      </c>
      <c r="E991" s="710">
        <f t="shared" si="182"/>
        <v>43427</v>
      </c>
      <c r="F991" s="724">
        <f t="shared" si="181"/>
        <v>67.55</v>
      </c>
      <c r="G991" s="713">
        <f t="shared" si="180"/>
        <v>1.4900000000000011</v>
      </c>
    </row>
    <row r="992" spans="1:7" x14ac:dyDescent="0.2">
      <c r="A992" s="709">
        <f t="shared" si="177"/>
        <v>43405</v>
      </c>
      <c r="B992" s="709" t="str">
        <f t="shared" si="178"/>
        <v>4Q18</v>
      </c>
      <c r="C992" s="709" t="str">
        <f t="shared" si="179"/>
        <v>1Q19</v>
      </c>
      <c r="D992" s="710">
        <f t="shared" si="182"/>
        <v>43494</v>
      </c>
      <c r="E992" s="710">
        <f t="shared" si="182"/>
        <v>43434</v>
      </c>
      <c r="F992" s="724">
        <f>F991</f>
        <v>67.55</v>
      </c>
      <c r="G992" s="713">
        <f t="shared" si="180"/>
        <v>1.4900000000000011</v>
      </c>
    </row>
    <row r="993" spans="1:7" x14ac:dyDescent="0.2">
      <c r="A993" s="709">
        <f t="shared" si="177"/>
        <v>43435</v>
      </c>
      <c r="B993" s="709" t="str">
        <f t="shared" si="178"/>
        <v>4Q18</v>
      </c>
      <c r="C993" s="709" t="str">
        <f t="shared" si="179"/>
        <v>1Q19</v>
      </c>
      <c r="D993" s="710">
        <f t="shared" si="182"/>
        <v>43501</v>
      </c>
      <c r="E993" s="710">
        <f t="shared" si="182"/>
        <v>43441</v>
      </c>
      <c r="F993" s="724">
        <f>F992</f>
        <v>67.55</v>
      </c>
      <c r="G993" s="713">
        <f t="shared" si="180"/>
        <v>1.4900000000000011</v>
      </c>
    </row>
    <row r="994" spans="1:7" x14ac:dyDescent="0.2">
      <c r="A994" s="709">
        <f t="shared" si="177"/>
        <v>43435</v>
      </c>
      <c r="B994" s="709" t="str">
        <f t="shared" si="178"/>
        <v>4Q18</v>
      </c>
      <c r="C994" s="709" t="str">
        <f t="shared" si="179"/>
        <v>1Q19</v>
      </c>
      <c r="D994" s="710">
        <f t="shared" si="182"/>
        <v>43508</v>
      </c>
      <c r="E994" s="710">
        <f t="shared" si="182"/>
        <v>43448</v>
      </c>
      <c r="F994" s="724">
        <f>F993</f>
        <v>67.55</v>
      </c>
      <c r="G994" s="713">
        <f t="shared" si="180"/>
        <v>1.4900000000000011</v>
      </c>
    </row>
    <row r="995" spans="1:7" x14ac:dyDescent="0.2">
      <c r="A995" s="709">
        <f>DATE(YEAR(E995),MONTH(E995),1)</f>
        <v>43435</v>
      </c>
      <c r="B995" s="709" t="str">
        <f>VLOOKUP(MONTH(A995),$N$4:$O$16,2,FALSE) &amp; "Q" &amp; RIGHT(YEAR(A995),2)</f>
        <v>4Q18</v>
      </c>
      <c r="C995" s="709" t="str">
        <f>VLOOKUP(MONTH(D995),$N$4:$O$16,2,FALSE) &amp; "Q" &amp; RIGHT(YEAR(D995),2)</f>
        <v>1Q19</v>
      </c>
      <c r="D995" s="710">
        <f>D994+7</f>
        <v>43515</v>
      </c>
      <c r="E995" s="710">
        <f>E994+7</f>
        <v>43455</v>
      </c>
      <c r="F995" s="724">
        <f>F994</f>
        <v>67.55</v>
      </c>
      <c r="G995" s="713">
        <f>INDEX($I$4:$K$153,MATCH(F995,$I$4:$I$153,1),3)</f>
        <v>1.4900000000000011</v>
      </c>
    </row>
    <row r="996" spans="1:7" x14ac:dyDescent="0.2">
      <c r="A996" s="709">
        <f>DATE(YEAR(E996),MONTH(E996),1)</f>
        <v>43435</v>
      </c>
      <c r="B996" s="709" t="str">
        <f>VLOOKUP(MONTH(A996),$N$4:$O$16,2,FALSE) &amp; "Q" &amp; RIGHT(YEAR(A996),2)</f>
        <v>4Q18</v>
      </c>
      <c r="C996" s="709" t="str">
        <f>VLOOKUP(MONTH(D996),$N$4:$O$16,2,FALSE) &amp; "Q" &amp; RIGHT(YEAR(D996),2)</f>
        <v>1Q19</v>
      </c>
      <c r="D996" s="710">
        <f>D995+7</f>
        <v>43522</v>
      </c>
      <c r="E996" s="710">
        <f>E995+7</f>
        <v>43462</v>
      </c>
      <c r="F996" s="724">
        <f>F995</f>
        <v>67.55</v>
      </c>
      <c r="G996" s="713">
        <f>INDEX($I$4:$K$153,MATCH(F996,$I$4:$I$153,1),3)</f>
        <v>1.4900000000000011</v>
      </c>
    </row>
    <row r="997" spans="1:7" x14ac:dyDescent="0.2">
      <c r="A997" s="709">
        <f t="shared" ref="A997:A1056" si="183">DATE(YEAR(E997),MONTH(E997),1)</f>
        <v>43466</v>
      </c>
      <c r="B997" s="709" t="str">
        <f t="shared" ref="B997:B1056" si="184">VLOOKUP(MONTH(A997),$N$4:$O$16,2,FALSE) &amp; "Q" &amp; RIGHT(YEAR(A997),2)</f>
        <v>1Q19</v>
      </c>
      <c r="C997" s="709" t="str">
        <f t="shared" ref="C997:C1056" si="185">VLOOKUP(MONTH(D997),$N$4:$O$16,2,FALSE) &amp; "Q" &amp; RIGHT(YEAR(D997),2)</f>
        <v>1Q19</v>
      </c>
      <c r="D997" s="710">
        <f t="shared" ref="D997:D1060" si="186">D996+7</f>
        <v>43529</v>
      </c>
      <c r="E997" s="710">
        <f t="shared" ref="E997:E1060" si="187">E996+7</f>
        <v>43469</v>
      </c>
      <c r="F997" s="724">
        <f t="shared" ref="F997:F1060" si="188">F996</f>
        <v>67.55</v>
      </c>
      <c r="G997" s="713">
        <f t="shared" ref="G997:G1056" si="189">INDEX($I$4:$K$153,MATCH(F997,$I$4:$I$153,1),3)</f>
        <v>1.4900000000000011</v>
      </c>
    </row>
    <row r="998" spans="1:7" x14ac:dyDescent="0.2">
      <c r="A998" s="709">
        <f t="shared" si="183"/>
        <v>43466</v>
      </c>
      <c r="B998" s="709" t="str">
        <f t="shared" si="184"/>
        <v>1Q19</v>
      </c>
      <c r="C998" s="709" t="str">
        <f t="shared" si="185"/>
        <v>1Q19</v>
      </c>
      <c r="D998" s="710">
        <f t="shared" si="186"/>
        <v>43536</v>
      </c>
      <c r="E998" s="710">
        <f t="shared" si="187"/>
        <v>43476</v>
      </c>
      <c r="F998" s="724">
        <f t="shared" si="188"/>
        <v>67.55</v>
      </c>
      <c r="G998" s="713">
        <f t="shared" si="189"/>
        <v>1.4900000000000011</v>
      </c>
    </row>
    <row r="999" spans="1:7" x14ac:dyDescent="0.2">
      <c r="A999" s="709">
        <f t="shared" si="183"/>
        <v>43466</v>
      </c>
      <c r="B999" s="709" t="str">
        <f t="shared" si="184"/>
        <v>1Q19</v>
      </c>
      <c r="C999" s="709" t="str">
        <f t="shared" si="185"/>
        <v>1Q19</v>
      </c>
      <c r="D999" s="710">
        <f t="shared" si="186"/>
        <v>43543</v>
      </c>
      <c r="E999" s="710">
        <f t="shared" si="187"/>
        <v>43483</v>
      </c>
      <c r="F999" s="724">
        <f t="shared" si="188"/>
        <v>67.55</v>
      </c>
      <c r="G999" s="713">
        <f t="shared" si="189"/>
        <v>1.4900000000000011</v>
      </c>
    </row>
    <row r="1000" spans="1:7" x14ac:dyDescent="0.2">
      <c r="A1000" s="709">
        <f t="shared" si="183"/>
        <v>43466</v>
      </c>
      <c r="B1000" s="709" t="str">
        <f t="shared" si="184"/>
        <v>1Q19</v>
      </c>
      <c r="C1000" s="709" t="str">
        <f t="shared" si="185"/>
        <v>1Q19</v>
      </c>
      <c r="D1000" s="710">
        <f t="shared" si="186"/>
        <v>43550</v>
      </c>
      <c r="E1000" s="710">
        <f t="shared" si="187"/>
        <v>43490</v>
      </c>
      <c r="F1000" s="724">
        <f t="shared" si="188"/>
        <v>67.55</v>
      </c>
      <c r="G1000" s="713">
        <f t="shared" si="189"/>
        <v>1.4900000000000011</v>
      </c>
    </row>
    <row r="1001" spans="1:7" x14ac:dyDescent="0.2">
      <c r="A1001" s="709">
        <f t="shared" si="183"/>
        <v>43497</v>
      </c>
      <c r="B1001" s="709" t="str">
        <f t="shared" si="184"/>
        <v>1Q19</v>
      </c>
      <c r="C1001" s="709" t="str">
        <f t="shared" si="185"/>
        <v>2Q19</v>
      </c>
      <c r="D1001" s="710">
        <f t="shared" si="186"/>
        <v>43557</v>
      </c>
      <c r="E1001" s="710">
        <f t="shared" si="187"/>
        <v>43497</v>
      </c>
      <c r="F1001" s="724">
        <f t="shared" si="188"/>
        <v>67.55</v>
      </c>
      <c r="G1001" s="713">
        <f t="shared" si="189"/>
        <v>1.4900000000000011</v>
      </c>
    </row>
    <row r="1002" spans="1:7" x14ac:dyDescent="0.2">
      <c r="A1002" s="709">
        <f t="shared" si="183"/>
        <v>43497</v>
      </c>
      <c r="B1002" s="709" t="str">
        <f t="shared" si="184"/>
        <v>1Q19</v>
      </c>
      <c r="C1002" s="709" t="str">
        <f t="shared" si="185"/>
        <v>2Q19</v>
      </c>
      <c r="D1002" s="710">
        <f t="shared" si="186"/>
        <v>43564</v>
      </c>
      <c r="E1002" s="710">
        <f t="shared" si="187"/>
        <v>43504</v>
      </c>
      <c r="F1002" s="724">
        <f t="shared" si="188"/>
        <v>67.55</v>
      </c>
      <c r="G1002" s="713">
        <f t="shared" si="189"/>
        <v>1.4900000000000011</v>
      </c>
    </row>
    <row r="1003" spans="1:7" x14ac:dyDescent="0.2">
      <c r="A1003" s="709">
        <f t="shared" si="183"/>
        <v>43497</v>
      </c>
      <c r="B1003" s="709" t="str">
        <f t="shared" si="184"/>
        <v>1Q19</v>
      </c>
      <c r="C1003" s="709" t="str">
        <f t="shared" si="185"/>
        <v>2Q19</v>
      </c>
      <c r="D1003" s="710">
        <f t="shared" si="186"/>
        <v>43571</v>
      </c>
      <c r="E1003" s="710">
        <f t="shared" si="187"/>
        <v>43511</v>
      </c>
      <c r="F1003" s="724">
        <f t="shared" si="188"/>
        <v>67.55</v>
      </c>
      <c r="G1003" s="713">
        <f t="shared" si="189"/>
        <v>1.4900000000000011</v>
      </c>
    </row>
    <row r="1004" spans="1:7" x14ac:dyDescent="0.2">
      <c r="A1004" s="709">
        <f t="shared" si="183"/>
        <v>43497</v>
      </c>
      <c r="B1004" s="709" t="str">
        <f t="shared" si="184"/>
        <v>1Q19</v>
      </c>
      <c r="C1004" s="709" t="str">
        <f t="shared" si="185"/>
        <v>2Q19</v>
      </c>
      <c r="D1004" s="710">
        <f t="shared" si="186"/>
        <v>43578</v>
      </c>
      <c r="E1004" s="710">
        <f t="shared" si="187"/>
        <v>43518</v>
      </c>
      <c r="F1004" s="724">
        <f t="shared" si="188"/>
        <v>67.55</v>
      </c>
      <c r="G1004" s="713">
        <f t="shared" si="189"/>
        <v>1.4900000000000011</v>
      </c>
    </row>
    <row r="1005" spans="1:7" x14ac:dyDescent="0.2">
      <c r="A1005" s="709">
        <f t="shared" si="183"/>
        <v>43525</v>
      </c>
      <c r="B1005" s="709" t="str">
        <f t="shared" si="184"/>
        <v>1Q19</v>
      </c>
      <c r="C1005" s="709" t="str">
        <f t="shared" si="185"/>
        <v>2Q19</v>
      </c>
      <c r="D1005" s="710">
        <f t="shared" si="186"/>
        <v>43585</v>
      </c>
      <c r="E1005" s="710">
        <f t="shared" si="187"/>
        <v>43525</v>
      </c>
      <c r="F1005" s="724">
        <f t="shared" si="188"/>
        <v>67.55</v>
      </c>
      <c r="G1005" s="713">
        <f t="shared" si="189"/>
        <v>1.4900000000000011</v>
      </c>
    </row>
    <row r="1006" spans="1:7" x14ac:dyDescent="0.2">
      <c r="A1006" s="709">
        <f t="shared" si="183"/>
        <v>43525</v>
      </c>
      <c r="B1006" s="709" t="str">
        <f t="shared" si="184"/>
        <v>1Q19</v>
      </c>
      <c r="C1006" s="709" t="str">
        <f t="shared" si="185"/>
        <v>2Q19</v>
      </c>
      <c r="D1006" s="710">
        <f t="shared" si="186"/>
        <v>43592</v>
      </c>
      <c r="E1006" s="710">
        <f t="shared" si="187"/>
        <v>43532</v>
      </c>
      <c r="F1006" s="724">
        <f t="shared" si="188"/>
        <v>67.55</v>
      </c>
      <c r="G1006" s="713">
        <f t="shared" si="189"/>
        <v>1.4900000000000011</v>
      </c>
    </row>
    <row r="1007" spans="1:7" x14ac:dyDescent="0.2">
      <c r="A1007" s="709">
        <f t="shared" si="183"/>
        <v>43525</v>
      </c>
      <c r="B1007" s="709" t="str">
        <f t="shared" si="184"/>
        <v>1Q19</v>
      </c>
      <c r="C1007" s="709" t="str">
        <f t="shared" si="185"/>
        <v>2Q19</v>
      </c>
      <c r="D1007" s="710">
        <f t="shared" si="186"/>
        <v>43599</v>
      </c>
      <c r="E1007" s="710">
        <f t="shared" si="187"/>
        <v>43539</v>
      </c>
      <c r="F1007" s="724">
        <f t="shared" si="188"/>
        <v>67.55</v>
      </c>
      <c r="G1007" s="713">
        <f t="shared" si="189"/>
        <v>1.4900000000000011</v>
      </c>
    </row>
    <row r="1008" spans="1:7" x14ac:dyDescent="0.2">
      <c r="A1008" s="709">
        <f t="shared" si="183"/>
        <v>43525</v>
      </c>
      <c r="B1008" s="709" t="str">
        <f t="shared" si="184"/>
        <v>1Q19</v>
      </c>
      <c r="C1008" s="709" t="str">
        <f t="shared" si="185"/>
        <v>2Q19</v>
      </c>
      <c r="D1008" s="710">
        <f t="shared" si="186"/>
        <v>43606</v>
      </c>
      <c r="E1008" s="710">
        <f t="shared" si="187"/>
        <v>43546</v>
      </c>
      <c r="F1008" s="724">
        <f t="shared" si="188"/>
        <v>67.55</v>
      </c>
      <c r="G1008" s="713">
        <f t="shared" si="189"/>
        <v>1.4900000000000011</v>
      </c>
    </row>
    <row r="1009" spans="1:7" x14ac:dyDescent="0.2">
      <c r="A1009" s="709">
        <f t="shared" si="183"/>
        <v>43525</v>
      </c>
      <c r="B1009" s="709" t="str">
        <f t="shared" si="184"/>
        <v>1Q19</v>
      </c>
      <c r="C1009" s="709" t="str">
        <f t="shared" si="185"/>
        <v>2Q19</v>
      </c>
      <c r="D1009" s="710">
        <f t="shared" si="186"/>
        <v>43613</v>
      </c>
      <c r="E1009" s="710">
        <f t="shared" si="187"/>
        <v>43553</v>
      </c>
      <c r="F1009" s="724">
        <f t="shared" si="188"/>
        <v>67.55</v>
      </c>
      <c r="G1009" s="713">
        <f t="shared" si="189"/>
        <v>1.4900000000000011</v>
      </c>
    </row>
    <row r="1010" spans="1:7" x14ac:dyDescent="0.2">
      <c r="A1010" s="709">
        <f t="shared" si="183"/>
        <v>43556</v>
      </c>
      <c r="B1010" s="709" t="str">
        <f t="shared" si="184"/>
        <v>2Q19</v>
      </c>
      <c r="C1010" s="709" t="str">
        <f t="shared" si="185"/>
        <v>2Q19</v>
      </c>
      <c r="D1010" s="710">
        <f t="shared" si="186"/>
        <v>43620</v>
      </c>
      <c r="E1010" s="710">
        <f t="shared" si="187"/>
        <v>43560</v>
      </c>
      <c r="F1010" s="724">
        <f t="shared" si="188"/>
        <v>67.55</v>
      </c>
      <c r="G1010" s="713">
        <f t="shared" si="189"/>
        <v>1.4900000000000011</v>
      </c>
    </row>
    <row r="1011" spans="1:7" x14ac:dyDescent="0.2">
      <c r="A1011" s="709">
        <f t="shared" si="183"/>
        <v>43556</v>
      </c>
      <c r="B1011" s="709" t="str">
        <f t="shared" si="184"/>
        <v>2Q19</v>
      </c>
      <c r="C1011" s="709" t="str">
        <f t="shared" si="185"/>
        <v>2Q19</v>
      </c>
      <c r="D1011" s="710">
        <f t="shared" si="186"/>
        <v>43627</v>
      </c>
      <c r="E1011" s="710">
        <f t="shared" si="187"/>
        <v>43567</v>
      </c>
      <c r="F1011" s="724">
        <f t="shared" si="188"/>
        <v>67.55</v>
      </c>
      <c r="G1011" s="713">
        <f t="shared" si="189"/>
        <v>1.4900000000000011</v>
      </c>
    </row>
    <row r="1012" spans="1:7" x14ac:dyDescent="0.2">
      <c r="A1012" s="709">
        <f t="shared" si="183"/>
        <v>43556</v>
      </c>
      <c r="B1012" s="709" t="str">
        <f t="shared" si="184"/>
        <v>2Q19</v>
      </c>
      <c r="C1012" s="709" t="str">
        <f t="shared" si="185"/>
        <v>2Q19</v>
      </c>
      <c r="D1012" s="710">
        <f t="shared" si="186"/>
        <v>43634</v>
      </c>
      <c r="E1012" s="710">
        <f t="shared" si="187"/>
        <v>43574</v>
      </c>
      <c r="F1012" s="724">
        <f t="shared" si="188"/>
        <v>67.55</v>
      </c>
      <c r="G1012" s="713">
        <f t="shared" si="189"/>
        <v>1.4900000000000011</v>
      </c>
    </row>
    <row r="1013" spans="1:7" x14ac:dyDescent="0.2">
      <c r="A1013" s="709">
        <f t="shared" si="183"/>
        <v>43556</v>
      </c>
      <c r="B1013" s="709" t="str">
        <f t="shared" si="184"/>
        <v>2Q19</v>
      </c>
      <c r="C1013" s="709" t="str">
        <f t="shared" si="185"/>
        <v>2Q19</v>
      </c>
      <c r="D1013" s="710">
        <f t="shared" si="186"/>
        <v>43641</v>
      </c>
      <c r="E1013" s="710">
        <f t="shared" si="187"/>
        <v>43581</v>
      </c>
      <c r="F1013" s="724">
        <f t="shared" si="188"/>
        <v>67.55</v>
      </c>
      <c r="G1013" s="713">
        <f t="shared" si="189"/>
        <v>1.4900000000000011</v>
      </c>
    </row>
    <row r="1014" spans="1:7" x14ac:dyDescent="0.2">
      <c r="A1014" s="709">
        <f t="shared" si="183"/>
        <v>43586</v>
      </c>
      <c r="B1014" s="709" t="str">
        <f t="shared" si="184"/>
        <v>2Q19</v>
      </c>
      <c r="C1014" s="709" t="str">
        <f t="shared" si="185"/>
        <v>3Q19</v>
      </c>
      <c r="D1014" s="710">
        <f t="shared" si="186"/>
        <v>43648</v>
      </c>
      <c r="E1014" s="710">
        <f t="shared" si="187"/>
        <v>43588</v>
      </c>
      <c r="F1014" s="724">
        <f t="shared" si="188"/>
        <v>67.55</v>
      </c>
      <c r="G1014" s="713">
        <f t="shared" si="189"/>
        <v>1.4900000000000011</v>
      </c>
    </row>
    <row r="1015" spans="1:7" x14ac:dyDescent="0.2">
      <c r="A1015" s="709">
        <f t="shared" si="183"/>
        <v>43586</v>
      </c>
      <c r="B1015" s="709" t="str">
        <f t="shared" si="184"/>
        <v>2Q19</v>
      </c>
      <c r="C1015" s="709" t="str">
        <f t="shared" si="185"/>
        <v>3Q19</v>
      </c>
      <c r="D1015" s="710">
        <f t="shared" si="186"/>
        <v>43655</v>
      </c>
      <c r="E1015" s="710">
        <f t="shared" si="187"/>
        <v>43595</v>
      </c>
      <c r="F1015" s="724">
        <f t="shared" si="188"/>
        <v>67.55</v>
      </c>
      <c r="G1015" s="713">
        <f t="shared" si="189"/>
        <v>1.4900000000000011</v>
      </c>
    </row>
    <row r="1016" spans="1:7" x14ac:dyDescent="0.2">
      <c r="A1016" s="709">
        <f t="shared" si="183"/>
        <v>43586</v>
      </c>
      <c r="B1016" s="709" t="str">
        <f t="shared" si="184"/>
        <v>2Q19</v>
      </c>
      <c r="C1016" s="709" t="str">
        <f t="shared" si="185"/>
        <v>3Q19</v>
      </c>
      <c r="D1016" s="710">
        <f t="shared" si="186"/>
        <v>43662</v>
      </c>
      <c r="E1016" s="710">
        <f t="shared" si="187"/>
        <v>43602</v>
      </c>
      <c r="F1016" s="724">
        <f t="shared" si="188"/>
        <v>67.55</v>
      </c>
      <c r="G1016" s="713">
        <f t="shared" si="189"/>
        <v>1.4900000000000011</v>
      </c>
    </row>
    <row r="1017" spans="1:7" x14ac:dyDescent="0.2">
      <c r="A1017" s="709">
        <f t="shared" si="183"/>
        <v>43586</v>
      </c>
      <c r="B1017" s="709" t="str">
        <f t="shared" si="184"/>
        <v>2Q19</v>
      </c>
      <c r="C1017" s="709" t="str">
        <f t="shared" si="185"/>
        <v>3Q19</v>
      </c>
      <c r="D1017" s="710">
        <f t="shared" si="186"/>
        <v>43669</v>
      </c>
      <c r="E1017" s="710">
        <f t="shared" si="187"/>
        <v>43609</v>
      </c>
      <c r="F1017" s="724">
        <f t="shared" si="188"/>
        <v>67.55</v>
      </c>
      <c r="G1017" s="713">
        <f t="shared" si="189"/>
        <v>1.4900000000000011</v>
      </c>
    </row>
    <row r="1018" spans="1:7" x14ac:dyDescent="0.2">
      <c r="A1018" s="709">
        <f t="shared" si="183"/>
        <v>43586</v>
      </c>
      <c r="B1018" s="709" t="str">
        <f t="shared" si="184"/>
        <v>2Q19</v>
      </c>
      <c r="C1018" s="709" t="str">
        <f t="shared" si="185"/>
        <v>3Q19</v>
      </c>
      <c r="D1018" s="710">
        <f t="shared" si="186"/>
        <v>43676</v>
      </c>
      <c r="E1018" s="710">
        <f t="shared" si="187"/>
        <v>43616</v>
      </c>
      <c r="F1018" s="724">
        <f t="shared" si="188"/>
        <v>67.55</v>
      </c>
      <c r="G1018" s="713">
        <f t="shared" si="189"/>
        <v>1.4900000000000011</v>
      </c>
    </row>
    <row r="1019" spans="1:7" x14ac:dyDescent="0.2">
      <c r="A1019" s="709">
        <f t="shared" si="183"/>
        <v>43617</v>
      </c>
      <c r="B1019" s="709" t="str">
        <f t="shared" si="184"/>
        <v>2Q19</v>
      </c>
      <c r="C1019" s="709" t="str">
        <f t="shared" si="185"/>
        <v>3Q19</v>
      </c>
      <c r="D1019" s="710">
        <f t="shared" si="186"/>
        <v>43683</v>
      </c>
      <c r="E1019" s="710">
        <f t="shared" si="187"/>
        <v>43623</v>
      </c>
      <c r="F1019" s="724">
        <f t="shared" si="188"/>
        <v>67.55</v>
      </c>
      <c r="G1019" s="713">
        <f t="shared" si="189"/>
        <v>1.4900000000000011</v>
      </c>
    </row>
    <row r="1020" spans="1:7" x14ac:dyDescent="0.2">
      <c r="A1020" s="709">
        <f t="shared" si="183"/>
        <v>43617</v>
      </c>
      <c r="B1020" s="709" t="str">
        <f t="shared" si="184"/>
        <v>2Q19</v>
      </c>
      <c r="C1020" s="709" t="str">
        <f t="shared" si="185"/>
        <v>3Q19</v>
      </c>
      <c r="D1020" s="710">
        <f t="shared" si="186"/>
        <v>43690</v>
      </c>
      <c r="E1020" s="710">
        <f t="shared" si="187"/>
        <v>43630</v>
      </c>
      <c r="F1020" s="724">
        <f t="shared" si="188"/>
        <v>67.55</v>
      </c>
      <c r="G1020" s="713">
        <f t="shared" si="189"/>
        <v>1.4900000000000011</v>
      </c>
    </row>
    <row r="1021" spans="1:7" x14ac:dyDescent="0.2">
      <c r="A1021" s="709">
        <f t="shared" si="183"/>
        <v>43617</v>
      </c>
      <c r="B1021" s="709" t="str">
        <f t="shared" si="184"/>
        <v>2Q19</v>
      </c>
      <c r="C1021" s="709" t="str">
        <f t="shared" si="185"/>
        <v>3Q19</v>
      </c>
      <c r="D1021" s="710">
        <f t="shared" si="186"/>
        <v>43697</v>
      </c>
      <c r="E1021" s="710">
        <f t="shared" si="187"/>
        <v>43637</v>
      </c>
      <c r="F1021" s="724">
        <f t="shared" si="188"/>
        <v>67.55</v>
      </c>
      <c r="G1021" s="713">
        <f t="shared" si="189"/>
        <v>1.4900000000000011</v>
      </c>
    </row>
    <row r="1022" spans="1:7" x14ac:dyDescent="0.2">
      <c r="A1022" s="709">
        <f t="shared" si="183"/>
        <v>43617</v>
      </c>
      <c r="B1022" s="709" t="str">
        <f t="shared" si="184"/>
        <v>2Q19</v>
      </c>
      <c r="C1022" s="709" t="str">
        <f t="shared" si="185"/>
        <v>3Q19</v>
      </c>
      <c r="D1022" s="710">
        <f t="shared" si="186"/>
        <v>43704</v>
      </c>
      <c r="E1022" s="710">
        <f t="shared" si="187"/>
        <v>43644</v>
      </c>
      <c r="F1022" s="724">
        <f t="shared" si="188"/>
        <v>67.55</v>
      </c>
      <c r="G1022" s="713">
        <f t="shared" si="189"/>
        <v>1.4900000000000011</v>
      </c>
    </row>
    <row r="1023" spans="1:7" x14ac:dyDescent="0.2">
      <c r="A1023" s="709">
        <f t="shared" si="183"/>
        <v>43647</v>
      </c>
      <c r="B1023" s="709" t="str">
        <f t="shared" si="184"/>
        <v>3Q19</v>
      </c>
      <c r="C1023" s="709" t="str">
        <f t="shared" si="185"/>
        <v>3Q19</v>
      </c>
      <c r="D1023" s="710">
        <f t="shared" si="186"/>
        <v>43711</v>
      </c>
      <c r="E1023" s="710">
        <f t="shared" si="187"/>
        <v>43651</v>
      </c>
      <c r="F1023" s="724">
        <f t="shared" si="188"/>
        <v>67.55</v>
      </c>
      <c r="G1023" s="713">
        <f t="shared" si="189"/>
        <v>1.4900000000000011</v>
      </c>
    </row>
    <row r="1024" spans="1:7" x14ac:dyDescent="0.2">
      <c r="A1024" s="709">
        <f t="shared" si="183"/>
        <v>43647</v>
      </c>
      <c r="B1024" s="709" t="str">
        <f t="shared" si="184"/>
        <v>3Q19</v>
      </c>
      <c r="C1024" s="709" t="str">
        <f t="shared" si="185"/>
        <v>3Q19</v>
      </c>
      <c r="D1024" s="710">
        <f t="shared" si="186"/>
        <v>43718</v>
      </c>
      <c r="E1024" s="710">
        <f t="shared" si="187"/>
        <v>43658</v>
      </c>
      <c r="F1024" s="724">
        <f t="shared" si="188"/>
        <v>67.55</v>
      </c>
      <c r="G1024" s="713">
        <f t="shared" si="189"/>
        <v>1.4900000000000011</v>
      </c>
    </row>
    <row r="1025" spans="1:7" x14ac:dyDescent="0.2">
      <c r="A1025" s="709">
        <f t="shared" si="183"/>
        <v>43647</v>
      </c>
      <c r="B1025" s="709" t="str">
        <f t="shared" si="184"/>
        <v>3Q19</v>
      </c>
      <c r="C1025" s="709" t="str">
        <f t="shared" si="185"/>
        <v>3Q19</v>
      </c>
      <c r="D1025" s="710">
        <f t="shared" si="186"/>
        <v>43725</v>
      </c>
      <c r="E1025" s="710">
        <f t="shared" si="187"/>
        <v>43665</v>
      </c>
      <c r="F1025" s="724">
        <f t="shared" si="188"/>
        <v>67.55</v>
      </c>
      <c r="G1025" s="713">
        <f t="shared" si="189"/>
        <v>1.4900000000000011</v>
      </c>
    </row>
    <row r="1026" spans="1:7" x14ac:dyDescent="0.2">
      <c r="A1026" s="709">
        <f t="shared" si="183"/>
        <v>43647</v>
      </c>
      <c r="B1026" s="709" t="str">
        <f t="shared" si="184"/>
        <v>3Q19</v>
      </c>
      <c r="C1026" s="709" t="str">
        <f t="shared" si="185"/>
        <v>3Q19</v>
      </c>
      <c r="D1026" s="710">
        <f t="shared" si="186"/>
        <v>43732</v>
      </c>
      <c r="E1026" s="710">
        <f t="shared" si="187"/>
        <v>43672</v>
      </c>
      <c r="F1026" s="724">
        <f t="shared" si="188"/>
        <v>67.55</v>
      </c>
      <c r="G1026" s="713">
        <f t="shared" si="189"/>
        <v>1.4900000000000011</v>
      </c>
    </row>
    <row r="1027" spans="1:7" x14ac:dyDescent="0.2">
      <c r="A1027" s="709">
        <f t="shared" si="183"/>
        <v>43678</v>
      </c>
      <c r="B1027" s="709" t="str">
        <f t="shared" si="184"/>
        <v>3Q19</v>
      </c>
      <c r="C1027" s="709" t="str">
        <f t="shared" si="185"/>
        <v>4Q19</v>
      </c>
      <c r="D1027" s="710">
        <f t="shared" si="186"/>
        <v>43739</v>
      </c>
      <c r="E1027" s="710">
        <f t="shared" si="187"/>
        <v>43679</v>
      </c>
      <c r="F1027" s="724">
        <f t="shared" si="188"/>
        <v>67.55</v>
      </c>
      <c r="G1027" s="713">
        <f t="shared" si="189"/>
        <v>1.4900000000000011</v>
      </c>
    </row>
    <row r="1028" spans="1:7" x14ac:dyDescent="0.2">
      <c r="A1028" s="709">
        <f t="shared" si="183"/>
        <v>43678</v>
      </c>
      <c r="B1028" s="709" t="str">
        <f t="shared" si="184"/>
        <v>3Q19</v>
      </c>
      <c r="C1028" s="709" t="str">
        <f t="shared" si="185"/>
        <v>4Q19</v>
      </c>
      <c r="D1028" s="710">
        <f t="shared" si="186"/>
        <v>43746</v>
      </c>
      <c r="E1028" s="710">
        <f t="shared" si="187"/>
        <v>43686</v>
      </c>
      <c r="F1028" s="724">
        <f t="shared" si="188"/>
        <v>67.55</v>
      </c>
      <c r="G1028" s="713">
        <f t="shared" si="189"/>
        <v>1.4900000000000011</v>
      </c>
    </row>
    <row r="1029" spans="1:7" x14ac:dyDescent="0.2">
      <c r="A1029" s="709">
        <f t="shared" si="183"/>
        <v>43678</v>
      </c>
      <c r="B1029" s="709" t="str">
        <f t="shared" si="184"/>
        <v>3Q19</v>
      </c>
      <c r="C1029" s="709" t="str">
        <f t="shared" si="185"/>
        <v>4Q19</v>
      </c>
      <c r="D1029" s="710">
        <f t="shared" si="186"/>
        <v>43753</v>
      </c>
      <c r="E1029" s="710">
        <f t="shared" si="187"/>
        <v>43693</v>
      </c>
      <c r="F1029" s="724">
        <f t="shared" si="188"/>
        <v>67.55</v>
      </c>
      <c r="G1029" s="713">
        <f t="shared" si="189"/>
        <v>1.4900000000000011</v>
      </c>
    </row>
    <row r="1030" spans="1:7" x14ac:dyDescent="0.2">
      <c r="A1030" s="709">
        <f t="shared" si="183"/>
        <v>43678</v>
      </c>
      <c r="B1030" s="709" t="str">
        <f t="shared" si="184"/>
        <v>3Q19</v>
      </c>
      <c r="C1030" s="709" t="str">
        <f t="shared" si="185"/>
        <v>4Q19</v>
      </c>
      <c r="D1030" s="710">
        <f t="shared" si="186"/>
        <v>43760</v>
      </c>
      <c r="E1030" s="710">
        <f t="shared" si="187"/>
        <v>43700</v>
      </c>
      <c r="F1030" s="724">
        <f t="shared" si="188"/>
        <v>67.55</v>
      </c>
      <c r="G1030" s="713">
        <f t="shared" si="189"/>
        <v>1.4900000000000011</v>
      </c>
    </row>
    <row r="1031" spans="1:7" x14ac:dyDescent="0.2">
      <c r="A1031" s="709">
        <f t="shared" si="183"/>
        <v>43678</v>
      </c>
      <c r="B1031" s="709" t="str">
        <f t="shared" si="184"/>
        <v>3Q19</v>
      </c>
      <c r="C1031" s="709" t="str">
        <f t="shared" si="185"/>
        <v>4Q19</v>
      </c>
      <c r="D1031" s="710">
        <f t="shared" si="186"/>
        <v>43767</v>
      </c>
      <c r="E1031" s="710">
        <f t="shared" si="187"/>
        <v>43707</v>
      </c>
      <c r="F1031" s="724">
        <f t="shared" si="188"/>
        <v>67.55</v>
      </c>
      <c r="G1031" s="713">
        <f t="shared" si="189"/>
        <v>1.4900000000000011</v>
      </c>
    </row>
    <row r="1032" spans="1:7" x14ac:dyDescent="0.2">
      <c r="A1032" s="709">
        <f t="shared" si="183"/>
        <v>43709</v>
      </c>
      <c r="B1032" s="709" t="str">
        <f t="shared" si="184"/>
        <v>3Q19</v>
      </c>
      <c r="C1032" s="709" t="str">
        <f t="shared" si="185"/>
        <v>4Q19</v>
      </c>
      <c r="D1032" s="710">
        <f t="shared" si="186"/>
        <v>43774</v>
      </c>
      <c r="E1032" s="710">
        <f t="shared" si="187"/>
        <v>43714</v>
      </c>
      <c r="F1032" s="724">
        <f t="shared" si="188"/>
        <v>67.55</v>
      </c>
      <c r="G1032" s="713">
        <f t="shared" si="189"/>
        <v>1.4900000000000011</v>
      </c>
    </row>
    <row r="1033" spans="1:7" x14ac:dyDescent="0.2">
      <c r="A1033" s="709">
        <f t="shared" si="183"/>
        <v>43709</v>
      </c>
      <c r="B1033" s="709" t="str">
        <f t="shared" si="184"/>
        <v>3Q19</v>
      </c>
      <c r="C1033" s="709" t="str">
        <f t="shared" si="185"/>
        <v>4Q19</v>
      </c>
      <c r="D1033" s="710">
        <f t="shared" si="186"/>
        <v>43781</v>
      </c>
      <c r="E1033" s="710">
        <f t="shared" si="187"/>
        <v>43721</v>
      </c>
      <c r="F1033" s="724">
        <f t="shared" si="188"/>
        <v>67.55</v>
      </c>
      <c r="G1033" s="713">
        <f t="shared" si="189"/>
        <v>1.4900000000000011</v>
      </c>
    </row>
    <row r="1034" spans="1:7" x14ac:dyDescent="0.2">
      <c r="A1034" s="709">
        <f t="shared" si="183"/>
        <v>43709</v>
      </c>
      <c r="B1034" s="709" t="str">
        <f t="shared" si="184"/>
        <v>3Q19</v>
      </c>
      <c r="C1034" s="709" t="str">
        <f t="shared" si="185"/>
        <v>4Q19</v>
      </c>
      <c r="D1034" s="710">
        <f t="shared" si="186"/>
        <v>43788</v>
      </c>
      <c r="E1034" s="710">
        <f t="shared" si="187"/>
        <v>43728</v>
      </c>
      <c r="F1034" s="724">
        <f t="shared" si="188"/>
        <v>67.55</v>
      </c>
      <c r="G1034" s="713">
        <f t="shared" si="189"/>
        <v>1.4900000000000011</v>
      </c>
    </row>
    <row r="1035" spans="1:7" x14ac:dyDescent="0.2">
      <c r="A1035" s="709">
        <f t="shared" si="183"/>
        <v>43709</v>
      </c>
      <c r="B1035" s="709" t="str">
        <f t="shared" si="184"/>
        <v>3Q19</v>
      </c>
      <c r="C1035" s="709" t="str">
        <f t="shared" si="185"/>
        <v>4Q19</v>
      </c>
      <c r="D1035" s="710">
        <f t="shared" si="186"/>
        <v>43795</v>
      </c>
      <c r="E1035" s="710">
        <f t="shared" si="187"/>
        <v>43735</v>
      </c>
      <c r="F1035" s="724">
        <f t="shared" si="188"/>
        <v>67.55</v>
      </c>
      <c r="G1035" s="713">
        <f t="shared" si="189"/>
        <v>1.4900000000000011</v>
      </c>
    </row>
    <row r="1036" spans="1:7" x14ac:dyDescent="0.2">
      <c r="A1036" s="709">
        <f t="shared" si="183"/>
        <v>43739</v>
      </c>
      <c r="B1036" s="709" t="str">
        <f t="shared" si="184"/>
        <v>4Q19</v>
      </c>
      <c r="C1036" s="709" t="str">
        <f t="shared" si="185"/>
        <v>4Q19</v>
      </c>
      <c r="D1036" s="710">
        <f t="shared" si="186"/>
        <v>43802</v>
      </c>
      <c r="E1036" s="710">
        <f t="shared" si="187"/>
        <v>43742</v>
      </c>
      <c r="F1036" s="724">
        <f t="shared" si="188"/>
        <v>67.55</v>
      </c>
      <c r="G1036" s="713">
        <f t="shared" si="189"/>
        <v>1.4900000000000011</v>
      </c>
    </row>
    <row r="1037" spans="1:7" x14ac:dyDescent="0.2">
      <c r="A1037" s="709">
        <f t="shared" si="183"/>
        <v>43739</v>
      </c>
      <c r="B1037" s="709" t="str">
        <f t="shared" si="184"/>
        <v>4Q19</v>
      </c>
      <c r="C1037" s="709" t="str">
        <f t="shared" si="185"/>
        <v>4Q19</v>
      </c>
      <c r="D1037" s="710">
        <f t="shared" si="186"/>
        <v>43809</v>
      </c>
      <c r="E1037" s="710">
        <f t="shared" si="187"/>
        <v>43749</v>
      </c>
      <c r="F1037" s="724">
        <f t="shared" si="188"/>
        <v>67.55</v>
      </c>
      <c r="G1037" s="713">
        <f t="shared" si="189"/>
        <v>1.4900000000000011</v>
      </c>
    </row>
    <row r="1038" spans="1:7" x14ac:dyDescent="0.2">
      <c r="A1038" s="709">
        <f t="shared" si="183"/>
        <v>43739</v>
      </c>
      <c r="B1038" s="709" t="str">
        <f t="shared" si="184"/>
        <v>4Q19</v>
      </c>
      <c r="C1038" s="709" t="str">
        <f t="shared" si="185"/>
        <v>4Q19</v>
      </c>
      <c r="D1038" s="710">
        <f t="shared" si="186"/>
        <v>43816</v>
      </c>
      <c r="E1038" s="710">
        <f t="shared" si="187"/>
        <v>43756</v>
      </c>
      <c r="F1038" s="724">
        <f t="shared" si="188"/>
        <v>67.55</v>
      </c>
      <c r="G1038" s="713">
        <f t="shared" si="189"/>
        <v>1.4900000000000011</v>
      </c>
    </row>
    <row r="1039" spans="1:7" x14ac:dyDescent="0.2">
      <c r="A1039" s="709">
        <f t="shared" si="183"/>
        <v>43739</v>
      </c>
      <c r="B1039" s="709" t="str">
        <f t="shared" si="184"/>
        <v>4Q19</v>
      </c>
      <c r="C1039" s="709" t="str">
        <f t="shared" si="185"/>
        <v>4Q19</v>
      </c>
      <c r="D1039" s="710">
        <f t="shared" si="186"/>
        <v>43823</v>
      </c>
      <c r="E1039" s="710">
        <f t="shared" si="187"/>
        <v>43763</v>
      </c>
      <c r="F1039" s="724">
        <f t="shared" si="188"/>
        <v>67.55</v>
      </c>
      <c r="G1039" s="713">
        <f t="shared" si="189"/>
        <v>1.4900000000000011</v>
      </c>
    </row>
    <row r="1040" spans="1:7" x14ac:dyDescent="0.2">
      <c r="A1040" s="709">
        <f t="shared" si="183"/>
        <v>43770</v>
      </c>
      <c r="B1040" s="709" t="str">
        <f t="shared" si="184"/>
        <v>4Q19</v>
      </c>
      <c r="C1040" s="709" t="str">
        <f t="shared" si="185"/>
        <v>4Q19</v>
      </c>
      <c r="D1040" s="710">
        <f t="shared" si="186"/>
        <v>43830</v>
      </c>
      <c r="E1040" s="710">
        <f t="shared" si="187"/>
        <v>43770</v>
      </c>
      <c r="F1040" s="724">
        <f t="shared" si="188"/>
        <v>67.55</v>
      </c>
      <c r="G1040" s="713">
        <f t="shared" si="189"/>
        <v>1.4900000000000011</v>
      </c>
    </row>
    <row r="1041" spans="1:7" x14ac:dyDescent="0.2">
      <c r="A1041" s="709">
        <f t="shared" si="183"/>
        <v>43770</v>
      </c>
      <c r="B1041" s="709" t="str">
        <f t="shared" si="184"/>
        <v>4Q19</v>
      </c>
      <c r="C1041" s="709" t="str">
        <f t="shared" si="185"/>
        <v>1Q20</v>
      </c>
      <c r="D1041" s="710">
        <f t="shared" si="186"/>
        <v>43837</v>
      </c>
      <c r="E1041" s="710">
        <f t="shared" si="187"/>
        <v>43777</v>
      </c>
      <c r="F1041" s="724">
        <f t="shared" si="188"/>
        <v>67.55</v>
      </c>
      <c r="G1041" s="713">
        <f t="shared" si="189"/>
        <v>1.4900000000000011</v>
      </c>
    </row>
    <row r="1042" spans="1:7" x14ac:dyDescent="0.2">
      <c r="A1042" s="709">
        <f t="shared" si="183"/>
        <v>43770</v>
      </c>
      <c r="B1042" s="709" t="str">
        <f t="shared" si="184"/>
        <v>4Q19</v>
      </c>
      <c r="C1042" s="709" t="str">
        <f t="shared" si="185"/>
        <v>1Q20</v>
      </c>
      <c r="D1042" s="710">
        <f t="shared" si="186"/>
        <v>43844</v>
      </c>
      <c r="E1042" s="710">
        <f t="shared" si="187"/>
        <v>43784</v>
      </c>
      <c r="F1042" s="724">
        <f t="shared" si="188"/>
        <v>67.55</v>
      </c>
      <c r="G1042" s="713">
        <f t="shared" si="189"/>
        <v>1.4900000000000011</v>
      </c>
    </row>
    <row r="1043" spans="1:7" x14ac:dyDescent="0.2">
      <c r="A1043" s="709">
        <f t="shared" si="183"/>
        <v>43770</v>
      </c>
      <c r="B1043" s="709" t="str">
        <f t="shared" si="184"/>
        <v>4Q19</v>
      </c>
      <c r="C1043" s="709" t="str">
        <f t="shared" si="185"/>
        <v>1Q20</v>
      </c>
      <c r="D1043" s="710">
        <f t="shared" si="186"/>
        <v>43851</v>
      </c>
      <c r="E1043" s="710">
        <f t="shared" si="187"/>
        <v>43791</v>
      </c>
      <c r="F1043" s="724">
        <f t="shared" si="188"/>
        <v>67.55</v>
      </c>
      <c r="G1043" s="713">
        <f t="shared" si="189"/>
        <v>1.4900000000000011</v>
      </c>
    </row>
    <row r="1044" spans="1:7" x14ac:dyDescent="0.2">
      <c r="A1044" s="709">
        <f t="shared" si="183"/>
        <v>43770</v>
      </c>
      <c r="B1044" s="709" t="str">
        <f t="shared" si="184"/>
        <v>4Q19</v>
      </c>
      <c r="C1044" s="709" t="str">
        <f t="shared" si="185"/>
        <v>1Q20</v>
      </c>
      <c r="D1044" s="710">
        <f t="shared" si="186"/>
        <v>43858</v>
      </c>
      <c r="E1044" s="710">
        <f t="shared" si="187"/>
        <v>43798</v>
      </c>
      <c r="F1044" s="724">
        <f t="shared" si="188"/>
        <v>67.55</v>
      </c>
      <c r="G1044" s="713">
        <f t="shared" si="189"/>
        <v>1.4900000000000011</v>
      </c>
    </row>
    <row r="1045" spans="1:7" x14ac:dyDescent="0.2">
      <c r="A1045" s="709">
        <f t="shared" si="183"/>
        <v>43800</v>
      </c>
      <c r="B1045" s="709" t="str">
        <f t="shared" si="184"/>
        <v>4Q19</v>
      </c>
      <c r="C1045" s="709" t="str">
        <f t="shared" si="185"/>
        <v>1Q20</v>
      </c>
      <c r="D1045" s="710">
        <f t="shared" si="186"/>
        <v>43865</v>
      </c>
      <c r="E1045" s="710">
        <f t="shared" si="187"/>
        <v>43805</v>
      </c>
      <c r="F1045" s="724">
        <f t="shared" si="188"/>
        <v>67.55</v>
      </c>
      <c r="G1045" s="713">
        <f t="shared" si="189"/>
        <v>1.4900000000000011</v>
      </c>
    </row>
    <row r="1046" spans="1:7" x14ac:dyDescent="0.2">
      <c r="A1046" s="709">
        <f t="shared" si="183"/>
        <v>43800</v>
      </c>
      <c r="B1046" s="709" t="str">
        <f t="shared" si="184"/>
        <v>4Q19</v>
      </c>
      <c r="C1046" s="709" t="str">
        <f t="shared" si="185"/>
        <v>1Q20</v>
      </c>
      <c r="D1046" s="710">
        <f t="shared" si="186"/>
        <v>43872</v>
      </c>
      <c r="E1046" s="710">
        <f t="shared" si="187"/>
        <v>43812</v>
      </c>
      <c r="F1046" s="724">
        <f t="shared" si="188"/>
        <v>67.55</v>
      </c>
      <c r="G1046" s="713">
        <f t="shared" si="189"/>
        <v>1.4900000000000011</v>
      </c>
    </row>
    <row r="1047" spans="1:7" x14ac:dyDescent="0.2">
      <c r="A1047" s="709">
        <f t="shared" si="183"/>
        <v>43800</v>
      </c>
      <c r="B1047" s="709" t="str">
        <f t="shared" si="184"/>
        <v>4Q19</v>
      </c>
      <c r="C1047" s="709" t="str">
        <f t="shared" si="185"/>
        <v>1Q20</v>
      </c>
      <c r="D1047" s="710">
        <f t="shared" si="186"/>
        <v>43879</v>
      </c>
      <c r="E1047" s="710">
        <f t="shared" si="187"/>
        <v>43819</v>
      </c>
      <c r="F1047" s="724">
        <f t="shared" si="188"/>
        <v>67.55</v>
      </c>
      <c r="G1047" s="713">
        <f t="shared" si="189"/>
        <v>1.4900000000000011</v>
      </c>
    </row>
    <row r="1048" spans="1:7" x14ac:dyDescent="0.2">
      <c r="A1048" s="709">
        <f t="shared" si="183"/>
        <v>43800</v>
      </c>
      <c r="B1048" s="709" t="str">
        <f t="shared" si="184"/>
        <v>4Q19</v>
      </c>
      <c r="C1048" s="709" t="str">
        <f t="shared" si="185"/>
        <v>1Q20</v>
      </c>
      <c r="D1048" s="710">
        <f t="shared" si="186"/>
        <v>43886</v>
      </c>
      <c r="E1048" s="710">
        <f t="shared" si="187"/>
        <v>43826</v>
      </c>
      <c r="F1048" s="724">
        <f t="shared" si="188"/>
        <v>67.55</v>
      </c>
      <c r="G1048" s="713">
        <f t="shared" si="189"/>
        <v>1.4900000000000011</v>
      </c>
    </row>
    <row r="1049" spans="1:7" x14ac:dyDescent="0.2">
      <c r="A1049" s="709">
        <f t="shared" si="183"/>
        <v>43831</v>
      </c>
      <c r="B1049" s="709" t="str">
        <f t="shared" si="184"/>
        <v>1Q20</v>
      </c>
      <c r="C1049" s="709" t="str">
        <f t="shared" si="185"/>
        <v>1Q20</v>
      </c>
      <c r="D1049" s="710">
        <f t="shared" si="186"/>
        <v>43893</v>
      </c>
      <c r="E1049" s="710">
        <f t="shared" si="187"/>
        <v>43833</v>
      </c>
      <c r="F1049" s="724">
        <f t="shared" si="188"/>
        <v>67.55</v>
      </c>
      <c r="G1049" s="713">
        <f t="shared" si="189"/>
        <v>1.4900000000000011</v>
      </c>
    </row>
    <row r="1050" spans="1:7" x14ac:dyDescent="0.2">
      <c r="A1050" s="709">
        <f t="shared" si="183"/>
        <v>43831</v>
      </c>
      <c r="B1050" s="709" t="str">
        <f t="shared" si="184"/>
        <v>1Q20</v>
      </c>
      <c r="C1050" s="709" t="str">
        <f t="shared" si="185"/>
        <v>1Q20</v>
      </c>
      <c r="D1050" s="710">
        <f t="shared" si="186"/>
        <v>43900</v>
      </c>
      <c r="E1050" s="710">
        <f t="shared" si="187"/>
        <v>43840</v>
      </c>
      <c r="F1050" s="724">
        <f t="shared" si="188"/>
        <v>67.55</v>
      </c>
      <c r="G1050" s="713">
        <f t="shared" si="189"/>
        <v>1.4900000000000011</v>
      </c>
    </row>
    <row r="1051" spans="1:7" x14ac:dyDescent="0.2">
      <c r="A1051" s="709">
        <f t="shared" si="183"/>
        <v>43831</v>
      </c>
      <c r="B1051" s="709" t="str">
        <f t="shared" si="184"/>
        <v>1Q20</v>
      </c>
      <c r="C1051" s="709" t="str">
        <f t="shared" si="185"/>
        <v>1Q20</v>
      </c>
      <c r="D1051" s="710">
        <f t="shared" si="186"/>
        <v>43907</v>
      </c>
      <c r="E1051" s="710">
        <f t="shared" si="187"/>
        <v>43847</v>
      </c>
      <c r="F1051" s="724">
        <f t="shared" si="188"/>
        <v>67.55</v>
      </c>
      <c r="G1051" s="713">
        <f t="shared" si="189"/>
        <v>1.4900000000000011</v>
      </c>
    </row>
    <row r="1052" spans="1:7" x14ac:dyDescent="0.2">
      <c r="A1052" s="709">
        <f t="shared" si="183"/>
        <v>43831</v>
      </c>
      <c r="B1052" s="709" t="str">
        <f t="shared" si="184"/>
        <v>1Q20</v>
      </c>
      <c r="C1052" s="709" t="str">
        <f t="shared" si="185"/>
        <v>1Q20</v>
      </c>
      <c r="D1052" s="710">
        <f t="shared" si="186"/>
        <v>43914</v>
      </c>
      <c r="E1052" s="710">
        <f t="shared" si="187"/>
        <v>43854</v>
      </c>
      <c r="F1052" s="724">
        <f t="shared" si="188"/>
        <v>67.55</v>
      </c>
      <c r="G1052" s="713">
        <f t="shared" si="189"/>
        <v>1.4900000000000011</v>
      </c>
    </row>
    <row r="1053" spans="1:7" x14ac:dyDescent="0.2">
      <c r="A1053" s="709">
        <f t="shared" si="183"/>
        <v>43831</v>
      </c>
      <c r="B1053" s="709" t="str">
        <f t="shared" si="184"/>
        <v>1Q20</v>
      </c>
      <c r="C1053" s="709" t="str">
        <f t="shared" si="185"/>
        <v>1Q20</v>
      </c>
      <c r="D1053" s="710">
        <f t="shared" si="186"/>
        <v>43921</v>
      </c>
      <c r="E1053" s="710">
        <f t="shared" si="187"/>
        <v>43861</v>
      </c>
      <c r="F1053" s="724">
        <f t="shared" si="188"/>
        <v>67.55</v>
      </c>
      <c r="G1053" s="713">
        <f t="shared" si="189"/>
        <v>1.4900000000000011</v>
      </c>
    </row>
    <row r="1054" spans="1:7" x14ac:dyDescent="0.2">
      <c r="A1054" s="709">
        <f t="shared" si="183"/>
        <v>43862</v>
      </c>
      <c r="B1054" s="709" t="str">
        <f t="shared" si="184"/>
        <v>1Q20</v>
      </c>
      <c r="C1054" s="709" t="str">
        <f t="shared" si="185"/>
        <v>2Q20</v>
      </c>
      <c r="D1054" s="710">
        <f t="shared" si="186"/>
        <v>43928</v>
      </c>
      <c r="E1054" s="710">
        <f t="shared" si="187"/>
        <v>43868</v>
      </c>
      <c r="F1054" s="724">
        <f t="shared" si="188"/>
        <v>67.55</v>
      </c>
      <c r="G1054" s="713">
        <f t="shared" si="189"/>
        <v>1.4900000000000011</v>
      </c>
    </row>
    <row r="1055" spans="1:7" x14ac:dyDescent="0.2">
      <c r="A1055" s="709">
        <f t="shared" si="183"/>
        <v>43862</v>
      </c>
      <c r="B1055" s="709" t="str">
        <f t="shared" si="184"/>
        <v>1Q20</v>
      </c>
      <c r="C1055" s="709" t="str">
        <f t="shared" si="185"/>
        <v>2Q20</v>
      </c>
      <c r="D1055" s="710">
        <f t="shared" si="186"/>
        <v>43935</v>
      </c>
      <c r="E1055" s="710">
        <f t="shared" si="187"/>
        <v>43875</v>
      </c>
      <c r="F1055" s="724">
        <f t="shared" si="188"/>
        <v>67.55</v>
      </c>
      <c r="G1055" s="713">
        <f t="shared" si="189"/>
        <v>1.4900000000000011</v>
      </c>
    </row>
    <row r="1056" spans="1:7" x14ac:dyDescent="0.2">
      <c r="A1056" s="709">
        <f t="shared" si="183"/>
        <v>43862</v>
      </c>
      <c r="B1056" s="709" t="str">
        <f t="shared" si="184"/>
        <v>1Q20</v>
      </c>
      <c r="C1056" s="709" t="str">
        <f t="shared" si="185"/>
        <v>2Q20</v>
      </c>
      <c r="D1056" s="710">
        <f t="shared" si="186"/>
        <v>43942</v>
      </c>
      <c r="E1056" s="710">
        <f t="shared" si="187"/>
        <v>43882</v>
      </c>
      <c r="F1056" s="724">
        <f t="shared" si="188"/>
        <v>67.55</v>
      </c>
      <c r="G1056" s="713">
        <f t="shared" si="189"/>
        <v>1.4900000000000011</v>
      </c>
    </row>
    <row r="1057" spans="1:7" x14ac:dyDescent="0.2">
      <c r="A1057" s="709">
        <f t="shared" ref="A1057:A1104" si="190">DATE(YEAR(E1057),MONTH(E1057),1)</f>
        <v>43862</v>
      </c>
      <c r="B1057" s="709" t="str">
        <f t="shared" ref="B1057:B1104" si="191">VLOOKUP(MONTH(A1057),$N$4:$O$16,2,FALSE) &amp; "Q" &amp; RIGHT(YEAR(A1057),2)</f>
        <v>1Q20</v>
      </c>
      <c r="C1057" s="709" t="str">
        <f t="shared" ref="C1057:C1104" si="192">VLOOKUP(MONTH(D1057),$N$4:$O$16,2,FALSE) &amp; "Q" &amp; RIGHT(YEAR(D1057),2)</f>
        <v>2Q20</v>
      </c>
      <c r="D1057" s="710">
        <f t="shared" si="186"/>
        <v>43949</v>
      </c>
      <c r="E1057" s="710">
        <f t="shared" si="187"/>
        <v>43889</v>
      </c>
      <c r="F1057" s="724">
        <f t="shared" si="188"/>
        <v>67.55</v>
      </c>
      <c r="G1057" s="713">
        <f t="shared" ref="G1057:G1104" si="193">INDEX($I$4:$K$153,MATCH(F1057,$I$4:$I$153,1),3)</f>
        <v>1.4900000000000011</v>
      </c>
    </row>
    <row r="1058" spans="1:7" x14ac:dyDescent="0.2">
      <c r="A1058" s="709">
        <f t="shared" si="190"/>
        <v>43891</v>
      </c>
      <c r="B1058" s="709" t="str">
        <f t="shared" si="191"/>
        <v>1Q20</v>
      </c>
      <c r="C1058" s="709" t="str">
        <f t="shared" si="192"/>
        <v>2Q20</v>
      </c>
      <c r="D1058" s="710">
        <f t="shared" si="186"/>
        <v>43956</v>
      </c>
      <c r="E1058" s="710">
        <f t="shared" si="187"/>
        <v>43896</v>
      </c>
      <c r="F1058" s="724">
        <f t="shared" si="188"/>
        <v>67.55</v>
      </c>
      <c r="G1058" s="713">
        <f t="shared" si="193"/>
        <v>1.4900000000000011</v>
      </c>
    </row>
    <row r="1059" spans="1:7" x14ac:dyDescent="0.2">
      <c r="A1059" s="709">
        <f t="shared" si="190"/>
        <v>43891</v>
      </c>
      <c r="B1059" s="709" t="str">
        <f t="shared" si="191"/>
        <v>1Q20</v>
      </c>
      <c r="C1059" s="709" t="str">
        <f t="shared" si="192"/>
        <v>2Q20</v>
      </c>
      <c r="D1059" s="710">
        <f t="shared" si="186"/>
        <v>43963</v>
      </c>
      <c r="E1059" s="710">
        <f t="shared" si="187"/>
        <v>43903</v>
      </c>
      <c r="F1059" s="724">
        <f t="shared" si="188"/>
        <v>67.55</v>
      </c>
      <c r="G1059" s="713">
        <f t="shared" si="193"/>
        <v>1.4900000000000011</v>
      </c>
    </row>
    <row r="1060" spans="1:7" x14ac:dyDescent="0.2">
      <c r="A1060" s="709">
        <f t="shared" si="190"/>
        <v>43891</v>
      </c>
      <c r="B1060" s="709" t="str">
        <f t="shared" si="191"/>
        <v>1Q20</v>
      </c>
      <c r="C1060" s="709" t="str">
        <f t="shared" si="192"/>
        <v>2Q20</v>
      </c>
      <c r="D1060" s="710">
        <f t="shared" si="186"/>
        <v>43970</v>
      </c>
      <c r="E1060" s="710">
        <f t="shared" si="187"/>
        <v>43910</v>
      </c>
      <c r="F1060" s="724">
        <f t="shared" si="188"/>
        <v>67.55</v>
      </c>
      <c r="G1060" s="713">
        <f t="shared" si="193"/>
        <v>1.4900000000000011</v>
      </c>
    </row>
    <row r="1061" spans="1:7" x14ac:dyDescent="0.2">
      <c r="A1061" s="709">
        <f t="shared" si="190"/>
        <v>43891</v>
      </c>
      <c r="B1061" s="709" t="str">
        <f t="shared" si="191"/>
        <v>1Q20</v>
      </c>
      <c r="C1061" s="709" t="str">
        <f t="shared" si="192"/>
        <v>2Q20</v>
      </c>
      <c r="D1061" s="710">
        <f t="shared" ref="D1061:E1076" si="194">D1060+7</f>
        <v>43977</v>
      </c>
      <c r="E1061" s="710">
        <f t="shared" si="194"/>
        <v>43917</v>
      </c>
      <c r="F1061" s="724">
        <f t="shared" ref="F1061:F1104" si="195">F1060</f>
        <v>67.55</v>
      </c>
      <c r="G1061" s="713">
        <f t="shared" si="193"/>
        <v>1.4900000000000011</v>
      </c>
    </row>
    <row r="1062" spans="1:7" x14ac:dyDescent="0.2">
      <c r="A1062" s="709">
        <f t="shared" si="190"/>
        <v>43922</v>
      </c>
      <c r="B1062" s="709" t="str">
        <f t="shared" si="191"/>
        <v>2Q20</v>
      </c>
      <c r="C1062" s="709" t="str">
        <f t="shared" si="192"/>
        <v>2Q20</v>
      </c>
      <c r="D1062" s="710">
        <f t="shared" si="194"/>
        <v>43984</v>
      </c>
      <c r="E1062" s="710">
        <f t="shared" si="194"/>
        <v>43924</v>
      </c>
      <c r="F1062" s="724">
        <f t="shared" si="195"/>
        <v>67.55</v>
      </c>
      <c r="G1062" s="713">
        <f t="shared" si="193"/>
        <v>1.4900000000000011</v>
      </c>
    </row>
    <row r="1063" spans="1:7" x14ac:dyDescent="0.2">
      <c r="A1063" s="709">
        <f t="shared" si="190"/>
        <v>43922</v>
      </c>
      <c r="B1063" s="709" t="str">
        <f t="shared" si="191"/>
        <v>2Q20</v>
      </c>
      <c r="C1063" s="709" t="str">
        <f t="shared" si="192"/>
        <v>2Q20</v>
      </c>
      <c r="D1063" s="710">
        <f t="shared" si="194"/>
        <v>43991</v>
      </c>
      <c r="E1063" s="710">
        <f t="shared" si="194"/>
        <v>43931</v>
      </c>
      <c r="F1063" s="724">
        <f t="shared" si="195"/>
        <v>67.55</v>
      </c>
      <c r="G1063" s="713">
        <f t="shared" si="193"/>
        <v>1.4900000000000011</v>
      </c>
    </row>
    <row r="1064" spans="1:7" x14ac:dyDescent="0.2">
      <c r="A1064" s="709">
        <f t="shared" si="190"/>
        <v>43922</v>
      </c>
      <c r="B1064" s="709" t="str">
        <f t="shared" si="191"/>
        <v>2Q20</v>
      </c>
      <c r="C1064" s="709" t="str">
        <f t="shared" si="192"/>
        <v>2Q20</v>
      </c>
      <c r="D1064" s="710">
        <f t="shared" si="194"/>
        <v>43998</v>
      </c>
      <c r="E1064" s="710">
        <f t="shared" si="194"/>
        <v>43938</v>
      </c>
      <c r="F1064" s="724">
        <f t="shared" si="195"/>
        <v>67.55</v>
      </c>
      <c r="G1064" s="713">
        <f t="shared" si="193"/>
        <v>1.4900000000000011</v>
      </c>
    </row>
    <row r="1065" spans="1:7" x14ac:dyDescent="0.2">
      <c r="A1065" s="709">
        <f t="shared" si="190"/>
        <v>43922</v>
      </c>
      <c r="B1065" s="709" t="str">
        <f t="shared" si="191"/>
        <v>2Q20</v>
      </c>
      <c r="C1065" s="709" t="str">
        <f t="shared" si="192"/>
        <v>2Q20</v>
      </c>
      <c r="D1065" s="710">
        <f t="shared" si="194"/>
        <v>44005</v>
      </c>
      <c r="E1065" s="710">
        <f t="shared" si="194"/>
        <v>43945</v>
      </c>
      <c r="F1065" s="724">
        <f t="shared" si="195"/>
        <v>67.55</v>
      </c>
      <c r="G1065" s="713">
        <f t="shared" si="193"/>
        <v>1.4900000000000011</v>
      </c>
    </row>
    <row r="1066" spans="1:7" x14ac:dyDescent="0.2">
      <c r="A1066" s="709">
        <f t="shared" si="190"/>
        <v>43952</v>
      </c>
      <c r="B1066" s="709" t="str">
        <f t="shared" si="191"/>
        <v>2Q20</v>
      </c>
      <c r="C1066" s="709" t="str">
        <f t="shared" si="192"/>
        <v>2Q20</v>
      </c>
      <c r="D1066" s="710">
        <f t="shared" si="194"/>
        <v>44012</v>
      </c>
      <c r="E1066" s="710">
        <f t="shared" si="194"/>
        <v>43952</v>
      </c>
      <c r="F1066" s="724">
        <f t="shared" si="195"/>
        <v>67.55</v>
      </c>
      <c r="G1066" s="713">
        <f t="shared" si="193"/>
        <v>1.4900000000000011</v>
      </c>
    </row>
    <row r="1067" spans="1:7" x14ac:dyDescent="0.2">
      <c r="A1067" s="709">
        <f t="shared" si="190"/>
        <v>43952</v>
      </c>
      <c r="B1067" s="709" t="str">
        <f t="shared" si="191"/>
        <v>2Q20</v>
      </c>
      <c r="C1067" s="709" t="str">
        <f t="shared" si="192"/>
        <v>3Q20</v>
      </c>
      <c r="D1067" s="710">
        <f t="shared" si="194"/>
        <v>44019</v>
      </c>
      <c r="E1067" s="710">
        <f t="shared" si="194"/>
        <v>43959</v>
      </c>
      <c r="F1067" s="724">
        <f t="shared" si="195"/>
        <v>67.55</v>
      </c>
      <c r="G1067" s="713">
        <f t="shared" si="193"/>
        <v>1.4900000000000011</v>
      </c>
    </row>
    <row r="1068" spans="1:7" x14ac:dyDescent="0.2">
      <c r="A1068" s="709">
        <f t="shared" si="190"/>
        <v>43952</v>
      </c>
      <c r="B1068" s="709" t="str">
        <f t="shared" si="191"/>
        <v>2Q20</v>
      </c>
      <c r="C1068" s="709" t="str">
        <f t="shared" si="192"/>
        <v>3Q20</v>
      </c>
      <c r="D1068" s="710">
        <f t="shared" si="194"/>
        <v>44026</v>
      </c>
      <c r="E1068" s="710">
        <f t="shared" si="194"/>
        <v>43966</v>
      </c>
      <c r="F1068" s="724">
        <f t="shared" si="195"/>
        <v>67.55</v>
      </c>
      <c r="G1068" s="713">
        <f t="shared" si="193"/>
        <v>1.4900000000000011</v>
      </c>
    </row>
    <row r="1069" spans="1:7" x14ac:dyDescent="0.2">
      <c r="A1069" s="709">
        <f t="shared" si="190"/>
        <v>43952</v>
      </c>
      <c r="B1069" s="709" t="str">
        <f t="shared" si="191"/>
        <v>2Q20</v>
      </c>
      <c r="C1069" s="709" t="str">
        <f t="shared" si="192"/>
        <v>3Q20</v>
      </c>
      <c r="D1069" s="710">
        <f t="shared" si="194"/>
        <v>44033</v>
      </c>
      <c r="E1069" s="710">
        <f t="shared" si="194"/>
        <v>43973</v>
      </c>
      <c r="F1069" s="724">
        <f t="shared" si="195"/>
        <v>67.55</v>
      </c>
      <c r="G1069" s="713">
        <f t="shared" si="193"/>
        <v>1.4900000000000011</v>
      </c>
    </row>
    <row r="1070" spans="1:7" x14ac:dyDescent="0.2">
      <c r="A1070" s="709">
        <f t="shared" si="190"/>
        <v>43952</v>
      </c>
      <c r="B1070" s="709" t="str">
        <f t="shared" si="191"/>
        <v>2Q20</v>
      </c>
      <c r="C1070" s="709" t="str">
        <f t="shared" si="192"/>
        <v>3Q20</v>
      </c>
      <c r="D1070" s="710">
        <f t="shared" si="194"/>
        <v>44040</v>
      </c>
      <c r="E1070" s="710">
        <f t="shared" si="194"/>
        <v>43980</v>
      </c>
      <c r="F1070" s="724">
        <f t="shared" si="195"/>
        <v>67.55</v>
      </c>
      <c r="G1070" s="713">
        <f t="shared" si="193"/>
        <v>1.4900000000000011</v>
      </c>
    </row>
    <row r="1071" spans="1:7" x14ac:dyDescent="0.2">
      <c r="A1071" s="709">
        <f t="shared" si="190"/>
        <v>43983</v>
      </c>
      <c r="B1071" s="709" t="str">
        <f t="shared" si="191"/>
        <v>2Q20</v>
      </c>
      <c r="C1071" s="709" t="str">
        <f t="shared" si="192"/>
        <v>3Q20</v>
      </c>
      <c r="D1071" s="710">
        <f t="shared" si="194"/>
        <v>44047</v>
      </c>
      <c r="E1071" s="710">
        <f t="shared" si="194"/>
        <v>43987</v>
      </c>
      <c r="F1071" s="724">
        <f t="shared" si="195"/>
        <v>67.55</v>
      </c>
      <c r="G1071" s="713">
        <f t="shared" si="193"/>
        <v>1.4900000000000011</v>
      </c>
    </row>
    <row r="1072" spans="1:7" x14ac:dyDescent="0.2">
      <c r="A1072" s="709">
        <f t="shared" si="190"/>
        <v>43983</v>
      </c>
      <c r="B1072" s="709" t="str">
        <f t="shared" si="191"/>
        <v>2Q20</v>
      </c>
      <c r="C1072" s="709" t="str">
        <f t="shared" si="192"/>
        <v>3Q20</v>
      </c>
      <c r="D1072" s="710">
        <f t="shared" si="194"/>
        <v>44054</v>
      </c>
      <c r="E1072" s="710">
        <f t="shared" si="194"/>
        <v>43994</v>
      </c>
      <c r="F1072" s="724">
        <f t="shared" si="195"/>
        <v>67.55</v>
      </c>
      <c r="G1072" s="713">
        <f t="shared" si="193"/>
        <v>1.4900000000000011</v>
      </c>
    </row>
    <row r="1073" spans="1:7" x14ac:dyDescent="0.2">
      <c r="A1073" s="709">
        <f t="shared" si="190"/>
        <v>43983</v>
      </c>
      <c r="B1073" s="709" t="str">
        <f t="shared" si="191"/>
        <v>2Q20</v>
      </c>
      <c r="C1073" s="709" t="str">
        <f t="shared" si="192"/>
        <v>3Q20</v>
      </c>
      <c r="D1073" s="710">
        <f t="shared" si="194"/>
        <v>44061</v>
      </c>
      <c r="E1073" s="710">
        <f t="shared" si="194"/>
        <v>44001</v>
      </c>
      <c r="F1073" s="724">
        <f t="shared" si="195"/>
        <v>67.55</v>
      </c>
      <c r="G1073" s="713">
        <f t="shared" si="193"/>
        <v>1.4900000000000011</v>
      </c>
    </row>
    <row r="1074" spans="1:7" x14ac:dyDescent="0.2">
      <c r="A1074" s="709">
        <f t="shared" si="190"/>
        <v>43983</v>
      </c>
      <c r="B1074" s="709" t="str">
        <f t="shared" si="191"/>
        <v>2Q20</v>
      </c>
      <c r="C1074" s="709" t="str">
        <f t="shared" si="192"/>
        <v>3Q20</v>
      </c>
      <c r="D1074" s="710">
        <f t="shared" si="194"/>
        <v>44068</v>
      </c>
      <c r="E1074" s="710">
        <f t="shared" si="194"/>
        <v>44008</v>
      </c>
      <c r="F1074" s="724">
        <f t="shared" si="195"/>
        <v>67.55</v>
      </c>
      <c r="G1074" s="713">
        <f t="shared" si="193"/>
        <v>1.4900000000000011</v>
      </c>
    </row>
    <row r="1075" spans="1:7" x14ac:dyDescent="0.2">
      <c r="A1075" s="709">
        <f t="shared" si="190"/>
        <v>44013</v>
      </c>
      <c r="B1075" s="709" t="str">
        <f t="shared" si="191"/>
        <v>3Q20</v>
      </c>
      <c r="C1075" s="709" t="str">
        <f t="shared" si="192"/>
        <v>3Q20</v>
      </c>
      <c r="D1075" s="710">
        <f t="shared" si="194"/>
        <v>44075</v>
      </c>
      <c r="E1075" s="710">
        <f t="shared" si="194"/>
        <v>44015</v>
      </c>
      <c r="F1075" s="724">
        <f t="shared" si="195"/>
        <v>67.55</v>
      </c>
      <c r="G1075" s="713">
        <f t="shared" si="193"/>
        <v>1.4900000000000011</v>
      </c>
    </row>
    <row r="1076" spans="1:7" x14ac:dyDescent="0.2">
      <c r="A1076" s="709">
        <f t="shared" si="190"/>
        <v>44013</v>
      </c>
      <c r="B1076" s="709" t="str">
        <f t="shared" si="191"/>
        <v>3Q20</v>
      </c>
      <c r="C1076" s="709" t="str">
        <f t="shared" si="192"/>
        <v>3Q20</v>
      </c>
      <c r="D1076" s="710">
        <f t="shared" si="194"/>
        <v>44082</v>
      </c>
      <c r="E1076" s="710">
        <f t="shared" si="194"/>
        <v>44022</v>
      </c>
      <c r="F1076" s="724">
        <f t="shared" si="195"/>
        <v>67.55</v>
      </c>
      <c r="G1076" s="713">
        <f t="shared" si="193"/>
        <v>1.4900000000000011</v>
      </c>
    </row>
    <row r="1077" spans="1:7" x14ac:dyDescent="0.2">
      <c r="A1077" s="709">
        <f t="shared" si="190"/>
        <v>44013</v>
      </c>
      <c r="B1077" s="709" t="str">
        <f t="shared" si="191"/>
        <v>3Q20</v>
      </c>
      <c r="C1077" s="709" t="str">
        <f t="shared" si="192"/>
        <v>3Q20</v>
      </c>
      <c r="D1077" s="710">
        <f t="shared" ref="D1077:E1092" si="196">D1076+7</f>
        <v>44089</v>
      </c>
      <c r="E1077" s="710">
        <f t="shared" si="196"/>
        <v>44029</v>
      </c>
      <c r="F1077" s="724">
        <f t="shared" si="195"/>
        <v>67.55</v>
      </c>
      <c r="G1077" s="713">
        <f t="shared" si="193"/>
        <v>1.4900000000000011</v>
      </c>
    </row>
    <row r="1078" spans="1:7" x14ac:dyDescent="0.2">
      <c r="A1078" s="709">
        <f t="shared" si="190"/>
        <v>44013</v>
      </c>
      <c r="B1078" s="709" t="str">
        <f t="shared" si="191"/>
        <v>3Q20</v>
      </c>
      <c r="C1078" s="709" t="str">
        <f t="shared" si="192"/>
        <v>3Q20</v>
      </c>
      <c r="D1078" s="710">
        <f t="shared" si="196"/>
        <v>44096</v>
      </c>
      <c r="E1078" s="710">
        <f t="shared" si="196"/>
        <v>44036</v>
      </c>
      <c r="F1078" s="724">
        <f t="shared" si="195"/>
        <v>67.55</v>
      </c>
      <c r="G1078" s="713">
        <f t="shared" si="193"/>
        <v>1.4900000000000011</v>
      </c>
    </row>
    <row r="1079" spans="1:7" x14ac:dyDescent="0.2">
      <c r="A1079" s="709">
        <f t="shared" si="190"/>
        <v>44013</v>
      </c>
      <c r="B1079" s="709" t="str">
        <f t="shared" si="191"/>
        <v>3Q20</v>
      </c>
      <c r="C1079" s="709" t="str">
        <f t="shared" si="192"/>
        <v>3Q20</v>
      </c>
      <c r="D1079" s="710">
        <f t="shared" si="196"/>
        <v>44103</v>
      </c>
      <c r="E1079" s="710">
        <f t="shared" si="196"/>
        <v>44043</v>
      </c>
      <c r="F1079" s="724">
        <f t="shared" si="195"/>
        <v>67.55</v>
      </c>
      <c r="G1079" s="713">
        <f t="shared" si="193"/>
        <v>1.4900000000000011</v>
      </c>
    </row>
    <row r="1080" spans="1:7" x14ac:dyDescent="0.2">
      <c r="A1080" s="709">
        <f t="shared" si="190"/>
        <v>44044</v>
      </c>
      <c r="B1080" s="709" t="str">
        <f t="shared" si="191"/>
        <v>3Q20</v>
      </c>
      <c r="C1080" s="709" t="str">
        <f t="shared" si="192"/>
        <v>4Q20</v>
      </c>
      <c r="D1080" s="710">
        <f t="shared" si="196"/>
        <v>44110</v>
      </c>
      <c r="E1080" s="710">
        <f t="shared" si="196"/>
        <v>44050</v>
      </c>
      <c r="F1080" s="724">
        <f t="shared" si="195"/>
        <v>67.55</v>
      </c>
      <c r="G1080" s="713">
        <f t="shared" si="193"/>
        <v>1.4900000000000011</v>
      </c>
    </row>
    <row r="1081" spans="1:7" x14ac:dyDescent="0.2">
      <c r="A1081" s="709">
        <f t="shared" si="190"/>
        <v>44044</v>
      </c>
      <c r="B1081" s="709" t="str">
        <f t="shared" si="191"/>
        <v>3Q20</v>
      </c>
      <c r="C1081" s="709" t="str">
        <f t="shared" si="192"/>
        <v>4Q20</v>
      </c>
      <c r="D1081" s="710">
        <f t="shared" si="196"/>
        <v>44117</v>
      </c>
      <c r="E1081" s="710">
        <f t="shared" si="196"/>
        <v>44057</v>
      </c>
      <c r="F1081" s="724">
        <f t="shared" si="195"/>
        <v>67.55</v>
      </c>
      <c r="G1081" s="713">
        <f t="shared" si="193"/>
        <v>1.4900000000000011</v>
      </c>
    </row>
    <row r="1082" spans="1:7" x14ac:dyDescent="0.2">
      <c r="A1082" s="709">
        <f t="shared" si="190"/>
        <v>44044</v>
      </c>
      <c r="B1082" s="709" t="str">
        <f t="shared" si="191"/>
        <v>3Q20</v>
      </c>
      <c r="C1082" s="709" t="str">
        <f t="shared" si="192"/>
        <v>4Q20</v>
      </c>
      <c r="D1082" s="710">
        <f t="shared" si="196"/>
        <v>44124</v>
      </c>
      <c r="E1082" s="710">
        <f t="shared" si="196"/>
        <v>44064</v>
      </c>
      <c r="F1082" s="724">
        <f t="shared" si="195"/>
        <v>67.55</v>
      </c>
      <c r="G1082" s="713">
        <f t="shared" si="193"/>
        <v>1.4900000000000011</v>
      </c>
    </row>
    <row r="1083" spans="1:7" x14ac:dyDescent="0.2">
      <c r="A1083" s="709">
        <f t="shared" si="190"/>
        <v>44044</v>
      </c>
      <c r="B1083" s="709" t="str">
        <f t="shared" si="191"/>
        <v>3Q20</v>
      </c>
      <c r="C1083" s="709" t="str">
        <f t="shared" si="192"/>
        <v>4Q20</v>
      </c>
      <c r="D1083" s="710">
        <f t="shared" si="196"/>
        <v>44131</v>
      </c>
      <c r="E1083" s="710">
        <f t="shared" si="196"/>
        <v>44071</v>
      </c>
      <c r="F1083" s="724">
        <f t="shared" si="195"/>
        <v>67.55</v>
      </c>
      <c r="G1083" s="713">
        <f t="shared" si="193"/>
        <v>1.4900000000000011</v>
      </c>
    </row>
    <row r="1084" spans="1:7" x14ac:dyDescent="0.2">
      <c r="A1084" s="709">
        <f t="shared" si="190"/>
        <v>44075</v>
      </c>
      <c r="B1084" s="709" t="str">
        <f t="shared" si="191"/>
        <v>3Q20</v>
      </c>
      <c r="C1084" s="709" t="str">
        <f t="shared" si="192"/>
        <v>4Q20</v>
      </c>
      <c r="D1084" s="710">
        <f t="shared" si="196"/>
        <v>44138</v>
      </c>
      <c r="E1084" s="710">
        <f t="shared" si="196"/>
        <v>44078</v>
      </c>
      <c r="F1084" s="724">
        <f t="shared" si="195"/>
        <v>67.55</v>
      </c>
      <c r="G1084" s="713">
        <f t="shared" si="193"/>
        <v>1.4900000000000011</v>
      </c>
    </row>
    <row r="1085" spans="1:7" x14ac:dyDescent="0.2">
      <c r="A1085" s="709">
        <f t="shared" si="190"/>
        <v>44075</v>
      </c>
      <c r="B1085" s="709" t="str">
        <f t="shared" si="191"/>
        <v>3Q20</v>
      </c>
      <c r="C1085" s="709" t="str">
        <f t="shared" si="192"/>
        <v>4Q20</v>
      </c>
      <c r="D1085" s="710">
        <f t="shared" si="196"/>
        <v>44145</v>
      </c>
      <c r="E1085" s="710">
        <f t="shared" si="196"/>
        <v>44085</v>
      </c>
      <c r="F1085" s="724">
        <f t="shared" si="195"/>
        <v>67.55</v>
      </c>
      <c r="G1085" s="713">
        <f t="shared" si="193"/>
        <v>1.4900000000000011</v>
      </c>
    </row>
    <row r="1086" spans="1:7" x14ac:dyDescent="0.2">
      <c r="A1086" s="709">
        <f t="shared" si="190"/>
        <v>44075</v>
      </c>
      <c r="B1086" s="709" t="str">
        <f t="shared" si="191"/>
        <v>3Q20</v>
      </c>
      <c r="C1086" s="709" t="str">
        <f t="shared" si="192"/>
        <v>4Q20</v>
      </c>
      <c r="D1086" s="710">
        <f t="shared" si="196"/>
        <v>44152</v>
      </c>
      <c r="E1086" s="710">
        <f t="shared" si="196"/>
        <v>44092</v>
      </c>
      <c r="F1086" s="724">
        <f t="shared" si="195"/>
        <v>67.55</v>
      </c>
      <c r="G1086" s="713">
        <f t="shared" si="193"/>
        <v>1.4900000000000011</v>
      </c>
    </row>
    <row r="1087" spans="1:7" x14ac:dyDescent="0.2">
      <c r="A1087" s="709">
        <f t="shared" si="190"/>
        <v>44075</v>
      </c>
      <c r="B1087" s="709" t="str">
        <f t="shared" si="191"/>
        <v>3Q20</v>
      </c>
      <c r="C1087" s="709" t="str">
        <f t="shared" si="192"/>
        <v>4Q20</v>
      </c>
      <c r="D1087" s="710">
        <f t="shared" si="196"/>
        <v>44159</v>
      </c>
      <c r="E1087" s="710">
        <f t="shared" si="196"/>
        <v>44099</v>
      </c>
      <c r="F1087" s="724">
        <f t="shared" si="195"/>
        <v>67.55</v>
      </c>
      <c r="G1087" s="713">
        <f t="shared" si="193"/>
        <v>1.4900000000000011</v>
      </c>
    </row>
    <row r="1088" spans="1:7" x14ac:dyDescent="0.2">
      <c r="A1088" s="709">
        <f t="shared" si="190"/>
        <v>44105</v>
      </c>
      <c r="B1088" s="709" t="str">
        <f t="shared" si="191"/>
        <v>4Q20</v>
      </c>
      <c r="C1088" s="709" t="str">
        <f t="shared" si="192"/>
        <v>4Q20</v>
      </c>
      <c r="D1088" s="710">
        <f t="shared" si="196"/>
        <v>44166</v>
      </c>
      <c r="E1088" s="710">
        <f t="shared" si="196"/>
        <v>44106</v>
      </c>
      <c r="F1088" s="724">
        <f t="shared" si="195"/>
        <v>67.55</v>
      </c>
      <c r="G1088" s="713">
        <f t="shared" si="193"/>
        <v>1.4900000000000011</v>
      </c>
    </row>
    <row r="1089" spans="1:7" x14ac:dyDescent="0.2">
      <c r="A1089" s="709">
        <f t="shared" si="190"/>
        <v>44105</v>
      </c>
      <c r="B1089" s="709" t="str">
        <f t="shared" si="191"/>
        <v>4Q20</v>
      </c>
      <c r="C1089" s="709" t="str">
        <f t="shared" si="192"/>
        <v>4Q20</v>
      </c>
      <c r="D1089" s="710">
        <f t="shared" si="196"/>
        <v>44173</v>
      </c>
      <c r="E1089" s="710">
        <f t="shared" si="196"/>
        <v>44113</v>
      </c>
      <c r="F1089" s="724">
        <f t="shared" si="195"/>
        <v>67.55</v>
      </c>
      <c r="G1089" s="713">
        <f t="shared" si="193"/>
        <v>1.4900000000000011</v>
      </c>
    </row>
    <row r="1090" spans="1:7" x14ac:dyDescent="0.2">
      <c r="A1090" s="709">
        <f t="shared" si="190"/>
        <v>44105</v>
      </c>
      <c r="B1090" s="709" t="str">
        <f t="shared" si="191"/>
        <v>4Q20</v>
      </c>
      <c r="C1090" s="709" t="str">
        <f t="shared" si="192"/>
        <v>4Q20</v>
      </c>
      <c r="D1090" s="710">
        <f t="shared" si="196"/>
        <v>44180</v>
      </c>
      <c r="E1090" s="710">
        <f t="shared" si="196"/>
        <v>44120</v>
      </c>
      <c r="F1090" s="724">
        <f t="shared" si="195"/>
        <v>67.55</v>
      </c>
      <c r="G1090" s="713">
        <f t="shared" si="193"/>
        <v>1.4900000000000011</v>
      </c>
    </row>
    <row r="1091" spans="1:7" x14ac:dyDescent="0.2">
      <c r="A1091" s="709">
        <f t="shared" si="190"/>
        <v>44105</v>
      </c>
      <c r="B1091" s="709" t="str">
        <f t="shared" si="191"/>
        <v>4Q20</v>
      </c>
      <c r="C1091" s="709" t="str">
        <f t="shared" si="192"/>
        <v>4Q20</v>
      </c>
      <c r="D1091" s="710">
        <f t="shared" si="196"/>
        <v>44187</v>
      </c>
      <c r="E1091" s="710">
        <f t="shared" si="196"/>
        <v>44127</v>
      </c>
      <c r="F1091" s="724">
        <f t="shared" si="195"/>
        <v>67.55</v>
      </c>
      <c r="G1091" s="713">
        <f t="shared" si="193"/>
        <v>1.4900000000000011</v>
      </c>
    </row>
    <row r="1092" spans="1:7" x14ac:dyDescent="0.2">
      <c r="A1092" s="709">
        <f t="shared" si="190"/>
        <v>44105</v>
      </c>
      <c r="B1092" s="709" t="str">
        <f t="shared" si="191"/>
        <v>4Q20</v>
      </c>
      <c r="C1092" s="709" t="str">
        <f t="shared" si="192"/>
        <v>4Q20</v>
      </c>
      <c r="D1092" s="710">
        <f t="shared" si="196"/>
        <v>44194</v>
      </c>
      <c r="E1092" s="710">
        <f t="shared" si="196"/>
        <v>44134</v>
      </c>
      <c r="F1092" s="724">
        <f t="shared" si="195"/>
        <v>67.55</v>
      </c>
      <c r="G1092" s="713">
        <f t="shared" si="193"/>
        <v>1.4900000000000011</v>
      </c>
    </row>
    <row r="1093" spans="1:7" x14ac:dyDescent="0.2">
      <c r="A1093" s="709">
        <f t="shared" si="190"/>
        <v>44136</v>
      </c>
      <c r="B1093" s="709" t="str">
        <f t="shared" si="191"/>
        <v>4Q20</v>
      </c>
      <c r="C1093" s="709" t="str">
        <f t="shared" si="192"/>
        <v>1Q21</v>
      </c>
      <c r="D1093" s="710">
        <f t="shared" ref="D1093:E1104" si="197">D1092+7</f>
        <v>44201</v>
      </c>
      <c r="E1093" s="710">
        <f t="shared" si="197"/>
        <v>44141</v>
      </c>
      <c r="F1093" s="724">
        <f t="shared" si="195"/>
        <v>67.55</v>
      </c>
      <c r="G1093" s="713">
        <f t="shared" si="193"/>
        <v>1.4900000000000011</v>
      </c>
    </row>
    <row r="1094" spans="1:7" x14ac:dyDescent="0.2">
      <c r="A1094" s="709">
        <f t="shared" si="190"/>
        <v>44136</v>
      </c>
      <c r="B1094" s="709" t="str">
        <f t="shared" si="191"/>
        <v>4Q20</v>
      </c>
      <c r="C1094" s="709" t="str">
        <f t="shared" si="192"/>
        <v>1Q21</v>
      </c>
      <c r="D1094" s="710">
        <f t="shared" si="197"/>
        <v>44208</v>
      </c>
      <c r="E1094" s="710">
        <f t="shared" si="197"/>
        <v>44148</v>
      </c>
      <c r="F1094" s="724">
        <f t="shared" si="195"/>
        <v>67.55</v>
      </c>
      <c r="G1094" s="713">
        <f t="shared" si="193"/>
        <v>1.4900000000000011</v>
      </c>
    </row>
    <row r="1095" spans="1:7" x14ac:dyDescent="0.2">
      <c r="A1095" s="709">
        <f t="shared" si="190"/>
        <v>44136</v>
      </c>
      <c r="B1095" s="709" t="str">
        <f t="shared" si="191"/>
        <v>4Q20</v>
      </c>
      <c r="C1095" s="709" t="str">
        <f t="shared" si="192"/>
        <v>1Q21</v>
      </c>
      <c r="D1095" s="710">
        <f t="shared" si="197"/>
        <v>44215</v>
      </c>
      <c r="E1095" s="710">
        <f t="shared" si="197"/>
        <v>44155</v>
      </c>
      <c r="F1095" s="724">
        <f t="shared" si="195"/>
        <v>67.55</v>
      </c>
      <c r="G1095" s="713">
        <f t="shared" si="193"/>
        <v>1.4900000000000011</v>
      </c>
    </row>
    <row r="1096" spans="1:7" x14ac:dyDescent="0.2">
      <c r="A1096" s="709">
        <f t="shared" si="190"/>
        <v>44136</v>
      </c>
      <c r="B1096" s="709" t="str">
        <f t="shared" si="191"/>
        <v>4Q20</v>
      </c>
      <c r="C1096" s="709" t="str">
        <f t="shared" si="192"/>
        <v>1Q21</v>
      </c>
      <c r="D1096" s="710">
        <f t="shared" si="197"/>
        <v>44222</v>
      </c>
      <c r="E1096" s="710">
        <f t="shared" si="197"/>
        <v>44162</v>
      </c>
      <c r="F1096" s="724">
        <f t="shared" si="195"/>
        <v>67.55</v>
      </c>
      <c r="G1096" s="713">
        <f t="shared" si="193"/>
        <v>1.4900000000000011</v>
      </c>
    </row>
    <row r="1097" spans="1:7" x14ac:dyDescent="0.2">
      <c r="A1097" s="709">
        <f t="shared" si="190"/>
        <v>44166</v>
      </c>
      <c r="B1097" s="709" t="str">
        <f t="shared" si="191"/>
        <v>4Q20</v>
      </c>
      <c r="C1097" s="709" t="str">
        <f t="shared" si="192"/>
        <v>1Q21</v>
      </c>
      <c r="D1097" s="710">
        <f t="shared" si="197"/>
        <v>44229</v>
      </c>
      <c r="E1097" s="710">
        <f t="shared" si="197"/>
        <v>44169</v>
      </c>
      <c r="F1097" s="724">
        <f t="shared" si="195"/>
        <v>67.55</v>
      </c>
      <c r="G1097" s="713">
        <f t="shared" si="193"/>
        <v>1.4900000000000011</v>
      </c>
    </row>
    <row r="1098" spans="1:7" x14ac:dyDescent="0.2">
      <c r="A1098" s="709">
        <f t="shared" si="190"/>
        <v>44166</v>
      </c>
      <c r="B1098" s="709" t="str">
        <f t="shared" si="191"/>
        <v>4Q20</v>
      </c>
      <c r="C1098" s="709" t="str">
        <f t="shared" si="192"/>
        <v>1Q21</v>
      </c>
      <c r="D1098" s="710">
        <f t="shared" si="197"/>
        <v>44236</v>
      </c>
      <c r="E1098" s="710">
        <f t="shared" si="197"/>
        <v>44176</v>
      </c>
      <c r="F1098" s="724">
        <f t="shared" si="195"/>
        <v>67.55</v>
      </c>
      <c r="G1098" s="713">
        <f t="shared" si="193"/>
        <v>1.4900000000000011</v>
      </c>
    </row>
    <row r="1099" spans="1:7" x14ac:dyDescent="0.2">
      <c r="A1099" s="709">
        <f t="shared" si="190"/>
        <v>44166</v>
      </c>
      <c r="B1099" s="709" t="str">
        <f t="shared" si="191"/>
        <v>4Q20</v>
      </c>
      <c r="C1099" s="709" t="str">
        <f t="shared" si="192"/>
        <v>1Q21</v>
      </c>
      <c r="D1099" s="710">
        <f t="shared" si="197"/>
        <v>44243</v>
      </c>
      <c r="E1099" s="710">
        <f t="shared" si="197"/>
        <v>44183</v>
      </c>
      <c r="F1099" s="724">
        <f t="shared" si="195"/>
        <v>67.55</v>
      </c>
      <c r="G1099" s="713">
        <f t="shared" si="193"/>
        <v>1.4900000000000011</v>
      </c>
    </row>
    <row r="1100" spans="1:7" x14ac:dyDescent="0.2">
      <c r="A1100" s="709">
        <f t="shared" si="190"/>
        <v>44166</v>
      </c>
      <c r="B1100" s="709" t="str">
        <f t="shared" si="191"/>
        <v>4Q20</v>
      </c>
      <c r="C1100" s="709" t="str">
        <f t="shared" si="192"/>
        <v>1Q21</v>
      </c>
      <c r="D1100" s="710">
        <f t="shared" si="197"/>
        <v>44250</v>
      </c>
      <c r="E1100" s="710">
        <f t="shared" si="197"/>
        <v>44190</v>
      </c>
      <c r="F1100" s="724">
        <f t="shared" si="195"/>
        <v>67.55</v>
      </c>
      <c r="G1100" s="713">
        <f t="shared" si="193"/>
        <v>1.4900000000000011</v>
      </c>
    </row>
    <row r="1101" spans="1:7" x14ac:dyDescent="0.2">
      <c r="A1101" s="709">
        <f t="shared" si="190"/>
        <v>44197</v>
      </c>
      <c r="B1101" s="709" t="str">
        <f t="shared" si="191"/>
        <v>1Q21</v>
      </c>
      <c r="C1101" s="709" t="str">
        <f t="shared" si="192"/>
        <v>1Q21</v>
      </c>
      <c r="D1101" s="710">
        <f t="shared" si="197"/>
        <v>44257</v>
      </c>
      <c r="E1101" s="710">
        <f t="shared" si="197"/>
        <v>44197</v>
      </c>
      <c r="F1101" s="724">
        <f t="shared" si="195"/>
        <v>67.55</v>
      </c>
      <c r="G1101" s="713">
        <f t="shared" si="193"/>
        <v>1.4900000000000011</v>
      </c>
    </row>
    <row r="1102" spans="1:7" x14ac:dyDescent="0.2">
      <c r="A1102" s="709">
        <f t="shared" si="190"/>
        <v>44197</v>
      </c>
      <c r="B1102" s="709" t="str">
        <f t="shared" si="191"/>
        <v>1Q21</v>
      </c>
      <c r="C1102" s="709" t="str">
        <f t="shared" si="192"/>
        <v>1Q21</v>
      </c>
      <c r="D1102" s="710">
        <f t="shared" si="197"/>
        <v>44264</v>
      </c>
      <c r="E1102" s="710">
        <f t="shared" si="197"/>
        <v>44204</v>
      </c>
      <c r="F1102" s="724">
        <f t="shared" si="195"/>
        <v>67.55</v>
      </c>
      <c r="G1102" s="713">
        <f t="shared" si="193"/>
        <v>1.4900000000000011</v>
      </c>
    </row>
    <row r="1103" spans="1:7" x14ac:dyDescent="0.2">
      <c r="A1103" s="709">
        <f t="shared" si="190"/>
        <v>44197</v>
      </c>
      <c r="B1103" s="709" t="str">
        <f t="shared" si="191"/>
        <v>1Q21</v>
      </c>
      <c r="C1103" s="709" t="str">
        <f t="shared" si="192"/>
        <v>1Q21</v>
      </c>
      <c r="D1103" s="710">
        <f t="shared" si="197"/>
        <v>44271</v>
      </c>
      <c r="E1103" s="710">
        <f t="shared" si="197"/>
        <v>44211</v>
      </c>
      <c r="F1103" s="724">
        <f t="shared" si="195"/>
        <v>67.55</v>
      </c>
      <c r="G1103" s="713">
        <f t="shared" si="193"/>
        <v>1.4900000000000011</v>
      </c>
    </row>
    <row r="1104" spans="1:7" x14ac:dyDescent="0.2">
      <c r="A1104" s="709">
        <f t="shared" si="190"/>
        <v>44197</v>
      </c>
      <c r="B1104" s="709" t="str">
        <f t="shared" si="191"/>
        <v>1Q21</v>
      </c>
      <c r="C1104" s="709" t="str">
        <f t="shared" si="192"/>
        <v>1Q21</v>
      </c>
      <c r="D1104" s="710">
        <f t="shared" si="197"/>
        <v>44278</v>
      </c>
      <c r="E1104" s="710">
        <f t="shared" si="197"/>
        <v>44218</v>
      </c>
      <c r="F1104" s="724">
        <f t="shared" si="195"/>
        <v>67.55</v>
      </c>
      <c r="G1104" s="713">
        <f t="shared" si="193"/>
        <v>1.4900000000000011</v>
      </c>
    </row>
  </sheetData>
  <mergeCells count="1">
    <mergeCell ref="I2:K2"/>
  </mergeCells>
  <phoneticPr fontId="18"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IV614"/>
  <sheetViews>
    <sheetView zoomScaleNormal="100" workbookViewId="0">
      <pane xSplit="4" ySplit="2" topLeftCell="E441" activePane="bottomRight" state="frozen"/>
      <selection activeCell="CD8" sqref="CD8"/>
      <selection pane="topRight" activeCell="CD8" sqref="CD8"/>
      <selection pane="bottomLeft" activeCell="CD8" sqref="CD8"/>
      <selection pane="bottomRight" activeCell="E462" sqref="E462"/>
    </sheetView>
  </sheetViews>
  <sheetFormatPr defaultColWidth="8" defaultRowHeight="12.75" x14ac:dyDescent="0.2"/>
  <cols>
    <col min="1" max="2" width="8" style="675" customWidth="1"/>
    <col min="3" max="3" width="9.875" style="675" customWidth="1"/>
    <col min="4" max="4" width="8" style="675" customWidth="1"/>
    <col min="5" max="5" width="12.25" style="675" customWidth="1"/>
    <col min="6" max="6" width="2.375" style="675" customWidth="1"/>
    <col min="7" max="7" width="30.75" style="675" customWidth="1"/>
    <col min="8" max="16384" width="8" style="675"/>
  </cols>
  <sheetData>
    <row r="1" spans="1:102" ht="12.75" customHeight="1" x14ac:dyDescent="0.2">
      <c r="A1" s="673"/>
      <c r="B1" s="673"/>
      <c r="C1" s="673"/>
      <c r="D1" s="673"/>
      <c r="E1" s="673"/>
      <c r="F1" s="674"/>
      <c r="G1" s="673"/>
      <c r="H1" s="673"/>
      <c r="I1" s="673"/>
      <c r="J1" s="673"/>
      <c r="K1" s="673"/>
      <c r="L1" s="673"/>
      <c r="M1" s="673"/>
      <c r="N1" s="673"/>
      <c r="O1" s="673"/>
      <c r="P1" s="673"/>
      <c r="Q1" s="673"/>
      <c r="R1" s="673"/>
      <c r="S1" s="673"/>
      <c r="T1" s="673"/>
      <c r="U1" s="673"/>
      <c r="V1" s="673"/>
      <c r="W1" s="673"/>
      <c r="X1" s="673"/>
      <c r="Y1" s="673"/>
      <c r="Z1" s="673"/>
      <c r="AA1" s="673"/>
      <c r="AB1" s="673"/>
      <c r="AC1" s="673"/>
      <c r="AD1" s="673"/>
      <c r="AE1" s="673"/>
      <c r="AF1" s="673"/>
      <c r="AG1" s="673"/>
      <c r="AH1" s="673"/>
      <c r="AI1" s="673"/>
      <c r="AJ1" s="673"/>
      <c r="AK1" s="673"/>
      <c r="AL1" s="673"/>
      <c r="AM1" s="673"/>
      <c r="AN1" s="673"/>
      <c r="AO1" s="673"/>
      <c r="AP1" s="673"/>
      <c r="AQ1" s="673"/>
      <c r="AR1" s="673"/>
      <c r="AS1" s="673"/>
      <c r="AT1" s="673"/>
      <c r="AU1" s="673"/>
      <c r="AV1" s="673"/>
      <c r="AW1" s="673"/>
      <c r="AX1" s="673"/>
      <c r="AY1" s="673"/>
      <c r="AZ1" s="673"/>
      <c r="BA1" s="673"/>
      <c r="BB1" s="673"/>
      <c r="BC1" s="673"/>
      <c r="BD1" s="673"/>
      <c r="BE1" s="673"/>
      <c r="BF1" s="673"/>
      <c r="BG1" s="673"/>
      <c r="BH1" s="673"/>
      <c r="BI1" s="673"/>
      <c r="BJ1" s="673"/>
      <c r="BK1" s="673"/>
      <c r="BL1" s="673"/>
      <c r="BM1" s="673"/>
      <c r="BN1" s="673"/>
      <c r="BO1" s="673"/>
      <c r="BP1" s="673"/>
      <c r="BQ1" s="673"/>
      <c r="BR1" s="673"/>
      <c r="BS1" s="673"/>
      <c r="BT1" s="673"/>
      <c r="BU1" s="673"/>
      <c r="BV1" s="673"/>
      <c r="BW1" s="673"/>
      <c r="BX1" s="673"/>
      <c r="BY1" s="673"/>
      <c r="BZ1" s="673"/>
      <c r="CA1" s="673"/>
      <c r="CB1" s="673"/>
      <c r="CC1" s="673"/>
      <c r="CD1" s="673"/>
      <c r="CE1" s="673"/>
      <c r="CF1" s="673"/>
      <c r="CG1" s="673"/>
      <c r="CH1" s="673"/>
      <c r="CI1" s="673"/>
      <c r="CJ1" s="673"/>
      <c r="CK1" s="673"/>
      <c r="CL1" s="673"/>
      <c r="CM1" s="673"/>
      <c r="CN1" s="673"/>
      <c r="CO1" s="673"/>
      <c r="CP1" s="673"/>
      <c r="CQ1" s="673"/>
      <c r="CR1" s="673"/>
      <c r="CS1" s="673"/>
      <c r="CT1" s="673"/>
      <c r="CU1" s="673"/>
      <c r="CV1" s="673"/>
      <c r="CW1" s="673"/>
      <c r="CX1" s="673"/>
    </row>
    <row r="2" spans="1:102" ht="24" x14ac:dyDescent="0.2">
      <c r="A2" s="676" t="s">
        <v>222</v>
      </c>
      <c r="B2" s="676" t="s">
        <v>223</v>
      </c>
      <c r="C2" s="676" t="s">
        <v>595</v>
      </c>
      <c r="D2" s="676"/>
      <c r="E2" s="676" t="s">
        <v>556</v>
      </c>
      <c r="F2" s="674"/>
      <c r="G2" s="677" t="s">
        <v>287</v>
      </c>
      <c r="H2" s="677"/>
      <c r="I2" s="677"/>
      <c r="J2" s="677"/>
      <c r="K2" s="677"/>
      <c r="L2" s="677"/>
      <c r="M2" s="677"/>
      <c r="N2" s="677"/>
      <c r="O2" s="677"/>
      <c r="P2" s="677"/>
      <c r="Q2" s="677"/>
      <c r="R2" s="677"/>
      <c r="S2" s="677"/>
      <c r="T2" s="677"/>
      <c r="U2" s="677"/>
      <c r="V2" s="677"/>
      <c r="W2" s="677"/>
      <c r="X2" s="677"/>
      <c r="Y2" s="677"/>
      <c r="Z2" s="677"/>
      <c r="AA2" s="677"/>
      <c r="AB2" s="677"/>
      <c r="AC2" s="677"/>
      <c r="AD2" s="677"/>
      <c r="AE2" s="677"/>
      <c r="AF2" s="677"/>
      <c r="AG2" s="677"/>
      <c r="AH2" s="677"/>
      <c r="AI2" s="677"/>
      <c r="AJ2" s="677"/>
      <c r="AK2" s="677"/>
      <c r="AL2" s="677"/>
      <c r="AM2" s="677"/>
      <c r="AN2" s="677"/>
      <c r="AO2" s="677"/>
      <c r="AP2" s="677"/>
      <c r="AQ2" s="677"/>
      <c r="AR2" s="677"/>
      <c r="AS2" s="677"/>
      <c r="AT2" s="677"/>
      <c r="AU2" s="677"/>
      <c r="AV2" s="677"/>
      <c r="AW2" s="677"/>
      <c r="AX2" s="677"/>
      <c r="AY2" s="677"/>
      <c r="AZ2" s="677"/>
      <c r="BA2" s="677"/>
      <c r="BB2" s="677"/>
      <c r="BC2" s="677"/>
      <c r="BD2" s="677"/>
      <c r="BE2" s="677"/>
      <c r="BF2" s="677"/>
      <c r="BG2" s="677"/>
      <c r="BH2" s="677"/>
      <c r="BI2" s="677"/>
      <c r="BJ2" s="677"/>
      <c r="BK2" s="677"/>
      <c r="BL2" s="677"/>
      <c r="BM2" s="677"/>
      <c r="BN2" s="677"/>
      <c r="BO2" s="677"/>
      <c r="BP2" s="677"/>
      <c r="BQ2" s="677"/>
      <c r="BR2" s="677"/>
      <c r="BS2" s="677"/>
      <c r="BT2" s="677"/>
      <c r="BU2" s="677"/>
      <c r="BV2" s="677"/>
      <c r="BW2" s="677"/>
      <c r="BX2" s="677"/>
      <c r="BY2" s="677"/>
      <c r="BZ2" s="677"/>
      <c r="CA2" s="677"/>
      <c r="CB2" s="677"/>
      <c r="CC2" s="677"/>
      <c r="CD2" s="677"/>
      <c r="CE2" s="677"/>
      <c r="CF2" s="677"/>
      <c r="CG2" s="677"/>
      <c r="CH2" s="677"/>
      <c r="CI2" s="677"/>
      <c r="CJ2" s="677"/>
      <c r="CK2" s="677"/>
      <c r="CL2" s="677"/>
      <c r="CM2" s="677"/>
      <c r="CN2" s="677"/>
      <c r="CO2" s="677"/>
      <c r="CP2" s="677"/>
      <c r="CQ2" s="677"/>
      <c r="CR2" s="677"/>
      <c r="CS2" s="677"/>
      <c r="CT2" s="677"/>
      <c r="CU2" s="677"/>
      <c r="CV2" s="677"/>
      <c r="CW2" s="677"/>
      <c r="CX2" s="677"/>
    </row>
    <row r="3" spans="1:102" x14ac:dyDescent="0.2">
      <c r="A3" s="675">
        <v>1</v>
      </c>
      <c r="B3" s="675">
        <f t="shared" ref="B3:B66" si="0">YEAR(C3)</f>
        <v>2002</v>
      </c>
      <c r="C3" s="678">
        <v>37287</v>
      </c>
      <c r="D3" s="675" t="str">
        <f t="shared" ref="D3:D66" si="1">A3&amp;"Q"&amp;RIGHT(B3,2)</f>
        <v>1Q02</v>
      </c>
      <c r="E3" s="679">
        <v>22.55</v>
      </c>
      <c r="F3" s="674"/>
      <c r="G3" s="680" t="s">
        <v>288</v>
      </c>
      <c r="H3" s="681"/>
      <c r="I3" s="681"/>
      <c r="J3" s="681"/>
      <c r="K3" s="681"/>
      <c r="L3" s="681"/>
      <c r="M3" s="681"/>
      <c r="N3" s="681"/>
      <c r="O3" s="681"/>
      <c r="P3" s="681"/>
      <c r="Q3" s="681"/>
      <c r="R3" s="681"/>
      <c r="S3" s="681"/>
      <c r="T3" s="681"/>
      <c r="U3" s="681"/>
      <c r="V3" s="681"/>
      <c r="W3" s="681"/>
      <c r="X3" s="681"/>
      <c r="Y3" s="681"/>
      <c r="Z3" s="681"/>
      <c r="AA3" s="681"/>
      <c r="AB3" s="681"/>
      <c r="AC3" s="681"/>
      <c r="AD3" s="681"/>
      <c r="AE3" s="681"/>
      <c r="AF3" s="681"/>
      <c r="AG3" s="681"/>
      <c r="AH3" s="681"/>
      <c r="AI3" s="681"/>
      <c r="AJ3" s="681"/>
      <c r="AK3" s="681"/>
      <c r="AL3" s="681"/>
      <c r="AM3" s="681"/>
      <c r="AN3" s="681"/>
      <c r="AO3" s="681"/>
      <c r="AP3" s="681"/>
      <c r="AQ3" s="681"/>
      <c r="AR3" s="681"/>
      <c r="AS3" s="681"/>
      <c r="AT3" s="681"/>
      <c r="AU3" s="681"/>
      <c r="AV3" s="681"/>
      <c r="AW3" s="681"/>
      <c r="AX3" s="681"/>
      <c r="AY3" s="681"/>
      <c r="AZ3" s="681"/>
      <c r="BA3" s="681"/>
      <c r="BB3" s="681"/>
      <c r="BC3" s="681"/>
      <c r="BD3" s="681"/>
      <c r="BE3" s="681"/>
      <c r="BF3" s="681"/>
      <c r="BG3" s="681"/>
      <c r="BH3" s="681"/>
      <c r="BI3" s="681"/>
      <c r="BJ3" s="681"/>
      <c r="BK3" s="681"/>
      <c r="BL3" s="681"/>
      <c r="BM3" s="681"/>
      <c r="BN3" s="681"/>
      <c r="BO3" s="681"/>
      <c r="BP3" s="681"/>
      <c r="BQ3" s="681"/>
      <c r="BR3" s="681"/>
      <c r="BS3" s="681"/>
      <c r="BT3" s="681"/>
      <c r="BU3" s="681"/>
      <c r="BV3" s="681"/>
      <c r="BW3" s="681"/>
      <c r="BX3" s="681"/>
      <c r="BY3" s="681"/>
      <c r="BZ3" s="681"/>
      <c r="CA3" s="681"/>
      <c r="CB3" s="681"/>
      <c r="CC3" s="681"/>
      <c r="CD3" s="681"/>
      <c r="CE3" s="681"/>
      <c r="CF3" s="681"/>
      <c r="CG3" s="681"/>
      <c r="CH3" s="681"/>
      <c r="CI3" s="681"/>
      <c r="CJ3" s="681"/>
      <c r="CK3" s="681"/>
      <c r="CL3" s="681"/>
      <c r="CM3" s="681"/>
      <c r="CN3" s="681"/>
      <c r="CO3" s="681"/>
      <c r="CP3" s="681"/>
      <c r="CQ3" s="681"/>
      <c r="CR3" s="681"/>
      <c r="CS3" s="681"/>
      <c r="CT3" s="681"/>
      <c r="CU3" s="681"/>
      <c r="CV3" s="681"/>
      <c r="CW3" s="681"/>
      <c r="CX3" s="681"/>
    </row>
    <row r="4" spans="1:102" x14ac:dyDescent="0.2">
      <c r="A4" s="675">
        <v>1</v>
      </c>
      <c r="B4" s="675">
        <f t="shared" si="0"/>
        <v>2002</v>
      </c>
      <c r="C4" s="678">
        <v>37315</v>
      </c>
      <c r="D4" s="675" t="str">
        <f t="shared" si="1"/>
        <v>1Q02</v>
      </c>
      <c r="E4" s="679">
        <v>23.79</v>
      </c>
      <c r="F4" s="674"/>
      <c r="G4" s="682" t="s">
        <v>491</v>
      </c>
      <c r="H4" s="682">
        <v>0</v>
      </c>
      <c r="I4" s="682">
        <f t="shared" ref="I4:BK4" si="2">H4+1</f>
        <v>1</v>
      </c>
      <c r="J4" s="682">
        <f t="shared" si="2"/>
        <v>2</v>
      </c>
      <c r="K4" s="682">
        <f t="shared" si="2"/>
        <v>3</v>
      </c>
      <c r="L4" s="682">
        <f t="shared" si="2"/>
        <v>4</v>
      </c>
      <c r="M4" s="682">
        <f t="shared" si="2"/>
        <v>5</v>
      </c>
      <c r="N4" s="682">
        <f t="shared" si="2"/>
        <v>6</v>
      </c>
      <c r="O4" s="682">
        <f t="shared" si="2"/>
        <v>7</v>
      </c>
      <c r="P4" s="682">
        <f t="shared" si="2"/>
        <v>8</v>
      </c>
      <c r="Q4" s="682">
        <f t="shared" si="2"/>
        <v>9</v>
      </c>
      <c r="R4" s="682">
        <f t="shared" si="2"/>
        <v>10</v>
      </c>
      <c r="S4" s="682">
        <f t="shared" si="2"/>
        <v>11</v>
      </c>
      <c r="T4" s="682">
        <f t="shared" si="2"/>
        <v>12</v>
      </c>
      <c r="U4" s="682">
        <f t="shared" si="2"/>
        <v>13</v>
      </c>
      <c r="V4" s="682">
        <f t="shared" si="2"/>
        <v>14</v>
      </c>
      <c r="W4" s="682">
        <f t="shared" si="2"/>
        <v>15</v>
      </c>
      <c r="X4" s="682">
        <f t="shared" si="2"/>
        <v>16</v>
      </c>
      <c r="Y4" s="682">
        <f t="shared" si="2"/>
        <v>17</v>
      </c>
      <c r="Z4" s="682">
        <f t="shared" si="2"/>
        <v>18</v>
      </c>
      <c r="AA4" s="682">
        <f t="shared" si="2"/>
        <v>19</v>
      </c>
      <c r="AB4" s="682">
        <f t="shared" si="2"/>
        <v>20</v>
      </c>
      <c r="AC4" s="682">
        <f t="shared" si="2"/>
        <v>21</v>
      </c>
      <c r="AD4" s="682">
        <f t="shared" si="2"/>
        <v>22</v>
      </c>
      <c r="AE4" s="682">
        <f t="shared" si="2"/>
        <v>23</v>
      </c>
      <c r="AF4" s="682">
        <f t="shared" si="2"/>
        <v>24</v>
      </c>
      <c r="AG4" s="682">
        <f t="shared" si="2"/>
        <v>25</v>
      </c>
      <c r="AH4" s="682">
        <f t="shared" si="2"/>
        <v>26</v>
      </c>
      <c r="AI4" s="682">
        <f t="shared" si="2"/>
        <v>27</v>
      </c>
      <c r="AJ4" s="682">
        <f t="shared" si="2"/>
        <v>28</v>
      </c>
      <c r="AK4" s="682">
        <f t="shared" si="2"/>
        <v>29</v>
      </c>
      <c r="AL4" s="682">
        <f t="shared" si="2"/>
        <v>30</v>
      </c>
      <c r="AM4" s="682">
        <f t="shared" si="2"/>
        <v>31</v>
      </c>
      <c r="AN4" s="682">
        <f t="shared" si="2"/>
        <v>32</v>
      </c>
      <c r="AO4" s="682">
        <f t="shared" si="2"/>
        <v>33</v>
      </c>
      <c r="AP4" s="682">
        <f t="shared" si="2"/>
        <v>34</v>
      </c>
      <c r="AQ4" s="682">
        <f t="shared" si="2"/>
        <v>35</v>
      </c>
      <c r="AR4" s="682">
        <f t="shared" si="2"/>
        <v>36</v>
      </c>
      <c r="AS4" s="682">
        <f t="shared" si="2"/>
        <v>37</v>
      </c>
      <c r="AT4" s="682">
        <f t="shared" si="2"/>
        <v>38</v>
      </c>
      <c r="AU4" s="682">
        <f t="shared" si="2"/>
        <v>39</v>
      </c>
      <c r="AV4" s="682">
        <f t="shared" si="2"/>
        <v>40</v>
      </c>
      <c r="AW4" s="682">
        <f t="shared" si="2"/>
        <v>41</v>
      </c>
      <c r="AX4" s="682">
        <f t="shared" si="2"/>
        <v>42</v>
      </c>
      <c r="AY4" s="682">
        <f t="shared" si="2"/>
        <v>43</v>
      </c>
      <c r="AZ4" s="682">
        <f t="shared" si="2"/>
        <v>44</v>
      </c>
      <c r="BA4" s="682">
        <f t="shared" si="2"/>
        <v>45</v>
      </c>
      <c r="BB4" s="682">
        <f t="shared" si="2"/>
        <v>46</v>
      </c>
      <c r="BC4" s="682">
        <f t="shared" si="2"/>
        <v>47</v>
      </c>
      <c r="BD4" s="682">
        <f t="shared" si="2"/>
        <v>48</v>
      </c>
      <c r="BE4" s="682">
        <f t="shared" si="2"/>
        <v>49</v>
      </c>
      <c r="BF4" s="682">
        <f t="shared" si="2"/>
        <v>50</v>
      </c>
      <c r="BG4" s="682">
        <f t="shared" si="2"/>
        <v>51</v>
      </c>
      <c r="BH4" s="682">
        <f t="shared" si="2"/>
        <v>52</v>
      </c>
      <c r="BI4" s="682">
        <f t="shared" si="2"/>
        <v>53</v>
      </c>
      <c r="BJ4" s="682">
        <f t="shared" si="2"/>
        <v>54</v>
      </c>
      <c r="BK4" s="682">
        <f t="shared" si="2"/>
        <v>55</v>
      </c>
      <c r="BL4" s="682">
        <f t="shared" ref="BL4:BS4" si="3">BK4+1</f>
        <v>56</v>
      </c>
      <c r="BM4" s="682">
        <f t="shared" si="3"/>
        <v>57</v>
      </c>
      <c r="BN4" s="682">
        <f t="shared" si="3"/>
        <v>58</v>
      </c>
      <c r="BO4" s="682">
        <f t="shared" si="3"/>
        <v>59</v>
      </c>
      <c r="BP4" s="682">
        <f t="shared" si="3"/>
        <v>60</v>
      </c>
      <c r="BQ4" s="682">
        <f t="shared" si="3"/>
        <v>61</v>
      </c>
      <c r="BR4" s="682">
        <f t="shared" si="3"/>
        <v>62</v>
      </c>
      <c r="BS4" s="682">
        <f t="shared" si="3"/>
        <v>63</v>
      </c>
      <c r="BT4" s="682">
        <f t="shared" ref="BT4:CA4" si="4">BS4+1</f>
        <v>64</v>
      </c>
      <c r="BU4" s="682">
        <f t="shared" si="4"/>
        <v>65</v>
      </c>
      <c r="BV4" s="682">
        <f t="shared" si="4"/>
        <v>66</v>
      </c>
      <c r="BW4" s="682">
        <f t="shared" si="4"/>
        <v>67</v>
      </c>
      <c r="BX4" s="682">
        <f t="shared" si="4"/>
        <v>68</v>
      </c>
      <c r="BY4" s="682">
        <f t="shared" si="4"/>
        <v>69</v>
      </c>
      <c r="BZ4" s="682">
        <f t="shared" si="4"/>
        <v>70</v>
      </c>
      <c r="CA4" s="682">
        <f t="shared" si="4"/>
        <v>71</v>
      </c>
      <c r="CB4" s="682">
        <f t="shared" ref="CB4" si="5">CA4+1</f>
        <v>72</v>
      </c>
      <c r="CC4" s="682">
        <f t="shared" ref="CC4" si="6">CB4+1</f>
        <v>73</v>
      </c>
      <c r="CD4" s="682">
        <f t="shared" ref="CD4" si="7">CC4+1</f>
        <v>74</v>
      </c>
      <c r="CE4" s="682">
        <f t="shared" ref="CE4" si="8">CD4+1</f>
        <v>75</v>
      </c>
      <c r="CF4" s="683"/>
      <c r="CG4" s="683"/>
      <c r="CH4" s="683"/>
      <c r="CI4" s="683"/>
      <c r="CJ4" s="683"/>
      <c r="CK4" s="683"/>
      <c r="CL4" s="683"/>
      <c r="CM4" s="683"/>
      <c r="CN4" s="683"/>
      <c r="CO4" s="683"/>
      <c r="CP4" s="683"/>
      <c r="CQ4" s="683"/>
      <c r="CR4" s="683"/>
      <c r="CS4" s="683"/>
      <c r="CT4" s="683"/>
      <c r="CU4" s="683"/>
      <c r="CV4" s="683"/>
      <c r="CW4" s="683"/>
      <c r="CX4" s="683"/>
    </row>
    <row r="5" spans="1:102" x14ac:dyDescent="0.2">
      <c r="A5" s="675">
        <v>1</v>
      </c>
      <c r="B5" s="675">
        <f t="shared" si="0"/>
        <v>2002</v>
      </c>
      <c r="C5" s="678">
        <v>37346</v>
      </c>
      <c r="D5" s="675" t="str">
        <f t="shared" si="1"/>
        <v>1Q02</v>
      </c>
      <c r="E5" s="679">
        <v>23.94</v>
      </c>
      <c r="F5" s="674"/>
      <c r="G5" s="682" t="s">
        <v>393</v>
      </c>
      <c r="H5" s="684" t="str">
        <f ca="1">"1Q"&amp;RIGHT(YEAR(OFFSET($C$3,H4*3,0)),2)</f>
        <v>1Q02</v>
      </c>
      <c r="I5" s="684" t="str">
        <f ca="1">"2Q"&amp;RIGHT(YEAR(OFFSET($C$3,I4*3,0)),2)</f>
        <v>2Q02</v>
      </c>
      <c r="J5" s="684" t="str">
        <f ca="1">"3Q"&amp;RIGHT(YEAR(OFFSET($C$3,J4*3,0)),2)</f>
        <v>3Q02</v>
      </c>
      <c r="K5" s="684" t="str">
        <f ca="1">"4Q"&amp;RIGHT(YEAR(OFFSET($C$3,K4*3,0)),2)</f>
        <v>4Q02</v>
      </c>
      <c r="L5" s="682" t="str">
        <f t="shared" ref="L5:AU5" ca="1" si="9">LEFT(H5,1)&amp;"Q"&amp;RIGHT(YEAR(OFFSET($C$3,L4*3,0)),2)</f>
        <v>1Q03</v>
      </c>
      <c r="M5" s="682" t="str">
        <f t="shared" ca="1" si="9"/>
        <v>2Q03</v>
      </c>
      <c r="N5" s="682" t="str">
        <f t="shared" ca="1" si="9"/>
        <v>3Q03</v>
      </c>
      <c r="O5" s="682" t="str">
        <f t="shared" ca="1" si="9"/>
        <v>4Q03</v>
      </c>
      <c r="P5" s="682" t="str">
        <f t="shared" ca="1" si="9"/>
        <v>1Q04</v>
      </c>
      <c r="Q5" s="682" t="str">
        <f t="shared" ca="1" si="9"/>
        <v>2Q04</v>
      </c>
      <c r="R5" s="682" t="str">
        <f t="shared" ca="1" si="9"/>
        <v>3Q04</v>
      </c>
      <c r="S5" s="682" t="str">
        <f t="shared" ca="1" si="9"/>
        <v>4Q04</v>
      </c>
      <c r="T5" s="682" t="str">
        <f t="shared" ca="1" si="9"/>
        <v>1Q05</v>
      </c>
      <c r="U5" s="682" t="str">
        <f t="shared" ca="1" si="9"/>
        <v>2Q05</v>
      </c>
      <c r="V5" s="682" t="str">
        <f t="shared" ca="1" si="9"/>
        <v>3Q05</v>
      </c>
      <c r="W5" s="682" t="str">
        <f t="shared" ca="1" si="9"/>
        <v>4Q05</v>
      </c>
      <c r="X5" s="682" t="str">
        <f t="shared" ca="1" si="9"/>
        <v>1Q06</v>
      </c>
      <c r="Y5" s="682" t="str">
        <f t="shared" ca="1" si="9"/>
        <v>2Q06</v>
      </c>
      <c r="Z5" s="682" t="str">
        <f t="shared" ca="1" si="9"/>
        <v>3Q06</v>
      </c>
      <c r="AA5" s="682" t="str">
        <f t="shared" ca="1" si="9"/>
        <v>4Q06</v>
      </c>
      <c r="AB5" s="682" t="str">
        <f t="shared" ca="1" si="9"/>
        <v>1Q07</v>
      </c>
      <c r="AC5" s="682" t="str">
        <f t="shared" ca="1" si="9"/>
        <v>2Q07</v>
      </c>
      <c r="AD5" s="682" t="str">
        <f t="shared" ca="1" si="9"/>
        <v>3Q07</v>
      </c>
      <c r="AE5" s="682" t="str">
        <f t="shared" ca="1" si="9"/>
        <v>4Q07</v>
      </c>
      <c r="AF5" s="682" t="str">
        <f t="shared" ca="1" si="9"/>
        <v>1Q08</v>
      </c>
      <c r="AG5" s="682" t="str">
        <f t="shared" ca="1" si="9"/>
        <v>2Q08</v>
      </c>
      <c r="AH5" s="682" t="str">
        <f t="shared" ca="1" si="9"/>
        <v>3Q08</v>
      </c>
      <c r="AI5" s="682" t="str">
        <f t="shared" ca="1" si="9"/>
        <v>4Q08</v>
      </c>
      <c r="AJ5" s="682" t="str">
        <f t="shared" ca="1" si="9"/>
        <v>1Q09</v>
      </c>
      <c r="AK5" s="682" t="str">
        <f t="shared" ca="1" si="9"/>
        <v>2Q09</v>
      </c>
      <c r="AL5" s="682" t="str">
        <f t="shared" ca="1" si="9"/>
        <v>3Q09</v>
      </c>
      <c r="AM5" s="682" t="str">
        <f t="shared" ca="1" si="9"/>
        <v>4Q09</v>
      </c>
      <c r="AN5" s="682" t="str">
        <f t="shared" ca="1" si="9"/>
        <v>1Q10</v>
      </c>
      <c r="AO5" s="682" t="str">
        <f t="shared" ca="1" si="9"/>
        <v>2Q10</v>
      </c>
      <c r="AP5" s="682" t="str">
        <f t="shared" ca="1" si="9"/>
        <v>3Q10</v>
      </c>
      <c r="AQ5" s="682" t="str">
        <f t="shared" ca="1" si="9"/>
        <v>4Q10</v>
      </c>
      <c r="AR5" s="682" t="str">
        <f t="shared" ca="1" si="9"/>
        <v>1Q11</v>
      </c>
      <c r="AS5" s="682" t="str">
        <f t="shared" ca="1" si="9"/>
        <v>2Q11</v>
      </c>
      <c r="AT5" s="682" t="str">
        <f t="shared" ca="1" si="9"/>
        <v>3Q11</v>
      </c>
      <c r="AU5" s="682" t="str">
        <f t="shared" ca="1" si="9"/>
        <v>4Q11</v>
      </c>
      <c r="AV5" s="682" t="str">
        <f t="shared" ref="AV5:BK5" ca="1" si="10">LEFT(AR5,2)&amp;RIGHT(AR5,2)+1</f>
        <v>1Q12</v>
      </c>
      <c r="AW5" s="682" t="str">
        <f t="shared" ca="1" si="10"/>
        <v>2Q12</v>
      </c>
      <c r="AX5" s="682" t="str">
        <f t="shared" ca="1" si="10"/>
        <v>3Q12</v>
      </c>
      <c r="AY5" s="682" t="str">
        <f t="shared" ca="1" si="10"/>
        <v>4Q12</v>
      </c>
      <c r="AZ5" s="682" t="str">
        <f t="shared" ca="1" si="10"/>
        <v>1Q13</v>
      </c>
      <c r="BA5" s="682" t="str">
        <f t="shared" ca="1" si="10"/>
        <v>2Q13</v>
      </c>
      <c r="BB5" s="682" t="str">
        <f t="shared" ca="1" si="10"/>
        <v>3Q13</v>
      </c>
      <c r="BC5" s="682" t="str">
        <f t="shared" ca="1" si="10"/>
        <v>4Q13</v>
      </c>
      <c r="BD5" s="682" t="str">
        <f t="shared" ca="1" si="10"/>
        <v>1Q14</v>
      </c>
      <c r="BE5" s="682" t="str">
        <f t="shared" ca="1" si="10"/>
        <v>2Q14</v>
      </c>
      <c r="BF5" s="682" t="str">
        <f t="shared" ca="1" si="10"/>
        <v>3Q14</v>
      </c>
      <c r="BG5" s="682" t="str">
        <f t="shared" ca="1" si="10"/>
        <v>4Q14</v>
      </c>
      <c r="BH5" s="682" t="str">
        <f t="shared" ca="1" si="10"/>
        <v>1Q15</v>
      </c>
      <c r="BI5" s="682" t="str">
        <f t="shared" ca="1" si="10"/>
        <v>2Q15</v>
      </c>
      <c r="BJ5" s="682" t="str">
        <f t="shared" ca="1" si="10"/>
        <v>3Q15</v>
      </c>
      <c r="BK5" s="682" t="str">
        <f t="shared" ca="1" si="10"/>
        <v>4Q15</v>
      </c>
      <c r="BL5" s="682" t="str">
        <f t="shared" ref="BL5:BS5" ca="1" si="11">LEFT(BH5,2)&amp;RIGHT(BH5,2)+1</f>
        <v>1Q16</v>
      </c>
      <c r="BM5" s="682" t="str">
        <f t="shared" ca="1" si="11"/>
        <v>2Q16</v>
      </c>
      <c r="BN5" s="682" t="str">
        <f t="shared" ca="1" si="11"/>
        <v>3Q16</v>
      </c>
      <c r="BO5" s="682" t="str">
        <f t="shared" ca="1" si="11"/>
        <v>4Q16</v>
      </c>
      <c r="BP5" s="682" t="str">
        <f t="shared" ca="1" si="11"/>
        <v>1Q17</v>
      </c>
      <c r="BQ5" s="682" t="str">
        <f t="shared" ca="1" si="11"/>
        <v>2Q17</v>
      </c>
      <c r="BR5" s="682" t="str">
        <f t="shared" ca="1" si="11"/>
        <v>3Q17</v>
      </c>
      <c r="BS5" s="682" t="str">
        <f t="shared" ca="1" si="11"/>
        <v>4Q17</v>
      </c>
      <c r="BT5" s="682" t="str">
        <f t="shared" ref="BT5:CA5" ca="1" si="12">LEFT(BP5,2)&amp;RIGHT(BP5,2)+1</f>
        <v>1Q18</v>
      </c>
      <c r="BU5" s="682" t="str">
        <f t="shared" ca="1" si="12"/>
        <v>2Q18</v>
      </c>
      <c r="BV5" s="682" t="str">
        <f t="shared" ca="1" si="12"/>
        <v>3Q18</v>
      </c>
      <c r="BW5" s="682" t="str">
        <f t="shared" ca="1" si="12"/>
        <v>4Q18</v>
      </c>
      <c r="BX5" s="682" t="str">
        <f t="shared" ca="1" si="12"/>
        <v>1Q19</v>
      </c>
      <c r="BY5" s="682" t="str">
        <f t="shared" ca="1" si="12"/>
        <v>2Q19</v>
      </c>
      <c r="BZ5" s="682" t="str">
        <f t="shared" ca="1" si="12"/>
        <v>3Q19</v>
      </c>
      <c r="CA5" s="682" t="str">
        <f t="shared" ca="1" si="12"/>
        <v>4Q19</v>
      </c>
      <c r="CB5" s="682" t="str">
        <f t="shared" ref="CB5" ca="1" si="13">LEFT(BX5,2)&amp;RIGHT(BX5,2)+1</f>
        <v>1Q20</v>
      </c>
      <c r="CC5" s="682" t="str">
        <f t="shared" ref="CC5" ca="1" si="14">LEFT(BY5,2)&amp;RIGHT(BY5,2)+1</f>
        <v>2Q20</v>
      </c>
      <c r="CD5" s="682" t="str">
        <f t="shared" ref="CD5" ca="1" si="15">LEFT(BZ5,2)&amp;RIGHT(BZ5,2)+1</f>
        <v>3Q20</v>
      </c>
      <c r="CE5" s="682" t="str">
        <f t="shared" ref="CE5" ca="1" si="16">LEFT(CA5,2)&amp;RIGHT(CA5,2)+1</f>
        <v>4Q20</v>
      </c>
    </row>
    <row r="6" spans="1:102" x14ac:dyDescent="0.2">
      <c r="A6" s="675">
        <f t="shared" ref="A6:A14" si="17">A3+1</f>
        <v>2</v>
      </c>
      <c r="B6" s="675">
        <f t="shared" si="0"/>
        <v>2002</v>
      </c>
      <c r="C6" s="678">
        <v>37376</v>
      </c>
      <c r="D6" s="675" t="str">
        <f t="shared" si="1"/>
        <v>2Q02</v>
      </c>
      <c r="E6" s="679">
        <v>21.43</v>
      </c>
      <c r="F6" s="674"/>
      <c r="G6" s="683" t="s">
        <v>557</v>
      </c>
      <c r="H6" s="685">
        <f ca="1">SUMIF($D$3:$D$65536,H$5,$E$3:$E$244)/3</f>
        <v>23.426666666666666</v>
      </c>
      <c r="I6" s="685">
        <f t="shared" ref="I6:AT6" ca="1" si="18">SUMIF($D$3:$D$65536,I5,$E$3:$E$244)/3</f>
        <v>21.993333333333336</v>
      </c>
      <c r="J6" s="685">
        <f t="shared" ca="1" si="18"/>
        <v>20.456666666666667</v>
      </c>
      <c r="K6" s="685">
        <f t="shared" ca="1" si="18"/>
        <v>19.973333333333333</v>
      </c>
      <c r="L6" s="685">
        <f t="shared" ca="1" si="18"/>
        <v>19.106666666666666</v>
      </c>
      <c r="M6" s="685">
        <f t="shared" ca="1" si="18"/>
        <v>20.776666666666667</v>
      </c>
      <c r="N6" s="685">
        <f t="shared" ca="1" si="18"/>
        <v>18.923333333333332</v>
      </c>
      <c r="O6" s="685">
        <f t="shared" ca="1" si="18"/>
        <v>21.736666666666668</v>
      </c>
      <c r="P6" s="685">
        <f t="shared" ca="1" si="18"/>
        <v>22.183333333333334</v>
      </c>
      <c r="Q6" s="685">
        <f t="shared" ca="1" si="18"/>
        <v>24.856666666666666</v>
      </c>
      <c r="R6" s="685">
        <f t="shared" ca="1" si="18"/>
        <v>28.276666666666667</v>
      </c>
      <c r="S6" s="685">
        <f t="shared" ca="1" si="18"/>
        <v>34.823333333333331</v>
      </c>
      <c r="T6" s="685">
        <f t="shared" ca="1" si="18"/>
        <v>35.953333333333333</v>
      </c>
      <c r="U6" s="685">
        <f t="shared" ca="1" si="18"/>
        <v>31.426666666666666</v>
      </c>
      <c r="V6" s="685">
        <f t="shared" ca="1" si="18"/>
        <v>37.793333333333329</v>
      </c>
      <c r="W6" s="685">
        <f t="shared" ca="1" si="18"/>
        <v>43.089999999999996</v>
      </c>
      <c r="X6" s="685">
        <f t="shared" ca="1" si="18"/>
        <v>51.696666666666665</v>
      </c>
      <c r="Y6" s="685">
        <f t="shared" ca="1" si="18"/>
        <v>53.326666666666661</v>
      </c>
      <c r="Z6" s="685">
        <f t="shared" ca="1" si="18"/>
        <v>43.4</v>
      </c>
      <c r="AA6" s="685">
        <f t="shared" ca="1" si="18"/>
        <v>50.703333333333326</v>
      </c>
      <c r="AB6" s="685">
        <f t="shared" ca="1" si="18"/>
        <v>49.223333333333329</v>
      </c>
      <c r="AC6" s="685">
        <f t="shared" ca="1" si="18"/>
        <v>54.566666666666663</v>
      </c>
      <c r="AD6" s="685">
        <f t="shared" ca="1" si="18"/>
        <v>52.300000000000004</v>
      </c>
      <c r="AE6" s="685">
        <f t="shared" ca="1" si="18"/>
        <v>51.1</v>
      </c>
      <c r="AF6" s="685">
        <f t="shared" ca="1" si="18"/>
        <v>53.866666666666667</v>
      </c>
      <c r="AG6" s="685">
        <f t="shared" ca="1" si="18"/>
        <v>63.21</v>
      </c>
      <c r="AH6" s="685">
        <f t="shared" ca="1" si="18"/>
        <v>70.553333333333327</v>
      </c>
      <c r="AI6" s="685">
        <f t="shared" ca="1" si="18"/>
        <v>52.153333333333329</v>
      </c>
      <c r="AJ6" s="685">
        <f t="shared" ca="1" si="18"/>
        <v>34.61</v>
      </c>
      <c r="AK6" s="685">
        <f t="shared" ca="1" si="18"/>
        <v>36.85</v>
      </c>
      <c r="AL6" s="685">
        <f t="shared" ca="1" si="18"/>
        <v>44.076666666666675</v>
      </c>
      <c r="AM6" s="685">
        <f t="shared" ca="1" si="18"/>
        <v>50.146666666666668</v>
      </c>
      <c r="AN6" s="685">
        <f t="shared" ca="1" si="18"/>
        <v>51.46</v>
      </c>
      <c r="AO6" s="685">
        <f t="shared" ca="1" si="18"/>
        <v>56.279999999999994</v>
      </c>
      <c r="AP6" s="685">
        <f t="shared" ca="1" si="18"/>
        <v>56.486666666666672</v>
      </c>
      <c r="AQ6" s="685">
        <f t="shared" ca="1" si="18"/>
        <v>61.493333333333332</v>
      </c>
      <c r="AR6" s="685">
        <f t="shared" ca="1" si="18"/>
        <v>65.346666666666664</v>
      </c>
      <c r="AS6" s="685">
        <f t="shared" ca="1" si="18"/>
        <v>74.306666666666672</v>
      </c>
      <c r="AT6" s="685">
        <f t="shared" ca="1" si="18"/>
        <v>68.13333333333334</v>
      </c>
      <c r="AU6" s="685">
        <f t="shared" ref="AU6:BK6" ca="1" si="19">SUMIF($D$3:$D$65536,AU5,$E$3:$E$244)/13</f>
        <v>72.009229307692308</v>
      </c>
      <c r="AV6" s="685">
        <f t="shared" ca="1" si="19"/>
        <v>70.833071538461539</v>
      </c>
      <c r="AW6" s="685">
        <f t="shared" ca="1" si="19"/>
        <v>68.575376615384613</v>
      </c>
      <c r="AX6" s="685">
        <f t="shared" ca="1" si="19"/>
        <v>72.26691546153846</v>
      </c>
      <c r="AY6" s="685">
        <f t="shared" ca="1" si="19"/>
        <v>61.745378230769234</v>
      </c>
      <c r="AZ6" s="685">
        <f t="shared" ca="1" si="19"/>
        <v>71.144609153846147</v>
      </c>
      <c r="BA6" s="685">
        <f t="shared" ca="1" si="19"/>
        <v>76.311534461538457</v>
      </c>
      <c r="BB6" s="685">
        <f t="shared" ca="1" si="19"/>
        <v>75.013071307692314</v>
      </c>
      <c r="BC6" s="685">
        <f t="shared" ca="1" si="19"/>
        <v>86.128456</v>
      </c>
      <c r="BD6" s="685">
        <f t="shared" ca="1" si="19"/>
        <v>92.74999230769231</v>
      </c>
      <c r="BE6" s="685">
        <f t="shared" ca="1" si="19"/>
        <v>98.094610615384653</v>
      </c>
      <c r="BF6" s="685">
        <f t="shared" ca="1" si="19"/>
        <v>106.13230692307694</v>
      </c>
      <c r="BG6" s="685">
        <f t="shared" ca="1" si="19"/>
        <v>109.73077153846151</v>
      </c>
      <c r="BH6" s="685">
        <f t="shared" ca="1" si="19"/>
        <v>107.0884653846154</v>
      </c>
      <c r="BI6" s="685">
        <f t="shared" ca="1" si="19"/>
        <v>97.751540230769223</v>
      </c>
      <c r="BJ6" s="685">
        <f t="shared" ca="1" si="19"/>
        <v>81.488462307692302</v>
      </c>
      <c r="BK6" s="685">
        <f t="shared" ca="1" si="19"/>
        <v>85.817693076923078</v>
      </c>
      <c r="BL6" s="685">
        <f t="shared" ref="BL6:BS6" ca="1" si="20">SUMIF($D$3:$D$65536,BL5,$E$3:$E$244)/13</f>
        <v>76.149229076923064</v>
      </c>
      <c r="BM6" s="685">
        <f t="shared" ca="1" si="20"/>
        <v>85.202309692307708</v>
      </c>
      <c r="BN6" s="685">
        <f t="shared" ca="1" si="20"/>
        <v>90.453847384615372</v>
      </c>
      <c r="BO6" s="685">
        <f t="shared" ca="1" si="20"/>
        <v>108.80846461538461</v>
      </c>
      <c r="BP6" s="685">
        <f t="shared" ca="1" si="20"/>
        <v>108.38923615384617</v>
      </c>
      <c r="BQ6" s="685">
        <f t="shared" ca="1" si="20"/>
        <v>117.22077384615386</v>
      </c>
      <c r="BR6" s="685">
        <f t="shared" ca="1" si="20"/>
        <v>120.94154307692307</v>
      </c>
      <c r="BS6" s="685">
        <f t="shared" ca="1" si="20"/>
        <v>144.97385076923075</v>
      </c>
      <c r="BT6" s="685">
        <f t="shared" ref="BT6:CA6" ca="1" si="21">SUMIF($D$3:$D$65536,BT5,$E$3:$E$244)/13</f>
        <v>153.93846538461537</v>
      </c>
      <c r="BU6" s="685">
        <f t="shared" ca="1" si="21"/>
        <v>124.18077692307693</v>
      </c>
      <c r="BV6" s="685">
        <f t="shared" ca="1" si="21"/>
        <v>134.97001</v>
      </c>
      <c r="BW6" s="685">
        <f t="shared" ca="1" si="21"/>
        <v>134.97001</v>
      </c>
      <c r="BX6" s="685">
        <f t="shared" ca="1" si="21"/>
        <v>134.97001</v>
      </c>
      <c r="BY6" s="685">
        <f t="shared" ca="1" si="21"/>
        <v>134.97001</v>
      </c>
      <c r="BZ6" s="685">
        <f t="shared" ca="1" si="21"/>
        <v>134.97001</v>
      </c>
      <c r="CA6" s="685">
        <f t="shared" ca="1" si="21"/>
        <v>134.97001</v>
      </c>
      <c r="CB6" s="685">
        <f t="shared" ref="CB6:CE6" ca="1" si="22">SUMIF($D$3:$D$65536,CB5,$E$3:$E$244)/13</f>
        <v>134.97001</v>
      </c>
      <c r="CC6" s="685">
        <f t="shared" ca="1" si="22"/>
        <v>134.97001</v>
      </c>
      <c r="CD6" s="685">
        <f t="shared" ca="1" si="22"/>
        <v>134.97001</v>
      </c>
      <c r="CE6" s="685">
        <f t="shared" ca="1" si="22"/>
        <v>134.97001</v>
      </c>
    </row>
    <row r="7" spans="1:102" x14ac:dyDescent="0.2">
      <c r="A7" s="675">
        <f t="shared" si="17"/>
        <v>2</v>
      </c>
      <c r="B7" s="675">
        <f t="shared" si="0"/>
        <v>2002</v>
      </c>
      <c r="C7" s="678">
        <v>37407</v>
      </c>
      <c r="D7" s="675" t="str">
        <f t="shared" si="1"/>
        <v>2Q02</v>
      </c>
      <c r="E7" s="679">
        <v>21.17</v>
      </c>
      <c r="F7" s="674"/>
      <c r="G7" s="683"/>
      <c r="H7" s="685"/>
      <c r="I7" s="685"/>
      <c r="J7" s="685"/>
      <c r="K7" s="685"/>
      <c r="L7" s="685"/>
      <c r="M7" s="685"/>
      <c r="N7" s="685"/>
      <c r="O7" s="685"/>
      <c r="P7" s="685"/>
      <c r="Q7" s="685"/>
      <c r="R7" s="685"/>
      <c r="S7" s="685"/>
      <c r="T7" s="685"/>
      <c r="U7" s="685"/>
      <c r="V7" s="685"/>
      <c r="W7" s="685"/>
      <c r="AC7" s="687"/>
      <c r="AD7" s="687"/>
      <c r="AE7" s="687"/>
      <c r="AF7" s="687"/>
      <c r="AG7" s="687"/>
      <c r="AH7" s="687"/>
      <c r="AI7" s="687"/>
      <c r="AJ7" s="687"/>
      <c r="AK7" s="687"/>
      <c r="AL7" s="687"/>
      <c r="AM7" s="687"/>
      <c r="AN7" s="687"/>
      <c r="AO7" s="687"/>
      <c r="AP7" s="687"/>
      <c r="AQ7" s="687"/>
      <c r="AR7" s="687"/>
      <c r="AS7" s="687"/>
      <c r="AT7" s="687"/>
      <c r="AU7" s="687"/>
      <c r="AV7" s="687"/>
      <c r="AW7" s="687"/>
      <c r="AX7" s="687"/>
      <c r="AY7" s="687"/>
      <c r="AZ7" s="687"/>
      <c r="BA7" s="687"/>
      <c r="BB7" s="687"/>
      <c r="BC7" s="687"/>
      <c r="BD7" s="687"/>
      <c r="BE7" s="687"/>
      <c r="BF7" s="687"/>
      <c r="BG7" s="687"/>
      <c r="BH7" s="687"/>
      <c r="BI7" s="687"/>
      <c r="BJ7" s="687"/>
      <c r="BK7" s="687"/>
      <c r="BL7" s="687"/>
      <c r="BM7" s="687"/>
      <c r="BN7" s="687"/>
      <c r="BO7" s="687"/>
      <c r="BP7" s="687"/>
      <c r="BQ7" s="687"/>
      <c r="BR7" s="687"/>
      <c r="BS7" s="687"/>
      <c r="BT7" s="687"/>
      <c r="BU7" s="687"/>
      <c r="BV7" s="687"/>
      <c r="BW7" s="687"/>
      <c r="BX7" s="687"/>
      <c r="BY7" s="687"/>
      <c r="BZ7" s="687"/>
      <c r="CA7" s="687"/>
      <c r="CB7" s="687"/>
      <c r="CC7" s="687"/>
      <c r="CD7" s="687"/>
      <c r="CE7" s="687"/>
      <c r="CF7" s="687"/>
      <c r="CG7" s="687"/>
      <c r="CH7" s="687"/>
      <c r="CI7" s="687"/>
      <c r="CJ7" s="687"/>
      <c r="CK7" s="687"/>
      <c r="CL7" s="687"/>
      <c r="CM7" s="687"/>
      <c r="CN7" s="687"/>
      <c r="CO7" s="687"/>
      <c r="CP7" s="687"/>
      <c r="CQ7" s="687"/>
      <c r="CR7" s="687"/>
      <c r="CS7" s="687"/>
      <c r="CT7" s="687"/>
      <c r="CU7" s="687"/>
      <c r="CV7" s="687"/>
      <c r="CW7" s="687"/>
      <c r="CX7" s="687"/>
    </row>
    <row r="8" spans="1:102" x14ac:dyDescent="0.2">
      <c r="A8" s="675">
        <f t="shared" si="17"/>
        <v>2</v>
      </c>
      <c r="B8" s="675">
        <f t="shared" si="0"/>
        <v>2002</v>
      </c>
      <c r="C8" s="678">
        <v>37437</v>
      </c>
      <c r="D8" s="675" t="str">
        <f t="shared" si="1"/>
        <v>2Q02</v>
      </c>
      <c r="E8" s="679">
        <v>23.38</v>
      </c>
      <c r="F8" s="674"/>
      <c r="G8" s="680" t="s">
        <v>191</v>
      </c>
      <c r="H8" s="681"/>
      <c r="I8" s="681"/>
      <c r="J8" s="681"/>
      <c r="K8" s="681"/>
      <c r="L8" s="681"/>
      <c r="M8" s="681"/>
      <c r="N8" s="681"/>
      <c r="O8" s="681"/>
      <c r="P8" s="681"/>
      <c r="Q8" s="681"/>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1"/>
      <c r="AT8" s="681"/>
      <c r="AU8" s="681"/>
      <c r="AV8" s="681"/>
      <c r="AW8" s="681"/>
      <c r="AX8" s="681"/>
      <c r="AY8" s="681"/>
      <c r="AZ8" s="681"/>
      <c r="BA8" s="681"/>
      <c r="BB8" s="681"/>
      <c r="BC8" s="681"/>
      <c r="BD8" s="681"/>
      <c r="BE8" s="681"/>
      <c r="BF8" s="681"/>
      <c r="BG8" s="681"/>
      <c r="BH8" s="681"/>
      <c r="BI8" s="681"/>
      <c r="BJ8" s="681"/>
      <c r="BK8" s="681"/>
      <c r="BL8" s="681"/>
      <c r="BM8" s="681"/>
      <c r="BN8" s="681"/>
      <c r="BO8" s="681"/>
      <c r="BP8" s="681"/>
      <c r="BQ8" s="681"/>
      <c r="BR8" s="681"/>
      <c r="BS8" s="681"/>
      <c r="BT8" s="681"/>
      <c r="BU8" s="681"/>
      <c r="BV8" s="681"/>
      <c r="BW8" s="681"/>
      <c r="BX8" s="681"/>
      <c r="BY8" s="681"/>
      <c r="BZ8" s="681"/>
      <c r="CA8" s="681"/>
      <c r="CB8" s="681"/>
      <c r="CC8" s="681"/>
      <c r="CD8" s="681"/>
      <c r="CE8" s="681"/>
      <c r="CF8" s="681"/>
      <c r="CG8" s="681"/>
      <c r="CH8" s="681"/>
      <c r="CI8" s="681"/>
      <c r="CJ8" s="681"/>
      <c r="CK8" s="681"/>
      <c r="CL8" s="681"/>
      <c r="CM8" s="681"/>
      <c r="CN8" s="681"/>
      <c r="CO8" s="681"/>
      <c r="CP8" s="681"/>
      <c r="CQ8" s="681"/>
      <c r="CR8" s="681"/>
      <c r="CS8" s="681"/>
      <c r="CT8" s="681"/>
      <c r="CU8" s="681"/>
      <c r="CV8" s="681"/>
      <c r="CW8" s="681"/>
      <c r="CX8" s="681"/>
    </row>
    <row r="9" spans="1:102" x14ac:dyDescent="0.2">
      <c r="A9" s="675">
        <f t="shared" si="17"/>
        <v>3</v>
      </c>
      <c r="B9" s="675">
        <f t="shared" si="0"/>
        <v>2002</v>
      </c>
      <c r="C9" s="678">
        <v>37468</v>
      </c>
      <c r="D9" s="675" t="str">
        <f t="shared" si="1"/>
        <v>3Q02</v>
      </c>
      <c r="E9" s="679">
        <v>20.25</v>
      </c>
      <c r="F9" s="674"/>
      <c r="G9" s="682" t="s">
        <v>491</v>
      </c>
      <c r="H9" s="682">
        <v>0</v>
      </c>
      <c r="I9" s="682">
        <f t="shared" ref="I9:S9" si="23">H9+1</f>
        <v>1</v>
      </c>
      <c r="J9" s="682">
        <f t="shared" si="23"/>
        <v>2</v>
      </c>
      <c r="K9" s="682">
        <f t="shared" si="23"/>
        <v>3</v>
      </c>
      <c r="L9" s="682">
        <f t="shared" si="23"/>
        <v>4</v>
      </c>
      <c r="M9" s="682">
        <f t="shared" si="23"/>
        <v>5</v>
      </c>
      <c r="N9" s="682">
        <f t="shared" si="23"/>
        <v>6</v>
      </c>
      <c r="O9" s="682">
        <f t="shared" si="23"/>
        <v>7</v>
      </c>
      <c r="P9" s="682">
        <f t="shared" si="23"/>
        <v>8</v>
      </c>
      <c r="Q9" s="682">
        <f t="shared" si="23"/>
        <v>9</v>
      </c>
      <c r="R9" s="682">
        <f t="shared" si="23"/>
        <v>10</v>
      </c>
      <c r="S9" s="682">
        <f t="shared" si="23"/>
        <v>11</v>
      </c>
      <c r="T9" s="682">
        <f t="shared" ref="T9:W10" si="24">S9+1</f>
        <v>12</v>
      </c>
      <c r="U9" s="682">
        <f t="shared" si="24"/>
        <v>13</v>
      </c>
      <c r="V9" s="682">
        <f t="shared" si="24"/>
        <v>14</v>
      </c>
      <c r="W9" s="682">
        <f t="shared" si="24"/>
        <v>15</v>
      </c>
      <c r="X9" s="682">
        <f t="shared" ref="X9:X10" si="25">W9+1</f>
        <v>16</v>
      </c>
      <c r="Y9" s="682">
        <f t="shared" ref="Y9:Z10" si="26">X9+1</f>
        <v>17</v>
      </c>
      <c r="Z9" s="682">
        <f t="shared" si="26"/>
        <v>18</v>
      </c>
      <c r="AA9" s="682"/>
    </row>
    <row r="10" spans="1:102" x14ac:dyDescent="0.2">
      <c r="A10" s="675">
        <f t="shared" si="17"/>
        <v>3</v>
      </c>
      <c r="B10" s="675">
        <f t="shared" si="0"/>
        <v>2002</v>
      </c>
      <c r="C10" s="678">
        <v>37499</v>
      </c>
      <c r="D10" s="675" t="str">
        <f t="shared" si="1"/>
        <v>3Q02</v>
      </c>
      <c r="E10" s="679">
        <v>20.93</v>
      </c>
      <c r="F10" s="674"/>
      <c r="G10" s="688" t="s">
        <v>379</v>
      </c>
      <c r="H10" s="688">
        <f t="shared" ref="H10:Q10" ca="1" si="27">YEAR(OFFSET($C$3,H9*12,0))</f>
        <v>2002</v>
      </c>
      <c r="I10" s="688">
        <f t="shared" ca="1" si="27"/>
        <v>2003</v>
      </c>
      <c r="J10" s="688">
        <f t="shared" ca="1" si="27"/>
        <v>2004</v>
      </c>
      <c r="K10" s="688">
        <f t="shared" ca="1" si="27"/>
        <v>2005</v>
      </c>
      <c r="L10" s="688">
        <f t="shared" ca="1" si="27"/>
        <v>2006</v>
      </c>
      <c r="M10" s="688">
        <f t="shared" ca="1" si="27"/>
        <v>2007</v>
      </c>
      <c r="N10" s="688">
        <f t="shared" ca="1" si="27"/>
        <v>2008</v>
      </c>
      <c r="O10" s="688">
        <f t="shared" ca="1" si="27"/>
        <v>2009</v>
      </c>
      <c r="P10" s="688">
        <f t="shared" ca="1" si="27"/>
        <v>2010</v>
      </c>
      <c r="Q10" s="688">
        <f t="shared" ca="1" si="27"/>
        <v>2011</v>
      </c>
      <c r="R10" s="688">
        <f ca="1">Q10+1</f>
        <v>2012</v>
      </c>
      <c r="S10" s="688">
        <f ca="1">R10+1</f>
        <v>2013</v>
      </c>
      <c r="T10" s="688">
        <f t="shared" ca="1" si="24"/>
        <v>2014</v>
      </c>
      <c r="U10" s="688">
        <f t="shared" ca="1" si="24"/>
        <v>2015</v>
      </c>
      <c r="V10" s="688">
        <f t="shared" ca="1" si="24"/>
        <v>2016</v>
      </c>
      <c r="W10" s="688">
        <f t="shared" ca="1" si="24"/>
        <v>2017</v>
      </c>
      <c r="X10" s="688">
        <f t="shared" ca="1" si="25"/>
        <v>2018</v>
      </c>
      <c r="Y10" s="688">
        <f t="shared" ca="1" si="26"/>
        <v>2019</v>
      </c>
      <c r="Z10" s="688">
        <f t="shared" ca="1" si="26"/>
        <v>2020</v>
      </c>
    </row>
    <row r="11" spans="1:102" x14ac:dyDescent="0.2">
      <c r="A11" s="675">
        <f t="shared" si="17"/>
        <v>3</v>
      </c>
      <c r="B11" s="675">
        <f t="shared" si="0"/>
        <v>2002</v>
      </c>
      <c r="C11" s="678">
        <v>37529</v>
      </c>
      <c r="D11" s="675" t="str">
        <f t="shared" si="1"/>
        <v>3Q02</v>
      </c>
      <c r="E11" s="679">
        <v>20.190000000000001</v>
      </c>
      <c r="F11" s="674"/>
      <c r="G11" s="683" t="str">
        <f>G6</f>
        <v>Avg NSC Stock Price</v>
      </c>
      <c r="H11" s="685">
        <f t="shared" ref="H11:S11" ca="1" si="28">AVERAGE(OFFSET($H6,0,H$9*4),OFFSET($I6,0,H$9*4),OFFSET($J6,0,H$9*4),OFFSET($K6,0,H$9*4))</f>
        <v>21.462499999999999</v>
      </c>
      <c r="I11" s="685">
        <f t="shared" ca="1" si="28"/>
        <v>20.135833333333334</v>
      </c>
      <c r="J11" s="685">
        <f t="shared" ca="1" si="28"/>
        <v>27.534999999999997</v>
      </c>
      <c r="K11" s="685">
        <f t="shared" ca="1" si="28"/>
        <v>37.06583333333333</v>
      </c>
      <c r="L11" s="685">
        <f t="shared" ca="1" si="28"/>
        <v>49.781666666666659</v>
      </c>
      <c r="M11" s="685">
        <f t="shared" ca="1" si="28"/>
        <v>51.797499999999999</v>
      </c>
      <c r="N11" s="685">
        <f t="shared" ca="1" si="28"/>
        <v>59.945833333333333</v>
      </c>
      <c r="O11" s="685">
        <f t="shared" ca="1" si="28"/>
        <v>41.420833333333341</v>
      </c>
      <c r="P11" s="685">
        <f t="shared" ca="1" si="28"/>
        <v>56.43</v>
      </c>
      <c r="Q11" s="685">
        <f t="shared" ca="1" si="28"/>
        <v>69.948973993589746</v>
      </c>
      <c r="R11" s="685">
        <f t="shared" ca="1" si="28"/>
        <v>68.355185461538468</v>
      </c>
      <c r="S11" s="685">
        <f t="shared" ca="1" si="28"/>
        <v>77.14941773076923</v>
      </c>
      <c r="T11" s="685">
        <f ca="1">AVERAGE(OFFSET($H6,0,T$9*4),OFFSET($I6,0,T$9*4),OFFSET($J6,0,T$9*4),OFFSET($K6,0,T$9*4))</f>
        <v>101.67692034615385</v>
      </c>
      <c r="U11" s="685">
        <f ca="1">AVERAGE(OFFSET($H6,0,U$9*4),OFFSET($I6,0,U$9*4),OFFSET($J6,0,U$9*4),OFFSET($K6,0,U$9*4))</f>
        <v>93.036540250000002</v>
      </c>
      <c r="V11" s="685">
        <f ca="1">AVERAGE(OFFSET($H6,0,V$9*4),OFFSET($I6,0,V$9*4),OFFSET($J6,0,V$9*4),OFFSET($K6,0,V$9*4))</f>
        <v>90.153462692307684</v>
      </c>
      <c r="W11" s="685">
        <f ca="1">AVERAGE(OFFSET($H6,0,W$9*4),OFFSET($I6,0,W$9*4),OFFSET($J6,0,W$9*4),OFFSET($K6,0,W$9*4))</f>
        <v>122.88135096153847</v>
      </c>
      <c r="X11" s="685">
        <f t="shared" ref="X11:Y11" ca="1" si="29">AVERAGE(OFFSET($H6,0,X$9*4),OFFSET($I6,0,X$9*4),OFFSET($J6,0,X$9*4),OFFSET($K6,0,X$9*4))</f>
        <v>137.01481557692307</v>
      </c>
      <c r="Y11" s="685">
        <f t="shared" ca="1" si="29"/>
        <v>134.97001</v>
      </c>
      <c r="Z11" s="685">
        <f t="shared" ref="Z11" ca="1" si="30">AVERAGE(OFFSET($H6,0,Z$9*4),OFFSET($I6,0,Z$9*4),OFFSET($J6,0,Z$9*4),OFFSET($K6,0,Z$9*4))</f>
        <v>134.97001</v>
      </c>
    </row>
    <row r="12" spans="1:102" x14ac:dyDescent="0.2">
      <c r="A12" s="675">
        <f t="shared" si="17"/>
        <v>4</v>
      </c>
      <c r="B12" s="675">
        <f t="shared" si="0"/>
        <v>2002</v>
      </c>
      <c r="C12" s="678">
        <v>37560</v>
      </c>
      <c r="D12" s="675" t="str">
        <f t="shared" si="1"/>
        <v>4Q02</v>
      </c>
      <c r="E12" s="679">
        <v>20.2</v>
      </c>
      <c r="F12" s="674"/>
      <c r="G12" s="683"/>
      <c r="H12" s="685"/>
      <c r="I12" s="685"/>
      <c r="J12" s="685"/>
      <c r="K12" s="685"/>
      <c r="L12" s="685"/>
      <c r="M12" s="685"/>
      <c r="N12" s="685"/>
      <c r="O12" s="685"/>
      <c r="P12" s="685"/>
      <c r="Q12" s="685"/>
      <c r="R12" s="685"/>
      <c r="S12" s="685"/>
      <c r="T12" s="685"/>
      <c r="U12" s="685"/>
      <c r="V12" s="685"/>
      <c r="W12" s="685"/>
    </row>
    <row r="13" spans="1:102" x14ac:dyDescent="0.2">
      <c r="A13" s="675">
        <f t="shared" si="17"/>
        <v>4</v>
      </c>
      <c r="B13" s="675">
        <f t="shared" si="0"/>
        <v>2002</v>
      </c>
      <c r="C13" s="678">
        <v>37590</v>
      </c>
      <c r="D13" s="675" t="str">
        <f t="shared" si="1"/>
        <v>4Q02</v>
      </c>
      <c r="E13" s="679">
        <v>19.73</v>
      </c>
      <c r="F13" s="674"/>
      <c r="G13" s="680" t="s">
        <v>47</v>
      </c>
      <c r="H13" s="681"/>
      <c r="I13" s="681"/>
      <c r="J13" s="681"/>
      <c r="K13" s="681"/>
      <c r="L13" s="681"/>
      <c r="M13" s="681"/>
      <c r="N13" s="681"/>
      <c r="O13" s="681"/>
      <c r="P13" s="681"/>
      <c r="Q13" s="681"/>
      <c r="R13" s="681"/>
      <c r="S13" s="681"/>
      <c r="T13" s="681"/>
      <c r="U13" s="681"/>
      <c r="V13" s="681"/>
      <c r="W13" s="681"/>
      <c r="X13" s="681"/>
      <c r="Y13" s="681"/>
      <c r="Z13" s="681"/>
      <c r="AA13" s="681"/>
      <c r="AB13" s="681"/>
      <c r="AC13" s="681"/>
      <c r="AD13" s="681"/>
      <c r="AE13" s="681"/>
      <c r="AF13" s="681"/>
      <c r="AG13" s="681"/>
      <c r="AH13" s="681"/>
      <c r="AI13" s="681"/>
      <c r="AJ13" s="681"/>
      <c r="AK13" s="681"/>
      <c r="AL13" s="681"/>
      <c r="AM13" s="681"/>
      <c r="AN13" s="681"/>
      <c r="AO13" s="681"/>
      <c r="AP13" s="681"/>
      <c r="AQ13" s="681"/>
      <c r="AR13" s="681"/>
      <c r="AS13" s="681"/>
      <c r="AT13" s="681"/>
      <c r="AU13" s="681"/>
      <c r="AV13" s="681"/>
      <c r="AW13" s="681"/>
      <c r="AX13" s="681"/>
      <c r="AY13" s="681"/>
      <c r="AZ13" s="681"/>
      <c r="BA13" s="681"/>
      <c r="BB13" s="681"/>
      <c r="BC13" s="681"/>
      <c r="BD13" s="681"/>
      <c r="BE13" s="681"/>
      <c r="BF13" s="681"/>
      <c r="BG13" s="681"/>
      <c r="BH13" s="681"/>
      <c r="BI13" s="681"/>
      <c r="BJ13" s="681"/>
      <c r="BK13" s="681"/>
      <c r="BL13" s="681"/>
      <c r="BM13" s="681"/>
      <c r="BN13" s="681"/>
      <c r="BO13" s="681"/>
      <c r="BP13" s="681"/>
      <c r="BQ13" s="681"/>
      <c r="BR13" s="681"/>
      <c r="BS13" s="681"/>
      <c r="BT13" s="681"/>
      <c r="BU13" s="681"/>
      <c r="BV13" s="681"/>
      <c r="BW13" s="681"/>
      <c r="BX13" s="681"/>
      <c r="BY13" s="681"/>
      <c r="BZ13" s="681"/>
      <c r="CA13" s="681"/>
      <c r="CB13" s="681"/>
      <c r="CC13" s="681"/>
      <c r="CD13" s="681"/>
      <c r="CE13" s="681"/>
      <c r="CF13" s="681"/>
      <c r="CG13" s="681"/>
      <c r="CH13" s="681"/>
      <c r="CI13" s="681"/>
      <c r="CJ13" s="681"/>
      <c r="CK13" s="681"/>
      <c r="CL13" s="681"/>
      <c r="CM13" s="681"/>
      <c r="CN13" s="681"/>
      <c r="CO13" s="681"/>
      <c r="CP13" s="681"/>
      <c r="CQ13" s="681"/>
      <c r="CR13" s="681"/>
      <c r="CS13" s="681"/>
      <c r="CT13" s="681"/>
      <c r="CU13" s="681"/>
      <c r="CV13" s="681"/>
      <c r="CW13" s="681"/>
      <c r="CX13" s="681"/>
    </row>
    <row r="14" spans="1:102" x14ac:dyDescent="0.2">
      <c r="A14" s="675">
        <f t="shared" si="17"/>
        <v>4</v>
      </c>
      <c r="B14" s="675">
        <f t="shared" si="0"/>
        <v>2002</v>
      </c>
      <c r="C14" s="678">
        <v>37621</v>
      </c>
      <c r="D14" s="675" t="str">
        <f t="shared" si="1"/>
        <v>4Q02</v>
      </c>
      <c r="E14" s="679">
        <v>19.989999999999998</v>
      </c>
      <c r="F14" s="674"/>
      <c r="G14" s="682" t="s">
        <v>491</v>
      </c>
      <c r="H14" s="682">
        <v>0</v>
      </c>
      <c r="I14" s="682">
        <f t="shared" ref="I14:BT14" si="31">H14+1</f>
        <v>1</v>
      </c>
      <c r="J14" s="682">
        <f t="shared" si="31"/>
        <v>2</v>
      </c>
      <c r="K14" s="682">
        <f t="shared" si="31"/>
        <v>3</v>
      </c>
      <c r="L14" s="682">
        <f t="shared" si="31"/>
        <v>4</v>
      </c>
      <c r="M14" s="682">
        <f t="shared" si="31"/>
        <v>5</v>
      </c>
      <c r="N14" s="682">
        <f t="shared" si="31"/>
        <v>6</v>
      </c>
      <c r="O14" s="682">
        <f t="shared" si="31"/>
        <v>7</v>
      </c>
      <c r="P14" s="682">
        <f t="shared" si="31"/>
        <v>8</v>
      </c>
      <c r="Q14" s="682">
        <f t="shared" si="31"/>
        <v>9</v>
      </c>
      <c r="R14" s="682">
        <f t="shared" si="31"/>
        <v>10</v>
      </c>
      <c r="S14" s="682">
        <f t="shared" si="31"/>
        <v>11</v>
      </c>
      <c r="T14" s="682">
        <f t="shared" si="31"/>
        <v>12</v>
      </c>
      <c r="U14" s="682">
        <f t="shared" si="31"/>
        <v>13</v>
      </c>
      <c r="V14" s="682">
        <f t="shared" si="31"/>
        <v>14</v>
      </c>
      <c r="W14" s="682">
        <f t="shared" si="31"/>
        <v>15</v>
      </c>
      <c r="X14" s="682">
        <f t="shared" si="31"/>
        <v>16</v>
      </c>
      <c r="Y14" s="682">
        <f t="shared" si="31"/>
        <v>17</v>
      </c>
      <c r="Z14" s="682">
        <f t="shared" si="31"/>
        <v>18</v>
      </c>
      <c r="AA14" s="682">
        <f t="shared" si="31"/>
        <v>19</v>
      </c>
      <c r="AB14" s="682">
        <f t="shared" si="31"/>
        <v>20</v>
      </c>
      <c r="AC14" s="682">
        <f t="shared" si="31"/>
        <v>21</v>
      </c>
      <c r="AD14" s="682">
        <f t="shared" si="31"/>
        <v>22</v>
      </c>
      <c r="AE14" s="682">
        <f t="shared" si="31"/>
        <v>23</v>
      </c>
      <c r="AF14" s="682">
        <f t="shared" si="31"/>
        <v>24</v>
      </c>
      <c r="AG14" s="682">
        <f t="shared" si="31"/>
        <v>25</v>
      </c>
      <c r="AH14" s="682">
        <f t="shared" si="31"/>
        <v>26</v>
      </c>
      <c r="AI14" s="682">
        <f t="shared" si="31"/>
        <v>27</v>
      </c>
      <c r="AJ14" s="682">
        <f t="shared" si="31"/>
        <v>28</v>
      </c>
      <c r="AK14" s="682">
        <f t="shared" si="31"/>
        <v>29</v>
      </c>
      <c r="AL14" s="682">
        <f t="shared" si="31"/>
        <v>30</v>
      </c>
      <c r="AM14" s="682">
        <f t="shared" si="31"/>
        <v>31</v>
      </c>
      <c r="AN14" s="682">
        <f t="shared" si="31"/>
        <v>32</v>
      </c>
      <c r="AO14" s="682">
        <f t="shared" si="31"/>
        <v>33</v>
      </c>
      <c r="AP14" s="682">
        <f t="shared" si="31"/>
        <v>34</v>
      </c>
      <c r="AQ14" s="682">
        <f t="shared" si="31"/>
        <v>35</v>
      </c>
      <c r="AR14" s="682">
        <f t="shared" si="31"/>
        <v>36</v>
      </c>
      <c r="AS14" s="682">
        <f t="shared" si="31"/>
        <v>37</v>
      </c>
      <c r="AT14" s="682">
        <f t="shared" si="31"/>
        <v>38</v>
      </c>
      <c r="AU14" s="682">
        <f t="shared" si="31"/>
        <v>39</v>
      </c>
      <c r="AV14" s="682">
        <f t="shared" si="31"/>
        <v>40</v>
      </c>
      <c r="AW14" s="682">
        <f t="shared" si="31"/>
        <v>41</v>
      </c>
      <c r="AX14" s="682">
        <f t="shared" si="31"/>
        <v>42</v>
      </c>
      <c r="AY14" s="682">
        <f t="shared" si="31"/>
        <v>43</v>
      </c>
      <c r="AZ14" s="682">
        <f t="shared" si="31"/>
        <v>44</v>
      </c>
      <c r="BA14" s="682">
        <f t="shared" si="31"/>
        <v>45</v>
      </c>
      <c r="BB14" s="682">
        <f t="shared" si="31"/>
        <v>46</v>
      </c>
      <c r="BC14" s="682">
        <f t="shared" si="31"/>
        <v>47</v>
      </c>
      <c r="BD14" s="682">
        <f t="shared" si="31"/>
        <v>48</v>
      </c>
      <c r="BE14" s="682">
        <f t="shared" si="31"/>
        <v>49</v>
      </c>
      <c r="BF14" s="682">
        <f t="shared" si="31"/>
        <v>50</v>
      </c>
      <c r="BG14" s="682">
        <f t="shared" si="31"/>
        <v>51</v>
      </c>
      <c r="BH14" s="682">
        <f t="shared" si="31"/>
        <v>52</v>
      </c>
      <c r="BI14" s="682">
        <f t="shared" si="31"/>
        <v>53</v>
      </c>
      <c r="BJ14" s="682">
        <f t="shared" si="31"/>
        <v>54</v>
      </c>
      <c r="BK14" s="682">
        <f t="shared" si="31"/>
        <v>55</v>
      </c>
      <c r="BL14" s="682">
        <f t="shared" si="31"/>
        <v>56</v>
      </c>
      <c r="BM14" s="682">
        <f t="shared" si="31"/>
        <v>57</v>
      </c>
      <c r="BN14" s="682">
        <f t="shared" si="31"/>
        <v>58</v>
      </c>
      <c r="BO14" s="682">
        <f t="shared" si="31"/>
        <v>59</v>
      </c>
      <c r="BP14" s="682">
        <f t="shared" si="31"/>
        <v>60</v>
      </c>
      <c r="BQ14" s="682">
        <f t="shared" si="31"/>
        <v>61</v>
      </c>
      <c r="BR14" s="682">
        <f t="shared" si="31"/>
        <v>62</v>
      </c>
      <c r="BS14" s="682">
        <f t="shared" si="31"/>
        <v>63</v>
      </c>
      <c r="BT14" s="682">
        <f t="shared" si="31"/>
        <v>64</v>
      </c>
      <c r="BU14" s="682">
        <f>BT14+1</f>
        <v>65</v>
      </c>
      <c r="BV14" s="682">
        <f>BU14+1</f>
        <v>66</v>
      </c>
      <c r="BW14" s="682">
        <f>BV14+1</f>
        <v>67</v>
      </c>
      <c r="BX14" s="682">
        <f>BW14+1</f>
        <v>68</v>
      </c>
      <c r="BY14" s="682">
        <f>BX14+1</f>
        <v>69</v>
      </c>
      <c r="BZ14" s="682">
        <f t="shared" ref="BZ14:CF14" si="32">BY14+1</f>
        <v>70</v>
      </c>
      <c r="CA14" s="682">
        <f t="shared" si="32"/>
        <v>71</v>
      </c>
      <c r="CB14" s="682">
        <f t="shared" si="32"/>
        <v>72</v>
      </c>
      <c r="CC14" s="682">
        <f t="shared" si="32"/>
        <v>73</v>
      </c>
      <c r="CD14" s="682">
        <f t="shared" si="32"/>
        <v>74</v>
      </c>
      <c r="CE14" s="682">
        <f t="shared" si="32"/>
        <v>75</v>
      </c>
      <c r="CF14" s="682">
        <f t="shared" si="32"/>
        <v>76</v>
      </c>
      <c r="CG14" s="682">
        <f>CF14+1</f>
        <v>77</v>
      </c>
      <c r="CH14" s="682">
        <f>CG14+1</f>
        <v>78</v>
      </c>
      <c r="CI14" s="682">
        <f>CH14+1</f>
        <v>79</v>
      </c>
      <c r="CJ14" s="682">
        <f t="shared" ref="CJ14" si="33">CI14+1</f>
        <v>80</v>
      </c>
      <c r="CK14" s="682">
        <f t="shared" ref="CK14" si="34">CJ14+1</f>
        <v>81</v>
      </c>
      <c r="CL14" s="682">
        <f>CK14+1</f>
        <v>82</v>
      </c>
      <c r="CM14" s="682">
        <f>CL14+1</f>
        <v>83</v>
      </c>
      <c r="CN14" s="682">
        <f>CM14+1</f>
        <v>84</v>
      </c>
      <c r="CO14" s="682">
        <f t="shared" ref="CO14" si="35">CN14+1</f>
        <v>85</v>
      </c>
      <c r="CP14" s="682">
        <f t="shared" ref="CP14" si="36">CO14+1</f>
        <v>86</v>
      </c>
      <c r="CQ14" s="682">
        <f>CP14+1</f>
        <v>87</v>
      </c>
      <c r="CR14" s="682">
        <f>CQ14+1</f>
        <v>88</v>
      </c>
      <c r="CS14" s="682">
        <f>CR14+1</f>
        <v>89</v>
      </c>
      <c r="CT14" s="682">
        <f t="shared" ref="CT14" si="37">CS14+1</f>
        <v>90</v>
      </c>
      <c r="CU14" s="682">
        <f t="shared" ref="CU14" si="38">CT14+1</f>
        <v>91</v>
      </c>
      <c r="CV14" s="682">
        <f>CU14+1</f>
        <v>92</v>
      </c>
      <c r="CW14" s="682">
        <f>CV14+1</f>
        <v>93</v>
      </c>
      <c r="CX14" s="682">
        <f>CW14+1</f>
        <v>94</v>
      </c>
    </row>
    <row r="15" spans="1:102" x14ac:dyDescent="0.2">
      <c r="A15" s="675">
        <f t="shared" ref="A15:A78" si="39">A3</f>
        <v>1</v>
      </c>
      <c r="B15" s="675">
        <f t="shared" si="0"/>
        <v>2003</v>
      </c>
      <c r="C15" s="678">
        <v>37652</v>
      </c>
      <c r="D15" s="675" t="str">
        <f t="shared" si="1"/>
        <v>1Q03</v>
      </c>
      <c r="E15" s="679">
        <v>19.7</v>
      </c>
      <c r="F15" s="674"/>
      <c r="G15" s="682" t="s">
        <v>393</v>
      </c>
      <c r="H15" s="689" t="str">
        <f t="shared" ref="H15:BI16" ca="1" si="40">IF(MOD(H$14+1,5)=0,OFFSET($H10,0,TRUNC(H$14/5,0)),OFFSET($H5,0,H$14-TRUNC(H$14/5,0)))</f>
        <v>1Q02</v>
      </c>
      <c r="I15" s="689" t="str">
        <f t="shared" ca="1" si="40"/>
        <v>2Q02</v>
      </c>
      <c r="J15" s="689" t="str">
        <f t="shared" ca="1" si="40"/>
        <v>3Q02</v>
      </c>
      <c r="K15" s="689" t="str">
        <f t="shared" ca="1" si="40"/>
        <v>4Q02</v>
      </c>
      <c r="L15" s="689">
        <f t="shared" ca="1" si="40"/>
        <v>2002</v>
      </c>
      <c r="M15" s="689" t="str">
        <f t="shared" ca="1" si="40"/>
        <v>1Q03</v>
      </c>
      <c r="N15" s="689" t="str">
        <f t="shared" ca="1" si="40"/>
        <v>2Q03</v>
      </c>
      <c r="O15" s="689" t="str">
        <f t="shared" ca="1" si="40"/>
        <v>3Q03</v>
      </c>
      <c r="P15" s="689" t="str">
        <f t="shared" ca="1" si="40"/>
        <v>4Q03</v>
      </c>
      <c r="Q15" s="689">
        <f t="shared" ca="1" si="40"/>
        <v>2003</v>
      </c>
      <c r="R15" s="689" t="str">
        <f t="shared" ca="1" si="40"/>
        <v>1Q04</v>
      </c>
      <c r="S15" s="689" t="str">
        <f t="shared" ca="1" si="40"/>
        <v>2Q04</v>
      </c>
      <c r="T15" s="689" t="str">
        <f t="shared" ca="1" si="40"/>
        <v>3Q04</v>
      </c>
      <c r="U15" s="689" t="str">
        <f t="shared" ca="1" si="40"/>
        <v>4Q04</v>
      </c>
      <c r="V15" s="689">
        <f t="shared" ca="1" si="40"/>
        <v>2004</v>
      </c>
      <c r="W15" s="689" t="str">
        <f t="shared" ca="1" si="40"/>
        <v>1Q05</v>
      </c>
      <c r="X15" s="689" t="str">
        <f t="shared" ca="1" si="40"/>
        <v>2Q05</v>
      </c>
      <c r="Y15" s="689" t="str">
        <f t="shared" ca="1" si="40"/>
        <v>3Q05</v>
      </c>
      <c r="Z15" s="689" t="str">
        <f t="shared" ca="1" si="40"/>
        <v>4Q05</v>
      </c>
      <c r="AA15" s="689">
        <f t="shared" ca="1" si="40"/>
        <v>2005</v>
      </c>
      <c r="AB15" s="689" t="str">
        <f t="shared" ca="1" si="40"/>
        <v>1Q06</v>
      </c>
      <c r="AC15" s="689" t="str">
        <f t="shared" ca="1" si="40"/>
        <v>2Q06</v>
      </c>
      <c r="AD15" s="689" t="str">
        <f t="shared" ca="1" si="40"/>
        <v>3Q06</v>
      </c>
      <c r="AE15" s="689" t="str">
        <f t="shared" ca="1" si="40"/>
        <v>4Q06</v>
      </c>
      <c r="AF15" s="689">
        <f t="shared" ca="1" si="40"/>
        <v>2006</v>
      </c>
      <c r="AG15" s="689" t="str">
        <f t="shared" ca="1" si="40"/>
        <v>1Q07</v>
      </c>
      <c r="AH15" s="689" t="str">
        <f t="shared" ca="1" si="40"/>
        <v>2Q07</v>
      </c>
      <c r="AI15" s="689" t="str">
        <f t="shared" ca="1" si="40"/>
        <v>3Q07</v>
      </c>
      <c r="AJ15" s="689" t="str">
        <f t="shared" ca="1" si="40"/>
        <v>4Q07</v>
      </c>
      <c r="AK15" s="689">
        <f t="shared" ca="1" si="40"/>
        <v>2007</v>
      </c>
      <c r="AL15" s="689" t="str">
        <f t="shared" ca="1" si="40"/>
        <v>1Q08</v>
      </c>
      <c r="AM15" s="689" t="str">
        <f t="shared" ca="1" si="40"/>
        <v>2Q08</v>
      </c>
      <c r="AN15" s="689" t="str">
        <f t="shared" ca="1" si="40"/>
        <v>3Q08</v>
      </c>
      <c r="AO15" s="689" t="str">
        <f t="shared" ca="1" si="40"/>
        <v>4Q08</v>
      </c>
      <c r="AP15" s="689">
        <f t="shared" ca="1" si="40"/>
        <v>2008</v>
      </c>
      <c r="AQ15" s="689" t="str">
        <f t="shared" ca="1" si="40"/>
        <v>1Q09</v>
      </c>
      <c r="AR15" s="689" t="str">
        <f t="shared" ca="1" si="40"/>
        <v>2Q09</v>
      </c>
      <c r="AS15" s="689" t="str">
        <f t="shared" ca="1" si="40"/>
        <v>3Q09</v>
      </c>
      <c r="AT15" s="689" t="str">
        <f t="shared" ca="1" si="40"/>
        <v>4Q09</v>
      </c>
      <c r="AU15" s="689">
        <f t="shared" ca="1" si="40"/>
        <v>2009</v>
      </c>
      <c r="AV15" s="689" t="str">
        <f t="shared" ca="1" si="40"/>
        <v>1Q10</v>
      </c>
      <c r="AW15" s="689" t="str">
        <f t="shared" ca="1" si="40"/>
        <v>2Q10</v>
      </c>
      <c r="AX15" s="689" t="str">
        <f t="shared" ca="1" si="40"/>
        <v>3Q10</v>
      </c>
      <c r="AY15" s="689" t="str">
        <f t="shared" ca="1" si="40"/>
        <v>4Q10</v>
      </c>
      <c r="AZ15" s="689">
        <f t="shared" ca="1" si="40"/>
        <v>2010</v>
      </c>
      <c r="BA15" s="689" t="str">
        <f t="shared" ca="1" si="40"/>
        <v>1Q11</v>
      </c>
      <c r="BB15" s="689" t="str">
        <f t="shared" ca="1" si="40"/>
        <v>2Q11</v>
      </c>
      <c r="BC15" s="689" t="str">
        <f t="shared" ca="1" si="40"/>
        <v>3Q11</v>
      </c>
      <c r="BD15" s="689" t="str">
        <f t="shared" ca="1" si="40"/>
        <v>4Q11</v>
      </c>
      <c r="BE15" s="689">
        <f t="shared" ca="1" si="40"/>
        <v>2011</v>
      </c>
      <c r="BF15" s="689" t="str">
        <f t="shared" ca="1" si="40"/>
        <v>1Q12</v>
      </c>
      <c r="BG15" s="689" t="str">
        <f t="shared" ca="1" si="40"/>
        <v>2Q12</v>
      </c>
      <c r="BH15" s="689" t="str">
        <f t="shared" ca="1" si="40"/>
        <v>3Q12</v>
      </c>
      <c r="BI15" s="689" t="str">
        <f t="shared" ca="1" si="40"/>
        <v>4Q12</v>
      </c>
      <c r="BJ15" s="689">
        <f ca="1">BE15+1</f>
        <v>2012</v>
      </c>
      <c r="BK15" s="689" t="str">
        <f t="shared" ref="BK15:BN16" ca="1" si="41">IF(MOD(BK$14+1,5)=0,OFFSET($H10,0,TRUNC(BK$14/5,0)),OFFSET($H5,0,BK$14-TRUNC(BK$14/5,0)))</f>
        <v>1Q13</v>
      </c>
      <c r="BL15" s="689" t="str">
        <f t="shared" ca="1" si="41"/>
        <v>2Q13</v>
      </c>
      <c r="BM15" s="689" t="str">
        <f t="shared" ca="1" si="41"/>
        <v>3Q13</v>
      </c>
      <c r="BN15" s="689" t="str">
        <f t="shared" ca="1" si="41"/>
        <v>4Q13</v>
      </c>
      <c r="BO15" s="689">
        <f ca="1">BJ15+1</f>
        <v>2013</v>
      </c>
      <c r="BP15" s="689" t="str">
        <f t="shared" ref="BP15:BS16" ca="1" si="42">IF(MOD(BP$14+1,5)=0,OFFSET($H10,0,TRUNC(BP$14/5,0)),OFFSET($H5,0,BP$14-TRUNC(BP$14/5,0)))</f>
        <v>1Q14</v>
      </c>
      <c r="BQ15" s="689" t="str">
        <f t="shared" ca="1" si="42"/>
        <v>2Q14</v>
      </c>
      <c r="BR15" s="689" t="str">
        <f t="shared" ca="1" si="42"/>
        <v>3Q14</v>
      </c>
      <c r="BS15" s="689" t="str">
        <f t="shared" ca="1" si="42"/>
        <v>4Q14</v>
      </c>
      <c r="BT15" s="689">
        <f ca="1">BO15+1</f>
        <v>2014</v>
      </c>
      <c r="BU15" s="689" t="str">
        <f t="shared" ref="BU15:CF16" ca="1" si="43">IF(MOD(BU$14+1,5)=0,OFFSET($H10,0,TRUNC(BU$14/5,0)),OFFSET($H5,0,BU$14-TRUNC(BU$14/5,0)))</f>
        <v>1Q15</v>
      </c>
      <c r="BV15" s="689" t="str">
        <f t="shared" ca="1" si="43"/>
        <v>2Q15</v>
      </c>
      <c r="BW15" s="689" t="str">
        <f t="shared" ca="1" si="43"/>
        <v>3Q15</v>
      </c>
      <c r="BX15" s="689" t="str">
        <f t="shared" ca="1" si="43"/>
        <v>4Q15</v>
      </c>
      <c r="BY15" s="689">
        <f ca="1">BT15+1</f>
        <v>2015</v>
      </c>
      <c r="BZ15" s="689" t="str">
        <f t="shared" ca="1" si="43"/>
        <v>1Q16</v>
      </c>
      <c r="CA15" s="689" t="str">
        <f t="shared" ca="1" si="43"/>
        <v>2Q16</v>
      </c>
      <c r="CB15" s="689" t="str">
        <f t="shared" ca="1" si="43"/>
        <v>3Q16</v>
      </c>
      <c r="CC15" s="689" t="str">
        <f t="shared" ca="1" si="43"/>
        <v>4Q16</v>
      </c>
      <c r="CD15" s="689">
        <f ca="1">BY15+1</f>
        <v>2016</v>
      </c>
      <c r="CE15" s="689" t="str">
        <f t="shared" ca="1" si="43"/>
        <v>1Q17</v>
      </c>
      <c r="CF15" s="689" t="str">
        <f t="shared" ca="1" si="43"/>
        <v>2Q17</v>
      </c>
      <c r="CG15" s="689" t="str">
        <f t="shared" ref="CG15:CK16" ca="1" si="44">IF(MOD(CG$14+1,5)=0,OFFSET($H10,0,TRUNC(CG$14/5,0)),OFFSET($H5,0,CG$14-TRUNC(CG$14/5,0)))</f>
        <v>3Q17</v>
      </c>
      <c r="CH15" s="689" t="str">
        <f t="shared" ca="1" si="44"/>
        <v>4Q17</v>
      </c>
      <c r="CI15" s="689">
        <f t="shared" ca="1" si="44"/>
        <v>2017</v>
      </c>
      <c r="CJ15" s="689" t="str">
        <f t="shared" ca="1" si="44"/>
        <v>1Q18</v>
      </c>
      <c r="CK15" s="689" t="str">
        <f t="shared" ca="1" si="44"/>
        <v>2Q18</v>
      </c>
      <c r="CL15" s="689" t="str">
        <f t="shared" ref="CL15:CS15" ca="1" si="45">IF(MOD(CL$14+1,5)=0,OFFSET($H10,0,TRUNC(CL$14/5,0)),OFFSET($H5,0,CL$14-TRUNC(CL$14/5,0)))</f>
        <v>3Q18</v>
      </c>
      <c r="CM15" s="689" t="str">
        <f t="shared" ca="1" si="45"/>
        <v>4Q18</v>
      </c>
      <c r="CN15" s="689">
        <f t="shared" ca="1" si="45"/>
        <v>2018</v>
      </c>
      <c r="CO15" s="689" t="str">
        <f t="shared" ca="1" si="45"/>
        <v>1Q19</v>
      </c>
      <c r="CP15" s="689" t="str">
        <f t="shared" ca="1" si="45"/>
        <v>2Q19</v>
      </c>
      <c r="CQ15" s="689" t="str">
        <f t="shared" ca="1" si="45"/>
        <v>3Q19</v>
      </c>
      <c r="CR15" s="689" t="str">
        <f t="shared" ca="1" si="45"/>
        <v>4Q19</v>
      </c>
      <c r="CS15" s="689">
        <f t="shared" ca="1" si="45"/>
        <v>2019</v>
      </c>
      <c r="CT15" s="689" t="str">
        <f t="shared" ref="CT15:CX15" ca="1" si="46">IF(MOD(CT$14+1,5)=0,OFFSET($H10,0,TRUNC(CT$14/5,0)),OFFSET($H5,0,CT$14-TRUNC(CT$14/5,0)))</f>
        <v>1Q20</v>
      </c>
      <c r="CU15" s="689" t="str">
        <f t="shared" ca="1" si="46"/>
        <v>2Q20</v>
      </c>
      <c r="CV15" s="689" t="str">
        <f t="shared" ca="1" si="46"/>
        <v>3Q20</v>
      </c>
      <c r="CW15" s="689" t="str">
        <f t="shared" ca="1" si="46"/>
        <v>4Q20</v>
      </c>
      <c r="CX15" s="689">
        <f t="shared" ca="1" si="46"/>
        <v>2020</v>
      </c>
    </row>
    <row r="16" spans="1:102" x14ac:dyDescent="0.2">
      <c r="A16" s="675">
        <f t="shared" si="39"/>
        <v>1</v>
      </c>
      <c r="B16" s="675">
        <f t="shared" si="0"/>
        <v>2003</v>
      </c>
      <c r="C16" s="678">
        <v>37680</v>
      </c>
      <c r="D16" s="675" t="str">
        <f t="shared" si="1"/>
        <v>1Q03</v>
      </c>
      <c r="E16" s="679">
        <v>19.059999999999999</v>
      </c>
      <c r="F16" s="674"/>
      <c r="G16" s="675" t="str">
        <f>G11</f>
        <v>Avg NSC Stock Price</v>
      </c>
      <c r="H16" s="685">
        <f t="shared" ca="1" si="40"/>
        <v>23.426666666666666</v>
      </c>
      <c r="I16" s="685">
        <f t="shared" ca="1" si="40"/>
        <v>21.993333333333336</v>
      </c>
      <c r="J16" s="685">
        <f t="shared" ca="1" si="40"/>
        <v>20.456666666666667</v>
      </c>
      <c r="K16" s="685">
        <f t="shared" ca="1" si="40"/>
        <v>19.973333333333333</v>
      </c>
      <c r="L16" s="685">
        <f t="shared" ca="1" si="40"/>
        <v>21.462499999999999</v>
      </c>
      <c r="M16" s="685">
        <f t="shared" ca="1" si="40"/>
        <v>19.106666666666666</v>
      </c>
      <c r="N16" s="685">
        <f t="shared" ca="1" si="40"/>
        <v>20.776666666666667</v>
      </c>
      <c r="O16" s="685">
        <f t="shared" ca="1" si="40"/>
        <v>18.923333333333332</v>
      </c>
      <c r="P16" s="685">
        <f t="shared" ca="1" si="40"/>
        <v>21.736666666666668</v>
      </c>
      <c r="Q16" s="685">
        <f t="shared" ca="1" si="40"/>
        <v>20.135833333333334</v>
      </c>
      <c r="R16" s="685">
        <f t="shared" ca="1" si="40"/>
        <v>22.183333333333334</v>
      </c>
      <c r="S16" s="685">
        <f t="shared" ca="1" si="40"/>
        <v>24.856666666666666</v>
      </c>
      <c r="T16" s="685">
        <f t="shared" ca="1" si="40"/>
        <v>28.276666666666667</v>
      </c>
      <c r="U16" s="685">
        <f t="shared" ca="1" si="40"/>
        <v>34.823333333333331</v>
      </c>
      <c r="V16" s="685">
        <f t="shared" ca="1" si="40"/>
        <v>27.534999999999997</v>
      </c>
      <c r="W16" s="685">
        <f t="shared" ca="1" si="40"/>
        <v>35.953333333333333</v>
      </c>
      <c r="X16" s="685">
        <f t="shared" ca="1" si="40"/>
        <v>31.426666666666666</v>
      </c>
      <c r="Y16" s="685">
        <f t="shared" ca="1" si="40"/>
        <v>37.793333333333329</v>
      </c>
      <c r="Z16" s="685">
        <f t="shared" ca="1" si="40"/>
        <v>43.089999999999996</v>
      </c>
      <c r="AA16" s="685">
        <f t="shared" ca="1" si="40"/>
        <v>37.06583333333333</v>
      </c>
      <c r="AB16" s="685">
        <f t="shared" ca="1" si="40"/>
        <v>51.696666666666665</v>
      </c>
      <c r="AC16" s="685">
        <f t="shared" ca="1" si="40"/>
        <v>53.326666666666661</v>
      </c>
      <c r="AD16" s="685">
        <f t="shared" ca="1" si="40"/>
        <v>43.4</v>
      </c>
      <c r="AE16" s="685">
        <f t="shared" ca="1" si="40"/>
        <v>50.703333333333326</v>
      </c>
      <c r="AF16" s="685">
        <f t="shared" ca="1" si="40"/>
        <v>49.781666666666659</v>
      </c>
      <c r="AG16" s="685">
        <f t="shared" ca="1" si="40"/>
        <v>49.223333333333329</v>
      </c>
      <c r="AH16" s="685">
        <f t="shared" ca="1" si="40"/>
        <v>54.566666666666663</v>
      </c>
      <c r="AI16" s="685">
        <f t="shared" ca="1" si="40"/>
        <v>52.300000000000004</v>
      </c>
      <c r="AJ16" s="685">
        <f t="shared" ca="1" si="40"/>
        <v>51.1</v>
      </c>
      <c r="AK16" s="685">
        <f t="shared" ca="1" si="40"/>
        <v>51.797499999999999</v>
      </c>
      <c r="AL16" s="685">
        <f t="shared" ca="1" si="40"/>
        <v>53.866666666666667</v>
      </c>
      <c r="AM16" s="685">
        <f t="shared" ca="1" si="40"/>
        <v>63.21</v>
      </c>
      <c r="AN16" s="685">
        <f t="shared" ca="1" si="40"/>
        <v>70.553333333333327</v>
      </c>
      <c r="AO16" s="685">
        <f t="shared" ca="1" si="40"/>
        <v>52.153333333333329</v>
      </c>
      <c r="AP16" s="685">
        <f t="shared" ca="1" si="40"/>
        <v>59.945833333333333</v>
      </c>
      <c r="AQ16" s="685">
        <f t="shared" ca="1" si="40"/>
        <v>34.61</v>
      </c>
      <c r="AR16" s="685">
        <f t="shared" ca="1" si="40"/>
        <v>36.85</v>
      </c>
      <c r="AS16" s="685">
        <f t="shared" ca="1" si="40"/>
        <v>44.076666666666675</v>
      </c>
      <c r="AT16" s="685">
        <f t="shared" ca="1" si="40"/>
        <v>50.146666666666668</v>
      </c>
      <c r="AU16" s="685">
        <f t="shared" ca="1" si="40"/>
        <v>41.420833333333341</v>
      </c>
      <c r="AV16" s="685">
        <f t="shared" ca="1" si="40"/>
        <v>51.46</v>
      </c>
      <c r="AW16" s="685">
        <f t="shared" ca="1" si="40"/>
        <v>56.279999999999994</v>
      </c>
      <c r="AX16" s="685">
        <f t="shared" ca="1" si="40"/>
        <v>56.486666666666672</v>
      </c>
      <c r="AY16" s="685">
        <f t="shared" ca="1" si="40"/>
        <v>61.493333333333332</v>
      </c>
      <c r="AZ16" s="685">
        <f t="shared" ca="1" si="40"/>
        <v>56.43</v>
      </c>
      <c r="BA16" s="685">
        <f t="shared" ca="1" si="40"/>
        <v>65.346666666666664</v>
      </c>
      <c r="BB16" s="685">
        <f t="shared" ca="1" si="40"/>
        <v>74.306666666666672</v>
      </c>
      <c r="BC16" s="685">
        <f t="shared" ca="1" si="40"/>
        <v>68.13333333333334</v>
      </c>
      <c r="BD16" s="685">
        <f t="shared" ca="1" si="40"/>
        <v>72.009229307692308</v>
      </c>
      <c r="BE16" s="685">
        <f t="shared" ca="1" si="40"/>
        <v>69.948973993589746</v>
      </c>
      <c r="BF16" s="685">
        <f t="shared" ca="1" si="40"/>
        <v>70.833071538461539</v>
      </c>
      <c r="BG16" s="685">
        <f t="shared" ca="1" si="40"/>
        <v>68.575376615384613</v>
      </c>
      <c r="BH16" s="685">
        <f t="shared" ca="1" si="40"/>
        <v>72.26691546153846</v>
      </c>
      <c r="BI16" s="685">
        <f t="shared" ca="1" si="40"/>
        <v>61.745378230769234</v>
      </c>
      <c r="BJ16" s="685">
        <f ca="1">IF(MOD(BJ$14+1,5)=0,OFFSET($H11,0,TRUNC(BJ$14/5,0)),OFFSET($H6,0,BJ$14-TRUNC(BJ$14/5,0)))</f>
        <v>68.355185461538468</v>
      </c>
      <c r="BK16" s="685">
        <f t="shared" ca="1" si="41"/>
        <v>71.144609153846147</v>
      </c>
      <c r="BL16" s="685">
        <f t="shared" ca="1" si="41"/>
        <v>76.311534461538457</v>
      </c>
      <c r="BM16" s="685">
        <f t="shared" ca="1" si="41"/>
        <v>75.013071307692314</v>
      </c>
      <c r="BN16" s="685">
        <f ca="1">IF(MOD(BN$14+1,5)=0,OFFSET($H11,0,TRUNC(BN$14/5,0)),OFFSET($H6,0,BN$14-TRUNC(BN$14/5,0)))</f>
        <v>86.128456</v>
      </c>
      <c r="BO16" s="685">
        <f ca="1">IF(MOD(BO$14+1,5)=0,OFFSET($H11,0,TRUNC(BO$14/5,0)),OFFSET($H6,0,BO$14-TRUNC(BO$14/5,0)))</f>
        <v>77.14941773076923</v>
      </c>
      <c r="BP16" s="685">
        <f t="shared" ca="1" si="42"/>
        <v>92.74999230769231</v>
      </c>
      <c r="BQ16" s="685">
        <f t="shared" ca="1" si="42"/>
        <v>98.094610615384653</v>
      </c>
      <c r="BR16" s="685">
        <f t="shared" ca="1" si="42"/>
        <v>106.13230692307694</v>
      </c>
      <c r="BS16" s="685">
        <f t="shared" ca="1" si="42"/>
        <v>109.73077153846151</v>
      </c>
      <c r="BT16" s="685">
        <f ca="1">IF(MOD(BT$14+1,5)=0,OFFSET($H11,0,TRUNC(BT$14/5,0)),OFFSET($H6,0,BT$14-TRUNC(BT$14/5,0)))</f>
        <v>101.67692034615385</v>
      </c>
      <c r="BU16" s="685">
        <f t="shared" ca="1" si="43"/>
        <v>107.0884653846154</v>
      </c>
      <c r="BV16" s="685">
        <f t="shared" ca="1" si="43"/>
        <v>97.751540230769223</v>
      </c>
      <c r="BW16" s="685">
        <f t="shared" ca="1" si="43"/>
        <v>81.488462307692302</v>
      </c>
      <c r="BX16" s="685">
        <f t="shared" ca="1" si="43"/>
        <v>85.817693076923078</v>
      </c>
      <c r="BY16" s="685">
        <f ca="1">IF(MOD(BY$14+1,5)=0,OFFSET($H11,0,TRUNC(BY$14/5,0)),OFFSET($H6,0,BY$14-TRUNC(BY$14/5,0)))</f>
        <v>93.036540250000002</v>
      </c>
      <c r="BZ16" s="685">
        <f t="shared" ref="BZ16:CF16" ca="1" si="47">IF(MOD(BZ$14+1,5)=0,OFFSET($H11,0,TRUNC(BZ$14/5,0)),OFFSET($H6,0,BZ$14-TRUNC(BZ$14/5,0)))</f>
        <v>76.149229076923064</v>
      </c>
      <c r="CA16" s="685">
        <f t="shared" ca="1" si="47"/>
        <v>85.202309692307708</v>
      </c>
      <c r="CB16" s="685">
        <f t="shared" ca="1" si="47"/>
        <v>90.453847384615372</v>
      </c>
      <c r="CC16" s="685">
        <f t="shared" ca="1" si="47"/>
        <v>108.80846461538461</v>
      </c>
      <c r="CD16" s="685">
        <f t="shared" ca="1" si="47"/>
        <v>90.153462692307684</v>
      </c>
      <c r="CE16" s="685">
        <f t="shared" ca="1" si="47"/>
        <v>108.38923615384617</v>
      </c>
      <c r="CF16" s="685">
        <f t="shared" ca="1" si="47"/>
        <v>117.22077384615386</v>
      </c>
      <c r="CG16" s="685">
        <f t="shared" ca="1" si="44"/>
        <v>120.94154307692307</v>
      </c>
      <c r="CH16" s="685">
        <f t="shared" ca="1" si="44"/>
        <v>144.97385076923075</v>
      </c>
      <c r="CI16" s="685">
        <f t="shared" ca="1" si="44"/>
        <v>122.88135096153847</v>
      </c>
      <c r="CJ16" s="685">
        <f t="shared" ca="1" si="44"/>
        <v>153.93846538461537</v>
      </c>
      <c r="CK16" s="685">
        <f t="shared" ca="1" si="44"/>
        <v>124.18077692307693</v>
      </c>
      <c r="CL16" s="685">
        <f t="shared" ref="CL16:CS16" ca="1" si="48">IF(MOD(CL$14+1,5)=0,OFFSET($H11,0,TRUNC(CL$14/5,0)),OFFSET($H6,0,CL$14-TRUNC(CL$14/5,0)))</f>
        <v>134.97001</v>
      </c>
      <c r="CM16" s="685">
        <f t="shared" ca="1" si="48"/>
        <v>134.97001</v>
      </c>
      <c r="CN16" s="685">
        <f t="shared" ca="1" si="48"/>
        <v>137.01481557692307</v>
      </c>
      <c r="CO16" s="685">
        <f t="shared" ca="1" si="48"/>
        <v>134.97001</v>
      </c>
      <c r="CP16" s="685">
        <f t="shared" ca="1" si="48"/>
        <v>134.97001</v>
      </c>
      <c r="CQ16" s="685">
        <f t="shared" ca="1" si="48"/>
        <v>134.97001</v>
      </c>
      <c r="CR16" s="685">
        <f t="shared" ca="1" si="48"/>
        <v>134.97001</v>
      </c>
      <c r="CS16" s="685">
        <f t="shared" ca="1" si="48"/>
        <v>134.97001</v>
      </c>
      <c r="CT16" s="685">
        <f t="shared" ref="CT16:CX16" ca="1" si="49">IF(MOD(CT$14+1,5)=0,OFFSET($H11,0,TRUNC(CT$14/5,0)),OFFSET($H6,0,CT$14-TRUNC(CT$14/5,0)))</f>
        <v>134.97001</v>
      </c>
      <c r="CU16" s="685">
        <f t="shared" ca="1" si="49"/>
        <v>134.97001</v>
      </c>
      <c r="CV16" s="685">
        <f t="shared" ca="1" si="49"/>
        <v>134.97001</v>
      </c>
      <c r="CW16" s="685">
        <f t="shared" ca="1" si="49"/>
        <v>134.97001</v>
      </c>
      <c r="CX16" s="685">
        <f t="shared" ca="1" si="49"/>
        <v>134.97001</v>
      </c>
    </row>
    <row r="17" spans="1:102" x14ac:dyDescent="0.2">
      <c r="A17" s="675">
        <f t="shared" si="39"/>
        <v>1</v>
      </c>
      <c r="B17" s="675">
        <f t="shared" si="0"/>
        <v>2003</v>
      </c>
      <c r="C17" s="678">
        <v>37711</v>
      </c>
      <c r="D17" s="675" t="str">
        <f t="shared" si="1"/>
        <v>1Q03</v>
      </c>
      <c r="E17" s="679">
        <v>18.559999999999999</v>
      </c>
      <c r="F17" s="674"/>
      <c r="H17" s="686"/>
      <c r="I17" s="686"/>
      <c r="J17" s="686"/>
      <c r="K17" s="686"/>
      <c r="L17" s="686"/>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row>
    <row r="18" spans="1:102" x14ac:dyDescent="0.2">
      <c r="A18" s="675">
        <f t="shared" si="39"/>
        <v>2</v>
      </c>
      <c r="B18" s="675">
        <f t="shared" si="0"/>
        <v>2003</v>
      </c>
      <c r="C18" s="678">
        <v>37741</v>
      </c>
      <c r="D18" s="675" t="str">
        <f t="shared" si="1"/>
        <v>2Q03</v>
      </c>
      <c r="E18" s="679">
        <v>21.21</v>
      </c>
      <c r="F18" s="674"/>
      <c r="G18" s="677" t="s">
        <v>48</v>
      </c>
      <c r="H18" s="677"/>
      <c r="I18" s="677"/>
      <c r="J18" s="677"/>
      <c r="K18" s="677"/>
      <c r="L18" s="677"/>
      <c r="M18" s="677"/>
      <c r="N18" s="677"/>
      <c r="O18" s="677"/>
      <c r="P18" s="677"/>
      <c r="Q18" s="677"/>
      <c r="R18" s="677"/>
      <c r="S18" s="677"/>
      <c r="T18" s="677"/>
      <c r="U18" s="677"/>
      <c r="V18" s="677"/>
      <c r="W18" s="677"/>
      <c r="X18" s="677"/>
      <c r="Y18" s="677"/>
      <c r="Z18" s="677"/>
      <c r="AA18" s="677"/>
      <c r="AB18" s="677"/>
      <c r="AC18" s="677"/>
      <c r="AD18" s="677"/>
      <c r="AE18" s="677"/>
      <c r="AF18" s="677"/>
      <c r="AG18" s="677"/>
      <c r="AH18" s="677"/>
      <c r="AI18" s="677"/>
      <c r="AJ18" s="677"/>
      <c r="AK18" s="677"/>
      <c r="AL18" s="677"/>
      <c r="AM18" s="677"/>
      <c r="AN18" s="677"/>
      <c r="AO18" s="677"/>
      <c r="AP18" s="677"/>
      <c r="AQ18" s="677"/>
      <c r="AR18" s="677"/>
      <c r="AS18" s="677"/>
      <c r="AT18" s="677"/>
      <c r="AU18" s="677"/>
      <c r="AV18" s="677"/>
      <c r="AW18" s="677"/>
      <c r="AX18" s="677"/>
      <c r="AY18" s="677"/>
      <c r="AZ18" s="677"/>
      <c r="BA18" s="677"/>
      <c r="BB18" s="677"/>
      <c r="BC18" s="677"/>
      <c r="BD18" s="677"/>
      <c r="BE18" s="677"/>
      <c r="BF18" s="677"/>
      <c r="BG18" s="677"/>
      <c r="BH18" s="677"/>
      <c r="BI18" s="677"/>
      <c r="BJ18" s="677"/>
      <c r="BK18" s="677"/>
      <c r="BL18" s="677"/>
      <c r="BM18" s="677"/>
      <c r="BN18" s="677"/>
      <c r="BO18" s="677"/>
      <c r="BP18" s="677"/>
      <c r="BQ18" s="677"/>
      <c r="BR18" s="677"/>
      <c r="BS18" s="677"/>
      <c r="BT18" s="677"/>
      <c r="BU18" s="677"/>
      <c r="BV18" s="677"/>
      <c r="BW18" s="677"/>
      <c r="BX18" s="677"/>
      <c r="BY18" s="677"/>
      <c r="BZ18" s="677"/>
      <c r="CA18" s="677"/>
      <c r="CB18" s="677"/>
      <c r="CC18" s="677"/>
      <c r="CD18" s="677"/>
      <c r="CE18" s="677"/>
      <c r="CF18" s="677"/>
      <c r="CG18" s="677"/>
      <c r="CH18" s="677"/>
      <c r="CI18" s="677"/>
      <c r="CJ18" s="677"/>
      <c r="CK18" s="677"/>
      <c r="CL18" s="677"/>
      <c r="CM18" s="677"/>
      <c r="CN18" s="677"/>
      <c r="CO18" s="677"/>
      <c r="CP18" s="677"/>
      <c r="CQ18" s="677"/>
      <c r="CR18" s="677"/>
      <c r="CS18" s="677"/>
      <c r="CT18" s="677"/>
      <c r="CU18" s="677"/>
      <c r="CV18" s="677"/>
      <c r="CW18" s="677"/>
      <c r="CX18" s="677"/>
    </row>
    <row r="19" spans="1:102" x14ac:dyDescent="0.2">
      <c r="A19" s="675">
        <f t="shared" si="39"/>
        <v>2</v>
      </c>
      <c r="B19" s="675">
        <f t="shared" si="0"/>
        <v>2003</v>
      </c>
      <c r="C19" s="678">
        <v>37772</v>
      </c>
      <c r="D19" s="675" t="str">
        <f t="shared" si="1"/>
        <v>2Q03</v>
      </c>
      <c r="E19" s="679">
        <v>21.92</v>
      </c>
      <c r="F19" s="674"/>
      <c r="G19" s="680" t="s">
        <v>49</v>
      </c>
      <c r="H19" s="681"/>
      <c r="I19" s="681"/>
      <c r="J19" s="681"/>
      <c r="K19" s="681"/>
      <c r="L19" s="681"/>
      <c r="M19" s="681"/>
      <c r="N19" s="681"/>
      <c r="O19" s="681"/>
      <c r="P19" s="681"/>
      <c r="Q19" s="681"/>
      <c r="R19" s="681"/>
      <c r="S19" s="681"/>
      <c r="T19" s="681"/>
      <c r="U19" s="681"/>
      <c r="V19" s="681"/>
      <c r="W19" s="681"/>
      <c r="X19" s="681"/>
      <c r="Y19" s="681"/>
      <c r="Z19" s="681"/>
      <c r="AA19" s="681"/>
      <c r="AB19" s="681"/>
      <c r="AC19" s="681"/>
      <c r="AD19" s="681"/>
      <c r="AE19" s="681"/>
      <c r="AF19" s="681"/>
      <c r="AG19" s="681"/>
      <c r="AH19" s="681"/>
      <c r="AI19" s="681"/>
      <c r="AJ19" s="681"/>
      <c r="AK19" s="681"/>
      <c r="AL19" s="681"/>
      <c r="AM19" s="681"/>
      <c r="AN19" s="681"/>
      <c r="AO19" s="681"/>
      <c r="AP19" s="681"/>
      <c r="AQ19" s="681"/>
      <c r="AR19" s="681"/>
      <c r="AS19" s="681"/>
      <c r="AT19" s="681"/>
      <c r="AU19" s="681">
        <v>1</v>
      </c>
      <c r="AV19" s="681">
        <f>AU19+1</f>
        <v>2</v>
      </c>
      <c r="AW19" s="681">
        <f t="shared" ref="AW19:BK20" si="50">AV19+1</f>
        <v>3</v>
      </c>
      <c r="AX19" s="681">
        <f t="shared" si="50"/>
        <v>4</v>
      </c>
      <c r="AY19" s="681">
        <f t="shared" si="50"/>
        <v>5</v>
      </c>
      <c r="AZ19" s="681">
        <f t="shared" si="50"/>
        <v>6</v>
      </c>
      <c r="BA19" s="681">
        <f t="shared" si="50"/>
        <v>7</v>
      </c>
      <c r="BB19" s="681">
        <f t="shared" si="50"/>
        <v>8</v>
      </c>
      <c r="BC19" s="681">
        <f t="shared" si="50"/>
        <v>9</v>
      </c>
      <c r="BD19" s="681">
        <f t="shared" si="50"/>
        <v>10</v>
      </c>
      <c r="BE19" s="681">
        <f t="shared" si="50"/>
        <v>11</v>
      </c>
      <c r="BF19" s="681">
        <f t="shared" si="50"/>
        <v>12</v>
      </c>
      <c r="BG19" s="681">
        <f t="shared" si="50"/>
        <v>13</v>
      </c>
      <c r="BH19" s="681">
        <f t="shared" si="50"/>
        <v>14</v>
      </c>
      <c r="BI19" s="681">
        <f t="shared" si="50"/>
        <v>15</v>
      </c>
      <c r="BJ19" s="681">
        <f t="shared" si="50"/>
        <v>16</v>
      </c>
      <c r="BK19" s="681">
        <f t="shared" si="50"/>
        <v>17</v>
      </c>
      <c r="BL19" s="681">
        <f t="shared" ref="BL19:BS20" si="51">BK19+1</f>
        <v>18</v>
      </c>
      <c r="BM19" s="681">
        <f t="shared" si="51"/>
        <v>19</v>
      </c>
      <c r="BN19" s="681">
        <f t="shared" si="51"/>
        <v>20</v>
      </c>
      <c r="BO19" s="681">
        <f t="shared" si="51"/>
        <v>21</v>
      </c>
      <c r="BP19" s="681">
        <f t="shared" si="51"/>
        <v>22</v>
      </c>
      <c r="BQ19" s="681">
        <f t="shared" si="51"/>
        <v>23</v>
      </c>
      <c r="BR19" s="681">
        <f t="shared" si="51"/>
        <v>24</v>
      </c>
      <c r="BS19" s="681">
        <f t="shared" si="51"/>
        <v>25</v>
      </c>
      <c r="BT19" s="681">
        <f t="shared" ref="BT19:BT20" si="52">BS19+1</f>
        <v>26</v>
      </c>
      <c r="BU19" s="681">
        <f t="shared" ref="BU19:BU20" si="53">BT19+1</f>
        <v>27</v>
      </c>
      <c r="BV19" s="681">
        <f t="shared" ref="BV19:BV20" si="54">BU19+1</f>
        <v>28</v>
      </c>
      <c r="BW19" s="681">
        <f t="shared" ref="BW19:BW20" si="55">BV19+1</f>
        <v>29</v>
      </c>
      <c r="BX19" s="681">
        <f t="shared" ref="BX19:BX20" si="56">BW19+1</f>
        <v>30</v>
      </c>
      <c r="BY19" s="681">
        <f t="shared" ref="BY19:BY20" si="57">BX19+1</f>
        <v>31</v>
      </c>
      <c r="BZ19" s="681">
        <f t="shared" ref="BZ19:BZ20" si="58">BY19+1</f>
        <v>32</v>
      </c>
      <c r="CA19" s="681">
        <f t="shared" ref="CA19:CA20" si="59">BZ19+1</f>
        <v>33</v>
      </c>
      <c r="CB19" s="681">
        <f t="shared" ref="CB19:CB20" si="60">CA19+1</f>
        <v>34</v>
      </c>
      <c r="CC19" s="681">
        <f t="shared" ref="CC19:CC20" si="61">CB19+1</f>
        <v>35</v>
      </c>
      <c r="CD19" s="681">
        <f t="shared" ref="CD19:CD20" si="62">CC19+1</f>
        <v>36</v>
      </c>
      <c r="CE19" s="681">
        <f t="shared" ref="CE19:CE20" si="63">CD19+1</f>
        <v>37</v>
      </c>
      <c r="CF19" s="681"/>
      <c r="CG19" s="681"/>
      <c r="CH19" s="681"/>
      <c r="CI19" s="681"/>
      <c r="CJ19" s="681"/>
      <c r="CK19" s="681"/>
      <c r="CL19" s="681"/>
      <c r="CM19" s="681"/>
      <c r="CN19" s="681"/>
      <c r="CO19" s="681"/>
      <c r="CP19" s="681"/>
      <c r="CQ19" s="681"/>
      <c r="CR19" s="681"/>
      <c r="CS19" s="681"/>
      <c r="CT19" s="681"/>
      <c r="CU19" s="681"/>
      <c r="CV19" s="681"/>
      <c r="CW19" s="681"/>
      <c r="CX19" s="681"/>
    </row>
    <row r="20" spans="1:102" x14ac:dyDescent="0.2">
      <c r="A20" s="675">
        <f t="shared" si="39"/>
        <v>2</v>
      </c>
      <c r="B20" s="675">
        <f t="shared" si="0"/>
        <v>2003</v>
      </c>
      <c r="C20" s="678">
        <v>37802</v>
      </c>
      <c r="D20" s="675" t="str">
        <f t="shared" si="1"/>
        <v>2Q03</v>
      </c>
      <c r="E20" s="679">
        <v>19.2</v>
      </c>
      <c r="F20" s="674"/>
      <c r="G20" s="682" t="s">
        <v>491</v>
      </c>
      <c r="H20" s="682">
        <v>0</v>
      </c>
      <c r="I20" s="682">
        <f t="shared" ref="I20:BC20" si="64">H20+1</f>
        <v>1</v>
      </c>
      <c r="J20" s="682">
        <f t="shared" si="64"/>
        <v>2</v>
      </c>
      <c r="K20" s="682">
        <f t="shared" si="64"/>
        <v>3</v>
      </c>
      <c r="L20" s="682">
        <f t="shared" si="64"/>
        <v>4</v>
      </c>
      <c r="M20" s="682">
        <f t="shared" si="64"/>
        <v>5</v>
      </c>
      <c r="N20" s="682">
        <f t="shared" si="64"/>
        <v>6</v>
      </c>
      <c r="O20" s="682">
        <f t="shared" si="64"/>
        <v>7</v>
      </c>
      <c r="P20" s="682">
        <f t="shared" si="64"/>
        <v>8</v>
      </c>
      <c r="Q20" s="682">
        <f t="shared" si="64"/>
        <v>9</v>
      </c>
      <c r="R20" s="682">
        <f t="shared" si="64"/>
        <v>10</v>
      </c>
      <c r="S20" s="682">
        <f t="shared" si="64"/>
        <v>11</v>
      </c>
      <c r="T20" s="682">
        <f t="shared" si="64"/>
        <v>12</v>
      </c>
      <c r="U20" s="682">
        <f t="shared" si="64"/>
        <v>13</v>
      </c>
      <c r="V20" s="682">
        <f t="shared" si="64"/>
        <v>14</v>
      </c>
      <c r="W20" s="682">
        <f t="shared" si="64"/>
        <v>15</v>
      </c>
      <c r="X20" s="682">
        <f t="shared" si="64"/>
        <v>16</v>
      </c>
      <c r="Y20" s="682">
        <f t="shared" si="64"/>
        <v>17</v>
      </c>
      <c r="Z20" s="682">
        <f t="shared" si="64"/>
        <v>18</v>
      </c>
      <c r="AA20" s="682">
        <f t="shared" si="64"/>
        <v>19</v>
      </c>
      <c r="AB20" s="682">
        <f t="shared" si="64"/>
        <v>20</v>
      </c>
      <c r="AC20" s="682">
        <f t="shared" si="64"/>
        <v>21</v>
      </c>
      <c r="AD20" s="682">
        <f t="shared" si="64"/>
        <v>22</v>
      </c>
      <c r="AE20" s="682">
        <f t="shared" si="64"/>
        <v>23</v>
      </c>
      <c r="AF20" s="682">
        <f t="shared" si="64"/>
        <v>24</v>
      </c>
      <c r="AG20" s="682">
        <f t="shared" si="64"/>
        <v>25</v>
      </c>
      <c r="AH20" s="682">
        <f t="shared" si="64"/>
        <v>26</v>
      </c>
      <c r="AI20" s="682">
        <f t="shared" si="64"/>
        <v>27</v>
      </c>
      <c r="AJ20" s="682">
        <f t="shared" si="64"/>
        <v>28</v>
      </c>
      <c r="AK20" s="682">
        <f t="shared" si="64"/>
        <v>29</v>
      </c>
      <c r="AL20" s="682">
        <f t="shared" si="64"/>
        <v>30</v>
      </c>
      <c r="AM20" s="682">
        <f t="shared" si="64"/>
        <v>31</v>
      </c>
      <c r="AN20" s="682">
        <f t="shared" si="64"/>
        <v>32</v>
      </c>
      <c r="AO20" s="682">
        <f t="shared" si="64"/>
        <v>33</v>
      </c>
      <c r="AP20" s="682">
        <f t="shared" si="64"/>
        <v>34</v>
      </c>
      <c r="AQ20" s="682">
        <f t="shared" si="64"/>
        <v>35</v>
      </c>
      <c r="AR20" s="682">
        <f t="shared" si="64"/>
        <v>36</v>
      </c>
      <c r="AS20" s="682">
        <f t="shared" si="64"/>
        <v>37</v>
      </c>
      <c r="AT20" s="682">
        <f t="shared" si="64"/>
        <v>38</v>
      </c>
      <c r="AU20" s="689">
        <f t="shared" si="64"/>
        <v>39</v>
      </c>
      <c r="AV20" s="682">
        <f t="shared" si="64"/>
        <v>40</v>
      </c>
      <c r="AW20" s="682">
        <f t="shared" si="64"/>
        <v>41</v>
      </c>
      <c r="AX20" s="682">
        <f t="shared" si="64"/>
        <v>42</v>
      </c>
      <c r="AY20" s="682">
        <f t="shared" si="64"/>
        <v>43</v>
      </c>
      <c r="AZ20" s="682">
        <f t="shared" si="64"/>
        <v>44</v>
      </c>
      <c r="BA20" s="682">
        <f t="shared" si="64"/>
        <v>45</v>
      </c>
      <c r="BB20" s="682">
        <f t="shared" si="64"/>
        <v>46</v>
      </c>
      <c r="BC20" s="682">
        <f t="shared" si="64"/>
        <v>47</v>
      </c>
      <c r="BD20" s="682">
        <f>BC20+1</f>
        <v>48</v>
      </c>
      <c r="BE20" s="682">
        <f>BD20+1</f>
        <v>49</v>
      </c>
      <c r="BF20" s="682">
        <f>BE20+1</f>
        <v>50</v>
      </c>
      <c r="BG20" s="682">
        <f>BF20+1</f>
        <v>51</v>
      </c>
      <c r="BH20" s="682">
        <f>BG20+1</f>
        <v>52</v>
      </c>
      <c r="BI20" s="682">
        <f t="shared" si="50"/>
        <v>53</v>
      </c>
      <c r="BJ20" s="682">
        <f t="shared" si="50"/>
        <v>54</v>
      </c>
      <c r="BK20" s="682">
        <f t="shared" si="50"/>
        <v>55</v>
      </c>
      <c r="BL20" s="682">
        <f t="shared" si="51"/>
        <v>56</v>
      </c>
      <c r="BM20" s="682">
        <f t="shared" si="51"/>
        <v>57</v>
      </c>
      <c r="BN20" s="682">
        <f t="shared" si="51"/>
        <v>58</v>
      </c>
      <c r="BO20" s="682">
        <f t="shared" si="51"/>
        <v>59</v>
      </c>
      <c r="BP20" s="682">
        <f t="shared" si="51"/>
        <v>60</v>
      </c>
      <c r="BQ20" s="682">
        <f t="shared" si="51"/>
        <v>61</v>
      </c>
      <c r="BR20" s="682">
        <f t="shared" si="51"/>
        <v>62</v>
      </c>
      <c r="BS20" s="682">
        <f t="shared" si="51"/>
        <v>63</v>
      </c>
      <c r="BT20" s="682">
        <f t="shared" si="52"/>
        <v>64</v>
      </c>
      <c r="BU20" s="682">
        <f t="shared" si="53"/>
        <v>65</v>
      </c>
      <c r="BV20" s="682">
        <f t="shared" si="54"/>
        <v>66</v>
      </c>
      <c r="BW20" s="682">
        <f t="shared" si="55"/>
        <v>67</v>
      </c>
      <c r="BX20" s="682">
        <f t="shared" si="56"/>
        <v>68</v>
      </c>
      <c r="BY20" s="682">
        <f t="shared" si="57"/>
        <v>69</v>
      </c>
      <c r="BZ20" s="682">
        <f t="shared" si="58"/>
        <v>70</v>
      </c>
      <c r="CA20" s="682">
        <f t="shared" si="59"/>
        <v>71</v>
      </c>
      <c r="CB20" s="682">
        <f t="shared" si="60"/>
        <v>72</v>
      </c>
      <c r="CC20" s="682">
        <f t="shared" si="61"/>
        <v>73</v>
      </c>
      <c r="CD20" s="682">
        <f t="shared" si="62"/>
        <v>74</v>
      </c>
      <c r="CE20" s="682">
        <f t="shared" si="63"/>
        <v>75</v>
      </c>
      <c r="CF20" s="683"/>
      <c r="CG20" s="683"/>
      <c r="CH20" s="683"/>
      <c r="CI20" s="683"/>
      <c r="CJ20" s="683"/>
      <c r="CK20" s="683"/>
      <c r="CL20" s="683"/>
      <c r="CM20" s="683"/>
      <c r="CN20" s="683"/>
      <c r="CO20" s="683"/>
      <c r="CP20" s="683"/>
      <c r="CQ20" s="683"/>
      <c r="CR20" s="683"/>
      <c r="CS20" s="683"/>
      <c r="CT20" s="683"/>
      <c r="CU20" s="683"/>
      <c r="CV20" s="683"/>
      <c r="CW20" s="683"/>
      <c r="CX20" s="683"/>
    </row>
    <row r="21" spans="1:102" x14ac:dyDescent="0.2">
      <c r="A21" s="675">
        <f t="shared" si="39"/>
        <v>3</v>
      </c>
      <c r="B21" s="675">
        <f t="shared" si="0"/>
        <v>2003</v>
      </c>
      <c r="C21" s="678">
        <v>37833</v>
      </c>
      <c r="D21" s="675" t="str">
        <f t="shared" si="1"/>
        <v>3Q03</v>
      </c>
      <c r="E21" s="679">
        <v>19.23</v>
      </c>
      <c r="F21" s="674"/>
      <c r="G21" s="682" t="s">
        <v>393</v>
      </c>
      <c r="H21" s="684" t="str">
        <f ca="1">"1Q"&amp;RIGHT(YEAR(OFFSET($C$3,H20*3,0)),2)</f>
        <v>1Q02</v>
      </c>
      <c r="I21" s="684" t="str">
        <f ca="1">"2Q"&amp;RIGHT(YEAR(OFFSET($C$3,I20*3,0)),2)</f>
        <v>2Q02</v>
      </c>
      <c r="J21" s="684" t="str">
        <f ca="1">"3Q"&amp;RIGHT(YEAR(OFFSET($C$3,J20*3,0)),2)</f>
        <v>3Q02</v>
      </c>
      <c r="K21" s="684" t="str">
        <f ca="1">"4Q"&amp;RIGHT(YEAR(OFFSET($C$3,K20*3,0)),2)</f>
        <v>4Q02</v>
      </c>
      <c r="L21" s="682" t="str">
        <f t="shared" ref="L21:AU21" ca="1" si="65">LEFT(H21,1)&amp;"Q"&amp;RIGHT(YEAR(OFFSET($C$3,L20*3,0)),2)</f>
        <v>1Q03</v>
      </c>
      <c r="M21" s="682" t="str">
        <f t="shared" ca="1" si="65"/>
        <v>2Q03</v>
      </c>
      <c r="N21" s="682" t="str">
        <f t="shared" ca="1" si="65"/>
        <v>3Q03</v>
      </c>
      <c r="O21" s="682" t="str">
        <f t="shared" ca="1" si="65"/>
        <v>4Q03</v>
      </c>
      <c r="P21" s="682" t="str">
        <f t="shared" ca="1" si="65"/>
        <v>1Q04</v>
      </c>
      <c r="Q21" s="682" t="str">
        <f t="shared" ca="1" si="65"/>
        <v>2Q04</v>
      </c>
      <c r="R21" s="682" t="str">
        <f t="shared" ca="1" si="65"/>
        <v>3Q04</v>
      </c>
      <c r="S21" s="682" t="str">
        <f t="shared" ca="1" si="65"/>
        <v>4Q04</v>
      </c>
      <c r="T21" s="682" t="str">
        <f t="shared" ca="1" si="65"/>
        <v>1Q05</v>
      </c>
      <c r="U21" s="682" t="str">
        <f t="shared" ca="1" si="65"/>
        <v>2Q05</v>
      </c>
      <c r="V21" s="682" t="str">
        <f t="shared" ca="1" si="65"/>
        <v>3Q05</v>
      </c>
      <c r="W21" s="682" t="str">
        <f t="shared" ca="1" si="65"/>
        <v>4Q05</v>
      </c>
      <c r="X21" s="682" t="str">
        <f t="shared" ca="1" si="65"/>
        <v>1Q06</v>
      </c>
      <c r="Y21" s="682" t="str">
        <f t="shared" ca="1" si="65"/>
        <v>2Q06</v>
      </c>
      <c r="Z21" s="682" t="str">
        <f t="shared" ca="1" si="65"/>
        <v>3Q06</v>
      </c>
      <c r="AA21" s="682" t="str">
        <f t="shared" ca="1" si="65"/>
        <v>4Q06</v>
      </c>
      <c r="AB21" s="682" t="str">
        <f t="shared" ca="1" si="65"/>
        <v>1Q07</v>
      </c>
      <c r="AC21" s="682" t="str">
        <f t="shared" ca="1" si="65"/>
        <v>2Q07</v>
      </c>
      <c r="AD21" s="682" t="str">
        <f t="shared" ca="1" si="65"/>
        <v>3Q07</v>
      </c>
      <c r="AE21" s="682" t="str">
        <f t="shared" ca="1" si="65"/>
        <v>4Q07</v>
      </c>
      <c r="AF21" s="682" t="str">
        <f t="shared" ca="1" si="65"/>
        <v>1Q08</v>
      </c>
      <c r="AG21" s="682" t="str">
        <f t="shared" ca="1" si="65"/>
        <v>2Q08</v>
      </c>
      <c r="AH21" s="682" t="str">
        <f t="shared" ca="1" si="65"/>
        <v>3Q08</v>
      </c>
      <c r="AI21" s="682" t="str">
        <f t="shared" ca="1" si="65"/>
        <v>4Q08</v>
      </c>
      <c r="AJ21" s="682" t="str">
        <f t="shared" ca="1" si="65"/>
        <v>1Q09</v>
      </c>
      <c r="AK21" s="682" t="str">
        <f t="shared" ca="1" si="65"/>
        <v>2Q09</v>
      </c>
      <c r="AL21" s="682" t="str">
        <f t="shared" ca="1" si="65"/>
        <v>3Q09</v>
      </c>
      <c r="AM21" s="682" t="str">
        <f t="shared" ca="1" si="65"/>
        <v>4Q09</v>
      </c>
      <c r="AN21" s="682" t="str">
        <f t="shared" ca="1" si="65"/>
        <v>1Q10</v>
      </c>
      <c r="AO21" s="682" t="str">
        <f t="shared" ca="1" si="65"/>
        <v>2Q10</v>
      </c>
      <c r="AP21" s="682" t="str">
        <f t="shared" ca="1" si="65"/>
        <v>3Q10</v>
      </c>
      <c r="AQ21" s="682" t="str">
        <f t="shared" ca="1" si="65"/>
        <v>4Q10</v>
      </c>
      <c r="AR21" s="682" t="str">
        <f t="shared" ca="1" si="65"/>
        <v>1Q11</v>
      </c>
      <c r="AS21" s="682" t="str">
        <f t="shared" ca="1" si="65"/>
        <v>2Q11</v>
      </c>
      <c r="AT21" s="682" t="str">
        <f t="shared" ca="1" si="65"/>
        <v>3Q11</v>
      </c>
      <c r="AU21" s="689" t="str">
        <f t="shared" ca="1" si="65"/>
        <v>4Q11</v>
      </c>
      <c r="AV21" s="682" t="str">
        <f t="shared" ref="AV21:BK21" ca="1" si="66">LEFT(AR21,2)&amp;RIGHT(AR21,2)+1</f>
        <v>1Q12</v>
      </c>
      <c r="AW21" s="682" t="str">
        <f t="shared" ca="1" si="66"/>
        <v>2Q12</v>
      </c>
      <c r="AX21" s="682" t="str">
        <f t="shared" ca="1" si="66"/>
        <v>3Q12</v>
      </c>
      <c r="AY21" s="682" t="str">
        <f t="shared" ca="1" si="66"/>
        <v>4Q12</v>
      </c>
      <c r="AZ21" s="682" t="str">
        <f t="shared" ca="1" si="66"/>
        <v>1Q13</v>
      </c>
      <c r="BA21" s="682" t="str">
        <f t="shared" ca="1" si="66"/>
        <v>2Q13</v>
      </c>
      <c r="BB21" s="682" t="str">
        <f t="shared" ca="1" si="66"/>
        <v>3Q13</v>
      </c>
      <c r="BC21" s="682" t="str">
        <f t="shared" ca="1" si="66"/>
        <v>4Q13</v>
      </c>
      <c r="BD21" s="682" t="str">
        <f t="shared" ca="1" si="66"/>
        <v>1Q14</v>
      </c>
      <c r="BE21" s="682" t="str">
        <f t="shared" ca="1" si="66"/>
        <v>2Q14</v>
      </c>
      <c r="BF21" s="682" t="str">
        <f t="shared" ca="1" si="66"/>
        <v>3Q14</v>
      </c>
      <c r="BG21" s="682" t="str">
        <f t="shared" ca="1" si="66"/>
        <v>4Q14</v>
      </c>
      <c r="BH21" s="682" t="str">
        <f t="shared" ca="1" si="66"/>
        <v>1Q15</v>
      </c>
      <c r="BI21" s="682" t="str">
        <f t="shared" ca="1" si="66"/>
        <v>2Q15</v>
      </c>
      <c r="BJ21" s="682" t="str">
        <f t="shared" ca="1" si="66"/>
        <v>3Q15</v>
      </c>
      <c r="BK21" s="682" t="str">
        <f t="shared" ca="1" si="66"/>
        <v>4Q15</v>
      </c>
      <c r="BL21" s="682" t="str">
        <f t="shared" ref="BL21:BS21" ca="1" si="67">LEFT(BH21,2)&amp;RIGHT(BH21,2)+1</f>
        <v>1Q16</v>
      </c>
      <c r="BM21" s="682" t="str">
        <f t="shared" ca="1" si="67"/>
        <v>2Q16</v>
      </c>
      <c r="BN21" s="682" t="str">
        <f t="shared" ca="1" si="67"/>
        <v>3Q16</v>
      </c>
      <c r="BO21" s="682" t="str">
        <f t="shared" ca="1" si="67"/>
        <v>4Q16</v>
      </c>
      <c r="BP21" s="682" t="str">
        <f t="shared" ca="1" si="67"/>
        <v>1Q17</v>
      </c>
      <c r="BQ21" s="682" t="str">
        <f t="shared" ca="1" si="67"/>
        <v>2Q17</v>
      </c>
      <c r="BR21" s="682" t="str">
        <f t="shared" ca="1" si="67"/>
        <v>3Q17</v>
      </c>
      <c r="BS21" s="682" t="str">
        <f t="shared" ca="1" si="67"/>
        <v>4Q17</v>
      </c>
      <c r="BT21" s="682" t="str">
        <f t="shared" ref="BT21" ca="1" si="68">LEFT(BP21,2)&amp;RIGHT(BP21,2)+1</f>
        <v>1Q18</v>
      </c>
      <c r="BU21" s="682" t="str">
        <f t="shared" ref="BU21" ca="1" si="69">LEFT(BQ21,2)&amp;RIGHT(BQ21,2)+1</f>
        <v>2Q18</v>
      </c>
      <c r="BV21" s="682" t="str">
        <f t="shared" ref="BV21" ca="1" si="70">LEFT(BR21,2)&amp;RIGHT(BR21,2)+1</f>
        <v>3Q18</v>
      </c>
      <c r="BW21" s="682" t="str">
        <f t="shared" ref="BW21" ca="1" si="71">LEFT(BS21,2)&amp;RIGHT(BS21,2)+1</f>
        <v>4Q18</v>
      </c>
      <c r="BX21" s="682" t="str">
        <f t="shared" ref="BX21" ca="1" si="72">LEFT(BT21,2)&amp;RIGHT(BT21,2)+1</f>
        <v>1Q19</v>
      </c>
      <c r="BY21" s="682" t="str">
        <f t="shared" ref="BY21" ca="1" si="73">LEFT(BU21,2)&amp;RIGHT(BU21,2)+1</f>
        <v>2Q19</v>
      </c>
      <c r="BZ21" s="682" t="str">
        <f t="shared" ref="BZ21" ca="1" si="74">LEFT(BV21,2)&amp;RIGHT(BV21,2)+1</f>
        <v>3Q19</v>
      </c>
      <c r="CA21" s="682" t="str">
        <f t="shared" ref="CA21" ca="1" si="75">LEFT(BW21,2)&amp;RIGHT(BW21,2)+1</f>
        <v>4Q19</v>
      </c>
      <c r="CB21" s="682" t="str">
        <f t="shared" ref="CB21" ca="1" si="76">LEFT(BX21,2)&amp;RIGHT(BX21,2)+1</f>
        <v>1Q20</v>
      </c>
      <c r="CC21" s="682" t="str">
        <f t="shared" ref="CC21" ca="1" si="77">LEFT(BY21,2)&amp;RIGHT(BY21,2)+1</f>
        <v>2Q20</v>
      </c>
      <c r="CD21" s="682" t="str">
        <f t="shared" ref="CD21" ca="1" si="78">LEFT(BZ21,2)&amp;RIGHT(BZ21,2)+1</f>
        <v>3Q20</v>
      </c>
      <c r="CE21" s="682" t="str">
        <f t="shared" ref="CE21" ca="1" si="79">LEFT(CA21,2)&amp;RIGHT(CA21,2)+1</f>
        <v>4Q20</v>
      </c>
    </row>
    <row r="22" spans="1:102" x14ac:dyDescent="0.2">
      <c r="A22" s="675">
        <f t="shared" si="39"/>
        <v>3</v>
      </c>
      <c r="B22" s="675">
        <f t="shared" si="0"/>
        <v>2003</v>
      </c>
      <c r="C22" s="678">
        <v>37864</v>
      </c>
      <c r="D22" s="675" t="str">
        <f t="shared" si="1"/>
        <v>3Q03</v>
      </c>
      <c r="E22" s="679">
        <v>19.04</v>
      </c>
      <c r="F22" s="674"/>
      <c r="G22" s="683" t="s">
        <v>557</v>
      </c>
      <c r="H22" s="685">
        <f t="shared" ref="H22:AT22" ca="1" si="80">OFFSET($E$5,H20*3,0)</f>
        <v>23.94</v>
      </c>
      <c r="I22" s="685">
        <f t="shared" ca="1" si="80"/>
        <v>23.38</v>
      </c>
      <c r="J22" s="685">
        <f t="shared" ca="1" si="80"/>
        <v>20.190000000000001</v>
      </c>
      <c r="K22" s="685">
        <f t="shared" ca="1" si="80"/>
        <v>19.989999999999998</v>
      </c>
      <c r="L22" s="685">
        <f t="shared" ca="1" si="80"/>
        <v>18.559999999999999</v>
      </c>
      <c r="M22" s="685">
        <f t="shared" ca="1" si="80"/>
        <v>19.2</v>
      </c>
      <c r="N22" s="685">
        <f t="shared" ca="1" si="80"/>
        <v>18.5</v>
      </c>
      <c r="O22" s="685">
        <f t="shared" ca="1" si="80"/>
        <v>23.65</v>
      </c>
      <c r="P22" s="685">
        <f t="shared" ca="1" si="80"/>
        <v>22.09</v>
      </c>
      <c r="Q22" s="685">
        <f t="shared" ca="1" si="80"/>
        <v>26.52</v>
      </c>
      <c r="R22" s="685">
        <f t="shared" ca="1" si="80"/>
        <v>29.74</v>
      </c>
      <c r="S22" s="685">
        <f t="shared" ca="1" si="80"/>
        <v>36.19</v>
      </c>
      <c r="T22" s="685">
        <f t="shared" ca="1" si="80"/>
        <v>37.049999999999997</v>
      </c>
      <c r="U22" s="685">
        <f t="shared" ca="1" si="80"/>
        <v>30.96</v>
      </c>
      <c r="V22" s="685">
        <f t="shared" ca="1" si="80"/>
        <v>40.56</v>
      </c>
      <c r="W22" s="685">
        <f t="shared" ca="1" si="80"/>
        <v>44.83</v>
      </c>
      <c r="X22" s="685">
        <f t="shared" ca="1" si="80"/>
        <v>54.07</v>
      </c>
      <c r="Y22" s="685">
        <f t="shared" ca="1" si="80"/>
        <v>53.22</v>
      </c>
      <c r="Z22" s="685">
        <f t="shared" ca="1" si="80"/>
        <v>44.05</v>
      </c>
      <c r="AA22" s="685">
        <f t="shared" ca="1" si="80"/>
        <v>50.29</v>
      </c>
      <c r="AB22" s="685">
        <f t="shared" ca="1" si="80"/>
        <v>50.6</v>
      </c>
      <c r="AC22" s="685">
        <f t="shared" ca="1" si="80"/>
        <v>52.57</v>
      </c>
      <c r="AD22" s="685">
        <f t="shared" ca="1" si="80"/>
        <v>51.91</v>
      </c>
      <c r="AE22" s="685">
        <f t="shared" ca="1" si="80"/>
        <v>50.44</v>
      </c>
      <c r="AF22" s="685">
        <f t="shared" ca="1" si="80"/>
        <v>54.32</v>
      </c>
      <c r="AG22" s="685">
        <f t="shared" ca="1" si="80"/>
        <v>62.67</v>
      </c>
      <c r="AH22" s="685">
        <f t="shared" ca="1" si="80"/>
        <v>66.209999999999994</v>
      </c>
      <c r="AI22" s="685">
        <f t="shared" ca="1" si="80"/>
        <v>47.05</v>
      </c>
      <c r="AJ22" s="685">
        <f t="shared" ca="1" si="80"/>
        <v>33.75</v>
      </c>
      <c r="AK22" s="685">
        <f t="shared" ca="1" si="80"/>
        <v>37.67</v>
      </c>
      <c r="AL22" s="685">
        <f t="shared" ca="1" si="80"/>
        <v>43.11</v>
      </c>
      <c r="AM22" s="685">
        <f t="shared" ca="1" si="80"/>
        <v>52.42</v>
      </c>
      <c r="AN22" s="685">
        <f t="shared" ca="1" si="80"/>
        <v>55.89</v>
      </c>
      <c r="AO22" s="685">
        <f t="shared" ca="1" si="80"/>
        <v>53.05</v>
      </c>
      <c r="AP22" s="685">
        <f t="shared" ca="1" si="80"/>
        <v>59.51</v>
      </c>
      <c r="AQ22" s="685">
        <f t="shared" ca="1" si="80"/>
        <v>62.82</v>
      </c>
      <c r="AR22" s="685">
        <f t="shared" ca="1" si="80"/>
        <v>69.27</v>
      </c>
      <c r="AS22" s="685">
        <f t="shared" ca="1" si="80"/>
        <v>74.930000000000007</v>
      </c>
      <c r="AT22" s="685">
        <f t="shared" ca="1" si="80"/>
        <v>61.02</v>
      </c>
      <c r="AU22" s="912">
        <f ca="1">OFFSET($E$5,AU20*3+10*AU19,0)</f>
        <v>72.859986000000006</v>
      </c>
      <c r="AV22" s="685">
        <f t="shared" ref="AV22:BH22" ca="1" si="81">OFFSET($E$5,AV20*3+10*AV19,0)</f>
        <v>65.829987000000003</v>
      </c>
      <c r="AW22" s="685">
        <f t="shared" ca="1" si="81"/>
        <v>71.769990000000007</v>
      </c>
      <c r="AX22" s="685">
        <f t="shared" ca="1" si="81"/>
        <v>63.629989999999999</v>
      </c>
      <c r="AY22" s="685">
        <f t="shared" ca="1" si="81"/>
        <v>61.069992999999997</v>
      </c>
      <c r="AZ22" s="685">
        <f t="shared" ca="1" si="81"/>
        <v>77.079987000000003</v>
      </c>
      <c r="BA22" s="685">
        <f t="shared" ca="1" si="81"/>
        <v>72.649994000000007</v>
      </c>
      <c r="BB22" s="685">
        <f t="shared" ca="1" si="81"/>
        <v>77.789993999999993</v>
      </c>
      <c r="BC22" s="685">
        <f t="shared" ca="1" si="81"/>
        <v>92.329987000000003</v>
      </c>
      <c r="BD22" s="685">
        <f t="shared" ca="1" si="81"/>
        <v>96.349991000000003</v>
      </c>
      <c r="BE22" s="685">
        <f t="shared" ca="1" si="81"/>
        <v>101.65</v>
      </c>
      <c r="BF22" s="685">
        <f t="shared" ca="1" si="81"/>
        <v>111.31</v>
      </c>
      <c r="BG22" s="685">
        <f t="shared" ca="1" si="81"/>
        <v>111.54</v>
      </c>
      <c r="BH22" s="685">
        <f t="shared" ca="1" si="81"/>
        <v>103.62</v>
      </c>
      <c r="BI22" s="685">
        <f ca="1">OFFSET($E$5,BI20*3+10*BI19,0)</f>
        <v>88.869996</v>
      </c>
      <c r="BJ22" s="685">
        <f ca="1">OFFSET($E$5,BJ20*3+10*BJ19,0)</f>
        <v>75.619996</v>
      </c>
      <c r="BK22" s="685">
        <f ca="1">OFFSET($E$5,BK20*3+10*BK19,0)</f>
        <v>86.779999000000004</v>
      </c>
      <c r="BL22" s="685">
        <f t="shared" ref="BL22:BS22" ca="1" si="82">OFFSET($E$5,BL20*3+10*BL19,0)</f>
        <v>83.869996</v>
      </c>
      <c r="BM22" s="685">
        <f t="shared" ca="1" si="82"/>
        <v>82.64</v>
      </c>
      <c r="BN22" s="685">
        <f t="shared" ca="1" si="82"/>
        <v>93.619996</v>
      </c>
      <c r="BO22" s="685">
        <f t="shared" ca="1" si="82"/>
        <v>109.28</v>
      </c>
      <c r="BP22" s="685">
        <f t="shared" ca="1" si="82"/>
        <v>110.66001</v>
      </c>
      <c r="BQ22" s="685">
        <f t="shared" ca="1" si="82"/>
        <v>119.29</v>
      </c>
      <c r="BR22" s="685">
        <f t="shared" ca="1" si="82"/>
        <v>130.99001000000001</v>
      </c>
      <c r="BS22" s="685">
        <f t="shared" ca="1" si="82"/>
        <v>144.52001000000001</v>
      </c>
      <c r="BT22" s="685">
        <f t="shared" ref="BT22:CA22" ca="1" si="83">OFFSET($E$5,BT20*3+10*BT19,0)</f>
        <v>132.18</v>
      </c>
      <c r="BU22" s="685">
        <f t="shared" ca="1" si="83"/>
        <v>134.97001</v>
      </c>
      <c r="BV22" s="685">
        <f t="shared" ca="1" si="83"/>
        <v>134.97001</v>
      </c>
      <c r="BW22" s="685">
        <f t="shared" ca="1" si="83"/>
        <v>134.97001</v>
      </c>
      <c r="BX22" s="685">
        <f t="shared" ca="1" si="83"/>
        <v>134.97001</v>
      </c>
      <c r="BY22" s="685">
        <f t="shared" ca="1" si="83"/>
        <v>134.97001</v>
      </c>
      <c r="BZ22" s="685">
        <f t="shared" ca="1" si="83"/>
        <v>134.97001</v>
      </c>
      <c r="CA22" s="685">
        <f t="shared" ca="1" si="83"/>
        <v>134.97001</v>
      </c>
      <c r="CB22" s="685">
        <f t="shared" ref="CB22:CE22" ca="1" si="84">OFFSET($E$5,CB20*3+10*CB19,0)</f>
        <v>134.97001</v>
      </c>
      <c r="CC22" s="685">
        <f t="shared" ca="1" si="84"/>
        <v>134.97001</v>
      </c>
      <c r="CD22" s="685">
        <f t="shared" ca="1" si="84"/>
        <v>134.97001</v>
      </c>
      <c r="CE22" s="685">
        <f t="shared" ca="1" si="84"/>
        <v>134.97001</v>
      </c>
    </row>
    <row r="23" spans="1:102" x14ac:dyDescent="0.2">
      <c r="A23" s="675">
        <f t="shared" si="39"/>
        <v>3</v>
      </c>
      <c r="B23" s="675">
        <f t="shared" si="0"/>
        <v>2003</v>
      </c>
      <c r="C23" s="678">
        <v>37894</v>
      </c>
      <c r="D23" s="675" t="str">
        <f t="shared" si="1"/>
        <v>3Q03</v>
      </c>
      <c r="E23" s="679">
        <v>18.5</v>
      </c>
      <c r="F23" s="674"/>
    </row>
    <row r="24" spans="1:102" x14ac:dyDescent="0.2">
      <c r="A24" s="675">
        <f t="shared" si="39"/>
        <v>4</v>
      </c>
      <c r="B24" s="675">
        <f t="shared" si="0"/>
        <v>2003</v>
      </c>
      <c r="C24" s="678">
        <v>37925</v>
      </c>
      <c r="D24" s="675" t="str">
        <f t="shared" si="1"/>
        <v>4Q03</v>
      </c>
      <c r="E24" s="679">
        <v>20.149999999999999</v>
      </c>
      <c r="F24" s="674"/>
      <c r="G24" s="680" t="s">
        <v>50</v>
      </c>
      <c r="H24" s="681"/>
      <c r="I24" s="681"/>
      <c r="J24" s="681"/>
      <c r="K24" s="681"/>
      <c r="L24" s="681"/>
      <c r="M24" s="681"/>
      <c r="N24" s="681"/>
      <c r="O24" s="681"/>
      <c r="P24" s="681"/>
      <c r="Q24" s="681">
        <v>1</v>
      </c>
      <c r="R24" s="681">
        <v>2</v>
      </c>
      <c r="S24" s="681">
        <v>3</v>
      </c>
      <c r="T24" s="681">
        <v>4</v>
      </c>
      <c r="U24" s="681">
        <v>4</v>
      </c>
      <c r="V24" s="681">
        <v>4</v>
      </c>
      <c r="W24" s="681">
        <v>4</v>
      </c>
      <c r="X24" s="681">
        <v>4</v>
      </c>
      <c r="Y24" s="681">
        <v>4</v>
      </c>
      <c r="Z24" s="681">
        <v>4</v>
      </c>
      <c r="AA24" s="681"/>
      <c r="AB24" s="681"/>
      <c r="AC24" s="681"/>
      <c r="AD24" s="681"/>
      <c r="AE24" s="681"/>
      <c r="AF24" s="681"/>
      <c r="AG24" s="681"/>
      <c r="AH24" s="681"/>
      <c r="AI24" s="681"/>
      <c r="AJ24" s="681"/>
      <c r="AK24" s="681"/>
      <c r="AL24" s="681"/>
      <c r="AM24" s="681"/>
      <c r="AN24" s="681"/>
      <c r="AO24" s="681"/>
      <c r="AP24" s="681"/>
      <c r="AQ24" s="681"/>
      <c r="AR24" s="681"/>
      <c r="AS24" s="681"/>
      <c r="AT24" s="681"/>
      <c r="AU24" s="681"/>
      <c r="AV24" s="681"/>
      <c r="AW24" s="681"/>
      <c r="AX24" s="681"/>
      <c r="AY24" s="681"/>
      <c r="AZ24" s="681"/>
      <c r="BA24" s="681"/>
      <c r="BB24" s="681"/>
      <c r="BC24" s="681"/>
      <c r="BD24" s="681"/>
      <c r="BE24" s="681"/>
      <c r="BF24" s="681"/>
      <c r="BG24" s="681"/>
      <c r="BH24" s="681"/>
      <c r="BI24" s="681"/>
      <c r="BJ24" s="681"/>
      <c r="BK24" s="681"/>
      <c r="BL24" s="681"/>
      <c r="BM24" s="681"/>
      <c r="BN24" s="681"/>
      <c r="BO24" s="681"/>
      <c r="BP24" s="681"/>
      <c r="BQ24" s="681"/>
      <c r="BR24" s="681"/>
      <c r="BS24" s="681"/>
      <c r="BT24" s="681"/>
      <c r="BU24" s="681"/>
      <c r="BV24" s="681"/>
      <c r="BW24" s="681"/>
      <c r="BX24" s="681"/>
      <c r="BY24" s="681"/>
      <c r="BZ24" s="681"/>
      <c r="CA24" s="681"/>
      <c r="CB24" s="681"/>
      <c r="CC24" s="681"/>
      <c r="CD24" s="681"/>
      <c r="CE24" s="681"/>
      <c r="CF24" s="681"/>
      <c r="CG24" s="681"/>
      <c r="CH24" s="681"/>
      <c r="CI24" s="681"/>
      <c r="CJ24" s="681"/>
      <c r="CK24" s="681"/>
      <c r="CL24" s="681"/>
      <c r="CM24" s="681"/>
      <c r="CN24" s="681"/>
      <c r="CO24" s="681"/>
      <c r="CP24" s="681"/>
      <c r="CQ24" s="681"/>
      <c r="CR24" s="681"/>
      <c r="CS24" s="681"/>
      <c r="CT24" s="681"/>
      <c r="CU24" s="681"/>
      <c r="CV24" s="681"/>
      <c r="CW24" s="681"/>
      <c r="CX24" s="681"/>
    </row>
    <row r="25" spans="1:102" x14ac:dyDescent="0.2">
      <c r="A25" s="675">
        <f t="shared" si="39"/>
        <v>4</v>
      </c>
      <c r="B25" s="675">
        <f t="shared" si="0"/>
        <v>2003</v>
      </c>
      <c r="C25" s="678">
        <v>37955</v>
      </c>
      <c r="D25" s="675" t="str">
        <f t="shared" si="1"/>
        <v>4Q03</v>
      </c>
      <c r="E25" s="679">
        <v>21.41</v>
      </c>
      <c r="F25" s="674"/>
      <c r="G25" s="682" t="s">
        <v>491</v>
      </c>
      <c r="H25" s="682">
        <v>0</v>
      </c>
      <c r="I25" s="682">
        <f t="shared" ref="I25:S25" si="85">H25+1</f>
        <v>1</v>
      </c>
      <c r="J25" s="682">
        <f t="shared" si="85"/>
        <v>2</v>
      </c>
      <c r="K25" s="682">
        <f t="shared" si="85"/>
        <v>3</v>
      </c>
      <c r="L25" s="682">
        <f t="shared" si="85"/>
        <v>4</v>
      </c>
      <c r="M25" s="682">
        <f t="shared" si="85"/>
        <v>5</v>
      </c>
      <c r="N25" s="682">
        <f t="shared" si="85"/>
        <v>6</v>
      </c>
      <c r="O25" s="682">
        <f t="shared" si="85"/>
        <v>7</v>
      </c>
      <c r="P25" s="682">
        <f t="shared" si="85"/>
        <v>8</v>
      </c>
      <c r="Q25" s="690">
        <f t="shared" si="85"/>
        <v>9</v>
      </c>
      <c r="R25" s="682">
        <f t="shared" si="85"/>
        <v>10</v>
      </c>
      <c r="S25" s="682">
        <f t="shared" si="85"/>
        <v>11</v>
      </c>
      <c r="T25" s="682">
        <f t="shared" ref="T25:W26" si="86">S25+1</f>
        <v>12</v>
      </c>
      <c r="U25" s="682">
        <f t="shared" si="86"/>
        <v>13</v>
      </c>
      <c r="V25" s="682">
        <f t="shared" si="86"/>
        <v>14</v>
      </c>
      <c r="W25" s="682">
        <f t="shared" si="86"/>
        <v>15</v>
      </c>
      <c r="X25" s="682">
        <f t="shared" ref="X25:X26" si="87">W25+1</f>
        <v>16</v>
      </c>
      <c r="Y25" s="682">
        <f t="shared" ref="Y25:Z26" si="88">X25+1</f>
        <v>17</v>
      </c>
      <c r="Z25" s="682">
        <f t="shared" si="88"/>
        <v>18</v>
      </c>
      <c r="AA25" s="682"/>
    </row>
    <row r="26" spans="1:102" x14ac:dyDescent="0.2">
      <c r="A26" s="675">
        <f t="shared" si="39"/>
        <v>4</v>
      </c>
      <c r="B26" s="675">
        <f t="shared" si="0"/>
        <v>2003</v>
      </c>
      <c r="C26" s="678">
        <v>37986</v>
      </c>
      <c r="D26" s="675" t="str">
        <f t="shared" si="1"/>
        <v>4Q03</v>
      </c>
      <c r="E26" s="679">
        <v>23.65</v>
      </c>
      <c r="F26" s="674"/>
      <c r="G26" s="688" t="s">
        <v>379</v>
      </c>
      <c r="H26" s="688">
        <f t="shared" ref="H26:Q26" ca="1" si="89">YEAR(OFFSET($C$3,H25*12,0))</f>
        <v>2002</v>
      </c>
      <c r="I26" s="688">
        <f t="shared" ca="1" si="89"/>
        <v>2003</v>
      </c>
      <c r="J26" s="688">
        <f t="shared" ca="1" si="89"/>
        <v>2004</v>
      </c>
      <c r="K26" s="688">
        <f t="shared" ca="1" si="89"/>
        <v>2005</v>
      </c>
      <c r="L26" s="688">
        <f t="shared" ca="1" si="89"/>
        <v>2006</v>
      </c>
      <c r="M26" s="688">
        <f t="shared" ca="1" si="89"/>
        <v>2007</v>
      </c>
      <c r="N26" s="688">
        <f t="shared" ca="1" si="89"/>
        <v>2008</v>
      </c>
      <c r="O26" s="688">
        <f t="shared" ca="1" si="89"/>
        <v>2009</v>
      </c>
      <c r="P26" s="688">
        <f t="shared" ca="1" si="89"/>
        <v>2010</v>
      </c>
      <c r="Q26" s="692">
        <f t="shared" ca="1" si="89"/>
        <v>2011</v>
      </c>
      <c r="R26" s="688">
        <f ca="1">Q26+1</f>
        <v>2012</v>
      </c>
      <c r="S26" s="688">
        <f ca="1">R26+1</f>
        <v>2013</v>
      </c>
      <c r="T26" s="688">
        <f t="shared" ca="1" si="86"/>
        <v>2014</v>
      </c>
      <c r="U26" s="688">
        <f t="shared" ca="1" si="86"/>
        <v>2015</v>
      </c>
      <c r="V26" s="688">
        <f t="shared" ca="1" si="86"/>
        <v>2016</v>
      </c>
      <c r="W26" s="688">
        <f t="shared" ca="1" si="86"/>
        <v>2017</v>
      </c>
      <c r="X26" s="688">
        <f t="shared" ca="1" si="87"/>
        <v>2018</v>
      </c>
      <c r="Y26" s="688">
        <f t="shared" ca="1" si="88"/>
        <v>2019</v>
      </c>
      <c r="Z26" s="688">
        <f t="shared" ca="1" si="88"/>
        <v>2020</v>
      </c>
    </row>
    <row r="27" spans="1:102" x14ac:dyDescent="0.2">
      <c r="A27" s="675">
        <f t="shared" si="39"/>
        <v>1</v>
      </c>
      <c r="B27" s="675">
        <f t="shared" si="0"/>
        <v>2004</v>
      </c>
      <c r="C27" s="678">
        <v>38017</v>
      </c>
      <c r="D27" s="675" t="str">
        <f t="shared" si="1"/>
        <v>1Q04</v>
      </c>
      <c r="E27" s="679">
        <v>22.3</v>
      </c>
      <c r="F27" s="674"/>
      <c r="G27" s="683" t="str">
        <f>G22</f>
        <v>Avg NSC Stock Price</v>
      </c>
      <c r="H27" s="685">
        <f t="shared" ref="H27:P27" ca="1" si="90">OFFSET($E$14,H25*12,0)</f>
        <v>19.989999999999998</v>
      </c>
      <c r="I27" s="685">
        <f t="shared" ca="1" si="90"/>
        <v>23.65</v>
      </c>
      <c r="J27" s="685">
        <f t="shared" ca="1" si="90"/>
        <v>36.19</v>
      </c>
      <c r="K27" s="685">
        <f t="shared" ca="1" si="90"/>
        <v>44.83</v>
      </c>
      <c r="L27" s="685">
        <f t="shared" ca="1" si="90"/>
        <v>50.29</v>
      </c>
      <c r="M27" s="685">
        <f t="shared" ca="1" si="90"/>
        <v>50.44</v>
      </c>
      <c r="N27" s="685">
        <f t="shared" ca="1" si="90"/>
        <v>47.05</v>
      </c>
      <c r="O27" s="685">
        <f t="shared" ca="1" si="90"/>
        <v>52.42</v>
      </c>
      <c r="P27" s="685">
        <f t="shared" ca="1" si="90"/>
        <v>62.82</v>
      </c>
      <c r="Q27" s="691">
        <f t="shared" ref="Q27:W27" ca="1" si="91">OFFSET($E$14,Q25*12+10*Q24,0)</f>
        <v>72.859986000000006</v>
      </c>
      <c r="R27" s="685">
        <f t="shared" ca="1" si="91"/>
        <v>64.289993999999993</v>
      </c>
      <c r="S27" s="685">
        <f t="shared" ca="1" si="91"/>
        <v>61.129989999999999</v>
      </c>
      <c r="T27" s="685">
        <f t="shared" ca="1" si="91"/>
        <v>74.519990000000007</v>
      </c>
      <c r="U27" s="685">
        <f t="shared" ca="1" si="91"/>
        <v>72.649994000000007</v>
      </c>
      <c r="V27" s="685">
        <f t="shared" ca="1" si="91"/>
        <v>77.719986000000006</v>
      </c>
      <c r="W27" s="685">
        <f t="shared" ca="1" si="91"/>
        <v>87.969986000000006</v>
      </c>
      <c r="X27" s="685">
        <f t="shared" ref="X27:Y27" ca="1" si="92">OFFSET($E$14,X25*12+10*X24,0)</f>
        <v>94.289993999999993</v>
      </c>
      <c r="Y27" s="685">
        <f t="shared" ca="1" si="92"/>
        <v>100.75</v>
      </c>
      <c r="Z27" s="685">
        <f t="shared" ref="Z27" ca="1" si="93">OFFSET($E$14,Z25*12+10*Z24,0)</f>
        <v>105.48</v>
      </c>
    </row>
    <row r="28" spans="1:102" x14ac:dyDescent="0.2">
      <c r="A28" s="675">
        <f t="shared" si="39"/>
        <v>1</v>
      </c>
      <c r="B28" s="675">
        <f t="shared" si="0"/>
        <v>2004</v>
      </c>
      <c r="C28" s="678">
        <v>38046</v>
      </c>
      <c r="D28" s="675" t="str">
        <f t="shared" si="1"/>
        <v>1Q04</v>
      </c>
      <c r="E28" s="679">
        <v>22.16</v>
      </c>
      <c r="F28" s="674"/>
    </row>
    <row r="29" spans="1:102" x14ac:dyDescent="0.2">
      <c r="A29" s="675">
        <f t="shared" si="39"/>
        <v>1</v>
      </c>
      <c r="B29" s="675">
        <f t="shared" si="0"/>
        <v>2004</v>
      </c>
      <c r="C29" s="678">
        <v>38077</v>
      </c>
      <c r="D29" s="675" t="str">
        <f t="shared" si="1"/>
        <v>1Q04</v>
      </c>
      <c r="E29" s="679">
        <v>22.09</v>
      </c>
      <c r="F29" s="674"/>
      <c r="G29" s="680" t="s">
        <v>47</v>
      </c>
      <c r="H29" s="681"/>
      <c r="I29" s="681"/>
      <c r="J29" s="681"/>
      <c r="K29" s="681"/>
      <c r="L29" s="681"/>
      <c r="M29" s="681"/>
      <c r="N29" s="681"/>
      <c r="O29" s="681"/>
      <c r="P29" s="681"/>
      <c r="Q29" s="681"/>
      <c r="R29" s="681"/>
      <c r="S29" s="681"/>
      <c r="T29" s="681"/>
      <c r="U29" s="681"/>
      <c r="V29" s="681"/>
      <c r="W29" s="681"/>
      <c r="X29" s="681"/>
      <c r="Y29" s="681"/>
      <c r="Z29" s="681"/>
      <c r="AA29" s="681"/>
      <c r="AB29" s="681"/>
      <c r="AC29" s="681"/>
      <c r="AD29" s="681"/>
      <c r="AE29" s="681"/>
      <c r="AF29" s="681"/>
      <c r="AG29" s="681"/>
      <c r="AH29" s="681"/>
      <c r="AI29" s="681"/>
      <c r="AJ29" s="681"/>
      <c r="AK29" s="681"/>
      <c r="AL29" s="681"/>
      <c r="AM29" s="681"/>
      <c r="AN29" s="681"/>
      <c r="AO29" s="681"/>
      <c r="AP29" s="681"/>
      <c r="AQ29" s="681"/>
      <c r="AR29" s="681"/>
      <c r="AS29" s="681"/>
      <c r="AT29" s="681"/>
      <c r="AU29" s="681"/>
      <c r="AV29" s="681"/>
      <c r="AW29" s="681"/>
      <c r="AX29" s="681"/>
      <c r="AY29" s="681"/>
      <c r="AZ29" s="681"/>
      <c r="BA29" s="681"/>
      <c r="BB29" s="681"/>
      <c r="BC29" s="681"/>
      <c r="BD29" s="681"/>
      <c r="BE29" s="681"/>
      <c r="BF29" s="681"/>
      <c r="BG29" s="681"/>
      <c r="BH29" s="681"/>
      <c r="BI29" s="681"/>
      <c r="BJ29" s="681"/>
      <c r="BK29" s="681"/>
      <c r="BL29" s="681"/>
      <c r="BM29" s="681"/>
      <c r="BN29" s="681"/>
      <c r="BO29" s="681"/>
      <c r="BP29" s="681"/>
      <c r="BQ29" s="681"/>
      <c r="BR29" s="681"/>
      <c r="BS29" s="681"/>
      <c r="BT29" s="681"/>
      <c r="BU29" s="681"/>
      <c r="BV29" s="681"/>
      <c r="BW29" s="681"/>
      <c r="BX29" s="681"/>
      <c r="BY29" s="681"/>
      <c r="BZ29" s="681"/>
      <c r="CA29" s="681"/>
      <c r="CB29" s="681"/>
      <c r="CC29" s="681"/>
      <c r="CD29" s="681"/>
      <c r="CE29" s="681"/>
      <c r="CF29" s="681"/>
      <c r="CG29" s="681"/>
      <c r="CH29" s="681"/>
      <c r="CI29" s="681"/>
      <c r="CJ29" s="681"/>
      <c r="CK29" s="681"/>
      <c r="CL29" s="681"/>
      <c r="CM29" s="681"/>
      <c r="CN29" s="681"/>
      <c r="CO29" s="681"/>
      <c r="CP29" s="681"/>
      <c r="CQ29" s="681"/>
      <c r="CR29" s="681"/>
      <c r="CS29" s="681"/>
      <c r="CT29" s="681"/>
      <c r="CU29" s="681"/>
      <c r="CV29" s="681"/>
      <c r="CW29" s="681"/>
      <c r="CX29" s="681"/>
    </row>
    <row r="30" spans="1:102" x14ac:dyDescent="0.2">
      <c r="A30" s="675">
        <f t="shared" si="39"/>
        <v>2</v>
      </c>
      <c r="B30" s="675">
        <f t="shared" si="0"/>
        <v>2004</v>
      </c>
      <c r="C30" s="678">
        <v>38107</v>
      </c>
      <c r="D30" s="675" t="str">
        <f t="shared" si="1"/>
        <v>2Q04</v>
      </c>
      <c r="E30" s="679">
        <v>23.82</v>
      </c>
      <c r="F30" s="674"/>
      <c r="G30" s="682" t="s">
        <v>491</v>
      </c>
      <c r="H30" s="682">
        <v>0</v>
      </c>
      <c r="I30" s="682">
        <f t="shared" ref="I30:BT30" si="94">H30+1</f>
        <v>1</v>
      </c>
      <c r="J30" s="682">
        <f t="shared" si="94"/>
        <v>2</v>
      </c>
      <c r="K30" s="682">
        <f t="shared" si="94"/>
        <v>3</v>
      </c>
      <c r="L30" s="682">
        <f t="shared" si="94"/>
        <v>4</v>
      </c>
      <c r="M30" s="682">
        <f t="shared" si="94"/>
        <v>5</v>
      </c>
      <c r="N30" s="682">
        <f t="shared" si="94"/>
        <v>6</v>
      </c>
      <c r="O30" s="682">
        <f t="shared" si="94"/>
        <v>7</v>
      </c>
      <c r="P30" s="682">
        <f t="shared" si="94"/>
        <v>8</v>
      </c>
      <c r="Q30" s="682">
        <f t="shared" si="94"/>
        <v>9</v>
      </c>
      <c r="R30" s="682">
        <f t="shared" si="94"/>
        <v>10</v>
      </c>
      <c r="S30" s="682">
        <f t="shared" si="94"/>
        <v>11</v>
      </c>
      <c r="T30" s="682">
        <f t="shared" si="94"/>
        <v>12</v>
      </c>
      <c r="U30" s="682">
        <f t="shared" si="94"/>
        <v>13</v>
      </c>
      <c r="V30" s="682">
        <f t="shared" si="94"/>
        <v>14</v>
      </c>
      <c r="W30" s="682">
        <f t="shared" si="94"/>
        <v>15</v>
      </c>
      <c r="X30" s="682">
        <f t="shared" si="94"/>
        <v>16</v>
      </c>
      <c r="Y30" s="682">
        <f t="shared" si="94"/>
        <v>17</v>
      </c>
      <c r="Z30" s="682">
        <f t="shared" si="94"/>
        <v>18</v>
      </c>
      <c r="AA30" s="682">
        <f t="shared" si="94"/>
        <v>19</v>
      </c>
      <c r="AB30" s="682">
        <f t="shared" si="94"/>
        <v>20</v>
      </c>
      <c r="AC30" s="682">
        <f t="shared" si="94"/>
        <v>21</v>
      </c>
      <c r="AD30" s="682">
        <f t="shared" si="94"/>
        <v>22</v>
      </c>
      <c r="AE30" s="682">
        <f t="shared" si="94"/>
        <v>23</v>
      </c>
      <c r="AF30" s="682">
        <f t="shared" si="94"/>
        <v>24</v>
      </c>
      <c r="AG30" s="682">
        <f t="shared" si="94"/>
        <v>25</v>
      </c>
      <c r="AH30" s="682">
        <f t="shared" si="94"/>
        <v>26</v>
      </c>
      <c r="AI30" s="682">
        <f t="shared" si="94"/>
        <v>27</v>
      </c>
      <c r="AJ30" s="682">
        <f t="shared" si="94"/>
        <v>28</v>
      </c>
      <c r="AK30" s="682">
        <f t="shared" si="94"/>
        <v>29</v>
      </c>
      <c r="AL30" s="682">
        <f t="shared" si="94"/>
        <v>30</v>
      </c>
      <c r="AM30" s="682">
        <f t="shared" si="94"/>
        <v>31</v>
      </c>
      <c r="AN30" s="682">
        <f t="shared" si="94"/>
        <v>32</v>
      </c>
      <c r="AO30" s="682">
        <f t="shared" si="94"/>
        <v>33</v>
      </c>
      <c r="AP30" s="682">
        <f t="shared" si="94"/>
        <v>34</v>
      </c>
      <c r="AQ30" s="682">
        <f t="shared" si="94"/>
        <v>35</v>
      </c>
      <c r="AR30" s="682">
        <f t="shared" si="94"/>
        <v>36</v>
      </c>
      <c r="AS30" s="682">
        <f t="shared" si="94"/>
        <v>37</v>
      </c>
      <c r="AT30" s="682">
        <f t="shared" si="94"/>
        <v>38</v>
      </c>
      <c r="AU30" s="682">
        <f t="shared" si="94"/>
        <v>39</v>
      </c>
      <c r="AV30" s="682">
        <f t="shared" si="94"/>
        <v>40</v>
      </c>
      <c r="AW30" s="682">
        <f t="shared" si="94"/>
        <v>41</v>
      </c>
      <c r="AX30" s="682">
        <f t="shared" si="94"/>
        <v>42</v>
      </c>
      <c r="AY30" s="682">
        <f t="shared" si="94"/>
        <v>43</v>
      </c>
      <c r="AZ30" s="682">
        <f t="shared" si="94"/>
        <v>44</v>
      </c>
      <c r="BA30" s="682">
        <f t="shared" si="94"/>
        <v>45</v>
      </c>
      <c r="BB30" s="682">
        <f t="shared" si="94"/>
        <v>46</v>
      </c>
      <c r="BC30" s="682">
        <f t="shared" si="94"/>
        <v>47</v>
      </c>
      <c r="BD30" s="682">
        <f t="shared" si="94"/>
        <v>48</v>
      </c>
      <c r="BE30" s="682">
        <f t="shared" si="94"/>
        <v>49</v>
      </c>
      <c r="BF30" s="682">
        <f t="shared" si="94"/>
        <v>50</v>
      </c>
      <c r="BG30" s="682">
        <f t="shared" si="94"/>
        <v>51</v>
      </c>
      <c r="BH30" s="682">
        <f t="shared" si="94"/>
        <v>52</v>
      </c>
      <c r="BI30" s="682">
        <f t="shared" si="94"/>
        <v>53</v>
      </c>
      <c r="BJ30" s="682">
        <f t="shared" si="94"/>
        <v>54</v>
      </c>
      <c r="BK30" s="682">
        <f t="shared" si="94"/>
        <v>55</v>
      </c>
      <c r="BL30" s="682">
        <f t="shared" si="94"/>
        <v>56</v>
      </c>
      <c r="BM30" s="682">
        <f t="shared" si="94"/>
        <v>57</v>
      </c>
      <c r="BN30" s="682">
        <f t="shared" si="94"/>
        <v>58</v>
      </c>
      <c r="BO30" s="682">
        <f t="shared" si="94"/>
        <v>59</v>
      </c>
      <c r="BP30" s="682">
        <f t="shared" si="94"/>
        <v>60</v>
      </c>
      <c r="BQ30" s="682">
        <f t="shared" si="94"/>
        <v>61</v>
      </c>
      <c r="BR30" s="682">
        <f t="shared" si="94"/>
        <v>62</v>
      </c>
      <c r="BS30" s="682">
        <f t="shared" si="94"/>
        <v>63</v>
      </c>
      <c r="BT30" s="682">
        <f t="shared" si="94"/>
        <v>64</v>
      </c>
      <c r="BU30" s="682">
        <f>BT30+1</f>
        <v>65</v>
      </c>
      <c r="BV30" s="682">
        <f>BU30+1</f>
        <v>66</v>
      </c>
      <c r="BW30" s="682">
        <f>BV30+1</f>
        <v>67</v>
      </c>
      <c r="BX30" s="682">
        <f>BW30+1</f>
        <v>68</v>
      </c>
      <c r="BY30" s="682">
        <f>BX30+1</f>
        <v>69</v>
      </c>
      <c r="BZ30" s="682">
        <f t="shared" ref="BZ30:CF30" si="95">BY30+1</f>
        <v>70</v>
      </c>
      <c r="CA30" s="682">
        <f t="shared" si="95"/>
        <v>71</v>
      </c>
      <c r="CB30" s="682">
        <f t="shared" si="95"/>
        <v>72</v>
      </c>
      <c r="CC30" s="682">
        <f t="shared" si="95"/>
        <v>73</v>
      </c>
      <c r="CD30" s="682">
        <f t="shared" si="95"/>
        <v>74</v>
      </c>
      <c r="CE30" s="682">
        <f t="shared" si="95"/>
        <v>75</v>
      </c>
      <c r="CF30" s="682">
        <f t="shared" si="95"/>
        <v>76</v>
      </c>
      <c r="CG30" s="682">
        <f>CF30+1</f>
        <v>77</v>
      </c>
      <c r="CH30" s="682">
        <f>CG30+1</f>
        <v>78</v>
      </c>
      <c r="CI30" s="682">
        <f>CH30+1</f>
        <v>79</v>
      </c>
      <c r="CJ30" s="682">
        <f t="shared" ref="CJ30" si="96">CI30+1</f>
        <v>80</v>
      </c>
      <c r="CK30" s="682">
        <f t="shared" ref="CK30" si="97">CJ30+1</f>
        <v>81</v>
      </c>
      <c r="CL30" s="682">
        <f>CK30+1</f>
        <v>82</v>
      </c>
      <c r="CM30" s="682">
        <f>CL30+1</f>
        <v>83</v>
      </c>
      <c r="CN30" s="682">
        <f>CM30+1</f>
        <v>84</v>
      </c>
      <c r="CO30" s="682">
        <f t="shared" ref="CO30" si="98">CN30+1</f>
        <v>85</v>
      </c>
      <c r="CP30" s="682">
        <f t="shared" ref="CP30" si="99">CO30+1</f>
        <v>86</v>
      </c>
      <c r="CQ30" s="682">
        <f>CP30+1</f>
        <v>87</v>
      </c>
      <c r="CR30" s="682">
        <f>CQ30+1</f>
        <v>88</v>
      </c>
      <c r="CS30" s="682">
        <f>CR30+1</f>
        <v>89</v>
      </c>
      <c r="CT30" s="682">
        <f t="shared" ref="CT30" si="100">CS30+1</f>
        <v>90</v>
      </c>
      <c r="CU30" s="682">
        <f t="shared" ref="CU30" si="101">CT30+1</f>
        <v>91</v>
      </c>
      <c r="CV30" s="682">
        <f>CU30+1</f>
        <v>92</v>
      </c>
      <c r="CW30" s="682">
        <f>CV30+1</f>
        <v>93</v>
      </c>
      <c r="CX30" s="682">
        <f>CW30+1</f>
        <v>94</v>
      </c>
    </row>
    <row r="31" spans="1:102" x14ac:dyDescent="0.2">
      <c r="A31" s="675">
        <f t="shared" si="39"/>
        <v>2</v>
      </c>
      <c r="B31" s="675">
        <f t="shared" si="0"/>
        <v>2004</v>
      </c>
      <c r="C31" s="678">
        <v>38138</v>
      </c>
      <c r="D31" s="675" t="str">
        <f t="shared" si="1"/>
        <v>2Q04</v>
      </c>
      <c r="E31" s="679">
        <v>24.23</v>
      </c>
      <c r="F31" s="674"/>
      <c r="G31" s="682" t="s">
        <v>393</v>
      </c>
      <c r="H31" s="689" t="str">
        <f t="shared" ref="H31:BS32" ca="1" si="102">IF(MOD(H$30+1,5)=0,OFFSET($H26,0,TRUNC(H$30/5,0)),OFFSET($H21,0,H$30-TRUNC(H$30/5,0)))</f>
        <v>1Q02</v>
      </c>
      <c r="I31" s="689" t="str">
        <f t="shared" ca="1" si="102"/>
        <v>2Q02</v>
      </c>
      <c r="J31" s="689" t="str">
        <f t="shared" ca="1" si="102"/>
        <v>3Q02</v>
      </c>
      <c r="K31" s="689" t="str">
        <f t="shared" ca="1" si="102"/>
        <v>4Q02</v>
      </c>
      <c r="L31" s="689">
        <f t="shared" ca="1" si="102"/>
        <v>2002</v>
      </c>
      <c r="M31" s="689" t="str">
        <f t="shared" ca="1" si="102"/>
        <v>1Q03</v>
      </c>
      <c r="N31" s="689" t="str">
        <f t="shared" ca="1" si="102"/>
        <v>2Q03</v>
      </c>
      <c r="O31" s="689" t="str">
        <f t="shared" ca="1" si="102"/>
        <v>3Q03</v>
      </c>
      <c r="P31" s="689" t="str">
        <f t="shared" ca="1" si="102"/>
        <v>4Q03</v>
      </c>
      <c r="Q31" s="689">
        <f t="shared" ca="1" si="102"/>
        <v>2003</v>
      </c>
      <c r="R31" s="689" t="str">
        <f t="shared" ca="1" si="102"/>
        <v>1Q04</v>
      </c>
      <c r="S31" s="689" t="str">
        <f t="shared" ca="1" si="102"/>
        <v>2Q04</v>
      </c>
      <c r="T31" s="689" t="str">
        <f t="shared" ca="1" si="102"/>
        <v>3Q04</v>
      </c>
      <c r="U31" s="689" t="str">
        <f t="shared" ca="1" si="102"/>
        <v>4Q04</v>
      </c>
      <c r="V31" s="689">
        <f t="shared" ca="1" si="102"/>
        <v>2004</v>
      </c>
      <c r="W31" s="689" t="str">
        <f t="shared" ca="1" si="102"/>
        <v>1Q05</v>
      </c>
      <c r="X31" s="689" t="str">
        <f t="shared" ca="1" si="102"/>
        <v>2Q05</v>
      </c>
      <c r="Y31" s="689" t="str">
        <f t="shared" ca="1" si="102"/>
        <v>3Q05</v>
      </c>
      <c r="Z31" s="689" t="str">
        <f t="shared" ca="1" si="102"/>
        <v>4Q05</v>
      </c>
      <c r="AA31" s="689">
        <f t="shared" ca="1" si="102"/>
        <v>2005</v>
      </c>
      <c r="AB31" s="689" t="str">
        <f t="shared" ca="1" si="102"/>
        <v>1Q06</v>
      </c>
      <c r="AC31" s="689" t="str">
        <f t="shared" ca="1" si="102"/>
        <v>2Q06</v>
      </c>
      <c r="AD31" s="689" t="str">
        <f t="shared" ca="1" si="102"/>
        <v>3Q06</v>
      </c>
      <c r="AE31" s="689" t="str">
        <f t="shared" ca="1" si="102"/>
        <v>4Q06</v>
      </c>
      <c r="AF31" s="689">
        <f t="shared" ca="1" si="102"/>
        <v>2006</v>
      </c>
      <c r="AG31" s="689" t="str">
        <f t="shared" ca="1" si="102"/>
        <v>1Q07</v>
      </c>
      <c r="AH31" s="689" t="str">
        <f t="shared" ca="1" si="102"/>
        <v>2Q07</v>
      </c>
      <c r="AI31" s="689" t="str">
        <f t="shared" ca="1" si="102"/>
        <v>3Q07</v>
      </c>
      <c r="AJ31" s="689" t="str">
        <f t="shared" ca="1" si="102"/>
        <v>4Q07</v>
      </c>
      <c r="AK31" s="689">
        <f t="shared" ca="1" si="102"/>
        <v>2007</v>
      </c>
      <c r="AL31" s="689" t="str">
        <f t="shared" ca="1" si="102"/>
        <v>1Q08</v>
      </c>
      <c r="AM31" s="689" t="str">
        <f t="shared" ca="1" si="102"/>
        <v>2Q08</v>
      </c>
      <c r="AN31" s="689" t="str">
        <f t="shared" ca="1" si="102"/>
        <v>3Q08</v>
      </c>
      <c r="AO31" s="689" t="str">
        <f t="shared" ca="1" si="102"/>
        <v>4Q08</v>
      </c>
      <c r="AP31" s="689">
        <f t="shared" ca="1" si="102"/>
        <v>2008</v>
      </c>
      <c r="AQ31" s="689" t="str">
        <f t="shared" ca="1" si="102"/>
        <v>1Q09</v>
      </c>
      <c r="AR31" s="689" t="str">
        <f t="shared" ca="1" si="102"/>
        <v>2Q09</v>
      </c>
      <c r="AS31" s="689" t="str">
        <f t="shared" ca="1" si="102"/>
        <v>3Q09</v>
      </c>
      <c r="AT31" s="689" t="str">
        <f t="shared" ca="1" si="102"/>
        <v>4Q09</v>
      </c>
      <c r="AU31" s="689">
        <f t="shared" ca="1" si="102"/>
        <v>2009</v>
      </c>
      <c r="AV31" s="689" t="str">
        <f t="shared" ca="1" si="102"/>
        <v>1Q10</v>
      </c>
      <c r="AW31" s="689" t="str">
        <f t="shared" ca="1" si="102"/>
        <v>2Q10</v>
      </c>
      <c r="AX31" s="689" t="str">
        <f t="shared" ca="1" si="102"/>
        <v>3Q10</v>
      </c>
      <c r="AY31" s="689" t="str">
        <f t="shared" ca="1" si="102"/>
        <v>4Q10</v>
      </c>
      <c r="AZ31" s="689">
        <f t="shared" ca="1" si="102"/>
        <v>2010</v>
      </c>
      <c r="BA31" s="689" t="str">
        <f t="shared" ca="1" si="102"/>
        <v>1Q11</v>
      </c>
      <c r="BB31" s="689" t="str">
        <f t="shared" ca="1" si="102"/>
        <v>2Q11</v>
      </c>
      <c r="BC31" s="689" t="str">
        <f t="shared" ca="1" si="102"/>
        <v>3Q11</v>
      </c>
      <c r="BD31" s="689" t="str">
        <f t="shared" ca="1" si="102"/>
        <v>4Q11</v>
      </c>
      <c r="BE31" s="689">
        <f t="shared" ca="1" si="102"/>
        <v>2011</v>
      </c>
      <c r="BF31" s="689" t="str">
        <f t="shared" ca="1" si="102"/>
        <v>1Q12</v>
      </c>
      <c r="BG31" s="689" t="str">
        <f t="shared" ca="1" si="102"/>
        <v>2Q12</v>
      </c>
      <c r="BH31" s="689" t="str">
        <f t="shared" ca="1" si="102"/>
        <v>3Q12</v>
      </c>
      <c r="BI31" s="689" t="str">
        <f t="shared" ca="1" si="102"/>
        <v>4Q12</v>
      </c>
      <c r="BJ31" s="689">
        <f t="shared" ca="1" si="102"/>
        <v>2012</v>
      </c>
      <c r="BK31" s="689" t="str">
        <f t="shared" ca="1" si="102"/>
        <v>1Q13</v>
      </c>
      <c r="BL31" s="689" t="str">
        <f t="shared" ca="1" si="102"/>
        <v>2Q13</v>
      </c>
      <c r="BM31" s="689" t="str">
        <f t="shared" ca="1" si="102"/>
        <v>3Q13</v>
      </c>
      <c r="BN31" s="689" t="str">
        <f t="shared" ca="1" si="102"/>
        <v>4Q13</v>
      </c>
      <c r="BO31" s="689">
        <f t="shared" ca="1" si="102"/>
        <v>2013</v>
      </c>
      <c r="BP31" s="689" t="str">
        <f t="shared" ca="1" si="102"/>
        <v>1Q14</v>
      </c>
      <c r="BQ31" s="689" t="str">
        <f t="shared" ca="1" si="102"/>
        <v>2Q14</v>
      </c>
      <c r="BR31" s="689" t="str">
        <f t="shared" ca="1" si="102"/>
        <v>3Q14</v>
      </c>
      <c r="BS31" s="689" t="str">
        <f t="shared" ca="1" si="102"/>
        <v>4Q14</v>
      </c>
      <c r="BT31" s="689">
        <f t="shared" ref="BP31:BY32" ca="1" si="103">IF(MOD(BT$30+1,5)=0,OFFSET($H26,0,TRUNC(BT$30/5,0)),OFFSET($H21,0,BT$30-TRUNC(BT$30/5,0)))</f>
        <v>2014</v>
      </c>
      <c r="BU31" s="689" t="str">
        <f t="shared" ca="1" si="103"/>
        <v>1Q15</v>
      </c>
      <c r="BV31" s="689" t="str">
        <f t="shared" ca="1" si="103"/>
        <v>2Q15</v>
      </c>
      <c r="BW31" s="689" t="str">
        <f t="shared" ca="1" si="103"/>
        <v>3Q15</v>
      </c>
      <c r="BX31" s="689" t="str">
        <f t="shared" ca="1" si="103"/>
        <v>4Q15</v>
      </c>
      <c r="BY31" s="689">
        <f t="shared" ca="1" si="103"/>
        <v>2015</v>
      </c>
      <c r="BZ31" s="689" t="str">
        <f t="shared" ref="BZ31:CF31" ca="1" si="104">IF(MOD(BZ$30+1,5)=0,OFFSET($H26,0,TRUNC(BZ$30/5,0)),OFFSET($H21,0,BZ$30-TRUNC(BZ$30/5,0)))</f>
        <v>1Q16</v>
      </c>
      <c r="CA31" s="689" t="str">
        <f t="shared" ca="1" si="104"/>
        <v>2Q16</v>
      </c>
      <c r="CB31" s="689" t="str">
        <f t="shared" ca="1" si="104"/>
        <v>3Q16</v>
      </c>
      <c r="CC31" s="689" t="str">
        <f t="shared" ca="1" si="104"/>
        <v>4Q16</v>
      </c>
      <c r="CD31" s="689">
        <f t="shared" ca="1" si="104"/>
        <v>2016</v>
      </c>
      <c r="CE31" s="689" t="str">
        <f t="shared" ca="1" si="104"/>
        <v>1Q17</v>
      </c>
      <c r="CF31" s="689" t="str">
        <f t="shared" ca="1" si="104"/>
        <v>2Q17</v>
      </c>
      <c r="CG31" s="689" t="str">
        <f t="shared" ref="CG31:CK32" ca="1" si="105">IF(MOD(CG$30+1,5)=0,OFFSET($H26,0,TRUNC(CG$30/5,0)),OFFSET($H21,0,CG$30-TRUNC(CG$30/5,0)))</f>
        <v>3Q17</v>
      </c>
      <c r="CH31" s="689" t="str">
        <f t="shared" ca="1" si="105"/>
        <v>4Q17</v>
      </c>
      <c r="CI31" s="689">
        <f t="shared" ca="1" si="105"/>
        <v>2017</v>
      </c>
      <c r="CJ31" s="689" t="str">
        <f t="shared" ca="1" si="105"/>
        <v>1Q18</v>
      </c>
      <c r="CK31" s="689" t="str">
        <f t="shared" ca="1" si="105"/>
        <v>2Q18</v>
      </c>
      <c r="CL31" s="689" t="str">
        <f t="shared" ref="CL31:CS31" ca="1" si="106">IF(MOD(CL$30+1,5)=0,OFFSET($H26,0,TRUNC(CL$30/5,0)),OFFSET($H21,0,CL$30-TRUNC(CL$30/5,0)))</f>
        <v>3Q18</v>
      </c>
      <c r="CM31" s="689" t="str">
        <f t="shared" ca="1" si="106"/>
        <v>4Q18</v>
      </c>
      <c r="CN31" s="689">
        <f t="shared" ca="1" si="106"/>
        <v>2018</v>
      </c>
      <c r="CO31" s="689" t="str">
        <f t="shared" ca="1" si="106"/>
        <v>1Q19</v>
      </c>
      <c r="CP31" s="689" t="str">
        <f t="shared" ca="1" si="106"/>
        <v>2Q19</v>
      </c>
      <c r="CQ31" s="689" t="str">
        <f t="shared" ca="1" si="106"/>
        <v>3Q19</v>
      </c>
      <c r="CR31" s="689" t="str">
        <f t="shared" ca="1" si="106"/>
        <v>4Q19</v>
      </c>
      <c r="CS31" s="689">
        <f t="shared" ca="1" si="106"/>
        <v>2019</v>
      </c>
      <c r="CT31" s="689" t="str">
        <f t="shared" ref="CT31:CX31" ca="1" si="107">IF(MOD(CT$30+1,5)=0,OFFSET($H26,0,TRUNC(CT$30/5,0)),OFFSET($H21,0,CT$30-TRUNC(CT$30/5,0)))</f>
        <v>1Q20</v>
      </c>
      <c r="CU31" s="689" t="str">
        <f t="shared" ca="1" si="107"/>
        <v>2Q20</v>
      </c>
      <c r="CV31" s="689" t="str">
        <f t="shared" ca="1" si="107"/>
        <v>3Q20</v>
      </c>
      <c r="CW31" s="689" t="str">
        <f t="shared" ca="1" si="107"/>
        <v>4Q20</v>
      </c>
      <c r="CX31" s="689">
        <f t="shared" ca="1" si="107"/>
        <v>2020</v>
      </c>
    </row>
    <row r="32" spans="1:102" x14ac:dyDescent="0.2">
      <c r="A32" s="675">
        <f t="shared" si="39"/>
        <v>2</v>
      </c>
      <c r="B32" s="675">
        <f t="shared" si="0"/>
        <v>2004</v>
      </c>
      <c r="C32" s="678">
        <v>38168</v>
      </c>
      <c r="D32" s="675" t="str">
        <f t="shared" si="1"/>
        <v>2Q04</v>
      </c>
      <c r="E32" s="679">
        <v>26.52</v>
      </c>
      <c r="F32" s="674"/>
      <c r="G32" s="675" t="str">
        <f>G27</f>
        <v>Avg NSC Stock Price</v>
      </c>
      <c r="H32" s="685">
        <f t="shared" ca="1" si="102"/>
        <v>23.94</v>
      </c>
      <c r="I32" s="685">
        <f t="shared" ca="1" si="102"/>
        <v>23.38</v>
      </c>
      <c r="J32" s="685">
        <f t="shared" ca="1" si="102"/>
        <v>20.190000000000001</v>
      </c>
      <c r="K32" s="685">
        <f t="shared" ca="1" si="102"/>
        <v>19.989999999999998</v>
      </c>
      <c r="L32" s="685">
        <f t="shared" ca="1" si="102"/>
        <v>19.989999999999998</v>
      </c>
      <c r="M32" s="685">
        <f t="shared" ca="1" si="102"/>
        <v>18.559999999999999</v>
      </c>
      <c r="N32" s="685">
        <f t="shared" ca="1" si="102"/>
        <v>19.2</v>
      </c>
      <c r="O32" s="685">
        <f t="shared" ca="1" si="102"/>
        <v>18.5</v>
      </c>
      <c r="P32" s="685">
        <f t="shared" ca="1" si="102"/>
        <v>23.65</v>
      </c>
      <c r="Q32" s="685">
        <f t="shared" ca="1" si="102"/>
        <v>23.65</v>
      </c>
      <c r="R32" s="685">
        <f t="shared" ca="1" si="102"/>
        <v>22.09</v>
      </c>
      <c r="S32" s="685">
        <f t="shared" ca="1" si="102"/>
        <v>26.52</v>
      </c>
      <c r="T32" s="685">
        <f t="shared" ca="1" si="102"/>
        <v>29.74</v>
      </c>
      <c r="U32" s="685">
        <f t="shared" ca="1" si="102"/>
        <v>36.19</v>
      </c>
      <c r="V32" s="685">
        <f t="shared" ca="1" si="102"/>
        <v>36.19</v>
      </c>
      <c r="W32" s="685">
        <f t="shared" ca="1" si="102"/>
        <v>37.049999999999997</v>
      </c>
      <c r="X32" s="685">
        <f t="shared" ca="1" si="102"/>
        <v>30.96</v>
      </c>
      <c r="Y32" s="685">
        <f t="shared" ca="1" si="102"/>
        <v>40.56</v>
      </c>
      <c r="Z32" s="685">
        <f t="shared" ca="1" si="102"/>
        <v>44.83</v>
      </c>
      <c r="AA32" s="685">
        <f t="shared" ca="1" si="102"/>
        <v>44.83</v>
      </c>
      <c r="AB32" s="685">
        <f t="shared" ca="1" si="102"/>
        <v>54.07</v>
      </c>
      <c r="AC32" s="685">
        <f t="shared" ca="1" si="102"/>
        <v>53.22</v>
      </c>
      <c r="AD32" s="685">
        <f t="shared" ca="1" si="102"/>
        <v>44.05</v>
      </c>
      <c r="AE32" s="685">
        <f t="shared" ca="1" si="102"/>
        <v>50.29</v>
      </c>
      <c r="AF32" s="685">
        <f t="shared" ca="1" si="102"/>
        <v>50.29</v>
      </c>
      <c r="AG32" s="685">
        <f t="shared" ca="1" si="102"/>
        <v>50.6</v>
      </c>
      <c r="AH32" s="685">
        <f t="shared" ca="1" si="102"/>
        <v>52.57</v>
      </c>
      <c r="AI32" s="685">
        <f t="shared" ca="1" si="102"/>
        <v>51.91</v>
      </c>
      <c r="AJ32" s="685">
        <f t="shared" ca="1" si="102"/>
        <v>50.44</v>
      </c>
      <c r="AK32" s="685">
        <f t="shared" ca="1" si="102"/>
        <v>50.44</v>
      </c>
      <c r="AL32" s="685">
        <f t="shared" ca="1" si="102"/>
        <v>54.32</v>
      </c>
      <c r="AM32" s="685">
        <f t="shared" ca="1" si="102"/>
        <v>62.67</v>
      </c>
      <c r="AN32" s="685">
        <f t="shared" ca="1" si="102"/>
        <v>66.209999999999994</v>
      </c>
      <c r="AO32" s="685">
        <f t="shared" ca="1" si="102"/>
        <v>47.05</v>
      </c>
      <c r="AP32" s="685">
        <f t="shared" ca="1" si="102"/>
        <v>47.05</v>
      </c>
      <c r="AQ32" s="685">
        <f t="shared" ca="1" si="102"/>
        <v>33.75</v>
      </c>
      <c r="AR32" s="685">
        <f t="shared" ca="1" si="102"/>
        <v>37.67</v>
      </c>
      <c r="AS32" s="685">
        <f t="shared" ca="1" si="102"/>
        <v>43.11</v>
      </c>
      <c r="AT32" s="685">
        <f t="shared" ca="1" si="102"/>
        <v>52.42</v>
      </c>
      <c r="AU32" s="685">
        <f t="shared" ca="1" si="102"/>
        <v>52.42</v>
      </c>
      <c r="AV32" s="685">
        <f t="shared" ca="1" si="102"/>
        <v>55.89</v>
      </c>
      <c r="AW32" s="685">
        <f t="shared" ca="1" si="102"/>
        <v>53.05</v>
      </c>
      <c r="AX32" s="685">
        <f t="shared" ca="1" si="102"/>
        <v>59.51</v>
      </c>
      <c r="AY32" s="685">
        <f t="shared" ca="1" si="102"/>
        <v>62.82</v>
      </c>
      <c r="AZ32" s="685">
        <f t="shared" ca="1" si="102"/>
        <v>62.82</v>
      </c>
      <c r="BA32" s="685">
        <f t="shared" ca="1" si="102"/>
        <v>69.27</v>
      </c>
      <c r="BB32" s="685">
        <f t="shared" ca="1" si="102"/>
        <v>74.930000000000007</v>
      </c>
      <c r="BC32" s="685">
        <f t="shared" ca="1" si="102"/>
        <v>61.02</v>
      </c>
      <c r="BD32" s="685">
        <f t="shared" ca="1" si="102"/>
        <v>72.859986000000006</v>
      </c>
      <c r="BE32" s="685">
        <f t="shared" ca="1" si="102"/>
        <v>72.859986000000006</v>
      </c>
      <c r="BF32" s="685">
        <f t="shared" ca="1" si="102"/>
        <v>65.829987000000003</v>
      </c>
      <c r="BG32" s="685">
        <f t="shared" ca="1" si="102"/>
        <v>71.769990000000007</v>
      </c>
      <c r="BH32" s="685">
        <f t="shared" ca="1" si="102"/>
        <v>63.629989999999999</v>
      </c>
      <c r="BI32" s="685">
        <f t="shared" ca="1" si="102"/>
        <v>61.069992999999997</v>
      </c>
      <c r="BJ32" s="685">
        <f t="shared" ca="1" si="102"/>
        <v>64.289993999999993</v>
      </c>
      <c r="BK32" s="685">
        <f t="shared" ca="1" si="102"/>
        <v>77.079987000000003</v>
      </c>
      <c r="BL32" s="685">
        <f t="shared" ca="1" si="102"/>
        <v>72.649994000000007</v>
      </c>
      <c r="BM32" s="685">
        <f t="shared" ca="1" si="102"/>
        <v>77.789993999999993</v>
      </c>
      <c r="BN32" s="685">
        <f t="shared" ca="1" si="102"/>
        <v>92.329987000000003</v>
      </c>
      <c r="BO32" s="685">
        <f t="shared" ca="1" si="102"/>
        <v>61.129989999999999</v>
      </c>
      <c r="BP32" s="685">
        <f t="shared" ca="1" si="103"/>
        <v>96.349991000000003</v>
      </c>
      <c r="BQ32" s="685">
        <f t="shared" ca="1" si="103"/>
        <v>101.65</v>
      </c>
      <c r="BR32" s="685">
        <f t="shared" ca="1" si="103"/>
        <v>111.31</v>
      </c>
      <c r="BS32" s="685">
        <f t="shared" ca="1" si="103"/>
        <v>111.54</v>
      </c>
      <c r="BT32" s="685">
        <f t="shared" ca="1" si="103"/>
        <v>74.519990000000007</v>
      </c>
      <c r="BU32" s="685">
        <f t="shared" ca="1" si="103"/>
        <v>103.62</v>
      </c>
      <c r="BV32" s="685">
        <f t="shared" ca="1" si="103"/>
        <v>88.869996</v>
      </c>
      <c r="BW32" s="685">
        <f t="shared" ca="1" si="103"/>
        <v>75.619996</v>
      </c>
      <c r="BX32" s="685">
        <f t="shared" ca="1" si="103"/>
        <v>86.779999000000004</v>
      </c>
      <c r="BY32" s="685">
        <f t="shared" ca="1" si="103"/>
        <v>72.649994000000007</v>
      </c>
      <c r="BZ32" s="685">
        <f t="shared" ref="BZ32:CF32" ca="1" si="108">IF(MOD(BZ$30+1,5)=0,OFFSET($H27,0,TRUNC(BZ$30/5,0)),OFFSET($H22,0,BZ$30-TRUNC(BZ$30/5,0)))</f>
        <v>83.869996</v>
      </c>
      <c r="CA32" s="685">
        <f t="shared" ca="1" si="108"/>
        <v>82.64</v>
      </c>
      <c r="CB32" s="685">
        <f t="shared" ca="1" si="108"/>
        <v>93.619996</v>
      </c>
      <c r="CC32" s="685">
        <f t="shared" ca="1" si="108"/>
        <v>109.28</v>
      </c>
      <c r="CD32" s="685">
        <f t="shared" ca="1" si="108"/>
        <v>77.719986000000006</v>
      </c>
      <c r="CE32" s="685">
        <f t="shared" ca="1" si="108"/>
        <v>110.66001</v>
      </c>
      <c r="CF32" s="685">
        <f t="shared" ca="1" si="108"/>
        <v>119.29</v>
      </c>
      <c r="CG32" s="685">
        <f t="shared" ca="1" si="105"/>
        <v>130.99001000000001</v>
      </c>
      <c r="CH32" s="685">
        <f t="shared" ca="1" si="105"/>
        <v>144.52001000000001</v>
      </c>
      <c r="CI32" s="685">
        <f t="shared" ca="1" si="105"/>
        <v>87.969986000000006</v>
      </c>
      <c r="CJ32" s="685">
        <f t="shared" ca="1" si="105"/>
        <v>132.18</v>
      </c>
      <c r="CK32" s="685">
        <f t="shared" ca="1" si="105"/>
        <v>134.97001</v>
      </c>
      <c r="CL32" s="685">
        <f t="shared" ref="CL32:CS32" ca="1" si="109">IF(MOD(CL$30+1,5)=0,OFFSET($H27,0,TRUNC(CL$30/5,0)),OFFSET($H22,0,CL$30-TRUNC(CL$30/5,0)))</f>
        <v>134.97001</v>
      </c>
      <c r="CM32" s="685">
        <f t="shared" ca="1" si="109"/>
        <v>134.97001</v>
      </c>
      <c r="CN32" s="685">
        <f t="shared" ca="1" si="109"/>
        <v>94.289993999999993</v>
      </c>
      <c r="CO32" s="685">
        <f t="shared" ca="1" si="109"/>
        <v>134.97001</v>
      </c>
      <c r="CP32" s="685">
        <f t="shared" ca="1" si="109"/>
        <v>134.97001</v>
      </c>
      <c r="CQ32" s="685">
        <f t="shared" ca="1" si="109"/>
        <v>134.97001</v>
      </c>
      <c r="CR32" s="685">
        <f t="shared" ca="1" si="109"/>
        <v>134.97001</v>
      </c>
      <c r="CS32" s="685">
        <f t="shared" ca="1" si="109"/>
        <v>100.75</v>
      </c>
      <c r="CT32" s="685">
        <f t="shared" ref="CT32:CX32" ca="1" si="110">IF(MOD(CT$30+1,5)=0,OFFSET($H27,0,TRUNC(CT$30/5,0)),OFFSET($H22,0,CT$30-TRUNC(CT$30/5,0)))</f>
        <v>134.97001</v>
      </c>
      <c r="CU32" s="685">
        <f t="shared" ca="1" si="110"/>
        <v>134.97001</v>
      </c>
      <c r="CV32" s="685">
        <f t="shared" ca="1" si="110"/>
        <v>134.97001</v>
      </c>
      <c r="CW32" s="685">
        <f t="shared" ca="1" si="110"/>
        <v>134.97001</v>
      </c>
      <c r="CX32" s="685">
        <f t="shared" ca="1" si="110"/>
        <v>105.48</v>
      </c>
    </row>
    <row r="33" spans="1:6" x14ac:dyDescent="0.2">
      <c r="A33" s="675">
        <f t="shared" si="39"/>
        <v>3</v>
      </c>
      <c r="B33" s="675">
        <f t="shared" si="0"/>
        <v>2004</v>
      </c>
      <c r="C33" s="678">
        <v>38199</v>
      </c>
      <c r="D33" s="675" t="str">
        <f t="shared" si="1"/>
        <v>3Q04</v>
      </c>
      <c r="E33" s="679">
        <v>26.69</v>
      </c>
      <c r="F33" s="674"/>
    </row>
    <row r="34" spans="1:6" x14ac:dyDescent="0.2">
      <c r="A34" s="675">
        <f t="shared" si="39"/>
        <v>3</v>
      </c>
      <c r="B34" s="675">
        <f t="shared" si="0"/>
        <v>2004</v>
      </c>
      <c r="C34" s="678">
        <v>38230</v>
      </c>
      <c r="D34" s="675" t="str">
        <f t="shared" si="1"/>
        <v>3Q04</v>
      </c>
      <c r="E34" s="679">
        <v>28.4</v>
      </c>
      <c r="F34" s="674"/>
    </row>
    <row r="35" spans="1:6" x14ac:dyDescent="0.2">
      <c r="A35" s="675">
        <f t="shared" si="39"/>
        <v>3</v>
      </c>
      <c r="B35" s="675">
        <f t="shared" si="0"/>
        <v>2004</v>
      </c>
      <c r="C35" s="678">
        <v>38260</v>
      </c>
      <c r="D35" s="675" t="str">
        <f t="shared" si="1"/>
        <v>3Q04</v>
      </c>
      <c r="E35" s="679">
        <v>29.74</v>
      </c>
      <c r="F35" s="674"/>
    </row>
    <row r="36" spans="1:6" x14ac:dyDescent="0.2">
      <c r="A36" s="675">
        <f t="shared" si="39"/>
        <v>4</v>
      </c>
      <c r="B36" s="675">
        <f t="shared" si="0"/>
        <v>2004</v>
      </c>
      <c r="C36" s="678">
        <v>38291</v>
      </c>
      <c r="D36" s="675" t="str">
        <f t="shared" si="1"/>
        <v>4Q04</v>
      </c>
      <c r="E36" s="679">
        <v>33.950000000000003</v>
      </c>
      <c r="F36" s="674"/>
    </row>
    <row r="37" spans="1:6" x14ac:dyDescent="0.2">
      <c r="A37" s="675">
        <f t="shared" si="39"/>
        <v>4</v>
      </c>
      <c r="B37" s="675">
        <f t="shared" si="0"/>
        <v>2004</v>
      </c>
      <c r="C37" s="678">
        <v>38321</v>
      </c>
      <c r="D37" s="675" t="str">
        <f t="shared" si="1"/>
        <v>4Q04</v>
      </c>
      <c r="E37" s="679">
        <v>34.33</v>
      </c>
      <c r="F37" s="674"/>
    </row>
    <row r="38" spans="1:6" x14ac:dyDescent="0.2">
      <c r="A38" s="675">
        <f t="shared" si="39"/>
        <v>4</v>
      </c>
      <c r="B38" s="675">
        <f t="shared" si="0"/>
        <v>2004</v>
      </c>
      <c r="C38" s="678">
        <v>38352</v>
      </c>
      <c r="D38" s="675" t="str">
        <f t="shared" si="1"/>
        <v>4Q04</v>
      </c>
      <c r="E38" s="679">
        <v>36.19</v>
      </c>
      <c r="F38" s="674"/>
    </row>
    <row r="39" spans="1:6" x14ac:dyDescent="0.2">
      <c r="A39" s="675">
        <f t="shared" si="39"/>
        <v>1</v>
      </c>
      <c r="B39" s="675">
        <f t="shared" si="0"/>
        <v>2005</v>
      </c>
      <c r="C39" s="678">
        <v>38383</v>
      </c>
      <c r="D39" s="675" t="str">
        <f t="shared" si="1"/>
        <v>1Q05</v>
      </c>
      <c r="E39" s="679">
        <v>34.92</v>
      </c>
      <c r="F39" s="674"/>
    </row>
    <row r="40" spans="1:6" x14ac:dyDescent="0.2">
      <c r="A40" s="675">
        <f t="shared" si="39"/>
        <v>1</v>
      </c>
      <c r="B40" s="675">
        <f t="shared" si="0"/>
        <v>2005</v>
      </c>
      <c r="C40" s="678">
        <v>38411</v>
      </c>
      <c r="D40" s="675" t="str">
        <f t="shared" si="1"/>
        <v>1Q05</v>
      </c>
      <c r="E40" s="679">
        <v>35.89</v>
      </c>
      <c r="F40" s="674"/>
    </row>
    <row r="41" spans="1:6" x14ac:dyDescent="0.2">
      <c r="A41" s="675">
        <f t="shared" si="39"/>
        <v>1</v>
      </c>
      <c r="B41" s="675">
        <f t="shared" si="0"/>
        <v>2005</v>
      </c>
      <c r="C41" s="678">
        <v>38442</v>
      </c>
      <c r="D41" s="675" t="str">
        <f t="shared" si="1"/>
        <v>1Q05</v>
      </c>
      <c r="E41" s="679">
        <v>37.049999999999997</v>
      </c>
      <c r="F41" s="674"/>
    </row>
    <row r="42" spans="1:6" x14ac:dyDescent="0.2">
      <c r="A42" s="675">
        <f t="shared" si="39"/>
        <v>2</v>
      </c>
      <c r="B42" s="675">
        <f t="shared" si="0"/>
        <v>2005</v>
      </c>
      <c r="C42" s="678">
        <v>38472</v>
      </c>
      <c r="D42" s="675" t="str">
        <f t="shared" si="1"/>
        <v>2Q05</v>
      </c>
      <c r="E42" s="679">
        <v>31.4</v>
      </c>
      <c r="F42" s="674"/>
    </row>
    <row r="43" spans="1:6" x14ac:dyDescent="0.2">
      <c r="A43" s="675">
        <f t="shared" si="39"/>
        <v>2</v>
      </c>
      <c r="B43" s="675">
        <f t="shared" si="0"/>
        <v>2005</v>
      </c>
      <c r="C43" s="678">
        <v>38503</v>
      </c>
      <c r="D43" s="675" t="str">
        <f t="shared" si="1"/>
        <v>2Q05</v>
      </c>
      <c r="E43" s="679">
        <v>31.92</v>
      </c>
      <c r="F43" s="674"/>
    </row>
    <row r="44" spans="1:6" x14ac:dyDescent="0.2">
      <c r="A44" s="675">
        <f t="shared" si="39"/>
        <v>2</v>
      </c>
      <c r="B44" s="675">
        <f t="shared" si="0"/>
        <v>2005</v>
      </c>
      <c r="C44" s="678">
        <v>38533</v>
      </c>
      <c r="D44" s="675" t="str">
        <f t="shared" si="1"/>
        <v>2Q05</v>
      </c>
      <c r="E44" s="679">
        <v>30.96</v>
      </c>
      <c r="F44" s="674"/>
    </row>
    <row r="45" spans="1:6" x14ac:dyDescent="0.2">
      <c r="A45" s="675">
        <f t="shared" si="39"/>
        <v>3</v>
      </c>
      <c r="B45" s="675">
        <f t="shared" si="0"/>
        <v>2005</v>
      </c>
      <c r="C45" s="678">
        <v>38564</v>
      </c>
      <c r="D45" s="675" t="str">
        <f t="shared" si="1"/>
        <v>3Q05</v>
      </c>
      <c r="E45" s="679">
        <v>37.21</v>
      </c>
      <c r="F45" s="674"/>
    </row>
    <row r="46" spans="1:6" x14ac:dyDescent="0.2">
      <c r="A46" s="675">
        <f t="shared" si="39"/>
        <v>3</v>
      </c>
      <c r="B46" s="675">
        <f t="shared" si="0"/>
        <v>2005</v>
      </c>
      <c r="C46" s="678">
        <v>38595</v>
      </c>
      <c r="D46" s="675" t="str">
        <f t="shared" si="1"/>
        <v>3Q05</v>
      </c>
      <c r="E46" s="679">
        <v>35.61</v>
      </c>
      <c r="F46" s="674"/>
    </row>
    <row r="47" spans="1:6" x14ac:dyDescent="0.2">
      <c r="A47" s="675">
        <f t="shared" si="39"/>
        <v>3</v>
      </c>
      <c r="B47" s="675">
        <f t="shared" si="0"/>
        <v>2005</v>
      </c>
      <c r="C47" s="678">
        <v>38625</v>
      </c>
      <c r="D47" s="675" t="str">
        <f t="shared" si="1"/>
        <v>3Q05</v>
      </c>
      <c r="E47" s="679">
        <v>40.56</v>
      </c>
      <c r="F47" s="674"/>
    </row>
    <row r="48" spans="1:6" x14ac:dyDescent="0.2">
      <c r="A48" s="675">
        <f t="shared" si="39"/>
        <v>4</v>
      </c>
      <c r="B48" s="675">
        <f t="shared" si="0"/>
        <v>2005</v>
      </c>
      <c r="C48" s="678">
        <v>38656</v>
      </c>
      <c r="D48" s="675" t="str">
        <f t="shared" si="1"/>
        <v>4Q05</v>
      </c>
      <c r="E48" s="679">
        <v>40.200000000000003</v>
      </c>
      <c r="F48" s="674"/>
    </row>
    <row r="49" spans="1:6" x14ac:dyDescent="0.2">
      <c r="A49" s="675">
        <f t="shared" si="39"/>
        <v>4</v>
      </c>
      <c r="B49" s="675">
        <f t="shared" si="0"/>
        <v>2005</v>
      </c>
      <c r="C49" s="678">
        <v>38686</v>
      </c>
      <c r="D49" s="675" t="str">
        <f t="shared" si="1"/>
        <v>4Q05</v>
      </c>
      <c r="E49" s="679">
        <v>44.24</v>
      </c>
      <c r="F49" s="674"/>
    </row>
    <row r="50" spans="1:6" x14ac:dyDescent="0.2">
      <c r="A50" s="675">
        <f t="shared" si="39"/>
        <v>4</v>
      </c>
      <c r="B50" s="675">
        <f t="shared" si="0"/>
        <v>2005</v>
      </c>
      <c r="C50" s="678">
        <v>38717</v>
      </c>
      <c r="D50" s="675" t="str">
        <f t="shared" si="1"/>
        <v>4Q05</v>
      </c>
      <c r="E50" s="679">
        <v>44.83</v>
      </c>
      <c r="F50" s="674"/>
    </row>
    <row r="51" spans="1:6" x14ac:dyDescent="0.2">
      <c r="A51" s="675">
        <f t="shared" si="39"/>
        <v>1</v>
      </c>
      <c r="B51" s="675">
        <f t="shared" si="0"/>
        <v>2006</v>
      </c>
      <c r="C51" s="678">
        <v>38748</v>
      </c>
      <c r="D51" s="675" t="str">
        <f t="shared" si="1"/>
        <v>1Q06</v>
      </c>
      <c r="E51" s="679">
        <v>49.84</v>
      </c>
      <c r="F51" s="674"/>
    </row>
    <row r="52" spans="1:6" x14ac:dyDescent="0.2">
      <c r="A52" s="675">
        <f t="shared" si="39"/>
        <v>1</v>
      </c>
      <c r="B52" s="675">
        <f t="shared" si="0"/>
        <v>2006</v>
      </c>
      <c r="C52" s="678">
        <v>38776</v>
      </c>
      <c r="D52" s="675" t="str">
        <f t="shared" si="1"/>
        <v>1Q06</v>
      </c>
      <c r="E52" s="679">
        <v>51.18</v>
      </c>
      <c r="F52" s="674"/>
    </row>
    <row r="53" spans="1:6" x14ac:dyDescent="0.2">
      <c r="A53" s="675">
        <f t="shared" si="39"/>
        <v>1</v>
      </c>
      <c r="B53" s="675">
        <f t="shared" si="0"/>
        <v>2006</v>
      </c>
      <c r="C53" s="678">
        <v>38807</v>
      </c>
      <c r="D53" s="675" t="str">
        <f t="shared" si="1"/>
        <v>1Q06</v>
      </c>
      <c r="E53" s="679">
        <v>54.07</v>
      </c>
      <c r="F53" s="674"/>
    </row>
    <row r="54" spans="1:6" x14ac:dyDescent="0.2">
      <c r="A54" s="675">
        <f t="shared" si="39"/>
        <v>2</v>
      </c>
      <c r="B54" s="675">
        <f t="shared" si="0"/>
        <v>2006</v>
      </c>
      <c r="C54" s="678">
        <v>38837</v>
      </c>
      <c r="D54" s="675" t="str">
        <f t="shared" si="1"/>
        <v>2Q06</v>
      </c>
      <c r="E54" s="679">
        <v>54</v>
      </c>
      <c r="F54" s="674"/>
    </row>
    <row r="55" spans="1:6" x14ac:dyDescent="0.2">
      <c r="A55" s="675">
        <f t="shared" si="39"/>
        <v>2</v>
      </c>
      <c r="B55" s="675">
        <f t="shared" si="0"/>
        <v>2006</v>
      </c>
      <c r="C55" s="678">
        <v>38868</v>
      </c>
      <c r="D55" s="675" t="str">
        <f t="shared" si="1"/>
        <v>2Q06</v>
      </c>
      <c r="E55" s="679">
        <v>52.76</v>
      </c>
      <c r="F55" s="674"/>
    </row>
    <row r="56" spans="1:6" x14ac:dyDescent="0.2">
      <c r="A56" s="675">
        <f t="shared" si="39"/>
        <v>2</v>
      </c>
      <c r="B56" s="675">
        <f t="shared" si="0"/>
        <v>2006</v>
      </c>
      <c r="C56" s="678">
        <v>38898</v>
      </c>
      <c r="D56" s="675" t="str">
        <f t="shared" si="1"/>
        <v>2Q06</v>
      </c>
      <c r="E56" s="679">
        <v>53.22</v>
      </c>
      <c r="F56" s="674"/>
    </row>
    <row r="57" spans="1:6" x14ac:dyDescent="0.2">
      <c r="A57" s="675">
        <f t="shared" si="39"/>
        <v>3</v>
      </c>
      <c r="B57" s="675">
        <f t="shared" si="0"/>
        <v>2006</v>
      </c>
      <c r="C57" s="678">
        <v>38929</v>
      </c>
      <c r="D57" s="675" t="str">
        <f t="shared" si="1"/>
        <v>3Q06</v>
      </c>
      <c r="E57" s="679">
        <v>43.42</v>
      </c>
      <c r="F57" s="674"/>
    </row>
    <row r="58" spans="1:6" x14ac:dyDescent="0.2">
      <c r="A58" s="675">
        <f t="shared" si="39"/>
        <v>3</v>
      </c>
      <c r="B58" s="675">
        <f t="shared" si="0"/>
        <v>2006</v>
      </c>
      <c r="C58" s="678">
        <v>38960</v>
      </c>
      <c r="D58" s="675" t="str">
        <f t="shared" si="1"/>
        <v>3Q06</v>
      </c>
      <c r="E58" s="679">
        <v>42.73</v>
      </c>
      <c r="F58" s="674"/>
    </row>
    <row r="59" spans="1:6" x14ac:dyDescent="0.2">
      <c r="A59" s="675">
        <f t="shared" si="39"/>
        <v>3</v>
      </c>
      <c r="B59" s="675">
        <f t="shared" si="0"/>
        <v>2006</v>
      </c>
      <c r="C59" s="678">
        <v>38990</v>
      </c>
      <c r="D59" s="675" t="str">
        <f t="shared" si="1"/>
        <v>3Q06</v>
      </c>
      <c r="E59" s="679">
        <v>44.05</v>
      </c>
      <c r="F59" s="674"/>
    </row>
    <row r="60" spans="1:6" x14ac:dyDescent="0.2">
      <c r="A60" s="675">
        <f t="shared" si="39"/>
        <v>4</v>
      </c>
      <c r="B60" s="675">
        <f t="shared" si="0"/>
        <v>2006</v>
      </c>
      <c r="C60" s="678">
        <v>39021</v>
      </c>
      <c r="D60" s="675" t="str">
        <f t="shared" si="1"/>
        <v>4Q06</v>
      </c>
      <c r="E60" s="679">
        <v>52.57</v>
      </c>
      <c r="F60" s="674"/>
    </row>
    <row r="61" spans="1:6" x14ac:dyDescent="0.2">
      <c r="A61" s="675">
        <f t="shared" si="39"/>
        <v>4</v>
      </c>
      <c r="B61" s="675">
        <f t="shared" si="0"/>
        <v>2006</v>
      </c>
      <c r="C61" s="678">
        <v>39051</v>
      </c>
      <c r="D61" s="675" t="str">
        <f t="shared" si="1"/>
        <v>4Q06</v>
      </c>
      <c r="E61" s="679">
        <v>49.25</v>
      </c>
      <c r="F61" s="674"/>
    </row>
    <row r="62" spans="1:6" x14ac:dyDescent="0.2">
      <c r="A62" s="675">
        <f t="shared" si="39"/>
        <v>4</v>
      </c>
      <c r="B62" s="675">
        <f t="shared" si="0"/>
        <v>2006</v>
      </c>
      <c r="C62" s="678">
        <v>39082</v>
      </c>
      <c r="D62" s="675" t="str">
        <f t="shared" si="1"/>
        <v>4Q06</v>
      </c>
      <c r="E62" s="679">
        <v>50.29</v>
      </c>
      <c r="F62" s="674"/>
    </row>
    <row r="63" spans="1:6" x14ac:dyDescent="0.2">
      <c r="A63" s="675">
        <f t="shared" si="39"/>
        <v>1</v>
      </c>
      <c r="B63" s="675">
        <f t="shared" si="0"/>
        <v>2007</v>
      </c>
      <c r="C63" s="678">
        <v>39113</v>
      </c>
      <c r="D63" s="675" t="str">
        <f t="shared" si="1"/>
        <v>1Q07</v>
      </c>
      <c r="E63" s="679">
        <v>49.65</v>
      </c>
      <c r="F63" s="674"/>
    </row>
    <row r="64" spans="1:6" x14ac:dyDescent="0.2">
      <c r="A64" s="675">
        <f t="shared" si="39"/>
        <v>1</v>
      </c>
      <c r="B64" s="675">
        <f t="shared" si="0"/>
        <v>2007</v>
      </c>
      <c r="C64" s="678">
        <v>39141</v>
      </c>
      <c r="D64" s="675" t="str">
        <f t="shared" si="1"/>
        <v>1Q07</v>
      </c>
      <c r="E64" s="679">
        <v>47.42</v>
      </c>
      <c r="F64" s="674"/>
    </row>
    <row r="65" spans="1:6" x14ac:dyDescent="0.2">
      <c r="A65" s="675">
        <f t="shared" si="39"/>
        <v>1</v>
      </c>
      <c r="B65" s="675">
        <f t="shared" si="0"/>
        <v>2007</v>
      </c>
      <c r="C65" s="678">
        <v>39172</v>
      </c>
      <c r="D65" s="675" t="str">
        <f t="shared" si="1"/>
        <v>1Q07</v>
      </c>
      <c r="E65" s="679">
        <v>50.6</v>
      </c>
      <c r="F65" s="674"/>
    </row>
    <row r="66" spans="1:6" x14ac:dyDescent="0.2">
      <c r="A66" s="675">
        <f t="shared" si="39"/>
        <v>2</v>
      </c>
      <c r="B66" s="675">
        <f t="shared" si="0"/>
        <v>2007</v>
      </c>
      <c r="C66" s="678">
        <v>39202</v>
      </c>
      <c r="D66" s="675" t="str">
        <f t="shared" si="1"/>
        <v>2Q07</v>
      </c>
      <c r="E66" s="679">
        <v>53.25</v>
      </c>
      <c r="F66" s="674"/>
    </row>
    <row r="67" spans="1:6" x14ac:dyDescent="0.2">
      <c r="A67" s="675">
        <f t="shared" si="39"/>
        <v>2</v>
      </c>
      <c r="B67" s="675">
        <f t="shared" ref="B67:B122" si="111">YEAR(C67)</f>
        <v>2007</v>
      </c>
      <c r="C67" s="678">
        <v>39233</v>
      </c>
      <c r="D67" s="675" t="str">
        <f t="shared" ref="D67:D122" si="112">A67&amp;"Q"&amp;RIGHT(B67,2)</f>
        <v>2Q07</v>
      </c>
      <c r="E67" s="679">
        <v>57.88</v>
      </c>
      <c r="F67" s="674"/>
    </row>
    <row r="68" spans="1:6" x14ac:dyDescent="0.2">
      <c r="A68" s="675">
        <f t="shared" si="39"/>
        <v>2</v>
      </c>
      <c r="B68" s="675">
        <f t="shared" si="111"/>
        <v>2007</v>
      </c>
      <c r="C68" s="678">
        <v>39263</v>
      </c>
      <c r="D68" s="675" t="str">
        <f t="shared" si="112"/>
        <v>2Q07</v>
      </c>
      <c r="E68" s="679">
        <v>52.57</v>
      </c>
      <c r="F68" s="674"/>
    </row>
    <row r="69" spans="1:6" x14ac:dyDescent="0.2">
      <c r="A69" s="675">
        <f t="shared" si="39"/>
        <v>3</v>
      </c>
      <c r="B69" s="675">
        <f t="shared" si="111"/>
        <v>2007</v>
      </c>
      <c r="C69" s="678">
        <v>39294</v>
      </c>
      <c r="D69" s="675" t="str">
        <f t="shared" si="112"/>
        <v>3Q07</v>
      </c>
      <c r="E69" s="679">
        <v>53.78</v>
      </c>
      <c r="F69" s="674"/>
    </row>
    <row r="70" spans="1:6" x14ac:dyDescent="0.2">
      <c r="A70" s="675">
        <f t="shared" si="39"/>
        <v>3</v>
      </c>
      <c r="B70" s="675">
        <f t="shared" si="111"/>
        <v>2007</v>
      </c>
      <c r="C70" s="678">
        <v>39325</v>
      </c>
      <c r="D70" s="675" t="str">
        <f t="shared" si="112"/>
        <v>3Q07</v>
      </c>
      <c r="E70" s="679">
        <v>51.21</v>
      </c>
      <c r="F70" s="674"/>
    </row>
    <row r="71" spans="1:6" x14ac:dyDescent="0.2">
      <c r="A71" s="675">
        <f t="shared" si="39"/>
        <v>3</v>
      </c>
      <c r="B71" s="675">
        <f t="shared" si="111"/>
        <v>2007</v>
      </c>
      <c r="C71" s="678">
        <v>39355</v>
      </c>
      <c r="D71" s="675" t="str">
        <f t="shared" si="112"/>
        <v>3Q07</v>
      </c>
      <c r="E71" s="679">
        <v>51.91</v>
      </c>
      <c r="F71" s="674"/>
    </row>
    <row r="72" spans="1:6" x14ac:dyDescent="0.2">
      <c r="A72" s="675">
        <f t="shared" si="39"/>
        <v>4</v>
      </c>
      <c r="B72" s="675">
        <f t="shared" si="111"/>
        <v>2007</v>
      </c>
      <c r="C72" s="678">
        <v>39386</v>
      </c>
      <c r="D72" s="675" t="str">
        <f t="shared" si="112"/>
        <v>4Q07</v>
      </c>
      <c r="E72" s="679">
        <v>51.65</v>
      </c>
      <c r="F72" s="674"/>
    </row>
    <row r="73" spans="1:6" x14ac:dyDescent="0.2">
      <c r="A73" s="675">
        <f t="shared" si="39"/>
        <v>4</v>
      </c>
      <c r="B73" s="675">
        <f t="shared" si="111"/>
        <v>2007</v>
      </c>
      <c r="C73" s="678">
        <v>39416</v>
      </c>
      <c r="D73" s="675" t="str">
        <f t="shared" si="112"/>
        <v>4Q07</v>
      </c>
      <c r="E73" s="679">
        <v>51.21</v>
      </c>
      <c r="F73" s="674"/>
    </row>
    <row r="74" spans="1:6" x14ac:dyDescent="0.2">
      <c r="A74" s="675">
        <f t="shared" si="39"/>
        <v>4</v>
      </c>
      <c r="B74" s="675">
        <f t="shared" si="111"/>
        <v>2007</v>
      </c>
      <c r="C74" s="678">
        <v>39447</v>
      </c>
      <c r="D74" s="675" t="str">
        <f t="shared" si="112"/>
        <v>4Q07</v>
      </c>
      <c r="E74" s="679">
        <v>50.44</v>
      </c>
      <c r="F74" s="674"/>
    </row>
    <row r="75" spans="1:6" x14ac:dyDescent="0.2">
      <c r="A75" s="675">
        <f t="shared" si="39"/>
        <v>1</v>
      </c>
      <c r="B75" s="675">
        <f t="shared" si="111"/>
        <v>2008</v>
      </c>
      <c r="C75" s="678">
        <v>39478</v>
      </c>
      <c r="D75" s="675" t="str">
        <f t="shared" si="112"/>
        <v>1Q08</v>
      </c>
      <c r="E75" s="679">
        <v>54.39</v>
      </c>
      <c r="F75" s="674"/>
    </row>
    <row r="76" spans="1:6" x14ac:dyDescent="0.2">
      <c r="A76" s="675">
        <f t="shared" si="39"/>
        <v>1</v>
      </c>
      <c r="B76" s="675">
        <f t="shared" si="111"/>
        <v>2008</v>
      </c>
      <c r="C76" s="678">
        <v>39507</v>
      </c>
      <c r="D76" s="675" t="str">
        <f t="shared" si="112"/>
        <v>1Q08</v>
      </c>
      <c r="E76" s="679">
        <v>52.89</v>
      </c>
      <c r="F76" s="674"/>
    </row>
    <row r="77" spans="1:6" x14ac:dyDescent="0.2">
      <c r="A77" s="675">
        <f t="shared" si="39"/>
        <v>1</v>
      </c>
      <c r="B77" s="675">
        <f t="shared" si="111"/>
        <v>2008</v>
      </c>
      <c r="C77" s="678">
        <v>39538</v>
      </c>
      <c r="D77" s="675" t="str">
        <f t="shared" si="112"/>
        <v>1Q08</v>
      </c>
      <c r="E77" s="679">
        <v>54.32</v>
      </c>
      <c r="F77" s="674"/>
    </row>
    <row r="78" spans="1:6" x14ac:dyDescent="0.2">
      <c r="A78" s="675">
        <f t="shared" si="39"/>
        <v>2</v>
      </c>
      <c r="B78" s="675">
        <f t="shared" si="111"/>
        <v>2008</v>
      </c>
      <c r="C78" s="678">
        <v>39568</v>
      </c>
      <c r="D78" s="675" t="str">
        <f t="shared" si="112"/>
        <v>2Q08</v>
      </c>
      <c r="E78" s="679">
        <v>59.58</v>
      </c>
      <c r="F78" s="674"/>
    </row>
    <row r="79" spans="1:6" x14ac:dyDescent="0.2">
      <c r="A79" s="675">
        <f t="shared" ref="A79:A122" si="113">A67</f>
        <v>2</v>
      </c>
      <c r="B79" s="675">
        <f t="shared" si="111"/>
        <v>2008</v>
      </c>
      <c r="C79" s="678">
        <v>39599</v>
      </c>
      <c r="D79" s="675" t="str">
        <f t="shared" si="112"/>
        <v>2Q08</v>
      </c>
      <c r="E79" s="679">
        <v>67.38</v>
      </c>
      <c r="F79" s="674"/>
    </row>
    <row r="80" spans="1:6" x14ac:dyDescent="0.2">
      <c r="A80" s="675">
        <f t="shared" si="113"/>
        <v>2</v>
      </c>
      <c r="B80" s="675">
        <f t="shared" si="111"/>
        <v>2008</v>
      </c>
      <c r="C80" s="678">
        <v>39629</v>
      </c>
      <c r="D80" s="675" t="str">
        <f t="shared" si="112"/>
        <v>2Q08</v>
      </c>
      <c r="E80" s="679">
        <v>62.67</v>
      </c>
      <c r="F80" s="674"/>
    </row>
    <row r="81" spans="1:6" x14ac:dyDescent="0.2">
      <c r="A81" s="675">
        <f t="shared" si="113"/>
        <v>3</v>
      </c>
      <c r="B81" s="675">
        <f t="shared" si="111"/>
        <v>2008</v>
      </c>
      <c r="C81" s="678">
        <v>39660</v>
      </c>
      <c r="D81" s="675" t="str">
        <f t="shared" si="112"/>
        <v>3Q08</v>
      </c>
      <c r="E81" s="679">
        <v>71.92</v>
      </c>
      <c r="F81" s="674"/>
    </row>
    <row r="82" spans="1:6" x14ac:dyDescent="0.2">
      <c r="A82" s="675">
        <f t="shared" si="113"/>
        <v>3</v>
      </c>
      <c r="B82" s="675">
        <f t="shared" si="111"/>
        <v>2008</v>
      </c>
      <c r="C82" s="678">
        <v>39691</v>
      </c>
      <c r="D82" s="675" t="str">
        <f t="shared" si="112"/>
        <v>3Q08</v>
      </c>
      <c r="E82" s="679">
        <v>73.53</v>
      </c>
      <c r="F82" s="674"/>
    </row>
    <row r="83" spans="1:6" x14ac:dyDescent="0.2">
      <c r="A83" s="675">
        <f t="shared" si="113"/>
        <v>3</v>
      </c>
      <c r="B83" s="675">
        <f t="shared" si="111"/>
        <v>2008</v>
      </c>
      <c r="C83" s="678">
        <v>39721</v>
      </c>
      <c r="D83" s="675" t="str">
        <f t="shared" si="112"/>
        <v>3Q08</v>
      </c>
      <c r="E83" s="679">
        <v>66.209999999999994</v>
      </c>
      <c r="F83" s="674"/>
    </row>
    <row r="84" spans="1:6" x14ac:dyDescent="0.2">
      <c r="A84" s="675">
        <f t="shared" si="113"/>
        <v>4</v>
      </c>
      <c r="B84" s="675">
        <f t="shared" si="111"/>
        <v>2008</v>
      </c>
      <c r="C84" s="678">
        <v>39752</v>
      </c>
      <c r="D84" s="675" t="str">
        <f t="shared" si="112"/>
        <v>4Q08</v>
      </c>
      <c r="E84" s="679">
        <v>59.94</v>
      </c>
      <c r="F84" s="674"/>
    </row>
    <row r="85" spans="1:6" x14ac:dyDescent="0.2">
      <c r="A85" s="675">
        <f t="shared" si="113"/>
        <v>4</v>
      </c>
      <c r="B85" s="675">
        <f t="shared" si="111"/>
        <v>2008</v>
      </c>
      <c r="C85" s="678">
        <v>39782</v>
      </c>
      <c r="D85" s="675" t="str">
        <f t="shared" si="112"/>
        <v>4Q08</v>
      </c>
      <c r="E85" s="679">
        <v>49.47</v>
      </c>
      <c r="F85" s="674"/>
    </row>
    <row r="86" spans="1:6" x14ac:dyDescent="0.2">
      <c r="A86" s="675">
        <f t="shared" si="113"/>
        <v>4</v>
      </c>
      <c r="B86" s="675">
        <f t="shared" si="111"/>
        <v>2008</v>
      </c>
      <c r="C86" s="678">
        <v>39813</v>
      </c>
      <c r="D86" s="675" t="str">
        <f t="shared" si="112"/>
        <v>4Q08</v>
      </c>
      <c r="E86" s="679">
        <v>47.05</v>
      </c>
      <c r="F86" s="674"/>
    </row>
    <row r="87" spans="1:6" x14ac:dyDescent="0.2">
      <c r="A87" s="675">
        <f t="shared" si="113"/>
        <v>1</v>
      </c>
      <c r="B87" s="675">
        <f t="shared" si="111"/>
        <v>2009</v>
      </c>
      <c r="C87" s="678">
        <v>39844</v>
      </c>
      <c r="D87" s="675" t="str">
        <f t="shared" si="112"/>
        <v>1Q09</v>
      </c>
      <c r="E87" s="679">
        <v>38.36</v>
      </c>
      <c r="F87" s="674"/>
    </row>
    <row r="88" spans="1:6" x14ac:dyDescent="0.2">
      <c r="A88" s="675">
        <f t="shared" si="113"/>
        <v>1</v>
      </c>
      <c r="B88" s="675">
        <f t="shared" si="111"/>
        <v>2009</v>
      </c>
      <c r="C88" s="678">
        <v>39872</v>
      </c>
      <c r="D88" s="675" t="str">
        <f t="shared" si="112"/>
        <v>1Q09</v>
      </c>
      <c r="E88" s="679">
        <v>31.72</v>
      </c>
      <c r="F88" s="674"/>
    </row>
    <row r="89" spans="1:6" x14ac:dyDescent="0.2">
      <c r="A89" s="675">
        <f t="shared" si="113"/>
        <v>1</v>
      </c>
      <c r="B89" s="675">
        <f t="shared" si="111"/>
        <v>2009</v>
      </c>
      <c r="C89" s="678">
        <v>39903</v>
      </c>
      <c r="D89" s="675" t="str">
        <f t="shared" si="112"/>
        <v>1Q09</v>
      </c>
      <c r="E89" s="679">
        <v>33.75</v>
      </c>
      <c r="F89" s="674"/>
    </row>
    <row r="90" spans="1:6" x14ac:dyDescent="0.2">
      <c r="A90" s="675">
        <f t="shared" si="113"/>
        <v>2</v>
      </c>
      <c r="B90" s="675">
        <f t="shared" si="111"/>
        <v>2009</v>
      </c>
      <c r="C90" s="678">
        <v>39933</v>
      </c>
      <c r="D90" s="675" t="str">
        <f t="shared" si="112"/>
        <v>2Q09</v>
      </c>
      <c r="E90" s="679">
        <v>35.68</v>
      </c>
      <c r="F90" s="674"/>
    </row>
    <row r="91" spans="1:6" x14ac:dyDescent="0.2">
      <c r="A91" s="675">
        <f t="shared" si="113"/>
        <v>2</v>
      </c>
      <c r="B91" s="675">
        <f t="shared" si="111"/>
        <v>2009</v>
      </c>
      <c r="C91" s="678">
        <v>39964</v>
      </c>
      <c r="D91" s="675" t="str">
        <f t="shared" si="112"/>
        <v>2Q09</v>
      </c>
      <c r="E91" s="679">
        <v>37.200000000000003</v>
      </c>
      <c r="F91" s="674"/>
    </row>
    <row r="92" spans="1:6" x14ac:dyDescent="0.2">
      <c r="A92" s="675">
        <f t="shared" si="113"/>
        <v>2</v>
      </c>
      <c r="B92" s="675">
        <f t="shared" si="111"/>
        <v>2009</v>
      </c>
      <c r="C92" s="678">
        <v>39994</v>
      </c>
      <c r="D92" s="675" t="str">
        <f t="shared" si="112"/>
        <v>2Q09</v>
      </c>
      <c r="E92" s="679">
        <v>37.67</v>
      </c>
      <c r="F92" s="674"/>
    </row>
    <row r="93" spans="1:6" x14ac:dyDescent="0.2">
      <c r="A93" s="675">
        <f t="shared" si="113"/>
        <v>3</v>
      </c>
      <c r="B93" s="675">
        <f t="shared" si="111"/>
        <v>2009</v>
      </c>
      <c r="C93" s="678">
        <v>40025</v>
      </c>
      <c r="D93" s="675" t="str">
        <f t="shared" si="112"/>
        <v>3Q09</v>
      </c>
      <c r="E93" s="679">
        <v>43.25</v>
      </c>
      <c r="F93" s="674"/>
    </row>
    <row r="94" spans="1:6" x14ac:dyDescent="0.2">
      <c r="A94" s="675">
        <f t="shared" si="113"/>
        <v>3</v>
      </c>
      <c r="B94" s="675">
        <f t="shared" si="111"/>
        <v>2009</v>
      </c>
      <c r="C94" s="678">
        <v>40056</v>
      </c>
      <c r="D94" s="675" t="str">
        <f t="shared" si="112"/>
        <v>3Q09</v>
      </c>
      <c r="E94" s="679">
        <v>45.87</v>
      </c>
      <c r="F94" s="674"/>
    </row>
    <row r="95" spans="1:6" x14ac:dyDescent="0.2">
      <c r="A95" s="675">
        <f t="shared" si="113"/>
        <v>3</v>
      </c>
      <c r="B95" s="675">
        <f t="shared" si="111"/>
        <v>2009</v>
      </c>
      <c r="C95" s="678">
        <v>40086</v>
      </c>
      <c r="D95" s="675" t="str">
        <f t="shared" si="112"/>
        <v>3Q09</v>
      </c>
      <c r="E95" s="679">
        <v>43.11</v>
      </c>
      <c r="F95" s="674"/>
    </row>
    <row r="96" spans="1:6" x14ac:dyDescent="0.2">
      <c r="A96" s="675">
        <f t="shared" si="113"/>
        <v>4</v>
      </c>
      <c r="B96" s="675">
        <f t="shared" si="111"/>
        <v>2009</v>
      </c>
      <c r="C96" s="678">
        <v>40117</v>
      </c>
      <c r="D96" s="675" t="str">
        <f t="shared" si="112"/>
        <v>4Q09</v>
      </c>
      <c r="E96" s="679">
        <v>46.62</v>
      </c>
      <c r="F96" s="674"/>
    </row>
    <row r="97" spans="1:6" x14ac:dyDescent="0.2">
      <c r="A97" s="675">
        <f t="shared" si="113"/>
        <v>4</v>
      </c>
      <c r="B97" s="675">
        <f t="shared" si="111"/>
        <v>2009</v>
      </c>
      <c r="C97" s="678">
        <v>40147</v>
      </c>
      <c r="D97" s="675" t="str">
        <f t="shared" si="112"/>
        <v>4Q09</v>
      </c>
      <c r="E97" s="679">
        <v>51.4</v>
      </c>
      <c r="F97" s="674"/>
    </row>
    <row r="98" spans="1:6" x14ac:dyDescent="0.2">
      <c r="A98" s="675">
        <f t="shared" si="113"/>
        <v>4</v>
      </c>
      <c r="B98" s="675">
        <f t="shared" si="111"/>
        <v>2009</v>
      </c>
      <c r="C98" s="678">
        <v>40178</v>
      </c>
      <c r="D98" s="675" t="str">
        <f t="shared" si="112"/>
        <v>4Q09</v>
      </c>
      <c r="E98" s="679">
        <v>52.42</v>
      </c>
      <c r="F98" s="674"/>
    </row>
    <row r="99" spans="1:6" x14ac:dyDescent="0.2">
      <c r="A99" s="675">
        <f t="shared" si="113"/>
        <v>1</v>
      </c>
      <c r="B99" s="675">
        <f t="shared" si="111"/>
        <v>2010</v>
      </c>
      <c r="C99" s="693">
        <v>40209</v>
      </c>
      <c r="D99" s="675" t="str">
        <f t="shared" si="112"/>
        <v>1Q10</v>
      </c>
      <c r="E99" s="679">
        <v>47.06</v>
      </c>
      <c r="F99" s="674"/>
    </row>
    <row r="100" spans="1:6" x14ac:dyDescent="0.2">
      <c r="A100" s="675">
        <f t="shared" si="113"/>
        <v>1</v>
      </c>
      <c r="B100" s="675">
        <f t="shared" si="111"/>
        <v>2010</v>
      </c>
      <c r="C100" s="693">
        <v>40237</v>
      </c>
      <c r="D100" s="675" t="str">
        <f t="shared" si="112"/>
        <v>1Q10</v>
      </c>
      <c r="E100" s="679">
        <v>51.43</v>
      </c>
      <c r="F100" s="674"/>
    </row>
    <row r="101" spans="1:6" x14ac:dyDescent="0.2">
      <c r="A101" s="675">
        <f t="shared" si="113"/>
        <v>1</v>
      </c>
      <c r="B101" s="675">
        <f t="shared" si="111"/>
        <v>2010</v>
      </c>
      <c r="C101" s="693">
        <v>40268</v>
      </c>
      <c r="D101" s="675" t="str">
        <f t="shared" si="112"/>
        <v>1Q10</v>
      </c>
      <c r="E101" s="679">
        <v>55.89</v>
      </c>
      <c r="F101" s="674"/>
    </row>
    <row r="102" spans="1:6" x14ac:dyDescent="0.2">
      <c r="A102" s="675">
        <f t="shared" si="113"/>
        <v>2</v>
      </c>
      <c r="B102" s="675">
        <f t="shared" si="111"/>
        <v>2010</v>
      </c>
      <c r="C102" s="693">
        <v>40298</v>
      </c>
      <c r="D102" s="675" t="str">
        <f t="shared" si="112"/>
        <v>2Q10</v>
      </c>
      <c r="E102" s="679">
        <v>59.33</v>
      </c>
      <c r="F102" s="674"/>
    </row>
    <row r="103" spans="1:6" x14ac:dyDescent="0.2">
      <c r="A103" s="675">
        <f t="shared" si="113"/>
        <v>2</v>
      </c>
      <c r="B103" s="675">
        <f t="shared" si="111"/>
        <v>2010</v>
      </c>
      <c r="C103" s="693">
        <v>40329</v>
      </c>
      <c r="D103" s="675" t="str">
        <f t="shared" si="112"/>
        <v>2Q10</v>
      </c>
      <c r="E103" s="679">
        <v>56.46</v>
      </c>
      <c r="F103" s="674"/>
    </row>
    <row r="104" spans="1:6" x14ac:dyDescent="0.2">
      <c r="A104" s="675">
        <f t="shared" si="113"/>
        <v>2</v>
      </c>
      <c r="B104" s="675">
        <f t="shared" si="111"/>
        <v>2010</v>
      </c>
      <c r="C104" s="693">
        <v>40359</v>
      </c>
      <c r="D104" s="675" t="str">
        <f t="shared" si="112"/>
        <v>2Q10</v>
      </c>
      <c r="E104" s="679">
        <v>53.05</v>
      </c>
      <c r="F104" s="674"/>
    </row>
    <row r="105" spans="1:6" x14ac:dyDescent="0.2">
      <c r="A105" s="675">
        <f t="shared" si="113"/>
        <v>3</v>
      </c>
      <c r="B105" s="675">
        <f t="shared" si="111"/>
        <v>2010</v>
      </c>
      <c r="C105" s="693">
        <v>40390</v>
      </c>
      <c r="D105" s="675" t="str">
        <f t="shared" si="112"/>
        <v>3Q10</v>
      </c>
      <c r="E105" s="679">
        <v>56.27</v>
      </c>
      <c r="F105" s="674"/>
    </row>
    <row r="106" spans="1:6" x14ac:dyDescent="0.2">
      <c r="A106" s="675">
        <f t="shared" si="113"/>
        <v>3</v>
      </c>
      <c r="B106" s="675">
        <f t="shared" si="111"/>
        <v>2010</v>
      </c>
      <c r="C106" s="693">
        <v>40421</v>
      </c>
      <c r="D106" s="675" t="str">
        <f t="shared" si="112"/>
        <v>3Q10</v>
      </c>
      <c r="E106" s="679">
        <v>53.68</v>
      </c>
      <c r="F106" s="674"/>
    </row>
    <row r="107" spans="1:6" x14ac:dyDescent="0.2">
      <c r="A107" s="675">
        <f t="shared" si="113"/>
        <v>3</v>
      </c>
      <c r="B107" s="675">
        <f t="shared" si="111"/>
        <v>2010</v>
      </c>
      <c r="C107" s="693">
        <v>40451</v>
      </c>
      <c r="D107" s="675" t="str">
        <f t="shared" si="112"/>
        <v>3Q10</v>
      </c>
      <c r="E107" s="679">
        <v>59.51</v>
      </c>
      <c r="F107" s="674"/>
    </row>
    <row r="108" spans="1:6" x14ac:dyDescent="0.2">
      <c r="A108" s="675">
        <f t="shared" si="113"/>
        <v>4</v>
      </c>
      <c r="B108" s="675">
        <f t="shared" si="111"/>
        <v>2010</v>
      </c>
      <c r="C108" s="693">
        <v>40482</v>
      </c>
      <c r="D108" s="675" t="str">
        <f t="shared" si="112"/>
        <v>4Q10</v>
      </c>
      <c r="E108" s="679">
        <v>61.49</v>
      </c>
      <c r="F108" s="674"/>
    </row>
    <row r="109" spans="1:6" x14ac:dyDescent="0.2">
      <c r="A109" s="675">
        <f t="shared" si="113"/>
        <v>4</v>
      </c>
      <c r="B109" s="675">
        <f t="shared" si="111"/>
        <v>2010</v>
      </c>
      <c r="C109" s="693">
        <v>40512</v>
      </c>
      <c r="D109" s="675" t="str">
        <f t="shared" si="112"/>
        <v>4Q10</v>
      </c>
      <c r="E109" s="679">
        <v>60.17</v>
      </c>
      <c r="F109" s="674"/>
    </row>
    <row r="110" spans="1:6" x14ac:dyDescent="0.2">
      <c r="A110" s="675">
        <f t="shared" si="113"/>
        <v>4</v>
      </c>
      <c r="B110" s="675">
        <f t="shared" si="111"/>
        <v>2010</v>
      </c>
      <c r="C110" s="693">
        <v>40543</v>
      </c>
      <c r="D110" s="675" t="str">
        <f t="shared" si="112"/>
        <v>4Q10</v>
      </c>
      <c r="E110" s="679">
        <v>62.82</v>
      </c>
      <c r="F110" s="674"/>
    </row>
    <row r="111" spans="1:6" x14ac:dyDescent="0.2">
      <c r="A111" s="675">
        <f t="shared" si="113"/>
        <v>1</v>
      </c>
      <c r="B111" s="675">
        <f t="shared" si="111"/>
        <v>2011</v>
      </c>
      <c r="C111" s="693">
        <v>40574</v>
      </c>
      <c r="D111" s="675" t="str">
        <f t="shared" si="112"/>
        <v>1Q11</v>
      </c>
      <c r="E111" s="679">
        <v>61.19</v>
      </c>
      <c r="F111" s="674"/>
    </row>
    <row r="112" spans="1:6" x14ac:dyDescent="0.2">
      <c r="A112" s="675">
        <f t="shared" si="113"/>
        <v>1</v>
      </c>
      <c r="B112" s="675">
        <f t="shared" si="111"/>
        <v>2011</v>
      </c>
      <c r="C112" s="693">
        <v>40602</v>
      </c>
      <c r="D112" s="675" t="str">
        <f t="shared" si="112"/>
        <v>1Q11</v>
      </c>
      <c r="E112" s="679">
        <v>65.58</v>
      </c>
      <c r="F112" s="674"/>
    </row>
    <row r="113" spans="1:256" x14ac:dyDescent="0.2">
      <c r="A113" s="675">
        <f t="shared" si="113"/>
        <v>1</v>
      </c>
      <c r="B113" s="675">
        <f t="shared" si="111"/>
        <v>2011</v>
      </c>
      <c r="C113" s="693">
        <v>40633</v>
      </c>
      <c r="D113" s="675" t="str">
        <f t="shared" si="112"/>
        <v>1Q11</v>
      </c>
      <c r="E113" s="679">
        <v>69.27</v>
      </c>
      <c r="F113" s="674"/>
    </row>
    <row r="114" spans="1:256" x14ac:dyDescent="0.2">
      <c r="A114" s="675">
        <f t="shared" si="113"/>
        <v>2</v>
      </c>
      <c r="B114" s="675">
        <f t="shared" si="111"/>
        <v>2011</v>
      </c>
      <c r="C114" s="693">
        <v>40663</v>
      </c>
      <c r="D114" s="675" t="str">
        <f t="shared" si="112"/>
        <v>2Q11</v>
      </c>
      <c r="E114" s="679">
        <v>74.680000000000007</v>
      </c>
      <c r="F114" s="674"/>
    </row>
    <row r="115" spans="1:256" x14ac:dyDescent="0.2">
      <c r="A115" s="675">
        <f t="shared" si="113"/>
        <v>2</v>
      </c>
      <c r="B115" s="675">
        <f t="shared" si="111"/>
        <v>2011</v>
      </c>
      <c r="C115" s="693">
        <v>40694</v>
      </c>
      <c r="D115" s="675" t="str">
        <f t="shared" si="112"/>
        <v>2Q11</v>
      </c>
      <c r="E115" s="679">
        <v>73.31</v>
      </c>
      <c r="F115" s="674"/>
    </row>
    <row r="116" spans="1:256" x14ac:dyDescent="0.2">
      <c r="A116" s="675">
        <f t="shared" si="113"/>
        <v>2</v>
      </c>
      <c r="B116" s="675">
        <f t="shared" si="111"/>
        <v>2011</v>
      </c>
      <c r="C116" s="693">
        <v>40724</v>
      </c>
      <c r="D116" s="675" t="str">
        <f t="shared" si="112"/>
        <v>2Q11</v>
      </c>
      <c r="E116" s="679">
        <v>74.930000000000007</v>
      </c>
      <c r="F116" s="674"/>
    </row>
    <row r="117" spans="1:256" x14ac:dyDescent="0.2">
      <c r="A117" s="675">
        <f t="shared" si="113"/>
        <v>3</v>
      </c>
      <c r="B117" s="675">
        <f t="shared" si="111"/>
        <v>2011</v>
      </c>
      <c r="C117" s="693">
        <v>40755</v>
      </c>
      <c r="D117" s="675" t="str">
        <f t="shared" si="112"/>
        <v>3Q11</v>
      </c>
      <c r="E117" s="679">
        <v>75.7</v>
      </c>
      <c r="F117" s="674"/>
    </row>
    <row r="118" spans="1:256" x14ac:dyDescent="0.2">
      <c r="A118" s="675">
        <f t="shared" si="113"/>
        <v>3</v>
      </c>
      <c r="B118" s="675">
        <f t="shared" si="111"/>
        <v>2011</v>
      </c>
      <c r="C118" s="693">
        <v>40786</v>
      </c>
      <c r="D118" s="675" t="str">
        <f t="shared" si="112"/>
        <v>3Q11</v>
      </c>
      <c r="E118" s="679">
        <v>67.680000000000007</v>
      </c>
      <c r="F118" s="674"/>
    </row>
    <row r="119" spans="1:256" x14ac:dyDescent="0.2">
      <c r="A119" s="675">
        <f t="shared" si="113"/>
        <v>3</v>
      </c>
      <c r="B119" s="675">
        <f t="shared" si="111"/>
        <v>2011</v>
      </c>
      <c r="C119" s="693">
        <v>40816</v>
      </c>
      <c r="D119" s="675" t="str">
        <f t="shared" si="112"/>
        <v>3Q11</v>
      </c>
      <c r="E119" s="679">
        <v>61.02</v>
      </c>
      <c r="F119" s="674"/>
    </row>
    <row r="120" spans="1:256" x14ac:dyDescent="0.2">
      <c r="A120" s="675">
        <f t="shared" si="113"/>
        <v>4</v>
      </c>
      <c r="B120" s="675">
        <f t="shared" si="111"/>
        <v>2011</v>
      </c>
      <c r="C120" s="694">
        <v>40823</v>
      </c>
      <c r="D120" s="675" t="str">
        <f t="shared" si="112"/>
        <v>4Q11</v>
      </c>
      <c r="E120" s="679">
        <v>64.87</v>
      </c>
      <c r="F120" s="674"/>
    </row>
    <row r="121" spans="1:256" x14ac:dyDescent="0.2">
      <c r="A121" s="675">
        <f t="shared" si="113"/>
        <v>4</v>
      </c>
      <c r="B121" s="675">
        <f t="shared" si="111"/>
        <v>2011</v>
      </c>
      <c r="C121" s="694">
        <v>40830</v>
      </c>
      <c r="D121" s="675" t="str">
        <f t="shared" si="112"/>
        <v>4Q11</v>
      </c>
      <c r="E121" s="679">
        <v>68.17</v>
      </c>
      <c r="F121" s="674"/>
    </row>
    <row r="122" spans="1:256" x14ac:dyDescent="0.2">
      <c r="A122" s="675">
        <f t="shared" si="113"/>
        <v>4</v>
      </c>
      <c r="B122" s="675">
        <f t="shared" si="111"/>
        <v>2011</v>
      </c>
      <c r="C122" s="694">
        <v>40837</v>
      </c>
      <c r="D122" s="675" t="str">
        <f t="shared" si="112"/>
        <v>4Q11</v>
      </c>
      <c r="E122" s="679">
        <v>70.900000000000006</v>
      </c>
      <c r="F122" s="674"/>
    </row>
    <row r="123" spans="1:256" s="695" customFormat="1" x14ac:dyDescent="0.2">
      <c r="A123" s="675">
        <v>4</v>
      </c>
      <c r="B123" s="675">
        <v>2011</v>
      </c>
      <c r="C123" s="694">
        <v>40844</v>
      </c>
      <c r="D123" s="675" t="s">
        <v>621</v>
      </c>
      <c r="E123" s="679">
        <v>74.98</v>
      </c>
      <c r="F123" s="674"/>
      <c r="G123" s="675"/>
      <c r="H123" s="675"/>
      <c r="I123" s="675"/>
      <c r="J123" s="675"/>
      <c r="K123" s="675"/>
      <c r="L123" s="675"/>
      <c r="M123" s="675"/>
      <c r="N123" s="675"/>
      <c r="O123" s="675"/>
      <c r="P123" s="675"/>
      <c r="Q123" s="675"/>
      <c r="R123" s="675"/>
      <c r="S123" s="675"/>
      <c r="T123" s="675"/>
      <c r="U123" s="675"/>
      <c r="V123" s="675"/>
      <c r="W123" s="675"/>
      <c r="X123" s="675"/>
      <c r="Y123" s="675"/>
      <c r="Z123" s="675"/>
      <c r="AA123" s="675"/>
      <c r="AB123" s="675"/>
      <c r="AC123" s="675"/>
      <c r="AD123" s="675"/>
      <c r="AE123" s="675"/>
      <c r="AF123" s="675"/>
      <c r="AG123" s="675"/>
      <c r="AH123" s="675"/>
      <c r="AI123" s="675"/>
      <c r="AJ123" s="675"/>
      <c r="AK123" s="675"/>
      <c r="AL123" s="675"/>
      <c r="AM123" s="675"/>
      <c r="AN123" s="675"/>
      <c r="AO123" s="675"/>
      <c r="AP123" s="675"/>
      <c r="AQ123" s="675"/>
      <c r="AR123" s="675"/>
      <c r="AS123" s="675"/>
      <c r="AT123" s="675"/>
      <c r="AU123" s="675"/>
      <c r="AV123" s="675"/>
      <c r="AW123" s="675"/>
      <c r="AX123" s="675"/>
      <c r="AY123" s="675"/>
      <c r="AZ123" s="675"/>
      <c r="BA123" s="675"/>
      <c r="BB123" s="675"/>
      <c r="BC123" s="675"/>
      <c r="BD123" s="675"/>
      <c r="BE123" s="675"/>
      <c r="BF123" s="675"/>
      <c r="BG123" s="675"/>
      <c r="BH123" s="675"/>
      <c r="BI123" s="675"/>
      <c r="BJ123" s="675"/>
      <c r="BK123" s="675"/>
      <c r="BL123" s="675"/>
      <c r="BM123" s="675"/>
      <c r="BN123" s="675"/>
      <c r="BO123" s="675"/>
      <c r="BP123" s="675"/>
      <c r="BQ123" s="675"/>
      <c r="BR123" s="675"/>
      <c r="BS123" s="675"/>
      <c r="BT123" s="675"/>
      <c r="BU123" s="675"/>
      <c r="BV123" s="675"/>
      <c r="BW123" s="675"/>
      <c r="BX123" s="675"/>
      <c r="BY123" s="675"/>
      <c r="BZ123" s="675"/>
      <c r="CA123" s="675"/>
      <c r="CB123" s="675"/>
      <c r="CC123" s="675"/>
      <c r="CD123" s="675"/>
      <c r="CE123" s="675"/>
      <c r="CF123" s="675"/>
      <c r="CG123" s="675"/>
      <c r="CH123" s="675"/>
      <c r="CI123" s="675"/>
      <c r="CJ123" s="675"/>
      <c r="CK123" s="675"/>
      <c r="CL123" s="675"/>
      <c r="CM123" s="675"/>
      <c r="CN123" s="675"/>
      <c r="CO123" s="675"/>
      <c r="CP123" s="675"/>
      <c r="CQ123" s="675"/>
      <c r="CR123" s="675"/>
      <c r="CS123" s="675"/>
      <c r="CT123" s="675"/>
      <c r="CU123" s="675"/>
      <c r="CV123" s="675"/>
      <c r="CW123" s="675"/>
      <c r="CX123" s="675"/>
      <c r="CY123" s="675"/>
      <c r="CZ123" s="675"/>
      <c r="DA123" s="675"/>
      <c r="DB123" s="675"/>
      <c r="DC123" s="675"/>
      <c r="DD123" s="675"/>
      <c r="DE123" s="675"/>
      <c r="DF123" s="675"/>
      <c r="DG123" s="675"/>
      <c r="DH123" s="675"/>
      <c r="DI123" s="675"/>
      <c r="DJ123" s="675"/>
      <c r="DK123" s="675"/>
      <c r="DL123" s="675"/>
      <c r="DM123" s="675"/>
      <c r="DN123" s="675"/>
      <c r="DO123" s="675"/>
      <c r="DP123" s="675"/>
      <c r="DQ123" s="675"/>
      <c r="DR123" s="675"/>
      <c r="DS123" s="675"/>
      <c r="DT123" s="675"/>
      <c r="DU123" s="675"/>
      <c r="DV123" s="675"/>
      <c r="DW123" s="675"/>
      <c r="DX123" s="675"/>
      <c r="DY123" s="675"/>
      <c r="DZ123" s="675"/>
      <c r="EA123" s="675"/>
      <c r="EB123" s="675"/>
      <c r="EC123" s="675"/>
      <c r="ED123" s="675"/>
      <c r="EE123" s="675"/>
      <c r="EF123" s="675"/>
      <c r="EG123" s="675"/>
      <c r="EH123" s="675"/>
      <c r="EI123" s="675"/>
      <c r="EJ123" s="675"/>
      <c r="EK123" s="675"/>
      <c r="EL123" s="675"/>
      <c r="EM123" s="675"/>
      <c r="EN123" s="675"/>
      <c r="EO123" s="675"/>
      <c r="EP123" s="675"/>
      <c r="EQ123" s="675"/>
      <c r="ER123" s="675"/>
      <c r="ES123" s="675"/>
      <c r="ET123" s="675"/>
      <c r="EU123" s="675"/>
      <c r="EV123" s="675"/>
      <c r="EW123" s="675"/>
      <c r="EX123" s="675"/>
      <c r="EY123" s="675"/>
      <c r="EZ123" s="675"/>
      <c r="FA123" s="675"/>
      <c r="FB123" s="675"/>
      <c r="FC123" s="675"/>
      <c r="FD123" s="675"/>
      <c r="FE123" s="675"/>
      <c r="FF123" s="675"/>
      <c r="FG123" s="675"/>
      <c r="FH123" s="675"/>
      <c r="FI123" s="675"/>
      <c r="FJ123" s="675"/>
      <c r="FK123" s="675"/>
      <c r="FL123" s="675"/>
      <c r="FM123" s="675"/>
      <c r="FN123" s="675"/>
      <c r="FO123" s="675"/>
      <c r="FP123" s="675"/>
      <c r="FQ123" s="675"/>
      <c r="FR123" s="675"/>
      <c r="FS123" s="675"/>
      <c r="FT123" s="675"/>
      <c r="FU123" s="675"/>
      <c r="FV123" s="675"/>
      <c r="FW123" s="675"/>
      <c r="FX123" s="675"/>
      <c r="FY123" s="675"/>
      <c r="FZ123" s="675"/>
      <c r="GA123" s="675"/>
      <c r="GB123" s="675"/>
      <c r="GC123" s="675"/>
      <c r="GD123" s="675"/>
      <c r="GE123" s="675"/>
      <c r="GF123" s="675"/>
      <c r="GG123" s="675"/>
      <c r="GH123" s="675"/>
      <c r="GI123" s="675"/>
      <c r="GJ123" s="675"/>
      <c r="GK123" s="675"/>
      <c r="GL123" s="675"/>
      <c r="GM123" s="675"/>
      <c r="GN123" s="675"/>
      <c r="GO123" s="675"/>
      <c r="GP123" s="675"/>
      <c r="GQ123" s="675"/>
      <c r="GR123" s="675"/>
      <c r="GS123" s="675"/>
      <c r="GT123" s="675"/>
      <c r="GU123" s="675"/>
      <c r="GV123" s="675"/>
      <c r="GW123" s="675"/>
      <c r="GX123" s="675"/>
      <c r="GY123" s="675"/>
      <c r="GZ123" s="675"/>
      <c r="HA123" s="675"/>
      <c r="HB123" s="675"/>
      <c r="HC123" s="675"/>
      <c r="HD123" s="675"/>
      <c r="HE123" s="675"/>
      <c r="HF123" s="675"/>
      <c r="HG123" s="675"/>
      <c r="HH123" s="675"/>
      <c r="HI123" s="675"/>
      <c r="HJ123" s="675"/>
      <c r="HK123" s="675"/>
      <c r="HL123" s="675"/>
      <c r="HM123" s="675"/>
      <c r="HN123" s="675"/>
      <c r="HO123" s="675"/>
      <c r="HP123" s="675"/>
      <c r="HQ123" s="675"/>
      <c r="HR123" s="675"/>
      <c r="HS123" s="675"/>
      <c r="HT123" s="675"/>
      <c r="HU123" s="675"/>
      <c r="HV123" s="675"/>
      <c r="HW123" s="675"/>
      <c r="HX123" s="675"/>
      <c r="HY123" s="675"/>
      <c r="HZ123" s="675"/>
      <c r="IA123" s="675"/>
      <c r="IB123" s="675"/>
      <c r="IC123" s="675"/>
      <c r="ID123" s="675"/>
      <c r="IE123" s="675"/>
      <c r="IF123" s="675"/>
      <c r="IG123" s="675"/>
      <c r="IH123" s="675"/>
      <c r="II123" s="675"/>
      <c r="IJ123" s="675"/>
      <c r="IK123" s="675"/>
      <c r="IL123" s="675"/>
      <c r="IM123" s="675"/>
      <c r="IN123" s="675"/>
      <c r="IO123" s="675"/>
      <c r="IP123" s="675"/>
      <c r="IQ123" s="675"/>
      <c r="IR123" s="675"/>
      <c r="IS123" s="675"/>
      <c r="IT123" s="675"/>
      <c r="IU123" s="675"/>
      <c r="IV123" s="675"/>
    </row>
    <row r="124" spans="1:256" x14ac:dyDescent="0.2">
      <c r="A124" s="675">
        <v>4</v>
      </c>
      <c r="B124" s="675">
        <v>2011</v>
      </c>
      <c r="C124" s="694">
        <v>40851</v>
      </c>
      <c r="D124" s="675" t="s">
        <v>621</v>
      </c>
      <c r="E124" s="679">
        <v>73.540000000000006</v>
      </c>
      <c r="F124" s="674"/>
    </row>
    <row r="125" spans="1:256" x14ac:dyDescent="0.2">
      <c r="A125" s="675">
        <v>4</v>
      </c>
      <c r="B125" s="675">
        <v>2011</v>
      </c>
      <c r="C125" s="694">
        <v>40858</v>
      </c>
      <c r="D125" s="675" t="s">
        <v>621</v>
      </c>
      <c r="E125" s="679">
        <v>75.69</v>
      </c>
      <c r="F125" s="674"/>
    </row>
    <row r="126" spans="1:256" x14ac:dyDescent="0.2">
      <c r="A126" s="675">
        <v>4</v>
      </c>
      <c r="B126" s="675">
        <v>2011</v>
      </c>
      <c r="C126" s="694">
        <v>40865</v>
      </c>
      <c r="D126" s="675" t="s">
        <v>621</v>
      </c>
      <c r="E126" s="679">
        <v>73.290000000000006</v>
      </c>
      <c r="F126" s="674"/>
    </row>
    <row r="127" spans="1:256" x14ac:dyDescent="0.2">
      <c r="A127" s="675">
        <v>4</v>
      </c>
      <c r="B127" s="675">
        <v>2011</v>
      </c>
      <c r="C127" s="694">
        <v>40872</v>
      </c>
      <c r="D127" s="675" t="s">
        <v>621</v>
      </c>
      <c r="E127" s="679">
        <v>70.44</v>
      </c>
      <c r="F127" s="674"/>
    </row>
    <row r="128" spans="1:256" x14ac:dyDescent="0.2">
      <c r="A128" s="675">
        <v>4</v>
      </c>
      <c r="B128" s="675">
        <v>2011</v>
      </c>
      <c r="C128" s="694">
        <v>40879</v>
      </c>
      <c r="D128" s="675" t="s">
        <v>621</v>
      </c>
      <c r="E128" s="679">
        <v>75.010000000000005</v>
      </c>
      <c r="F128" s="674"/>
    </row>
    <row r="129" spans="1:6" x14ac:dyDescent="0.2">
      <c r="A129" s="675">
        <v>4</v>
      </c>
      <c r="B129" s="675">
        <v>2011</v>
      </c>
      <c r="C129" s="694">
        <v>40886</v>
      </c>
      <c r="D129" s="675" t="s">
        <v>621</v>
      </c>
      <c r="E129" s="679">
        <v>73.790000000000006</v>
      </c>
      <c r="F129" s="674"/>
    </row>
    <row r="130" spans="1:6" x14ac:dyDescent="0.2">
      <c r="A130" s="675">
        <v>4</v>
      </c>
      <c r="B130" s="675">
        <v>2011</v>
      </c>
      <c r="C130" s="694">
        <v>40893</v>
      </c>
      <c r="D130" s="675" t="s">
        <v>621</v>
      </c>
      <c r="E130" s="679">
        <v>69.819999999999993</v>
      </c>
      <c r="F130" s="674"/>
    </row>
    <row r="131" spans="1:6" x14ac:dyDescent="0.2">
      <c r="A131" s="675">
        <v>4</v>
      </c>
      <c r="B131" s="675">
        <v>2011</v>
      </c>
      <c r="C131" s="694">
        <v>40900</v>
      </c>
      <c r="D131" s="675" t="s">
        <v>621</v>
      </c>
      <c r="E131" s="679">
        <v>72.759995000000004</v>
      </c>
      <c r="F131" s="674"/>
    </row>
    <row r="132" spans="1:6" x14ac:dyDescent="0.2">
      <c r="A132" s="675">
        <v>4</v>
      </c>
      <c r="B132" s="675">
        <v>2011</v>
      </c>
      <c r="C132" s="694">
        <v>40907</v>
      </c>
      <c r="D132" s="675" t="s">
        <v>621</v>
      </c>
      <c r="E132" s="679">
        <v>72.859986000000006</v>
      </c>
      <c r="F132" s="674"/>
    </row>
    <row r="133" spans="1:6" x14ac:dyDescent="0.2">
      <c r="A133" s="675">
        <v>1</v>
      </c>
      <c r="B133" s="675">
        <v>2012</v>
      </c>
      <c r="C133" s="694">
        <v>40914</v>
      </c>
      <c r="D133" s="675" t="s">
        <v>8</v>
      </c>
      <c r="E133" s="679">
        <v>75.309997999999993</v>
      </c>
      <c r="F133" s="674"/>
    </row>
    <row r="134" spans="1:6" x14ac:dyDescent="0.2">
      <c r="A134" s="675">
        <v>1</v>
      </c>
      <c r="B134" s="675">
        <v>2012</v>
      </c>
      <c r="C134" s="694">
        <v>40921</v>
      </c>
      <c r="D134" s="675" t="s">
        <v>8</v>
      </c>
      <c r="E134" s="679">
        <v>76.5</v>
      </c>
      <c r="F134" s="674"/>
    </row>
    <row r="135" spans="1:6" x14ac:dyDescent="0.2">
      <c r="A135" s="675">
        <v>1</v>
      </c>
      <c r="B135" s="675">
        <v>2012</v>
      </c>
      <c r="C135" s="694">
        <v>40928</v>
      </c>
      <c r="D135" s="675" t="s">
        <v>8</v>
      </c>
      <c r="E135" s="679">
        <v>77.259995000000004</v>
      </c>
      <c r="F135" s="674"/>
    </row>
    <row r="136" spans="1:6" x14ac:dyDescent="0.2">
      <c r="A136" s="675">
        <v>1</v>
      </c>
      <c r="B136" s="675">
        <v>2012</v>
      </c>
      <c r="C136" s="694">
        <v>40935</v>
      </c>
      <c r="D136" s="675" t="s">
        <v>8</v>
      </c>
      <c r="E136" s="679">
        <v>73.939988</v>
      </c>
      <c r="F136" s="674"/>
    </row>
    <row r="137" spans="1:6" x14ac:dyDescent="0.2">
      <c r="A137" s="675">
        <v>1</v>
      </c>
      <c r="B137" s="675">
        <v>2012</v>
      </c>
      <c r="C137" s="694">
        <v>40942</v>
      </c>
      <c r="D137" s="675" t="s">
        <v>8</v>
      </c>
      <c r="E137" s="679">
        <v>73.609986000000006</v>
      </c>
      <c r="F137" s="674"/>
    </row>
    <row r="138" spans="1:6" x14ac:dyDescent="0.2">
      <c r="A138" s="675">
        <v>1</v>
      </c>
      <c r="B138" s="675">
        <v>2012</v>
      </c>
      <c r="C138" s="694">
        <v>40949</v>
      </c>
      <c r="D138" s="675" t="s">
        <v>8</v>
      </c>
      <c r="E138" s="679">
        <v>71.529999000000004</v>
      </c>
      <c r="F138" s="674"/>
    </row>
    <row r="139" spans="1:6" x14ac:dyDescent="0.2">
      <c r="A139" s="683">
        <v>1</v>
      </c>
      <c r="B139" s="683">
        <v>2012</v>
      </c>
      <c r="C139" s="694">
        <v>40956</v>
      </c>
      <c r="D139" s="683" t="s">
        <v>8</v>
      </c>
      <c r="E139" s="910">
        <v>68.809997999999993</v>
      </c>
      <c r="F139" s="674"/>
    </row>
    <row r="140" spans="1:6" x14ac:dyDescent="0.2">
      <c r="A140" s="683">
        <v>1</v>
      </c>
      <c r="B140" s="683">
        <v>2012</v>
      </c>
      <c r="C140" s="694">
        <v>40963</v>
      </c>
      <c r="D140" s="683" t="s">
        <v>8</v>
      </c>
      <c r="E140" s="910">
        <v>70.029999000000004</v>
      </c>
      <c r="F140" s="674"/>
    </row>
    <row r="141" spans="1:6" x14ac:dyDescent="0.2">
      <c r="A141" s="683">
        <v>1</v>
      </c>
      <c r="B141" s="683">
        <v>2012</v>
      </c>
      <c r="C141" s="694">
        <v>40970</v>
      </c>
      <c r="D141" s="683" t="s">
        <v>8</v>
      </c>
      <c r="E141" s="910">
        <v>68.099991000000003</v>
      </c>
      <c r="F141" s="674"/>
    </row>
    <row r="142" spans="1:6" x14ac:dyDescent="0.2">
      <c r="A142" s="683">
        <v>1</v>
      </c>
      <c r="B142" s="683">
        <v>2012</v>
      </c>
      <c r="C142" s="694">
        <v>40977</v>
      </c>
      <c r="D142" s="683" t="s">
        <v>8</v>
      </c>
      <c r="E142" s="910">
        <v>66.479996</v>
      </c>
      <c r="F142" s="674"/>
    </row>
    <row r="143" spans="1:6" x14ac:dyDescent="0.2">
      <c r="A143" s="683">
        <v>1</v>
      </c>
      <c r="B143" s="683">
        <v>2012</v>
      </c>
      <c r="C143" s="694">
        <v>40984</v>
      </c>
      <c r="D143" s="683" t="s">
        <v>8</v>
      </c>
      <c r="E143" s="910">
        <v>68.979996</v>
      </c>
      <c r="F143" s="674"/>
    </row>
    <row r="144" spans="1:6" x14ac:dyDescent="0.2">
      <c r="A144" s="683">
        <v>1</v>
      </c>
      <c r="B144" s="683">
        <v>2012</v>
      </c>
      <c r="C144" s="694">
        <v>40991</v>
      </c>
      <c r="D144" s="683" t="s">
        <v>8</v>
      </c>
      <c r="E144" s="910">
        <v>64.449996999999996</v>
      </c>
      <c r="F144" s="674"/>
    </row>
    <row r="145" spans="1:13" x14ac:dyDescent="0.2">
      <c r="A145" s="683">
        <v>1</v>
      </c>
      <c r="B145" s="683">
        <v>2012</v>
      </c>
      <c r="C145" s="694">
        <v>40998</v>
      </c>
      <c r="D145" s="683" t="s">
        <v>8</v>
      </c>
      <c r="E145" s="910">
        <v>65.829987000000003</v>
      </c>
      <c r="F145" s="674"/>
    </row>
    <row r="146" spans="1:13" x14ac:dyDescent="0.2">
      <c r="A146" s="683">
        <f>A133+1</f>
        <v>2</v>
      </c>
      <c r="B146" s="683">
        <f>YEAR(C146)</f>
        <v>2012</v>
      </c>
      <c r="C146" s="694">
        <f>C145+7</f>
        <v>41005</v>
      </c>
      <c r="D146" s="683" t="str">
        <f>A146&amp;"Q"&amp;RIGHT(B146,2)</f>
        <v>2Q12</v>
      </c>
      <c r="E146" s="910">
        <v>67.829987000000003</v>
      </c>
      <c r="F146" s="674"/>
    </row>
    <row r="147" spans="1:13" x14ac:dyDescent="0.2">
      <c r="A147" s="683">
        <f>A134+1</f>
        <v>2</v>
      </c>
      <c r="B147" s="683">
        <f>YEAR(C147)</f>
        <v>2012</v>
      </c>
      <c r="C147" s="694">
        <f>C146+7</f>
        <v>41012</v>
      </c>
      <c r="D147" s="683" t="str">
        <f>A147&amp;"Q"&amp;RIGHT(B147,2)</f>
        <v>2Q12</v>
      </c>
      <c r="E147" s="910">
        <v>67.439988</v>
      </c>
      <c r="F147" s="674"/>
      <c r="M147" s="901"/>
    </row>
    <row r="148" spans="1:13" x14ac:dyDescent="0.2">
      <c r="A148" s="683">
        <f>A135+1</f>
        <v>2</v>
      </c>
      <c r="B148" s="683">
        <f>YEAR(C148)</f>
        <v>2012</v>
      </c>
      <c r="C148" s="694">
        <f>C147+7</f>
        <v>41019</v>
      </c>
      <c r="D148" s="683" t="str">
        <f>A148&amp;"Q"&amp;RIGHT(B148,2)</f>
        <v>2Q12</v>
      </c>
      <c r="E148" s="910">
        <v>69.529999000000004</v>
      </c>
      <c r="F148" s="674"/>
    </row>
    <row r="149" spans="1:13" x14ac:dyDescent="0.2">
      <c r="A149" s="683">
        <f>A136+1</f>
        <v>2</v>
      </c>
      <c r="B149" s="683">
        <f>YEAR(C149)</f>
        <v>2012</v>
      </c>
      <c r="C149" s="694">
        <f>C148+7</f>
        <v>41026</v>
      </c>
      <c r="D149" s="683" t="str">
        <f>A149&amp;"Q"&amp;RIGHT(B149,2)</f>
        <v>2Q12</v>
      </c>
      <c r="E149" s="910">
        <v>73.369996</v>
      </c>
      <c r="F149" s="674"/>
    </row>
    <row r="150" spans="1:13" x14ac:dyDescent="0.2">
      <c r="A150" s="683">
        <v>2</v>
      </c>
      <c r="B150" s="683">
        <v>2012</v>
      </c>
      <c r="C150" s="694">
        <v>41033</v>
      </c>
      <c r="D150" s="683" t="s">
        <v>400</v>
      </c>
      <c r="E150" s="910">
        <v>71.629990000000006</v>
      </c>
      <c r="F150" s="674"/>
    </row>
    <row r="151" spans="1:13" x14ac:dyDescent="0.2">
      <c r="A151" s="683">
        <v>2</v>
      </c>
      <c r="B151" s="683">
        <v>2012</v>
      </c>
      <c r="C151" s="694">
        <v>41040</v>
      </c>
      <c r="D151" s="683" t="s">
        <v>400</v>
      </c>
      <c r="E151" s="910">
        <v>68.439988</v>
      </c>
      <c r="F151" s="674"/>
    </row>
    <row r="152" spans="1:13" x14ac:dyDescent="0.2">
      <c r="A152" s="683">
        <v>2</v>
      </c>
      <c r="B152" s="683">
        <v>2012</v>
      </c>
      <c r="C152" s="694">
        <v>41047</v>
      </c>
      <c r="D152" s="683" t="s">
        <v>400</v>
      </c>
      <c r="E152" s="910">
        <v>65.339996999999997</v>
      </c>
      <c r="F152" s="674"/>
    </row>
    <row r="153" spans="1:13" x14ac:dyDescent="0.2">
      <c r="A153" s="683">
        <v>2</v>
      </c>
      <c r="B153" s="683">
        <v>2012</v>
      </c>
      <c r="C153" s="694">
        <v>41054</v>
      </c>
      <c r="D153" s="683" t="s">
        <v>400</v>
      </c>
      <c r="E153" s="910">
        <v>66.429992999999996</v>
      </c>
      <c r="F153" s="674"/>
    </row>
    <row r="154" spans="1:13" x14ac:dyDescent="0.2">
      <c r="A154" s="683">
        <v>2</v>
      </c>
      <c r="B154" s="683">
        <v>2012</v>
      </c>
      <c r="C154" s="694">
        <v>41061</v>
      </c>
      <c r="D154" s="683" t="s">
        <v>400</v>
      </c>
      <c r="E154" s="910">
        <v>64.289993999999993</v>
      </c>
      <c r="F154" s="674"/>
    </row>
    <row r="155" spans="1:13" x14ac:dyDescent="0.2">
      <c r="A155" s="683">
        <v>2</v>
      </c>
      <c r="B155" s="683">
        <v>2012</v>
      </c>
      <c r="C155" s="694">
        <v>41068</v>
      </c>
      <c r="D155" s="683" t="s">
        <v>400</v>
      </c>
      <c r="E155" s="910">
        <v>66.439988</v>
      </c>
      <c r="F155" s="674"/>
    </row>
    <row r="156" spans="1:13" x14ac:dyDescent="0.2">
      <c r="A156" s="683">
        <v>2</v>
      </c>
      <c r="B156" s="683">
        <v>2012</v>
      </c>
      <c r="C156" s="694">
        <v>41075</v>
      </c>
      <c r="D156" s="683" t="s">
        <v>400</v>
      </c>
      <c r="E156" s="910">
        <v>68.969986000000006</v>
      </c>
      <c r="F156" s="674"/>
    </row>
    <row r="157" spans="1:13" x14ac:dyDescent="0.2">
      <c r="A157" s="683">
        <v>2</v>
      </c>
      <c r="B157" s="683">
        <v>2012</v>
      </c>
      <c r="C157" s="694">
        <v>41082</v>
      </c>
      <c r="D157" s="683" t="s">
        <v>400</v>
      </c>
      <c r="E157" s="910">
        <v>70</v>
      </c>
      <c r="F157" s="674"/>
    </row>
    <row r="158" spans="1:13" x14ac:dyDescent="0.2">
      <c r="A158" s="683">
        <v>2</v>
      </c>
      <c r="B158" s="683">
        <v>2012</v>
      </c>
      <c r="C158" s="694">
        <v>41089</v>
      </c>
      <c r="D158" s="683" t="s">
        <v>400</v>
      </c>
      <c r="E158" s="910">
        <v>71.769990000000007</v>
      </c>
      <c r="F158" s="674"/>
    </row>
    <row r="159" spans="1:13" x14ac:dyDescent="0.2">
      <c r="A159" s="683">
        <v>3</v>
      </c>
      <c r="B159" s="683">
        <v>2012</v>
      </c>
      <c r="C159" s="694">
        <v>41096</v>
      </c>
      <c r="D159" s="683" t="s">
        <v>173</v>
      </c>
      <c r="E159" s="910">
        <v>72.199996999999996</v>
      </c>
      <c r="F159" s="674"/>
    </row>
    <row r="160" spans="1:13" x14ac:dyDescent="0.2">
      <c r="A160" s="683">
        <v>3</v>
      </c>
      <c r="B160" s="683">
        <v>2012</v>
      </c>
      <c r="C160" s="694">
        <v>41103</v>
      </c>
      <c r="D160" s="683" t="s">
        <v>173</v>
      </c>
      <c r="E160" s="910">
        <v>73.689988</v>
      </c>
      <c r="F160" s="674"/>
    </row>
    <row r="161" spans="1:6" x14ac:dyDescent="0.2">
      <c r="A161" s="683">
        <v>3</v>
      </c>
      <c r="B161" s="683">
        <v>2012</v>
      </c>
      <c r="C161" s="694">
        <v>41110</v>
      </c>
      <c r="D161" s="683" t="s">
        <v>173</v>
      </c>
      <c r="E161" s="910">
        <v>72.989991000000003</v>
      </c>
      <c r="F161" s="674"/>
    </row>
    <row r="162" spans="1:6" x14ac:dyDescent="0.2">
      <c r="A162" s="683">
        <v>3</v>
      </c>
      <c r="B162" s="683">
        <v>2012</v>
      </c>
      <c r="C162" s="694">
        <v>41117</v>
      </c>
      <c r="D162" s="683" t="s">
        <v>173</v>
      </c>
      <c r="E162" s="910">
        <v>74.689988</v>
      </c>
      <c r="F162" s="674"/>
    </row>
    <row r="163" spans="1:6" x14ac:dyDescent="0.2">
      <c r="A163" s="683">
        <v>3</v>
      </c>
      <c r="B163" s="683">
        <v>2012</v>
      </c>
      <c r="C163" s="694">
        <v>41124</v>
      </c>
      <c r="D163" s="683" t="s">
        <v>173</v>
      </c>
      <c r="E163" s="910">
        <v>74.939988</v>
      </c>
      <c r="F163" s="674"/>
    </row>
    <row r="164" spans="1:6" x14ac:dyDescent="0.2">
      <c r="A164" s="683">
        <v>3</v>
      </c>
      <c r="B164" s="683">
        <v>2012</v>
      </c>
      <c r="C164" s="694">
        <v>41131</v>
      </c>
      <c r="D164" s="683" t="s">
        <v>173</v>
      </c>
      <c r="E164" s="910">
        <v>74.559997999999993</v>
      </c>
      <c r="F164" s="674"/>
    </row>
    <row r="165" spans="1:6" x14ac:dyDescent="0.2">
      <c r="A165" s="683">
        <v>3</v>
      </c>
      <c r="B165" s="683">
        <v>2012</v>
      </c>
      <c r="C165" s="694">
        <v>41138</v>
      </c>
      <c r="D165" s="683" t="s">
        <v>173</v>
      </c>
      <c r="E165" s="910">
        <v>75.099991000000003</v>
      </c>
      <c r="F165" s="674"/>
    </row>
    <row r="166" spans="1:6" x14ac:dyDescent="0.2">
      <c r="A166" s="683">
        <v>3</v>
      </c>
      <c r="B166" s="683">
        <v>2012</v>
      </c>
      <c r="C166" s="694">
        <v>41145</v>
      </c>
      <c r="D166" s="683" t="s">
        <v>173</v>
      </c>
      <c r="E166" s="910">
        <v>73.599991000000003</v>
      </c>
      <c r="F166" s="674"/>
    </row>
    <row r="167" spans="1:6" x14ac:dyDescent="0.2">
      <c r="A167" s="683">
        <v>3</v>
      </c>
      <c r="B167" s="683">
        <v>2012</v>
      </c>
      <c r="C167" s="694">
        <v>41152</v>
      </c>
      <c r="D167" s="683" t="s">
        <v>173</v>
      </c>
      <c r="E167" s="910">
        <v>72.459992</v>
      </c>
      <c r="F167" s="674"/>
    </row>
    <row r="168" spans="1:6" x14ac:dyDescent="0.2">
      <c r="A168" s="683">
        <v>3</v>
      </c>
      <c r="B168" s="683">
        <v>2012</v>
      </c>
      <c r="C168" s="694">
        <v>41159</v>
      </c>
      <c r="D168" s="683" t="s">
        <v>173</v>
      </c>
      <c r="E168" s="910">
        <v>71.919999000000004</v>
      </c>
      <c r="F168" s="674"/>
    </row>
    <row r="169" spans="1:6" x14ac:dyDescent="0.2">
      <c r="A169" s="683">
        <v>3</v>
      </c>
      <c r="B169" s="683">
        <v>2012</v>
      </c>
      <c r="C169" s="694">
        <v>41166</v>
      </c>
      <c r="D169" s="683" t="s">
        <v>173</v>
      </c>
      <c r="E169" s="910">
        <v>74.689988</v>
      </c>
      <c r="F169" s="674"/>
    </row>
    <row r="170" spans="1:6" x14ac:dyDescent="0.2">
      <c r="A170" s="683">
        <v>3</v>
      </c>
      <c r="B170" s="683">
        <v>2012</v>
      </c>
      <c r="C170" s="694">
        <v>41173</v>
      </c>
      <c r="D170" s="683" t="s">
        <v>173</v>
      </c>
      <c r="E170" s="910">
        <v>65</v>
      </c>
      <c r="F170" s="674"/>
    </row>
    <row r="171" spans="1:6" x14ac:dyDescent="0.2">
      <c r="A171" s="683">
        <v>3</v>
      </c>
      <c r="B171" s="683">
        <v>2012</v>
      </c>
      <c r="C171" s="694">
        <v>41180</v>
      </c>
      <c r="D171" s="683" t="s">
        <v>173</v>
      </c>
      <c r="E171" s="910">
        <v>63.629989999999999</v>
      </c>
      <c r="F171" s="674"/>
    </row>
    <row r="172" spans="1:6" x14ac:dyDescent="0.2">
      <c r="A172" s="683">
        <v>4</v>
      </c>
      <c r="B172" s="683">
        <v>2012</v>
      </c>
      <c r="C172" s="694">
        <v>41187</v>
      </c>
      <c r="D172" s="683" t="s">
        <v>559</v>
      </c>
      <c r="E172" s="910">
        <v>66.899994000000007</v>
      </c>
      <c r="F172" s="674"/>
    </row>
    <row r="173" spans="1:6" x14ac:dyDescent="0.2">
      <c r="A173" s="683">
        <v>4</v>
      </c>
      <c r="B173" s="683">
        <v>2012</v>
      </c>
      <c r="C173" s="694">
        <v>41194</v>
      </c>
      <c r="D173" s="683" t="s">
        <v>559</v>
      </c>
      <c r="E173" s="910">
        <v>67.279999000000004</v>
      </c>
      <c r="F173" s="674"/>
    </row>
    <row r="174" spans="1:6" x14ac:dyDescent="0.2">
      <c r="A174" s="683">
        <v>4</v>
      </c>
      <c r="B174" s="683">
        <v>2012</v>
      </c>
      <c r="C174" s="694">
        <v>41201</v>
      </c>
      <c r="D174" s="683" t="s">
        <v>559</v>
      </c>
      <c r="E174" s="910">
        <v>65.64</v>
      </c>
      <c r="F174" s="674"/>
    </row>
    <row r="175" spans="1:6" x14ac:dyDescent="0.2">
      <c r="A175" s="683">
        <v>4</v>
      </c>
      <c r="B175" s="683">
        <v>2012</v>
      </c>
      <c r="C175" s="694">
        <v>41208</v>
      </c>
      <c r="D175" s="683" t="s">
        <v>559</v>
      </c>
      <c r="E175" s="910">
        <v>62.76999</v>
      </c>
      <c r="F175" s="674"/>
    </row>
    <row r="176" spans="1:6" x14ac:dyDescent="0.2">
      <c r="A176" s="683">
        <f>A163+1</f>
        <v>4</v>
      </c>
      <c r="B176" s="683">
        <f>YEAR(C176)</f>
        <v>2012</v>
      </c>
      <c r="C176" s="694">
        <f>C175+7</f>
        <v>41215</v>
      </c>
      <c r="D176" s="683" t="str">
        <f>A176&amp;"Q"&amp;RIGHT(B176,2)</f>
        <v>4Q12</v>
      </c>
      <c r="E176" s="910">
        <v>61.129989999999999</v>
      </c>
      <c r="F176" s="674"/>
    </row>
    <row r="177" spans="1:6" x14ac:dyDescent="0.2">
      <c r="A177" s="683">
        <f t="shared" ref="A177:A184" si="114">A164+1</f>
        <v>4</v>
      </c>
      <c r="B177" s="683">
        <f t="shared" ref="B177:B240" si="115">YEAR(C177)</f>
        <v>2012</v>
      </c>
      <c r="C177" s="694">
        <f t="shared" ref="C177:C240" si="116">C176+7</f>
        <v>41222</v>
      </c>
      <c r="D177" s="683" t="str">
        <f t="shared" ref="D177:D240" si="117">A177&amp;"Q"&amp;RIGHT(B177,2)</f>
        <v>4Q12</v>
      </c>
      <c r="E177" s="910">
        <v>58</v>
      </c>
      <c r="F177" s="674"/>
    </row>
    <row r="178" spans="1:6" x14ac:dyDescent="0.2">
      <c r="A178" s="683">
        <f t="shared" si="114"/>
        <v>4</v>
      </c>
      <c r="B178" s="683">
        <f t="shared" si="115"/>
        <v>2012</v>
      </c>
      <c r="C178" s="694">
        <f t="shared" si="116"/>
        <v>41229</v>
      </c>
      <c r="D178" s="683" t="str">
        <f t="shared" si="117"/>
        <v>4Q12</v>
      </c>
      <c r="E178" s="910">
        <v>56.339996999999997</v>
      </c>
      <c r="F178" s="674"/>
    </row>
    <row r="179" spans="1:6" x14ac:dyDescent="0.2">
      <c r="A179" s="683">
        <f t="shared" si="114"/>
        <v>4</v>
      </c>
      <c r="B179" s="683">
        <f t="shared" si="115"/>
        <v>2012</v>
      </c>
      <c r="C179" s="694">
        <f t="shared" si="116"/>
        <v>41236</v>
      </c>
      <c r="D179" s="683" t="str">
        <f t="shared" si="117"/>
        <v>4Q12</v>
      </c>
      <c r="E179" s="910">
        <v>57.759995000000004</v>
      </c>
      <c r="F179" s="674"/>
    </row>
    <row r="180" spans="1:6" x14ac:dyDescent="0.2">
      <c r="A180" s="683">
        <f t="shared" si="114"/>
        <v>4</v>
      </c>
      <c r="B180" s="683">
        <f t="shared" si="115"/>
        <v>2012</v>
      </c>
      <c r="C180" s="694">
        <f t="shared" si="116"/>
        <v>41243</v>
      </c>
      <c r="D180" s="683" t="str">
        <f t="shared" si="117"/>
        <v>4Q12</v>
      </c>
      <c r="E180" s="910">
        <v>60.379989999999999</v>
      </c>
      <c r="F180" s="674"/>
    </row>
    <row r="181" spans="1:6" x14ac:dyDescent="0.2">
      <c r="A181" s="683">
        <f t="shared" si="114"/>
        <v>4</v>
      </c>
      <c r="B181" s="683">
        <f t="shared" si="115"/>
        <v>2012</v>
      </c>
      <c r="C181" s="694">
        <f t="shared" si="116"/>
        <v>41250</v>
      </c>
      <c r="D181" s="683" t="str">
        <f t="shared" si="117"/>
        <v>4Q12</v>
      </c>
      <c r="E181" s="910">
        <v>61.509995000000004</v>
      </c>
      <c r="F181" s="674"/>
    </row>
    <row r="182" spans="1:6" x14ac:dyDescent="0.2">
      <c r="A182" s="683">
        <f t="shared" si="114"/>
        <v>4</v>
      </c>
      <c r="B182" s="683">
        <f t="shared" si="115"/>
        <v>2012</v>
      </c>
      <c r="C182" s="694">
        <f t="shared" si="116"/>
        <v>41257</v>
      </c>
      <c r="D182" s="683" t="str">
        <f t="shared" si="117"/>
        <v>4Q12</v>
      </c>
      <c r="E182" s="910">
        <v>61.359985999999999</v>
      </c>
      <c r="F182" s="674"/>
    </row>
    <row r="183" spans="1:6" x14ac:dyDescent="0.2">
      <c r="A183" s="683">
        <f t="shared" si="114"/>
        <v>4</v>
      </c>
      <c r="B183" s="683">
        <f t="shared" si="115"/>
        <v>2012</v>
      </c>
      <c r="C183" s="694">
        <f t="shared" si="116"/>
        <v>41264</v>
      </c>
      <c r="D183" s="683" t="str">
        <f t="shared" si="117"/>
        <v>4Q12</v>
      </c>
      <c r="E183" s="910">
        <v>62.549987999999999</v>
      </c>
      <c r="F183" s="674"/>
    </row>
    <row r="184" spans="1:6" x14ac:dyDescent="0.2">
      <c r="A184" s="683">
        <f t="shared" si="114"/>
        <v>4</v>
      </c>
      <c r="B184" s="683">
        <f t="shared" si="115"/>
        <v>2012</v>
      </c>
      <c r="C184" s="694">
        <f t="shared" si="116"/>
        <v>41271</v>
      </c>
      <c r="D184" s="683" t="str">
        <f t="shared" si="117"/>
        <v>4Q12</v>
      </c>
      <c r="E184" s="910">
        <v>61.069992999999997</v>
      </c>
      <c r="F184" s="674"/>
    </row>
    <row r="185" spans="1:6" x14ac:dyDescent="0.2">
      <c r="A185" s="683">
        <f t="shared" ref="A185:A248" si="118">A133</f>
        <v>1</v>
      </c>
      <c r="B185" s="683">
        <f t="shared" si="115"/>
        <v>2013</v>
      </c>
      <c r="C185" s="694">
        <f t="shared" si="116"/>
        <v>41278</v>
      </c>
      <c r="D185" s="683" t="str">
        <f t="shared" si="117"/>
        <v>1Q13</v>
      </c>
      <c r="E185" s="910">
        <v>65.369996</v>
      </c>
      <c r="F185" s="674"/>
    </row>
    <row r="186" spans="1:6" x14ac:dyDescent="0.2">
      <c r="A186" s="683">
        <f t="shared" si="118"/>
        <v>1</v>
      </c>
      <c r="B186" s="683">
        <f t="shared" si="115"/>
        <v>2013</v>
      </c>
      <c r="C186" s="694">
        <f t="shared" si="116"/>
        <v>41285</v>
      </c>
      <c r="D186" s="683" t="str">
        <f t="shared" si="117"/>
        <v>1Q13</v>
      </c>
      <c r="E186" s="910">
        <v>64.039993999999993</v>
      </c>
      <c r="F186" s="674"/>
    </row>
    <row r="187" spans="1:6" x14ac:dyDescent="0.2">
      <c r="A187" s="683">
        <f t="shared" si="118"/>
        <v>1</v>
      </c>
      <c r="B187" s="683">
        <f t="shared" si="115"/>
        <v>2013</v>
      </c>
      <c r="C187" s="694">
        <f t="shared" si="116"/>
        <v>41292</v>
      </c>
      <c r="D187" s="683" t="str">
        <f t="shared" si="117"/>
        <v>1Q13</v>
      </c>
      <c r="E187" s="910">
        <v>66.699996999999996</v>
      </c>
      <c r="F187" s="674"/>
    </row>
    <row r="188" spans="1:6" x14ac:dyDescent="0.2">
      <c r="A188" s="683">
        <f t="shared" si="118"/>
        <v>1</v>
      </c>
      <c r="B188" s="683">
        <f t="shared" si="115"/>
        <v>2013</v>
      </c>
      <c r="C188" s="694">
        <f t="shared" si="116"/>
        <v>41299</v>
      </c>
      <c r="D188" s="683" t="str">
        <f t="shared" si="117"/>
        <v>1Q13</v>
      </c>
      <c r="E188" s="910">
        <v>69.689988</v>
      </c>
      <c r="F188" s="674"/>
    </row>
    <row r="189" spans="1:6" x14ac:dyDescent="0.2">
      <c r="A189" s="683">
        <f t="shared" si="118"/>
        <v>1</v>
      </c>
      <c r="B189" s="683">
        <f t="shared" si="115"/>
        <v>2013</v>
      </c>
      <c r="C189" s="694">
        <f t="shared" si="116"/>
        <v>41306</v>
      </c>
      <c r="D189" s="683" t="str">
        <f t="shared" si="117"/>
        <v>1Q13</v>
      </c>
      <c r="E189" s="910">
        <v>69.599991000000003</v>
      </c>
      <c r="F189" s="674"/>
    </row>
    <row r="190" spans="1:6" x14ac:dyDescent="0.2">
      <c r="A190" s="683">
        <f t="shared" si="118"/>
        <v>1</v>
      </c>
      <c r="B190" s="683">
        <f t="shared" si="115"/>
        <v>2013</v>
      </c>
      <c r="C190" s="694">
        <f t="shared" si="116"/>
        <v>41313</v>
      </c>
      <c r="D190" s="683" t="str">
        <f t="shared" si="117"/>
        <v>1Q13</v>
      </c>
      <c r="E190" s="910">
        <v>69</v>
      </c>
      <c r="F190" s="674"/>
    </row>
    <row r="191" spans="1:6" x14ac:dyDescent="0.2">
      <c r="A191" s="683">
        <f t="shared" si="118"/>
        <v>1</v>
      </c>
      <c r="B191" s="683">
        <f t="shared" si="115"/>
        <v>2013</v>
      </c>
      <c r="C191" s="694">
        <f t="shared" si="116"/>
        <v>41320</v>
      </c>
      <c r="D191" s="683" t="str">
        <f t="shared" si="117"/>
        <v>1Q13</v>
      </c>
      <c r="E191" s="910">
        <v>71.5</v>
      </c>
      <c r="F191" s="674"/>
    </row>
    <row r="192" spans="1:6" x14ac:dyDescent="0.2">
      <c r="A192" s="683">
        <f t="shared" si="118"/>
        <v>1</v>
      </c>
      <c r="B192" s="683">
        <f t="shared" si="115"/>
        <v>2013</v>
      </c>
      <c r="C192" s="694">
        <f t="shared" si="116"/>
        <v>41327</v>
      </c>
      <c r="D192" s="683" t="str">
        <f t="shared" si="117"/>
        <v>1Q13</v>
      </c>
      <c r="E192" s="910">
        <v>73.109986000000006</v>
      </c>
      <c r="F192" s="674"/>
    </row>
    <row r="193" spans="1:6" x14ac:dyDescent="0.2">
      <c r="A193" s="683">
        <f t="shared" si="118"/>
        <v>1</v>
      </c>
      <c r="B193" s="683">
        <f t="shared" si="115"/>
        <v>2013</v>
      </c>
      <c r="C193" s="694">
        <f t="shared" si="116"/>
        <v>41334</v>
      </c>
      <c r="D193" s="683" t="str">
        <f t="shared" si="117"/>
        <v>1Q13</v>
      </c>
      <c r="E193" s="910">
        <v>73.75</v>
      </c>
      <c r="F193" s="674"/>
    </row>
    <row r="194" spans="1:6" x14ac:dyDescent="0.2">
      <c r="A194" s="683">
        <f t="shared" si="118"/>
        <v>1</v>
      </c>
      <c r="B194" s="683">
        <f t="shared" si="115"/>
        <v>2013</v>
      </c>
      <c r="C194" s="694">
        <f t="shared" si="116"/>
        <v>41341</v>
      </c>
      <c r="D194" s="683" t="str">
        <f t="shared" si="117"/>
        <v>1Q13</v>
      </c>
      <c r="E194" s="910">
        <v>74.769990000000007</v>
      </c>
      <c r="F194" s="674"/>
    </row>
    <row r="195" spans="1:6" x14ac:dyDescent="0.2">
      <c r="A195" s="683">
        <f t="shared" si="118"/>
        <v>1</v>
      </c>
      <c r="B195" s="683">
        <f t="shared" si="115"/>
        <v>2013</v>
      </c>
      <c r="C195" s="694">
        <f t="shared" si="116"/>
        <v>41348</v>
      </c>
      <c r="D195" s="683" t="str">
        <f t="shared" si="117"/>
        <v>1Q13</v>
      </c>
      <c r="E195" s="910">
        <v>75.619996</v>
      </c>
      <c r="F195" s="674"/>
    </row>
    <row r="196" spans="1:6" x14ac:dyDescent="0.2">
      <c r="A196" s="683">
        <f t="shared" si="118"/>
        <v>1</v>
      </c>
      <c r="B196" s="683">
        <f t="shared" si="115"/>
        <v>2013</v>
      </c>
      <c r="C196" s="694">
        <f t="shared" si="116"/>
        <v>41355</v>
      </c>
      <c r="D196" s="683" t="str">
        <f t="shared" si="117"/>
        <v>1Q13</v>
      </c>
      <c r="E196" s="910">
        <v>74.649994000000007</v>
      </c>
      <c r="F196" s="674"/>
    </row>
    <row r="197" spans="1:6" x14ac:dyDescent="0.2">
      <c r="A197" s="683">
        <f t="shared" si="118"/>
        <v>1</v>
      </c>
      <c r="B197" s="683">
        <f t="shared" si="115"/>
        <v>2013</v>
      </c>
      <c r="C197" s="694">
        <f t="shared" si="116"/>
        <v>41362</v>
      </c>
      <c r="D197" s="683" t="str">
        <f t="shared" si="117"/>
        <v>1Q13</v>
      </c>
      <c r="E197" s="910">
        <v>77.079987000000003</v>
      </c>
      <c r="F197" s="674"/>
    </row>
    <row r="198" spans="1:6" x14ac:dyDescent="0.2">
      <c r="A198" s="683">
        <f t="shared" si="118"/>
        <v>2</v>
      </c>
      <c r="B198" s="683">
        <f t="shared" si="115"/>
        <v>2013</v>
      </c>
      <c r="C198" s="694">
        <f t="shared" si="116"/>
        <v>41369</v>
      </c>
      <c r="D198" s="683" t="str">
        <f t="shared" si="117"/>
        <v>2Q13</v>
      </c>
      <c r="E198" s="910">
        <v>74.519990000000007</v>
      </c>
      <c r="F198" s="674"/>
    </row>
    <row r="199" spans="1:6" x14ac:dyDescent="0.2">
      <c r="A199" s="683">
        <f t="shared" si="118"/>
        <v>2</v>
      </c>
      <c r="B199" s="683">
        <f t="shared" si="115"/>
        <v>2013</v>
      </c>
      <c r="C199" s="694">
        <f t="shared" si="116"/>
        <v>41376</v>
      </c>
      <c r="D199" s="683" t="str">
        <f t="shared" si="117"/>
        <v>2Q13</v>
      </c>
      <c r="E199" s="910">
        <v>76.809997999999993</v>
      </c>
      <c r="F199" s="674"/>
    </row>
    <row r="200" spans="1:6" x14ac:dyDescent="0.2">
      <c r="A200" s="683">
        <f t="shared" si="118"/>
        <v>2</v>
      </c>
      <c r="B200" s="683">
        <f t="shared" si="115"/>
        <v>2013</v>
      </c>
      <c r="C200" s="694">
        <f t="shared" si="116"/>
        <v>41383</v>
      </c>
      <c r="D200" s="683" t="str">
        <f t="shared" si="117"/>
        <v>2Q13</v>
      </c>
      <c r="E200" s="910">
        <v>74.75</v>
      </c>
      <c r="F200" s="674"/>
    </row>
    <row r="201" spans="1:6" x14ac:dyDescent="0.2">
      <c r="A201" s="683">
        <f t="shared" si="118"/>
        <v>2</v>
      </c>
      <c r="B201" s="683">
        <f t="shared" si="115"/>
        <v>2013</v>
      </c>
      <c r="C201" s="694">
        <f t="shared" si="116"/>
        <v>41390</v>
      </c>
      <c r="D201" s="683" t="str">
        <f t="shared" si="117"/>
        <v>2Q13</v>
      </c>
      <c r="E201" s="910">
        <v>75.559997999999993</v>
      </c>
      <c r="F201" s="674"/>
    </row>
    <row r="202" spans="1:6" x14ac:dyDescent="0.2">
      <c r="A202" s="683">
        <f t="shared" si="118"/>
        <v>2</v>
      </c>
      <c r="B202" s="683">
        <f t="shared" si="115"/>
        <v>2013</v>
      </c>
      <c r="C202" s="694">
        <f t="shared" si="116"/>
        <v>41397</v>
      </c>
      <c r="D202" s="683" t="str">
        <f t="shared" si="117"/>
        <v>2Q13</v>
      </c>
      <c r="E202" s="910">
        <v>77.809997999999993</v>
      </c>
      <c r="F202" s="674"/>
    </row>
    <row r="203" spans="1:6" x14ac:dyDescent="0.2">
      <c r="A203" s="683">
        <f t="shared" si="118"/>
        <v>2</v>
      </c>
      <c r="B203" s="683">
        <f t="shared" si="115"/>
        <v>2013</v>
      </c>
      <c r="C203" s="694">
        <f t="shared" si="116"/>
        <v>41404</v>
      </c>
      <c r="D203" s="683" t="str">
        <f t="shared" si="117"/>
        <v>2Q13</v>
      </c>
      <c r="E203" s="910">
        <v>79.009995000000004</v>
      </c>
      <c r="F203" s="674"/>
    </row>
    <row r="204" spans="1:6" x14ac:dyDescent="0.2">
      <c r="A204" s="683">
        <f t="shared" si="118"/>
        <v>2</v>
      </c>
      <c r="B204" s="683">
        <f t="shared" si="115"/>
        <v>2013</v>
      </c>
      <c r="C204" s="694">
        <f t="shared" si="116"/>
        <v>41411</v>
      </c>
      <c r="D204" s="683" t="str">
        <f t="shared" si="117"/>
        <v>2Q13</v>
      </c>
      <c r="E204" s="910">
        <v>80.229996</v>
      </c>
      <c r="F204" s="674"/>
    </row>
    <row r="205" spans="1:6" x14ac:dyDescent="0.2">
      <c r="A205" s="683">
        <f t="shared" si="118"/>
        <v>2</v>
      </c>
      <c r="B205" s="683">
        <f t="shared" si="115"/>
        <v>2013</v>
      </c>
      <c r="C205" s="694">
        <f t="shared" si="116"/>
        <v>41418</v>
      </c>
      <c r="D205" s="683" t="str">
        <f t="shared" si="117"/>
        <v>2Q13</v>
      </c>
      <c r="E205" s="910">
        <v>77.64</v>
      </c>
      <c r="F205" s="674"/>
    </row>
    <row r="206" spans="1:6" x14ac:dyDescent="0.2">
      <c r="A206" s="683">
        <f t="shared" si="118"/>
        <v>2</v>
      </c>
      <c r="B206" s="683">
        <f t="shared" si="115"/>
        <v>2013</v>
      </c>
      <c r="C206" s="694">
        <f t="shared" si="116"/>
        <v>41425</v>
      </c>
      <c r="D206" s="683" t="str">
        <f t="shared" si="117"/>
        <v>2Q13</v>
      </c>
      <c r="E206" s="910">
        <v>76.589996999999997</v>
      </c>
      <c r="F206" s="674"/>
    </row>
    <row r="207" spans="1:6" x14ac:dyDescent="0.2">
      <c r="A207" s="683">
        <f t="shared" si="118"/>
        <v>2</v>
      </c>
      <c r="B207" s="683">
        <f t="shared" si="115"/>
        <v>2013</v>
      </c>
      <c r="C207" s="694">
        <f t="shared" si="116"/>
        <v>41432</v>
      </c>
      <c r="D207" s="683" t="str">
        <f t="shared" si="117"/>
        <v>2Q13</v>
      </c>
      <c r="E207" s="910">
        <v>77.409988999999996</v>
      </c>
      <c r="F207" s="674"/>
    </row>
    <row r="208" spans="1:6" x14ac:dyDescent="0.2">
      <c r="A208" s="683">
        <f t="shared" si="118"/>
        <v>2</v>
      </c>
      <c r="B208" s="683">
        <f t="shared" si="115"/>
        <v>2013</v>
      </c>
      <c r="C208" s="694">
        <f t="shared" si="116"/>
        <v>41439</v>
      </c>
      <c r="D208" s="683" t="str">
        <f t="shared" si="117"/>
        <v>2Q13</v>
      </c>
      <c r="E208" s="910">
        <v>76.169999000000004</v>
      </c>
      <c r="F208" s="674"/>
    </row>
    <row r="209" spans="1:6" x14ac:dyDescent="0.2">
      <c r="A209" s="683">
        <f t="shared" si="118"/>
        <v>2</v>
      </c>
      <c r="B209" s="683">
        <f t="shared" si="115"/>
        <v>2013</v>
      </c>
      <c r="C209" s="694">
        <f t="shared" si="116"/>
        <v>41446</v>
      </c>
      <c r="D209" s="683" t="str">
        <f t="shared" si="117"/>
        <v>2Q13</v>
      </c>
      <c r="E209" s="910">
        <v>72.899994000000007</v>
      </c>
      <c r="F209" s="674"/>
    </row>
    <row r="210" spans="1:6" x14ac:dyDescent="0.2">
      <c r="A210" s="683">
        <f t="shared" si="118"/>
        <v>2</v>
      </c>
      <c r="B210" s="683">
        <f t="shared" si="115"/>
        <v>2013</v>
      </c>
      <c r="C210" s="694">
        <f t="shared" si="116"/>
        <v>41453</v>
      </c>
      <c r="D210" s="683" t="str">
        <f t="shared" si="117"/>
        <v>2Q13</v>
      </c>
      <c r="E210" s="910">
        <v>72.649994000000007</v>
      </c>
      <c r="F210" s="674"/>
    </row>
    <row r="211" spans="1:6" x14ac:dyDescent="0.2">
      <c r="A211" s="683">
        <f t="shared" si="118"/>
        <v>3</v>
      </c>
      <c r="B211" s="683">
        <f t="shared" si="115"/>
        <v>2013</v>
      </c>
      <c r="C211" s="694">
        <f t="shared" si="116"/>
        <v>41460</v>
      </c>
      <c r="D211" s="683" t="str">
        <f t="shared" si="117"/>
        <v>3Q13</v>
      </c>
      <c r="E211" s="910">
        <v>72.329987000000003</v>
      </c>
      <c r="F211" s="674"/>
    </row>
    <row r="212" spans="1:6" x14ac:dyDescent="0.2">
      <c r="A212" s="683">
        <f t="shared" si="118"/>
        <v>3</v>
      </c>
      <c r="B212" s="683">
        <f t="shared" si="115"/>
        <v>2013</v>
      </c>
      <c r="C212" s="694">
        <f t="shared" si="116"/>
        <v>41467</v>
      </c>
      <c r="D212" s="683" t="str">
        <f t="shared" si="117"/>
        <v>3Q13</v>
      </c>
      <c r="E212" s="910">
        <v>75.199996999999996</v>
      </c>
      <c r="F212" s="674"/>
    </row>
    <row r="213" spans="1:6" x14ac:dyDescent="0.2">
      <c r="A213" s="683">
        <f t="shared" si="118"/>
        <v>3</v>
      </c>
      <c r="B213" s="683">
        <f t="shared" si="115"/>
        <v>2013</v>
      </c>
      <c r="C213" s="694">
        <f t="shared" si="116"/>
        <v>41474</v>
      </c>
      <c r="D213" s="683" t="str">
        <f t="shared" si="117"/>
        <v>3Q13</v>
      </c>
      <c r="E213" s="910">
        <v>78.079987000000003</v>
      </c>
      <c r="F213" s="674"/>
    </row>
    <row r="214" spans="1:6" x14ac:dyDescent="0.2">
      <c r="A214" s="683">
        <f t="shared" si="118"/>
        <v>3</v>
      </c>
      <c r="B214" s="683">
        <f t="shared" si="115"/>
        <v>2013</v>
      </c>
      <c r="C214" s="694">
        <f t="shared" si="116"/>
        <v>41481</v>
      </c>
      <c r="D214" s="683" t="str">
        <f t="shared" si="117"/>
        <v>3Q13</v>
      </c>
      <c r="E214" s="910">
        <v>73.919999000000004</v>
      </c>
      <c r="F214" s="674"/>
    </row>
    <row r="215" spans="1:6" x14ac:dyDescent="0.2">
      <c r="A215" s="683">
        <f t="shared" si="118"/>
        <v>3</v>
      </c>
      <c r="B215" s="683">
        <f t="shared" si="115"/>
        <v>2013</v>
      </c>
      <c r="C215" s="694">
        <f t="shared" si="116"/>
        <v>41488</v>
      </c>
      <c r="D215" s="683" t="str">
        <f t="shared" si="117"/>
        <v>3Q13</v>
      </c>
      <c r="E215" s="910">
        <v>75.5</v>
      </c>
      <c r="F215" s="674"/>
    </row>
    <row r="216" spans="1:6" x14ac:dyDescent="0.2">
      <c r="A216" s="683">
        <f t="shared" si="118"/>
        <v>3</v>
      </c>
      <c r="B216" s="683">
        <f t="shared" si="115"/>
        <v>2013</v>
      </c>
      <c r="C216" s="694">
        <f t="shared" si="116"/>
        <v>41495</v>
      </c>
      <c r="D216" s="683" t="str">
        <f t="shared" si="117"/>
        <v>3Q13</v>
      </c>
      <c r="E216" s="910">
        <v>73.979996</v>
      </c>
      <c r="F216" s="674"/>
    </row>
    <row r="217" spans="1:6" x14ac:dyDescent="0.2">
      <c r="A217" s="683">
        <f t="shared" si="118"/>
        <v>3</v>
      </c>
      <c r="B217" s="683">
        <f t="shared" si="115"/>
        <v>2013</v>
      </c>
      <c r="C217" s="694">
        <f t="shared" si="116"/>
        <v>41502</v>
      </c>
      <c r="D217" s="683" t="str">
        <f t="shared" si="117"/>
        <v>3Q13</v>
      </c>
      <c r="E217" s="910">
        <v>74</v>
      </c>
      <c r="F217" s="674"/>
    </row>
    <row r="218" spans="1:6" x14ac:dyDescent="0.2">
      <c r="A218" s="683">
        <f t="shared" si="118"/>
        <v>3</v>
      </c>
      <c r="B218" s="683">
        <f t="shared" si="115"/>
        <v>2013</v>
      </c>
      <c r="C218" s="694">
        <f t="shared" si="116"/>
        <v>41509</v>
      </c>
      <c r="D218" s="683" t="str">
        <f t="shared" si="117"/>
        <v>3Q13</v>
      </c>
      <c r="E218" s="910">
        <v>74.459992</v>
      </c>
      <c r="F218" s="674"/>
    </row>
    <row r="219" spans="1:6" x14ac:dyDescent="0.2">
      <c r="A219" s="683">
        <f t="shared" si="118"/>
        <v>3</v>
      </c>
      <c r="B219" s="683">
        <f t="shared" si="115"/>
        <v>2013</v>
      </c>
      <c r="C219" s="694">
        <f t="shared" si="116"/>
        <v>41516</v>
      </c>
      <c r="D219" s="683" t="str">
        <f t="shared" si="117"/>
        <v>3Q13</v>
      </c>
      <c r="E219" s="910">
        <v>72.159988999999996</v>
      </c>
      <c r="F219" s="674"/>
    </row>
    <row r="220" spans="1:6" x14ac:dyDescent="0.2">
      <c r="A220" s="683">
        <f t="shared" si="118"/>
        <v>3</v>
      </c>
      <c r="B220" s="683">
        <f t="shared" si="115"/>
        <v>2013</v>
      </c>
      <c r="C220" s="694">
        <f t="shared" si="116"/>
        <v>41523</v>
      </c>
      <c r="D220" s="683" t="str">
        <f t="shared" si="117"/>
        <v>3Q13</v>
      </c>
      <c r="E220" s="910">
        <v>74.39</v>
      </c>
      <c r="F220" s="674"/>
    </row>
    <row r="221" spans="1:6" x14ac:dyDescent="0.2">
      <c r="A221" s="683">
        <f t="shared" si="118"/>
        <v>3</v>
      </c>
      <c r="B221" s="683">
        <f t="shared" si="115"/>
        <v>2013</v>
      </c>
      <c r="C221" s="694">
        <f t="shared" si="116"/>
        <v>41530</v>
      </c>
      <c r="D221" s="683" t="str">
        <f t="shared" si="117"/>
        <v>3Q13</v>
      </c>
      <c r="E221" s="910">
        <v>75.64</v>
      </c>
      <c r="F221" s="674"/>
    </row>
    <row r="222" spans="1:6" x14ac:dyDescent="0.2">
      <c r="A222" s="683">
        <f t="shared" si="118"/>
        <v>3</v>
      </c>
      <c r="B222" s="683">
        <f t="shared" si="115"/>
        <v>2013</v>
      </c>
      <c r="C222" s="694">
        <f t="shared" si="116"/>
        <v>41537</v>
      </c>
      <c r="D222" s="683" t="str">
        <f t="shared" si="117"/>
        <v>3Q13</v>
      </c>
      <c r="E222" s="910">
        <v>77.719986000000006</v>
      </c>
      <c r="F222" s="674"/>
    </row>
    <row r="223" spans="1:6" x14ac:dyDescent="0.2">
      <c r="A223" s="683">
        <f t="shared" si="118"/>
        <v>3</v>
      </c>
      <c r="B223" s="683">
        <f t="shared" si="115"/>
        <v>2013</v>
      </c>
      <c r="C223" s="694">
        <f t="shared" si="116"/>
        <v>41544</v>
      </c>
      <c r="D223" s="683" t="str">
        <f t="shared" si="117"/>
        <v>3Q13</v>
      </c>
      <c r="E223" s="910">
        <v>77.789993999999993</v>
      </c>
      <c r="F223" s="674"/>
    </row>
    <row r="224" spans="1:6" x14ac:dyDescent="0.2">
      <c r="A224" s="683">
        <f t="shared" si="118"/>
        <v>4</v>
      </c>
      <c r="B224" s="683">
        <f t="shared" si="115"/>
        <v>2013</v>
      </c>
      <c r="C224" s="694">
        <f t="shared" si="116"/>
        <v>41551</v>
      </c>
      <c r="D224" s="683" t="str">
        <f t="shared" si="117"/>
        <v>4Q13</v>
      </c>
      <c r="E224" s="910">
        <v>77.509995000000004</v>
      </c>
      <c r="F224" s="674"/>
    </row>
    <row r="225" spans="1:6" x14ac:dyDescent="0.2">
      <c r="A225" s="683">
        <f t="shared" si="118"/>
        <v>4</v>
      </c>
      <c r="B225" s="683">
        <f t="shared" si="115"/>
        <v>2013</v>
      </c>
      <c r="C225" s="694">
        <f t="shared" si="116"/>
        <v>41558</v>
      </c>
      <c r="D225" s="683" t="str">
        <f t="shared" si="117"/>
        <v>4Q13</v>
      </c>
      <c r="E225" s="910">
        <v>78.75</v>
      </c>
      <c r="F225" s="674"/>
    </row>
    <row r="226" spans="1:6" x14ac:dyDescent="0.2">
      <c r="A226" s="683">
        <f t="shared" si="118"/>
        <v>4</v>
      </c>
      <c r="B226" s="683">
        <f t="shared" si="115"/>
        <v>2013</v>
      </c>
      <c r="C226" s="694">
        <f t="shared" si="116"/>
        <v>41565</v>
      </c>
      <c r="D226" s="683" t="str">
        <f t="shared" si="117"/>
        <v>4Q13</v>
      </c>
      <c r="E226" s="910">
        <v>79.89</v>
      </c>
      <c r="F226" s="674"/>
    </row>
    <row r="227" spans="1:6" x14ac:dyDescent="0.2">
      <c r="A227" s="683">
        <f t="shared" si="118"/>
        <v>4</v>
      </c>
      <c r="B227" s="683">
        <f t="shared" si="115"/>
        <v>2013</v>
      </c>
      <c r="C227" s="694">
        <f t="shared" si="116"/>
        <v>41572</v>
      </c>
      <c r="D227" s="683" t="str">
        <f t="shared" si="117"/>
        <v>4Q13</v>
      </c>
      <c r="E227" s="910">
        <v>87.649994000000007</v>
      </c>
      <c r="F227" s="674"/>
    </row>
    <row r="228" spans="1:6" x14ac:dyDescent="0.2">
      <c r="A228" s="683">
        <f t="shared" si="118"/>
        <v>4</v>
      </c>
      <c r="B228" s="683">
        <f t="shared" si="115"/>
        <v>2013</v>
      </c>
      <c r="C228" s="694">
        <f t="shared" si="116"/>
        <v>41579</v>
      </c>
      <c r="D228" s="683" t="str">
        <f t="shared" si="117"/>
        <v>4Q13</v>
      </c>
      <c r="E228" s="910">
        <v>87</v>
      </c>
      <c r="F228" s="674"/>
    </row>
    <row r="229" spans="1:6" x14ac:dyDescent="0.2">
      <c r="A229" s="683">
        <f t="shared" si="118"/>
        <v>4</v>
      </c>
      <c r="B229" s="683">
        <f t="shared" si="115"/>
        <v>2013</v>
      </c>
      <c r="C229" s="694">
        <f t="shared" si="116"/>
        <v>41586</v>
      </c>
      <c r="D229" s="683" t="str">
        <f t="shared" si="117"/>
        <v>4Q13</v>
      </c>
      <c r="E229" s="910">
        <v>85.619996</v>
      </c>
      <c r="F229" s="674"/>
    </row>
    <row r="230" spans="1:6" x14ac:dyDescent="0.2">
      <c r="A230" s="683">
        <f t="shared" si="118"/>
        <v>4</v>
      </c>
      <c r="B230" s="683">
        <f t="shared" si="115"/>
        <v>2013</v>
      </c>
      <c r="C230" s="694">
        <f t="shared" si="116"/>
        <v>41593</v>
      </c>
      <c r="D230" s="683" t="str">
        <f t="shared" si="117"/>
        <v>4Q13</v>
      </c>
      <c r="E230" s="910">
        <v>87.149994000000007</v>
      </c>
      <c r="F230" s="674"/>
    </row>
    <row r="231" spans="1:6" x14ac:dyDescent="0.2">
      <c r="A231" s="683">
        <f t="shared" si="118"/>
        <v>4</v>
      </c>
      <c r="B231" s="683">
        <f t="shared" si="115"/>
        <v>2013</v>
      </c>
      <c r="C231" s="694">
        <f t="shared" si="116"/>
        <v>41600</v>
      </c>
      <c r="D231" s="683" t="str">
        <f t="shared" si="117"/>
        <v>4Q13</v>
      </c>
      <c r="E231" s="910">
        <v>87.119996</v>
      </c>
      <c r="F231" s="674"/>
    </row>
    <row r="232" spans="1:6" x14ac:dyDescent="0.2">
      <c r="A232" s="683">
        <f t="shared" si="118"/>
        <v>4</v>
      </c>
      <c r="B232" s="683">
        <f t="shared" si="115"/>
        <v>2013</v>
      </c>
      <c r="C232" s="694">
        <f t="shared" si="116"/>
        <v>41607</v>
      </c>
      <c r="D232" s="683" t="str">
        <f t="shared" si="117"/>
        <v>4Q13</v>
      </c>
      <c r="E232" s="910">
        <v>87.689988</v>
      </c>
      <c r="F232" s="674"/>
    </row>
    <row r="233" spans="1:6" x14ac:dyDescent="0.2">
      <c r="A233" s="683">
        <f t="shared" si="118"/>
        <v>4</v>
      </c>
      <c r="B233" s="683">
        <f t="shared" si="115"/>
        <v>2013</v>
      </c>
      <c r="C233" s="694">
        <f t="shared" si="116"/>
        <v>41614</v>
      </c>
      <c r="D233" s="683" t="str">
        <f t="shared" si="117"/>
        <v>4Q13</v>
      </c>
      <c r="E233" s="910">
        <v>89.669999000000004</v>
      </c>
      <c r="F233" s="674"/>
    </row>
    <row r="234" spans="1:6" x14ac:dyDescent="0.2">
      <c r="A234" s="683">
        <f t="shared" si="118"/>
        <v>4</v>
      </c>
      <c r="B234" s="683">
        <f t="shared" si="115"/>
        <v>2013</v>
      </c>
      <c r="C234" s="694">
        <f t="shared" si="116"/>
        <v>41621</v>
      </c>
      <c r="D234" s="683" t="str">
        <f t="shared" si="117"/>
        <v>4Q13</v>
      </c>
      <c r="E234" s="910">
        <v>87.969986000000006</v>
      </c>
      <c r="F234" s="674"/>
    </row>
    <row r="235" spans="1:6" x14ac:dyDescent="0.2">
      <c r="A235" s="683">
        <f t="shared" si="118"/>
        <v>4</v>
      </c>
      <c r="B235" s="683">
        <f t="shared" si="115"/>
        <v>2013</v>
      </c>
      <c r="C235" s="694">
        <f t="shared" si="116"/>
        <v>41628</v>
      </c>
      <c r="D235" s="683" t="str">
        <f t="shared" si="117"/>
        <v>4Q13</v>
      </c>
      <c r="E235" s="910">
        <v>91.319992999999997</v>
      </c>
      <c r="F235" s="674"/>
    </row>
    <row r="236" spans="1:6" x14ac:dyDescent="0.2">
      <c r="A236" s="683">
        <f t="shared" si="118"/>
        <v>4</v>
      </c>
      <c r="B236" s="683">
        <f t="shared" si="115"/>
        <v>2013</v>
      </c>
      <c r="C236" s="694">
        <f t="shared" si="116"/>
        <v>41635</v>
      </c>
      <c r="D236" s="683" t="str">
        <f t="shared" si="117"/>
        <v>4Q13</v>
      </c>
      <c r="E236" s="910">
        <v>92.329987000000003</v>
      </c>
      <c r="F236" s="674"/>
    </row>
    <row r="237" spans="1:6" x14ac:dyDescent="0.2">
      <c r="A237" s="683">
        <f t="shared" si="118"/>
        <v>1</v>
      </c>
      <c r="B237" s="683">
        <f t="shared" si="115"/>
        <v>2014</v>
      </c>
      <c r="C237" s="694">
        <f t="shared" si="116"/>
        <v>41642</v>
      </c>
      <c r="D237" s="683" t="str">
        <f t="shared" si="117"/>
        <v>1Q14</v>
      </c>
      <c r="E237" s="910">
        <v>91.369996</v>
      </c>
      <c r="F237" s="674"/>
    </row>
    <row r="238" spans="1:6" x14ac:dyDescent="0.2">
      <c r="A238" s="683">
        <f t="shared" si="118"/>
        <v>1</v>
      </c>
      <c r="B238" s="683">
        <f t="shared" si="115"/>
        <v>2014</v>
      </c>
      <c r="C238" s="694">
        <f t="shared" si="116"/>
        <v>41649</v>
      </c>
      <c r="D238" s="683" t="str">
        <f t="shared" si="117"/>
        <v>1Q14</v>
      </c>
      <c r="E238" s="910">
        <v>91.589996999999997</v>
      </c>
      <c r="F238" s="674"/>
    </row>
    <row r="239" spans="1:6" x14ac:dyDescent="0.2">
      <c r="A239" s="683">
        <f t="shared" si="118"/>
        <v>1</v>
      </c>
      <c r="B239" s="683">
        <f t="shared" si="115"/>
        <v>2014</v>
      </c>
      <c r="C239" s="694">
        <f t="shared" si="116"/>
        <v>41656</v>
      </c>
      <c r="D239" s="683" t="str">
        <f t="shared" si="117"/>
        <v>1Q14</v>
      </c>
      <c r="E239" s="910">
        <v>88.989991000000003</v>
      </c>
      <c r="F239" s="674"/>
    </row>
    <row r="240" spans="1:6" x14ac:dyDescent="0.2">
      <c r="A240" s="683">
        <f t="shared" si="118"/>
        <v>1</v>
      </c>
      <c r="B240" s="683">
        <f t="shared" si="115"/>
        <v>2014</v>
      </c>
      <c r="C240" s="694">
        <f t="shared" si="116"/>
        <v>41663</v>
      </c>
      <c r="D240" s="683" t="str">
        <f t="shared" si="117"/>
        <v>1Q14</v>
      </c>
      <c r="E240" s="910">
        <v>89.609986000000006</v>
      </c>
      <c r="F240" s="674"/>
    </row>
    <row r="241" spans="1:6" x14ac:dyDescent="0.2">
      <c r="A241" s="683">
        <f t="shared" si="118"/>
        <v>1</v>
      </c>
      <c r="B241" s="683">
        <f t="shared" ref="B241:B304" si="119">YEAR(C241)</f>
        <v>2014</v>
      </c>
      <c r="C241" s="694">
        <f t="shared" ref="C241:C304" si="120">C240+7</f>
        <v>41670</v>
      </c>
      <c r="D241" s="683" t="str">
        <f t="shared" ref="D241:D304" si="121">A241&amp;"Q"&amp;RIGHT(B241,2)</f>
        <v>1Q14</v>
      </c>
      <c r="E241" s="910">
        <v>92.589996999999997</v>
      </c>
      <c r="F241" s="674"/>
    </row>
    <row r="242" spans="1:6" x14ac:dyDescent="0.2">
      <c r="A242" s="683">
        <f t="shared" si="118"/>
        <v>1</v>
      </c>
      <c r="B242" s="683">
        <f t="shared" si="119"/>
        <v>2014</v>
      </c>
      <c r="C242" s="694">
        <f t="shared" si="120"/>
        <v>41677</v>
      </c>
      <c r="D242" s="683" t="str">
        <f t="shared" si="121"/>
        <v>1Q14</v>
      </c>
      <c r="E242" s="910">
        <v>94.739991000000003</v>
      </c>
      <c r="F242" s="674"/>
    </row>
    <row r="243" spans="1:6" x14ac:dyDescent="0.2">
      <c r="A243" s="683">
        <f t="shared" si="118"/>
        <v>1</v>
      </c>
      <c r="B243" s="683">
        <f t="shared" si="119"/>
        <v>2014</v>
      </c>
      <c r="C243" s="694">
        <f t="shared" si="120"/>
        <v>41684</v>
      </c>
      <c r="D243" s="683" t="str">
        <f t="shared" si="121"/>
        <v>1Q14</v>
      </c>
      <c r="E243" s="910">
        <v>92.839996999999997</v>
      </c>
      <c r="F243" s="674"/>
    </row>
    <row r="244" spans="1:6" x14ac:dyDescent="0.2">
      <c r="A244" s="683">
        <f t="shared" si="118"/>
        <v>1</v>
      </c>
      <c r="B244" s="683">
        <f t="shared" si="119"/>
        <v>2014</v>
      </c>
      <c r="C244" s="694">
        <f t="shared" si="120"/>
        <v>41691</v>
      </c>
      <c r="D244" s="683" t="str">
        <f t="shared" si="121"/>
        <v>1Q14</v>
      </c>
      <c r="E244" s="910">
        <v>90.469986000000006</v>
      </c>
      <c r="F244" s="674"/>
    </row>
    <row r="245" spans="1:6" x14ac:dyDescent="0.2">
      <c r="A245" s="683">
        <f t="shared" si="118"/>
        <v>1</v>
      </c>
      <c r="B245" s="683">
        <f t="shared" si="119"/>
        <v>2014</v>
      </c>
      <c r="C245" s="694">
        <f t="shared" si="120"/>
        <v>41698</v>
      </c>
      <c r="D245" s="683" t="str">
        <f t="shared" si="121"/>
        <v>1Q14</v>
      </c>
      <c r="E245" s="910">
        <v>91.909988999999996</v>
      </c>
      <c r="F245" s="674"/>
    </row>
    <row r="246" spans="1:6" x14ac:dyDescent="0.2">
      <c r="A246" s="683">
        <f t="shared" si="118"/>
        <v>1</v>
      </c>
      <c r="B246" s="683">
        <f t="shared" si="119"/>
        <v>2014</v>
      </c>
      <c r="C246" s="694">
        <f t="shared" si="120"/>
        <v>41705</v>
      </c>
      <c r="D246" s="683" t="str">
        <f t="shared" si="121"/>
        <v>1Q14</v>
      </c>
      <c r="E246" s="910">
        <v>94.289993999999993</v>
      </c>
      <c r="F246" s="674"/>
    </row>
    <row r="247" spans="1:6" x14ac:dyDescent="0.2">
      <c r="A247" s="683">
        <f t="shared" si="118"/>
        <v>1</v>
      </c>
      <c r="B247" s="683">
        <f t="shared" si="119"/>
        <v>2014</v>
      </c>
      <c r="C247" s="694">
        <f t="shared" si="120"/>
        <v>41712</v>
      </c>
      <c r="D247" s="683" t="str">
        <f t="shared" si="121"/>
        <v>1Q14</v>
      </c>
      <c r="E247" s="910">
        <v>94.529999000000004</v>
      </c>
      <c r="F247" s="674"/>
    </row>
    <row r="248" spans="1:6" x14ac:dyDescent="0.2">
      <c r="A248" s="683">
        <f t="shared" si="118"/>
        <v>1</v>
      </c>
      <c r="B248" s="683">
        <f t="shared" si="119"/>
        <v>2014</v>
      </c>
      <c r="C248" s="694">
        <f t="shared" si="120"/>
        <v>41719</v>
      </c>
      <c r="D248" s="683" t="str">
        <f t="shared" si="121"/>
        <v>1Q14</v>
      </c>
      <c r="E248" s="910">
        <v>96.469986000000006</v>
      </c>
      <c r="F248" s="674"/>
    </row>
    <row r="249" spans="1:6" x14ac:dyDescent="0.2">
      <c r="A249" s="683">
        <f t="shared" ref="A249:A312" si="122">A197</f>
        <v>1</v>
      </c>
      <c r="B249" s="683">
        <f t="shared" si="119"/>
        <v>2014</v>
      </c>
      <c r="C249" s="694">
        <f t="shared" si="120"/>
        <v>41726</v>
      </c>
      <c r="D249" s="683" t="str">
        <f t="shared" si="121"/>
        <v>1Q14</v>
      </c>
      <c r="E249" s="910">
        <v>96.349991000000003</v>
      </c>
      <c r="F249" s="674"/>
    </row>
    <row r="250" spans="1:6" x14ac:dyDescent="0.2">
      <c r="A250" s="683">
        <f t="shared" si="122"/>
        <v>2</v>
      </c>
      <c r="B250" s="683">
        <f t="shared" si="119"/>
        <v>2014</v>
      </c>
      <c r="C250" s="694">
        <f t="shared" si="120"/>
        <v>41733</v>
      </c>
      <c r="D250" s="683" t="str">
        <f t="shared" si="121"/>
        <v>2Q14</v>
      </c>
      <c r="E250" s="910">
        <v>96.64</v>
      </c>
      <c r="F250" s="674"/>
    </row>
    <row r="251" spans="1:6" x14ac:dyDescent="0.2">
      <c r="A251" s="683">
        <f t="shared" si="122"/>
        <v>2</v>
      </c>
      <c r="B251" s="683">
        <f t="shared" si="119"/>
        <v>2014</v>
      </c>
      <c r="C251" s="694">
        <f t="shared" si="120"/>
        <v>41740</v>
      </c>
      <c r="D251" s="683" t="str">
        <f t="shared" si="121"/>
        <v>2Q14</v>
      </c>
      <c r="E251" s="910">
        <v>93.149994000000007</v>
      </c>
      <c r="F251" s="674"/>
    </row>
    <row r="252" spans="1:6" x14ac:dyDescent="0.2">
      <c r="A252" s="683">
        <f t="shared" si="122"/>
        <v>2</v>
      </c>
      <c r="B252" s="683">
        <f t="shared" si="119"/>
        <v>2014</v>
      </c>
      <c r="C252" s="694">
        <f t="shared" si="120"/>
        <v>41747</v>
      </c>
      <c r="D252" s="683" t="str">
        <f t="shared" si="121"/>
        <v>2Q14</v>
      </c>
      <c r="E252" s="910">
        <v>96.269990000000007</v>
      </c>
      <c r="F252" s="674"/>
    </row>
    <row r="253" spans="1:6" x14ac:dyDescent="0.2">
      <c r="A253" s="683">
        <f t="shared" si="122"/>
        <v>2</v>
      </c>
      <c r="B253" s="683">
        <f t="shared" si="119"/>
        <v>2014</v>
      </c>
      <c r="C253" s="694">
        <f t="shared" si="120"/>
        <v>41754</v>
      </c>
      <c r="D253" s="683" t="str">
        <f t="shared" si="121"/>
        <v>2Q14</v>
      </c>
      <c r="E253" s="910">
        <v>94.029999000000004</v>
      </c>
      <c r="F253" s="674"/>
    </row>
    <row r="254" spans="1:6" x14ac:dyDescent="0.2">
      <c r="A254" s="683">
        <f t="shared" si="122"/>
        <v>2</v>
      </c>
      <c r="B254" s="683">
        <f t="shared" si="119"/>
        <v>2014</v>
      </c>
      <c r="C254" s="694">
        <f t="shared" si="120"/>
        <v>41761</v>
      </c>
      <c r="D254" s="683" t="str">
        <f t="shared" si="121"/>
        <v>2Q14</v>
      </c>
      <c r="E254" s="910">
        <v>93.569992999999997</v>
      </c>
      <c r="F254" s="674"/>
    </row>
    <row r="255" spans="1:6" x14ac:dyDescent="0.2">
      <c r="A255" s="683">
        <f t="shared" si="122"/>
        <v>2</v>
      </c>
      <c r="B255" s="683">
        <f t="shared" si="119"/>
        <v>2014</v>
      </c>
      <c r="C255" s="694">
        <f t="shared" si="120"/>
        <v>41768</v>
      </c>
      <c r="D255" s="683" t="str">
        <f t="shared" si="121"/>
        <v>2Q14</v>
      </c>
      <c r="E255" s="910">
        <v>95.299987999999999</v>
      </c>
      <c r="F255" s="674"/>
    </row>
    <row r="256" spans="1:6" x14ac:dyDescent="0.2">
      <c r="A256" s="683">
        <f t="shared" si="122"/>
        <v>2</v>
      </c>
      <c r="B256" s="683">
        <f t="shared" si="119"/>
        <v>2014</v>
      </c>
      <c r="C256" s="694">
        <f t="shared" si="120"/>
        <v>41775</v>
      </c>
      <c r="D256" s="683" t="str">
        <f t="shared" si="121"/>
        <v>2Q14</v>
      </c>
      <c r="E256" s="910">
        <v>97.339996999999997</v>
      </c>
      <c r="F256" s="674"/>
    </row>
    <row r="257" spans="1:6" x14ac:dyDescent="0.2">
      <c r="A257" s="683">
        <f t="shared" si="122"/>
        <v>2</v>
      </c>
      <c r="B257" s="683">
        <f t="shared" si="119"/>
        <v>2014</v>
      </c>
      <c r="C257" s="694">
        <f t="shared" si="120"/>
        <v>41782</v>
      </c>
      <c r="D257" s="683" t="str">
        <f t="shared" si="121"/>
        <v>2Q14</v>
      </c>
      <c r="E257" s="910">
        <v>99.199996999999996</v>
      </c>
      <c r="F257" s="674"/>
    </row>
    <row r="258" spans="1:6" x14ac:dyDescent="0.2">
      <c r="A258" s="683">
        <f t="shared" si="122"/>
        <v>2</v>
      </c>
      <c r="B258" s="683">
        <f t="shared" si="119"/>
        <v>2014</v>
      </c>
      <c r="C258" s="694">
        <f t="shared" si="120"/>
        <v>41789</v>
      </c>
      <c r="D258" s="683" t="str">
        <f t="shared" si="121"/>
        <v>2Q14</v>
      </c>
      <c r="E258" s="910">
        <v>100.75</v>
      </c>
      <c r="F258" s="674"/>
    </row>
    <row r="259" spans="1:6" x14ac:dyDescent="0.2">
      <c r="A259" s="683">
        <f t="shared" si="122"/>
        <v>2</v>
      </c>
      <c r="B259" s="683">
        <f t="shared" si="119"/>
        <v>2014</v>
      </c>
      <c r="C259" s="694">
        <f t="shared" si="120"/>
        <v>41796</v>
      </c>
      <c r="D259" s="683" t="str">
        <f t="shared" si="121"/>
        <v>2Q14</v>
      </c>
      <c r="E259" s="910">
        <v>101.76</v>
      </c>
      <c r="F259" s="674"/>
    </row>
    <row r="260" spans="1:6" x14ac:dyDescent="0.2">
      <c r="A260" s="683">
        <f t="shared" si="122"/>
        <v>2</v>
      </c>
      <c r="B260" s="683">
        <f t="shared" si="119"/>
        <v>2014</v>
      </c>
      <c r="C260" s="694">
        <f t="shared" si="120"/>
        <v>41803</v>
      </c>
      <c r="D260" s="683" t="str">
        <f t="shared" si="121"/>
        <v>2Q14</v>
      </c>
      <c r="E260" s="910">
        <v>101.15998999999999</v>
      </c>
      <c r="F260" s="674"/>
    </row>
    <row r="261" spans="1:6" x14ac:dyDescent="0.2">
      <c r="A261" s="683">
        <f t="shared" si="122"/>
        <v>2</v>
      </c>
      <c r="B261" s="683">
        <f t="shared" si="119"/>
        <v>2014</v>
      </c>
      <c r="C261" s="694">
        <f t="shared" si="120"/>
        <v>41810</v>
      </c>
      <c r="D261" s="683" t="str">
        <f t="shared" si="121"/>
        <v>2Q14</v>
      </c>
      <c r="E261" s="910">
        <v>104.40998999999999</v>
      </c>
      <c r="F261" s="674"/>
    </row>
    <row r="262" spans="1:6" x14ac:dyDescent="0.2">
      <c r="A262" s="683">
        <f t="shared" si="122"/>
        <v>2</v>
      </c>
      <c r="B262" s="683">
        <f t="shared" si="119"/>
        <v>2014</v>
      </c>
      <c r="C262" s="694">
        <f t="shared" si="120"/>
        <v>41817</v>
      </c>
      <c r="D262" s="683" t="str">
        <f t="shared" si="121"/>
        <v>2Q14</v>
      </c>
      <c r="E262" s="910">
        <v>101.65</v>
      </c>
      <c r="F262" s="674"/>
    </row>
    <row r="263" spans="1:6" x14ac:dyDescent="0.2">
      <c r="A263" s="683">
        <f t="shared" si="122"/>
        <v>3</v>
      </c>
      <c r="B263" s="683">
        <f t="shared" si="119"/>
        <v>2014</v>
      </c>
      <c r="C263" s="694">
        <f t="shared" si="120"/>
        <v>41824</v>
      </c>
      <c r="D263" s="683" t="str">
        <f t="shared" si="121"/>
        <v>3Q14</v>
      </c>
      <c r="E263" s="910">
        <v>103.84</v>
      </c>
      <c r="F263" s="674"/>
    </row>
    <row r="264" spans="1:6" x14ac:dyDescent="0.2">
      <c r="A264" s="683">
        <f t="shared" si="122"/>
        <v>3</v>
      </c>
      <c r="B264" s="683">
        <f t="shared" si="119"/>
        <v>2014</v>
      </c>
      <c r="C264" s="694">
        <f t="shared" si="120"/>
        <v>41831</v>
      </c>
      <c r="D264" s="683" t="str">
        <f t="shared" si="121"/>
        <v>3Q14</v>
      </c>
      <c r="E264" s="910">
        <v>103.95</v>
      </c>
      <c r="F264" s="674"/>
    </row>
    <row r="265" spans="1:6" x14ac:dyDescent="0.2">
      <c r="A265" s="683">
        <f t="shared" si="122"/>
        <v>3</v>
      </c>
      <c r="B265" s="683">
        <f t="shared" si="119"/>
        <v>2014</v>
      </c>
      <c r="C265" s="694">
        <f t="shared" si="120"/>
        <v>41838</v>
      </c>
      <c r="D265" s="683" t="str">
        <f t="shared" si="121"/>
        <v>3Q14</v>
      </c>
      <c r="E265" s="910">
        <v>106.18</v>
      </c>
      <c r="F265" s="674"/>
    </row>
    <row r="266" spans="1:6" x14ac:dyDescent="0.2">
      <c r="A266" s="683">
        <f t="shared" si="122"/>
        <v>3</v>
      </c>
      <c r="B266" s="683">
        <f t="shared" si="119"/>
        <v>2014</v>
      </c>
      <c r="C266" s="694">
        <f t="shared" si="120"/>
        <v>41845</v>
      </c>
      <c r="D266" s="683" t="str">
        <f t="shared" si="121"/>
        <v>3Q14</v>
      </c>
      <c r="E266" s="910">
        <v>107.5</v>
      </c>
      <c r="F266" s="674"/>
    </row>
    <row r="267" spans="1:6" x14ac:dyDescent="0.2">
      <c r="A267" s="683">
        <f t="shared" si="122"/>
        <v>3</v>
      </c>
      <c r="B267" s="683">
        <f t="shared" si="119"/>
        <v>2014</v>
      </c>
      <c r="C267" s="694">
        <f t="shared" si="120"/>
        <v>41852</v>
      </c>
      <c r="D267" s="683" t="str">
        <f t="shared" si="121"/>
        <v>3Q14</v>
      </c>
      <c r="E267" s="910">
        <v>101.2</v>
      </c>
      <c r="F267" s="674"/>
    </row>
    <row r="268" spans="1:6" x14ac:dyDescent="0.2">
      <c r="A268" s="683">
        <f t="shared" si="122"/>
        <v>3</v>
      </c>
      <c r="B268" s="683">
        <f t="shared" si="119"/>
        <v>2014</v>
      </c>
      <c r="C268" s="694">
        <f t="shared" si="120"/>
        <v>41859</v>
      </c>
      <c r="D268" s="683" t="str">
        <f t="shared" si="121"/>
        <v>3Q14</v>
      </c>
      <c r="E268" s="910">
        <v>101.37</v>
      </c>
      <c r="F268" s="674"/>
    </row>
    <row r="269" spans="1:6" x14ac:dyDescent="0.2">
      <c r="A269" s="683">
        <f t="shared" si="122"/>
        <v>3</v>
      </c>
      <c r="B269" s="683">
        <f t="shared" si="119"/>
        <v>2014</v>
      </c>
      <c r="C269" s="694">
        <f t="shared" si="120"/>
        <v>41866</v>
      </c>
      <c r="D269" s="683" t="str">
        <f t="shared" si="121"/>
        <v>3Q14</v>
      </c>
      <c r="E269" s="910">
        <v>102.45</v>
      </c>
      <c r="F269" s="674"/>
    </row>
    <row r="270" spans="1:6" x14ac:dyDescent="0.2">
      <c r="A270" s="683">
        <f t="shared" si="122"/>
        <v>3</v>
      </c>
      <c r="B270" s="683">
        <f t="shared" si="119"/>
        <v>2014</v>
      </c>
      <c r="C270" s="694">
        <f t="shared" si="120"/>
        <v>41873</v>
      </c>
      <c r="D270" s="683" t="str">
        <f t="shared" si="121"/>
        <v>3Q14</v>
      </c>
      <c r="E270" s="910">
        <v>105.48</v>
      </c>
      <c r="F270" s="674"/>
    </row>
    <row r="271" spans="1:6" x14ac:dyDescent="0.2">
      <c r="A271" s="683">
        <f t="shared" si="122"/>
        <v>3</v>
      </c>
      <c r="B271" s="683">
        <f t="shared" si="119"/>
        <v>2014</v>
      </c>
      <c r="C271" s="694">
        <f t="shared" si="120"/>
        <v>41880</v>
      </c>
      <c r="D271" s="683" t="str">
        <f t="shared" si="121"/>
        <v>3Q14</v>
      </c>
      <c r="E271" s="910">
        <v>107</v>
      </c>
      <c r="F271" s="674"/>
    </row>
    <row r="272" spans="1:6" x14ac:dyDescent="0.2">
      <c r="A272" s="683">
        <f t="shared" si="122"/>
        <v>3</v>
      </c>
      <c r="B272" s="683">
        <f t="shared" si="119"/>
        <v>2014</v>
      </c>
      <c r="C272" s="694">
        <f t="shared" si="120"/>
        <v>41887</v>
      </c>
      <c r="D272" s="683" t="str">
        <f t="shared" si="121"/>
        <v>3Q14</v>
      </c>
      <c r="E272" s="910">
        <v>109.54998999999999</v>
      </c>
      <c r="F272" s="674"/>
    </row>
    <row r="273" spans="1:6" x14ac:dyDescent="0.2">
      <c r="A273" s="683">
        <f t="shared" si="122"/>
        <v>3</v>
      </c>
      <c r="B273" s="683">
        <f t="shared" si="119"/>
        <v>2014</v>
      </c>
      <c r="C273" s="694">
        <f t="shared" si="120"/>
        <v>41894</v>
      </c>
      <c r="D273" s="683" t="str">
        <f t="shared" si="121"/>
        <v>3Q14</v>
      </c>
      <c r="E273" s="910">
        <v>107.89</v>
      </c>
      <c r="F273" s="674"/>
    </row>
    <row r="274" spans="1:6" x14ac:dyDescent="0.2">
      <c r="A274" s="683">
        <f t="shared" si="122"/>
        <v>3</v>
      </c>
      <c r="B274" s="683">
        <f t="shared" si="119"/>
        <v>2014</v>
      </c>
      <c r="C274" s="694">
        <f t="shared" si="120"/>
        <v>41901</v>
      </c>
      <c r="D274" s="683" t="str">
        <f t="shared" si="121"/>
        <v>3Q14</v>
      </c>
      <c r="E274" s="910">
        <v>112</v>
      </c>
      <c r="F274" s="674"/>
    </row>
    <row r="275" spans="1:6" x14ac:dyDescent="0.2">
      <c r="A275" s="683">
        <f t="shared" si="122"/>
        <v>3</v>
      </c>
      <c r="B275" s="683">
        <f t="shared" si="119"/>
        <v>2014</v>
      </c>
      <c r="C275" s="694">
        <f t="shared" si="120"/>
        <v>41908</v>
      </c>
      <c r="D275" s="683" t="str">
        <f t="shared" si="121"/>
        <v>3Q14</v>
      </c>
      <c r="E275" s="910">
        <v>111.31</v>
      </c>
      <c r="F275" s="674"/>
    </row>
    <row r="276" spans="1:6" x14ac:dyDescent="0.2">
      <c r="A276" s="683">
        <f t="shared" si="122"/>
        <v>4</v>
      </c>
      <c r="B276" s="683">
        <f t="shared" si="119"/>
        <v>2014</v>
      </c>
      <c r="C276" s="694">
        <f t="shared" si="120"/>
        <v>41915</v>
      </c>
      <c r="D276" s="683" t="str">
        <f t="shared" si="121"/>
        <v>4Q14</v>
      </c>
      <c r="E276" s="910">
        <v>112.46999</v>
      </c>
      <c r="F276" s="674"/>
    </row>
    <row r="277" spans="1:6" x14ac:dyDescent="0.2">
      <c r="A277" s="683">
        <f t="shared" si="122"/>
        <v>4</v>
      </c>
      <c r="B277" s="683">
        <f t="shared" si="119"/>
        <v>2014</v>
      </c>
      <c r="C277" s="694">
        <f t="shared" si="120"/>
        <v>41922</v>
      </c>
      <c r="D277" s="683" t="str">
        <f t="shared" si="121"/>
        <v>4Q14</v>
      </c>
      <c r="E277" s="910">
        <v>102.35999</v>
      </c>
      <c r="F277" s="674"/>
    </row>
    <row r="278" spans="1:6" x14ac:dyDescent="0.2">
      <c r="A278" s="683">
        <f t="shared" si="122"/>
        <v>4</v>
      </c>
      <c r="B278" s="683">
        <f t="shared" si="119"/>
        <v>2014</v>
      </c>
      <c r="C278" s="694">
        <f t="shared" si="120"/>
        <v>41929</v>
      </c>
      <c r="D278" s="683" t="str">
        <f t="shared" si="121"/>
        <v>4Q14</v>
      </c>
      <c r="E278" s="910">
        <v>106.54</v>
      </c>
      <c r="F278" s="674"/>
    </row>
    <row r="279" spans="1:6" x14ac:dyDescent="0.2">
      <c r="A279" s="683">
        <f t="shared" si="122"/>
        <v>4</v>
      </c>
      <c r="B279" s="683">
        <f t="shared" si="119"/>
        <v>2014</v>
      </c>
      <c r="C279" s="694">
        <f t="shared" si="120"/>
        <v>41936</v>
      </c>
      <c r="D279" s="683" t="str">
        <f t="shared" si="121"/>
        <v>4Q14</v>
      </c>
      <c r="E279" s="910">
        <v>109.39</v>
      </c>
      <c r="F279" s="674"/>
    </row>
    <row r="280" spans="1:6" x14ac:dyDescent="0.2">
      <c r="A280" s="683">
        <f t="shared" si="122"/>
        <v>4</v>
      </c>
      <c r="B280" s="683">
        <f>YEAR(C280)</f>
        <v>2014</v>
      </c>
      <c r="C280" s="694">
        <f t="shared" si="120"/>
        <v>41943</v>
      </c>
      <c r="D280" s="683" t="str">
        <f>A280&amp;"Q"&amp;RIGHT(B280,2)</f>
        <v>4Q14</v>
      </c>
      <c r="E280" s="910">
        <v>110.64</v>
      </c>
      <c r="F280" s="674"/>
    </row>
    <row r="281" spans="1:6" x14ac:dyDescent="0.2">
      <c r="A281" s="683">
        <f t="shared" si="122"/>
        <v>4</v>
      </c>
      <c r="B281" s="683">
        <f>YEAR(C281)</f>
        <v>2014</v>
      </c>
      <c r="C281" s="694">
        <f t="shared" si="120"/>
        <v>41950</v>
      </c>
      <c r="D281" s="683" t="str">
        <f>A281&amp;"Q"&amp;RIGHT(B281,2)</f>
        <v>4Q14</v>
      </c>
      <c r="E281" s="910">
        <v>112.86001</v>
      </c>
      <c r="F281" s="674"/>
    </row>
    <row r="282" spans="1:6" x14ac:dyDescent="0.2">
      <c r="A282" s="683">
        <f t="shared" si="122"/>
        <v>4</v>
      </c>
      <c r="B282" s="683">
        <f t="shared" si="119"/>
        <v>2014</v>
      </c>
      <c r="C282" s="694">
        <f t="shared" si="120"/>
        <v>41957</v>
      </c>
      <c r="D282" s="683" t="str">
        <f t="shared" si="121"/>
        <v>4Q14</v>
      </c>
      <c r="E282" s="910">
        <v>116.03</v>
      </c>
      <c r="F282" s="674"/>
    </row>
    <row r="283" spans="1:6" x14ac:dyDescent="0.2">
      <c r="A283" s="683">
        <f t="shared" si="122"/>
        <v>4</v>
      </c>
      <c r="B283" s="683">
        <f t="shared" si="119"/>
        <v>2014</v>
      </c>
      <c r="C283" s="694">
        <f t="shared" si="120"/>
        <v>41964</v>
      </c>
      <c r="D283" s="683" t="str">
        <f t="shared" si="121"/>
        <v>4Q14</v>
      </c>
      <c r="E283" s="910">
        <v>115.36001</v>
      </c>
      <c r="F283" s="674"/>
    </row>
    <row r="284" spans="1:6" x14ac:dyDescent="0.2">
      <c r="A284" s="683">
        <f t="shared" si="122"/>
        <v>4</v>
      </c>
      <c r="B284" s="683">
        <f t="shared" si="119"/>
        <v>2014</v>
      </c>
      <c r="C284" s="694">
        <f t="shared" si="120"/>
        <v>41971</v>
      </c>
      <c r="D284" s="683" t="str">
        <f t="shared" si="121"/>
        <v>4Q14</v>
      </c>
      <c r="E284" s="910">
        <v>111.64</v>
      </c>
      <c r="F284" s="674"/>
    </row>
    <row r="285" spans="1:6" x14ac:dyDescent="0.2">
      <c r="A285" s="683">
        <f t="shared" si="122"/>
        <v>4</v>
      </c>
      <c r="B285" s="683">
        <f t="shared" si="119"/>
        <v>2014</v>
      </c>
      <c r="C285" s="694">
        <f t="shared" si="120"/>
        <v>41978</v>
      </c>
      <c r="D285" s="683" t="str">
        <f t="shared" si="121"/>
        <v>4Q14</v>
      </c>
      <c r="E285" s="910">
        <v>107.07001</v>
      </c>
      <c r="F285" s="674"/>
    </row>
    <row r="286" spans="1:6" x14ac:dyDescent="0.2">
      <c r="A286" s="683">
        <f t="shared" si="122"/>
        <v>4</v>
      </c>
      <c r="B286" s="683">
        <f t="shared" si="119"/>
        <v>2014</v>
      </c>
      <c r="C286" s="694">
        <f t="shared" si="120"/>
        <v>41985</v>
      </c>
      <c r="D286" s="683" t="str">
        <f t="shared" si="121"/>
        <v>4Q14</v>
      </c>
      <c r="E286" s="910">
        <v>101.55001</v>
      </c>
      <c r="F286" s="674"/>
    </row>
    <row r="287" spans="1:6" x14ac:dyDescent="0.2">
      <c r="A287" s="683">
        <f t="shared" si="122"/>
        <v>4</v>
      </c>
      <c r="B287" s="683">
        <f t="shared" si="119"/>
        <v>2014</v>
      </c>
      <c r="C287" s="694">
        <f t="shared" si="120"/>
        <v>41992</v>
      </c>
      <c r="D287" s="683" t="str">
        <f t="shared" si="121"/>
        <v>4Q14</v>
      </c>
      <c r="E287" s="910">
        <v>109.05001</v>
      </c>
      <c r="F287" s="674"/>
    </row>
    <row r="288" spans="1:6" x14ac:dyDescent="0.2">
      <c r="A288" s="683">
        <f t="shared" si="122"/>
        <v>4</v>
      </c>
      <c r="B288" s="683">
        <f t="shared" si="119"/>
        <v>2014</v>
      </c>
      <c r="C288" s="694">
        <f t="shared" si="120"/>
        <v>41999</v>
      </c>
      <c r="D288" s="683" t="str">
        <f t="shared" si="121"/>
        <v>4Q14</v>
      </c>
      <c r="E288" s="910">
        <v>111.54</v>
      </c>
      <c r="F288" s="674"/>
    </row>
    <row r="289" spans="1:6" x14ac:dyDescent="0.2">
      <c r="A289" s="683">
        <f t="shared" si="122"/>
        <v>1</v>
      </c>
      <c r="B289" s="683">
        <f t="shared" si="119"/>
        <v>2015</v>
      </c>
      <c r="C289" s="694">
        <f t="shared" si="120"/>
        <v>42006</v>
      </c>
      <c r="D289" s="683" t="str">
        <f t="shared" si="121"/>
        <v>1Q15</v>
      </c>
      <c r="E289" s="910">
        <v>109.15</v>
      </c>
      <c r="F289" s="674"/>
    </row>
    <row r="290" spans="1:6" x14ac:dyDescent="0.2">
      <c r="A290" s="683">
        <f t="shared" si="122"/>
        <v>1</v>
      </c>
      <c r="B290" s="683">
        <f t="shared" si="119"/>
        <v>2015</v>
      </c>
      <c r="C290" s="694">
        <f t="shared" si="120"/>
        <v>42013</v>
      </c>
      <c r="D290" s="683" t="str">
        <f t="shared" si="121"/>
        <v>1Q15</v>
      </c>
      <c r="E290" s="910">
        <v>103.17</v>
      </c>
      <c r="F290" s="674"/>
    </row>
    <row r="291" spans="1:6" x14ac:dyDescent="0.2">
      <c r="A291" s="683">
        <f t="shared" si="122"/>
        <v>1</v>
      </c>
      <c r="B291" s="683">
        <f t="shared" si="119"/>
        <v>2015</v>
      </c>
      <c r="C291" s="694">
        <f t="shared" si="120"/>
        <v>42020</v>
      </c>
      <c r="D291" s="683" t="str">
        <f t="shared" si="121"/>
        <v>1Q15</v>
      </c>
      <c r="E291" s="910">
        <v>103.58001</v>
      </c>
      <c r="F291" s="674"/>
    </row>
    <row r="292" spans="1:6" x14ac:dyDescent="0.2">
      <c r="A292" s="683">
        <f t="shared" si="122"/>
        <v>1</v>
      </c>
      <c r="B292" s="683">
        <f t="shared" si="119"/>
        <v>2015</v>
      </c>
      <c r="C292" s="694">
        <f t="shared" si="120"/>
        <v>42027</v>
      </c>
      <c r="D292" s="683" t="str">
        <f t="shared" si="121"/>
        <v>1Q15</v>
      </c>
      <c r="E292" s="910">
        <v>104.78</v>
      </c>
      <c r="F292" s="674"/>
    </row>
    <row r="293" spans="1:6" x14ac:dyDescent="0.2">
      <c r="A293" s="683">
        <f t="shared" si="122"/>
        <v>1</v>
      </c>
      <c r="B293" s="683">
        <f t="shared" si="119"/>
        <v>2015</v>
      </c>
      <c r="C293" s="694">
        <f t="shared" si="120"/>
        <v>42034</v>
      </c>
      <c r="D293" s="683" t="str">
        <f t="shared" si="121"/>
        <v>1Q15</v>
      </c>
      <c r="E293" s="910">
        <v>101.97001</v>
      </c>
      <c r="F293" s="674"/>
    </row>
    <row r="294" spans="1:6" x14ac:dyDescent="0.2">
      <c r="A294" s="683">
        <f t="shared" si="122"/>
        <v>1</v>
      </c>
      <c r="B294" s="683">
        <f t="shared" si="119"/>
        <v>2015</v>
      </c>
      <c r="C294" s="694">
        <f t="shared" si="120"/>
        <v>42041</v>
      </c>
      <c r="D294" s="683" t="str">
        <f t="shared" si="121"/>
        <v>1Q15</v>
      </c>
      <c r="E294" s="910">
        <v>107.79</v>
      </c>
      <c r="F294" s="674"/>
    </row>
    <row r="295" spans="1:6" x14ac:dyDescent="0.2">
      <c r="A295" s="683">
        <f t="shared" si="122"/>
        <v>1</v>
      </c>
      <c r="B295" s="683">
        <f t="shared" si="119"/>
        <v>2015</v>
      </c>
      <c r="C295" s="694">
        <f t="shared" si="120"/>
        <v>42048</v>
      </c>
      <c r="D295" s="683" t="str">
        <f t="shared" si="121"/>
        <v>1Q15</v>
      </c>
      <c r="E295" s="910">
        <v>109.91001</v>
      </c>
      <c r="F295" s="674"/>
    </row>
    <row r="296" spans="1:6" x14ac:dyDescent="0.2">
      <c r="A296" s="683">
        <f t="shared" si="122"/>
        <v>1</v>
      </c>
      <c r="B296" s="683">
        <f t="shared" si="119"/>
        <v>2015</v>
      </c>
      <c r="C296" s="694">
        <f t="shared" si="120"/>
        <v>42055</v>
      </c>
      <c r="D296" s="683" t="str">
        <f t="shared" si="121"/>
        <v>1Q15</v>
      </c>
      <c r="E296" s="910">
        <v>111.73</v>
      </c>
      <c r="F296" s="674"/>
    </row>
    <row r="297" spans="1:6" x14ac:dyDescent="0.2">
      <c r="A297" s="683">
        <f t="shared" si="122"/>
        <v>1</v>
      </c>
      <c r="B297" s="683">
        <f t="shared" si="119"/>
        <v>2015</v>
      </c>
      <c r="C297" s="694">
        <f t="shared" si="120"/>
        <v>42062</v>
      </c>
      <c r="D297" s="683" t="str">
        <f t="shared" si="121"/>
        <v>1Q15</v>
      </c>
      <c r="E297" s="910">
        <v>109.16001</v>
      </c>
      <c r="F297" s="674"/>
    </row>
    <row r="298" spans="1:6" x14ac:dyDescent="0.2">
      <c r="A298" s="683">
        <f t="shared" si="122"/>
        <v>1</v>
      </c>
      <c r="B298" s="683">
        <f t="shared" si="119"/>
        <v>2015</v>
      </c>
      <c r="C298" s="694">
        <f t="shared" si="120"/>
        <v>42069</v>
      </c>
      <c r="D298" s="683" t="str">
        <f t="shared" si="121"/>
        <v>1Q15</v>
      </c>
      <c r="E298" s="910">
        <v>108.21001</v>
      </c>
      <c r="F298" s="674"/>
    </row>
    <row r="299" spans="1:6" x14ac:dyDescent="0.2">
      <c r="A299" s="683">
        <f t="shared" si="122"/>
        <v>1</v>
      </c>
      <c r="B299" s="683">
        <f t="shared" si="119"/>
        <v>2015</v>
      </c>
      <c r="C299" s="694">
        <f t="shared" si="120"/>
        <v>42076</v>
      </c>
      <c r="D299" s="683" t="str">
        <f t="shared" si="121"/>
        <v>1Q15</v>
      </c>
      <c r="E299" s="910">
        <v>108.65</v>
      </c>
      <c r="F299" s="674"/>
    </row>
    <row r="300" spans="1:6" x14ac:dyDescent="0.2">
      <c r="A300" s="683">
        <f t="shared" si="122"/>
        <v>1</v>
      </c>
      <c r="B300" s="683">
        <f t="shared" si="119"/>
        <v>2015</v>
      </c>
      <c r="C300" s="694">
        <f t="shared" si="120"/>
        <v>42083</v>
      </c>
      <c r="D300" s="683" t="str">
        <f t="shared" si="121"/>
        <v>1Q15</v>
      </c>
      <c r="E300" s="910">
        <v>110.43</v>
      </c>
      <c r="F300" s="674"/>
    </row>
    <row r="301" spans="1:6" x14ac:dyDescent="0.2">
      <c r="A301" s="683">
        <f t="shared" si="122"/>
        <v>1</v>
      </c>
      <c r="B301" s="683">
        <f t="shared" si="119"/>
        <v>2015</v>
      </c>
      <c r="C301" s="694">
        <f t="shared" si="120"/>
        <v>42090</v>
      </c>
      <c r="D301" s="683" t="str">
        <f t="shared" si="121"/>
        <v>1Q15</v>
      </c>
      <c r="E301" s="910">
        <v>103.62</v>
      </c>
      <c r="F301" s="674"/>
    </row>
    <row r="302" spans="1:6" x14ac:dyDescent="0.2">
      <c r="A302" s="683">
        <f t="shared" si="122"/>
        <v>2</v>
      </c>
      <c r="B302" s="683">
        <f t="shared" si="119"/>
        <v>2015</v>
      </c>
      <c r="C302" s="694">
        <f t="shared" si="120"/>
        <v>42097</v>
      </c>
      <c r="D302" s="683" t="str">
        <f t="shared" si="121"/>
        <v>2Q15</v>
      </c>
      <c r="E302" s="910">
        <v>104.15</v>
      </c>
      <c r="F302" s="674"/>
    </row>
    <row r="303" spans="1:6" x14ac:dyDescent="0.2">
      <c r="A303" s="683">
        <f t="shared" si="122"/>
        <v>2</v>
      </c>
      <c r="B303" s="683">
        <f t="shared" si="119"/>
        <v>2015</v>
      </c>
      <c r="C303" s="694">
        <f t="shared" si="120"/>
        <v>42104</v>
      </c>
      <c r="D303" s="683" t="str">
        <f t="shared" si="121"/>
        <v>2Q15</v>
      </c>
      <c r="E303" s="910">
        <v>106.35001</v>
      </c>
      <c r="F303" s="674"/>
    </row>
    <row r="304" spans="1:6" x14ac:dyDescent="0.2">
      <c r="A304" s="683">
        <f t="shared" si="122"/>
        <v>2</v>
      </c>
      <c r="B304" s="683">
        <f t="shared" si="119"/>
        <v>2015</v>
      </c>
      <c r="C304" s="694">
        <f t="shared" si="120"/>
        <v>42111</v>
      </c>
      <c r="D304" s="683" t="str">
        <f t="shared" si="121"/>
        <v>2Q15</v>
      </c>
      <c r="E304" s="910">
        <v>100.65</v>
      </c>
      <c r="F304" s="674"/>
    </row>
    <row r="305" spans="1:6" x14ac:dyDescent="0.2">
      <c r="A305" s="683">
        <f t="shared" si="122"/>
        <v>2</v>
      </c>
      <c r="B305" s="683">
        <f t="shared" ref="B305:B361" si="123">YEAR(C305)</f>
        <v>2015</v>
      </c>
      <c r="C305" s="694">
        <f t="shared" ref="C305:C368" si="124">C304+7</f>
        <v>42118</v>
      </c>
      <c r="D305" s="683" t="str">
        <f t="shared" ref="D305:D361" si="125">A305&amp;"Q"&amp;RIGHT(B305,2)</f>
        <v>2Q15</v>
      </c>
      <c r="E305" s="910">
        <v>105.29</v>
      </c>
      <c r="F305" s="674"/>
    </row>
    <row r="306" spans="1:6" x14ac:dyDescent="0.2">
      <c r="A306" s="683">
        <f t="shared" si="122"/>
        <v>2</v>
      </c>
      <c r="B306" s="683">
        <f t="shared" si="123"/>
        <v>2015</v>
      </c>
      <c r="C306" s="694">
        <f t="shared" si="124"/>
        <v>42125</v>
      </c>
      <c r="D306" s="683" t="str">
        <f t="shared" si="125"/>
        <v>2Q15</v>
      </c>
      <c r="E306" s="910">
        <v>103.21001</v>
      </c>
      <c r="F306" s="674"/>
    </row>
    <row r="307" spans="1:6" x14ac:dyDescent="0.2">
      <c r="A307" s="683">
        <f t="shared" si="122"/>
        <v>2</v>
      </c>
      <c r="B307" s="683">
        <f t="shared" si="123"/>
        <v>2015</v>
      </c>
      <c r="C307" s="694">
        <f t="shared" si="124"/>
        <v>42132</v>
      </c>
      <c r="D307" s="683" t="str">
        <f t="shared" si="125"/>
        <v>2Q15</v>
      </c>
      <c r="E307" s="910">
        <v>100.63001</v>
      </c>
      <c r="F307" s="674"/>
    </row>
    <row r="308" spans="1:6" x14ac:dyDescent="0.2">
      <c r="A308" s="683">
        <f t="shared" si="122"/>
        <v>2</v>
      </c>
      <c r="B308" s="683">
        <f t="shared" si="123"/>
        <v>2015</v>
      </c>
      <c r="C308" s="694">
        <f t="shared" si="124"/>
        <v>42139</v>
      </c>
      <c r="D308" s="683" t="str">
        <f t="shared" si="125"/>
        <v>2Q15</v>
      </c>
      <c r="E308" s="910">
        <v>97.559997999999993</v>
      </c>
      <c r="F308" s="674"/>
    </row>
    <row r="309" spans="1:6" x14ac:dyDescent="0.2">
      <c r="A309" s="683">
        <f t="shared" si="122"/>
        <v>2</v>
      </c>
      <c r="B309" s="683">
        <f t="shared" si="123"/>
        <v>2015</v>
      </c>
      <c r="C309" s="694">
        <f t="shared" si="124"/>
        <v>42146</v>
      </c>
      <c r="D309" s="683" t="str">
        <f t="shared" si="125"/>
        <v>2Q15</v>
      </c>
      <c r="E309" s="910">
        <v>95.529999000000004</v>
      </c>
      <c r="F309" s="674"/>
    </row>
    <row r="310" spans="1:6" x14ac:dyDescent="0.2">
      <c r="A310" s="683">
        <f t="shared" si="122"/>
        <v>2</v>
      </c>
      <c r="B310" s="683">
        <f t="shared" si="123"/>
        <v>2015</v>
      </c>
      <c r="C310" s="694">
        <f t="shared" si="124"/>
        <v>42153</v>
      </c>
      <c r="D310" s="683" t="str">
        <f t="shared" si="125"/>
        <v>2Q15</v>
      </c>
      <c r="E310" s="910">
        <v>92</v>
      </c>
      <c r="F310" s="674"/>
    </row>
    <row r="311" spans="1:6" x14ac:dyDescent="0.2">
      <c r="A311" s="683">
        <f t="shared" si="122"/>
        <v>2</v>
      </c>
      <c r="B311" s="683">
        <f t="shared" si="123"/>
        <v>2015</v>
      </c>
      <c r="C311" s="694">
        <f t="shared" si="124"/>
        <v>42160</v>
      </c>
      <c r="D311" s="683" t="str">
        <f t="shared" si="125"/>
        <v>2Q15</v>
      </c>
      <c r="E311" s="910">
        <v>92.509995000000004</v>
      </c>
      <c r="F311" s="674"/>
    </row>
    <row r="312" spans="1:6" x14ac:dyDescent="0.2">
      <c r="A312" s="683">
        <f t="shared" si="122"/>
        <v>2</v>
      </c>
      <c r="B312" s="683">
        <f t="shared" si="123"/>
        <v>2015</v>
      </c>
      <c r="C312" s="694">
        <f t="shared" si="124"/>
        <v>42167</v>
      </c>
      <c r="D312" s="683" t="str">
        <f t="shared" si="125"/>
        <v>2Q15</v>
      </c>
      <c r="E312" s="910">
        <v>91.699996999999996</v>
      </c>
      <c r="F312" s="674"/>
    </row>
    <row r="313" spans="1:6" x14ac:dyDescent="0.2">
      <c r="A313" s="683">
        <f t="shared" ref="A313:A376" si="126">A261</f>
        <v>2</v>
      </c>
      <c r="B313" s="683">
        <f t="shared" si="123"/>
        <v>2015</v>
      </c>
      <c r="C313" s="694">
        <f t="shared" si="124"/>
        <v>42174</v>
      </c>
      <c r="D313" s="683" t="str">
        <f t="shared" si="125"/>
        <v>2Q15</v>
      </c>
      <c r="E313" s="910">
        <v>92.320008000000001</v>
      </c>
      <c r="F313" s="674"/>
    </row>
    <row r="314" spans="1:6" x14ac:dyDescent="0.2">
      <c r="A314" s="683">
        <f t="shared" si="126"/>
        <v>2</v>
      </c>
      <c r="B314" s="683">
        <f t="shared" si="123"/>
        <v>2015</v>
      </c>
      <c r="C314" s="694">
        <f t="shared" si="124"/>
        <v>42181</v>
      </c>
      <c r="D314" s="683" t="str">
        <f t="shared" si="125"/>
        <v>2Q15</v>
      </c>
      <c r="E314" s="910">
        <v>88.869996</v>
      </c>
      <c r="F314" s="674"/>
    </row>
    <row r="315" spans="1:6" x14ac:dyDescent="0.2">
      <c r="A315" s="683">
        <f t="shared" si="126"/>
        <v>3</v>
      </c>
      <c r="B315" s="683">
        <f t="shared" si="123"/>
        <v>2015</v>
      </c>
      <c r="C315" s="694">
        <f t="shared" si="124"/>
        <v>42188</v>
      </c>
      <c r="D315" s="683" t="str">
        <f t="shared" si="125"/>
        <v>3Q15</v>
      </c>
      <c r="E315" s="910">
        <v>87.830001999999993</v>
      </c>
      <c r="F315" s="674"/>
    </row>
    <row r="316" spans="1:6" x14ac:dyDescent="0.2">
      <c r="A316" s="683">
        <f t="shared" si="126"/>
        <v>3</v>
      </c>
      <c r="B316" s="683">
        <f t="shared" si="123"/>
        <v>2015</v>
      </c>
      <c r="C316" s="694">
        <f t="shared" si="124"/>
        <v>42195</v>
      </c>
      <c r="D316" s="683" t="str">
        <f t="shared" si="125"/>
        <v>3Q15</v>
      </c>
      <c r="E316" s="910">
        <v>86.350007000000005</v>
      </c>
      <c r="F316" s="674"/>
    </row>
    <row r="317" spans="1:6" x14ac:dyDescent="0.2">
      <c r="A317" s="683">
        <f t="shared" si="126"/>
        <v>3</v>
      </c>
      <c r="B317" s="683">
        <f t="shared" si="123"/>
        <v>2015</v>
      </c>
      <c r="C317" s="694">
        <f t="shared" si="124"/>
        <v>42202</v>
      </c>
      <c r="D317" s="683" t="str">
        <f t="shared" si="125"/>
        <v>3Q15</v>
      </c>
      <c r="E317" s="910">
        <v>85.940003000000004</v>
      </c>
      <c r="F317" s="674"/>
    </row>
    <row r="318" spans="1:6" x14ac:dyDescent="0.2">
      <c r="A318" s="683">
        <f t="shared" si="126"/>
        <v>3</v>
      </c>
      <c r="B318" s="683">
        <f t="shared" si="123"/>
        <v>2015</v>
      </c>
      <c r="C318" s="694">
        <f t="shared" si="124"/>
        <v>42209</v>
      </c>
      <c r="D318" s="683" t="str">
        <f t="shared" si="125"/>
        <v>3Q15</v>
      </c>
      <c r="E318" s="910">
        <v>82.960007000000004</v>
      </c>
      <c r="F318" s="674"/>
    </row>
    <row r="319" spans="1:6" x14ac:dyDescent="0.2">
      <c r="A319" s="683">
        <f t="shared" si="126"/>
        <v>3</v>
      </c>
      <c r="B319" s="683">
        <f t="shared" si="123"/>
        <v>2015</v>
      </c>
      <c r="C319" s="694">
        <f t="shared" si="124"/>
        <v>42216</v>
      </c>
      <c r="D319" s="683" t="str">
        <f t="shared" si="125"/>
        <v>3Q15</v>
      </c>
      <c r="E319" s="910">
        <v>85.97</v>
      </c>
      <c r="F319" s="674"/>
    </row>
    <row r="320" spans="1:6" x14ac:dyDescent="0.2">
      <c r="A320" s="683">
        <f t="shared" si="126"/>
        <v>3</v>
      </c>
      <c r="B320" s="683">
        <f t="shared" si="123"/>
        <v>2015</v>
      </c>
      <c r="C320" s="694">
        <f t="shared" si="124"/>
        <v>42223</v>
      </c>
      <c r="D320" s="683" t="str">
        <f t="shared" si="125"/>
        <v>3Q15</v>
      </c>
      <c r="E320" s="910">
        <v>81.110000999999997</v>
      </c>
      <c r="F320" s="674"/>
    </row>
    <row r="321" spans="1:6" x14ac:dyDescent="0.2">
      <c r="A321" s="683">
        <f t="shared" si="126"/>
        <v>3</v>
      </c>
      <c r="B321" s="683">
        <f t="shared" si="123"/>
        <v>2015</v>
      </c>
      <c r="C321" s="694">
        <f t="shared" si="124"/>
        <v>42230</v>
      </c>
      <c r="D321" s="683" t="str">
        <f t="shared" si="125"/>
        <v>3Q15</v>
      </c>
      <c r="E321" s="910">
        <v>81.740005999999994</v>
      </c>
      <c r="F321" s="674"/>
    </row>
    <row r="322" spans="1:6" x14ac:dyDescent="0.2">
      <c r="A322" s="683">
        <f t="shared" si="126"/>
        <v>3</v>
      </c>
      <c r="B322" s="683">
        <f t="shared" si="123"/>
        <v>2015</v>
      </c>
      <c r="C322" s="694">
        <f t="shared" si="124"/>
        <v>42237</v>
      </c>
      <c r="D322" s="683" t="str">
        <f t="shared" si="125"/>
        <v>3Q15</v>
      </c>
      <c r="E322" s="910">
        <v>77.979996</v>
      </c>
      <c r="F322" s="674"/>
    </row>
    <row r="323" spans="1:6" x14ac:dyDescent="0.2">
      <c r="A323" s="683">
        <f t="shared" si="126"/>
        <v>3</v>
      </c>
      <c r="B323" s="683">
        <f t="shared" si="123"/>
        <v>2015</v>
      </c>
      <c r="C323" s="694">
        <f t="shared" si="124"/>
        <v>42244</v>
      </c>
      <c r="D323" s="683" t="str">
        <f t="shared" si="125"/>
        <v>3Q15</v>
      </c>
      <c r="E323" s="910">
        <v>79.199996999999996</v>
      </c>
      <c r="F323" s="674"/>
    </row>
    <row r="324" spans="1:6" x14ac:dyDescent="0.2">
      <c r="A324" s="683">
        <f t="shared" si="126"/>
        <v>3</v>
      </c>
      <c r="B324" s="683">
        <f t="shared" si="123"/>
        <v>2015</v>
      </c>
      <c r="C324" s="694">
        <f t="shared" si="124"/>
        <v>42251</v>
      </c>
      <c r="D324" s="683" t="str">
        <f t="shared" si="125"/>
        <v>3Q15</v>
      </c>
      <c r="E324" s="910">
        <v>76.529999000000004</v>
      </c>
      <c r="F324" s="674"/>
    </row>
    <row r="325" spans="1:6" x14ac:dyDescent="0.2">
      <c r="A325" s="683">
        <f t="shared" si="126"/>
        <v>3</v>
      </c>
      <c r="B325" s="683">
        <f t="shared" si="123"/>
        <v>2015</v>
      </c>
      <c r="C325" s="694">
        <f t="shared" si="124"/>
        <v>42258</v>
      </c>
      <c r="D325" s="683" t="str">
        <f t="shared" si="125"/>
        <v>3Q15</v>
      </c>
      <c r="E325" s="910">
        <v>79.169999000000004</v>
      </c>
      <c r="F325" s="674"/>
    </row>
    <row r="326" spans="1:6" x14ac:dyDescent="0.2">
      <c r="A326" s="683">
        <f t="shared" si="126"/>
        <v>3</v>
      </c>
      <c r="B326" s="683">
        <f t="shared" si="123"/>
        <v>2015</v>
      </c>
      <c r="C326" s="694">
        <f t="shared" si="124"/>
        <v>42265</v>
      </c>
      <c r="D326" s="683" t="str">
        <f t="shared" si="125"/>
        <v>3Q15</v>
      </c>
      <c r="E326" s="910">
        <v>78.949996999999996</v>
      </c>
      <c r="F326" s="674"/>
    </row>
    <row r="327" spans="1:6" x14ac:dyDescent="0.2">
      <c r="A327" s="683">
        <f t="shared" si="126"/>
        <v>3</v>
      </c>
      <c r="B327" s="683">
        <f t="shared" si="123"/>
        <v>2015</v>
      </c>
      <c r="C327" s="694">
        <f t="shared" si="124"/>
        <v>42272</v>
      </c>
      <c r="D327" s="683" t="str">
        <f t="shared" si="125"/>
        <v>3Q15</v>
      </c>
      <c r="E327" s="910">
        <v>75.619996</v>
      </c>
      <c r="F327" s="674"/>
    </row>
    <row r="328" spans="1:6" x14ac:dyDescent="0.2">
      <c r="A328" s="683">
        <f t="shared" si="126"/>
        <v>4</v>
      </c>
      <c r="B328" s="683">
        <f t="shared" si="123"/>
        <v>2015</v>
      </c>
      <c r="C328" s="694">
        <f t="shared" si="124"/>
        <v>42279</v>
      </c>
      <c r="D328" s="683" t="str">
        <f t="shared" si="125"/>
        <v>4Q15</v>
      </c>
      <c r="E328" s="910">
        <v>79.009995000000004</v>
      </c>
      <c r="F328" s="674"/>
    </row>
    <row r="329" spans="1:6" x14ac:dyDescent="0.2">
      <c r="A329" s="683">
        <f t="shared" si="126"/>
        <v>4</v>
      </c>
      <c r="B329" s="683">
        <f>YEAR(C329)</f>
        <v>2015</v>
      </c>
      <c r="C329" s="694">
        <f t="shared" si="124"/>
        <v>42286</v>
      </c>
      <c r="D329" s="683" t="str">
        <f>A329&amp;"Q"&amp;RIGHT(B329,2)</f>
        <v>4Q15</v>
      </c>
      <c r="E329" s="910">
        <v>82.910004000000001</v>
      </c>
      <c r="F329" s="674"/>
    </row>
    <row r="330" spans="1:6" x14ac:dyDescent="0.2">
      <c r="A330" s="683">
        <f t="shared" si="126"/>
        <v>4</v>
      </c>
      <c r="B330" s="683">
        <f>YEAR(C330)</f>
        <v>2015</v>
      </c>
      <c r="C330" s="694">
        <f t="shared" si="124"/>
        <v>42293</v>
      </c>
      <c r="D330" s="683" t="str">
        <f>A330&amp;"Q"&amp;RIGHT(B330,2)</f>
        <v>4Q15</v>
      </c>
      <c r="E330" s="910">
        <v>78.360000999999997</v>
      </c>
      <c r="F330" s="674"/>
    </row>
    <row r="331" spans="1:6" x14ac:dyDescent="0.2">
      <c r="A331" s="683">
        <f t="shared" si="126"/>
        <v>4</v>
      </c>
      <c r="B331" s="683">
        <f>YEAR(C331)</f>
        <v>2015</v>
      </c>
      <c r="C331" s="694">
        <f t="shared" si="124"/>
        <v>42300</v>
      </c>
      <c r="D331" s="683" t="str">
        <f>A331&amp;"Q"&amp;RIGHT(B331,2)</f>
        <v>4Q15</v>
      </c>
      <c r="E331" s="910">
        <v>81</v>
      </c>
      <c r="F331" s="674"/>
    </row>
    <row r="332" spans="1:6" x14ac:dyDescent="0.2">
      <c r="A332" s="683">
        <f t="shared" si="126"/>
        <v>4</v>
      </c>
      <c r="B332" s="683">
        <f>YEAR(C332)</f>
        <v>2015</v>
      </c>
      <c r="C332" s="694">
        <f t="shared" si="124"/>
        <v>42307</v>
      </c>
      <c r="D332" s="683" t="str">
        <f>A332&amp;"Q"&amp;RIGHT(B332,2)</f>
        <v>4Q15</v>
      </c>
      <c r="E332" s="910">
        <v>80.029999000000004</v>
      </c>
      <c r="F332" s="674"/>
    </row>
    <row r="333" spans="1:6" x14ac:dyDescent="0.2">
      <c r="A333" s="1621">
        <f t="shared" si="126"/>
        <v>4</v>
      </c>
      <c r="B333" s="1622">
        <f t="shared" si="123"/>
        <v>2015</v>
      </c>
      <c r="C333" s="694">
        <f t="shared" si="124"/>
        <v>42314</v>
      </c>
      <c r="D333" s="1622" t="str">
        <f t="shared" si="125"/>
        <v>4Q15</v>
      </c>
      <c r="E333" s="1623">
        <v>79.869996</v>
      </c>
      <c r="F333" s="674"/>
    </row>
    <row r="334" spans="1:6" x14ac:dyDescent="0.2">
      <c r="A334" s="1622">
        <f t="shared" si="126"/>
        <v>4</v>
      </c>
      <c r="B334" s="1622">
        <f t="shared" si="123"/>
        <v>2015</v>
      </c>
      <c r="C334" s="694">
        <f t="shared" si="124"/>
        <v>42321</v>
      </c>
      <c r="D334" s="1622" t="str">
        <f t="shared" si="125"/>
        <v>4Q15</v>
      </c>
      <c r="E334" s="1623">
        <v>88.960007000000004</v>
      </c>
      <c r="F334" s="674"/>
    </row>
    <row r="335" spans="1:6" x14ac:dyDescent="0.2">
      <c r="A335" s="1622">
        <f t="shared" si="126"/>
        <v>4</v>
      </c>
      <c r="B335" s="1622">
        <f t="shared" si="123"/>
        <v>2015</v>
      </c>
      <c r="C335" s="694">
        <f t="shared" si="124"/>
        <v>42328</v>
      </c>
      <c r="D335" s="1622" t="str">
        <f t="shared" si="125"/>
        <v>4Q15</v>
      </c>
      <c r="E335" s="1623">
        <v>97.559997999999993</v>
      </c>
      <c r="F335" s="674"/>
    </row>
    <row r="336" spans="1:6" x14ac:dyDescent="0.2">
      <c r="A336" s="1622">
        <f t="shared" si="126"/>
        <v>4</v>
      </c>
      <c r="B336" s="1622">
        <f t="shared" si="123"/>
        <v>2015</v>
      </c>
      <c r="C336" s="694">
        <f t="shared" si="124"/>
        <v>42335</v>
      </c>
      <c r="D336" s="1622" t="str">
        <f t="shared" si="125"/>
        <v>4Q15</v>
      </c>
      <c r="E336" s="1623">
        <v>95.380004999999997</v>
      </c>
      <c r="F336" s="674"/>
    </row>
    <row r="337" spans="1:6" x14ac:dyDescent="0.2">
      <c r="A337" s="1622">
        <f t="shared" si="126"/>
        <v>4</v>
      </c>
      <c r="B337" s="1622">
        <f t="shared" si="123"/>
        <v>2015</v>
      </c>
      <c r="C337" s="694">
        <f t="shared" si="124"/>
        <v>42342</v>
      </c>
      <c r="D337" s="1622" t="str">
        <f t="shared" si="125"/>
        <v>4Q15</v>
      </c>
      <c r="E337" s="1623">
        <v>92.059997999999993</v>
      </c>
      <c r="F337" s="674"/>
    </row>
    <row r="338" spans="1:6" x14ac:dyDescent="0.2">
      <c r="A338" s="1622">
        <f t="shared" si="126"/>
        <v>4</v>
      </c>
      <c r="B338" s="1622">
        <f t="shared" si="123"/>
        <v>2015</v>
      </c>
      <c r="C338" s="694">
        <f t="shared" si="124"/>
        <v>42349</v>
      </c>
      <c r="D338" s="1622" t="str">
        <f t="shared" si="125"/>
        <v>4Q15</v>
      </c>
      <c r="E338" s="1623">
        <v>89.440003000000004</v>
      </c>
      <c r="F338" s="674"/>
    </row>
    <row r="339" spans="1:6" x14ac:dyDescent="0.2">
      <c r="A339" s="1622">
        <f t="shared" si="126"/>
        <v>4</v>
      </c>
      <c r="B339" s="1622">
        <f t="shared" si="123"/>
        <v>2015</v>
      </c>
      <c r="C339" s="694">
        <f t="shared" si="124"/>
        <v>42356</v>
      </c>
      <c r="D339" s="1622" t="str">
        <f t="shared" si="125"/>
        <v>4Q15</v>
      </c>
      <c r="E339" s="1623">
        <v>84.270004999999998</v>
      </c>
      <c r="F339" s="674"/>
    </row>
    <row r="340" spans="1:6" x14ac:dyDescent="0.2">
      <c r="A340" s="1622">
        <f t="shared" si="126"/>
        <v>4</v>
      </c>
      <c r="B340" s="1622">
        <f t="shared" si="123"/>
        <v>2015</v>
      </c>
      <c r="C340" s="694">
        <f t="shared" si="124"/>
        <v>42363</v>
      </c>
      <c r="D340" s="1622" t="str">
        <f t="shared" si="125"/>
        <v>4Q15</v>
      </c>
      <c r="E340" s="1623">
        <v>86.779999000000004</v>
      </c>
      <c r="F340" s="674"/>
    </row>
    <row r="341" spans="1:6" x14ac:dyDescent="0.2">
      <c r="A341" s="1622">
        <f t="shared" si="126"/>
        <v>1</v>
      </c>
      <c r="B341" s="1622">
        <f t="shared" si="123"/>
        <v>2016</v>
      </c>
      <c r="C341" s="694">
        <f t="shared" si="124"/>
        <v>42370</v>
      </c>
      <c r="D341" s="1622" t="str">
        <f t="shared" si="125"/>
        <v>1Q16</v>
      </c>
      <c r="E341" s="1623">
        <v>84.589996999999997</v>
      </c>
      <c r="F341" s="674"/>
    </row>
    <row r="342" spans="1:6" x14ac:dyDescent="0.2">
      <c r="A342" s="1622">
        <f t="shared" si="126"/>
        <v>1</v>
      </c>
      <c r="B342" s="1622">
        <f t="shared" si="123"/>
        <v>2016</v>
      </c>
      <c r="C342" s="694">
        <f t="shared" si="124"/>
        <v>42377</v>
      </c>
      <c r="D342" s="1622" t="str">
        <f t="shared" si="125"/>
        <v>1Q16</v>
      </c>
      <c r="E342" s="1623">
        <v>77.789993999999993</v>
      </c>
      <c r="F342" s="674"/>
    </row>
    <row r="343" spans="1:6" x14ac:dyDescent="0.2">
      <c r="A343" s="1622">
        <f t="shared" si="126"/>
        <v>1</v>
      </c>
      <c r="B343" s="1622">
        <f t="shared" si="123"/>
        <v>2016</v>
      </c>
      <c r="C343" s="694">
        <f t="shared" si="124"/>
        <v>42384</v>
      </c>
      <c r="D343" s="1622" t="str">
        <f t="shared" si="125"/>
        <v>1Q16</v>
      </c>
      <c r="E343" s="1623">
        <v>71.770004999999998</v>
      </c>
      <c r="F343" s="674"/>
    </row>
    <row r="344" spans="1:6" x14ac:dyDescent="0.2">
      <c r="A344" s="1622">
        <f t="shared" si="126"/>
        <v>1</v>
      </c>
      <c r="B344" s="1622">
        <f t="shared" si="123"/>
        <v>2016</v>
      </c>
      <c r="C344" s="694">
        <f t="shared" si="124"/>
        <v>42391</v>
      </c>
      <c r="D344" s="1622" t="str">
        <f t="shared" si="125"/>
        <v>1Q16</v>
      </c>
      <c r="E344" s="1623">
        <v>68.589996999999997</v>
      </c>
      <c r="F344" s="674"/>
    </row>
    <row r="345" spans="1:6" x14ac:dyDescent="0.2">
      <c r="A345" s="1622">
        <f t="shared" si="126"/>
        <v>1</v>
      </c>
      <c r="B345" s="1622">
        <f t="shared" si="123"/>
        <v>2016</v>
      </c>
      <c r="C345" s="694">
        <f t="shared" si="124"/>
        <v>42398</v>
      </c>
      <c r="D345" s="1622" t="str">
        <f t="shared" si="125"/>
        <v>1Q16</v>
      </c>
      <c r="E345" s="1623">
        <v>70.5</v>
      </c>
      <c r="F345" s="674"/>
    </row>
    <row r="346" spans="1:6" x14ac:dyDescent="0.2">
      <c r="A346" s="1622">
        <f t="shared" si="126"/>
        <v>1</v>
      </c>
      <c r="B346" s="1622">
        <f t="shared" si="123"/>
        <v>2016</v>
      </c>
      <c r="C346" s="694">
        <f t="shared" si="124"/>
        <v>42405</v>
      </c>
      <c r="D346" s="1622" t="str">
        <f t="shared" si="125"/>
        <v>1Q16</v>
      </c>
      <c r="E346" s="1623">
        <v>70.14</v>
      </c>
      <c r="F346" s="674"/>
    </row>
    <row r="347" spans="1:6" x14ac:dyDescent="0.2">
      <c r="A347" s="1622">
        <f t="shared" si="126"/>
        <v>1</v>
      </c>
      <c r="B347" s="1622">
        <f t="shared" si="123"/>
        <v>2016</v>
      </c>
      <c r="C347" s="694">
        <f t="shared" si="124"/>
        <v>42412</v>
      </c>
      <c r="D347" s="1622" t="str">
        <f t="shared" si="125"/>
        <v>1Q16</v>
      </c>
      <c r="E347" s="1623">
        <v>72.559997999999993</v>
      </c>
      <c r="F347" s="674"/>
    </row>
    <row r="348" spans="1:6" x14ac:dyDescent="0.2">
      <c r="A348" s="1622">
        <f t="shared" si="126"/>
        <v>1</v>
      </c>
      <c r="B348" s="1622">
        <f t="shared" si="123"/>
        <v>2016</v>
      </c>
      <c r="C348" s="694">
        <f t="shared" si="124"/>
        <v>42419</v>
      </c>
      <c r="D348" s="1622" t="str">
        <f t="shared" si="125"/>
        <v>1Q16</v>
      </c>
      <c r="E348" s="1623">
        <v>75</v>
      </c>
      <c r="F348" s="674"/>
    </row>
    <row r="349" spans="1:6" x14ac:dyDescent="0.2">
      <c r="A349" s="1622">
        <f t="shared" si="126"/>
        <v>1</v>
      </c>
      <c r="B349" s="1622">
        <f t="shared" si="123"/>
        <v>2016</v>
      </c>
      <c r="C349" s="694">
        <f t="shared" si="124"/>
        <v>42426</v>
      </c>
      <c r="D349" s="1622" t="str">
        <f t="shared" si="125"/>
        <v>1Q16</v>
      </c>
      <c r="E349" s="1623">
        <v>74.699996999999996</v>
      </c>
      <c r="F349" s="674"/>
    </row>
    <row r="350" spans="1:6" x14ac:dyDescent="0.2">
      <c r="A350" s="1622">
        <f t="shared" si="126"/>
        <v>1</v>
      </c>
      <c r="B350" s="1622">
        <f t="shared" si="123"/>
        <v>2016</v>
      </c>
      <c r="C350" s="694">
        <f t="shared" si="124"/>
        <v>42433</v>
      </c>
      <c r="D350" s="1622" t="str">
        <f t="shared" si="125"/>
        <v>1Q16</v>
      </c>
      <c r="E350" s="1623">
        <v>77.399994000000007</v>
      </c>
      <c r="F350" s="674"/>
    </row>
    <row r="351" spans="1:6" x14ac:dyDescent="0.2">
      <c r="A351" s="1622">
        <f t="shared" si="126"/>
        <v>1</v>
      </c>
      <c r="B351" s="1622">
        <f t="shared" si="123"/>
        <v>2016</v>
      </c>
      <c r="C351" s="694">
        <f t="shared" si="124"/>
        <v>42440</v>
      </c>
      <c r="D351" s="1622" t="str">
        <f t="shared" si="125"/>
        <v>1Q16</v>
      </c>
      <c r="E351" s="1623">
        <v>79.009995000000004</v>
      </c>
      <c r="F351" s="674"/>
    </row>
    <row r="352" spans="1:6" x14ac:dyDescent="0.2">
      <c r="A352" s="1622">
        <f t="shared" si="126"/>
        <v>1</v>
      </c>
      <c r="B352" s="1622">
        <f t="shared" si="123"/>
        <v>2016</v>
      </c>
      <c r="C352" s="694">
        <f t="shared" si="124"/>
        <v>42447</v>
      </c>
      <c r="D352" s="1622" t="str">
        <f t="shared" si="125"/>
        <v>1Q16</v>
      </c>
      <c r="E352" s="1623">
        <v>84.020004999999998</v>
      </c>
      <c r="F352" s="674"/>
    </row>
    <row r="353" spans="1:6" x14ac:dyDescent="0.2">
      <c r="A353" s="1622">
        <f t="shared" si="126"/>
        <v>1</v>
      </c>
      <c r="B353" s="1622">
        <f t="shared" si="123"/>
        <v>2016</v>
      </c>
      <c r="C353" s="694">
        <f t="shared" si="124"/>
        <v>42454</v>
      </c>
      <c r="D353" s="1622" t="str">
        <f t="shared" si="125"/>
        <v>1Q16</v>
      </c>
      <c r="E353" s="1623">
        <v>83.869996</v>
      </c>
      <c r="F353" s="674"/>
    </row>
    <row r="354" spans="1:6" x14ac:dyDescent="0.2">
      <c r="A354" s="1622">
        <f t="shared" si="126"/>
        <v>2</v>
      </c>
      <c r="B354" s="1622">
        <f t="shared" si="123"/>
        <v>2016</v>
      </c>
      <c r="C354" s="694">
        <f t="shared" si="124"/>
        <v>42461</v>
      </c>
      <c r="D354" s="1622" t="str">
        <f t="shared" si="125"/>
        <v>2Q16</v>
      </c>
      <c r="E354" s="1623">
        <v>82.970001999999994</v>
      </c>
      <c r="F354" s="674"/>
    </row>
    <row r="355" spans="1:6" x14ac:dyDescent="0.2">
      <c r="A355" s="1622">
        <f t="shared" si="126"/>
        <v>2</v>
      </c>
      <c r="B355" s="1622">
        <f t="shared" si="123"/>
        <v>2016</v>
      </c>
      <c r="C355" s="694">
        <f t="shared" si="124"/>
        <v>42468</v>
      </c>
      <c r="D355" s="1622" t="str">
        <f t="shared" si="125"/>
        <v>2Q16</v>
      </c>
      <c r="E355" s="1623">
        <v>81.490005999999994</v>
      </c>
      <c r="F355" s="674"/>
    </row>
    <row r="356" spans="1:6" x14ac:dyDescent="0.2">
      <c r="A356" s="1622">
        <f t="shared" si="126"/>
        <v>2</v>
      </c>
      <c r="B356" s="1622">
        <f t="shared" si="123"/>
        <v>2016</v>
      </c>
      <c r="C356" s="694">
        <f t="shared" si="124"/>
        <v>42475</v>
      </c>
      <c r="D356" s="1622" t="str">
        <f t="shared" si="125"/>
        <v>2Q16</v>
      </c>
      <c r="E356" s="1623">
        <v>81.630004999999997</v>
      </c>
      <c r="F356" s="674"/>
    </row>
    <row r="357" spans="1:6" x14ac:dyDescent="0.2">
      <c r="A357" s="1622">
        <f t="shared" si="126"/>
        <v>2</v>
      </c>
      <c r="B357" s="1622">
        <f t="shared" si="123"/>
        <v>2016</v>
      </c>
      <c r="C357" s="694">
        <f t="shared" si="124"/>
        <v>42482</v>
      </c>
      <c r="D357" s="1622" t="str">
        <f t="shared" si="125"/>
        <v>2Q16</v>
      </c>
      <c r="E357" s="1623">
        <v>91.330001999999993</v>
      </c>
      <c r="F357" s="674"/>
    </row>
    <row r="358" spans="1:6" x14ac:dyDescent="0.2">
      <c r="A358" s="1622">
        <f t="shared" si="126"/>
        <v>2</v>
      </c>
      <c r="B358" s="1622">
        <f t="shared" si="123"/>
        <v>2016</v>
      </c>
      <c r="C358" s="694">
        <f t="shared" si="124"/>
        <v>42489</v>
      </c>
      <c r="D358" s="1622" t="str">
        <f t="shared" si="125"/>
        <v>2Q16</v>
      </c>
      <c r="E358" s="1623">
        <v>90.110000999999997</v>
      </c>
      <c r="F358" s="674"/>
    </row>
    <row r="359" spans="1:6" x14ac:dyDescent="0.2">
      <c r="A359" s="1622">
        <f t="shared" si="126"/>
        <v>2</v>
      </c>
      <c r="B359" s="1622">
        <f t="shared" si="123"/>
        <v>2016</v>
      </c>
      <c r="C359" s="694">
        <f t="shared" si="124"/>
        <v>42496</v>
      </c>
      <c r="D359" s="1622" t="str">
        <f t="shared" si="125"/>
        <v>2Q16</v>
      </c>
      <c r="E359" s="1623">
        <v>89.660004000000001</v>
      </c>
      <c r="F359" s="674"/>
    </row>
    <row r="360" spans="1:6" x14ac:dyDescent="0.2">
      <c r="A360" s="1622">
        <f t="shared" si="126"/>
        <v>2</v>
      </c>
      <c r="B360" s="1622">
        <f t="shared" si="123"/>
        <v>2016</v>
      </c>
      <c r="C360" s="694">
        <f t="shared" si="124"/>
        <v>42503</v>
      </c>
      <c r="D360" s="1622" t="str">
        <f t="shared" si="125"/>
        <v>2Q16</v>
      </c>
      <c r="E360" s="1623">
        <v>85.970001999999994</v>
      </c>
      <c r="F360" s="674"/>
    </row>
    <row r="361" spans="1:6" x14ac:dyDescent="0.2">
      <c r="A361" s="1622">
        <f t="shared" si="126"/>
        <v>2</v>
      </c>
      <c r="B361" s="1622">
        <f t="shared" si="123"/>
        <v>2016</v>
      </c>
      <c r="C361" s="694">
        <f t="shared" si="124"/>
        <v>42510</v>
      </c>
      <c r="D361" s="1622" t="str">
        <f t="shared" si="125"/>
        <v>2Q16</v>
      </c>
      <c r="E361" s="1623">
        <v>85.440003000000004</v>
      </c>
      <c r="F361" s="674"/>
    </row>
    <row r="362" spans="1:6" x14ac:dyDescent="0.2">
      <c r="A362" s="1622">
        <f t="shared" si="126"/>
        <v>2</v>
      </c>
      <c r="B362" s="1622">
        <f t="shared" ref="B362:B425" si="127">YEAR(C362)</f>
        <v>2016</v>
      </c>
      <c r="C362" s="694">
        <f t="shared" si="124"/>
        <v>42517</v>
      </c>
      <c r="D362" s="1622" t="str">
        <f t="shared" ref="D362:D425" si="128">A362&amp;"Q"&amp;RIGHT(B362,2)</f>
        <v>2Q16</v>
      </c>
      <c r="E362" s="1623">
        <v>84</v>
      </c>
      <c r="F362" s="674"/>
    </row>
    <row r="363" spans="1:6" x14ac:dyDescent="0.2">
      <c r="A363" s="1622">
        <f t="shared" si="126"/>
        <v>2</v>
      </c>
      <c r="B363" s="1622">
        <f t="shared" si="127"/>
        <v>2016</v>
      </c>
      <c r="C363" s="694">
        <f t="shared" si="124"/>
        <v>42524</v>
      </c>
      <c r="D363" s="1622" t="str">
        <f t="shared" si="128"/>
        <v>2Q16</v>
      </c>
      <c r="E363" s="1623">
        <v>83.110000999999997</v>
      </c>
      <c r="F363" s="674"/>
    </row>
    <row r="364" spans="1:6" x14ac:dyDescent="0.2">
      <c r="A364" s="1622">
        <f t="shared" si="126"/>
        <v>2</v>
      </c>
      <c r="B364" s="1622">
        <f t="shared" si="127"/>
        <v>2016</v>
      </c>
      <c r="C364" s="694">
        <f t="shared" si="124"/>
        <v>42531</v>
      </c>
      <c r="D364" s="1622" t="str">
        <f t="shared" si="128"/>
        <v>2Q16</v>
      </c>
      <c r="E364" s="1623">
        <v>84.089996999999997</v>
      </c>
      <c r="F364" s="674"/>
    </row>
    <row r="365" spans="1:6" x14ac:dyDescent="0.2">
      <c r="A365" s="1622">
        <f t="shared" si="126"/>
        <v>2</v>
      </c>
      <c r="B365" s="1622">
        <f t="shared" si="127"/>
        <v>2016</v>
      </c>
      <c r="C365" s="694">
        <f t="shared" si="124"/>
        <v>42538</v>
      </c>
      <c r="D365" s="1622" t="str">
        <f t="shared" si="128"/>
        <v>2Q16</v>
      </c>
      <c r="E365" s="1623">
        <v>85.190003000000004</v>
      </c>
      <c r="F365" s="674"/>
    </row>
    <row r="366" spans="1:6" x14ac:dyDescent="0.2">
      <c r="A366" s="1622">
        <f t="shared" si="126"/>
        <v>2</v>
      </c>
      <c r="B366" s="1622">
        <f t="shared" si="127"/>
        <v>2016</v>
      </c>
      <c r="C366" s="694">
        <f t="shared" si="124"/>
        <v>42545</v>
      </c>
      <c r="D366" s="1622" t="str">
        <f t="shared" si="128"/>
        <v>2Q16</v>
      </c>
      <c r="E366" s="1623">
        <v>82.64</v>
      </c>
      <c r="F366" s="674"/>
    </row>
    <row r="367" spans="1:6" x14ac:dyDescent="0.2">
      <c r="A367" s="1622">
        <f t="shared" si="126"/>
        <v>3</v>
      </c>
      <c r="B367" s="1622">
        <f>YEAR(C367)</f>
        <v>2016</v>
      </c>
      <c r="C367" s="694">
        <f t="shared" si="124"/>
        <v>42552</v>
      </c>
      <c r="D367" s="1622" t="str">
        <f>A367&amp;"Q"&amp;RIGHT(B367,2)</f>
        <v>3Q16</v>
      </c>
      <c r="E367" s="1623">
        <v>85.199996999999996</v>
      </c>
      <c r="F367" s="674"/>
    </row>
    <row r="368" spans="1:6" x14ac:dyDescent="0.2">
      <c r="A368" s="1622">
        <f t="shared" si="126"/>
        <v>3</v>
      </c>
      <c r="B368" s="1622">
        <f>YEAR(C368)</f>
        <v>2016</v>
      </c>
      <c r="C368" s="694">
        <f t="shared" si="124"/>
        <v>42559</v>
      </c>
      <c r="D368" s="1622" t="str">
        <f>A368&amp;"Q"&amp;RIGHT(B368,2)</f>
        <v>3Q16</v>
      </c>
      <c r="E368" s="1623">
        <v>86.419999000000004</v>
      </c>
      <c r="F368" s="674"/>
    </row>
    <row r="369" spans="1:6" x14ac:dyDescent="0.2">
      <c r="A369" s="1622">
        <f t="shared" si="126"/>
        <v>3</v>
      </c>
      <c r="B369" s="1622">
        <f>YEAR(C369)</f>
        <v>2016</v>
      </c>
      <c r="C369" s="694">
        <f>C368+7</f>
        <v>42566</v>
      </c>
      <c r="D369" s="1622" t="str">
        <f>A369&amp;"Q"&amp;RIGHT(B369,2)</f>
        <v>3Q16</v>
      </c>
      <c r="E369" s="1623">
        <v>91.490005999999994</v>
      </c>
      <c r="F369" s="674"/>
    </row>
    <row r="370" spans="1:6" x14ac:dyDescent="0.2">
      <c r="A370" s="1622">
        <f t="shared" si="126"/>
        <v>3</v>
      </c>
      <c r="B370" s="1622">
        <f>YEAR(C370)</f>
        <v>2016</v>
      </c>
      <c r="C370" s="694">
        <f>C369+7</f>
        <v>42573</v>
      </c>
      <c r="D370" s="1622" t="str">
        <f>A370&amp;"Q"&amp;RIGHT(B370,2)</f>
        <v>3Q16</v>
      </c>
      <c r="E370" s="1623">
        <v>92.009995000000004</v>
      </c>
      <c r="F370" s="674"/>
    </row>
    <row r="371" spans="1:6" x14ac:dyDescent="0.2">
      <c r="A371" s="1622">
        <f t="shared" si="126"/>
        <v>3</v>
      </c>
      <c r="B371" s="1622">
        <f>YEAR(C371)</f>
        <v>2016</v>
      </c>
      <c r="C371" s="694">
        <f>C370+7</f>
        <v>42580</v>
      </c>
      <c r="D371" s="1622" t="str">
        <f>A371&amp;"Q"&amp;RIGHT(B371,2)</f>
        <v>3Q16</v>
      </c>
      <c r="E371" s="1623">
        <v>89.78</v>
      </c>
      <c r="F371" s="674"/>
    </row>
    <row r="372" spans="1:6" x14ac:dyDescent="0.2">
      <c r="A372" s="1622">
        <f t="shared" si="126"/>
        <v>3</v>
      </c>
      <c r="B372" s="1622">
        <f t="shared" ref="B372:B379" si="129">YEAR(C372)</f>
        <v>2016</v>
      </c>
      <c r="C372" s="694">
        <f t="shared" ref="C372:C378" si="130">C371+7</f>
        <v>42587</v>
      </c>
      <c r="D372" s="1622" t="str">
        <f t="shared" ref="D372:D379" si="131">A372&amp;"Q"&amp;RIGHT(B372,2)</f>
        <v>3Q16</v>
      </c>
      <c r="E372" s="1623">
        <v>88.880004999999997</v>
      </c>
      <c r="F372" s="674"/>
    </row>
    <row r="373" spans="1:6" x14ac:dyDescent="0.2">
      <c r="A373" s="1622">
        <f t="shared" si="126"/>
        <v>3</v>
      </c>
      <c r="B373" s="1622">
        <f t="shared" si="129"/>
        <v>2016</v>
      </c>
      <c r="C373" s="694">
        <f t="shared" si="130"/>
        <v>42594</v>
      </c>
      <c r="D373" s="1622" t="str">
        <f t="shared" si="131"/>
        <v>3Q16</v>
      </c>
      <c r="E373" s="1623">
        <v>88.360000999999997</v>
      </c>
      <c r="F373" s="674"/>
    </row>
    <row r="374" spans="1:6" x14ac:dyDescent="0.2">
      <c r="A374" s="1622">
        <f t="shared" si="126"/>
        <v>3</v>
      </c>
      <c r="B374" s="1622">
        <f t="shared" si="129"/>
        <v>2016</v>
      </c>
      <c r="C374" s="694">
        <f t="shared" si="130"/>
        <v>42601</v>
      </c>
      <c r="D374" s="1622" t="str">
        <f t="shared" si="131"/>
        <v>3Q16</v>
      </c>
      <c r="E374" s="1623">
        <v>91.580001999999993</v>
      </c>
      <c r="F374" s="674"/>
    </row>
    <row r="375" spans="1:6" x14ac:dyDescent="0.2">
      <c r="A375" s="1622">
        <f t="shared" si="126"/>
        <v>3</v>
      </c>
      <c r="B375" s="1622">
        <f t="shared" si="129"/>
        <v>2016</v>
      </c>
      <c r="C375" s="694">
        <f t="shared" si="130"/>
        <v>42608</v>
      </c>
      <c r="D375" s="1622" t="str">
        <f t="shared" si="131"/>
        <v>3Q16</v>
      </c>
      <c r="E375" s="1623">
        <v>92.270004999999998</v>
      </c>
      <c r="F375" s="674"/>
    </row>
    <row r="376" spans="1:6" x14ac:dyDescent="0.2">
      <c r="A376" s="1622">
        <f t="shared" si="126"/>
        <v>3</v>
      </c>
      <c r="B376" s="1622">
        <f t="shared" si="129"/>
        <v>2016</v>
      </c>
      <c r="C376" s="694">
        <f t="shared" si="130"/>
        <v>42615</v>
      </c>
      <c r="D376" s="1622" t="str">
        <f t="shared" si="131"/>
        <v>3Q16</v>
      </c>
      <c r="E376" s="1623">
        <v>94.160004000000001</v>
      </c>
      <c r="F376" s="674"/>
    </row>
    <row r="377" spans="1:6" x14ac:dyDescent="0.2">
      <c r="A377" s="1622">
        <f t="shared" ref="A377:A384" si="132">A325</f>
        <v>3</v>
      </c>
      <c r="B377" s="1622">
        <f t="shared" si="129"/>
        <v>2016</v>
      </c>
      <c r="C377" s="694">
        <f t="shared" si="130"/>
        <v>42622</v>
      </c>
      <c r="D377" s="1622" t="str">
        <f t="shared" si="131"/>
        <v>3Q16</v>
      </c>
      <c r="E377" s="1623">
        <v>90.779999000000004</v>
      </c>
      <c r="F377" s="674"/>
    </row>
    <row r="378" spans="1:6" x14ac:dyDescent="0.2">
      <c r="A378" s="1622">
        <f t="shared" si="132"/>
        <v>3</v>
      </c>
      <c r="B378" s="1622">
        <f t="shared" si="129"/>
        <v>2016</v>
      </c>
      <c r="C378" s="694">
        <f t="shared" si="130"/>
        <v>42629</v>
      </c>
      <c r="D378" s="1622" t="str">
        <f t="shared" si="131"/>
        <v>3Q16</v>
      </c>
      <c r="E378" s="1623">
        <v>91.350007000000005</v>
      </c>
      <c r="F378" s="674"/>
    </row>
    <row r="379" spans="1:6" x14ac:dyDescent="0.2">
      <c r="A379" s="1622">
        <f t="shared" si="132"/>
        <v>3</v>
      </c>
      <c r="B379" s="1622">
        <f t="shared" si="129"/>
        <v>2016</v>
      </c>
      <c r="C379" s="694">
        <f t="shared" ref="C379:C384" si="133">C378+7</f>
        <v>42636</v>
      </c>
      <c r="D379" s="1622" t="str">
        <f t="shared" si="131"/>
        <v>3Q16</v>
      </c>
      <c r="E379" s="1623">
        <v>93.619996</v>
      </c>
      <c r="F379" s="674"/>
    </row>
    <row r="380" spans="1:6" x14ac:dyDescent="0.2">
      <c r="A380" s="1622">
        <f t="shared" si="132"/>
        <v>4</v>
      </c>
      <c r="B380" s="1622">
        <f>YEAR(C380)</f>
        <v>2016</v>
      </c>
      <c r="C380" s="694">
        <f t="shared" si="133"/>
        <v>42643</v>
      </c>
      <c r="D380" s="1622" t="str">
        <f>A380&amp;"Q"&amp;RIGHT(B380,2)</f>
        <v>4Q16</v>
      </c>
      <c r="E380" s="1623">
        <v>97.059997999999993</v>
      </c>
      <c r="F380" s="674"/>
    </row>
    <row r="381" spans="1:6" x14ac:dyDescent="0.2">
      <c r="A381" s="1622">
        <f t="shared" si="132"/>
        <v>4</v>
      </c>
      <c r="B381" s="1622">
        <f>YEAR(C381)</f>
        <v>2016</v>
      </c>
      <c r="C381" s="694">
        <f t="shared" si="133"/>
        <v>42650</v>
      </c>
      <c r="D381" s="1622" t="str">
        <f>A381&amp;"Q"&amp;RIGHT(B381,2)</f>
        <v>4Q16</v>
      </c>
      <c r="E381" s="1623">
        <v>96.779999000000004</v>
      </c>
      <c r="F381" s="674"/>
    </row>
    <row r="382" spans="1:6" x14ac:dyDescent="0.2">
      <c r="A382" s="1622">
        <f t="shared" si="132"/>
        <v>4</v>
      </c>
      <c r="B382" s="1622">
        <f>YEAR(C382)</f>
        <v>2016</v>
      </c>
      <c r="C382" s="694">
        <f t="shared" si="133"/>
        <v>42657</v>
      </c>
      <c r="D382" s="1622" t="str">
        <f>A382&amp;"Q"&amp;RIGHT(B382,2)</f>
        <v>4Q16</v>
      </c>
      <c r="E382" s="1623">
        <v>94.940003000000004</v>
      </c>
      <c r="F382" s="674"/>
    </row>
    <row r="383" spans="1:6" x14ac:dyDescent="0.2">
      <c r="A383" s="1622">
        <f t="shared" si="132"/>
        <v>4</v>
      </c>
      <c r="B383" s="1622">
        <f>YEAR(C383)</f>
        <v>2016</v>
      </c>
      <c r="C383" s="694">
        <f t="shared" si="133"/>
        <v>42664</v>
      </c>
      <c r="D383" s="1622" t="str">
        <f>A383&amp;"Q"&amp;RIGHT(B383,2)</f>
        <v>4Q16</v>
      </c>
      <c r="E383" s="1623">
        <v>92.919999000000004</v>
      </c>
      <c r="F383" s="674"/>
    </row>
    <row r="384" spans="1:6" x14ac:dyDescent="0.2">
      <c r="A384" s="1622">
        <f t="shared" si="132"/>
        <v>4</v>
      </c>
      <c r="B384" s="1622">
        <f>YEAR(C384)</f>
        <v>2016</v>
      </c>
      <c r="C384" s="694">
        <f t="shared" si="133"/>
        <v>42671</v>
      </c>
      <c r="D384" s="1622" t="str">
        <f>A384&amp;"Q"&amp;RIGHT(B384,2)</f>
        <v>4Q16</v>
      </c>
      <c r="E384" s="1623">
        <v>92.270004999999998</v>
      </c>
      <c r="F384" s="674"/>
    </row>
    <row r="385" spans="1:6" x14ac:dyDescent="0.2">
      <c r="A385" s="1622">
        <f t="shared" ref="A385:A440" si="134">A333</f>
        <v>4</v>
      </c>
      <c r="B385" s="1622">
        <f t="shared" si="127"/>
        <v>2016</v>
      </c>
      <c r="C385" s="694">
        <f t="shared" ref="C385:C432" si="135">C384+7</f>
        <v>42678</v>
      </c>
      <c r="D385" s="1622" t="str">
        <f t="shared" si="128"/>
        <v>4Q16</v>
      </c>
      <c r="E385" s="1623">
        <v>91.619996</v>
      </c>
      <c r="F385" s="674"/>
    </row>
    <row r="386" spans="1:6" x14ac:dyDescent="0.2">
      <c r="A386" s="1622">
        <f t="shared" si="134"/>
        <v>4</v>
      </c>
      <c r="B386" s="1622">
        <f t="shared" si="127"/>
        <v>2016</v>
      </c>
      <c r="C386" s="694">
        <f t="shared" si="135"/>
        <v>42685</v>
      </c>
      <c r="D386" s="1622" t="str">
        <f t="shared" si="128"/>
        <v>4Q16</v>
      </c>
      <c r="E386" s="1623">
        <v>100.91001</v>
      </c>
      <c r="F386" s="674"/>
    </row>
    <row r="387" spans="1:6" x14ac:dyDescent="0.2">
      <c r="A387" s="1622">
        <f t="shared" si="134"/>
        <v>4</v>
      </c>
      <c r="B387" s="1622">
        <f t="shared" si="127"/>
        <v>2016</v>
      </c>
      <c r="C387" s="694">
        <f t="shared" si="135"/>
        <v>42692</v>
      </c>
      <c r="D387" s="1622" t="str">
        <f t="shared" si="128"/>
        <v>4Q16</v>
      </c>
      <c r="E387" s="1623">
        <v>103.45</v>
      </c>
      <c r="F387" s="674"/>
    </row>
    <row r="388" spans="1:6" x14ac:dyDescent="0.2">
      <c r="A388" s="1622">
        <f t="shared" si="134"/>
        <v>4</v>
      </c>
      <c r="B388" s="1622">
        <f t="shared" si="127"/>
        <v>2016</v>
      </c>
      <c r="C388" s="694">
        <f t="shared" si="135"/>
        <v>42699</v>
      </c>
      <c r="D388" s="1622" t="str">
        <f t="shared" si="128"/>
        <v>4Q16</v>
      </c>
      <c r="E388" s="1623">
        <v>104.34</v>
      </c>
      <c r="F388" s="674"/>
    </row>
    <row r="389" spans="1:6" x14ac:dyDescent="0.2">
      <c r="A389" s="1622">
        <f t="shared" si="134"/>
        <v>4</v>
      </c>
      <c r="B389" s="1622">
        <f t="shared" si="127"/>
        <v>2016</v>
      </c>
      <c r="C389" s="694">
        <f t="shared" si="135"/>
        <v>42706</v>
      </c>
      <c r="D389" s="1622" t="str">
        <f t="shared" si="128"/>
        <v>4Q16</v>
      </c>
      <c r="E389" s="1623">
        <v>105.60001</v>
      </c>
      <c r="F389" s="674"/>
    </row>
    <row r="390" spans="1:6" x14ac:dyDescent="0.2">
      <c r="A390" s="1622">
        <f t="shared" si="134"/>
        <v>4</v>
      </c>
      <c r="B390" s="1622">
        <f t="shared" si="127"/>
        <v>2016</v>
      </c>
      <c r="C390" s="694">
        <f t="shared" si="135"/>
        <v>42713</v>
      </c>
      <c r="D390" s="1622" t="str">
        <f t="shared" si="128"/>
        <v>4Q16</v>
      </c>
      <c r="E390" s="1623">
        <v>110.60001</v>
      </c>
      <c r="F390" s="674"/>
    </row>
    <row r="391" spans="1:6" x14ac:dyDescent="0.2">
      <c r="A391" s="1622">
        <f t="shared" si="134"/>
        <v>4</v>
      </c>
      <c r="B391" s="1622">
        <f t="shared" si="127"/>
        <v>2016</v>
      </c>
      <c r="C391" s="694">
        <f t="shared" si="135"/>
        <v>42720</v>
      </c>
      <c r="D391" s="1622" t="str">
        <f t="shared" si="128"/>
        <v>4Q16</v>
      </c>
      <c r="E391" s="1623">
        <v>106.67</v>
      </c>
      <c r="F391" s="674"/>
    </row>
    <row r="392" spans="1:6" x14ac:dyDescent="0.2">
      <c r="A392" s="1622">
        <f t="shared" si="134"/>
        <v>4</v>
      </c>
      <c r="B392" s="1622">
        <f t="shared" si="127"/>
        <v>2016</v>
      </c>
      <c r="C392" s="694">
        <f t="shared" si="135"/>
        <v>42727</v>
      </c>
      <c r="D392" s="1622" t="str">
        <f t="shared" si="128"/>
        <v>4Q16</v>
      </c>
      <c r="E392" s="1623">
        <v>109.28</v>
      </c>
      <c r="F392" s="674"/>
    </row>
    <row r="393" spans="1:6" x14ac:dyDescent="0.2">
      <c r="A393" s="683">
        <f t="shared" si="134"/>
        <v>1</v>
      </c>
      <c r="B393" s="683">
        <f t="shared" si="127"/>
        <v>2016</v>
      </c>
      <c r="C393" s="694">
        <f t="shared" si="135"/>
        <v>42734</v>
      </c>
      <c r="D393" s="683" t="s">
        <v>834</v>
      </c>
      <c r="E393" s="1623">
        <v>108.07001</v>
      </c>
      <c r="F393" s="674"/>
    </row>
    <row r="394" spans="1:6" x14ac:dyDescent="0.2">
      <c r="A394" s="683">
        <f t="shared" si="134"/>
        <v>1</v>
      </c>
      <c r="B394" s="683">
        <f t="shared" si="127"/>
        <v>2017</v>
      </c>
      <c r="C394" s="694">
        <f t="shared" si="135"/>
        <v>42741</v>
      </c>
      <c r="D394" s="683" t="str">
        <f t="shared" si="128"/>
        <v>1Q17</v>
      </c>
      <c r="E394" s="1623">
        <v>111.66001</v>
      </c>
      <c r="F394" s="674"/>
    </row>
    <row r="395" spans="1:6" x14ac:dyDescent="0.2">
      <c r="A395" s="683">
        <f t="shared" si="134"/>
        <v>1</v>
      </c>
      <c r="B395" s="683">
        <f t="shared" si="127"/>
        <v>2017</v>
      </c>
      <c r="C395" s="694">
        <f t="shared" si="135"/>
        <v>42748</v>
      </c>
      <c r="D395" s="683" t="str">
        <f t="shared" si="128"/>
        <v>1Q17</v>
      </c>
      <c r="E395" s="1623">
        <v>111.59</v>
      </c>
      <c r="F395" s="674"/>
    </row>
    <row r="396" spans="1:6" x14ac:dyDescent="0.2">
      <c r="A396" s="683">
        <f t="shared" si="134"/>
        <v>1</v>
      </c>
      <c r="B396" s="683">
        <f t="shared" si="127"/>
        <v>2017</v>
      </c>
      <c r="C396" s="694">
        <f t="shared" si="135"/>
        <v>42755</v>
      </c>
      <c r="D396" s="683" t="str">
        <f t="shared" si="128"/>
        <v>1Q17</v>
      </c>
      <c r="E396" s="1623">
        <v>113.59</v>
      </c>
      <c r="F396" s="674"/>
    </row>
    <row r="397" spans="1:6" x14ac:dyDescent="0.2">
      <c r="A397" s="683">
        <f t="shared" si="134"/>
        <v>1</v>
      </c>
      <c r="B397" s="683">
        <f t="shared" si="127"/>
        <v>2017</v>
      </c>
      <c r="C397" s="694">
        <f t="shared" si="135"/>
        <v>42762</v>
      </c>
      <c r="D397" s="683" t="str">
        <f t="shared" si="128"/>
        <v>1Q17</v>
      </c>
      <c r="E397" s="1623">
        <v>120.35001</v>
      </c>
      <c r="F397" s="674"/>
    </row>
    <row r="398" spans="1:6" x14ac:dyDescent="0.2">
      <c r="A398" s="683">
        <f t="shared" si="134"/>
        <v>1</v>
      </c>
      <c r="B398" s="683">
        <f t="shared" si="127"/>
        <v>2017</v>
      </c>
      <c r="C398" s="694">
        <f t="shared" si="135"/>
        <v>42769</v>
      </c>
      <c r="D398" s="683" t="str">
        <f t="shared" si="128"/>
        <v>1Q17</v>
      </c>
      <c r="E398" s="1623">
        <v>120.46001</v>
      </c>
      <c r="F398" s="674"/>
    </row>
    <row r="399" spans="1:6" x14ac:dyDescent="0.2">
      <c r="A399" s="683">
        <f t="shared" si="134"/>
        <v>1</v>
      </c>
      <c r="B399" s="683">
        <f t="shared" si="127"/>
        <v>2017</v>
      </c>
      <c r="C399" s="694">
        <f t="shared" si="135"/>
        <v>42776</v>
      </c>
      <c r="D399" s="683" t="str">
        <f t="shared" si="128"/>
        <v>1Q17</v>
      </c>
      <c r="E399" s="1623">
        <v>121.12</v>
      </c>
      <c r="F399" s="674"/>
    </row>
    <row r="400" spans="1:6" x14ac:dyDescent="0.2">
      <c r="A400" s="683">
        <f t="shared" si="134"/>
        <v>1</v>
      </c>
      <c r="B400" s="683">
        <f t="shared" si="127"/>
        <v>2017</v>
      </c>
      <c r="C400" s="694">
        <f t="shared" si="135"/>
        <v>42783</v>
      </c>
      <c r="D400" s="683" t="str">
        <f t="shared" si="128"/>
        <v>1Q17</v>
      </c>
      <c r="E400" s="1623">
        <v>122.78</v>
      </c>
      <c r="F400" s="674"/>
    </row>
    <row r="401" spans="1:6" x14ac:dyDescent="0.2">
      <c r="A401" s="683">
        <f t="shared" si="134"/>
        <v>1</v>
      </c>
      <c r="B401" s="683">
        <f t="shared" si="127"/>
        <v>2017</v>
      </c>
      <c r="C401" s="694">
        <f t="shared" si="135"/>
        <v>42790</v>
      </c>
      <c r="D401" s="683" t="str">
        <f t="shared" si="128"/>
        <v>1Q17</v>
      </c>
      <c r="E401" s="1623">
        <v>120.08001</v>
      </c>
      <c r="F401" s="674"/>
    </row>
    <row r="402" spans="1:6" x14ac:dyDescent="0.2">
      <c r="A402" s="683">
        <f t="shared" si="134"/>
        <v>1</v>
      </c>
      <c r="B402" s="683">
        <f t="shared" si="127"/>
        <v>2017</v>
      </c>
      <c r="C402" s="694">
        <f t="shared" si="135"/>
        <v>42797</v>
      </c>
      <c r="D402" s="683" t="str">
        <f t="shared" si="128"/>
        <v>1Q17</v>
      </c>
      <c r="E402" s="1623">
        <v>122.4</v>
      </c>
      <c r="F402" s="674"/>
    </row>
    <row r="403" spans="1:6" x14ac:dyDescent="0.2">
      <c r="A403" s="683">
        <f t="shared" si="134"/>
        <v>1</v>
      </c>
      <c r="B403" s="683">
        <f t="shared" si="127"/>
        <v>2017</v>
      </c>
      <c r="C403" s="694">
        <f t="shared" si="135"/>
        <v>42804</v>
      </c>
      <c r="D403" s="683" t="str">
        <f t="shared" si="128"/>
        <v>1Q17</v>
      </c>
      <c r="E403" s="1623">
        <v>119.66001</v>
      </c>
      <c r="F403" s="674"/>
    </row>
    <row r="404" spans="1:6" x14ac:dyDescent="0.2">
      <c r="A404" s="683">
        <f t="shared" si="134"/>
        <v>1</v>
      </c>
      <c r="B404" s="683">
        <f t="shared" si="127"/>
        <v>2017</v>
      </c>
      <c r="C404" s="694">
        <f t="shared" si="135"/>
        <v>42811</v>
      </c>
      <c r="D404" s="683" t="str">
        <f t="shared" si="128"/>
        <v>1Q17</v>
      </c>
      <c r="E404" s="1623">
        <v>114.71001</v>
      </c>
      <c r="F404" s="674"/>
    </row>
    <row r="405" spans="1:6" x14ac:dyDescent="0.2">
      <c r="A405" s="683">
        <f t="shared" si="134"/>
        <v>1</v>
      </c>
      <c r="B405" s="683">
        <f t="shared" si="127"/>
        <v>2017</v>
      </c>
      <c r="C405" s="694">
        <f t="shared" si="135"/>
        <v>42818</v>
      </c>
      <c r="D405" s="683" t="str">
        <f t="shared" si="128"/>
        <v>1Q17</v>
      </c>
      <c r="E405" s="1623">
        <v>110.66001</v>
      </c>
      <c r="F405" s="674"/>
    </row>
    <row r="406" spans="1:6" x14ac:dyDescent="0.2">
      <c r="A406" s="683">
        <f t="shared" si="134"/>
        <v>2</v>
      </c>
      <c r="B406" s="683">
        <f t="shared" si="127"/>
        <v>2017</v>
      </c>
      <c r="C406" s="694">
        <f t="shared" si="135"/>
        <v>42825</v>
      </c>
      <c r="D406" s="683" t="str">
        <f t="shared" si="128"/>
        <v>2Q17</v>
      </c>
      <c r="E406" s="1623">
        <v>111.97001</v>
      </c>
      <c r="F406" s="674"/>
    </row>
    <row r="407" spans="1:6" x14ac:dyDescent="0.2">
      <c r="A407" s="683">
        <f t="shared" si="134"/>
        <v>2</v>
      </c>
      <c r="B407" s="683">
        <f t="shared" si="127"/>
        <v>2017</v>
      </c>
      <c r="C407" s="694">
        <f t="shared" si="135"/>
        <v>42832</v>
      </c>
      <c r="D407" s="683" t="str">
        <f t="shared" si="128"/>
        <v>2Q17</v>
      </c>
      <c r="E407" s="1623">
        <v>115.9</v>
      </c>
      <c r="F407" s="674"/>
    </row>
    <row r="408" spans="1:6" x14ac:dyDescent="0.2">
      <c r="A408" s="683">
        <f t="shared" si="134"/>
        <v>2</v>
      </c>
      <c r="B408" s="683">
        <f t="shared" si="127"/>
        <v>2017</v>
      </c>
      <c r="C408" s="694">
        <f t="shared" si="135"/>
        <v>42839</v>
      </c>
      <c r="D408" s="683" t="str">
        <f t="shared" si="128"/>
        <v>2Q17</v>
      </c>
      <c r="E408" s="1623">
        <v>111.58001</v>
      </c>
      <c r="F408" s="674"/>
    </row>
    <row r="409" spans="1:6" x14ac:dyDescent="0.2">
      <c r="A409" s="683">
        <f t="shared" si="134"/>
        <v>2</v>
      </c>
      <c r="B409" s="683">
        <f t="shared" si="127"/>
        <v>2017</v>
      </c>
      <c r="C409" s="694">
        <f t="shared" si="135"/>
        <v>42846</v>
      </c>
      <c r="D409" s="683" t="str">
        <f t="shared" si="128"/>
        <v>2Q17</v>
      </c>
      <c r="E409" s="1623">
        <v>116.37</v>
      </c>
      <c r="F409" s="674"/>
    </row>
    <row r="410" spans="1:6" x14ac:dyDescent="0.2">
      <c r="A410" s="683">
        <f t="shared" si="134"/>
        <v>2</v>
      </c>
      <c r="B410" s="683">
        <f t="shared" si="127"/>
        <v>2017</v>
      </c>
      <c r="C410" s="694">
        <f t="shared" si="135"/>
        <v>42853</v>
      </c>
      <c r="D410" s="683" t="str">
        <f t="shared" si="128"/>
        <v>2Q17</v>
      </c>
      <c r="E410" s="1623">
        <v>117.49001</v>
      </c>
      <c r="F410" s="674"/>
    </row>
    <row r="411" spans="1:6" x14ac:dyDescent="0.2">
      <c r="A411" s="683">
        <f t="shared" si="134"/>
        <v>2</v>
      </c>
      <c r="B411" s="683">
        <f t="shared" si="127"/>
        <v>2017</v>
      </c>
      <c r="C411" s="694">
        <f t="shared" si="135"/>
        <v>42860</v>
      </c>
      <c r="D411" s="683" t="str">
        <f t="shared" si="128"/>
        <v>2Q17</v>
      </c>
      <c r="E411" s="1623">
        <v>117.01</v>
      </c>
      <c r="F411" s="674"/>
    </row>
    <row r="412" spans="1:6" x14ac:dyDescent="0.2">
      <c r="A412" s="683">
        <f t="shared" si="134"/>
        <v>2</v>
      </c>
      <c r="B412" s="683">
        <f t="shared" si="127"/>
        <v>2017</v>
      </c>
      <c r="C412" s="694">
        <f t="shared" si="135"/>
        <v>42867</v>
      </c>
      <c r="D412" s="683" t="str">
        <f t="shared" si="128"/>
        <v>2Q17</v>
      </c>
      <c r="E412" s="1623">
        <v>116.96001</v>
      </c>
      <c r="F412" s="674"/>
    </row>
    <row r="413" spans="1:6" x14ac:dyDescent="0.2">
      <c r="A413" s="683">
        <f t="shared" si="134"/>
        <v>2</v>
      </c>
      <c r="B413" s="683">
        <f t="shared" si="127"/>
        <v>2017</v>
      </c>
      <c r="C413" s="694">
        <f t="shared" si="135"/>
        <v>42874</v>
      </c>
      <c r="D413" s="683" t="str">
        <f t="shared" si="128"/>
        <v>2Q17</v>
      </c>
      <c r="E413" s="1623">
        <v>113.27001</v>
      </c>
      <c r="F413" s="674"/>
    </row>
    <row r="414" spans="1:6" x14ac:dyDescent="0.2">
      <c r="A414" s="683">
        <f t="shared" si="134"/>
        <v>2</v>
      </c>
      <c r="B414" s="683">
        <f t="shared" si="127"/>
        <v>2017</v>
      </c>
      <c r="C414" s="694">
        <f t="shared" si="135"/>
        <v>42881</v>
      </c>
      <c r="D414" s="683" t="str">
        <f t="shared" si="128"/>
        <v>2Q17</v>
      </c>
      <c r="E414" s="1623">
        <v>122.33001</v>
      </c>
      <c r="F414" s="674"/>
    </row>
    <row r="415" spans="1:6" x14ac:dyDescent="0.2">
      <c r="A415" s="683">
        <f t="shared" si="134"/>
        <v>2</v>
      </c>
      <c r="B415" s="683">
        <f t="shared" si="127"/>
        <v>2017</v>
      </c>
      <c r="C415" s="694">
        <f t="shared" si="135"/>
        <v>42888</v>
      </c>
      <c r="D415" s="683" t="str">
        <f t="shared" si="128"/>
        <v>2Q17</v>
      </c>
      <c r="E415" s="1623">
        <v>123.64</v>
      </c>
      <c r="F415" s="674"/>
    </row>
    <row r="416" spans="1:6" x14ac:dyDescent="0.2">
      <c r="A416" s="683">
        <f t="shared" si="134"/>
        <v>2</v>
      </c>
      <c r="B416" s="683">
        <f t="shared" si="127"/>
        <v>2017</v>
      </c>
      <c r="C416" s="694">
        <f t="shared" si="135"/>
        <v>42895</v>
      </c>
      <c r="D416" s="683" t="str">
        <f t="shared" si="128"/>
        <v>2Q17</v>
      </c>
      <c r="E416" s="1623">
        <v>118.92</v>
      </c>
      <c r="F416" s="674"/>
    </row>
    <row r="417" spans="1:6" x14ac:dyDescent="0.2">
      <c r="A417" s="683">
        <f t="shared" si="134"/>
        <v>2</v>
      </c>
      <c r="B417" s="683">
        <f t="shared" si="127"/>
        <v>2017</v>
      </c>
      <c r="C417" s="694">
        <f t="shared" si="135"/>
        <v>42902</v>
      </c>
      <c r="D417" s="683" t="str">
        <f t="shared" si="128"/>
        <v>2Q17</v>
      </c>
      <c r="E417" s="1623">
        <v>119.14</v>
      </c>
      <c r="F417" s="674"/>
    </row>
    <row r="418" spans="1:6" x14ac:dyDescent="0.2">
      <c r="A418" s="683">
        <f t="shared" si="134"/>
        <v>2</v>
      </c>
      <c r="B418" s="683">
        <f t="shared" si="127"/>
        <v>2017</v>
      </c>
      <c r="C418" s="694">
        <f t="shared" si="135"/>
        <v>42909</v>
      </c>
      <c r="D418" s="683" t="str">
        <f t="shared" si="128"/>
        <v>2Q17</v>
      </c>
      <c r="E418" s="1623">
        <v>119.29</v>
      </c>
      <c r="F418" s="674"/>
    </row>
    <row r="419" spans="1:6" x14ac:dyDescent="0.2">
      <c r="A419" s="683">
        <f t="shared" si="134"/>
        <v>3</v>
      </c>
      <c r="B419" s="683">
        <f t="shared" si="127"/>
        <v>2017</v>
      </c>
      <c r="C419" s="694">
        <f t="shared" si="135"/>
        <v>42916</v>
      </c>
      <c r="D419" s="683" t="str">
        <f t="shared" si="128"/>
        <v>3Q17</v>
      </c>
      <c r="E419" s="1623">
        <v>121.7</v>
      </c>
      <c r="F419" s="674"/>
    </row>
    <row r="420" spans="1:6" x14ac:dyDescent="0.2">
      <c r="A420" s="683">
        <f t="shared" si="134"/>
        <v>3</v>
      </c>
      <c r="B420" s="683">
        <f t="shared" si="127"/>
        <v>2017</v>
      </c>
      <c r="C420" s="694">
        <f t="shared" si="135"/>
        <v>42923</v>
      </c>
      <c r="D420" s="683" t="str">
        <f t="shared" si="128"/>
        <v>3Q17</v>
      </c>
      <c r="E420" s="1623">
        <v>122.34</v>
      </c>
      <c r="F420" s="674"/>
    </row>
    <row r="421" spans="1:6" x14ac:dyDescent="0.2">
      <c r="A421" s="683">
        <f t="shared" si="134"/>
        <v>3</v>
      </c>
      <c r="B421" s="683">
        <f t="shared" si="127"/>
        <v>2017</v>
      </c>
      <c r="C421" s="694">
        <f t="shared" si="135"/>
        <v>42930</v>
      </c>
      <c r="D421" s="683" t="str">
        <f t="shared" si="128"/>
        <v>3Q17</v>
      </c>
      <c r="E421" s="1623">
        <v>124</v>
      </c>
      <c r="F421" s="674"/>
    </row>
    <row r="422" spans="1:6" x14ac:dyDescent="0.2">
      <c r="A422" s="683">
        <f t="shared" ref="A422:A430" si="136">A370</f>
        <v>3</v>
      </c>
      <c r="B422" s="683">
        <f t="shared" si="127"/>
        <v>2017</v>
      </c>
      <c r="C422" s="694">
        <f t="shared" si="135"/>
        <v>42937</v>
      </c>
      <c r="D422" s="683" t="str">
        <f t="shared" si="128"/>
        <v>3Q17</v>
      </c>
      <c r="E422" s="1623">
        <v>117.85001</v>
      </c>
      <c r="F422" s="674"/>
    </row>
    <row r="423" spans="1:6" x14ac:dyDescent="0.2">
      <c r="A423" s="683">
        <f t="shared" si="136"/>
        <v>3</v>
      </c>
      <c r="B423" s="683">
        <f t="shared" si="127"/>
        <v>2017</v>
      </c>
      <c r="C423" s="694">
        <f t="shared" si="135"/>
        <v>42944</v>
      </c>
      <c r="D423" s="683" t="str">
        <f t="shared" si="128"/>
        <v>3Q17</v>
      </c>
      <c r="E423" s="1623">
        <v>114.23</v>
      </c>
      <c r="F423" s="674"/>
    </row>
    <row r="424" spans="1:6" x14ac:dyDescent="0.2">
      <c r="A424" s="683">
        <f t="shared" si="136"/>
        <v>3</v>
      </c>
      <c r="B424" s="683">
        <f t="shared" si="127"/>
        <v>2017</v>
      </c>
      <c r="C424" s="694">
        <f t="shared" si="135"/>
        <v>42951</v>
      </c>
      <c r="D424" s="683" t="str">
        <f t="shared" si="128"/>
        <v>3Q17</v>
      </c>
      <c r="E424" s="1623">
        <v>114.61001</v>
      </c>
      <c r="F424" s="674"/>
    </row>
    <row r="425" spans="1:6" x14ac:dyDescent="0.2">
      <c r="A425" s="683">
        <f t="shared" si="136"/>
        <v>3</v>
      </c>
      <c r="B425" s="683">
        <f t="shared" si="127"/>
        <v>2017</v>
      </c>
      <c r="C425" s="694">
        <f t="shared" si="135"/>
        <v>42958</v>
      </c>
      <c r="D425" s="683" t="str">
        <f t="shared" si="128"/>
        <v>3Q17</v>
      </c>
      <c r="E425" s="1623">
        <v>116.56</v>
      </c>
      <c r="F425" s="674"/>
    </row>
    <row r="426" spans="1:6" x14ac:dyDescent="0.2">
      <c r="A426" s="683">
        <f t="shared" si="136"/>
        <v>3</v>
      </c>
      <c r="B426" s="683">
        <f t="shared" ref="B426:B445" si="137">YEAR(C426)</f>
        <v>2017</v>
      </c>
      <c r="C426" s="694">
        <f t="shared" si="135"/>
        <v>42965</v>
      </c>
      <c r="D426" s="683" t="str">
        <f t="shared" ref="D426:D444" si="138">A426&amp;"Q"&amp;RIGHT(B426,2)</f>
        <v>3Q17</v>
      </c>
      <c r="E426" s="1623">
        <v>118.63001</v>
      </c>
      <c r="F426" s="674"/>
    </row>
    <row r="427" spans="1:6" x14ac:dyDescent="0.2">
      <c r="A427" s="683">
        <f t="shared" si="136"/>
        <v>3</v>
      </c>
      <c r="B427" s="683">
        <f t="shared" si="137"/>
        <v>2017</v>
      </c>
      <c r="C427" s="694">
        <f t="shared" si="135"/>
        <v>42972</v>
      </c>
      <c r="D427" s="683" t="str">
        <f t="shared" si="138"/>
        <v>3Q17</v>
      </c>
      <c r="E427" s="1623">
        <v>118.21001</v>
      </c>
      <c r="F427" s="674"/>
    </row>
    <row r="428" spans="1:6" x14ac:dyDescent="0.2">
      <c r="A428" s="683">
        <f t="shared" si="136"/>
        <v>3</v>
      </c>
      <c r="B428" s="683">
        <f t="shared" si="137"/>
        <v>2017</v>
      </c>
      <c r="C428" s="694">
        <f t="shared" si="135"/>
        <v>42979</v>
      </c>
      <c r="D428" s="683" t="str">
        <f t="shared" si="138"/>
        <v>3Q17</v>
      </c>
      <c r="E428" s="1623">
        <v>121.16001</v>
      </c>
      <c r="F428" s="674"/>
    </row>
    <row r="429" spans="1:6" x14ac:dyDescent="0.2">
      <c r="A429" s="683">
        <f t="shared" si="136"/>
        <v>3</v>
      </c>
      <c r="B429" s="683">
        <f t="shared" si="137"/>
        <v>2017</v>
      </c>
      <c r="C429" s="694">
        <f t="shared" si="135"/>
        <v>42986</v>
      </c>
      <c r="D429" s="683" t="str">
        <f t="shared" si="138"/>
        <v>3Q17</v>
      </c>
      <c r="E429" s="1623">
        <v>123.92</v>
      </c>
      <c r="F429" s="674"/>
    </row>
    <row r="430" spans="1:6" x14ac:dyDescent="0.2">
      <c r="A430" s="683">
        <f t="shared" si="136"/>
        <v>3</v>
      </c>
      <c r="B430" s="683">
        <f t="shared" si="137"/>
        <v>2017</v>
      </c>
      <c r="C430" s="694">
        <f t="shared" si="135"/>
        <v>42993</v>
      </c>
      <c r="D430" s="683" t="str">
        <f t="shared" si="138"/>
        <v>3Q17</v>
      </c>
      <c r="E430" s="1623">
        <v>128.04</v>
      </c>
      <c r="F430" s="674"/>
    </row>
    <row r="431" spans="1:6" x14ac:dyDescent="0.2">
      <c r="A431" s="683">
        <f t="shared" si="134"/>
        <v>3</v>
      </c>
      <c r="B431" s="683">
        <f t="shared" si="137"/>
        <v>2017</v>
      </c>
      <c r="C431" s="694">
        <f t="shared" si="135"/>
        <v>43000</v>
      </c>
      <c r="D431" s="683" t="str">
        <f t="shared" si="138"/>
        <v>3Q17</v>
      </c>
      <c r="E431" s="1623">
        <v>130.99001000000001</v>
      </c>
      <c r="F431" s="674"/>
    </row>
    <row r="432" spans="1:6" x14ac:dyDescent="0.2">
      <c r="A432" s="683">
        <f t="shared" si="134"/>
        <v>4</v>
      </c>
      <c r="B432" s="683">
        <f t="shared" si="137"/>
        <v>2017</v>
      </c>
      <c r="C432" s="694">
        <f t="shared" si="135"/>
        <v>43007</v>
      </c>
      <c r="D432" s="683" t="str">
        <f t="shared" si="138"/>
        <v>4Q17</v>
      </c>
      <c r="E432" s="1623">
        <v>132.24001000000001</v>
      </c>
      <c r="F432" s="674"/>
    </row>
    <row r="433" spans="1:6" x14ac:dyDescent="0.2">
      <c r="A433" s="683">
        <f t="shared" si="134"/>
        <v>4</v>
      </c>
      <c r="B433" s="683">
        <f t="shared" si="137"/>
        <v>2017</v>
      </c>
      <c r="C433" s="694">
        <f t="shared" ref="C433:C496" si="139">C432+7</f>
        <v>43014</v>
      </c>
      <c r="D433" s="683" t="str">
        <f t="shared" si="138"/>
        <v>4Q17</v>
      </c>
      <c r="E433" s="1623">
        <v>130.46001000000001</v>
      </c>
      <c r="F433" s="674"/>
    </row>
    <row r="434" spans="1:6" x14ac:dyDescent="0.2">
      <c r="A434" s="683">
        <f t="shared" si="134"/>
        <v>4</v>
      </c>
      <c r="B434" s="683">
        <f t="shared" si="137"/>
        <v>2017</v>
      </c>
      <c r="C434" s="694">
        <f t="shared" si="139"/>
        <v>43021</v>
      </c>
      <c r="D434" s="683" t="str">
        <f t="shared" si="138"/>
        <v>4Q17</v>
      </c>
      <c r="E434" s="1623">
        <v>131.65</v>
      </c>
      <c r="F434" s="674"/>
    </row>
    <row r="435" spans="1:6" x14ac:dyDescent="0.2">
      <c r="A435" s="683">
        <f t="shared" si="134"/>
        <v>4</v>
      </c>
      <c r="B435" s="683">
        <f t="shared" si="137"/>
        <v>2017</v>
      </c>
      <c r="C435" s="694">
        <f t="shared" si="139"/>
        <v>43028</v>
      </c>
      <c r="D435" s="683" t="str">
        <f t="shared" si="138"/>
        <v>4Q17</v>
      </c>
      <c r="E435" s="1623">
        <v>132.75</v>
      </c>
      <c r="F435" s="674"/>
    </row>
    <row r="436" spans="1:6" x14ac:dyDescent="0.2">
      <c r="A436" s="683">
        <f t="shared" si="134"/>
        <v>4</v>
      </c>
      <c r="B436" s="683">
        <f t="shared" si="137"/>
        <v>2017</v>
      </c>
      <c r="C436" s="694">
        <f t="shared" si="139"/>
        <v>43035</v>
      </c>
      <c r="D436" s="683" t="str">
        <f t="shared" si="138"/>
        <v>4Q17</v>
      </c>
      <c r="E436" s="1623">
        <v>133.65</v>
      </c>
      <c r="F436" s="674"/>
    </row>
    <row r="437" spans="1:6" x14ac:dyDescent="0.2">
      <c r="A437" s="683">
        <f t="shared" si="134"/>
        <v>4</v>
      </c>
      <c r="B437" s="683">
        <f t="shared" si="137"/>
        <v>2017</v>
      </c>
      <c r="C437" s="694">
        <f t="shared" si="139"/>
        <v>43042</v>
      </c>
      <c r="D437" s="683" t="str">
        <f t="shared" si="138"/>
        <v>4Q17</v>
      </c>
      <c r="E437" s="1623">
        <v>130.36000999999999</v>
      </c>
      <c r="F437" s="674"/>
    </row>
    <row r="438" spans="1:6" x14ac:dyDescent="0.2">
      <c r="A438" s="683">
        <f t="shared" si="134"/>
        <v>4</v>
      </c>
      <c r="B438" s="683">
        <f t="shared" si="137"/>
        <v>2017</v>
      </c>
      <c r="C438" s="694">
        <f t="shared" si="139"/>
        <v>43049</v>
      </c>
      <c r="D438" s="683" t="str">
        <f t="shared" si="138"/>
        <v>4Q17</v>
      </c>
      <c r="E438" s="1623">
        <v>127.15</v>
      </c>
      <c r="F438" s="674"/>
    </row>
    <row r="439" spans="1:6" x14ac:dyDescent="0.2">
      <c r="A439" s="683">
        <f t="shared" si="134"/>
        <v>4</v>
      </c>
      <c r="B439" s="683">
        <f t="shared" si="137"/>
        <v>2017</v>
      </c>
      <c r="C439" s="694">
        <f t="shared" si="139"/>
        <v>43056</v>
      </c>
      <c r="D439" s="683" t="str">
        <f t="shared" si="138"/>
        <v>4Q17</v>
      </c>
      <c r="E439" s="1623">
        <v>127.54</v>
      </c>
      <c r="F439" s="674"/>
    </row>
    <row r="440" spans="1:6" x14ac:dyDescent="0.2">
      <c r="A440" s="683">
        <f t="shared" si="134"/>
        <v>4</v>
      </c>
      <c r="B440" s="683">
        <f t="shared" si="137"/>
        <v>2017</v>
      </c>
      <c r="C440" s="694">
        <f t="shared" si="139"/>
        <v>43063</v>
      </c>
      <c r="D440" s="683" t="str">
        <f t="shared" si="138"/>
        <v>4Q17</v>
      </c>
      <c r="E440" s="1623">
        <v>130.01</v>
      </c>
      <c r="F440" s="674"/>
    </row>
    <row r="441" spans="1:6" x14ac:dyDescent="0.2">
      <c r="A441" s="683">
        <f>A389</f>
        <v>4</v>
      </c>
      <c r="B441" s="683">
        <f t="shared" si="137"/>
        <v>2017</v>
      </c>
      <c r="C441" s="694">
        <f t="shared" si="139"/>
        <v>43070</v>
      </c>
      <c r="D441" s="683" t="str">
        <f t="shared" si="138"/>
        <v>4Q17</v>
      </c>
      <c r="E441" s="1623">
        <v>137.5</v>
      </c>
      <c r="F441" s="674"/>
    </row>
    <row r="442" spans="1:6" x14ac:dyDescent="0.2">
      <c r="A442" s="683">
        <f>A390</f>
        <v>4</v>
      </c>
      <c r="B442" s="683">
        <f t="shared" si="137"/>
        <v>2017</v>
      </c>
      <c r="C442" s="694">
        <f t="shared" si="139"/>
        <v>43077</v>
      </c>
      <c r="D442" s="683" t="str">
        <f t="shared" si="138"/>
        <v>4Q17</v>
      </c>
      <c r="E442" s="1623">
        <v>140.82001</v>
      </c>
      <c r="F442" s="674"/>
    </row>
    <row r="443" spans="1:6" x14ac:dyDescent="0.2">
      <c r="A443" s="683">
        <f>A391</f>
        <v>4</v>
      </c>
      <c r="B443" s="683">
        <f t="shared" si="137"/>
        <v>2017</v>
      </c>
      <c r="C443" s="694">
        <f t="shared" si="139"/>
        <v>43084</v>
      </c>
      <c r="D443" s="683" t="str">
        <f t="shared" si="138"/>
        <v>4Q17</v>
      </c>
      <c r="E443" s="1623">
        <v>141.11000999999999</v>
      </c>
      <c r="F443" s="674"/>
    </row>
    <row r="444" spans="1:6" x14ac:dyDescent="0.2">
      <c r="A444" s="683">
        <f>A392</f>
        <v>4</v>
      </c>
      <c r="B444" s="683">
        <f t="shared" si="137"/>
        <v>2017</v>
      </c>
      <c r="C444" s="694">
        <f t="shared" si="139"/>
        <v>43091</v>
      </c>
      <c r="D444" s="683" t="str">
        <f t="shared" si="138"/>
        <v>4Q17</v>
      </c>
      <c r="E444" s="1623">
        <v>144.52001000000001</v>
      </c>
      <c r="F444" s="674"/>
    </row>
    <row r="445" spans="1:6" x14ac:dyDescent="0.2">
      <c r="A445" s="683">
        <f>A393</f>
        <v>1</v>
      </c>
      <c r="B445" s="683">
        <f t="shared" si="137"/>
        <v>2017</v>
      </c>
      <c r="C445" s="694">
        <f t="shared" si="139"/>
        <v>43098</v>
      </c>
      <c r="D445" s="683" t="s">
        <v>843</v>
      </c>
      <c r="E445" s="1623">
        <v>144.9</v>
      </c>
      <c r="F445" s="674"/>
    </row>
    <row r="446" spans="1:6" x14ac:dyDescent="0.2">
      <c r="A446" s="683">
        <f t="shared" ref="A446:A509" si="140">A394</f>
        <v>1</v>
      </c>
      <c r="B446" s="683">
        <f t="shared" ref="B446:B509" si="141">YEAR(C446)</f>
        <v>2018</v>
      </c>
      <c r="C446" s="694">
        <f t="shared" si="139"/>
        <v>43105</v>
      </c>
      <c r="D446" s="683" t="str">
        <f t="shared" ref="D446:D509" si="142">A446&amp;"Q"&amp;RIGHT(B446,2)</f>
        <v>1Q18</v>
      </c>
      <c r="E446" s="1623">
        <v>150.27001000000001</v>
      </c>
      <c r="F446" s="674"/>
    </row>
    <row r="447" spans="1:6" x14ac:dyDescent="0.2">
      <c r="A447" s="683">
        <f t="shared" si="140"/>
        <v>1</v>
      </c>
      <c r="B447" s="683">
        <f t="shared" si="141"/>
        <v>2018</v>
      </c>
      <c r="C447" s="694">
        <f t="shared" si="139"/>
        <v>43112</v>
      </c>
      <c r="D447" s="683" t="str">
        <f t="shared" si="142"/>
        <v>1Q18</v>
      </c>
      <c r="E447" s="1623">
        <v>154.34</v>
      </c>
      <c r="F447" s="674"/>
    </row>
    <row r="448" spans="1:6" x14ac:dyDescent="0.2">
      <c r="A448" s="683">
        <f t="shared" si="140"/>
        <v>1</v>
      </c>
      <c r="B448" s="683">
        <f t="shared" si="141"/>
        <v>2018</v>
      </c>
      <c r="C448" s="694">
        <f t="shared" si="139"/>
        <v>43119</v>
      </c>
      <c r="D448" s="683" t="str">
        <f t="shared" si="142"/>
        <v>1Q18</v>
      </c>
      <c r="E448" s="1623">
        <v>151.4</v>
      </c>
      <c r="F448" s="674"/>
    </row>
    <row r="449" spans="1:6" x14ac:dyDescent="0.2">
      <c r="A449" s="683">
        <f t="shared" si="140"/>
        <v>1</v>
      </c>
      <c r="B449" s="683">
        <f t="shared" si="141"/>
        <v>2018</v>
      </c>
      <c r="C449" s="694">
        <f t="shared" si="139"/>
        <v>43126</v>
      </c>
      <c r="D449" s="683" t="str">
        <f t="shared" si="142"/>
        <v>1Q18</v>
      </c>
      <c r="E449" s="1623">
        <v>150.97001</v>
      </c>
      <c r="F449" s="674"/>
    </row>
    <row r="450" spans="1:6" x14ac:dyDescent="0.2">
      <c r="A450" s="683">
        <f t="shared" si="140"/>
        <v>1</v>
      </c>
      <c r="B450" s="683">
        <f t="shared" si="141"/>
        <v>2018</v>
      </c>
      <c r="C450" s="694">
        <f t="shared" si="139"/>
        <v>43133</v>
      </c>
      <c r="D450" s="683" t="str">
        <f t="shared" si="142"/>
        <v>1Q18</v>
      </c>
      <c r="E450" s="1623">
        <v>145.03</v>
      </c>
      <c r="F450" s="674"/>
    </row>
    <row r="451" spans="1:6" x14ac:dyDescent="0.2">
      <c r="A451" s="683">
        <f t="shared" si="140"/>
        <v>1</v>
      </c>
      <c r="B451" s="683">
        <f t="shared" si="141"/>
        <v>2018</v>
      </c>
      <c r="C451" s="694">
        <f t="shared" si="139"/>
        <v>43140</v>
      </c>
      <c r="D451" s="683" t="str">
        <f t="shared" si="142"/>
        <v>1Q18</v>
      </c>
      <c r="E451" s="1623">
        <v>138.22001</v>
      </c>
      <c r="F451" s="674"/>
    </row>
    <row r="452" spans="1:6" x14ac:dyDescent="0.2">
      <c r="A452" s="683">
        <f t="shared" si="140"/>
        <v>1</v>
      </c>
      <c r="B452" s="683">
        <f t="shared" si="141"/>
        <v>2018</v>
      </c>
      <c r="C452" s="694">
        <f t="shared" si="139"/>
        <v>43147</v>
      </c>
      <c r="D452" s="683" t="str">
        <f t="shared" si="142"/>
        <v>1Q18</v>
      </c>
      <c r="E452" s="1623">
        <v>142.63999999999999</v>
      </c>
      <c r="F452" s="674"/>
    </row>
    <row r="453" spans="1:6" x14ac:dyDescent="0.2">
      <c r="A453" s="683">
        <f t="shared" si="140"/>
        <v>1</v>
      </c>
      <c r="B453" s="683">
        <f t="shared" si="141"/>
        <v>2018</v>
      </c>
      <c r="C453" s="694">
        <f t="shared" si="139"/>
        <v>43154</v>
      </c>
      <c r="D453" s="683" t="str">
        <f t="shared" si="142"/>
        <v>1Q18</v>
      </c>
      <c r="E453" s="1623">
        <v>142.62</v>
      </c>
      <c r="F453" s="674"/>
    </row>
    <row r="454" spans="1:6" x14ac:dyDescent="0.2">
      <c r="A454" s="683">
        <f t="shared" si="140"/>
        <v>1</v>
      </c>
      <c r="B454" s="683">
        <f t="shared" si="141"/>
        <v>2018</v>
      </c>
      <c r="C454" s="694">
        <f t="shared" si="139"/>
        <v>43161</v>
      </c>
      <c r="D454" s="683" t="str">
        <f t="shared" si="142"/>
        <v>1Q18</v>
      </c>
      <c r="E454" s="1623">
        <v>138.66001</v>
      </c>
      <c r="F454" s="674"/>
    </row>
    <row r="455" spans="1:6" x14ac:dyDescent="0.2">
      <c r="A455" s="683">
        <f t="shared" si="140"/>
        <v>1</v>
      </c>
      <c r="B455" s="683">
        <f t="shared" si="141"/>
        <v>2018</v>
      </c>
      <c r="C455" s="694">
        <f t="shared" si="139"/>
        <v>43168</v>
      </c>
      <c r="D455" s="683" t="str">
        <f t="shared" si="142"/>
        <v>1Q18</v>
      </c>
      <c r="E455" s="1623">
        <v>145.53</v>
      </c>
      <c r="F455" s="674"/>
    </row>
    <row r="456" spans="1:6" x14ac:dyDescent="0.2">
      <c r="A456" s="683">
        <f t="shared" si="140"/>
        <v>1</v>
      </c>
      <c r="B456" s="683">
        <f t="shared" si="141"/>
        <v>2018</v>
      </c>
      <c r="C456" s="694">
        <f t="shared" si="139"/>
        <v>43175</v>
      </c>
      <c r="D456" s="683" t="str">
        <f t="shared" si="142"/>
        <v>1Q18</v>
      </c>
      <c r="E456" s="1623">
        <v>138.59</v>
      </c>
      <c r="F456" s="674"/>
    </row>
    <row r="457" spans="1:6" x14ac:dyDescent="0.2">
      <c r="A457" s="683">
        <f t="shared" si="140"/>
        <v>1</v>
      </c>
      <c r="B457" s="683">
        <f t="shared" si="141"/>
        <v>2018</v>
      </c>
      <c r="C457" s="694">
        <f t="shared" si="139"/>
        <v>43182</v>
      </c>
      <c r="D457" s="683" t="str">
        <f t="shared" si="142"/>
        <v>1Q18</v>
      </c>
      <c r="E457" s="1623">
        <v>132.18</v>
      </c>
      <c r="F457" s="674"/>
    </row>
    <row r="458" spans="1:6" x14ac:dyDescent="0.2">
      <c r="A458" s="683">
        <f t="shared" si="140"/>
        <v>2</v>
      </c>
      <c r="B458" s="683">
        <f t="shared" si="141"/>
        <v>2018</v>
      </c>
      <c r="C458" s="694">
        <f t="shared" si="139"/>
        <v>43189</v>
      </c>
      <c r="D458" s="683" t="s">
        <v>864</v>
      </c>
      <c r="E458" s="1623">
        <v>135.78</v>
      </c>
      <c r="F458" s="674"/>
    </row>
    <row r="459" spans="1:6" x14ac:dyDescent="0.2">
      <c r="A459" s="683">
        <f t="shared" si="140"/>
        <v>2</v>
      </c>
      <c r="B459" s="683">
        <f t="shared" si="141"/>
        <v>2018</v>
      </c>
      <c r="C459" s="694">
        <f t="shared" si="139"/>
        <v>43196</v>
      </c>
      <c r="D459" s="683" t="str">
        <f t="shared" si="142"/>
        <v>2Q18</v>
      </c>
      <c r="E459" s="1623">
        <v>129.36000999999999</v>
      </c>
      <c r="F459" s="674"/>
    </row>
    <row r="460" spans="1:6" x14ac:dyDescent="0.2">
      <c r="A460" s="683">
        <f t="shared" si="140"/>
        <v>2</v>
      </c>
      <c r="B460" s="683">
        <f t="shared" si="141"/>
        <v>2018</v>
      </c>
      <c r="C460" s="694">
        <f t="shared" si="139"/>
        <v>43203</v>
      </c>
      <c r="D460" s="683" t="str">
        <f t="shared" si="142"/>
        <v>2Q18</v>
      </c>
      <c r="E460" s="1623">
        <v>133.51</v>
      </c>
      <c r="F460" s="674"/>
    </row>
    <row r="461" spans="1:6" x14ac:dyDescent="0.2">
      <c r="A461" s="683">
        <f t="shared" si="140"/>
        <v>2</v>
      </c>
      <c r="B461" s="683">
        <f t="shared" si="141"/>
        <v>2018</v>
      </c>
      <c r="C461" s="694">
        <f t="shared" si="139"/>
        <v>43210</v>
      </c>
      <c r="D461" s="683" t="str">
        <f t="shared" si="142"/>
        <v>2Q18</v>
      </c>
      <c r="E461" s="1623">
        <v>136.75</v>
      </c>
      <c r="F461" s="674"/>
    </row>
    <row r="462" spans="1:6" x14ac:dyDescent="0.2">
      <c r="A462" s="683">
        <f t="shared" si="140"/>
        <v>2</v>
      </c>
      <c r="B462" s="683">
        <f t="shared" si="141"/>
        <v>2018</v>
      </c>
      <c r="C462" s="694">
        <f t="shared" si="139"/>
        <v>43217</v>
      </c>
      <c r="D462" s="683" t="str">
        <f t="shared" si="142"/>
        <v>2Q18</v>
      </c>
      <c r="E462" s="1769">
        <v>134.97001</v>
      </c>
      <c r="F462" s="674"/>
    </row>
    <row r="463" spans="1:6" x14ac:dyDescent="0.2">
      <c r="A463" s="683">
        <f t="shared" si="140"/>
        <v>2</v>
      </c>
      <c r="B463" s="683">
        <f t="shared" si="141"/>
        <v>2018</v>
      </c>
      <c r="C463" s="694">
        <f t="shared" si="139"/>
        <v>43224</v>
      </c>
      <c r="D463" s="683" t="str">
        <f t="shared" si="142"/>
        <v>2Q18</v>
      </c>
      <c r="E463" s="911">
        <f t="shared" ref="E463:E493" si="143">E462</f>
        <v>134.97001</v>
      </c>
      <c r="F463" s="674"/>
    </row>
    <row r="464" spans="1:6" x14ac:dyDescent="0.2">
      <c r="A464" s="683">
        <f t="shared" si="140"/>
        <v>2</v>
      </c>
      <c r="B464" s="683">
        <f t="shared" si="141"/>
        <v>2018</v>
      </c>
      <c r="C464" s="694">
        <f t="shared" si="139"/>
        <v>43231</v>
      </c>
      <c r="D464" s="683" t="str">
        <f t="shared" si="142"/>
        <v>2Q18</v>
      </c>
      <c r="E464" s="911">
        <f t="shared" si="143"/>
        <v>134.97001</v>
      </c>
      <c r="F464" s="674"/>
    </row>
    <row r="465" spans="1:6" x14ac:dyDescent="0.2">
      <c r="A465" s="683">
        <f t="shared" si="140"/>
        <v>2</v>
      </c>
      <c r="B465" s="683">
        <f t="shared" si="141"/>
        <v>2018</v>
      </c>
      <c r="C465" s="694">
        <f t="shared" si="139"/>
        <v>43238</v>
      </c>
      <c r="D465" s="683" t="str">
        <f t="shared" si="142"/>
        <v>2Q18</v>
      </c>
      <c r="E465" s="911">
        <f t="shared" si="143"/>
        <v>134.97001</v>
      </c>
      <c r="F465" s="674"/>
    </row>
    <row r="466" spans="1:6" x14ac:dyDescent="0.2">
      <c r="A466" s="683">
        <f t="shared" si="140"/>
        <v>2</v>
      </c>
      <c r="B466" s="683">
        <f t="shared" si="141"/>
        <v>2018</v>
      </c>
      <c r="C466" s="694">
        <f t="shared" si="139"/>
        <v>43245</v>
      </c>
      <c r="D466" s="683" t="str">
        <f t="shared" si="142"/>
        <v>2Q18</v>
      </c>
      <c r="E466" s="911">
        <f t="shared" si="143"/>
        <v>134.97001</v>
      </c>
      <c r="F466" s="674"/>
    </row>
    <row r="467" spans="1:6" x14ac:dyDescent="0.2">
      <c r="A467" s="683">
        <f t="shared" si="140"/>
        <v>2</v>
      </c>
      <c r="B467" s="683">
        <f t="shared" si="141"/>
        <v>2018</v>
      </c>
      <c r="C467" s="694">
        <f t="shared" si="139"/>
        <v>43252</v>
      </c>
      <c r="D467" s="683" t="str">
        <f t="shared" si="142"/>
        <v>2Q18</v>
      </c>
      <c r="E467" s="911">
        <f t="shared" si="143"/>
        <v>134.97001</v>
      </c>
      <c r="F467" s="674"/>
    </row>
    <row r="468" spans="1:6" x14ac:dyDescent="0.2">
      <c r="A468" s="683">
        <f t="shared" si="140"/>
        <v>2</v>
      </c>
      <c r="B468" s="683">
        <f t="shared" si="141"/>
        <v>2018</v>
      </c>
      <c r="C468" s="694">
        <f t="shared" si="139"/>
        <v>43259</v>
      </c>
      <c r="D468" s="683" t="str">
        <f t="shared" si="142"/>
        <v>2Q18</v>
      </c>
      <c r="E468" s="911">
        <f t="shared" si="143"/>
        <v>134.97001</v>
      </c>
      <c r="F468" s="674"/>
    </row>
    <row r="469" spans="1:6" x14ac:dyDescent="0.2">
      <c r="A469" s="683">
        <f t="shared" si="140"/>
        <v>2</v>
      </c>
      <c r="B469" s="683">
        <f t="shared" si="141"/>
        <v>2018</v>
      </c>
      <c r="C469" s="694">
        <f t="shared" si="139"/>
        <v>43266</v>
      </c>
      <c r="D469" s="683" t="str">
        <f t="shared" si="142"/>
        <v>2Q18</v>
      </c>
      <c r="E469" s="911">
        <f t="shared" si="143"/>
        <v>134.97001</v>
      </c>
      <c r="F469" s="674"/>
    </row>
    <row r="470" spans="1:6" x14ac:dyDescent="0.2">
      <c r="A470" s="683">
        <f t="shared" si="140"/>
        <v>2</v>
      </c>
      <c r="B470" s="683">
        <f t="shared" si="141"/>
        <v>2018</v>
      </c>
      <c r="C470" s="694">
        <f t="shared" si="139"/>
        <v>43273</v>
      </c>
      <c r="D470" s="683" t="str">
        <f t="shared" si="142"/>
        <v>2Q18</v>
      </c>
      <c r="E470" s="911">
        <f t="shared" si="143"/>
        <v>134.97001</v>
      </c>
      <c r="F470" s="674"/>
    </row>
    <row r="471" spans="1:6" x14ac:dyDescent="0.2">
      <c r="A471" s="683">
        <f t="shared" si="140"/>
        <v>3</v>
      </c>
      <c r="B471" s="683">
        <f t="shared" si="141"/>
        <v>2018</v>
      </c>
      <c r="C471" s="694">
        <f t="shared" si="139"/>
        <v>43280</v>
      </c>
      <c r="D471" s="683" t="str">
        <f t="shared" si="142"/>
        <v>3Q18</v>
      </c>
      <c r="E471" s="911">
        <f t="shared" si="143"/>
        <v>134.97001</v>
      </c>
      <c r="F471" s="674"/>
    </row>
    <row r="472" spans="1:6" x14ac:dyDescent="0.2">
      <c r="A472" s="683">
        <f t="shared" si="140"/>
        <v>3</v>
      </c>
      <c r="B472" s="683">
        <f t="shared" si="141"/>
        <v>2018</v>
      </c>
      <c r="C472" s="694">
        <f t="shared" si="139"/>
        <v>43287</v>
      </c>
      <c r="D472" s="683" t="str">
        <f t="shared" si="142"/>
        <v>3Q18</v>
      </c>
      <c r="E472" s="911">
        <f t="shared" si="143"/>
        <v>134.97001</v>
      </c>
      <c r="F472" s="674"/>
    </row>
    <row r="473" spans="1:6" x14ac:dyDescent="0.2">
      <c r="A473" s="683">
        <f t="shared" si="140"/>
        <v>3</v>
      </c>
      <c r="B473" s="683">
        <f t="shared" si="141"/>
        <v>2018</v>
      </c>
      <c r="C473" s="694">
        <f t="shared" si="139"/>
        <v>43294</v>
      </c>
      <c r="D473" s="683" t="str">
        <f t="shared" si="142"/>
        <v>3Q18</v>
      </c>
      <c r="E473" s="911">
        <f t="shared" si="143"/>
        <v>134.97001</v>
      </c>
      <c r="F473" s="674"/>
    </row>
    <row r="474" spans="1:6" x14ac:dyDescent="0.2">
      <c r="A474" s="683">
        <f t="shared" si="140"/>
        <v>3</v>
      </c>
      <c r="B474" s="683">
        <f t="shared" si="141"/>
        <v>2018</v>
      </c>
      <c r="C474" s="694">
        <f t="shared" si="139"/>
        <v>43301</v>
      </c>
      <c r="D474" s="683" t="str">
        <f t="shared" si="142"/>
        <v>3Q18</v>
      </c>
      <c r="E474" s="911">
        <f t="shared" si="143"/>
        <v>134.97001</v>
      </c>
      <c r="F474" s="674"/>
    </row>
    <row r="475" spans="1:6" x14ac:dyDescent="0.2">
      <c r="A475" s="683">
        <f t="shared" si="140"/>
        <v>3</v>
      </c>
      <c r="B475" s="683">
        <f t="shared" si="141"/>
        <v>2018</v>
      </c>
      <c r="C475" s="694">
        <f t="shared" si="139"/>
        <v>43308</v>
      </c>
      <c r="D475" s="683" t="str">
        <f t="shared" si="142"/>
        <v>3Q18</v>
      </c>
      <c r="E475" s="911">
        <f t="shared" si="143"/>
        <v>134.97001</v>
      </c>
      <c r="F475" s="674"/>
    </row>
    <row r="476" spans="1:6" x14ac:dyDescent="0.2">
      <c r="A476" s="683">
        <f t="shared" si="140"/>
        <v>3</v>
      </c>
      <c r="B476" s="683">
        <f t="shared" si="141"/>
        <v>2018</v>
      </c>
      <c r="C476" s="694">
        <f t="shared" si="139"/>
        <v>43315</v>
      </c>
      <c r="D476" s="683" t="str">
        <f t="shared" si="142"/>
        <v>3Q18</v>
      </c>
      <c r="E476" s="911">
        <f t="shared" si="143"/>
        <v>134.97001</v>
      </c>
      <c r="F476" s="674"/>
    </row>
    <row r="477" spans="1:6" x14ac:dyDescent="0.2">
      <c r="A477" s="683">
        <f t="shared" si="140"/>
        <v>3</v>
      </c>
      <c r="B477" s="683">
        <f t="shared" si="141"/>
        <v>2018</v>
      </c>
      <c r="C477" s="694">
        <f t="shared" si="139"/>
        <v>43322</v>
      </c>
      <c r="D477" s="683" t="str">
        <f t="shared" si="142"/>
        <v>3Q18</v>
      </c>
      <c r="E477" s="911">
        <f t="shared" si="143"/>
        <v>134.97001</v>
      </c>
      <c r="F477" s="674"/>
    </row>
    <row r="478" spans="1:6" x14ac:dyDescent="0.2">
      <c r="A478" s="683">
        <f t="shared" si="140"/>
        <v>3</v>
      </c>
      <c r="B478" s="683">
        <f t="shared" si="141"/>
        <v>2018</v>
      </c>
      <c r="C478" s="694">
        <f t="shared" si="139"/>
        <v>43329</v>
      </c>
      <c r="D478" s="683" t="str">
        <f t="shared" si="142"/>
        <v>3Q18</v>
      </c>
      <c r="E478" s="911">
        <f t="shared" si="143"/>
        <v>134.97001</v>
      </c>
      <c r="F478" s="674"/>
    </row>
    <row r="479" spans="1:6" x14ac:dyDescent="0.2">
      <c r="A479" s="683">
        <f t="shared" si="140"/>
        <v>3</v>
      </c>
      <c r="B479" s="683">
        <f t="shared" si="141"/>
        <v>2018</v>
      </c>
      <c r="C479" s="694">
        <f t="shared" si="139"/>
        <v>43336</v>
      </c>
      <c r="D479" s="683" t="str">
        <f t="shared" si="142"/>
        <v>3Q18</v>
      </c>
      <c r="E479" s="911">
        <f t="shared" si="143"/>
        <v>134.97001</v>
      </c>
      <c r="F479" s="674"/>
    </row>
    <row r="480" spans="1:6" x14ac:dyDescent="0.2">
      <c r="A480" s="683">
        <f t="shared" si="140"/>
        <v>3</v>
      </c>
      <c r="B480" s="683">
        <f t="shared" si="141"/>
        <v>2018</v>
      </c>
      <c r="C480" s="694">
        <f t="shared" si="139"/>
        <v>43343</v>
      </c>
      <c r="D480" s="683" t="str">
        <f t="shared" si="142"/>
        <v>3Q18</v>
      </c>
      <c r="E480" s="911">
        <f t="shared" si="143"/>
        <v>134.97001</v>
      </c>
      <c r="F480" s="674"/>
    </row>
    <row r="481" spans="1:6" x14ac:dyDescent="0.2">
      <c r="A481" s="683">
        <f t="shared" si="140"/>
        <v>3</v>
      </c>
      <c r="B481" s="683">
        <f t="shared" si="141"/>
        <v>2018</v>
      </c>
      <c r="C481" s="694">
        <f t="shared" si="139"/>
        <v>43350</v>
      </c>
      <c r="D481" s="683" t="str">
        <f t="shared" si="142"/>
        <v>3Q18</v>
      </c>
      <c r="E481" s="911">
        <f t="shared" si="143"/>
        <v>134.97001</v>
      </c>
      <c r="F481" s="674"/>
    </row>
    <row r="482" spans="1:6" x14ac:dyDescent="0.2">
      <c r="A482" s="683">
        <f t="shared" si="140"/>
        <v>3</v>
      </c>
      <c r="B482" s="683">
        <f t="shared" si="141"/>
        <v>2018</v>
      </c>
      <c r="C482" s="694">
        <f t="shared" si="139"/>
        <v>43357</v>
      </c>
      <c r="D482" s="683" t="str">
        <f t="shared" si="142"/>
        <v>3Q18</v>
      </c>
      <c r="E482" s="911">
        <f t="shared" si="143"/>
        <v>134.97001</v>
      </c>
      <c r="F482" s="674"/>
    </row>
    <row r="483" spans="1:6" x14ac:dyDescent="0.2">
      <c r="A483" s="683">
        <f t="shared" si="140"/>
        <v>3</v>
      </c>
      <c r="B483" s="683">
        <f t="shared" si="141"/>
        <v>2018</v>
      </c>
      <c r="C483" s="694">
        <f t="shared" si="139"/>
        <v>43364</v>
      </c>
      <c r="D483" s="683" t="str">
        <f t="shared" si="142"/>
        <v>3Q18</v>
      </c>
      <c r="E483" s="911">
        <f t="shared" si="143"/>
        <v>134.97001</v>
      </c>
      <c r="F483" s="674"/>
    </row>
    <row r="484" spans="1:6" x14ac:dyDescent="0.2">
      <c r="A484" s="683">
        <f t="shared" si="140"/>
        <v>4</v>
      </c>
      <c r="B484" s="683">
        <f t="shared" si="141"/>
        <v>2018</v>
      </c>
      <c r="C484" s="694">
        <f t="shared" si="139"/>
        <v>43371</v>
      </c>
      <c r="D484" s="683" t="str">
        <f t="shared" si="142"/>
        <v>4Q18</v>
      </c>
      <c r="E484" s="911">
        <f t="shared" si="143"/>
        <v>134.97001</v>
      </c>
      <c r="F484" s="674"/>
    </row>
    <row r="485" spans="1:6" x14ac:dyDescent="0.2">
      <c r="A485" s="683">
        <f t="shared" si="140"/>
        <v>4</v>
      </c>
      <c r="B485" s="683">
        <f t="shared" si="141"/>
        <v>2018</v>
      </c>
      <c r="C485" s="694">
        <f t="shared" si="139"/>
        <v>43378</v>
      </c>
      <c r="D485" s="683" t="str">
        <f t="shared" si="142"/>
        <v>4Q18</v>
      </c>
      <c r="E485" s="911">
        <f t="shared" si="143"/>
        <v>134.97001</v>
      </c>
      <c r="F485" s="674"/>
    </row>
    <row r="486" spans="1:6" x14ac:dyDescent="0.2">
      <c r="A486" s="683">
        <f t="shared" si="140"/>
        <v>4</v>
      </c>
      <c r="B486" s="683">
        <f t="shared" si="141"/>
        <v>2018</v>
      </c>
      <c r="C486" s="694">
        <f t="shared" si="139"/>
        <v>43385</v>
      </c>
      <c r="D486" s="683" t="str">
        <f t="shared" si="142"/>
        <v>4Q18</v>
      </c>
      <c r="E486" s="911">
        <f t="shared" si="143"/>
        <v>134.97001</v>
      </c>
      <c r="F486" s="674"/>
    </row>
    <row r="487" spans="1:6" x14ac:dyDescent="0.2">
      <c r="A487" s="683">
        <f t="shared" si="140"/>
        <v>4</v>
      </c>
      <c r="B487" s="683">
        <f t="shared" si="141"/>
        <v>2018</v>
      </c>
      <c r="C487" s="694">
        <f t="shared" si="139"/>
        <v>43392</v>
      </c>
      <c r="D487" s="683" t="str">
        <f t="shared" si="142"/>
        <v>4Q18</v>
      </c>
      <c r="E487" s="911">
        <f t="shared" si="143"/>
        <v>134.97001</v>
      </c>
      <c r="F487" s="674"/>
    </row>
    <row r="488" spans="1:6" x14ac:dyDescent="0.2">
      <c r="A488" s="683">
        <f t="shared" si="140"/>
        <v>4</v>
      </c>
      <c r="B488" s="683">
        <f t="shared" si="141"/>
        <v>2018</v>
      </c>
      <c r="C488" s="694">
        <f t="shared" si="139"/>
        <v>43399</v>
      </c>
      <c r="D488" s="683" t="str">
        <f t="shared" si="142"/>
        <v>4Q18</v>
      </c>
      <c r="E488" s="911">
        <f t="shared" si="143"/>
        <v>134.97001</v>
      </c>
      <c r="F488" s="674"/>
    </row>
    <row r="489" spans="1:6" x14ac:dyDescent="0.2">
      <c r="A489" s="683">
        <f t="shared" si="140"/>
        <v>4</v>
      </c>
      <c r="B489" s="683">
        <f t="shared" si="141"/>
        <v>2018</v>
      </c>
      <c r="C489" s="694">
        <f t="shared" si="139"/>
        <v>43406</v>
      </c>
      <c r="D489" s="683" t="str">
        <f t="shared" si="142"/>
        <v>4Q18</v>
      </c>
      <c r="E489" s="911">
        <f t="shared" si="143"/>
        <v>134.97001</v>
      </c>
      <c r="F489" s="674"/>
    </row>
    <row r="490" spans="1:6" x14ac:dyDescent="0.2">
      <c r="A490" s="683">
        <f t="shared" si="140"/>
        <v>4</v>
      </c>
      <c r="B490" s="683">
        <f t="shared" si="141"/>
        <v>2018</v>
      </c>
      <c r="C490" s="694">
        <f t="shared" si="139"/>
        <v>43413</v>
      </c>
      <c r="D490" s="683" t="str">
        <f t="shared" si="142"/>
        <v>4Q18</v>
      </c>
      <c r="E490" s="911">
        <f t="shared" si="143"/>
        <v>134.97001</v>
      </c>
      <c r="F490" s="674"/>
    </row>
    <row r="491" spans="1:6" x14ac:dyDescent="0.2">
      <c r="A491" s="683">
        <f t="shared" si="140"/>
        <v>4</v>
      </c>
      <c r="B491" s="683">
        <f t="shared" si="141"/>
        <v>2018</v>
      </c>
      <c r="C491" s="694">
        <f t="shared" si="139"/>
        <v>43420</v>
      </c>
      <c r="D491" s="683" t="str">
        <f t="shared" si="142"/>
        <v>4Q18</v>
      </c>
      <c r="E491" s="911">
        <f t="shared" si="143"/>
        <v>134.97001</v>
      </c>
      <c r="F491" s="674"/>
    </row>
    <row r="492" spans="1:6" x14ac:dyDescent="0.2">
      <c r="A492" s="683">
        <f t="shared" si="140"/>
        <v>4</v>
      </c>
      <c r="B492" s="683">
        <f t="shared" si="141"/>
        <v>2018</v>
      </c>
      <c r="C492" s="694">
        <f t="shared" si="139"/>
        <v>43427</v>
      </c>
      <c r="D492" s="683" t="str">
        <f t="shared" si="142"/>
        <v>4Q18</v>
      </c>
      <c r="E492" s="911">
        <f t="shared" si="143"/>
        <v>134.97001</v>
      </c>
      <c r="F492" s="674"/>
    </row>
    <row r="493" spans="1:6" x14ac:dyDescent="0.2">
      <c r="A493" s="683">
        <f t="shared" si="140"/>
        <v>4</v>
      </c>
      <c r="B493" s="683">
        <f t="shared" si="141"/>
        <v>2018</v>
      </c>
      <c r="C493" s="694">
        <f t="shared" si="139"/>
        <v>43434</v>
      </c>
      <c r="D493" s="683" t="str">
        <f t="shared" si="142"/>
        <v>4Q18</v>
      </c>
      <c r="E493" s="911">
        <f t="shared" si="143"/>
        <v>134.97001</v>
      </c>
      <c r="F493" s="674"/>
    </row>
    <row r="494" spans="1:6" x14ac:dyDescent="0.2">
      <c r="A494" s="683">
        <f t="shared" si="140"/>
        <v>4</v>
      </c>
      <c r="B494" s="683">
        <f t="shared" si="141"/>
        <v>2018</v>
      </c>
      <c r="C494" s="694">
        <f t="shared" si="139"/>
        <v>43441</v>
      </c>
      <c r="D494" s="683" t="str">
        <f t="shared" si="142"/>
        <v>4Q18</v>
      </c>
      <c r="E494" s="911">
        <f t="shared" ref="E494:E557" si="144">E493</f>
        <v>134.97001</v>
      </c>
      <c r="F494" s="674"/>
    </row>
    <row r="495" spans="1:6" x14ac:dyDescent="0.2">
      <c r="A495" s="683">
        <f t="shared" si="140"/>
        <v>4</v>
      </c>
      <c r="B495" s="683">
        <f t="shared" si="141"/>
        <v>2018</v>
      </c>
      <c r="C495" s="694">
        <f t="shared" si="139"/>
        <v>43448</v>
      </c>
      <c r="D495" s="683" t="str">
        <f t="shared" si="142"/>
        <v>4Q18</v>
      </c>
      <c r="E495" s="911">
        <f t="shared" si="144"/>
        <v>134.97001</v>
      </c>
      <c r="F495" s="674"/>
    </row>
    <row r="496" spans="1:6" x14ac:dyDescent="0.2">
      <c r="A496" s="683">
        <f t="shared" si="140"/>
        <v>4</v>
      </c>
      <c r="B496" s="683">
        <f t="shared" si="141"/>
        <v>2018</v>
      </c>
      <c r="C496" s="694">
        <f t="shared" si="139"/>
        <v>43455</v>
      </c>
      <c r="D496" s="683" t="str">
        <f t="shared" si="142"/>
        <v>4Q18</v>
      </c>
      <c r="E496" s="911">
        <f t="shared" si="144"/>
        <v>134.97001</v>
      </c>
      <c r="F496" s="674"/>
    </row>
    <row r="497" spans="1:6" x14ac:dyDescent="0.2">
      <c r="A497" s="683">
        <f t="shared" si="140"/>
        <v>1</v>
      </c>
      <c r="B497" s="683">
        <f t="shared" si="141"/>
        <v>2018</v>
      </c>
      <c r="C497" s="694">
        <f t="shared" ref="C497:C560" si="145">C496+7</f>
        <v>43462</v>
      </c>
      <c r="D497" s="683" t="str">
        <f t="shared" si="142"/>
        <v>1Q18</v>
      </c>
      <c r="E497" s="911">
        <f t="shared" si="144"/>
        <v>134.97001</v>
      </c>
      <c r="F497" s="674"/>
    </row>
    <row r="498" spans="1:6" x14ac:dyDescent="0.2">
      <c r="A498" s="683">
        <f t="shared" si="140"/>
        <v>1</v>
      </c>
      <c r="B498" s="683">
        <f t="shared" si="141"/>
        <v>2019</v>
      </c>
      <c r="C498" s="694">
        <f t="shared" si="145"/>
        <v>43469</v>
      </c>
      <c r="D498" s="683" t="str">
        <f t="shared" si="142"/>
        <v>1Q19</v>
      </c>
      <c r="E498" s="911">
        <f t="shared" si="144"/>
        <v>134.97001</v>
      </c>
      <c r="F498" s="674"/>
    </row>
    <row r="499" spans="1:6" x14ac:dyDescent="0.2">
      <c r="A499" s="683">
        <f t="shared" si="140"/>
        <v>1</v>
      </c>
      <c r="B499" s="683">
        <f t="shared" si="141"/>
        <v>2019</v>
      </c>
      <c r="C499" s="694">
        <f t="shared" si="145"/>
        <v>43476</v>
      </c>
      <c r="D499" s="683" t="str">
        <f t="shared" si="142"/>
        <v>1Q19</v>
      </c>
      <c r="E499" s="911">
        <f t="shared" si="144"/>
        <v>134.97001</v>
      </c>
      <c r="F499" s="674"/>
    </row>
    <row r="500" spans="1:6" x14ac:dyDescent="0.2">
      <c r="A500" s="683">
        <f t="shared" si="140"/>
        <v>1</v>
      </c>
      <c r="B500" s="683">
        <f t="shared" si="141"/>
        <v>2019</v>
      </c>
      <c r="C500" s="694">
        <f t="shared" si="145"/>
        <v>43483</v>
      </c>
      <c r="D500" s="683" t="str">
        <f t="shared" si="142"/>
        <v>1Q19</v>
      </c>
      <c r="E500" s="911">
        <f t="shared" si="144"/>
        <v>134.97001</v>
      </c>
      <c r="F500" s="674"/>
    </row>
    <row r="501" spans="1:6" x14ac:dyDescent="0.2">
      <c r="A501" s="683">
        <f t="shared" si="140"/>
        <v>1</v>
      </c>
      <c r="B501" s="683">
        <f t="shared" si="141"/>
        <v>2019</v>
      </c>
      <c r="C501" s="694">
        <f t="shared" si="145"/>
        <v>43490</v>
      </c>
      <c r="D501" s="683" t="str">
        <f t="shared" si="142"/>
        <v>1Q19</v>
      </c>
      <c r="E501" s="911">
        <f t="shared" si="144"/>
        <v>134.97001</v>
      </c>
      <c r="F501" s="674"/>
    </row>
    <row r="502" spans="1:6" x14ac:dyDescent="0.2">
      <c r="A502" s="683">
        <f t="shared" si="140"/>
        <v>1</v>
      </c>
      <c r="B502" s="683">
        <f t="shared" si="141"/>
        <v>2019</v>
      </c>
      <c r="C502" s="694">
        <f t="shared" si="145"/>
        <v>43497</v>
      </c>
      <c r="D502" s="683" t="str">
        <f t="shared" si="142"/>
        <v>1Q19</v>
      </c>
      <c r="E502" s="911">
        <f t="shared" si="144"/>
        <v>134.97001</v>
      </c>
      <c r="F502" s="674"/>
    </row>
    <row r="503" spans="1:6" x14ac:dyDescent="0.2">
      <c r="A503" s="683">
        <f t="shared" si="140"/>
        <v>1</v>
      </c>
      <c r="B503" s="683">
        <f t="shared" si="141"/>
        <v>2019</v>
      </c>
      <c r="C503" s="694">
        <f t="shared" si="145"/>
        <v>43504</v>
      </c>
      <c r="D503" s="683" t="str">
        <f t="shared" si="142"/>
        <v>1Q19</v>
      </c>
      <c r="E503" s="911">
        <f t="shared" si="144"/>
        <v>134.97001</v>
      </c>
      <c r="F503" s="674"/>
    </row>
    <row r="504" spans="1:6" x14ac:dyDescent="0.2">
      <c r="A504" s="683">
        <f t="shared" si="140"/>
        <v>1</v>
      </c>
      <c r="B504" s="683">
        <f t="shared" si="141"/>
        <v>2019</v>
      </c>
      <c r="C504" s="694">
        <f t="shared" si="145"/>
        <v>43511</v>
      </c>
      <c r="D504" s="683" t="str">
        <f t="shared" si="142"/>
        <v>1Q19</v>
      </c>
      <c r="E504" s="911">
        <f t="shared" si="144"/>
        <v>134.97001</v>
      </c>
      <c r="F504" s="674"/>
    </row>
    <row r="505" spans="1:6" x14ac:dyDescent="0.2">
      <c r="A505" s="683">
        <f t="shared" si="140"/>
        <v>1</v>
      </c>
      <c r="B505" s="683">
        <f t="shared" si="141"/>
        <v>2019</v>
      </c>
      <c r="C505" s="694">
        <f t="shared" si="145"/>
        <v>43518</v>
      </c>
      <c r="D505" s="683" t="str">
        <f t="shared" si="142"/>
        <v>1Q19</v>
      </c>
      <c r="E505" s="911">
        <f t="shared" si="144"/>
        <v>134.97001</v>
      </c>
      <c r="F505" s="674"/>
    </row>
    <row r="506" spans="1:6" x14ac:dyDescent="0.2">
      <c r="A506" s="683">
        <f t="shared" si="140"/>
        <v>1</v>
      </c>
      <c r="B506" s="683">
        <f t="shared" si="141"/>
        <v>2019</v>
      </c>
      <c r="C506" s="694">
        <f t="shared" si="145"/>
        <v>43525</v>
      </c>
      <c r="D506" s="683" t="str">
        <f t="shared" si="142"/>
        <v>1Q19</v>
      </c>
      <c r="E506" s="911">
        <f t="shared" si="144"/>
        <v>134.97001</v>
      </c>
      <c r="F506" s="674"/>
    </row>
    <row r="507" spans="1:6" x14ac:dyDescent="0.2">
      <c r="A507" s="683">
        <f t="shared" si="140"/>
        <v>1</v>
      </c>
      <c r="B507" s="683">
        <f t="shared" si="141"/>
        <v>2019</v>
      </c>
      <c r="C507" s="694">
        <f t="shared" si="145"/>
        <v>43532</v>
      </c>
      <c r="D507" s="683" t="str">
        <f t="shared" si="142"/>
        <v>1Q19</v>
      </c>
      <c r="E507" s="911">
        <f t="shared" si="144"/>
        <v>134.97001</v>
      </c>
      <c r="F507" s="674"/>
    </row>
    <row r="508" spans="1:6" x14ac:dyDescent="0.2">
      <c r="A508" s="683">
        <f t="shared" si="140"/>
        <v>1</v>
      </c>
      <c r="B508" s="683">
        <f t="shared" si="141"/>
        <v>2019</v>
      </c>
      <c r="C508" s="694">
        <f t="shared" si="145"/>
        <v>43539</v>
      </c>
      <c r="D508" s="683" t="str">
        <f t="shared" si="142"/>
        <v>1Q19</v>
      </c>
      <c r="E508" s="911">
        <f t="shared" si="144"/>
        <v>134.97001</v>
      </c>
      <c r="F508" s="674"/>
    </row>
    <row r="509" spans="1:6" x14ac:dyDescent="0.2">
      <c r="A509" s="683">
        <f t="shared" si="140"/>
        <v>1</v>
      </c>
      <c r="B509" s="683">
        <f t="shared" si="141"/>
        <v>2019</v>
      </c>
      <c r="C509" s="694">
        <f t="shared" si="145"/>
        <v>43546</v>
      </c>
      <c r="D509" s="683" t="str">
        <f t="shared" si="142"/>
        <v>1Q19</v>
      </c>
      <c r="E509" s="911">
        <f t="shared" si="144"/>
        <v>134.97001</v>
      </c>
      <c r="F509" s="674"/>
    </row>
    <row r="510" spans="1:6" x14ac:dyDescent="0.2">
      <c r="A510" s="683">
        <f t="shared" ref="A510:A573" si="146">A458</f>
        <v>2</v>
      </c>
      <c r="B510" s="683">
        <f t="shared" ref="B510:B554" si="147">YEAR(C510)</f>
        <v>2019</v>
      </c>
      <c r="C510" s="694">
        <f t="shared" si="145"/>
        <v>43553</v>
      </c>
      <c r="D510" s="683" t="str">
        <f t="shared" ref="D510:D554" si="148">A510&amp;"Q"&amp;RIGHT(B510,2)</f>
        <v>2Q19</v>
      </c>
      <c r="E510" s="911">
        <f t="shared" si="144"/>
        <v>134.97001</v>
      </c>
      <c r="F510" s="674"/>
    </row>
    <row r="511" spans="1:6" x14ac:dyDescent="0.2">
      <c r="A511" s="683">
        <f t="shared" si="146"/>
        <v>2</v>
      </c>
      <c r="B511" s="683">
        <f t="shared" si="147"/>
        <v>2019</v>
      </c>
      <c r="C511" s="694">
        <f t="shared" si="145"/>
        <v>43560</v>
      </c>
      <c r="D511" s="683" t="str">
        <f t="shared" si="148"/>
        <v>2Q19</v>
      </c>
      <c r="E511" s="911">
        <f t="shared" si="144"/>
        <v>134.97001</v>
      </c>
      <c r="F511" s="674"/>
    </row>
    <row r="512" spans="1:6" x14ac:dyDescent="0.2">
      <c r="A512" s="683">
        <f t="shared" si="146"/>
        <v>2</v>
      </c>
      <c r="B512" s="683">
        <f t="shared" si="147"/>
        <v>2019</v>
      </c>
      <c r="C512" s="694">
        <f t="shared" si="145"/>
        <v>43567</v>
      </c>
      <c r="D512" s="683" t="str">
        <f t="shared" si="148"/>
        <v>2Q19</v>
      </c>
      <c r="E512" s="911">
        <f t="shared" si="144"/>
        <v>134.97001</v>
      </c>
      <c r="F512" s="674"/>
    </row>
    <row r="513" spans="1:6" x14ac:dyDescent="0.2">
      <c r="A513" s="683">
        <f t="shared" si="146"/>
        <v>2</v>
      </c>
      <c r="B513" s="683">
        <f t="shared" si="147"/>
        <v>2019</v>
      </c>
      <c r="C513" s="694">
        <f t="shared" si="145"/>
        <v>43574</v>
      </c>
      <c r="D513" s="683" t="str">
        <f t="shared" si="148"/>
        <v>2Q19</v>
      </c>
      <c r="E513" s="911">
        <f t="shared" si="144"/>
        <v>134.97001</v>
      </c>
      <c r="F513" s="674"/>
    </row>
    <row r="514" spans="1:6" x14ac:dyDescent="0.2">
      <c r="A514" s="683">
        <f t="shared" si="146"/>
        <v>2</v>
      </c>
      <c r="B514" s="683">
        <f t="shared" si="147"/>
        <v>2019</v>
      </c>
      <c r="C514" s="694">
        <f t="shared" si="145"/>
        <v>43581</v>
      </c>
      <c r="D514" s="683" t="str">
        <f t="shared" si="148"/>
        <v>2Q19</v>
      </c>
      <c r="E514" s="911">
        <f t="shared" si="144"/>
        <v>134.97001</v>
      </c>
      <c r="F514" s="674"/>
    </row>
    <row r="515" spans="1:6" x14ac:dyDescent="0.2">
      <c r="A515" s="683">
        <f t="shared" si="146"/>
        <v>2</v>
      </c>
      <c r="B515" s="683">
        <f t="shared" si="147"/>
        <v>2019</v>
      </c>
      <c r="C515" s="694">
        <f t="shared" si="145"/>
        <v>43588</v>
      </c>
      <c r="D515" s="683" t="str">
        <f t="shared" si="148"/>
        <v>2Q19</v>
      </c>
      <c r="E515" s="911">
        <f t="shared" si="144"/>
        <v>134.97001</v>
      </c>
      <c r="F515" s="674"/>
    </row>
    <row r="516" spans="1:6" x14ac:dyDescent="0.2">
      <c r="A516" s="683">
        <f t="shared" si="146"/>
        <v>2</v>
      </c>
      <c r="B516" s="683">
        <f t="shared" si="147"/>
        <v>2019</v>
      </c>
      <c r="C516" s="694">
        <f t="shared" si="145"/>
        <v>43595</v>
      </c>
      <c r="D516" s="683" t="str">
        <f t="shared" si="148"/>
        <v>2Q19</v>
      </c>
      <c r="E516" s="911">
        <f t="shared" si="144"/>
        <v>134.97001</v>
      </c>
      <c r="F516" s="674"/>
    </row>
    <row r="517" spans="1:6" x14ac:dyDescent="0.2">
      <c r="A517" s="683">
        <f t="shared" si="146"/>
        <v>2</v>
      </c>
      <c r="B517" s="683">
        <f t="shared" si="147"/>
        <v>2019</v>
      </c>
      <c r="C517" s="694">
        <f t="shared" si="145"/>
        <v>43602</v>
      </c>
      <c r="D517" s="683" t="str">
        <f t="shared" si="148"/>
        <v>2Q19</v>
      </c>
      <c r="E517" s="911">
        <f t="shared" si="144"/>
        <v>134.97001</v>
      </c>
      <c r="F517" s="674"/>
    </row>
    <row r="518" spans="1:6" x14ac:dyDescent="0.2">
      <c r="A518" s="683">
        <f t="shared" si="146"/>
        <v>2</v>
      </c>
      <c r="B518" s="683">
        <f t="shared" si="147"/>
        <v>2019</v>
      </c>
      <c r="C518" s="694">
        <f t="shared" si="145"/>
        <v>43609</v>
      </c>
      <c r="D518" s="683" t="str">
        <f t="shared" si="148"/>
        <v>2Q19</v>
      </c>
      <c r="E518" s="911">
        <f t="shared" si="144"/>
        <v>134.97001</v>
      </c>
      <c r="F518" s="674"/>
    </row>
    <row r="519" spans="1:6" x14ac:dyDescent="0.2">
      <c r="A519" s="683">
        <f t="shared" si="146"/>
        <v>2</v>
      </c>
      <c r="B519" s="683">
        <f t="shared" si="147"/>
        <v>2019</v>
      </c>
      <c r="C519" s="694">
        <f t="shared" si="145"/>
        <v>43616</v>
      </c>
      <c r="D519" s="683" t="str">
        <f t="shared" si="148"/>
        <v>2Q19</v>
      </c>
      <c r="E519" s="911">
        <f t="shared" si="144"/>
        <v>134.97001</v>
      </c>
      <c r="F519" s="674"/>
    </row>
    <row r="520" spans="1:6" x14ac:dyDescent="0.2">
      <c r="A520" s="683">
        <f t="shared" si="146"/>
        <v>2</v>
      </c>
      <c r="B520" s="683">
        <f t="shared" si="147"/>
        <v>2019</v>
      </c>
      <c r="C520" s="694">
        <f t="shared" si="145"/>
        <v>43623</v>
      </c>
      <c r="D520" s="683" t="str">
        <f t="shared" si="148"/>
        <v>2Q19</v>
      </c>
      <c r="E520" s="911">
        <f t="shared" si="144"/>
        <v>134.97001</v>
      </c>
      <c r="F520" s="674"/>
    </row>
    <row r="521" spans="1:6" x14ac:dyDescent="0.2">
      <c r="A521" s="683">
        <f t="shared" si="146"/>
        <v>2</v>
      </c>
      <c r="B521" s="683">
        <f t="shared" si="147"/>
        <v>2019</v>
      </c>
      <c r="C521" s="694">
        <f t="shared" si="145"/>
        <v>43630</v>
      </c>
      <c r="D521" s="683" t="str">
        <f t="shared" si="148"/>
        <v>2Q19</v>
      </c>
      <c r="E521" s="911">
        <f t="shared" si="144"/>
        <v>134.97001</v>
      </c>
      <c r="F521" s="674"/>
    </row>
    <row r="522" spans="1:6" x14ac:dyDescent="0.2">
      <c r="A522" s="683">
        <f t="shared" si="146"/>
        <v>2</v>
      </c>
      <c r="B522" s="683">
        <f t="shared" si="147"/>
        <v>2019</v>
      </c>
      <c r="C522" s="694">
        <f t="shared" si="145"/>
        <v>43637</v>
      </c>
      <c r="D522" s="683" t="str">
        <f t="shared" si="148"/>
        <v>2Q19</v>
      </c>
      <c r="E522" s="911">
        <f t="shared" si="144"/>
        <v>134.97001</v>
      </c>
      <c r="F522" s="674"/>
    </row>
    <row r="523" spans="1:6" x14ac:dyDescent="0.2">
      <c r="A523" s="683">
        <f t="shared" si="146"/>
        <v>3</v>
      </c>
      <c r="B523" s="683">
        <f t="shared" si="147"/>
        <v>2019</v>
      </c>
      <c r="C523" s="694">
        <f t="shared" si="145"/>
        <v>43644</v>
      </c>
      <c r="D523" s="683" t="str">
        <f t="shared" si="148"/>
        <v>3Q19</v>
      </c>
      <c r="E523" s="911">
        <f t="shared" si="144"/>
        <v>134.97001</v>
      </c>
      <c r="F523" s="674"/>
    </row>
    <row r="524" spans="1:6" x14ac:dyDescent="0.2">
      <c r="A524" s="683">
        <f t="shared" si="146"/>
        <v>3</v>
      </c>
      <c r="B524" s="683">
        <f t="shared" si="147"/>
        <v>2019</v>
      </c>
      <c r="C524" s="694">
        <f t="shared" si="145"/>
        <v>43651</v>
      </c>
      <c r="D524" s="683" t="str">
        <f t="shared" si="148"/>
        <v>3Q19</v>
      </c>
      <c r="E524" s="911">
        <f t="shared" si="144"/>
        <v>134.97001</v>
      </c>
      <c r="F524" s="674"/>
    </row>
    <row r="525" spans="1:6" x14ac:dyDescent="0.2">
      <c r="A525" s="683">
        <f t="shared" si="146"/>
        <v>3</v>
      </c>
      <c r="B525" s="683">
        <f t="shared" si="147"/>
        <v>2019</v>
      </c>
      <c r="C525" s="694">
        <f t="shared" si="145"/>
        <v>43658</v>
      </c>
      <c r="D525" s="683" t="str">
        <f t="shared" si="148"/>
        <v>3Q19</v>
      </c>
      <c r="E525" s="911">
        <f t="shared" si="144"/>
        <v>134.97001</v>
      </c>
      <c r="F525" s="674"/>
    </row>
    <row r="526" spans="1:6" x14ac:dyDescent="0.2">
      <c r="A526" s="683">
        <f t="shared" si="146"/>
        <v>3</v>
      </c>
      <c r="B526" s="683">
        <f t="shared" si="147"/>
        <v>2019</v>
      </c>
      <c r="C526" s="694">
        <f t="shared" si="145"/>
        <v>43665</v>
      </c>
      <c r="D526" s="683" t="str">
        <f t="shared" si="148"/>
        <v>3Q19</v>
      </c>
      <c r="E526" s="911">
        <f t="shared" si="144"/>
        <v>134.97001</v>
      </c>
      <c r="F526" s="674"/>
    </row>
    <row r="527" spans="1:6" x14ac:dyDescent="0.2">
      <c r="A527" s="683">
        <f t="shared" si="146"/>
        <v>3</v>
      </c>
      <c r="B527" s="683">
        <f t="shared" si="147"/>
        <v>2019</v>
      </c>
      <c r="C527" s="694">
        <f t="shared" si="145"/>
        <v>43672</v>
      </c>
      <c r="D527" s="683" t="str">
        <f t="shared" si="148"/>
        <v>3Q19</v>
      </c>
      <c r="E527" s="911">
        <f t="shared" si="144"/>
        <v>134.97001</v>
      </c>
      <c r="F527" s="674"/>
    </row>
    <row r="528" spans="1:6" x14ac:dyDescent="0.2">
      <c r="A528" s="683">
        <f t="shared" si="146"/>
        <v>3</v>
      </c>
      <c r="B528" s="683">
        <f t="shared" si="147"/>
        <v>2019</v>
      </c>
      <c r="C528" s="694">
        <f t="shared" si="145"/>
        <v>43679</v>
      </c>
      <c r="D528" s="683" t="str">
        <f t="shared" si="148"/>
        <v>3Q19</v>
      </c>
      <c r="E528" s="911">
        <f t="shared" si="144"/>
        <v>134.97001</v>
      </c>
      <c r="F528" s="674"/>
    </row>
    <row r="529" spans="1:6" x14ac:dyDescent="0.2">
      <c r="A529" s="683">
        <f t="shared" si="146"/>
        <v>3</v>
      </c>
      <c r="B529" s="683">
        <f t="shared" si="147"/>
        <v>2019</v>
      </c>
      <c r="C529" s="694">
        <f t="shared" si="145"/>
        <v>43686</v>
      </c>
      <c r="D529" s="683" t="str">
        <f t="shared" si="148"/>
        <v>3Q19</v>
      </c>
      <c r="E529" s="911">
        <f t="shared" si="144"/>
        <v>134.97001</v>
      </c>
      <c r="F529" s="674"/>
    </row>
    <row r="530" spans="1:6" x14ac:dyDescent="0.2">
      <c r="A530" s="683">
        <f t="shared" si="146"/>
        <v>3</v>
      </c>
      <c r="B530" s="683">
        <f t="shared" si="147"/>
        <v>2019</v>
      </c>
      <c r="C530" s="694">
        <f t="shared" si="145"/>
        <v>43693</v>
      </c>
      <c r="D530" s="683" t="str">
        <f t="shared" si="148"/>
        <v>3Q19</v>
      </c>
      <c r="E530" s="911">
        <f t="shared" si="144"/>
        <v>134.97001</v>
      </c>
      <c r="F530" s="674"/>
    </row>
    <row r="531" spans="1:6" x14ac:dyDescent="0.2">
      <c r="A531" s="683">
        <f t="shared" si="146"/>
        <v>3</v>
      </c>
      <c r="B531" s="683">
        <f t="shared" si="147"/>
        <v>2019</v>
      </c>
      <c r="C531" s="694">
        <f t="shared" si="145"/>
        <v>43700</v>
      </c>
      <c r="D531" s="683" t="str">
        <f t="shared" si="148"/>
        <v>3Q19</v>
      </c>
      <c r="E531" s="911">
        <f t="shared" si="144"/>
        <v>134.97001</v>
      </c>
      <c r="F531" s="674"/>
    </row>
    <row r="532" spans="1:6" x14ac:dyDescent="0.2">
      <c r="A532" s="683">
        <f t="shared" si="146"/>
        <v>3</v>
      </c>
      <c r="B532" s="683">
        <f t="shared" si="147"/>
        <v>2019</v>
      </c>
      <c r="C532" s="694">
        <f t="shared" si="145"/>
        <v>43707</v>
      </c>
      <c r="D532" s="683" t="str">
        <f t="shared" si="148"/>
        <v>3Q19</v>
      </c>
      <c r="E532" s="911">
        <f t="shared" si="144"/>
        <v>134.97001</v>
      </c>
      <c r="F532" s="674"/>
    </row>
    <row r="533" spans="1:6" x14ac:dyDescent="0.2">
      <c r="A533" s="683">
        <f t="shared" si="146"/>
        <v>3</v>
      </c>
      <c r="B533" s="683">
        <f t="shared" si="147"/>
        <v>2019</v>
      </c>
      <c r="C533" s="694">
        <f t="shared" si="145"/>
        <v>43714</v>
      </c>
      <c r="D533" s="683" t="str">
        <f t="shared" si="148"/>
        <v>3Q19</v>
      </c>
      <c r="E533" s="911">
        <f t="shared" si="144"/>
        <v>134.97001</v>
      </c>
      <c r="F533" s="674"/>
    </row>
    <row r="534" spans="1:6" x14ac:dyDescent="0.2">
      <c r="A534" s="683">
        <f t="shared" si="146"/>
        <v>3</v>
      </c>
      <c r="B534" s="683">
        <f t="shared" si="147"/>
        <v>2019</v>
      </c>
      <c r="C534" s="694">
        <f t="shared" si="145"/>
        <v>43721</v>
      </c>
      <c r="D534" s="683" t="str">
        <f t="shared" si="148"/>
        <v>3Q19</v>
      </c>
      <c r="E534" s="911">
        <f t="shared" si="144"/>
        <v>134.97001</v>
      </c>
      <c r="F534" s="674"/>
    </row>
    <row r="535" spans="1:6" x14ac:dyDescent="0.2">
      <c r="A535" s="683">
        <f t="shared" si="146"/>
        <v>3</v>
      </c>
      <c r="B535" s="683">
        <f t="shared" si="147"/>
        <v>2019</v>
      </c>
      <c r="C535" s="694">
        <f t="shared" si="145"/>
        <v>43728</v>
      </c>
      <c r="D535" s="683" t="str">
        <f t="shared" si="148"/>
        <v>3Q19</v>
      </c>
      <c r="E535" s="911">
        <f t="shared" si="144"/>
        <v>134.97001</v>
      </c>
      <c r="F535" s="674"/>
    </row>
    <row r="536" spans="1:6" x14ac:dyDescent="0.2">
      <c r="A536" s="683">
        <f t="shared" si="146"/>
        <v>4</v>
      </c>
      <c r="B536" s="683">
        <f t="shared" si="147"/>
        <v>2019</v>
      </c>
      <c r="C536" s="694">
        <f t="shared" si="145"/>
        <v>43735</v>
      </c>
      <c r="D536" s="683" t="str">
        <f t="shared" si="148"/>
        <v>4Q19</v>
      </c>
      <c r="E536" s="911">
        <f t="shared" si="144"/>
        <v>134.97001</v>
      </c>
      <c r="F536" s="674"/>
    </row>
    <row r="537" spans="1:6" x14ac:dyDescent="0.2">
      <c r="A537" s="683">
        <f t="shared" si="146"/>
        <v>4</v>
      </c>
      <c r="B537" s="683">
        <f t="shared" si="147"/>
        <v>2019</v>
      </c>
      <c r="C537" s="694">
        <f t="shared" si="145"/>
        <v>43742</v>
      </c>
      <c r="D537" s="683" t="str">
        <f t="shared" si="148"/>
        <v>4Q19</v>
      </c>
      <c r="E537" s="911">
        <f t="shared" si="144"/>
        <v>134.97001</v>
      </c>
      <c r="F537" s="674"/>
    </row>
    <row r="538" spans="1:6" x14ac:dyDescent="0.2">
      <c r="A538" s="683">
        <f t="shared" si="146"/>
        <v>4</v>
      </c>
      <c r="B538" s="683">
        <f t="shared" si="147"/>
        <v>2019</v>
      </c>
      <c r="C538" s="694">
        <f t="shared" si="145"/>
        <v>43749</v>
      </c>
      <c r="D538" s="683" t="str">
        <f t="shared" si="148"/>
        <v>4Q19</v>
      </c>
      <c r="E538" s="911">
        <f t="shared" si="144"/>
        <v>134.97001</v>
      </c>
      <c r="F538" s="674"/>
    </row>
    <row r="539" spans="1:6" x14ac:dyDescent="0.2">
      <c r="A539" s="683">
        <f t="shared" si="146"/>
        <v>4</v>
      </c>
      <c r="B539" s="683">
        <f t="shared" si="147"/>
        <v>2019</v>
      </c>
      <c r="C539" s="694">
        <f t="shared" si="145"/>
        <v>43756</v>
      </c>
      <c r="D539" s="683" t="str">
        <f t="shared" si="148"/>
        <v>4Q19</v>
      </c>
      <c r="E539" s="911">
        <f t="shared" si="144"/>
        <v>134.97001</v>
      </c>
      <c r="F539" s="674"/>
    </row>
    <row r="540" spans="1:6" x14ac:dyDescent="0.2">
      <c r="A540" s="683">
        <f t="shared" si="146"/>
        <v>4</v>
      </c>
      <c r="B540" s="683">
        <f t="shared" si="147"/>
        <v>2019</v>
      </c>
      <c r="C540" s="694">
        <f t="shared" si="145"/>
        <v>43763</v>
      </c>
      <c r="D540" s="683" t="str">
        <f t="shared" si="148"/>
        <v>4Q19</v>
      </c>
      <c r="E540" s="911">
        <f t="shared" si="144"/>
        <v>134.97001</v>
      </c>
      <c r="F540" s="674"/>
    </row>
    <row r="541" spans="1:6" x14ac:dyDescent="0.2">
      <c r="A541" s="683">
        <f t="shared" si="146"/>
        <v>4</v>
      </c>
      <c r="B541" s="683">
        <f t="shared" si="147"/>
        <v>2019</v>
      </c>
      <c r="C541" s="694">
        <f t="shared" si="145"/>
        <v>43770</v>
      </c>
      <c r="D541" s="683" t="str">
        <f t="shared" si="148"/>
        <v>4Q19</v>
      </c>
      <c r="E541" s="911">
        <f t="shared" si="144"/>
        <v>134.97001</v>
      </c>
      <c r="F541" s="674"/>
    </row>
    <row r="542" spans="1:6" x14ac:dyDescent="0.2">
      <c r="A542" s="683">
        <f t="shared" si="146"/>
        <v>4</v>
      </c>
      <c r="B542" s="683">
        <f t="shared" si="147"/>
        <v>2019</v>
      </c>
      <c r="C542" s="694">
        <f t="shared" si="145"/>
        <v>43777</v>
      </c>
      <c r="D542" s="683" t="str">
        <f t="shared" si="148"/>
        <v>4Q19</v>
      </c>
      <c r="E542" s="911">
        <f t="shared" si="144"/>
        <v>134.97001</v>
      </c>
      <c r="F542" s="674"/>
    </row>
    <row r="543" spans="1:6" x14ac:dyDescent="0.2">
      <c r="A543" s="683">
        <f t="shared" si="146"/>
        <v>4</v>
      </c>
      <c r="B543" s="683">
        <f t="shared" si="147"/>
        <v>2019</v>
      </c>
      <c r="C543" s="694">
        <f t="shared" si="145"/>
        <v>43784</v>
      </c>
      <c r="D543" s="683" t="str">
        <f t="shared" si="148"/>
        <v>4Q19</v>
      </c>
      <c r="E543" s="911">
        <f t="shared" si="144"/>
        <v>134.97001</v>
      </c>
      <c r="F543" s="674"/>
    </row>
    <row r="544" spans="1:6" x14ac:dyDescent="0.2">
      <c r="A544" s="683">
        <f t="shared" si="146"/>
        <v>4</v>
      </c>
      <c r="B544" s="683">
        <f t="shared" si="147"/>
        <v>2019</v>
      </c>
      <c r="C544" s="694">
        <f t="shared" si="145"/>
        <v>43791</v>
      </c>
      <c r="D544" s="683" t="str">
        <f t="shared" si="148"/>
        <v>4Q19</v>
      </c>
      <c r="E544" s="911">
        <f t="shared" si="144"/>
        <v>134.97001</v>
      </c>
      <c r="F544" s="674"/>
    </row>
    <row r="545" spans="1:6" x14ac:dyDescent="0.2">
      <c r="A545" s="683">
        <f t="shared" si="146"/>
        <v>4</v>
      </c>
      <c r="B545" s="683">
        <f t="shared" si="147"/>
        <v>2019</v>
      </c>
      <c r="C545" s="694">
        <f t="shared" si="145"/>
        <v>43798</v>
      </c>
      <c r="D545" s="683" t="str">
        <f t="shared" si="148"/>
        <v>4Q19</v>
      </c>
      <c r="E545" s="911">
        <f t="shared" si="144"/>
        <v>134.97001</v>
      </c>
      <c r="F545" s="674"/>
    </row>
    <row r="546" spans="1:6" x14ac:dyDescent="0.2">
      <c r="A546" s="683">
        <f t="shared" si="146"/>
        <v>4</v>
      </c>
      <c r="B546" s="683">
        <f t="shared" si="147"/>
        <v>2019</v>
      </c>
      <c r="C546" s="694">
        <f t="shared" si="145"/>
        <v>43805</v>
      </c>
      <c r="D546" s="683" t="str">
        <f t="shared" si="148"/>
        <v>4Q19</v>
      </c>
      <c r="E546" s="911">
        <f t="shared" si="144"/>
        <v>134.97001</v>
      </c>
      <c r="F546" s="674"/>
    </row>
    <row r="547" spans="1:6" x14ac:dyDescent="0.2">
      <c r="A547" s="683">
        <f t="shared" si="146"/>
        <v>4</v>
      </c>
      <c r="B547" s="683">
        <f t="shared" si="147"/>
        <v>2019</v>
      </c>
      <c r="C547" s="694">
        <f t="shared" si="145"/>
        <v>43812</v>
      </c>
      <c r="D547" s="683" t="str">
        <f t="shared" si="148"/>
        <v>4Q19</v>
      </c>
      <c r="E547" s="911">
        <f t="shared" si="144"/>
        <v>134.97001</v>
      </c>
      <c r="F547" s="674"/>
    </row>
    <row r="548" spans="1:6" x14ac:dyDescent="0.2">
      <c r="A548" s="683">
        <f t="shared" si="146"/>
        <v>4</v>
      </c>
      <c r="B548" s="683">
        <f t="shared" si="147"/>
        <v>2019</v>
      </c>
      <c r="C548" s="694">
        <f t="shared" si="145"/>
        <v>43819</v>
      </c>
      <c r="D548" s="683" t="str">
        <f t="shared" si="148"/>
        <v>4Q19</v>
      </c>
      <c r="E548" s="911">
        <f t="shared" si="144"/>
        <v>134.97001</v>
      </c>
      <c r="F548" s="674"/>
    </row>
    <row r="549" spans="1:6" x14ac:dyDescent="0.2">
      <c r="A549" s="683">
        <f t="shared" si="146"/>
        <v>1</v>
      </c>
      <c r="B549" s="683">
        <f t="shared" si="147"/>
        <v>2019</v>
      </c>
      <c r="C549" s="694">
        <f t="shared" si="145"/>
        <v>43826</v>
      </c>
      <c r="D549" s="683" t="str">
        <f t="shared" si="148"/>
        <v>1Q19</v>
      </c>
      <c r="E549" s="911">
        <f t="shared" si="144"/>
        <v>134.97001</v>
      </c>
      <c r="F549" s="674"/>
    </row>
    <row r="550" spans="1:6" x14ac:dyDescent="0.2">
      <c r="A550" s="683">
        <f t="shared" si="146"/>
        <v>1</v>
      </c>
      <c r="B550" s="683">
        <f t="shared" si="147"/>
        <v>2020</v>
      </c>
      <c r="C550" s="694">
        <f t="shared" si="145"/>
        <v>43833</v>
      </c>
      <c r="D550" s="683" t="str">
        <f t="shared" si="148"/>
        <v>1Q20</v>
      </c>
      <c r="E550" s="911">
        <f t="shared" si="144"/>
        <v>134.97001</v>
      </c>
      <c r="F550" s="674"/>
    </row>
    <row r="551" spans="1:6" x14ac:dyDescent="0.2">
      <c r="A551" s="683">
        <f t="shared" si="146"/>
        <v>1</v>
      </c>
      <c r="B551" s="683">
        <f t="shared" si="147"/>
        <v>2020</v>
      </c>
      <c r="C551" s="694">
        <f t="shared" si="145"/>
        <v>43840</v>
      </c>
      <c r="D551" s="683" t="str">
        <f t="shared" si="148"/>
        <v>1Q20</v>
      </c>
      <c r="E551" s="911">
        <f t="shared" si="144"/>
        <v>134.97001</v>
      </c>
      <c r="F551" s="674"/>
    </row>
    <row r="552" spans="1:6" x14ac:dyDescent="0.2">
      <c r="A552" s="683">
        <f t="shared" si="146"/>
        <v>1</v>
      </c>
      <c r="B552" s="683">
        <f t="shared" si="147"/>
        <v>2020</v>
      </c>
      <c r="C552" s="694">
        <f t="shared" si="145"/>
        <v>43847</v>
      </c>
      <c r="D552" s="683" t="str">
        <f t="shared" si="148"/>
        <v>1Q20</v>
      </c>
      <c r="E552" s="911">
        <f t="shared" si="144"/>
        <v>134.97001</v>
      </c>
      <c r="F552" s="674"/>
    </row>
    <row r="553" spans="1:6" x14ac:dyDescent="0.2">
      <c r="A553" s="683">
        <f t="shared" si="146"/>
        <v>1</v>
      </c>
      <c r="B553" s="683">
        <f t="shared" si="147"/>
        <v>2020</v>
      </c>
      <c r="C553" s="694">
        <f t="shared" si="145"/>
        <v>43854</v>
      </c>
      <c r="D553" s="683" t="str">
        <f t="shared" si="148"/>
        <v>1Q20</v>
      </c>
      <c r="E553" s="911">
        <f t="shared" si="144"/>
        <v>134.97001</v>
      </c>
      <c r="F553" s="674"/>
    </row>
    <row r="554" spans="1:6" x14ac:dyDescent="0.2">
      <c r="A554" s="683">
        <f t="shared" si="146"/>
        <v>1</v>
      </c>
      <c r="B554" s="683">
        <f t="shared" si="147"/>
        <v>2020</v>
      </c>
      <c r="C554" s="694">
        <f t="shared" si="145"/>
        <v>43861</v>
      </c>
      <c r="D554" s="683" t="str">
        <f t="shared" si="148"/>
        <v>1Q20</v>
      </c>
      <c r="E554" s="911">
        <f t="shared" si="144"/>
        <v>134.97001</v>
      </c>
      <c r="F554" s="674"/>
    </row>
    <row r="555" spans="1:6" x14ac:dyDescent="0.2">
      <c r="A555" s="683">
        <f t="shared" si="146"/>
        <v>1</v>
      </c>
      <c r="B555" s="683">
        <f t="shared" ref="B555:B614" si="149">YEAR(C555)</f>
        <v>2020</v>
      </c>
      <c r="C555" s="694">
        <f t="shared" si="145"/>
        <v>43868</v>
      </c>
      <c r="D555" s="683" t="str">
        <f t="shared" ref="D555:D614" si="150">A555&amp;"Q"&amp;RIGHT(B555,2)</f>
        <v>1Q20</v>
      </c>
      <c r="E555" s="911">
        <f t="shared" si="144"/>
        <v>134.97001</v>
      </c>
      <c r="F555" s="674"/>
    </row>
    <row r="556" spans="1:6" x14ac:dyDescent="0.2">
      <c r="A556" s="683">
        <f t="shared" si="146"/>
        <v>1</v>
      </c>
      <c r="B556" s="683">
        <f t="shared" si="149"/>
        <v>2020</v>
      </c>
      <c r="C556" s="694">
        <f t="shared" si="145"/>
        <v>43875</v>
      </c>
      <c r="D556" s="683" t="str">
        <f t="shared" si="150"/>
        <v>1Q20</v>
      </c>
      <c r="E556" s="911">
        <f t="shared" si="144"/>
        <v>134.97001</v>
      </c>
      <c r="F556" s="674"/>
    </row>
    <row r="557" spans="1:6" x14ac:dyDescent="0.2">
      <c r="A557" s="683">
        <f t="shared" si="146"/>
        <v>1</v>
      </c>
      <c r="B557" s="683">
        <f t="shared" si="149"/>
        <v>2020</v>
      </c>
      <c r="C557" s="694">
        <f t="shared" si="145"/>
        <v>43882</v>
      </c>
      <c r="D557" s="683" t="str">
        <f t="shared" si="150"/>
        <v>1Q20</v>
      </c>
      <c r="E557" s="911">
        <f t="shared" si="144"/>
        <v>134.97001</v>
      </c>
      <c r="F557" s="674"/>
    </row>
    <row r="558" spans="1:6" x14ac:dyDescent="0.2">
      <c r="A558" s="683">
        <f t="shared" si="146"/>
        <v>1</v>
      </c>
      <c r="B558" s="683">
        <f t="shared" si="149"/>
        <v>2020</v>
      </c>
      <c r="C558" s="694">
        <f t="shared" si="145"/>
        <v>43889</v>
      </c>
      <c r="D558" s="683" t="str">
        <f t="shared" si="150"/>
        <v>1Q20</v>
      </c>
      <c r="E558" s="911">
        <f t="shared" ref="E558:E614" si="151">E557</f>
        <v>134.97001</v>
      </c>
      <c r="F558" s="674"/>
    </row>
    <row r="559" spans="1:6" x14ac:dyDescent="0.2">
      <c r="A559" s="683">
        <f t="shared" si="146"/>
        <v>1</v>
      </c>
      <c r="B559" s="683">
        <f t="shared" si="149"/>
        <v>2020</v>
      </c>
      <c r="C559" s="694">
        <f t="shared" si="145"/>
        <v>43896</v>
      </c>
      <c r="D559" s="683" t="str">
        <f t="shared" si="150"/>
        <v>1Q20</v>
      </c>
      <c r="E559" s="911">
        <f t="shared" si="151"/>
        <v>134.97001</v>
      </c>
      <c r="F559" s="674"/>
    </row>
    <row r="560" spans="1:6" x14ac:dyDescent="0.2">
      <c r="A560" s="683">
        <f t="shared" si="146"/>
        <v>1</v>
      </c>
      <c r="B560" s="683">
        <f t="shared" si="149"/>
        <v>2020</v>
      </c>
      <c r="C560" s="694">
        <f t="shared" si="145"/>
        <v>43903</v>
      </c>
      <c r="D560" s="683" t="str">
        <f t="shared" si="150"/>
        <v>1Q20</v>
      </c>
      <c r="E560" s="911">
        <f t="shared" si="151"/>
        <v>134.97001</v>
      </c>
      <c r="F560" s="674"/>
    </row>
    <row r="561" spans="1:6" x14ac:dyDescent="0.2">
      <c r="A561" s="683">
        <f t="shared" si="146"/>
        <v>1</v>
      </c>
      <c r="B561" s="683">
        <f t="shared" si="149"/>
        <v>2020</v>
      </c>
      <c r="C561" s="694">
        <f t="shared" ref="C561:C614" si="152">C560+7</f>
        <v>43910</v>
      </c>
      <c r="D561" s="683" t="str">
        <f t="shared" si="150"/>
        <v>1Q20</v>
      </c>
      <c r="E561" s="911">
        <f t="shared" si="151"/>
        <v>134.97001</v>
      </c>
      <c r="F561" s="674"/>
    </row>
    <row r="562" spans="1:6" x14ac:dyDescent="0.2">
      <c r="A562" s="683">
        <f t="shared" si="146"/>
        <v>2</v>
      </c>
      <c r="B562" s="683">
        <f t="shared" si="149"/>
        <v>2020</v>
      </c>
      <c r="C562" s="694">
        <f t="shared" si="152"/>
        <v>43917</v>
      </c>
      <c r="D562" s="683" t="str">
        <f t="shared" si="150"/>
        <v>2Q20</v>
      </c>
      <c r="E562" s="911">
        <f t="shared" si="151"/>
        <v>134.97001</v>
      </c>
      <c r="F562" s="674"/>
    </row>
    <row r="563" spans="1:6" x14ac:dyDescent="0.2">
      <c r="A563" s="683">
        <f t="shared" si="146"/>
        <v>2</v>
      </c>
      <c r="B563" s="683">
        <f t="shared" si="149"/>
        <v>2020</v>
      </c>
      <c r="C563" s="694">
        <f t="shared" si="152"/>
        <v>43924</v>
      </c>
      <c r="D563" s="683" t="str">
        <f t="shared" si="150"/>
        <v>2Q20</v>
      </c>
      <c r="E563" s="911">
        <f t="shared" si="151"/>
        <v>134.97001</v>
      </c>
      <c r="F563" s="674"/>
    </row>
    <row r="564" spans="1:6" x14ac:dyDescent="0.2">
      <c r="A564" s="683">
        <f t="shared" si="146"/>
        <v>2</v>
      </c>
      <c r="B564" s="683">
        <f t="shared" si="149"/>
        <v>2020</v>
      </c>
      <c r="C564" s="694">
        <f t="shared" si="152"/>
        <v>43931</v>
      </c>
      <c r="D564" s="683" t="str">
        <f t="shared" si="150"/>
        <v>2Q20</v>
      </c>
      <c r="E564" s="911">
        <f t="shared" si="151"/>
        <v>134.97001</v>
      </c>
      <c r="F564" s="674"/>
    </row>
    <row r="565" spans="1:6" x14ac:dyDescent="0.2">
      <c r="A565" s="683">
        <f t="shared" si="146"/>
        <v>2</v>
      </c>
      <c r="B565" s="683">
        <f t="shared" si="149"/>
        <v>2020</v>
      </c>
      <c r="C565" s="694">
        <f t="shared" si="152"/>
        <v>43938</v>
      </c>
      <c r="D565" s="683" t="str">
        <f t="shared" si="150"/>
        <v>2Q20</v>
      </c>
      <c r="E565" s="911">
        <f t="shared" si="151"/>
        <v>134.97001</v>
      </c>
      <c r="F565" s="674"/>
    </row>
    <row r="566" spans="1:6" x14ac:dyDescent="0.2">
      <c r="A566" s="683">
        <f t="shared" si="146"/>
        <v>2</v>
      </c>
      <c r="B566" s="683">
        <f t="shared" si="149"/>
        <v>2020</v>
      </c>
      <c r="C566" s="694">
        <f t="shared" si="152"/>
        <v>43945</v>
      </c>
      <c r="D566" s="683" t="str">
        <f t="shared" si="150"/>
        <v>2Q20</v>
      </c>
      <c r="E566" s="911">
        <f t="shared" si="151"/>
        <v>134.97001</v>
      </c>
      <c r="F566" s="674"/>
    </row>
    <row r="567" spans="1:6" x14ac:dyDescent="0.2">
      <c r="A567" s="683">
        <f t="shared" si="146"/>
        <v>2</v>
      </c>
      <c r="B567" s="683">
        <f t="shared" si="149"/>
        <v>2020</v>
      </c>
      <c r="C567" s="694">
        <f t="shared" si="152"/>
        <v>43952</v>
      </c>
      <c r="D567" s="683" t="str">
        <f t="shared" si="150"/>
        <v>2Q20</v>
      </c>
      <c r="E567" s="911">
        <f t="shared" si="151"/>
        <v>134.97001</v>
      </c>
      <c r="F567" s="674"/>
    </row>
    <row r="568" spans="1:6" x14ac:dyDescent="0.2">
      <c r="A568" s="683">
        <f t="shared" si="146"/>
        <v>2</v>
      </c>
      <c r="B568" s="683">
        <f t="shared" si="149"/>
        <v>2020</v>
      </c>
      <c r="C568" s="694">
        <f t="shared" si="152"/>
        <v>43959</v>
      </c>
      <c r="D568" s="683" t="str">
        <f t="shared" si="150"/>
        <v>2Q20</v>
      </c>
      <c r="E568" s="911">
        <f t="shared" si="151"/>
        <v>134.97001</v>
      </c>
      <c r="F568" s="674"/>
    </row>
    <row r="569" spans="1:6" x14ac:dyDescent="0.2">
      <c r="A569" s="683">
        <f t="shared" si="146"/>
        <v>2</v>
      </c>
      <c r="B569" s="683">
        <f t="shared" si="149"/>
        <v>2020</v>
      </c>
      <c r="C569" s="694">
        <f t="shared" si="152"/>
        <v>43966</v>
      </c>
      <c r="D569" s="683" t="str">
        <f t="shared" si="150"/>
        <v>2Q20</v>
      </c>
      <c r="E569" s="911">
        <f t="shared" si="151"/>
        <v>134.97001</v>
      </c>
      <c r="F569" s="674"/>
    </row>
    <row r="570" spans="1:6" x14ac:dyDescent="0.2">
      <c r="A570" s="683">
        <f t="shared" si="146"/>
        <v>2</v>
      </c>
      <c r="B570" s="683">
        <f t="shared" si="149"/>
        <v>2020</v>
      </c>
      <c r="C570" s="694">
        <f t="shared" si="152"/>
        <v>43973</v>
      </c>
      <c r="D570" s="683" t="str">
        <f t="shared" si="150"/>
        <v>2Q20</v>
      </c>
      <c r="E570" s="911">
        <f t="shared" si="151"/>
        <v>134.97001</v>
      </c>
      <c r="F570" s="674"/>
    </row>
    <row r="571" spans="1:6" x14ac:dyDescent="0.2">
      <c r="A571" s="683">
        <f t="shared" si="146"/>
        <v>2</v>
      </c>
      <c r="B571" s="683">
        <f t="shared" si="149"/>
        <v>2020</v>
      </c>
      <c r="C571" s="694">
        <f t="shared" si="152"/>
        <v>43980</v>
      </c>
      <c r="D571" s="683" t="str">
        <f t="shared" si="150"/>
        <v>2Q20</v>
      </c>
      <c r="E571" s="911">
        <f t="shared" si="151"/>
        <v>134.97001</v>
      </c>
      <c r="F571" s="674"/>
    </row>
    <row r="572" spans="1:6" x14ac:dyDescent="0.2">
      <c r="A572" s="683">
        <f t="shared" si="146"/>
        <v>2</v>
      </c>
      <c r="B572" s="683">
        <f t="shared" si="149"/>
        <v>2020</v>
      </c>
      <c r="C572" s="694">
        <f t="shared" si="152"/>
        <v>43987</v>
      </c>
      <c r="D572" s="683" t="str">
        <f t="shared" si="150"/>
        <v>2Q20</v>
      </c>
      <c r="E572" s="911">
        <f t="shared" si="151"/>
        <v>134.97001</v>
      </c>
      <c r="F572" s="674"/>
    </row>
    <row r="573" spans="1:6" x14ac:dyDescent="0.2">
      <c r="A573" s="683">
        <f t="shared" si="146"/>
        <v>2</v>
      </c>
      <c r="B573" s="683">
        <f t="shared" si="149"/>
        <v>2020</v>
      </c>
      <c r="C573" s="694">
        <f t="shared" si="152"/>
        <v>43994</v>
      </c>
      <c r="D573" s="683" t="str">
        <f t="shared" si="150"/>
        <v>2Q20</v>
      </c>
      <c r="E573" s="911">
        <f t="shared" si="151"/>
        <v>134.97001</v>
      </c>
      <c r="F573" s="674"/>
    </row>
    <row r="574" spans="1:6" x14ac:dyDescent="0.2">
      <c r="A574" s="683">
        <f t="shared" ref="A574:A614" si="153">A522</f>
        <v>2</v>
      </c>
      <c r="B574" s="683">
        <f t="shared" si="149"/>
        <v>2020</v>
      </c>
      <c r="C574" s="694">
        <f t="shared" si="152"/>
        <v>44001</v>
      </c>
      <c r="D574" s="683" t="str">
        <f t="shared" si="150"/>
        <v>2Q20</v>
      </c>
      <c r="E574" s="911">
        <f t="shared" si="151"/>
        <v>134.97001</v>
      </c>
      <c r="F574" s="674"/>
    </row>
    <row r="575" spans="1:6" x14ac:dyDescent="0.2">
      <c r="A575" s="683">
        <f t="shared" si="153"/>
        <v>3</v>
      </c>
      <c r="B575" s="683">
        <f t="shared" si="149"/>
        <v>2020</v>
      </c>
      <c r="C575" s="694">
        <f t="shared" si="152"/>
        <v>44008</v>
      </c>
      <c r="D575" s="683" t="str">
        <f t="shared" si="150"/>
        <v>3Q20</v>
      </c>
      <c r="E575" s="911">
        <f t="shared" si="151"/>
        <v>134.97001</v>
      </c>
      <c r="F575" s="674"/>
    </row>
    <row r="576" spans="1:6" x14ac:dyDescent="0.2">
      <c r="A576" s="683">
        <f t="shared" si="153"/>
        <v>3</v>
      </c>
      <c r="B576" s="683">
        <f t="shared" si="149"/>
        <v>2020</v>
      </c>
      <c r="C576" s="694">
        <f t="shared" si="152"/>
        <v>44015</v>
      </c>
      <c r="D576" s="683" t="str">
        <f t="shared" si="150"/>
        <v>3Q20</v>
      </c>
      <c r="E576" s="911">
        <f t="shared" si="151"/>
        <v>134.97001</v>
      </c>
      <c r="F576" s="674"/>
    </row>
    <row r="577" spans="1:6" x14ac:dyDescent="0.2">
      <c r="A577" s="683">
        <f t="shared" si="153"/>
        <v>3</v>
      </c>
      <c r="B577" s="683">
        <f t="shared" si="149"/>
        <v>2020</v>
      </c>
      <c r="C577" s="694">
        <f t="shared" si="152"/>
        <v>44022</v>
      </c>
      <c r="D577" s="683" t="str">
        <f t="shared" si="150"/>
        <v>3Q20</v>
      </c>
      <c r="E577" s="911">
        <f t="shared" si="151"/>
        <v>134.97001</v>
      </c>
      <c r="F577" s="674"/>
    </row>
    <row r="578" spans="1:6" x14ac:dyDescent="0.2">
      <c r="A578" s="683">
        <f t="shared" si="153"/>
        <v>3</v>
      </c>
      <c r="B578" s="683">
        <f t="shared" si="149"/>
        <v>2020</v>
      </c>
      <c r="C578" s="694">
        <f t="shared" si="152"/>
        <v>44029</v>
      </c>
      <c r="D578" s="683" t="str">
        <f t="shared" si="150"/>
        <v>3Q20</v>
      </c>
      <c r="E578" s="911">
        <f t="shared" si="151"/>
        <v>134.97001</v>
      </c>
      <c r="F578" s="674"/>
    </row>
    <row r="579" spans="1:6" x14ac:dyDescent="0.2">
      <c r="A579" s="683">
        <f t="shared" si="153"/>
        <v>3</v>
      </c>
      <c r="B579" s="683">
        <f t="shared" si="149"/>
        <v>2020</v>
      </c>
      <c r="C579" s="694">
        <f t="shared" si="152"/>
        <v>44036</v>
      </c>
      <c r="D579" s="683" t="str">
        <f t="shared" si="150"/>
        <v>3Q20</v>
      </c>
      <c r="E579" s="911">
        <f t="shared" si="151"/>
        <v>134.97001</v>
      </c>
      <c r="F579" s="674"/>
    </row>
    <row r="580" spans="1:6" x14ac:dyDescent="0.2">
      <c r="A580" s="683">
        <f t="shared" si="153"/>
        <v>3</v>
      </c>
      <c r="B580" s="683">
        <f t="shared" si="149"/>
        <v>2020</v>
      </c>
      <c r="C580" s="694">
        <f t="shared" si="152"/>
        <v>44043</v>
      </c>
      <c r="D580" s="683" t="str">
        <f t="shared" si="150"/>
        <v>3Q20</v>
      </c>
      <c r="E580" s="911">
        <f t="shared" si="151"/>
        <v>134.97001</v>
      </c>
      <c r="F580" s="674"/>
    </row>
    <row r="581" spans="1:6" x14ac:dyDescent="0.2">
      <c r="A581" s="683">
        <f t="shared" si="153"/>
        <v>3</v>
      </c>
      <c r="B581" s="683">
        <f t="shared" si="149"/>
        <v>2020</v>
      </c>
      <c r="C581" s="694">
        <f t="shared" si="152"/>
        <v>44050</v>
      </c>
      <c r="D581" s="683" t="str">
        <f t="shared" si="150"/>
        <v>3Q20</v>
      </c>
      <c r="E581" s="911">
        <f t="shared" si="151"/>
        <v>134.97001</v>
      </c>
      <c r="F581" s="674"/>
    </row>
    <row r="582" spans="1:6" x14ac:dyDescent="0.2">
      <c r="A582" s="683">
        <f t="shared" si="153"/>
        <v>3</v>
      </c>
      <c r="B582" s="683">
        <f t="shared" si="149"/>
        <v>2020</v>
      </c>
      <c r="C582" s="694">
        <f t="shared" si="152"/>
        <v>44057</v>
      </c>
      <c r="D582" s="683" t="str">
        <f t="shared" si="150"/>
        <v>3Q20</v>
      </c>
      <c r="E582" s="911">
        <f t="shared" si="151"/>
        <v>134.97001</v>
      </c>
      <c r="F582" s="674"/>
    </row>
    <row r="583" spans="1:6" x14ac:dyDescent="0.2">
      <c r="A583" s="683">
        <f t="shared" si="153"/>
        <v>3</v>
      </c>
      <c r="B583" s="683">
        <f t="shared" si="149"/>
        <v>2020</v>
      </c>
      <c r="C583" s="694">
        <f t="shared" si="152"/>
        <v>44064</v>
      </c>
      <c r="D583" s="683" t="str">
        <f t="shared" si="150"/>
        <v>3Q20</v>
      </c>
      <c r="E583" s="911">
        <f t="shared" si="151"/>
        <v>134.97001</v>
      </c>
      <c r="F583" s="674"/>
    </row>
    <row r="584" spans="1:6" x14ac:dyDescent="0.2">
      <c r="A584" s="683">
        <f t="shared" si="153"/>
        <v>3</v>
      </c>
      <c r="B584" s="683">
        <f t="shared" si="149"/>
        <v>2020</v>
      </c>
      <c r="C584" s="694">
        <f t="shared" si="152"/>
        <v>44071</v>
      </c>
      <c r="D584" s="683" t="str">
        <f t="shared" si="150"/>
        <v>3Q20</v>
      </c>
      <c r="E584" s="911">
        <f t="shared" si="151"/>
        <v>134.97001</v>
      </c>
      <c r="F584" s="674"/>
    </row>
    <row r="585" spans="1:6" x14ac:dyDescent="0.2">
      <c r="A585" s="683">
        <f t="shared" si="153"/>
        <v>3</v>
      </c>
      <c r="B585" s="683">
        <f t="shared" si="149"/>
        <v>2020</v>
      </c>
      <c r="C585" s="694">
        <f t="shared" si="152"/>
        <v>44078</v>
      </c>
      <c r="D585" s="683" t="str">
        <f t="shared" si="150"/>
        <v>3Q20</v>
      </c>
      <c r="E585" s="911">
        <f t="shared" si="151"/>
        <v>134.97001</v>
      </c>
      <c r="F585" s="674"/>
    </row>
    <row r="586" spans="1:6" x14ac:dyDescent="0.2">
      <c r="A586" s="683">
        <f t="shared" si="153"/>
        <v>3</v>
      </c>
      <c r="B586" s="683">
        <f t="shared" si="149"/>
        <v>2020</v>
      </c>
      <c r="C586" s="694">
        <f t="shared" si="152"/>
        <v>44085</v>
      </c>
      <c r="D586" s="683" t="str">
        <f t="shared" si="150"/>
        <v>3Q20</v>
      </c>
      <c r="E586" s="911">
        <f t="shared" si="151"/>
        <v>134.97001</v>
      </c>
      <c r="F586" s="674"/>
    </row>
    <row r="587" spans="1:6" x14ac:dyDescent="0.2">
      <c r="A587" s="683">
        <f t="shared" si="153"/>
        <v>3</v>
      </c>
      <c r="B587" s="683">
        <f t="shared" si="149"/>
        <v>2020</v>
      </c>
      <c r="C587" s="694">
        <f t="shared" si="152"/>
        <v>44092</v>
      </c>
      <c r="D587" s="683" t="str">
        <f t="shared" si="150"/>
        <v>3Q20</v>
      </c>
      <c r="E587" s="911">
        <f t="shared" si="151"/>
        <v>134.97001</v>
      </c>
      <c r="F587" s="674"/>
    </row>
    <row r="588" spans="1:6" x14ac:dyDescent="0.2">
      <c r="A588" s="683">
        <f t="shared" si="153"/>
        <v>4</v>
      </c>
      <c r="B588" s="683">
        <f t="shared" si="149"/>
        <v>2020</v>
      </c>
      <c r="C588" s="694">
        <f t="shared" si="152"/>
        <v>44099</v>
      </c>
      <c r="D588" s="683" t="str">
        <f t="shared" si="150"/>
        <v>4Q20</v>
      </c>
      <c r="E588" s="911">
        <f t="shared" si="151"/>
        <v>134.97001</v>
      </c>
      <c r="F588" s="674"/>
    </row>
    <row r="589" spans="1:6" x14ac:dyDescent="0.2">
      <c r="A589" s="683">
        <f t="shared" si="153"/>
        <v>4</v>
      </c>
      <c r="B589" s="683">
        <f t="shared" si="149"/>
        <v>2020</v>
      </c>
      <c r="C589" s="694">
        <f t="shared" si="152"/>
        <v>44106</v>
      </c>
      <c r="D589" s="683" t="str">
        <f t="shared" si="150"/>
        <v>4Q20</v>
      </c>
      <c r="E589" s="911">
        <f t="shared" si="151"/>
        <v>134.97001</v>
      </c>
      <c r="F589" s="674"/>
    </row>
    <row r="590" spans="1:6" x14ac:dyDescent="0.2">
      <c r="A590" s="683">
        <f t="shared" si="153"/>
        <v>4</v>
      </c>
      <c r="B590" s="683">
        <f t="shared" si="149"/>
        <v>2020</v>
      </c>
      <c r="C590" s="694">
        <f t="shared" si="152"/>
        <v>44113</v>
      </c>
      <c r="D590" s="683" t="str">
        <f t="shared" si="150"/>
        <v>4Q20</v>
      </c>
      <c r="E590" s="911">
        <f t="shared" si="151"/>
        <v>134.97001</v>
      </c>
      <c r="F590" s="674"/>
    </row>
    <row r="591" spans="1:6" x14ac:dyDescent="0.2">
      <c r="A591" s="683">
        <f t="shared" si="153"/>
        <v>4</v>
      </c>
      <c r="B591" s="683">
        <f t="shared" si="149"/>
        <v>2020</v>
      </c>
      <c r="C591" s="694">
        <f t="shared" si="152"/>
        <v>44120</v>
      </c>
      <c r="D591" s="683" t="str">
        <f t="shared" si="150"/>
        <v>4Q20</v>
      </c>
      <c r="E591" s="911">
        <f t="shared" si="151"/>
        <v>134.97001</v>
      </c>
      <c r="F591" s="674"/>
    </row>
    <row r="592" spans="1:6" x14ac:dyDescent="0.2">
      <c r="A592" s="683">
        <f t="shared" si="153"/>
        <v>4</v>
      </c>
      <c r="B592" s="683">
        <f t="shared" si="149"/>
        <v>2020</v>
      </c>
      <c r="C592" s="694">
        <f t="shared" si="152"/>
        <v>44127</v>
      </c>
      <c r="D592" s="683" t="str">
        <f t="shared" si="150"/>
        <v>4Q20</v>
      </c>
      <c r="E592" s="911">
        <f t="shared" si="151"/>
        <v>134.97001</v>
      </c>
      <c r="F592" s="674"/>
    </row>
    <row r="593" spans="1:6" x14ac:dyDescent="0.2">
      <c r="A593" s="683">
        <f t="shared" si="153"/>
        <v>4</v>
      </c>
      <c r="B593" s="683">
        <f t="shared" si="149"/>
        <v>2020</v>
      </c>
      <c r="C593" s="694">
        <f t="shared" si="152"/>
        <v>44134</v>
      </c>
      <c r="D593" s="683" t="str">
        <f t="shared" si="150"/>
        <v>4Q20</v>
      </c>
      <c r="E593" s="911">
        <f t="shared" si="151"/>
        <v>134.97001</v>
      </c>
      <c r="F593" s="674"/>
    </row>
    <row r="594" spans="1:6" x14ac:dyDescent="0.2">
      <c r="A594" s="683">
        <f t="shared" si="153"/>
        <v>4</v>
      </c>
      <c r="B594" s="683">
        <f t="shared" si="149"/>
        <v>2020</v>
      </c>
      <c r="C594" s="694">
        <f t="shared" si="152"/>
        <v>44141</v>
      </c>
      <c r="D594" s="683" t="str">
        <f t="shared" si="150"/>
        <v>4Q20</v>
      </c>
      <c r="E594" s="911">
        <f t="shared" si="151"/>
        <v>134.97001</v>
      </c>
      <c r="F594" s="674"/>
    </row>
    <row r="595" spans="1:6" x14ac:dyDescent="0.2">
      <c r="A595" s="683">
        <f t="shared" si="153"/>
        <v>4</v>
      </c>
      <c r="B595" s="683">
        <f t="shared" si="149"/>
        <v>2020</v>
      </c>
      <c r="C595" s="694">
        <f t="shared" si="152"/>
        <v>44148</v>
      </c>
      <c r="D595" s="683" t="str">
        <f t="shared" si="150"/>
        <v>4Q20</v>
      </c>
      <c r="E595" s="911">
        <f t="shared" si="151"/>
        <v>134.97001</v>
      </c>
      <c r="F595" s="674"/>
    </row>
    <row r="596" spans="1:6" x14ac:dyDescent="0.2">
      <c r="A596" s="683">
        <f t="shared" si="153"/>
        <v>4</v>
      </c>
      <c r="B596" s="683">
        <f t="shared" si="149"/>
        <v>2020</v>
      </c>
      <c r="C596" s="694">
        <f t="shared" si="152"/>
        <v>44155</v>
      </c>
      <c r="D596" s="683" t="str">
        <f t="shared" si="150"/>
        <v>4Q20</v>
      </c>
      <c r="E596" s="911">
        <f t="shared" si="151"/>
        <v>134.97001</v>
      </c>
      <c r="F596" s="674"/>
    </row>
    <row r="597" spans="1:6" x14ac:dyDescent="0.2">
      <c r="A597" s="683">
        <f t="shared" si="153"/>
        <v>4</v>
      </c>
      <c r="B597" s="683">
        <f t="shared" si="149"/>
        <v>2020</v>
      </c>
      <c r="C597" s="694">
        <f t="shared" si="152"/>
        <v>44162</v>
      </c>
      <c r="D597" s="683" t="str">
        <f t="shared" si="150"/>
        <v>4Q20</v>
      </c>
      <c r="E597" s="911">
        <f t="shared" si="151"/>
        <v>134.97001</v>
      </c>
      <c r="F597" s="674"/>
    </row>
    <row r="598" spans="1:6" x14ac:dyDescent="0.2">
      <c r="A598" s="683">
        <f t="shared" si="153"/>
        <v>4</v>
      </c>
      <c r="B598" s="683">
        <f t="shared" si="149"/>
        <v>2020</v>
      </c>
      <c r="C598" s="694">
        <f t="shared" si="152"/>
        <v>44169</v>
      </c>
      <c r="D598" s="683" t="str">
        <f t="shared" si="150"/>
        <v>4Q20</v>
      </c>
      <c r="E598" s="911">
        <f t="shared" si="151"/>
        <v>134.97001</v>
      </c>
      <c r="F598" s="674"/>
    </row>
    <row r="599" spans="1:6" x14ac:dyDescent="0.2">
      <c r="A599" s="683">
        <f t="shared" si="153"/>
        <v>4</v>
      </c>
      <c r="B599" s="683">
        <f t="shared" si="149"/>
        <v>2020</v>
      </c>
      <c r="C599" s="694">
        <f t="shared" si="152"/>
        <v>44176</v>
      </c>
      <c r="D599" s="683" t="str">
        <f t="shared" si="150"/>
        <v>4Q20</v>
      </c>
      <c r="E599" s="911">
        <f t="shared" si="151"/>
        <v>134.97001</v>
      </c>
      <c r="F599" s="674"/>
    </row>
    <row r="600" spans="1:6" x14ac:dyDescent="0.2">
      <c r="A600" s="683">
        <f t="shared" si="153"/>
        <v>4</v>
      </c>
      <c r="B600" s="683">
        <f t="shared" si="149"/>
        <v>2020</v>
      </c>
      <c r="C600" s="694">
        <f t="shared" si="152"/>
        <v>44183</v>
      </c>
      <c r="D600" s="683" t="str">
        <f t="shared" si="150"/>
        <v>4Q20</v>
      </c>
      <c r="E600" s="911">
        <f t="shared" si="151"/>
        <v>134.97001</v>
      </c>
      <c r="F600" s="674"/>
    </row>
    <row r="601" spans="1:6" x14ac:dyDescent="0.2">
      <c r="A601" s="683">
        <f t="shared" si="153"/>
        <v>1</v>
      </c>
      <c r="B601" s="683">
        <f t="shared" si="149"/>
        <v>2020</v>
      </c>
      <c r="C601" s="694">
        <f t="shared" si="152"/>
        <v>44190</v>
      </c>
      <c r="D601" s="683" t="str">
        <f t="shared" si="150"/>
        <v>1Q20</v>
      </c>
      <c r="E601" s="911">
        <f t="shared" si="151"/>
        <v>134.97001</v>
      </c>
      <c r="F601" s="674"/>
    </row>
    <row r="602" spans="1:6" x14ac:dyDescent="0.2">
      <c r="A602" s="683">
        <f t="shared" si="153"/>
        <v>1</v>
      </c>
      <c r="B602" s="683">
        <f t="shared" si="149"/>
        <v>2021</v>
      </c>
      <c r="C602" s="694">
        <f t="shared" si="152"/>
        <v>44197</v>
      </c>
      <c r="D602" s="683" t="str">
        <f t="shared" si="150"/>
        <v>1Q21</v>
      </c>
      <c r="E602" s="911">
        <f t="shared" si="151"/>
        <v>134.97001</v>
      </c>
      <c r="F602" s="674"/>
    </row>
    <row r="603" spans="1:6" x14ac:dyDescent="0.2">
      <c r="A603" s="683">
        <f t="shared" si="153"/>
        <v>1</v>
      </c>
      <c r="B603" s="683">
        <f t="shared" si="149"/>
        <v>2021</v>
      </c>
      <c r="C603" s="694">
        <f t="shared" si="152"/>
        <v>44204</v>
      </c>
      <c r="D603" s="683" t="str">
        <f t="shared" si="150"/>
        <v>1Q21</v>
      </c>
      <c r="E603" s="911">
        <f t="shared" si="151"/>
        <v>134.97001</v>
      </c>
      <c r="F603" s="674"/>
    </row>
    <row r="604" spans="1:6" x14ac:dyDescent="0.2">
      <c r="A604" s="683">
        <f t="shared" si="153"/>
        <v>1</v>
      </c>
      <c r="B604" s="683">
        <f t="shared" si="149"/>
        <v>2021</v>
      </c>
      <c r="C604" s="694">
        <f t="shared" si="152"/>
        <v>44211</v>
      </c>
      <c r="D604" s="683" t="str">
        <f t="shared" si="150"/>
        <v>1Q21</v>
      </c>
      <c r="E604" s="911">
        <f t="shared" si="151"/>
        <v>134.97001</v>
      </c>
      <c r="F604" s="674"/>
    </row>
    <row r="605" spans="1:6" x14ac:dyDescent="0.2">
      <c r="A605" s="683">
        <f t="shared" si="153"/>
        <v>1</v>
      </c>
      <c r="B605" s="683">
        <f t="shared" si="149"/>
        <v>2021</v>
      </c>
      <c r="C605" s="694">
        <f t="shared" si="152"/>
        <v>44218</v>
      </c>
      <c r="D605" s="683" t="str">
        <f t="shared" si="150"/>
        <v>1Q21</v>
      </c>
      <c r="E605" s="911">
        <f t="shared" si="151"/>
        <v>134.97001</v>
      </c>
      <c r="F605" s="674"/>
    </row>
    <row r="606" spans="1:6" x14ac:dyDescent="0.2">
      <c r="A606" s="683">
        <f t="shared" si="153"/>
        <v>1</v>
      </c>
      <c r="B606" s="683">
        <f t="shared" si="149"/>
        <v>2021</v>
      </c>
      <c r="C606" s="694">
        <f t="shared" si="152"/>
        <v>44225</v>
      </c>
      <c r="D606" s="683" t="str">
        <f t="shared" si="150"/>
        <v>1Q21</v>
      </c>
      <c r="E606" s="911">
        <f t="shared" si="151"/>
        <v>134.97001</v>
      </c>
      <c r="F606" s="674"/>
    </row>
    <row r="607" spans="1:6" x14ac:dyDescent="0.2">
      <c r="A607" s="683">
        <f t="shared" si="153"/>
        <v>1</v>
      </c>
      <c r="B607" s="683">
        <f t="shared" si="149"/>
        <v>2021</v>
      </c>
      <c r="C607" s="694">
        <f t="shared" si="152"/>
        <v>44232</v>
      </c>
      <c r="D607" s="683" t="str">
        <f t="shared" si="150"/>
        <v>1Q21</v>
      </c>
      <c r="E607" s="911">
        <f t="shared" si="151"/>
        <v>134.97001</v>
      </c>
      <c r="F607" s="674"/>
    </row>
    <row r="608" spans="1:6" x14ac:dyDescent="0.2">
      <c r="A608" s="683">
        <f t="shared" si="153"/>
        <v>1</v>
      </c>
      <c r="B608" s="683">
        <f t="shared" si="149"/>
        <v>2021</v>
      </c>
      <c r="C608" s="694">
        <f t="shared" si="152"/>
        <v>44239</v>
      </c>
      <c r="D608" s="683" t="str">
        <f t="shared" si="150"/>
        <v>1Q21</v>
      </c>
      <c r="E608" s="911">
        <f t="shared" si="151"/>
        <v>134.97001</v>
      </c>
      <c r="F608" s="674"/>
    </row>
    <row r="609" spans="1:6" x14ac:dyDescent="0.2">
      <c r="A609" s="683">
        <f t="shared" si="153"/>
        <v>1</v>
      </c>
      <c r="B609" s="683">
        <f t="shared" si="149"/>
        <v>2021</v>
      </c>
      <c r="C609" s="694">
        <f t="shared" si="152"/>
        <v>44246</v>
      </c>
      <c r="D609" s="683" t="str">
        <f t="shared" si="150"/>
        <v>1Q21</v>
      </c>
      <c r="E609" s="911">
        <f t="shared" si="151"/>
        <v>134.97001</v>
      </c>
      <c r="F609" s="674"/>
    </row>
    <row r="610" spans="1:6" x14ac:dyDescent="0.2">
      <c r="A610" s="683">
        <f t="shared" si="153"/>
        <v>1</v>
      </c>
      <c r="B610" s="683">
        <f t="shared" si="149"/>
        <v>2021</v>
      </c>
      <c r="C610" s="694">
        <f t="shared" si="152"/>
        <v>44253</v>
      </c>
      <c r="D610" s="683" t="str">
        <f t="shared" si="150"/>
        <v>1Q21</v>
      </c>
      <c r="E610" s="911">
        <f t="shared" si="151"/>
        <v>134.97001</v>
      </c>
      <c r="F610" s="674"/>
    </row>
    <row r="611" spans="1:6" x14ac:dyDescent="0.2">
      <c r="A611" s="683">
        <f t="shared" si="153"/>
        <v>1</v>
      </c>
      <c r="B611" s="683">
        <f t="shared" si="149"/>
        <v>2021</v>
      </c>
      <c r="C611" s="694">
        <f t="shared" si="152"/>
        <v>44260</v>
      </c>
      <c r="D611" s="683" t="str">
        <f t="shared" si="150"/>
        <v>1Q21</v>
      </c>
      <c r="E611" s="911">
        <f t="shared" si="151"/>
        <v>134.97001</v>
      </c>
      <c r="F611" s="674"/>
    </row>
    <row r="612" spans="1:6" x14ac:dyDescent="0.2">
      <c r="A612" s="683">
        <f t="shared" si="153"/>
        <v>1</v>
      </c>
      <c r="B612" s="683">
        <f t="shared" si="149"/>
        <v>2021</v>
      </c>
      <c r="C612" s="694">
        <f t="shared" si="152"/>
        <v>44267</v>
      </c>
      <c r="D612" s="683" t="str">
        <f t="shared" si="150"/>
        <v>1Q21</v>
      </c>
      <c r="E612" s="911">
        <f t="shared" si="151"/>
        <v>134.97001</v>
      </c>
      <c r="F612" s="674"/>
    </row>
    <row r="613" spans="1:6" x14ac:dyDescent="0.2">
      <c r="A613" s="683">
        <f t="shared" si="153"/>
        <v>1</v>
      </c>
      <c r="B613" s="683">
        <f t="shared" si="149"/>
        <v>2021</v>
      </c>
      <c r="C613" s="694">
        <f t="shared" si="152"/>
        <v>44274</v>
      </c>
      <c r="D613" s="683" t="str">
        <f t="shared" si="150"/>
        <v>1Q21</v>
      </c>
      <c r="E613" s="911">
        <f t="shared" si="151"/>
        <v>134.97001</v>
      </c>
      <c r="F613" s="674"/>
    </row>
    <row r="614" spans="1:6" x14ac:dyDescent="0.2">
      <c r="A614" s="683">
        <f t="shared" si="153"/>
        <v>2</v>
      </c>
      <c r="B614" s="683">
        <f t="shared" si="149"/>
        <v>2021</v>
      </c>
      <c r="C614" s="694">
        <f t="shared" si="152"/>
        <v>44281</v>
      </c>
      <c r="D614" s="683" t="str">
        <f t="shared" si="150"/>
        <v>2Q21</v>
      </c>
      <c r="E614" s="911">
        <f t="shared" si="151"/>
        <v>134.97001</v>
      </c>
      <c r="F614" s="674"/>
    </row>
  </sheetData>
  <phoneticPr fontId="18"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CU246"/>
  <sheetViews>
    <sheetView showGridLines="0" zoomScaleNormal="100" workbookViewId="0">
      <selection sqref="A1:A2"/>
    </sheetView>
  </sheetViews>
  <sheetFormatPr defaultRowHeight="12.75" outlineLevelRow="1" outlineLevelCol="1" x14ac:dyDescent="0.2"/>
  <cols>
    <col min="1" max="1" width="1.125" style="1573" customWidth="1"/>
    <col min="2" max="2" width="6" style="1453" customWidth="1"/>
    <col min="3" max="3" width="39.625" style="1453" customWidth="1"/>
    <col min="4" max="4" width="7.875" style="1453" hidden="1" customWidth="1" outlineLevel="1"/>
    <col min="5" max="5" width="8.75" style="1453" hidden="1" customWidth="1" outlineLevel="1"/>
    <col min="6" max="6" width="9.5" style="1453" hidden="1" customWidth="1" outlineLevel="1"/>
    <col min="7" max="7" width="9.375" style="1453" hidden="1" customWidth="1" outlineLevel="1"/>
    <col min="8" max="8" width="8.875" style="1566" customWidth="1" collapsed="1"/>
    <col min="9" max="16" width="8.875" style="1566" customWidth="1"/>
    <col min="17" max="17" width="3.375" style="1435" hidden="1" customWidth="1" outlineLevel="1"/>
    <col min="18" max="18" width="0" style="1435" hidden="1" customWidth="1" outlineLevel="1"/>
    <col min="19" max="19" width="8" style="1436" hidden="1" customWidth="1" outlineLevel="1"/>
    <col min="20" max="20" width="0" style="1436" hidden="1" customWidth="1" outlineLevel="1"/>
    <col min="21" max="21" width="9" style="1436" collapsed="1"/>
    <col min="22" max="23" width="9" style="1436"/>
    <col min="24" max="24" width="36" bestFit="1" customWidth="1"/>
    <col min="25" max="25" width="11" bestFit="1" customWidth="1"/>
    <col min="26" max="27" width="9.875" bestFit="1" customWidth="1"/>
    <col min="28" max="28" width="15.875" bestFit="1" customWidth="1"/>
    <col min="30" max="30" width="8.25" style="1436" hidden="1" customWidth="1"/>
    <col min="31" max="35" width="8" style="1436" hidden="1" customWidth="1"/>
    <col min="36" max="36" width="95" style="1439" hidden="1" customWidth="1" outlineLevel="1"/>
    <col min="37" max="37" width="9" style="1436" collapsed="1"/>
    <col min="38" max="38" width="30.125" style="1436" customWidth="1"/>
    <col min="39" max="39" width="9" style="1436"/>
    <col min="40" max="40" width="9.125" style="1436" customWidth="1"/>
    <col min="41" max="43" width="9" style="1436"/>
    <col min="44" max="44" width="16" style="1436" customWidth="1"/>
    <col min="45" max="46" width="9" style="1436"/>
    <col min="47" max="47" width="14.75" style="1436" customWidth="1"/>
    <col min="48" max="48" width="11.875" style="1436" customWidth="1"/>
    <col min="49" max="49" width="8.25" style="1436" customWidth="1"/>
    <col min="50" max="50" width="7.625" style="1436" customWidth="1"/>
    <col min="51" max="51" width="9" style="1436"/>
    <col min="52" max="52" width="6.625" style="1436" bestFit="1" customWidth="1"/>
    <col min="53" max="54" width="9" style="1436"/>
    <col min="55" max="55" width="10.25" style="1437" bestFit="1" customWidth="1"/>
    <col min="56" max="57" width="9" style="1436"/>
    <col min="58" max="58" width="11.625" style="1436" bestFit="1" customWidth="1"/>
    <col min="59" max="76" width="9" style="1436"/>
    <col min="77" max="77" width="18" style="1436" customWidth="1"/>
    <col min="78" max="84" width="9.25" style="1436" bestFit="1" customWidth="1"/>
    <col min="85" max="16384" width="9" style="1436"/>
  </cols>
  <sheetData>
    <row r="1" spans="1:84" ht="15" customHeight="1" x14ac:dyDescent="0.15">
      <c r="A1" s="2170"/>
      <c r="B1" s="1432"/>
      <c r="C1" s="1433" t="s">
        <v>513</v>
      </c>
      <c r="D1" s="1433"/>
      <c r="E1" s="1433"/>
      <c r="F1" s="1433"/>
      <c r="G1" s="1433"/>
      <c r="H1" s="1434" t="s">
        <v>593</v>
      </c>
      <c r="I1" s="1435"/>
      <c r="J1" s="1435"/>
      <c r="K1" s="1435">
        <f>IF(OR(ISERROR($J$2),$J$2="NA",$J$2="N/A"),2,1)</f>
        <v>1</v>
      </c>
      <c r="L1" s="1435"/>
      <c r="M1" s="1435"/>
      <c r="N1" s="1435"/>
      <c r="O1" s="1435"/>
      <c r="P1" s="1435"/>
      <c r="R1" s="1436"/>
    </row>
    <row r="2" spans="1:84" ht="17.25" customHeight="1" x14ac:dyDescent="0.15">
      <c r="A2" s="2170"/>
      <c r="B2" s="1432"/>
      <c r="C2" s="1433" t="s">
        <v>176</v>
      </c>
      <c r="D2" s="1433"/>
      <c r="E2" s="1433"/>
      <c r="F2" s="1433"/>
      <c r="G2" s="1433"/>
      <c r="H2" s="1440" t="s">
        <v>78</v>
      </c>
      <c r="I2" s="1435"/>
      <c r="J2" s="1441">
        <v>2641894</v>
      </c>
      <c r="K2" s="1442"/>
      <c r="L2" s="1442"/>
      <c r="M2" s="1442"/>
      <c r="N2" s="1442"/>
      <c r="O2" s="1442"/>
      <c r="P2" s="1442"/>
      <c r="R2" s="1436"/>
    </row>
    <row r="3" spans="1:84" ht="18.75" hidden="1" customHeight="1" outlineLevel="1" x14ac:dyDescent="0.15">
      <c r="A3" s="1443"/>
      <c r="B3" s="1432"/>
      <c r="C3" s="1433" t="s">
        <v>514</v>
      </c>
      <c r="D3" s="1433"/>
      <c r="E3" s="1433"/>
      <c r="F3" s="1433"/>
      <c r="G3" s="1433"/>
      <c r="H3" s="1440">
        <f>IF(OR(ISERROR($J$2),$J$2="NA",$J$2="N/A"),$J$3,J2)</f>
        <v>2641894</v>
      </c>
      <c r="I3" s="1435"/>
      <c r="J3" s="1441" t="str">
        <f>_xll.ThomsonONEAddinShim.SpreadsheetFormulas.TF($H$1,"TF.SEDOL7()")</f>
        <v>#NAME?</v>
      </c>
      <c r="K3" s="1435"/>
      <c r="L3" s="1435"/>
      <c r="M3" s="1435"/>
      <c r="N3" s="1435"/>
      <c r="O3" s="1435"/>
      <c r="P3" s="1435"/>
      <c r="R3" s="1436"/>
      <c r="BZ3" s="1444"/>
      <c r="CA3" s="1444"/>
      <c r="CB3" s="1444"/>
      <c r="CC3" s="1444"/>
      <c r="CD3" s="1444"/>
      <c r="CE3" s="1444" t="str">
        <f>IF(CE27&lt;&gt;"",CE38,"")</f>
        <v/>
      </c>
      <c r="CF3" s="1444" t="str">
        <f>IF(CF27&lt;&gt;"",CF38,"")</f>
        <v/>
      </c>
    </row>
    <row r="4" spans="1:84" s="1437" customFormat="1" collapsed="1" x14ac:dyDescent="0.2">
      <c r="A4" s="1445"/>
      <c r="B4" s="1446"/>
      <c r="C4" s="1447"/>
      <c r="D4" s="1447"/>
      <c r="E4" s="1447"/>
      <c r="F4" s="1447"/>
      <c r="G4" s="1447"/>
      <c r="H4" s="1442"/>
      <c r="I4" s="1442"/>
      <c r="J4" s="1442"/>
      <c r="K4" s="1442"/>
      <c r="L4" s="1442"/>
      <c r="M4" s="1442"/>
      <c r="N4" s="1442"/>
      <c r="O4" s="1442"/>
      <c r="P4" s="1442"/>
      <c r="Q4" s="1442"/>
      <c r="X4"/>
      <c r="Y4"/>
      <c r="Z4"/>
      <c r="AA4"/>
      <c r="AB4"/>
      <c r="AC4"/>
      <c r="AJ4" s="1448"/>
      <c r="AU4" s="1449"/>
      <c r="AV4" s="1449"/>
      <c r="AW4" s="1449"/>
      <c r="AX4" s="1449"/>
    </row>
    <row r="5" spans="1:84" customFormat="1" ht="12.75" hidden="1" customHeight="1" outlineLevel="1" x14ac:dyDescent="0.15"/>
    <row r="6" spans="1:84" ht="12" collapsed="1" x14ac:dyDescent="0.15">
      <c r="A6" s="1445"/>
      <c r="B6" s="1433" t="s">
        <v>515</v>
      </c>
      <c r="C6" s="1433" t="s">
        <v>516</v>
      </c>
      <c r="D6" s="1450">
        <v>-7</v>
      </c>
      <c r="E6" s="1450">
        <v>-6</v>
      </c>
      <c r="F6" s="1450">
        <v>-5</v>
      </c>
      <c r="G6" s="1450">
        <v>-4</v>
      </c>
      <c r="H6" s="1450">
        <f>+I6-1</f>
        <v>2012</v>
      </c>
      <c r="I6" s="1450">
        <f>+J6-1</f>
        <v>2013</v>
      </c>
      <c r="J6" s="1450">
        <f>+K6-1</f>
        <v>2014</v>
      </c>
      <c r="K6" s="1451">
        <v>2015</v>
      </c>
      <c r="L6" s="1304">
        <f>K6+1</f>
        <v>2016</v>
      </c>
      <c r="M6" s="1304">
        <f>L6+1</f>
        <v>2017</v>
      </c>
      <c r="N6" s="1304">
        <f>M6+1</f>
        <v>2018</v>
      </c>
      <c r="O6" s="1304">
        <f>N6+1</f>
        <v>2019</v>
      </c>
      <c r="P6" s="1451">
        <f>+O6+1</f>
        <v>2020</v>
      </c>
      <c r="Q6" s="1451">
        <f>P6+1</f>
        <v>2021</v>
      </c>
      <c r="R6" s="1451">
        <f>Q6+1</f>
        <v>2022</v>
      </c>
      <c r="S6" s="1451">
        <f>R6+1</f>
        <v>2023</v>
      </c>
      <c r="T6" s="1451">
        <f>S6+1</f>
        <v>2024</v>
      </c>
      <c r="AU6" s="1452"/>
      <c r="AV6" s="1452"/>
      <c r="AW6" s="1452"/>
      <c r="AX6" s="1452"/>
      <c r="BC6" s="1438">
        <f>VALUE(RIGHT(BC7,4))</f>
        <v>2014</v>
      </c>
    </row>
    <row r="7" spans="1:84" ht="7.5" customHeight="1" x14ac:dyDescent="0.2">
      <c r="A7" s="1445"/>
      <c r="C7" s="1454"/>
      <c r="D7" s="1454"/>
      <c r="E7" s="1454"/>
      <c r="F7" s="1454"/>
      <c r="G7" s="1454"/>
      <c r="H7" s="1455"/>
      <c r="I7" s="1455"/>
      <c r="J7" s="1456"/>
      <c r="K7" s="1456"/>
      <c r="L7" s="1456"/>
      <c r="M7" s="1456"/>
      <c r="N7" s="1456"/>
      <c r="O7" s="1456"/>
      <c r="P7" s="1456"/>
      <c r="R7" s="1436"/>
      <c r="BC7" s="1437" t="str">
        <f>IF($AV$19="NA","NA",(MONTH($AV$19)&amp;"/"&amp;YEAR($AV$19)))</f>
        <v>12/2014</v>
      </c>
    </row>
    <row r="8" spans="1:84" x14ac:dyDescent="0.2">
      <c r="A8" s="1445"/>
      <c r="C8" s="1435" t="s">
        <v>517</v>
      </c>
      <c r="D8" s="1462">
        <v>3.6499999999999998E-2</v>
      </c>
      <c r="E8" s="1457">
        <v>6.25E-2</v>
      </c>
      <c r="F8" s="1457">
        <v>5.8499999999999996E-2</v>
      </c>
      <c r="G8" s="1457">
        <v>5.2499999999999998E-2</v>
      </c>
      <c r="H8" s="1457">
        <v>4.4999999999999998E-2</v>
      </c>
      <c r="I8" s="1457">
        <v>3.6499999999999998E-2</v>
      </c>
      <c r="J8" s="1457">
        <v>4.5999999999999999E-2</v>
      </c>
      <c r="K8" s="1457">
        <v>4.5999999999999999E-2</v>
      </c>
      <c r="L8" s="1458">
        <f>+K8</f>
        <v>4.5999999999999999E-2</v>
      </c>
      <c r="M8" s="1458">
        <f t="shared" ref="L8:P11" si="0">+L8</f>
        <v>4.5999999999999999E-2</v>
      </c>
      <c r="N8" s="1458">
        <f t="shared" si="0"/>
        <v>4.5999999999999999E-2</v>
      </c>
      <c r="O8" s="1458">
        <f t="shared" si="0"/>
        <v>4.5999999999999999E-2</v>
      </c>
      <c r="P8" s="1458">
        <f t="shared" si="0"/>
        <v>4.5999999999999999E-2</v>
      </c>
      <c r="R8" s="1436"/>
      <c r="AJ8" s="1459" t="s">
        <v>357</v>
      </c>
      <c r="AU8" s="1452"/>
      <c r="AV8" s="1460"/>
      <c r="AW8" s="1460"/>
      <c r="AX8" s="1452"/>
      <c r="BC8" s="1461" t="str">
        <f>_xll.ThomsonONEAddinShim.SpreadsheetFormulas.TF(Sedol,$AJ8,"dataDir=across",trSdate,trEdate)</f>
        <v>#NAME?</v>
      </c>
      <c r="BD8" s="1459">
        <v>5.8499999999999996E-2</v>
      </c>
      <c r="BE8" s="1462">
        <v>5.2499999999999998E-2</v>
      </c>
      <c r="BF8" s="1462">
        <v>4.4999999999999998E-2</v>
      </c>
      <c r="BG8" s="1462">
        <v>3.6499999999999998E-2</v>
      </c>
      <c r="BH8" s="1462">
        <v>4.5999999999999999E-2</v>
      </c>
      <c r="BI8" s="1462">
        <v>4.5999999999999999E-2</v>
      </c>
      <c r="BJ8" s="1462">
        <v>3.95E-2</v>
      </c>
    </row>
    <row r="9" spans="1:84" ht="12.75" hidden="1" customHeight="1" outlineLevel="1" x14ac:dyDescent="0.2">
      <c r="A9" s="1445"/>
      <c r="C9" s="1435" t="s">
        <v>518</v>
      </c>
      <c r="D9" s="1463">
        <v>0.1</v>
      </c>
      <c r="E9" s="1463">
        <v>0.1</v>
      </c>
      <c r="F9" s="1463">
        <v>0.1</v>
      </c>
      <c r="G9" s="1463">
        <v>0.1</v>
      </c>
      <c r="H9" s="1463">
        <v>0.1</v>
      </c>
      <c r="I9" s="1463">
        <v>0.1</v>
      </c>
      <c r="J9" s="1463">
        <v>0.1</v>
      </c>
      <c r="K9" s="1463">
        <v>0.1</v>
      </c>
      <c r="L9" s="1464">
        <f t="shared" si="0"/>
        <v>0.1</v>
      </c>
      <c r="M9" s="1464">
        <f t="shared" si="0"/>
        <v>0.1</v>
      </c>
      <c r="N9" s="1464">
        <f t="shared" si="0"/>
        <v>0.1</v>
      </c>
      <c r="O9" s="1464">
        <f t="shared" si="0"/>
        <v>0.1</v>
      </c>
      <c r="P9" s="1464">
        <f t="shared" si="0"/>
        <v>0.1</v>
      </c>
      <c r="R9" s="1436"/>
      <c r="AV9" s="1435"/>
      <c r="AW9" s="1465"/>
      <c r="AX9" s="1465"/>
      <c r="AY9" s="1465"/>
      <c r="AZ9" s="1465"/>
      <c r="BC9" s="1466"/>
      <c r="BD9" s="1439"/>
    </row>
    <row r="10" spans="1:84" ht="12.75" hidden="1" customHeight="1" outlineLevel="1" x14ac:dyDescent="0.2">
      <c r="A10" s="1445"/>
      <c r="C10" s="1435" t="s">
        <v>519</v>
      </c>
      <c r="D10" s="1467">
        <v>10</v>
      </c>
      <c r="E10" s="1467">
        <v>10</v>
      </c>
      <c r="F10" s="1467">
        <v>10</v>
      </c>
      <c r="G10" s="1467">
        <v>10</v>
      </c>
      <c r="H10" s="1467">
        <v>10</v>
      </c>
      <c r="I10" s="1467">
        <v>10</v>
      </c>
      <c r="J10" s="1467">
        <v>10</v>
      </c>
      <c r="K10" s="1467">
        <v>10</v>
      </c>
      <c r="L10" s="1468">
        <f t="shared" si="0"/>
        <v>10</v>
      </c>
      <c r="M10" s="1468">
        <f t="shared" si="0"/>
        <v>10</v>
      </c>
      <c r="N10" s="1468">
        <f t="shared" si="0"/>
        <v>10</v>
      </c>
      <c r="O10" s="1468">
        <f t="shared" si="0"/>
        <v>10</v>
      </c>
      <c r="P10" s="1468">
        <f t="shared" si="0"/>
        <v>10</v>
      </c>
      <c r="R10" s="1436"/>
      <c r="AU10" s="1469" t="s">
        <v>520</v>
      </c>
      <c r="AV10" s="1470"/>
      <c r="AW10" s="1471"/>
      <c r="AX10" s="1465"/>
      <c r="AY10" s="1465"/>
      <c r="AZ10" s="1465"/>
      <c r="BC10" s="1467"/>
      <c r="BD10" s="1439"/>
    </row>
    <row r="11" spans="1:84" collapsed="1" x14ac:dyDescent="0.2">
      <c r="A11" s="1445"/>
      <c r="C11" s="1435" t="s">
        <v>410</v>
      </c>
      <c r="D11" s="1462">
        <v>8.2500000000000004E-2</v>
      </c>
      <c r="E11" s="1457">
        <v>0.09</v>
      </c>
      <c r="F11" s="1457">
        <v>8.7499999999999994E-2</v>
      </c>
      <c r="G11" s="1457">
        <v>8.7499999999999994E-2</v>
      </c>
      <c r="H11" s="1457">
        <v>8.7499999999999994E-2</v>
      </c>
      <c r="I11" s="1457">
        <v>8.2500000000000004E-2</v>
      </c>
      <c r="J11" s="1457">
        <v>8.2500000000000004E-2</v>
      </c>
      <c r="K11" s="1457">
        <v>8.2500000000000004E-2</v>
      </c>
      <c r="L11" s="1458">
        <f t="shared" si="0"/>
        <v>8.2500000000000004E-2</v>
      </c>
      <c r="M11" s="1458">
        <f t="shared" si="0"/>
        <v>8.2500000000000004E-2</v>
      </c>
      <c r="N11" s="1458">
        <f t="shared" si="0"/>
        <v>8.2500000000000004E-2</v>
      </c>
      <c r="O11" s="1458">
        <f t="shared" si="0"/>
        <v>8.2500000000000004E-2</v>
      </c>
      <c r="P11" s="1458">
        <f t="shared" si="0"/>
        <v>8.2500000000000004E-2</v>
      </c>
      <c r="R11" s="1436"/>
      <c r="AJ11" s="1459" t="s">
        <v>579</v>
      </c>
      <c r="AU11" s="1472" t="s">
        <v>411</v>
      </c>
      <c r="AV11" s="1473" t="str">
        <f>$AV$16-1&amp;"FY"</f>
        <v>-8FY</v>
      </c>
      <c r="AW11" s="1474"/>
      <c r="AX11" s="1465"/>
      <c r="AY11" s="1475"/>
      <c r="AZ11" s="1465"/>
      <c r="BC11" s="1461" t="str">
        <f>_xll.ThomsonONEAddinShim.SpreadsheetFormulas.TF(Sedol,$AJ11,"dataDir=across",trSdate,trEdate)</f>
        <v>#NAME?</v>
      </c>
      <c r="BD11" s="1459">
        <v>8.7499999999999994E-2</v>
      </c>
      <c r="BE11" s="1462">
        <v>8.7499999999999994E-2</v>
      </c>
      <c r="BF11" s="1462">
        <v>8.7499999999999994E-2</v>
      </c>
      <c r="BG11" s="1462">
        <v>8.2500000000000004E-2</v>
      </c>
      <c r="BH11" s="1462">
        <v>8.2500000000000004E-2</v>
      </c>
      <c r="BI11" s="1462">
        <v>8.2500000000000004E-2</v>
      </c>
      <c r="BJ11" s="1462">
        <v>8.2500000000000004E-2</v>
      </c>
    </row>
    <row r="12" spans="1:84" x14ac:dyDescent="0.2">
      <c r="A12" s="1445"/>
      <c r="C12" s="1435" t="s">
        <v>408</v>
      </c>
      <c r="D12" s="1457">
        <f>IF(ISNUMBER(D38/D37),D38/D37,0)</f>
        <v>0</v>
      </c>
      <c r="E12" s="1457">
        <f>IF(ISNUMBER(E38/E37),E38/E37,0)</f>
        <v>-0.29648241206030151</v>
      </c>
      <c r="F12" s="1457">
        <f t="shared" ref="F12:K12" si="1">IF(ISNUMBER(F38/F37),F38/F37,0)</f>
        <v>0.23030757689422354</v>
      </c>
      <c r="G12" s="1457">
        <f t="shared" si="1"/>
        <v>0.14007782101167315</v>
      </c>
      <c r="H12" s="1457">
        <f t="shared" si="1"/>
        <v>1.0250569476082005E-2</v>
      </c>
      <c r="I12" s="1457">
        <f t="shared" si="1"/>
        <v>0.13592814371257486</v>
      </c>
      <c r="J12" s="1457">
        <f t="shared" si="1"/>
        <v>-0.24120603015075376</v>
      </c>
      <c r="K12" s="1457">
        <f t="shared" si="1"/>
        <v>-7.706855791962175E-2</v>
      </c>
      <c r="L12" s="1458">
        <f>+L11</f>
        <v>8.2500000000000004E-2</v>
      </c>
      <c r="M12" s="1458">
        <f>+M11</f>
        <v>8.2500000000000004E-2</v>
      </c>
      <c r="N12" s="1458">
        <f>+N11</f>
        <v>8.2500000000000004E-2</v>
      </c>
      <c r="O12" s="1458">
        <f>+O11</f>
        <v>8.2500000000000004E-2</v>
      </c>
      <c r="P12" s="1458">
        <f>+P11</f>
        <v>8.2500000000000004E-2</v>
      </c>
      <c r="R12" s="1436"/>
      <c r="AJ12" s="1459"/>
      <c r="AU12" s="1476" t="s">
        <v>412</v>
      </c>
      <c r="AV12" s="1477" t="str">
        <f>$AV$16&amp;"FY"</f>
        <v>-7FY</v>
      </c>
      <c r="AW12" s="1478" t="str">
        <f>($AV$15-3)&amp;"FY"</f>
        <v>-3FY</v>
      </c>
      <c r="AX12" s="1479"/>
      <c r="AY12" s="1465"/>
      <c r="AZ12" s="1465"/>
      <c r="BC12" s="1461"/>
      <c r="BD12" s="1459"/>
    </row>
    <row r="13" spans="1:84" x14ac:dyDescent="0.2">
      <c r="A13" s="1445"/>
      <c r="C13" s="1435" t="s">
        <v>397</v>
      </c>
      <c r="D13" s="1457">
        <v>0.35</v>
      </c>
      <c r="E13" s="1457">
        <v>0.35</v>
      </c>
      <c r="F13" s="1457">
        <v>0.35</v>
      </c>
      <c r="G13" s="1457">
        <v>0.35</v>
      </c>
      <c r="H13" s="1457">
        <v>0.35</v>
      </c>
      <c r="I13" s="1457">
        <v>0.35</v>
      </c>
      <c r="J13" s="1457">
        <v>0.35</v>
      </c>
      <c r="K13" s="1457">
        <v>0.35</v>
      </c>
      <c r="L13" s="1480">
        <v>0.35</v>
      </c>
      <c r="M13" s="1480">
        <v>0.35</v>
      </c>
      <c r="N13" s="1480">
        <v>0.35</v>
      </c>
      <c r="O13" s="1480">
        <v>0.35</v>
      </c>
      <c r="P13" s="1480">
        <v>0.35</v>
      </c>
      <c r="Q13" s="1435">
        <v>0.35</v>
      </c>
      <c r="R13" s="1436">
        <v>0.35</v>
      </c>
      <c r="S13" s="1436">
        <v>0.35</v>
      </c>
      <c r="T13" s="1436">
        <v>0.35</v>
      </c>
      <c r="AU13" s="1476" t="s">
        <v>413</v>
      </c>
      <c r="AV13" s="1481" t="str">
        <f>$AV$15&amp;"FY"</f>
        <v>0FY</v>
      </c>
      <c r="AW13" s="1474"/>
      <c r="AX13" s="1465"/>
      <c r="AY13" s="1465"/>
      <c r="AZ13" s="1465"/>
      <c r="BC13" s="1461"/>
      <c r="BD13" s="1439"/>
    </row>
    <row r="14" spans="1:84" ht="7.5" customHeight="1" x14ac:dyDescent="0.2">
      <c r="A14" s="1445"/>
      <c r="C14" s="1454"/>
      <c r="D14" s="1454"/>
      <c r="E14" s="1454"/>
      <c r="F14" s="1454"/>
      <c r="G14" s="1454"/>
      <c r="H14" s="1455"/>
      <c r="I14" s="1455"/>
      <c r="J14" s="1456"/>
      <c r="K14" s="1456"/>
      <c r="L14" s="1456"/>
      <c r="M14" s="1456"/>
      <c r="N14" s="1456"/>
      <c r="O14" s="1456"/>
      <c r="P14" s="1456"/>
      <c r="R14" s="1436"/>
      <c r="AU14" s="1482"/>
      <c r="AV14" s="1483"/>
      <c r="AW14" s="1484"/>
      <c r="BC14" s="1485"/>
      <c r="BD14" s="1439"/>
    </row>
    <row r="15" spans="1:84" ht="12" x14ac:dyDescent="0.15">
      <c r="A15" s="1445"/>
      <c r="B15" s="1433" t="s">
        <v>414</v>
      </c>
      <c r="C15" s="1433" t="s">
        <v>415</v>
      </c>
      <c r="D15" s="1451">
        <f t="shared" ref="D15:P15" si="2">+D6</f>
        <v>-7</v>
      </c>
      <c r="E15" s="1451">
        <f t="shared" si="2"/>
        <v>-6</v>
      </c>
      <c r="F15" s="1451">
        <f t="shared" si="2"/>
        <v>-5</v>
      </c>
      <c r="G15" s="1451">
        <f t="shared" si="2"/>
        <v>-4</v>
      </c>
      <c r="H15" s="1451">
        <f t="shared" si="2"/>
        <v>2012</v>
      </c>
      <c r="I15" s="1451">
        <f t="shared" si="2"/>
        <v>2013</v>
      </c>
      <c r="J15" s="1451">
        <f t="shared" si="2"/>
        <v>2014</v>
      </c>
      <c r="K15" s="1451">
        <f t="shared" si="2"/>
        <v>2015</v>
      </c>
      <c r="L15" s="1451">
        <f t="shared" si="2"/>
        <v>2016</v>
      </c>
      <c r="M15" s="1451">
        <f t="shared" si="2"/>
        <v>2017</v>
      </c>
      <c r="N15" s="1451">
        <f t="shared" si="2"/>
        <v>2018</v>
      </c>
      <c r="O15" s="1451">
        <f t="shared" si="2"/>
        <v>2019</v>
      </c>
      <c r="P15" s="1451">
        <f t="shared" si="2"/>
        <v>2020</v>
      </c>
      <c r="R15" s="1436"/>
      <c r="AU15" s="1476" t="s">
        <v>416</v>
      </c>
      <c r="AV15" s="1481">
        <f>IF(ISERROR($AV$18-YEAR($AV$19)),0,$AV$18-YEAR($AV$19))</f>
        <v>0</v>
      </c>
      <c r="AW15" s="1474"/>
      <c r="AX15" s="1465"/>
      <c r="AY15" s="1465"/>
      <c r="AZ15" s="1465"/>
      <c r="BC15" s="1486"/>
      <c r="BD15" s="1439"/>
    </row>
    <row r="16" spans="1:84" ht="11.25" customHeight="1" x14ac:dyDescent="0.2">
      <c r="A16" s="1445"/>
      <c r="C16" s="1454"/>
      <c r="D16" s="1454"/>
      <c r="E16" s="1454"/>
      <c r="F16" s="1454"/>
      <c r="G16" s="1454"/>
      <c r="H16" s="1487"/>
      <c r="I16" s="1487"/>
      <c r="J16" s="1488"/>
      <c r="K16" s="1488"/>
      <c r="L16" s="1488"/>
      <c r="M16" s="1488"/>
      <c r="N16" s="1488"/>
      <c r="O16" s="1488"/>
      <c r="P16" s="1488"/>
      <c r="R16" s="1436"/>
      <c r="AU16" s="1476" t="s">
        <v>417</v>
      </c>
      <c r="AV16" s="1489">
        <f>AV15-7</f>
        <v>-7</v>
      </c>
      <c r="AW16" s="1474"/>
      <c r="AX16" s="1465"/>
      <c r="AY16" s="1465"/>
      <c r="AZ16" s="1465"/>
      <c r="BC16" s="1485"/>
      <c r="BD16" s="1439"/>
    </row>
    <row r="17" spans="1:96" ht="15" customHeight="1" x14ac:dyDescent="0.15">
      <c r="A17" s="1445"/>
      <c r="B17" s="1490" t="s">
        <v>418</v>
      </c>
      <c r="C17" s="1491" t="s">
        <v>20</v>
      </c>
      <c r="D17" s="1492"/>
      <c r="E17" s="1492"/>
      <c r="F17" s="1492"/>
      <c r="G17" s="1492"/>
      <c r="H17" s="1488"/>
      <c r="I17" s="1488"/>
      <c r="J17" s="1488"/>
      <c r="K17" s="1488"/>
      <c r="L17" s="1488"/>
      <c r="M17" s="1488"/>
      <c r="N17" s="1488"/>
      <c r="O17" s="1488"/>
      <c r="P17" s="1488"/>
      <c r="R17" s="1436"/>
      <c r="AU17" s="1476" t="s">
        <v>419</v>
      </c>
      <c r="AV17" s="1493">
        <v>12</v>
      </c>
      <c r="AW17" s="1494">
        <v>12</v>
      </c>
      <c r="AX17" s="1465"/>
      <c r="AY17" s="1495"/>
      <c r="AZ17" s="1465"/>
      <c r="BC17" s="1496"/>
      <c r="BD17" s="1439"/>
    </row>
    <row r="18" spans="1:96" ht="10.5" customHeight="1" x14ac:dyDescent="0.2">
      <c r="A18" s="1445"/>
      <c r="C18" s="1454"/>
      <c r="D18" s="1454"/>
      <c r="E18" s="1454"/>
      <c r="F18" s="1454"/>
      <c r="G18" s="1454"/>
      <c r="H18" s="1455"/>
      <c r="I18" s="1455"/>
      <c r="J18" s="1456"/>
      <c r="K18" s="1456"/>
      <c r="L18" s="1456"/>
      <c r="M18" s="1456"/>
      <c r="N18" s="1456"/>
      <c r="O18" s="1456"/>
      <c r="P18" s="1456"/>
      <c r="R18" s="1436"/>
      <c r="AU18" s="1497" t="s">
        <v>420</v>
      </c>
      <c r="AV18" s="1498">
        <v>2014</v>
      </c>
      <c r="AW18" s="1474">
        <v>2014</v>
      </c>
      <c r="AZ18" s="1436">
        <v>0</v>
      </c>
      <c r="BC18" s="1485"/>
      <c r="BD18" s="1439"/>
    </row>
    <row r="19" spans="1:96" hidden="1" outlineLevel="1" x14ac:dyDescent="0.2">
      <c r="A19" s="1445"/>
      <c r="C19" s="1435" t="s">
        <v>555</v>
      </c>
      <c r="D19" s="1505">
        <v>34</v>
      </c>
      <c r="E19" s="1455">
        <v>25</v>
      </c>
      <c r="F19" s="1455">
        <v>26</v>
      </c>
      <c r="G19" s="1455">
        <v>26</v>
      </c>
      <c r="H19" s="1455">
        <v>28</v>
      </c>
      <c r="I19" s="1455">
        <v>34</v>
      </c>
      <c r="J19" s="1455">
        <v>41</v>
      </c>
      <c r="K19" s="1455">
        <v>34</v>
      </c>
      <c r="L19" s="1456">
        <f>K19+K19*(-(K8-J8))*K9*100</f>
        <v>34</v>
      </c>
      <c r="M19" s="1456">
        <f>L19+L19*(-(L8-K8))*L9*100</f>
        <v>34</v>
      </c>
      <c r="N19" s="1456">
        <f>M19+M19*(-(M8-L8))*M9*100</f>
        <v>34</v>
      </c>
      <c r="O19" s="1456">
        <f>N19+N19*(-(N8-M8))*N9*100</f>
        <v>34</v>
      </c>
      <c r="P19" s="1456">
        <f>O19+O19*(-(O8-N8))*O9*100</f>
        <v>34</v>
      </c>
      <c r="R19" s="1436"/>
      <c r="AJ19" s="1499" t="s">
        <v>421</v>
      </c>
      <c r="AU19" s="1500" t="s">
        <v>422</v>
      </c>
      <c r="AV19" s="1501">
        <v>42004</v>
      </c>
      <c r="AW19" s="1502" t="str">
        <f>_xll.ThomsonONEAddinShim.SpreadsheetFormulas.TF(Sedol,"TF.FN.FiscalYearEndDate(period=FY0)")</f>
        <v>#NAME?</v>
      </c>
      <c r="AX19" s="1452"/>
      <c r="AZ19" s="1436">
        <v>0</v>
      </c>
      <c r="BC19" s="1503" t="str">
        <f>_xll.ThomsonONEAddinShim.SpreadsheetFormulas.TF(Sedol,$AJ19,"dataDir=across",trSdate,trEdate,Currency_ISOcode)</f>
        <v>#NAME?</v>
      </c>
      <c r="BD19" s="1504">
        <v>26</v>
      </c>
      <c r="BE19" s="1505">
        <v>26</v>
      </c>
      <c r="BF19" s="1505">
        <v>28</v>
      </c>
      <c r="BG19" s="1505">
        <v>34</v>
      </c>
      <c r="BH19" s="1505">
        <v>41</v>
      </c>
      <c r="BI19" s="1505">
        <v>34</v>
      </c>
      <c r="BJ19" s="1505">
        <v>41</v>
      </c>
    </row>
    <row r="20" spans="1:96" hidden="1" outlineLevel="1" x14ac:dyDescent="0.2">
      <c r="A20" s="1445"/>
      <c r="C20" s="1435" t="s">
        <v>180</v>
      </c>
      <c r="D20" s="1505">
        <v>0</v>
      </c>
      <c r="E20" s="1455">
        <v>3</v>
      </c>
      <c r="F20" s="1455">
        <v>3</v>
      </c>
      <c r="G20" s="1455">
        <v>3</v>
      </c>
      <c r="H20" s="1455">
        <v>3</v>
      </c>
      <c r="I20" s="1455">
        <v>0</v>
      </c>
      <c r="J20" s="1455">
        <v>0</v>
      </c>
      <c r="K20" s="1455">
        <v>1</v>
      </c>
      <c r="L20" s="1456">
        <f>+K20</f>
        <v>1</v>
      </c>
      <c r="M20" s="1456">
        <f>+L20</f>
        <v>1</v>
      </c>
      <c r="N20" s="1456">
        <f>+M20</f>
        <v>1</v>
      </c>
      <c r="O20" s="1456">
        <f>+N20</f>
        <v>1</v>
      </c>
      <c r="P20" s="1456">
        <f>+O20</f>
        <v>1</v>
      </c>
      <c r="R20" s="1436"/>
      <c r="AJ20" s="1506" t="s">
        <v>423</v>
      </c>
      <c r="AU20" s="1507" t="s">
        <v>44</v>
      </c>
      <c r="BC20" s="1503" t="str">
        <f>_xll.ThomsonONEAddinShim.SpreadsheetFormulas.TF(Sedol,$AJ20,"dataDir=across",trSdate,trEdate,Currency_ISOcode)</f>
        <v>#NAME?</v>
      </c>
      <c r="BD20" s="1508">
        <v>3</v>
      </c>
      <c r="BE20" s="1505">
        <v>3</v>
      </c>
      <c r="BF20" s="1505">
        <v>3</v>
      </c>
      <c r="BG20" s="1505">
        <v>0</v>
      </c>
      <c r="BH20" s="1505">
        <v>0</v>
      </c>
      <c r="BI20" s="1505">
        <v>1</v>
      </c>
      <c r="BJ20" s="1505">
        <v>0</v>
      </c>
    </row>
    <row r="21" spans="1:96" hidden="1" outlineLevel="1" x14ac:dyDescent="0.2">
      <c r="A21" s="1445"/>
      <c r="C21" s="1435" t="s">
        <v>303</v>
      </c>
      <c r="D21" s="1505">
        <v>89</v>
      </c>
      <c r="E21" s="1455">
        <v>99</v>
      </c>
      <c r="F21" s="1455">
        <v>101</v>
      </c>
      <c r="G21" s="1455">
        <v>96</v>
      </c>
      <c r="H21" s="1455">
        <v>92</v>
      </c>
      <c r="I21" s="1455">
        <v>89</v>
      </c>
      <c r="J21" s="1455">
        <v>81</v>
      </c>
      <c r="K21" s="1455">
        <v>93</v>
      </c>
      <c r="L21" s="1456">
        <f>+K35*K8</f>
        <v>111.73399999999999</v>
      </c>
      <c r="M21" s="1456">
        <f>+L35*L8</f>
        <v>118.437764</v>
      </c>
      <c r="N21" s="1456">
        <f>+M35*M8</f>
        <v>125.44990114399998</v>
      </c>
      <c r="O21" s="1456">
        <f>+N35*N8</f>
        <v>132.78459659662397</v>
      </c>
      <c r="P21" s="1456">
        <f>+O35*O8</f>
        <v>140.45668804006868</v>
      </c>
      <c r="R21" s="1436"/>
      <c r="AJ21" s="1499" t="s">
        <v>424</v>
      </c>
      <c r="AU21" s="1439" t="s">
        <v>44</v>
      </c>
      <c r="AV21" s="1439">
        <f>MATCH($AU$20,AU21:AU22,0)</f>
        <v>1</v>
      </c>
      <c r="AW21" s="1439"/>
      <c r="BC21" s="1503" t="str">
        <f>_xll.ThomsonONEAddinShim.SpreadsheetFormulas.TF(Sedol,$AJ21,"dataDir=across",trSdate,trEdate,Currency_ISOcode)</f>
        <v>#NAME?</v>
      </c>
      <c r="BD21" s="1504">
        <v>101</v>
      </c>
      <c r="BE21" s="1505">
        <v>96</v>
      </c>
      <c r="BF21" s="1505">
        <v>92</v>
      </c>
      <c r="BG21" s="1505">
        <v>89</v>
      </c>
      <c r="BH21" s="1505">
        <v>81</v>
      </c>
      <c r="BI21" s="1505">
        <v>93</v>
      </c>
      <c r="BJ21" s="1505">
        <v>93</v>
      </c>
    </row>
    <row r="22" spans="1:96" hidden="1" outlineLevel="1" x14ac:dyDescent="0.2">
      <c r="A22" s="1445"/>
      <c r="C22" s="1435" t="s">
        <v>21</v>
      </c>
      <c r="D22" s="1505">
        <v>-138</v>
      </c>
      <c r="E22" s="1455">
        <v>-173</v>
      </c>
      <c r="F22" s="1455">
        <v>-154</v>
      </c>
      <c r="G22" s="1455">
        <v>-142</v>
      </c>
      <c r="H22" s="1455">
        <v>-140</v>
      </c>
      <c r="I22" s="1455">
        <v>-138</v>
      </c>
      <c r="J22" s="1455">
        <v>-142</v>
      </c>
      <c r="K22" s="1455">
        <v>-151</v>
      </c>
      <c r="L22" s="1456">
        <f>-K42*L11</f>
        <v>-178.7775</v>
      </c>
      <c r="M22" s="1456">
        <f>-L42*M11</f>
        <v>-193.52664375000003</v>
      </c>
      <c r="N22" s="1456">
        <f>-M42*N11</f>
        <v>-209.49259185937501</v>
      </c>
      <c r="O22" s="1456">
        <f>-N42*O11</f>
        <v>-226.77573068777346</v>
      </c>
      <c r="P22" s="1456">
        <f>-O42*P11</f>
        <v>-245.48472846951475</v>
      </c>
      <c r="R22" s="1436"/>
      <c r="AJ22" s="1506" t="s">
        <v>425</v>
      </c>
      <c r="AU22" s="1448" t="s">
        <v>426</v>
      </c>
      <c r="AV22" s="1448"/>
      <c r="AW22" s="1448"/>
      <c r="AX22" s="1448"/>
      <c r="BC22" s="1503" t="str">
        <f>_xll.ThomsonONEAddinShim.SpreadsheetFormulas.TF(Sedol,$AJ22,"dataDir=across",trSdate,trEdate,Currency_ISOcode)</f>
        <v>#NAME?</v>
      </c>
      <c r="BD22" s="1508">
        <v>-154</v>
      </c>
      <c r="BE22" s="1505">
        <v>-142</v>
      </c>
      <c r="BF22" s="1505">
        <v>-140</v>
      </c>
      <c r="BG22" s="1505">
        <v>-138</v>
      </c>
      <c r="BH22" s="1505">
        <v>-142</v>
      </c>
      <c r="BI22" s="1505">
        <v>-151</v>
      </c>
      <c r="BJ22" s="1505">
        <v>-165</v>
      </c>
    </row>
    <row r="23" spans="1:96" s="1437" customFormat="1" ht="12.75" hidden="1" customHeight="1" outlineLevel="1" x14ac:dyDescent="0.2">
      <c r="A23" s="1445"/>
      <c r="B23" s="1446"/>
      <c r="C23" s="1442" t="s">
        <v>427</v>
      </c>
      <c r="D23" s="1487">
        <f t="shared" ref="D23:K23" si="3">IF(ISNUMBER(D26-SUM(D19:D22)),D26-SUM(D19:D22),0)</f>
        <v>75</v>
      </c>
      <c r="E23" s="1487">
        <f t="shared" si="3"/>
        <v>7</v>
      </c>
      <c r="F23" s="1487">
        <f t="shared" si="3"/>
        <v>25</v>
      </c>
      <c r="G23" s="1487">
        <f t="shared" si="3"/>
        <v>48</v>
      </c>
      <c r="H23" s="1509">
        <f t="shared" si="3"/>
        <v>67</v>
      </c>
      <c r="I23" s="1509">
        <f t="shared" si="3"/>
        <v>75</v>
      </c>
      <c r="J23" s="1509">
        <f t="shared" si="3"/>
        <v>89</v>
      </c>
      <c r="K23" s="1509">
        <f t="shared" si="3"/>
        <v>54</v>
      </c>
      <c r="L23" s="1455">
        <f>((L32+(-L22-K42*L12)))</f>
        <v>0</v>
      </c>
      <c r="M23" s="1455">
        <f>((M32+(-M22-L42*M12)))</f>
        <v>0</v>
      </c>
      <c r="N23" s="1455">
        <f>((N32+(-N22-M42*N12)))</f>
        <v>0</v>
      </c>
      <c r="O23" s="1455">
        <f>((O32+(-O22-N42*O12)))</f>
        <v>0</v>
      </c>
      <c r="P23" s="1455">
        <f>((P32+(-P22-O42*P12)))</f>
        <v>0</v>
      </c>
      <c r="Q23" s="1510"/>
      <c r="R23" s="1511"/>
      <c r="S23" s="1511"/>
      <c r="X23"/>
      <c r="Y23"/>
      <c r="Z23"/>
      <c r="AA23"/>
      <c r="AB23"/>
      <c r="AC23"/>
      <c r="AD23"/>
      <c r="AE23"/>
      <c r="AF23"/>
      <c r="AJ23" s="1506"/>
      <c r="AR23" s="1512" t="s">
        <v>349</v>
      </c>
      <c r="BC23" s="1438"/>
      <c r="BD23" s="1506"/>
    </row>
    <row r="24" spans="1:96" s="1437" customFormat="1" outlineLevel="1" x14ac:dyDescent="0.2">
      <c r="A24" s="1445"/>
      <c r="B24" s="1446"/>
      <c r="C24" s="1442" t="s">
        <v>350</v>
      </c>
      <c r="D24" s="1455">
        <f t="shared" ref="D24:K24" si="4">IF(ISERROR(D26-SUM(D19:D22)),0,D26-SUM(D19:D22))</f>
        <v>75</v>
      </c>
      <c r="E24" s="1455">
        <f t="shared" si="4"/>
        <v>7</v>
      </c>
      <c r="F24" s="1455">
        <f t="shared" si="4"/>
        <v>25</v>
      </c>
      <c r="G24" s="1455">
        <f t="shared" si="4"/>
        <v>48</v>
      </c>
      <c r="H24" s="1455">
        <f t="shared" si="4"/>
        <v>67</v>
      </c>
      <c r="I24" s="1455">
        <f t="shared" si="4"/>
        <v>75</v>
      </c>
      <c r="J24" s="1455">
        <f t="shared" si="4"/>
        <v>89</v>
      </c>
      <c r="K24" s="1455">
        <f t="shared" si="4"/>
        <v>54</v>
      </c>
      <c r="L24" s="1455">
        <f>K24+((K32+(-K22-J42*K12))/K10)</f>
        <v>85.4</v>
      </c>
      <c r="M24" s="1455">
        <f>L24+((L32+(-L22-K42*L12))/L10)</f>
        <v>85.4</v>
      </c>
      <c r="N24" s="1455">
        <f>M24+((M32+(-M22-L42*M12))/M10)</f>
        <v>85.4</v>
      </c>
      <c r="O24" s="1455">
        <f>N24+((N32+(-N22-M42*N12))/N10)</f>
        <v>85.4</v>
      </c>
      <c r="P24" s="1455">
        <f>O24+((O32+(-O22-N42*O12))/O10)</f>
        <v>85.4</v>
      </c>
      <c r="Q24" s="1435">
        <v>0</v>
      </c>
      <c r="R24" s="1435" t="b">
        <v>0</v>
      </c>
      <c r="X24"/>
      <c r="Y24"/>
      <c r="Z24"/>
      <c r="AA24"/>
      <c r="AB24"/>
      <c r="AC24"/>
      <c r="AD24" s="1435" t="str">
        <f>"ISO4217:"&amp;Pension!$AM$186</f>
        <v>ISO4217:USD</v>
      </c>
      <c r="AE24" s="1435" t="b">
        <v>1</v>
      </c>
      <c r="AF24" s="1435" t="b">
        <v>0</v>
      </c>
      <c r="AJ24" s="1506"/>
      <c r="AR24" s="1437" t="s">
        <v>349</v>
      </c>
      <c r="BC24" s="1503"/>
      <c r="BD24" s="1506"/>
    </row>
    <row r="25" spans="1:96" x14ac:dyDescent="0.2">
      <c r="A25" s="1445"/>
      <c r="C25" s="1514" t="s">
        <v>352</v>
      </c>
      <c r="D25" s="1515">
        <f t="shared" ref="D25:J25" si="5">CHOOSE(dropDown,SUM(D19:D22)+D24,SUM(D19:D23))</f>
        <v>60</v>
      </c>
      <c r="E25" s="1515">
        <f t="shared" si="5"/>
        <v>-39</v>
      </c>
      <c r="F25" s="1515">
        <f t="shared" si="5"/>
        <v>1</v>
      </c>
      <c r="G25" s="1515">
        <f t="shared" si="5"/>
        <v>31</v>
      </c>
      <c r="H25" s="1515">
        <f t="shared" si="5"/>
        <v>50</v>
      </c>
      <c r="I25" s="1515">
        <f t="shared" si="5"/>
        <v>60</v>
      </c>
      <c r="J25" s="1515">
        <f t="shared" si="5"/>
        <v>69</v>
      </c>
      <c r="K25" s="1515">
        <f t="shared" ref="K25:P25" si="6">CHOOSE(dropDown,SUM(K19:K22)+K24,SUM(K19:K23))</f>
        <v>31</v>
      </c>
      <c r="L25" s="1516">
        <f t="shared" si="6"/>
        <v>53.356499999999983</v>
      </c>
      <c r="M25" s="1516">
        <f t="shared" si="6"/>
        <v>45.311120249999988</v>
      </c>
      <c r="N25" s="1516">
        <f t="shared" si="6"/>
        <v>36.357309284624961</v>
      </c>
      <c r="O25" s="1516">
        <f t="shared" si="6"/>
        <v>26.408865908850515</v>
      </c>
      <c r="P25" s="1516">
        <f t="shared" si="6"/>
        <v>15.37195957055394</v>
      </c>
      <c r="R25" s="1436"/>
      <c r="AJ25" s="1506"/>
      <c r="AR25" s="1513" t="s">
        <v>351</v>
      </c>
      <c r="AS25" s="1488">
        <v>6</v>
      </c>
      <c r="AT25" s="1435" t="str">
        <f>"ISO4217:"&amp;Pension!$AM$186</f>
        <v>ISO4217:USD</v>
      </c>
      <c r="AU25" s="1435" t="b">
        <v>1</v>
      </c>
      <c r="AV25" s="1435" t="b">
        <v>0</v>
      </c>
      <c r="BC25" s="1517"/>
      <c r="BD25" s="1506"/>
    </row>
    <row r="26" spans="1:96" x14ac:dyDescent="0.2">
      <c r="A26" s="1445"/>
      <c r="C26" s="1454"/>
      <c r="D26" s="1505">
        <v>60</v>
      </c>
      <c r="E26" s="1519">
        <v>-39</v>
      </c>
      <c r="F26" s="1519">
        <v>1</v>
      </c>
      <c r="G26" s="1519">
        <v>31</v>
      </c>
      <c r="H26" s="1520">
        <v>50</v>
      </c>
      <c r="I26" s="1518">
        <v>60</v>
      </c>
      <c r="J26" s="1521">
        <v>69</v>
      </c>
      <c r="K26" s="1521">
        <v>31</v>
      </c>
      <c r="L26" s="1521"/>
      <c r="M26" s="1521"/>
      <c r="N26" s="1521"/>
      <c r="O26" s="1521"/>
      <c r="P26" s="1521"/>
      <c r="R26" s="1436"/>
      <c r="AJ26" s="1506" t="s">
        <v>353</v>
      </c>
      <c r="BC26" s="1522" t="str">
        <f>_xll.ThomsonONEAddinShim.SpreadsheetFormulas.TF(Sedol,$AJ26,"dataDir=across",trSdate,trEdate,Currency_ISOcode)</f>
        <v>#NAME?</v>
      </c>
      <c r="BD26" s="1508">
        <v>1</v>
      </c>
      <c r="BE26" s="1505">
        <v>31</v>
      </c>
      <c r="BF26" s="1505">
        <v>50</v>
      </c>
      <c r="BG26" s="1505">
        <v>60</v>
      </c>
      <c r="BH26" s="1505">
        <v>69</v>
      </c>
      <c r="BI26" s="1505">
        <v>31</v>
      </c>
      <c r="BJ26" s="1505">
        <v>34</v>
      </c>
      <c r="BY26" s="1523" t="s">
        <v>354</v>
      </c>
      <c r="BZ26" s="1436">
        <f>BZ38</f>
        <v>2012</v>
      </c>
      <c r="CA26" s="1436">
        <f>CA38</f>
        <v>2013</v>
      </c>
      <c r="CB26" s="1436">
        <f>CB38</f>
        <v>2014</v>
      </c>
      <c r="CC26" s="1436">
        <f>CC38</f>
        <v>2015</v>
      </c>
    </row>
    <row r="27" spans="1:96" ht="12" x14ac:dyDescent="0.15">
      <c r="A27" s="1445"/>
      <c r="B27" s="1490" t="s">
        <v>355</v>
      </c>
      <c r="C27" s="1491" t="s">
        <v>196</v>
      </c>
      <c r="D27" s="1492"/>
      <c r="E27" s="1492"/>
      <c r="F27" s="1492"/>
      <c r="G27" s="1492"/>
      <c r="H27" s="1455"/>
      <c r="I27" s="1455"/>
      <c r="J27" s="1456"/>
      <c r="K27" s="1456"/>
      <c r="L27" s="1456"/>
      <c r="M27" s="1456"/>
      <c r="N27" s="1456"/>
      <c r="O27" s="1456"/>
      <c r="P27" s="1456"/>
      <c r="R27" s="1436"/>
      <c r="BC27" s="1496"/>
      <c r="BD27" s="1439"/>
      <c r="BY27" s="1437" t="s">
        <v>307</v>
      </c>
      <c r="BZ27" s="1524">
        <v>0.73</v>
      </c>
      <c r="CA27" s="1524">
        <v>0.74</v>
      </c>
      <c r="CB27" s="1524">
        <v>0.76</v>
      </c>
      <c r="CC27" s="1524">
        <v>0.73</v>
      </c>
      <c r="CD27" s="1507"/>
      <c r="CE27" s="1525"/>
      <c r="CF27" s="1525"/>
      <c r="CG27" s="1525"/>
      <c r="CR27" s="1526" t="s">
        <v>230</v>
      </c>
    </row>
    <row r="28" spans="1:96" ht="7.5" customHeight="1" x14ac:dyDescent="0.2">
      <c r="A28" s="1445"/>
      <c r="C28" s="1454"/>
      <c r="D28" s="1454"/>
      <c r="E28" s="1454"/>
      <c r="F28" s="1454"/>
      <c r="G28" s="1454"/>
      <c r="H28" s="1455"/>
      <c r="I28" s="1455"/>
      <c r="J28" s="1456"/>
      <c r="K28" s="1456"/>
      <c r="L28" s="1456"/>
      <c r="M28" s="1456"/>
      <c r="N28" s="1456"/>
      <c r="O28" s="1456"/>
      <c r="P28" s="1456"/>
      <c r="R28" s="1436"/>
      <c r="BC28" s="1485"/>
      <c r="BD28" s="1439"/>
      <c r="BY28" s="1437" t="s">
        <v>308</v>
      </c>
      <c r="BZ28" s="1524">
        <v>0.25</v>
      </c>
      <c r="CA28" s="1524">
        <v>0.24</v>
      </c>
      <c r="CB28" s="1524">
        <v>0.2</v>
      </c>
      <c r="CC28" s="1524">
        <v>0.25</v>
      </c>
      <c r="CD28" s="1507"/>
      <c r="CE28" s="1525"/>
      <c r="CF28" s="1525"/>
      <c r="CG28" s="1525"/>
      <c r="CR28" s="1526" t="s">
        <v>231</v>
      </c>
    </row>
    <row r="29" spans="1:96" hidden="1" outlineLevel="1" x14ac:dyDescent="0.2">
      <c r="A29" s="1445"/>
      <c r="C29" s="1435" t="s">
        <v>356</v>
      </c>
      <c r="D29" s="1436"/>
      <c r="E29" s="1455">
        <f t="shared" ref="E29:J29" si="7">D35</f>
        <v>2285</v>
      </c>
      <c r="F29" s="1455">
        <f t="shared" si="7"/>
        <v>1670</v>
      </c>
      <c r="G29" s="1455">
        <f t="shared" si="7"/>
        <v>1696</v>
      </c>
      <c r="H29" s="1455">
        <f t="shared" si="7"/>
        <v>1813</v>
      </c>
      <c r="I29" s="1455">
        <f t="shared" si="7"/>
        <v>2027</v>
      </c>
      <c r="J29" s="1455">
        <f t="shared" si="7"/>
        <v>2285</v>
      </c>
      <c r="K29" s="1455">
        <f>J35</f>
        <v>2091</v>
      </c>
      <c r="L29" s="1455">
        <f>+K35</f>
        <v>2429</v>
      </c>
      <c r="M29" s="1455">
        <f>+L35</f>
        <v>2574.7339999999999</v>
      </c>
      <c r="N29" s="1455">
        <f>+M35</f>
        <v>2727.1717639999997</v>
      </c>
      <c r="O29" s="1455">
        <f>+N35</f>
        <v>2886.6216651439995</v>
      </c>
      <c r="P29" s="1455">
        <f>+O35</f>
        <v>3053.4062617406234</v>
      </c>
      <c r="R29" s="1436"/>
      <c r="AJ29" s="1526" t="s">
        <v>634</v>
      </c>
      <c r="BC29" s="1503" t="str">
        <f>_xll.ThomsonONEAddinShim.SpreadsheetFormulas.TF(Sedol,$AJ29,,$AV$11,Currency_ISOcode)</f>
        <v>#NAME?</v>
      </c>
      <c r="BD29" s="1526"/>
      <c r="BY29" s="1437" t="s">
        <v>309</v>
      </c>
      <c r="BZ29" s="1524">
        <v>0</v>
      </c>
      <c r="CA29" s="1524">
        <v>0</v>
      </c>
      <c r="CB29" s="1524">
        <v>0</v>
      </c>
      <c r="CC29" s="1524">
        <v>0</v>
      </c>
      <c r="CD29" s="1507"/>
      <c r="CE29" s="1525"/>
      <c r="CF29" s="1525"/>
      <c r="CG29" s="1525"/>
      <c r="CR29" s="1526" t="s">
        <v>286</v>
      </c>
    </row>
    <row r="30" spans="1:96" hidden="1" outlineLevel="1" x14ac:dyDescent="0.2">
      <c r="A30" s="1445"/>
      <c r="C30" s="1435" t="s">
        <v>555</v>
      </c>
      <c r="D30" s="1455">
        <f t="shared" ref="D30:K30" si="8">D19</f>
        <v>34</v>
      </c>
      <c r="E30" s="1455">
        <f t="shared" si="8"/>
        <v>25</v>
      </c>
      <c r="F30" s="1455">
        <f t="shared" si="8"/>
        <v>26</v>
      </c>
      <c r="G30" s="1455">
        <f t="shared" si="8"/>
        <v>26</v>
      </c>
      <c r="H30" s="1455">
        <f t="shared" si="8"/>
        <v>28</v>
      </c>
      <c r="I30" s="1455">
        <f t="shared" si="8"/>
        <v>34</v>
      </c>
      <c r="J30" s="1455">
        <f t="shared" si="8"/>
        <v>41</v>
      </c>
      <c r="K30" s="1455">
        <f t="shared" si="8"/>
        <v>34</v>
      </c>
      <c r="L30" s="1455">
        <f>+L19</f>
        <v>34</v>
      </c>
      <c r="M30" s="1455">
        <f>+M19</f>
        <v>34</v>
      </c>
      <c r="N30" s="1455">
        <f>+N19</f>
        <v>34</v>
      </c>
      <c r="O30" s="1455">
        <f>+O19</f>
        <v>34</v>
      </c>
      <c r="P30" s="1455">
        <f>+P19</f>
        <v>34</v>
      </c>
      <c r="R30" s="1436"/>
      <c r="BC30" s="1503"/>
      <c r="BD30" s="1439"/>
      <c r="BY30" s="1437" t="s">
        <v>310</v>
      </c>
      <c r="BZ30" s="1524">
        <v>0.02</v>
      </c>
      <c r="CA30" s="1524">
        <v>0.02</v>
      </c>
      <c r="CB30" s="1524">
        <v>0.04</v>
      </c>
      <c r="CC30" s="1524">
        <v>0.02</v>
      </c>
      <c r="CD30" s="1507"/>
      <c r="CE30" s="1525"/>
      <c r="CF30" s="1525"/>
      <c r="CG30" s="1525"/>
      <c r="CR30" s="1526" t="s">
        <v>326</v>
      </c>
    </row>
    <row r="31" spans="1:96" hidden="1" outlineLevel="1" x14ac:dyDescent="0.2">
      <c r="A31" s="1445"/>
      <c r="C31" s="1435" t="s">
        <v>303</v>
      </c>
      <c r="D31" s="1455">
        <f t="shared" ref="D31:K31" si="9">D21</f>
        <v>89</v>
      </c>
      <c r="E31" s="1455">
        <f t="shared" si="9"/>
        <v>99</v>
      </c>
      <c r="F31" s="1455">
        <f t="shared" si="9"/>
        <v>101</v>
      </c>
      <c r="G31" s="1455">
        <f t="shared" si="9"/>
        <v>96</v>
      </c>
      <c r="H31" s="1455">
        <f t="shared" si="9"/>
        <v>92</v>
      </c>
      <c r="I31" s="1455">
        <f t="shared" si="9"/>
        <v>89</v>
      </c>
      <c r="J31" s="1455">
        <f t="shared" si="9"/>
        <v>81</v>
      </c>
      <c r="K31" s="1455">
        <f t="shared" si="9"/>
        <v>93</v>
      </c>
      <c r="L31" s="1455">
        <f>+L21</f>
        <v>111.73399999999999</v>
      </c>
      <c r="M31" s="1455">
        <f>+M21</f>
        <v>118.437764</v>
      </c>
      <c r="N31" s="1455">
        <f>+N21</f>
        <v>125.44990114399998</v>
      </c>
      <c r="O31" s="1455">
        <f>+O21</f>
        <v>132.78459659662397</v>
      </c>
      <c r="P31" s="1455">
        <f>+P21</f>
        <v>140.45668804006868</v>
      </c>
      <c r="R31" s="1436"/>
      <c r="BC31" s="1503"/>
      <c r="BD31" s="1439"/>
      <c r="BY31" s="1523" t="s">
        <v>305</v>
      </c>
      <c r="BZ31" s="1527">
        <f>SUM(BZ27:BZ30)</f>
        <v>1</v>
      </c>
      <c r="CA31" s="1527">
        <f>SUM(CA27:CA30)</f>
        <v>1</v>
      </c>
      <c r="CB31" s="1527">
        <f>SUM(CB27:CB30)</f>
        <v>1</v>
      </c>
      <c r="CC31" s="1527">
        <f>SUM(CC27:CC30)</f>
        <v>1</v>
      </c>
      <c r="CD31" s="1527"/>
      <c r="CE31" s="1527"/>
      <c r="CF31" s="1527"/>
      <c r="CG31" s="1527"/>
    </row>
    <row r="32" spans="1:96" hidden="1" outlineLevel="1" x14ac:dyDescent="0.2">
      <c r="A32" s="1445"/>
      <c r="C32" s="1435" t="s">
        <v>635</v>
      </c>
      <c r="D32" s="1528"/>
      <c r="E32" s="1528"/>
      <c r="F32" s="1528"/>
      <c r="G32" s="1528"/>
      <c r="H32" s="1528"/>
      <c r="I32" s="1529"/>
      <c r="J32" s="1529"/>
      <c r="K32" s="1529"/>
      <c r="L32" s="1455">
        <f>K35*(-(L8-K8))*L9*100</f>
        <v>0</v>
      </c>
      <c r="M32" s="1455">
        <f>L35*(-(M8-L8))*M9</f>
        <v>0</v>
      </c>
      <c r="N32" s="1455">
        <f>M35*(-(N8-M8))*N9</f>
        <v>0</v>
      </c>
      <c r="O32" s="1455">
        <f>N35*(-(O8-N8))*O9</f>
        <v>0</v>
      </c>
      <c r="P32" s="1455">
        <f>O35*(-(P8-O8))*P9</f>
        <v>0</v>
      </c>
      <c r="R32" s="1436"/>
      <c r="BC32" s="1455"/>
      <c r="BD32" s="1439"/>
      <c r="CD32" s="1530"/>
      <c r="CE32" s="1530"/>
      <c r="CF32" s="1530"/>
    </row>
    <row r="33" spans="1:99" hidden="1" outlineLevel="1" x14ac:dyDescent="0.2">
      <c r="A33" s="1445"/>
      <c r="C33" s="1435" t="s">
        <v>197</v>
      </c>
      <c r="D33" s="1528"/>
      <c r="E33" s="1528"/>
      <c r="F33" s="1528"/>
      <c r="G33" s="1528"/>
      <c r="H33" s="1529"/>
      <c r="I33" s="1529"/>
      <c r="J33" s="1529"/>
      <c r="K33" s="1529"/>
      <c r="L33" s="1455">
        <f>+K33</f>
        <v>0</v>
      </c>
      <c r="M33" s="1455">
        <f>+L33</f>
        <v>0</v>
      </c>
      <c r="N33" s="1455">
        <f>+M33</f>
        <v>0</v>
      </c>
      <c r="O33" s="1455">
        <f>+N33</f>
        <v>0</v>
      </c>
      <c r="P33" s="1455">
        <f>+O33</f>
        <v>0</v>
      </c>
      <c r="R33" s="1436"/>
      <c r="AN33" s="1437"/>
      <c r="BC33" s="1455"/>
      <c r="BD33" s="1439"/>
    </row>
    <row r="34" spans="1:99" hidden="1" outlineLevel="1" x14ac:dyDescent="0.2">
      <c r="A34" s="1445"/>
      <c r="C34" s="1435" t="s">
        <v>654</v>
      </c>
      <c r="D34" s="1455">
        <f t="shared" ref="D34:K34" si="10">IF(ISNUMBER(D35-SUM(D29:D33)),D35-SUM(D29:D33),0)</f>
        <v>2162</v>
      </c>
      <c r="E34" s="1455">
        <f t="shared" si="10"/>
        <v>-739</v>
      </c>
      <c r="F34" s="1455">
        <f t="shared" si="10"/>
        <v>-101</v>
      </c>
      <c r="G34" s="1455">
        <f t="shared" si="10"/>
        <v>-5</v>
      </c>
      <c r="H34" s="1455">
        <f t="shared" si="10"/>
        <v>94</v>
      </c>
      <c r="I34" s="1455">
        <f t="shared" si="10"/>
        <v>135</v>
      </c>
      <c r="J34" s="1455">
        <f t="shared" si="10"/>
        <v>-316</v>
      </c>
      <c r="K34" s="1455">
        <f t="shared" si="10"/>
        <v>211</v>
      </c>
      <c r="L34" s="1455">
        <v>0</v>
      </c>
      <c r="M34" s="1455">
        <v>0</v>
      </c>
      <c r="N34" s="1455">
        <v>0</v>
      </c>
      <c r="O34" s="1455">
        <v>0</v>
      </c>
      <c r="P34" s="1455">
        <v>0</v>
      </c>
      <c r="R34" s="1436"/>
      <c r="BC34" s="1503"/>
      <c r="BD34" s="1439"/>
    </row>
    <row r="35" spans="1:99" collapsed="1" x14ac:dyDescent="0.2">
      <c r="A35" s="1445"/>
      <c r="C35" s="1514" t="s">
        <v>636</v>
      </c>
      <c r="D35" s="1505">
        <v>2285</v>
      </c>
      <c r="E35" s="1515">
        <v>1670</v>
      </c>
      <c r="F35" s="1515">
        <v>1696</v>
      </c>
      <c r="G35" s="1515">
        <v>1813</v>
      </c>
      <c r="H35" s="1515">
        <v>2027</v>
      </c>
      <c r="I35" s="1515">
        <v>2285</v>
      </c>
      <c r="J35" s="1515">
        <v>2091</v>
      </c>
      <c r="K35" s="1515">
        <v>2429</v>
      </c>
      <c r="L35" s="1515">
        <f>SUM(L29:L34)</f>
        <v>2574.7339999999999</v>
      </c>
      <c r="M35" s="1515">
        <f>SUM(M29:M34)</f>
        <v>2727.1717639999997</v>
      </c>
      <c r="N35" s="1515">
        <f>SUM(N29:N34)</f>
        <v>2886.6216651439995</v>
      </c>
      <c r="O35" s="1515">
        <f>SUM(O29:O34)</f>
        <v>3053.4062617406234</v>
      </c>
      <c r="P35" s="1515">
        <f>SUM(P29:P34)</f>
        <v>3227.8629497806924</v>
      </c>
      <c r="Q35" s="1531"/>
      <c r="R35" s="1436"/>
      <c r="AJ35" s="1526" t="s">
        <v>642</v>
      </c>
      <c r="BC35" s="1517" t="str">
        <f>_xll.ThomsonONEAddinShim.SpreadsheetFormulas.TF(Sedol,$AJ35,"dataDir=across",trSdate,trEdate,Currency_ISOcode)</f>
        <v>#NAME?</v>
      </c>
      <c r="BD35" s="1532">
        <v>1696</v>
      </c>
      <c r="BE35" s="1505">
        <v>1813</v>
      </c>
      <c r="BF35" s="1505">
        <v>2027</v>
      </c>
      <c r="BG35" s="1505">
        <v>2285</v>
      </c>
      <c r="BH35" s="1505">
        <v>2091</v>
      </c>
      <c r="BI35" s="1505">
        <v>2429</v>
      </c>
      <c r="BJ35" s="1505">
        <v>2372</v>
      </c>
    </row>
    <row r="36" spans="1:99" x14ac:dyDescent="0.2">
      <c r="A36" s="1445"/>
      <c r="C36" s="1454"/>
      <c r="D36" s="1454"/>
      <c r="E36" s="1454"/>
      <c r="F36" s="1454"/>
      <c r="G36" s="1454"/>
      <c r="H36" s="1455"/>
      <c r="I36" s="1455"/>
      <c r="J36" s="1456"/>
      <c r="K36" s="1456"/>
      <c r="L36" s="1456"/>
      <c r="M36" s="1456"/>
      <c r="N36" s="1456"/>
      <c r="O36" s="1456"/>
      <c r="P36" s="1456"/>
      <c r="R36" s="1436"/>
      <c r="BC36" s="1485"/>
      <c r="BD36" s="1439"/>
    </row>
    <row r="37" spans="1:99" hidden="1" outlineLevel="1" x14ac:dyDescent="0.2">
      <c r="A37" s="1445"/>
      <c r="C37" s="1435" t="s">
        <v>465</v>
      </c>
      <c r="D37" s="1436"/>
      <c r="E37" s="1455">
        <f t="shared" ref="E37:K37" si="11">D42</f>
        <v>1791</v>
      </c>
      <c r="F37" s="1455">
        <f t="shared" si="11"/>
        <v>1333</v>
      </c>
      <c r="G37" s="1455">
        <f t="shared" si="11"/>
        <v>1542</v>
      </c>
      <c r="H37" s="1455">
        <f t="shared" si="11"/>
        <v>1756</v>
      </c>
      <c r="I37" s="1455">
        <f t="shared" si="11"/>
        <v>1670</v>
      </c>
      <c r="J37" s="1455">
        <f t="shared" si="11"/>
        <v>1791</v>
      </c>
      <c r="K37" s="1455">
        <f t="shared" si="11"/>
        <v>2115</v>
      </c>
      <c r="L37" s="1455">
        <f>+K42</f>
        <v>2167</v>
      </c>
      <c r="M37" s="1455">
        <f>+L42</f>
        <v>2345.7775000000001</v>
      </c>
      <c r="N37" s="1455">
        <f>+M42</f>
        <v>2539.3041437500001</v>
      </c>
      <c r="O37" s="1455">
        <f>+N42</f>
        <v>2748.796735609375</v>
      </c>
      <c r="P37" s="1455">
        <f>+O42</f>
        <v>2975.5724662971484</v>
      </c>
      <c r="R37" s="1436"/>
      <c r="AJ37" s="1526" t="s">
        <v>237</v>
      </c>
      <c r="BC37" s="1503" t="str">
        <f>_xll.ThomsonONEAddinShim.SpreadsheetFormulas.TF(Sedol,$AJ37,,$AV$11,Currency_ISOcode)</f>
        <v>#NAME?</v>
      </c>
      <c r="BD37" s="1526"/>
    </row>
    <row r="38" spans="1:99" hidden="1" outlineLevel="1" x14ac:dyDescent="0.2">
      <c r="A38" s="1445"/>
      <c r="C38" s="1435" t="s">
        <v>466</v>
      </c>
      <c r="D38" s="1505">
        <v>227</v>
      </c>
      <c r="E38" s="1533">
        <v>-531</v>
      </c>
      <c r="F38" s="1533">
        <v>307</v>
      </c>
      <c r="G38" s="1533">
        <v>216</v>
      </c>
      <c r="H38" s="1533">
        <v>18</v>
      </c>
      <c r="I38" s="1455">
        <v>227</v>
      </c>
      <c r="J38" s="1456">
        <v>-432</v>
      </c>
      <c r="K38" s="1456">
        <v>-163</v>
      </c>
      <c r="L38" s="1456">
        <f>IF(ISERROR(((K42+0.5*L39)*L12)),"",((K42+0.5*L39)*L12))</f>
        <v>178.7775</v>
      </c>
      <c r="M38" s="1456">
        <f>IF(ISERROR(((L42+0.5*M39)*M12)),"",((L42+0.5*M39)*M12))</f>
        <v>193.52664375000003</v>
      </c>
      <c r="N38" s="1456">
        <f>IF(ISERROR(((M42+0.5*N39)*N12)),"",((M42+0.5*N39)*N12))</f>
        <v>209.49259185937501</v>
      </c>
      <c r="O38" s="1456">
        <f>IF(ISERROR(((N42+0.5*O39)*O12)),"",((N42+0.5*O39)*O12))</f>
        <v>226.77573068777346</v>
      </c>
      <c r="P38" s="1456">
        <f>IF(ISERROR(((O42+0.5*P39)*P12)),"",((O42+0.5*P39)*P12))</f>
        <v>245.48472846951475</v>
      </c>
      <c r="Q38" s="1531"/>
      <c r="R38" s="1436"/>
      <c r="AJ38" s="1526" t="s">
        <v>238</v>
      </c>
      <c r="AN38" s="1437"/>
      <c r="BC38" s="1503" t="str">
        <f>_xll.ThomsonONEAddinShim.SpreadsheetFormulas.TF(Sedol,$AJ38,"dataDir=across",trSdate,trEdate,Currency_ISOcode)</f>
        <v>#NAME?</v>
      </c>
      <c r="BD38" s="1532">
        <v>307</v>
      </c>
      <c r="BE38" s="1505">
        <v>216</v>
      </c>
      <c r="BF38" s="1505">
        <v>18</v>
      </c>
      <c r="BG38" s="1505">
        <v>227</v>
      </c>
      <c r="BH38" s="1505">
        <v>-432</v>
      </c>
      <c r="BI38" s="1505">
        <v>-163</v>
      </c>
      <c r="BJ38" s="1505">
        <v>14</v>
      </c>
      <c r="BY38" s="1523" t="s">
        <v>467</v>
      </c>
      <c r="BZ38" s="1534">
        <f t="shared" ref="BZ38:CF38" si="12">H6</f>
        <v>2012</v>
      </c>
      <c r="CA38" s="1534">
        <f t="shared" si="12"/>
        <v>2013</v>
      </c>
      <c r="CB38" s="1534">
        <f t="shared" si="12"/>
        <v>2014</v>
      </c>
      <c r="CC38" s="1534">
        <f t="shared" si="12"/>
        <v>2015</v>
      </c>
      <c r="CD38" s="1534">
        <f t="shared" si="12"/>
        <v>2016</v>
      </c>
      <c r="CE38" s="1534">
        <f t="shared" si="12"/>
        <v>2017</v>
      </c>
      <c r="CF38" s="1534">
        <f t="shared" si="12"/>
        <v>2018</v>
      </c>
      <c r="CG38" s="1534"/>
      <c r="CH38" s="1534"/>
      <c r="CI38" s="1534"/>
      <c r="CJ38" s="1534"/>
      <c r="CK38" s="1534"/>
      <c r="CL38" s="1534"/>
      <c r="CM38" s="1534"/>
      <c r="CN38" s="1534"/>
      <c r="CO38" s="1534"/>
      <c r="CP38" s="1534"/>
      <c r="CQ38" s="1534"/>
      <c r="CR38" s="1534"/>
      <c r="CS38" s="1534"/>
      <c r="CT38" s="1534"/>
      <c r="CU38" s="1534"/>
    </row>
    <row r="39" spans="1:99" hidden="1" outlineLevel="1" x14ac:dyDescent="0.2">
      <c r="A39" s="1445"/>
      <c r="C39" s="1435" t="s">
        <v>468</v>
      </c>
      <c r="D39" s="1529"/>
      <c r="E39" s="1529"/>
      <c r="F39" s="1405">
        <v>111</v>
      </c>
      <c r="G39" s="1405">
        <v>11</v>
      </c>
      <c r="H39" s="1405">
        <v>12</v>
      </c>
      <c r="I39" s="1405">
        <v>50</v>
      </c>
      <c r="J39" s="1405"/>
      <c r="K39" s="1405"/>
      <c r="L39" s="1405">
        <v>0</v>
      </c>
      <c r="M39" s="1405">
        <v>0</v>
      </c>
      <c r="N39" s="1405">
        <f>M39</f>
        <v>0</v>
      </c>
      <c r="O39" s="1351">
        <f>IF(ISERROR(AVERAGE(L39:N39)),"",(AVERAGE(L39:N39)))</f>
        <v>0</v>
      </c>
      <c r="P39" s="1455">
        <f>IF(ISERROR(AVERAGE(M39:O39)),"",(AVERAGE(M39:O39)))</f>
        <v>0</v>
      </c>
      <c r="R39" s="1436"/>
      <c r="BC39" s="1455"/>
      <c r="BD39" s="1439"/>
      <c r="BZ39" s="1535"/>
      <c r="CA39" s="1535"/>
      <c r="CB39" s="1535"/>
      <c r="CC39" s="1535"/>
      <c r="CD39" s="1535"/>
      <c r="CE39" s="1535"/>
      <c r="CF39" s="1535"/>
      <c r="CG39" s="1535"/>
    </row>
    <row r="40" spans="1:99" hidden="1" outlineLevel="1" x14ac:dyDescent="0.2">
      <c r="A40" s="1445"/>
      <c r="C40" s="1435" t="s">
        <v>197</v>
      </c>
      <c r="D40" s="1455">
        <f>D33</f>
        <v>0</v>
      </c>
      <c r="E40" s="1455">
        <f>E33</f>
        <v>0</v>
      </c>
      <c r="F40" s="1455">
        <f>F33</f>
        <v>0</v>
      </c>
      <c r="G40" s="1455">
        <f>G33</f>
        <v>0</v>
      </c>
      <c r="H40" s="1455">
        <f t="shared" ref="H40:P40" si="13">H33</f>
        <v>0</v>
      </c>
      <c r="I40" s="1455">
        <f t="shared" si="13"/>
        <v>0</v>
      </c>
      <c r="J40" s="1455">
        <f t="shared" si="13"/>
        <v>0</v>
      </c>
      <c r="K40" s="1455">
        <f t="shared" si="13"/>
        <v>0</v>
      </c>
      <c r="L40" s="1455">
        <f t="shared" si="13"/>
        <v>0</v>
      </c>
      <c r="M40" s="1455">
        <f t="shared" si="13"/>
        <v>0</v>
      </c>
      <c r="N40" s="1455">
        <f t="shared" si="13"/>
        <v>0</v>
      </c>
      <c r="O40" s="1455">
        <f t="shared" si="13"/>
        <v>0</v>
      </c>
      <c r="P40" s="1455">
        <f t="shared" si="13"/>
        <v>0</v>
      </c>
      <c r="R40" s="1436"/>
      <c r="AN40" s="1437"/>
      <c r="BC40" s="1503"/>
      <c r="BD40" s="1439"/>
      <c r="BX40" s="1507"/>
      <c r="BY40" s="1436" t="s">
        <v>232</v>
      </c>
      <c r="BZ40" s="1536">
        <v>24488.68428331488</v>
      </c>
      <c r="CA40" s="1536">
        <v>19544.10064547088</v>
      </c>
      <c r="CB40" s="1536">
        <v>28673.177856580798</v>
      </c>
      <c r="CC40" s="1536">
        <v>33786.207020001602</v>
      </c>
      <c r="CD40" s="1536">
        <v>31792.492512000001</v>
      </c>
      <c r="CE40" s="1536">
        <v>31792.492512000001</v>
      </c>
      <c r="CF40" s="1536">
        <v>31792.492512000001</v>
      </c>
      <c r="CG40" s="1536"/>
      <c r="CH40" s="1536"/>
      <c r="CI40" s="1536"/>
      <c r="CJ40" s="1536"/>
      <c r="CK40" s="1536"/>
      <c r="CL40" s="1536"/>
      <c r="CM40" s="1536"/>
      <c r="CN40" s="1536"/>
      <c r="CO40" s="1536"/>
      <c r="CP40" s="1536"/>
      <c r="CQ40" s="1536"/>
      <c r="CR40" s="1536"/>
      <c r="CS40" s="1536"/>
      <c r="CT40" s="1536"/>
      <c r="CU40" s="1536"/>
    </row>
    <row r="41" spans="1:99" hidden="1" outlineLevel="1" x14ac:dyDescent="0.2">
      <c r="A41" s="1445"/>
      <c r="C41" s="1435" t="s">
        <v>153</v>
      </c>
      <c r="D41" s="1455">
        <f t="shared" ref="D41:I41" si="14">IF(ISNUMBER(D42-SUM(D37:D40)),D42-SUM(D37:D40),0)</f>
        <v>1564</v>
      </c>
      <c r="E41" s="1455">
        <f t="shared" si="14"/>
        <v>73</v>
      </c>
      <c r="F41" s="1455">
        <f t="shared" si="14"/>
        <v>-209</v>
      </c>
      <c r="G41" s="1455">
        <f t="shared" si="14"/>
        <v>-13</v>
      </c>
      <c r="H41" s="1455">
        <f t="shared" si="14"/>
        <v>-116</v>
      </c>
      <c r="I41" s="1455">
        <f t="shared" si="14"/>
        <v>-156</v>
      </c>
      <c r="J41" s="1455">
        <f>IF(ISNUMBER(J42-SUM(J37:J40)),J42-SUM(J37:J40),0)</f>
        <v>756</v>
      </c>
      <c r="K41" s="1455">
        <f>IF(ISNUMBER(K42-SUM(K37:K40)),K42-SUM(K37:K40),0)</f>
        <v>215</v>
      </c>
      <c r="L41" s="1455">
        <v>0</v>
      </c>
      <c r="M41" s="1455">
        <v>0</v>
      </c>
      <c r="N41" s="1455">
        <v>0</v>
      </c>
      <c r="O41" s="1455">
        <v>0</v>
      </c>
      <c r="P41" s="1455">
        <v>0</v>
      </c>
      <c r="R41" s="1436"/>
      <c r="BC41" s="1455"/>
      <c r="BD41" s="1439"/>
      <c r="BY41" s="1436" t="s">
        <v>233</v>
      </c>
      <c r="BZ41" s="1536">
        <f t="shared" ref="BZ41:CF41" si="15">H44</f>
        <v>357</v>
      </c>
      <c r="CA41" s="1536">
        <f t="shared" si="15"/>
        <v>494</v>
      </c>
      <c r="CB41" s="1536">
        <f t="shared" si="15"/>
        <v>-24</v>
      </c>
      <c r="CC41" s="1536">
        <f t="shared" si="15"/>
        <v>262</v>
      </c>
      <c r="CD41" s="1536">
        <f t="shared" si="15"/>
        <v>228.95649999999978</v>
      </c>
      <c r="CE41" s="1536">
        <f t="shared" si="15"/>
        <v>187.86762024999962</v>
      </c>
      <c r="CF41" s="1536">
        <f t="shared" si="15"/>
        <v>137.82492953462452</v>
      </c>
      <c r="CG41" s="1536"/>
      <c r="CH41" s="1536"/>
      <c r="CI41" s="1536"/>
      <c r="CJ41" s="1536"/>
      <c r="CK41" s="1536"/>
      <c r="CL41" s="1536"/>
      <c r="CM41" s="1536"/>
      <c r="CN41" s="1536"/>
      <c r="CO41" s="1536"/>
      <c r="CP41" s="1536"/>
      <c r="CQ41" s="1536"/>
      <c r="CR41" s="1536"/>
      <c r="CS41" s="1536"/>
      <c r="CT41" s="1536"/>
      <c r="CU41" s="1536"/>
    </row>
    <row r="42" spans="1:99" collapsed="1" x14ac:dyDescent="0.2">
      <c r="A42" s="1445"/>
      <c r="C42" s="1514" t="s">
        <v>234</v>
      </c>
      <c r="D42" s="1505">
        <v>1791</v>
      </c>
      <c r="E42" s="1515">
        <v>1333</v>
      </c>
      <c r="F42" s="1515">
        <v>1542</v>
      </c>
      <c r="G42" s="1515">
        <v>1756</v>
      </c>
      <c r="H42" s="1515">
        <v>1670</v>
      </c>
      <c r="I42" s="1515">
        <v>1791</v>
      </c>
      <c r="J42" s="1515">
        <v>2115</v>
      </c>
      <c r="K42" s="1515">
        <v>2167</v>
      </c>
      <c r="L42" s="1515">
        <f>SUM(L37:L41)</f>
        <v>2345.7775000000001</v>
      </c>
      <c r="M42" s="1515">
        <f>SUM(M37:M41)</f>
        <v>2539.3041437500001</v>
      </c>
      <c r="N42" s="1515">
        <f>SUM(N37:N41)</f>
        <v>2748.796735609375</v>
      </c>
      <c r="O42" s="1515">
        <f>SUM(O37:O41)</f>
        <v>2975.5724662971484</v>
      </c>
      <c r="P42" s="1515">
        <f>SUM(P37:P41)</f>
        <v>3221.0571947666631</v>
      </c>
      <c r="Q42" s="1531"/>
      <c r="R42" s="1436"/>
      <c r="AJ42" s="1526" t="s">
        <v>314</v>
      </c>
      <c r="BC42" s="1515" t="str">
        <f>_xll.ThomsonONEAddinShim.SpreadsheetFormulas.TF(Sedol,$AJ42,"dataDir=across",trSdate,trEdate,Currency_ISOcode)</f>
        <v>#NAME?</v>
      </c>
      <c r="BD42" s="1532">
        <v>1542</v>
      </c>
      <c r="BE42" s="1505">
        <v>1756</v>
      </c>
      <c r="BF42" s="1505">
        <v>1670</v>
      </c>
      <c r="BG42" s="1505">
        <v>1791</v>
      </c>
      <c r="BH42" s="1505">
        <v>2115</v>
      </c>
      <c r="BI42" s="1505">
        <v>2167</v>
      </c>
      <c r="BJ42" s="1505">
        <v>2040</v>
      </c>
      <c r="BY42" s="1436" t="s">
        <v>235</v>
      </c>
      <c r="BZ42" s="1537">
        <f>IF(ISNUMBER(BZ41/BZ40),BZ41/BZ40,NA())</f>
        <v>1.4578161728486099E-2</v>
      </c>
      <c r="CA42" s="1537">
        <f t="shared" ref="CA42:CF42" si="16">IF(ISNUMBER(CA41/CA40),CA41/CA40,NA())</f>
        <v>2.5276169467254497E-2</v>
      </c>
      <c r="CB42" s="1537">
        <f t="shared" si="16"/>
        <v>-8.3701918636450493E-4</v>
      </c>
      <c r="CC42" s="1537">
        <f t="shared" si="16"/>
        <v>7.7546437765237952E-3</v>
      </c>
      <c r="CD42" s="1537">
        <f t="shared" si="16"/>
        <v>7.201590121113678E-3</v>
      </c>
      <c r="CE42" s="1537">
        <f t="shared" si="16"/>
        <v>5.9091818667281098E-3</v>
      </c>
      <c r="CF42" s="1537">
        <f t="shared" si="16"/>
        <v>4.3351407406199069E-3</v>
      </c>
      <c r="CG42" s="1537"/>
      <c r="CH42" s="1537"/>
      <c r="CI42" s="1537"/>
      <c r="CJ42" s="1537"/>
      <c r="CK42" s="1537"/>
      <c r="CL42" s="1537"/>
      <c r="CM42" s="1537"/>
      <c r="CN42" s="1537"/>
      <c r="CO42" s="1537"/>
      <c r="CP42" s="1537"/>
      <c r="CQ42" s="1537"/>
      <c r="CR42" s="1537"/>
      <c r="CS42" s="1537"/>
      <c r="CT42" s="1537"/>
      <c r="CU42" s="1537"/>
    </row>
    <row r="43" spans="1:99" x14ac:dyDescent="0.2">
      <c r="A43" s="1445"/>
      <c r="C43" s="1454"/>
      <c r="D43" s="1454"/>
      <c r="E43" s="1454"/>
      <c r="F43" s="1454"/>
      <c r="G43" s="1454"/>
      <c r="H43" s="1455"/>
      <c r="I43" s="1455"/>
      <c r="J43" s="1456"/>
      <c r="K43" s="1456"/>
      <c r="L43" s="1456"/>
      <c r="M43" s="1456"/>
      <c r="N43" s="1456"/>
      <c r="O43" s="1456"/>
      <c r="P43" s="1456"/>
      <c r="R43" s="1436"/>
      <c r="BC43" s="1485"/>
      <c r="BD43" s="1439"/>
      <c r="BY43" s="1436" t="s">
        <v>236</v>
      </c>
      <c r="BZ43" s="1537">
        <f t="shared" ref="BZ43:CF43" si="17">IF(ISNUMBER(H45),H45,NA())</f>
        <v>0.82387765170202265</v>
      </c>
      <c r="CA43" s="1537">
        <f t="shared" si="17"/>
        <v>0.78380743982494527</v>
      </c>
      <c r="CB43" s="1537">
        <f t="shared" si="17"/>
        <v>1.0114777618364419</v>
      </c>
      <c r="CC43" s="1537">
        <f t="shared" si="17"/>
        <v>0.89213668176204197</v>
      </c>
      <c r="CD43" s="1537">
        <f t="shared" si="17"/>
        <v>0.91107566839914345</v>
      </c>
      <c r="CE43" s="1537">
        <f t="shared" si="17"/>
        <v>0.93111265570803281</v>
      </c>
      <c r="CF43" s="1537">
        <f t="shared" si="17"/>
        <v>0.95225389901320889</v>
      </c>
      <c r="CG43" s="1537"/>
      <c r="CH43" s="1537"/>
      <c r="CI43" s="1537"/>
      <c r="CJ43" s="1537"/>
      <c r="CK43" s="1537"/>
      <c r="CL43" s="1537"/>
      <c r="CM43" s="1537"/>
      <c r="CN43" s="1537"/>
      <c r="CO43" s="1537"/>
      <c r="CP43" s="1537"/>
      <c r="CQ43" s="1537"/>
      <c r="CR43" s="1537"/>
      <c r="CS43" s="1537"/>
      <c r="CT43" s="1537"/>
      <c r="CU43" s="1537"/>
    </row>
    <row r="44" spans="1:99" x14ac:dyDescent="0.2">
      <c r="A44" s="1445"/>
      <c r="C44" s="1514" t="s">
        <v>233</v>
      </c>
      <c r="D44" s="1515">
        <f t="shared" ref="D44:P44" si="18">IF(ISERROR(D35-D42),0,D35-D42)</f>
        <v>494</v>
      </c>
      <c r="E44" s="1515">
        <f t="shared" si="18"/>
        <v>337</v>
      </c>
      <c r="F44" s="1515">
        <f t="shared" si="18"/>
        <v>154</v>
      </c>
      <c r="G44" s="1515">
        <f t="shared" si="18"/>
        <v>57</v>
      </c>
      <c r="H44" s="1515">
        <f t="shared" si="18"/>
        <v>357</v>
      </c>
      <c r="I44" s="1515">
        <f t="shared" si="18"/>
        <v>494</v>
      </c>
      <c r="J44" s="1515">
        <f t="shared" si="18"/>
        <v>-24</v>
      </c>
      <c r="K44" s="1515">
        <f t="shared" si="18"/>
        <v>262</v>
      </c>
      <c r="L44" s="1515">
        <f t="shared" si="18"/>
        <v>228.95649999999978</v>
      </c>
      <c r="M44" s="1515">
        <f t="shared" si="18"/>
        <v>187.86762024999962</v>
      </c>
      <c r="N44" s="1515">
        <f t="shared" si="18"/>
        <v>137.82492953462452</v>
      </c>
      <c r="O44" s="1515">
        <f t="shared" si="18"/>
        <v>77.833795443475083</v>
      </c>
      <c r="P44" s="1515">
        <f t="shared" si="18"/>
        <v>6.8057550140292733</v>
      </c>
      <c r="R44" s="1436"/>
      <c r="BC44" s="1515"/>
      <c r="BD44" s="1439"/>
      <c r="BZ44" s="1538" t="str">
        <f>_xll.ThomsonONEAddinShim.SpreadsheetFormulas.TF($H$3,"TF.PR.MarketCap(sdate=#1,curn=#2,scale=6)",,BZ$38,$AM$184)</f>
        <v xml:space="preserve">                                                                                                           #NAME?                                                                                                           </v>
      </c>
      <c r="CA44" s="1538" t="str">
        <f>_xll.ThomsonONEAddinShim.SpreadsheetFormulas.TF($H$3,"TF.PR.MarketCap(sdate=#1,curn=#2,scale=6)",,CA$38,$AM$184)</f>
        <v xml:space="preserve">                                                                                                           #NAME?                                                                                                           </v>
      </c>
      <c r="CB44" s="1538" t="str">
        <f>_xll.ThomsonONEAddinShim.SpreadsheetFormulas.TF($H$3,"TF.PR.MarketCap(sdate=#1,curn=#2,scale=6)",,CB$38,$AM$184)</f>
        <v xml:space="preserve">                                                                                                           #NAME?                                                                                                           </v>
      </c>
      <c r="CC44" s="1538" t="str">
        <f>_xll.ThomsonONEAddinShim.SpreadsheetFormulas.TF($H$3,"TF.PR.MarketCap(sdate=#1,curn=#2,scale=6)",,CC$38,$AM$184)</f>
        <v xml:space="preserve">                                                                                                           #NAME?                                                                                                           </v>
      </c>
      <c r="CD44" s="1538" t="str">
        <f>_xll.ThomsonONEAddinShim.SpreadsheetFormulas.TF($H$3,"TF.PR.MarketCap(sdate=#1,curn=#2,scale=6)",,CD$38,$AM$184)</f>
        <v xml:space="preserve">                                                                                                           #NAME?                                                                                                           </v>
      </c>
      <c r="CE44" s="1538" t="str">
        <f>_xll.ThomsonONEAddinShim.SpreadsheetFormulas.TF($H$3,"TF.PR.MarketCap(sdate=#1,curn=#2,scale=6)",,CE$38,$AM$184)</f>
        <v xml:space="preserve">                                                                                                           #NAME?                                                                                                           </v>
      </c>
      <c r="CF44" s="1538" t="str">
        <f>_xll.ThomsonONEAddinShim.SpreadsheetFormulas.TF($H$3,"TF.PR.MarketCap(sdate=#1,curn=#2,scale=6)",,CF$38,$AM$184)</f>
        <v xml:space="preserve">                                                                                                           #NAME?                                                                                                           </v>
      </c>
    </row>
    <row r="45" spans="1:99" x14ac:dyDescent="0.2">
      <c r="A45" s="1445"/>
      <c r="C45" s="1514" t="s">
        <v>655</v>
      </c>
      <c r="D45" s="1539">
        <f t="shared" ref="D45:P45" si="19">IF(ISERROR(D42/D35),"NA",D42/D35)</f>
        <v>0.78380743982494527</v>
      </c>
      <c r="E45" s="1539">
        <f t="shared" si="19"/>
        <v>0.79820359281437125</v>
      </c>
      <c r="F45" s="1539">
        <f t="shared" si="19"/>
        <v>0.90919811320754718</v>
      </c>
      <c r="G45" s="1539">
        <f t="shared" si="19"/>
        <v>0.96856039713182573</v>
      </c>
      <c r="H45" s="1539">
        <f t="shared" si="19"/>
        <v>0.82387765170202265</v>
      </c>
      <c r="I45" s="1539">
        <f t="shared" si="19"/>
        <v>0.78380743982494527</v>
      </c>
      <c r="J45" s="1539">
        <f t="shared" si="19"/>
        <v>1.0114777618364419</v>
      </c>
      <c r="K45" s="1539">
        <f t="shared" si="19"/>
        <v>0.89213668176204197</v>
      </c>
      <c r="L45" s="1539">
        <f t="shared" si="19"/>
        <v>0.91107566839914345</v>
      </c>
      <c r="M45" s="1539">
        <f t="shared" si="19"/>
        <v>0.93111265570803281</v>
      </c>
      <c r="N45" s="1539">
        <f t="shared" si="19"/>
        <v>0.95225389901320889</v>
      </c>
      <c r="O45" s="1539">
        <f t="shared" si="19"/>
        <v>0.97450919112247281</v>
      </c>
      <c r="P45" s="1539">
        <f t="shared" si="19"/>
        <v>0.99789156010651203</v>
      </c>
      <c r="R45" s="1436"/>
      <c r="BC45" s="1540"/>
      <c r="BD45" s="1439"/>
      <c r="BZ45" s="1541"/>
      <c r="CA45" s="1541"/>
      <c r="CB45" s="1541"/>
      <c r="CC45" s="1541"/>
      <c r="CD45" s="1541"/>
      <c r="CE45" s="1541"/>
      <c r="CF45" s="1541"/>
    </row>
    <row r="46" spans="1:99" ht="12.75" customHeight="1" x14ac:dyDescent="0.2">
      <c r="A46" s="1445"/>
      <c r="C46" s="1454"/>
      <c r="D46" s="1454"/>
      <c r="E46" s="1454"/>
      <c r="F46" s="1454"/>
      <c r="G46" s="1454"/>
      <c r="H46" s="1542"/>
      <c r="I46" s="1542"/>
      <c r="J46" s="1542"/>
      <c r="K46" s="1542"/>
      <c r="L46" s="1542"/>
      <c r="M46" s="1542"/>
      <c r="N46" s="1542"/>
      <c r="O46" s="1542"/>
      <c r="P46" s="1542"/>
      <c r="R46" s="1436"/>
      <c r="BC46" s="1485"/>
      <c r="BD46" s="1439"/>
    </row>
    <row r="47" spans="1:99" x14ac:dyDescent="0.2">
      <c r="A47" s="1445"/>
      <c r="C47" s="1514" t="s">
        <v>572</v>
      </c>
      <c r="D47" s="1515">
        <f>IF(ISERROR(D44*D13),0,D44*D13)</f>
        <v>172.89999999999998</v>
      </c>
      <c r="E47" s="1515">
        <f t="shared" ref="E47:K47" si="20">+D47+(E44-D44)*E13</f>
        <v>117.94999999999999</v>
      </c>
      <c r="F47" s="1515">
        <f t="shared" si="20"/>
        <v>53.899999999999991</v>
      </c>
      <c r="G47" s="1515">
        <f t="shared" si="20"/>
        <v>19.949999999999996</v>
      </c>
      <c r="H47" s="1515">
        <f t="shared" si="20"/>
        <v>124.94999999999999</v>
      </c>
      <c r="I47" s="1515">
        <f t="shared" si="20"/>
        <v>172.89999999999998</v>
      </c>
      <c r="J47" s="1515">
        <f t="shared" si="20"/>
        <v>-8.4000000000000057</v>
      </c>
      <c r="K47" s="1515">
        <f t="shared" si="20"/>
        <v>91.699999999999989</v>
      </c>
      <c r="L47" s="1515">
        <f>+K47+(L44-K44)*L13</f>
        <v>80.134774999999905</v>
      </c>
      <c r="M47" s="1515">
        <f>+L47+(M44-L44)*M13</f>
        <v>65.753667087499849</v>
      </c>
      <c r="N47" s="1515">
        <f>+M47+(N44-M44)*N13</f>
        <v>48.238725337118566</v>
      </c>
      <c r="O47" s="1515">
        <f>+N47+(O44-N44)*O13</f>
        <v>27.241828405216268</v>
      </c>
      <c r="P47" s="1515">
        <f>+O47+(P44-O44)*P13</f>
        <v>2.382014254910235</v>
      </c>
      <c r="R47" s="1436"/>
      <c r="BC47" s="1515"/>
      <c r="BD47" s="1439"/>
    </row>
    <row r="48" spans="1:99" x14ac:dyDescent="0.2">
      <c r="A48" s="1445"/>
      <c r="C48" s="1454"/>
      <c r="D48" s="1454"/>
      <c r="E48" s="1454"/>
      <c r="F48" s="1454"/>
      <c r="G48" s="1454"/>
      <c r="H48" s="1543"/>
      <c r="I48" s="1543"/>
      <c r="J48" s="1533"/>
      <c r="K48" s="1533"/>
      <c r="L48" s="1533"/>
      <c r="M48" s="1533"/>
      <c r="N48" s="1533"/>
      <c r="O48" s="1533"/>
      <c r="P48" s="1533"/>
      <c r="R48" s="1436"/>
      <c r="BC48" s="1485"/>
      <c r="BD48" s="1439"/>
    </row>
    <row r="49" spans="1:56" ht="12" x14ac:dyDescent="0.15">
      <c r="A49" s="1445"/>
      <c r="B49" s="1490" t="s">
        <v>51</v>
      </c>
      <c r="C49" s="1491" t="s">
        <v>592</v>
      </c>
      <c r="D49" s="1492"/>
      <c r="E49" s="1492"/>
      <c r="F49" s="1492"/>
      <c r="G49" s="1492"/>
      <c r="H49" s="1543"/>
      <c r="I49" s="1543"/>
      <c r="J49" s="1533"/>
      <c r="K49" s="1533"/>
      <c r="L49" s="1533"/>
      <c r="M49" s="1533"/>
      <c r="N49" s="1533"/>
      <c r="O49" s="1533"/>
      <c r="P49" s="1533"/>
      <c r="R49" s="1436"/>
      <c r="BC49" s="1496"/>
      <c r="BD49" s="1439"/>
    </row>
    <row r="50" spans="1:56" ht="7.5" customHeight="1" x14ac:dyDescent="0.2">
      <c r="A50" s="1445"/>
      <c r="C50" s="1454"/>
      <c r="D50" s="1454"/>
      <c r="E50" s="1454"/>
      <c r="F50" s="1454"/>
      <c r="G50" s="1454"/>
      <c r="H50" s="1543"/>
      <c r="I50" s="1543"/>
      <c r="J50" s="1533"/>
      <c r="K50" s="1533"/>
      <c r="L50" s="1533"/>
      <c r="M50" s="1533"/>
      <c r="N50" s="1533"/>
      <c r="O50" s="1533"/>
      <c r="P50" s="1533"/>
      <c r="R50" s="1436"/>
      <c r="BC50" s="1485"/>
      <c r="BD50" s="1439"/>
    </row>
    <row r="51" spans="1:56" x14ac:dyDescent="0.2">
      <c r="A51" s="1445"/>
      <c r="C51" s="1514" t="s">
        <v>54</v>
      </c>
      <c r="D51" s="1544">
        <f>+D25*(1-D13)</f>
        <v>39</v>
      </c>
      <c r="E51" s="1544">
        <f>+E25*(1-E13)</f>
        <v>-25.35</v>
      </c>
      <c r="F51" s="1544">
        <f>+F25*(1-F13)</f>
        <v>0.65</v>
      </c>
      <c r="G51" s="1544">
        <f>+G25*(1-G13)</f>
        <v>20.150000000000002</v>
      </c>
      <c r="H51" s="1544">
        <f>+H25*(1-H13)</f>
        <v>32.5</v>
      </c>
      <c r="I51" s="1544">
        <f t="shared" ref="I51:P51" si="21">+I25*(1-I13)</f>
        <v>39</v>
      </c>
      <c r="J51" s="1544">
        <f t="shared" si="21"/>
        <v>44.85</v>
      </c>
      <c r="K51" s="1544">
        <f t="shared" si="21"/>
        <v>20.150000000000002</v>
      </c>
      <c r="L51" s="1544">
        <f t="shared" si="21"/>
        <v>34.681724999999993</v>
      </c>
      <c r="M51" s="1544">
        <f t="shared" si="21"/>
        <v>29.452228162499992</v>
      </c>
      <c r="N51" s="1544">
        <f t="shared" si="21"/>
        <v>23.632251035006224</v>
      </c>
      <c r="O51" s="1544">
        <f t="shared" si="21"/>
        <v>17.165762840752837</v>
      </c>
      <c r="P51" s="1544">
        <f t="shared" si="21"/>
        <v>9.9917737208600617</v>
      </c>
      <c r="R51" s="1436"/>
      <c r="BC51" s="1545"/>
      <c r="BD51" s="1439"/>
    </row>
    <row r="52" spans="1:56" x14ac:dyDescent="0.2">
      <c r="A52" s="1445"/>
      <c r="C52" s="1514" t="s">
        <v>174</v>
      </c>
      <c r="D52" s="1544">
        <f t="shared" ref="D52:J52" si="22">IF(ISERROR(-D39*(1-D13)),0,(-D39*(1-D13)))</f>
        <v>0</v>
      </c>
      <c r="E52" s="1544">
        <f t="shared" si="22"/>
        <v>0</v>
      </c>
      <c r="F52" s="1544">
        <f t="shared" si="22"/>
        <v>-72.150000000000006</v>
      </c>
      <c r="G52" s="1544">
        <f t="shared" si="22"/>
        <v>-7.15</v>
      </c>
      <c r="H52" s="1544">
        <f t="shared" si="22"/>
        <v>-7.8000000000000007</v>
      </c>
      <c r="I52" s="1544">
        <f t="shared" si="22"/>
        <v>-32.5</v>
      </c>
      <c r="J52" s="1544">
        <f t="shared" si="22"/>
        <v>0</v>
      </c>
      <c r="K52" s="1544">
        <f t="shared" ref="K52:P52" si="23">IF(ISERROR(-K39*(1-K13)),0,(-K39*(1-K13)))</f>
        <v>0</v>
      </c>
      <c r="L52" s="1544">
        <f t="shared" si="23"/>
        <v>0</v>
      </c>
      <c r="M52" s="1544">
        <f t="shared" si="23"/>
        <v>0</v>
      </c>
      <c r="N52" s="1544">
        <f t="shared" si="23"/>
        <v>0</v>
      </c>
      <c r="O52" s="1544">
        <f t="shared" si="23"/>
        <v>0</v>
      </c>
      <c r="P52" s="1544">
        <f t="shared" si="23"/>
        <v>0</v>
      </c>
      <c r="R52" s="1436"/>
      <c r="BC52" s="1545"/>
      <c r="BD52" s="1439"/>
    </row>
    <row r="53" spans="1:56" ht="7.5" customHeight="1" x14ac:dyDescent="0.2">
      <c r="A53" s="1445"/>
      <c r="C53" s="1454"/>
      <c r="D53" s="1454"/>
      <c r="E53" s="1454"/>
      <c r="F53" s="1454"/>
      <c r="G53" s="1454"/>
      <c r="H53" s="1488"/>
      <c r="I53" s="1488"/>
      <c r="J53" s="1488"/>
      <c r="K53" s="1488"/>
      <c r="L53" s="1488"/>
      <c r="M53" s="1488"/>
      <c r="N53" s="1488"/>
      <c r="O53" s="1488"/>
      <c r="P53" s="1488"/>
      <c r="R53" s="1436"/>
      <c r="BD53" s="1439"/>
    </row>
    <row r="54" spans="1:56" ht="12" customHeight="1" x14ac:dyDescent="0.15">
      <c r="A54" s="1445"/>
      <c r="B54" s="1433" t="s">
        <v>55</v>
      </c>
      <c r="C54" s="1433" t="s">
        <v>56</v>
      </c>
      <c r="D54" s="1451">
        <f>+D15</f>
        <v>-7</v>
      </c>
      <c r="E54" s="1451">
        <f>+E15</f>
        <v>-6</v>
      </c>
      <c r="F54" s="1451">
        <f>+F15</f>
        <v>-5</v>
      </c>
      <c r="G54" s="1451">
        <f>+G15</f>
        <v>-4</v>
      </c>
      <c r="H54" s="1451">
        <f>+H15</f>
        <v>2012</v>
      </c>
      <c r="I54" s="1451">
        <f t="shared" ref="I54:P54" si="24">+I15</f>
        <v>2013</v>
      </c>
      <c r="J54" s="1451">
        <f t="shared" si="24"/>
        <v>2014</v>
      </c>
      <c r="K54" s="1451">
        <f t="shared" si="24"/>
        <v>2015</v>
      </c>
      <c r="L54" s="1451">
        <f t="shared" si="24"/>
        <v>2016</v>
      </c>
      <c r="M54" s="1451">
        <f t="shared" si="24"/>
        <v>2017</v>
      </c>
      <c r="N54" s="1451">
        <f t="shared" si="24"/>
        <v>2018</v>
      </c>
      <c r="O54" s="1451">
        <f t="shared" si="24"/>
        <v>2019</v>
      </c>
      <c r="P54" s="1451">
        <f t="shared" si="24"/>
        <v>2020</v>
      </c>
      <c r="R54" s="1436"/>
      <c r="BD54" s="1439"/>
    </row>
    <row r="55" spans="1:56" s="1547" customFormat="1" ht="27.75" customHeight="1" x14ac:dyDescent="0.2">
      <c r="A55" s="1445"/>
      <c r="B55" s="1546"/>
      <c r="C55" s="2171" t="s">
        <v>645</v>
      </c>
      <c r="D55" s="2171"/>
      <c r="E55" s="2171"/>
      <c r="F55" s="2171"/>
      <c r="G55" s="2171"/>
      <c r="H55" s="2171"/>
      <c r="I55" s="2171"/>
      <c r="J55" s="2171"/>
      <c r="K55" s="2171"/>
      <c r="L55" s="2171"/>
      <c r="M55" s="2171"/>
      <c r="N55" s="2171"/>
      <c r="O55" s="2171"/>
      <c r="P55" s="2171"/>
      <c r="Q55" s="1435"/>
      <c r="R55" s="1436"/>
      <c r="S55" s="1436"/>
      <c r="T55" s="1436"/>
      <c r="X55"/>
      <c r="Y55"/>
      <c r="Z55"/>
      <c r="AA55"/>
      <c r="AB55"/>
      <c r="AC55"/>
      <c r="AJ55" s="1548"/>
      <c r="BC55" s="1549"/>
      <c r="BD55" s="1548"/>
    </row>
    <row r="56" spans="1:56" s="1547" customFormat="1" x14ac:dyDescent="0.2">
      <c r="A56" s="1445"/>
      <c r="B56" s="1546"/>
      <c r="C56" s="1550"/>
      <c r="D56" s="1550"/>
      <c r="E56" s="1550"/>
      <c r="F56" s="1550"/>
      <c r="G56" s="1550"/>
      <c r="H56" s="1550"/>
      <c r="I56" s="1550"/>
      <c r="J56" s="1550"/>
      <c r="K56" s="1550"/>
      <c r="L56" s="1550"/>
      <c r="M56" s="1550"/>
      <c r="N56" s="1550"/>
      <c r="O56" s="1550"/>
      <c r="P56" s="1550"/>
      <c r="Q56" s="1435"/>
      <c r="R56" s="1436"/>
      <c r="S56" s="1436"/>
      <c r="T56" s="1436"/>
      <c r="X56"/>
      <c r="Y56"/>
      <c r="Z56"/>
      <c r="AA56"/>
      <c r="AB56"/>
      <c r="AC56"/>
      <c r="AJ56" s="1548"/>
      <c r="BC56" s="1549"/>
      <c r="BD56" s="1548"/>
    </row>
    <row r="57" spans="1:56" s="1547" customFormat="1" x14ac:dyDescent="0.2">
      <c r="A57" s="1445"/>
      <c r="B57" s="1551" t="s">
        <v>418</v>
      </c>
      <c r="C57" s="1552" t="s">
        <v>646</v>
      </c>
      <c r="D57" s="1553"/>
      <c r="E57" s="1553"/>
      <c r="F57" s="1553"/>
      <c r="G57" s="1553"/>
      <c r="H57" s="1554"/>
      <c r="I57" s="1554"/>
      <c r="J57" s="1554"/>
      <c r="K57" s="1554"/>
      <c r="L57" s="1554"/>
      <c r="M57" s="1554"/>
      <c r="N57" s="1554"/>
      <c r="O57" s="1554"/>
      <c r="P57" s="1554"/>
      <c r="Q57" s="1435"/>
      <c r="R57" s="1436"/>
      <c r="S57" s="1436"/>
      <c r="T57" s="1436"/>
      <c r="X57"/>
      <c r="Y57"/>
      <c r="Z57"/>
      <c r="AA57"/>
      <c r="AB57"/>
      <c r="AC57"/>
      <c r="AJ57" s="1548"/>
      <c r="BC57" s="1549"/>
      <c r="BD57" s="1548"/>
    </row>
    <row r="58" spans="1:56" ht="7.5" customHeight="1" x14ac:dyDescent="0.2">
      <c r="A58" s="1445"/>
      <c r="C58" s="1454"/>
      <c r="D58" s="1454"/>
      <c r="E58" s="1454"/>
      <c r="F58" s="1454"/>
      <c r="G58" s="1454"/>
      <c r="H58" s="1543"/>
      <c r="I58" s="1543"/>
      <c r="J58" s="1533"/>
      <c r="K58" s="1533"/>
      <c r="L58" s="1533"/>
      <c r="M58" s="1533"/>
      <c r="N58" s="1533"/>
      <c r="O58" s="1533"/>
      <c r="P58" s="1533"/>
      <c r="R58" s="1436"/>
      <c r="BD58" s="1439"/>
    </row>
    <row r="59" spans="1:56" s="1547" customFormat="1" ht="15.75" customHeight="1" x14ac:dyDescent="0.2">
      <c r="A59" s="1445"/>
      <c r="B59" s="1546"/>
      <c r="C59" s="1554" t="s">
        <v>256</v>
      </c>
      <c r="D59" s="1554"/>
      <c r="E59" s="1554"/>
      <c r="F59" s="1554"/>
      <c r="G59" s="1554"/>
      <c r="H59" s="1554"/>
      <c r="I59" s="1554"/>
      <c r="J59" s="1554"/>
      <c r="K59" s="1554"/>
      <c r="L59" s="1455">
        <f>+L52</f>
        <v>0</v>
      </c>
      <c r="M59" s="1455">
        <f>+M52</f>
        <v>0</v>
      </c>
      <c r="N59" s="1455">
        <f>+N52</f>
        <v>0</v>
      </c>
      <c r="O59" s="1455">
        <f>+O52</f>
        <v>0</v>
      </c>
      <c r="P59" s="1455">
        <f>+P52</f>
        <v>0</v>
      </c>
      <c r="Q59" s="1435"/>
      <c r="R59" s="1436"/>
      <c r="S59" s="1436"/>
      <c r="T59" s="1436"/>
      <c r="X59"/>
      <c r="Y59"/>
      <c r="Z59"/>
      <c r="AA59"/>
      <c r="AB59"/>
      <c r="AC59"/>
      <c r="AJ59" s="1548"/>
      <c r="BC59" s="1549"/>
      <c r="BD59" s="1548"/>
    </row>
    <row r="60" spans="1:56" s="1547" customFormat="1" ht="15.75" customHeight="1" x14ac:dyDescent="0.2">
      <c r="A60" s="1445"/>
      <c r="B60" s="1546"/>
      <c r="C60" s="1554" t="s">
        <v>257</v>
      </c>
      <c r="D60" s="1554"/>
      <c r="E60" s="1554"/>
      <c r="F60" s="1554"/>
      <c r="G60" s="1554"/>
      <c r="H60" s="1554"/>
      <c r="I60" s="1554"/>
      <c r="J60" s="1554"/>
      <c r="K60" s="1554"/>
      <c r="L60" s="1455">
        <f>L25*(1-L13)</f>
        <v>34.681724999999993</v>
      </c>
      <c r="M60" s="1455">
        <f>M25*(1-M13)</f>
        <v>29.452228162499992</v>
      </c>
      <c r="N60" s="1455">
        <f>N25*(1-N13)</f>
        <v>23.632251035006224</v>
      </c>
      <c r="O60" s="1455">
        <f>O25*(1-O13)</f>
        <v>17.165762840752837</v>
      </c>
      <c r="P60" s="1455">
        <f>P25*(1-P13)</f>
        <v>9.9917737208600617</v>
      </c>
      <c r="Q60" s="1435"/>
      <c r="R60" s="1436"/>
      <c r="S60" s="1436"/>
      <c r="T60" s="1436"/>
      <c r="X60"/>
      <c r="Y60"/>
      <c r="Z60"/>
      <c r="AA60"/>
      <c r="AB60"/>
      <c r="AC60"/>
      <c r="AJ60" s="1548"/>
      <c r="BC60" s="1549"/>
      <c r="BD60" s="1548"/>
    </row>
    <row r="61" spans="1:56" s="1547" customFormat="1" ht="15.75" customHeight="1" x14ac:dyDescent="0.2">
      <c r="A61" s="1445"/>
      <c r="B61" s="1546"/>
      <c r="C61" s="1554" t="s">
        <v>258</v>
      </c>
      <c r="D61" s="1554"/>
      <c r="E61" s="1554"/>
      <c r="F61" s="1554"/>
      <c r="G61" s="1554"/>
      <c r="H61" s="1554"/>
      <c r="I61" s="1554"/>
      <c r="J61" s="1554"/>
      <c r="K61" s="1554"/>
      <c r="L61" s="1455">
        <f>L47-K47</f>
        <v>-11.565225000000083</v>
      </c>
      <c r="M61" s="1455">
        <f>M47-L47</f>
        <v>-14.381107912500056</v>
      </c>
      <c r="N61" s="1455">
        <f>N47-M47</f>
        <v>-17.514941750381283</v>
      </c>
      <c r="O61" s="1455">
        <f>O47-N47</f>
        <v>-20.996896931902299</v>
      </c>
      <c r="P61" s="1455">
        <f>P47-O47</f>
        <v>-24.859814150306033</v>
      </c>
      <c r="Q61" s="1435"/>
      <c r="R61" s="1436"/>
      <c r="S61" s="1436"/>
      <c r="T61" s="1436"/>
      <c r="X61"/>
      <c r="Y61"/>
      <c r="Z61"/>
      <c r="AA61"/>
      <c r="AB61"/>
      <c r="AC61"/>
      <c r="AJ61" s="1548"/>
      <c r="BC61" s="1549"/>
      <c r="BD61" s="1548"/>
    </row>
    <row r="62" spans="1:56" s="1547" customFormat="1" ht="15.75" customHeight="1" x14ac:dyDescent="0.2">
      <c r="A62" s="1445"/>
      <c r="B62" s="1546"/>
      <c r="C62" s="1555" t="s">
        <v>259</v>
      </c>
      <c r="D62" s="1555"/>
      <c r="E62" s="1555"/>
      <c r="F62" s="1555"/>
      <c r="G62" s="1555"/>
      <c r="H62" s="1555"/>
      <c r="I62" s="1555"/>
      <c r="J62" s="1555"/>
      <c r="K62" s="1555"/>
      <c r="L62" s="1515">
        <f>SUM(L59:L61)</f>
        <v>23.11649999999991</v>
      </c>
      <c r="M62" s="1515">
        <f>SUM(M59:M61)</f>
        <v>15.071120249999936</v>
      </c>
      <c r="N62" s="1515">
        <f>SUM(N59:N61)</f>
        <v>6.1173092846249411</v>
      </c>
      <c r="O62" s="1515">
        <f>SUM(O59:O61)</f>
        <v>-3.8311340911494618</v>
      </c>
      <c r="P62" s="1515">
        <f>SUM(P59:P61)</f>
        <v>-14.868040429445971</v>
      </c>
      <c r="Q62" s="1531"/>
      <c r="R62" s="1436"/>
      <c r="S62" s="1436"/>
      <c r="T62" s="1436"/>
      <c r="X62"/>
      <c r="Y62"/>
      <c r="Z62"/>
      <c r="AA62"/>
      <c r="AB62"/>
      <c r="AC62"/>
      <c r="AJ62" s="1548"/>
      <c r="BC62" s="1549"/>
      <c r="BD62" s="1548"/>
    </row>
    <row r="63" spans="1:56" x14ac:dyDescent="0.2">
      <c r="A63" s="1445"/>
      <c r="C63" s="1454"/>
      <c r="D63" s="1454"/>
      <c r="E63" s="1454"/>
      <c r="F63" s="1454"/>
      <c r="G63" s="1454"/>
      <c r="H63" s="1543"/>
      <c r="I63" s="1543"/>
      <c r="J63" s="1533"/>
      <c r="K63" s="1533"/>
      <c r="L63" s="1533"/>
      <c r="M63" s="1533"/>
      <c r="N63" s="1533"/>
      <c r="O63" s="1533"/>
      <c r="P63" s="1533"/>
      <c r="R63" s="1436"/>
      <c r="BD63" s="1439"/>
    </row>
    <row r="64" spans="1:56" s="1547" customFormat="1" x14ac:dyDescent="0.2">
      <c r="A64" s="1445"/>
      <c r="B64" s="1551" t="s">
        <v>355</v>
      </c>
      <c r="C64" s="1552" t="s">
        <v>260</v>
      </c>
      <c r="D64" s="1553"/>
      <c r="E64" s="1553"/>
      <c r="F64" s="1553"/>
      <c r="G64" s="1553"/>
      <c r="H64" s="1554"/>
      <c r="I64" s="1554"/>
      <c r="J64" s="1554"/>
      <c r="K64" s="1554"/>
      <c r="L64" s="1455"/>
      <c r="M64" s="1455"/>
      <c r="N64" s="1455"/>
      <c r="O64" s="1455"/>
      <c r="P64" s="1455"/>
      <c r="Q64" s="1435"/>
      <c r="R64" s="1436"/>
      <c r="S64" s="1436"/>
      <c r="T64" s="1436"/>
      <c r="X64"/>
      <c r="Y64"/>
      <c r="Z64"/>
      <c r="AA64"/>
      <c r="AB64"/>
      <c r="AC64"/>
      <c r="AJ64" s="1548"/>
      <c r="BC64" s="1549"/>
      <c r="BD64" s="1548"/>
    </row>
    <row r="65" spans="1:56" ht="7.5" customHeight="1" x14ac:dyDescent="0.2">
      <c r="A65" s="1445"/>
      <c r="C65" s="1454"/>
      <c r="D65" s="1454"/>
      <c r="E65" s="1454"/>
      <c r="F65" s="1454"/>
      <c r="G65" s="1454"/>
      <c r="H65" s="1543"/>
      <c r="I65" s="1543"/>
      <c r="J65" s="1533"/>
      <c r="K65" s="1533"/>
      <c r="L65" s="1533"/>
      <c r="M65" s="1533"/>
      <c r="N65" s="1533"/>
      <c r="O65" s="1533"/>
      <c r="P65" s="1533"/>
      <c r="R65" s="1436"/>
      <c r="BD65" s="1439"/>
    </row>
    <row r="66" spans="1:56" s="1547" customFormat="1" ht="15.75" customHeight="1" x14ac:dyDescent="0.2">
      <c r="A66" s="1445"/>
      <c r="B66" s="1546"/>
      <c r="C66" s="1554" t="s">
        <v>261</v>
      </c>
      <c r="D66" s="1554"/>
      <c r="E66" s="1554"/>
      <c r="F66" s="1554"/>
      <c r="G66" s="1554"/>
      <c r="H66" s="1554"/>
      <c r="I66" s="1554"/>
      <c r="J66" s="1554"/>
      <c r="K66" s="1554"/>
      <c r="L66" s="1455">
        <f>L44-K44</f>
        <v>-33.043500000000222</v>
      </c>
      <c r="M66" s="1455">
        <f>M44-L44</f>
        <v>-41.08887975000016</v>
      </c>
      <c r="N66" s="1455">
        <f>N44-M44</f>
        <v>-50.042690715375102</v>
      </c>
      <c r="O66" s="1455">
        <f>O44-N44</f>
        <v>-59.991134091149434</v>
      </c>
      <c r="P66" s="1455">
        <f>P44-O44</f>
        <v>-71.028040429445809</v>
      </c>
      <c r="Q66" s="1435"/>
      <c r="R66" s="1436"/>
      <c r="S66" s="1436"/>
      <c r="T66" s="1436"/>
      <c r="X66"/>
      <c r="Y66"/>
      <c r="Z66"/>
      <c r="AA66"/>
      <c r="AB66"/>
      <c r="AC66"/>
      <c r="AJ66" s="1548"/>
      <c r="BC66" s="1549"/>
      <c r="BD66" s="1548"/>
    </row>
    <row r="67" spans="1:56" s="1547" customFormat="1" ht="15.75" customHeight="1" x14ac:dyDescent="0.2">
      <c r="A67" s="1445"/>
      <c r="B67" s="1546"/>
      <c r="C67" s="1554" t="s">
        <v>262</v>
      </c>
      <c r="D67" s="1554"/>
      <c r="E67" s="1554"/>
      <c r="F67" s="1554"/>
      <c r="G67" s="1554"/>
      <c r="H67" s="1554"/>
      <c r="I67" s="1554"/>
      <c r="J67" s="1554"/>
      <c r="K67" s="1554"/>
      <c r="L67" s="1455">
        <f>CHOOSE(dropDown,IF(ISERROR((L22+L38)*(1-L13)+(-L32*(1-L13))+((L24+L20)*(1-L13))),0,(L22+L38)*(1-L13)+(-L32*(1-L13))+((L24+L20)*(1-L13))),IF(ISERROR((L22+L38)*(1-L13)+(-L32*(1-L13))+((L23+L20)*(1-L13))),0,(L22+L38)*(1-L13)+(-L32*(1-L13))+((L23+L20)*(1-L13))))</f>
        <v>56.160000000000004</v>
      </c>
      <c r="M67" s="1455">
        <f>CHOOSE(dropDown,IF(ISERROR((M22+M38)*(1-M13)+(-M32*(1-M13))+((M24+M20)*(1-M13))),0,(M22+M38)*(1-M13)+(-M32*(1-M13))+((M24+M20)*(1-M13))),IF(ISERROR((M22+M38)*(1-M13)+(-M32*(1-M13))+((M23+M20)*(1-M13))),0,(M22+M38)*(1-M13)+(-M32*(1-M13))+((M23+M20)*(1-M13))))</f>
        <v>56.160000000000004</v>
      </c>
      <c r="N67" s="1455">
        <f>CHOOSE(dropDown,IF(ISERROR((N22+N38)*(1-N13)+(-N32*(1-N13))+((N24+N20)*(1-N13))),0,(N22+N38)*(1-N13)+(-N32*(1-N13))+((N24+N20)*(1-N13))),IF(ISERROR((N22+N38)*(1-N13)+(-N32*(1-N13))+((N23+N20)*(1-N13))),0,(N22+N38)*(1-N13)+(-N32*(1-N13))+((N23+N20)*(1-N13))))</f>
        <v>56.160000000000004</v>
      </c>
      <c r="O67" s="1455">
        <f>CHOOSE(dropDown,IF(ISERROR((O22+O38)*(1-O13)+(-O32*(1-O13))+((O24+O20)*(1-O13))),0,(O22+O38)*(1-O13)+(-O32*(1-O13))+((O24+O20)*(1-O13))),IF(ISERROR((O22+O38)*(1-O13)+(-O32*(1-O13))+((O23+O20)*(1-O13))),0,(O22+O38)*(1-O13)+(-O32*(1-O13))+((O23+O20)*(1-O13))))</f>
        <v>56.160000000000004</v>
      </c>
      <c r="P67" s="1455">
        <f>CHOOSE(dropDown,IF(ISERROR((P22+P38)*(1-P13)+(-P32*(1-P13))+((P24+P20)*(1-P13))),0,(P22+P38)*(1-P13)+(-P32*(1-P13))+((P24+P20)*(1-P13))),IF(ISERROR((P22+P38)*(1-P13)+(-P32*(1-P13))+((P23+P20)*(1-P13))),0,(P22+P38)*(1-P13)+(-P32*(1-P13))+((P23+P20)*(1-P13))))</f>
        <v>56.160000000000004</v>
      </c>
      <c r="Q67" s="1435"/>
      <c r="R67" s="1436"/>
      <c r="S67" s="1436"/>
      <c r="T67" s="1436"/>
      <c r="X67"/>
      <c r="Y67"/>
      <c r="Z67"/>
      <c r="AA67"/>
      <c r="AB67"/>
      <c r="AC67"/>
      <c r="AJ67" s="1548"/>
      <c r="BC67" s="1549"/>
      <c r="BD67" s="1548"/>
    </row>
    <row r="68" spans="1:56" s="1547" customFormat="1" ht="15.75" customHeight="1" x14ac:dyDescent="0.2">
      <c r="A68" s="1445"/>
      <c r="B68" s="1546"/>
      <c r="C68" s="1555" t="s">
        <v>263</v>
      </c>
      <c r="D68" s="1555"/>
      <c r="E68" s="1555"/>
      <c r="F68" s="1555"/>
      <c r="G68" s="1555"/>
      <c r="H68" s="1555"/>
      <c r="I68" s="1555"/>
      <c r="J68" s="1555"/>
      <c r="K68" s="1555"/>
      <c r="L68" s="1515">
        <f>SUM(L66:L67)</f>
        <v>23.116499999999782</v>
      </c>
      <c r="M68" s="1515">
        <f>SUM(M66:M67)</f>
        <v>15.071120249999844</v>
      </c>
      <c r="N68" s="1515">
        <f>SUM(N66:N67)</f>
        <v>6.117309284624902</v>
      </c>
      <c r="O68" s="1515">
        <f>SUM(O66:O67)</f>
        <v>-3.8311340911494298</v>
      </c>
      <c r="P68" s="1515">
        <f>SUM(P66:P67)</f>
        <v>-14.868040429445806</v>
      </c>
      <c r="Q68" s="1531"/>
      <c r="R68" s="1436"/>
      <c r="S68" s="1436"/>
      <c r="T68" s="1436"/>
      <c r="X68"/>
      <c r="Y68"/>
      <c r="Z68"/>
      <c r="AA68"/>
      <c r="AB68"/>
      <c r="AC68"/>
      <c r="AJ68" s="1548"/>
      <c r="BC68" s="1549"/>
      <c r="BD68" s="1548"/>
    </row>
    <row r="69" spans="1:56" s="1561" customFormat="1" ht="24.75" customHeight="1" x14ac:dyDescent="0.2">
      <c r="A69" s="1445"/>
      <c r="B69" s="1556"/>
      <c r="C69" s="1557" t="s">
        <v>376</v>
      </c>
      <c r="D69" s="1558"/>
      <c r="E69" s="1558"/>
      <c r="F69" s="1558"/>
      <c r="G69" s="1558"/>
      <c r="H69" s="1559"/>
      <c r="I69" s="1559"/>
      <c r="J69" s="1559"/>
      <c r="K69" s="1559"/>
      <c r="L69" s="1560">
        <f>ROUND(L62-L68,0)</f>
        <v>0</v>
      </c>
      <c r="M69" s="1560">
        <f>ROUND(M62-M68,0)</f>
        <v>0</v>
      </c>
      <c r="N69" s="1560">
        <f>ROUND(N62-N68,0)</f>
        <v>0</v>
      </c>
      <c r="O69" s="1560">
        <f>ROUND(O62-O68,0)</f>
        <v>0</v>
      </c>
      <c r="P69" s="1560">
        <f>ROUND(P62-P68,0)</f>
        <v>0</v>
      </c>
      <c r="Q69" s="2172" t="str">
        <f>IF(AND(L69&lt;&gt;0,M69&lt;&gt;0,N69&lt;&gt;0),"Check Failing? : Have you not updated Company Contributions on row 39?","")</f>
        <v/>
      </c>
      <c r="R69" s="2173"/>
      <c r="S69" s="2173"/>
      <c r="T69" s="2173"/>
      <c r="U69" s="2173"/>
      <c r="X69"/>
      <c r="Y69"/>
      <c r="Z69"/>
      <c r="AA69"/>
      <c r="AB69"/>
      <c r="AC69"/>
      <c r="BC69" s="1563"/>
    </row>
    <row r="70" spans="1:56" s="1561" customFormat="1" x14ac:dyDescent="0.2">
      <c r="A70" s="1445"/>
      <c r="B70" s="1556"/>
      <c r="C70" s="1558"/>
      <c r="D70" s="1558"/>
      <c r="E70" s="1558"/>
      <c r="F70" s="1558"/>
      <c r="G70" s="1558"/>
      <c r="H70" s="1559"/>
      <c r="I70" s="1559"/>
      <c r="J70" s="1559"/>
      <c r="K70" s="1559"/>
      <c r="L70" s="1564"/>
      <c r="M70" s="1564"/>
      <c r="N70" s="1564"/>
      <c r="O70" s="1564"/>
      <c r="P70" s="1564"/>
      <c r="Q70" s="1565"/>
      <c r="X70"/>
      <c r="Y70"/>
      <c r="Z70"/>
      <c r="AA70"/>
      <c r="AB70"/>
      <c r="AC70"/>
      <c r="BC70" s="1563"/>
    </row>
    <row r="71" spans="1:56" ht="12" x14ac:dyDescent="0.15">
      <c r="A71" s="1445"/>
      <c r="B71" s="1433" t="s">
        <v>264</v>
      </c>
      <c r="C71" s="1433" t="s">
        <v>265</v>
      </c>
      <c r="D71" s="1433"/>
      <c r="E71" s="1433"/>
      <c r="F71" s="1433"/>
      <c r="G71" s="1433"/>
      <c r="H71" s="1433"/>
      <c r="I71" s="1433"/>
      <c r="J71" s="1433"/>
      <c r="K71" s="1433"/>
      <c r="L71" s="1433"/>
      <c r="M71" s="1433"/>
      <c r="N71" s="1433"/>
      <c r="O71" s="1433"/>
      <c r="P71" s="1433"/>
      <c r="R71" s="1436"/>
      <c r="BD71" s="1439"/>
    </row>
    <row r="72" spans="1:56" ht="7.5" customHeight="1" x14ac:dyDescent="0.2">
      <c r="A72" s="1445"/>
      <c r="C72" s="1454"/>
      <c r="D72" s="1454"/>
      <c r="E72" s="1454"/>
      <c r="F72" s="1454"/>
      <c r="G72" s="1454"/>
      <c r="R72" s="1436"/>
      <c r="BD72" s="1439"/>
    </row>
    <row r="73" spans="1:56" x14ac:dyDescent="0.2">
      <c r="A73" s="1445"/>
      <c r="C73" s="1567" t="s">
        <v>266</v>
      </c>
      <c r="D73" s="1568"/>
      <c r="E73" s="1568"/>
      <c r="F73" s="1568"/>
      <c r="G73" s="1568"/>
      <c r="R73" s="1436"/>
      <c r="BD73" s="1439"/>
    </row>
    <row r="74" spans="1:56" x14ac:dyDescent="0.2">
      <c r="A74" s="1445"/>
      <c r="R74" s="1436"/>
      <c r="BD74" s="1439"/>
    </row>
    <row r="75" spans="1:56" x14ac:dyDescent="0.2">
      <c r="A75" s="1445"/>
      <c r="R75" s="1436"/>
      <c r="BD75" s="1439"/>
    </row>
    <row r="76" spans="1:56" x14ac:dyDescent="0.2">
      <c r="A76" s="1445"/>
      <c r="R76" s="1436"/>
      <c r="BD76" s="1439"/>
    </row>
    <row r="77" spans="1:56" x14ac:dyDescent="0.2">
      <c r="A77" s="1445"/>
      <c r="R77" s="1436"/>
      <c r="BD77" s="1439"/>
    </row>
    <row r="78" spans="1:56" x14ac:dyDescent="0.2">
      <c r="A78" s="1445"/>
      <c r="R78" s="1436"/>
      <c r="BD78" s="1439"/>
    </row>
    <row r="79" spans="1:56" x14ac:dyDescent="0.2">
      <c r="A79" s="1445"/>
      <c r="R79" s="1436"/>
      <c r="BD79" s="1439"/>
    </row>
    <row r="80" spans="1:56" x14ac:dyDescent="0.2">
      <c r="A80" s="1445"/>
      <c r="R80" s="1436"/>
      <c r="BD80" s="1439"/>
    </row>
    <row r="81" spans="1:56" x14ac:dyDescent="0.2">
      <c r="A81" s="1445"/>
      <c r="R81" s="1436"/>
      <c r="BD81" s="1439"/>
    </row>
    <row r="82" spans="1:56" x14ac:dyDescent="0.2">
      <c r="A82" s="1445"/>
      <c r="R82" s="1436"/>
      <c r="BD82" s="1439"/>
    </row>
    <row r="83" spans="1:56" x14ac:dyDescent="0.2">
      <c r="A83" s="1445"/>
      <c r="R83" s="1436"/>
      <c r="BD83" s="1439"/>
    </row>
    <row r="84" spans="1:56" x14ac:dyDescent="0.2">
      <c r="A84" s="1445"/>
      <c r="R84" s="1436"/>
      <c r="BD84" s="1439"/>
    </row>
    <row r="85" spans="1:56" x14ac:dyDescent="0.2">
      <c r="A85" s="1445"/>
      <c r="BD85" s="1439"/>
    </row>
    <row r="86" spans="1:56" x14ac:dyDescent="0.2">
      <c r="A86" s="1445"/>
      <c r="BD86" s="1439"/>
    </row>
    <row r="87" spans="1:56" ht="12" hidden="1" outlineLevel="1" x14ac:dyDescent="0.15">
      <c r="A87" s="1445"/>
      <c r="B87" s="1433"/>
      <c r="C87" s="1433" t="s">
        <v>267</v>
      </c>
      <c r="D87" s="1450">
        <f>+D6</f>
        <v>-7</v>
      </c>
      <c r="E87" s="1450">
        <f t="shared" ref="E87:P87" si="25">+E6</f>
        <v>-6</v>
      </c>
      <c r="F87" s="1450">
        <f t="shared" si="25"/>
        <v>-5</v>
      </c>
      <c r="G87" s="1450">
        <f t="shared" si="25"/>
        <v>-4</v>
      </c>
      <c r="H87" s="1450">
        <f t="shared" si="25"/>
        <v>2012</v>
      </c>
      <c r="I87" s="1450">
        <f t="shared" si="25"/>
        <v>2013</v>
      </c>
      <c r="J87" s="1450">
        <f t="shared" si="25"/>
        <v>2014</v>
      </c>
      <c r="K87" s="1450">
        <f t="shared" si="25"/>
        <v>2015</v>
      </c>
      <c r="L87" s="1450">
        <f t="shared" si="25"/>
        <v>2016</v>
      </c>
      <c r="M87" s="1450">
        <f t="shared" si="25"/>
        <v>2017</v>
      </c>
      <c r="N87" s="1450">
        <f t="shared" si="25"/>
        <v>2018</v>
      </c>
      <c r="O87" s="1450">
        <f t="shared" si="25"/>
        <v>2019</v>
      </c>
      <c r="P87" s="1450">
        <f t="shared" si="25"/>
        <v>2020</v>
      </c>
      <c r="BD87" s="1439"/>
    </row>
    <row r="88" spans="1:56" hidden="1" outlineLevel="1" x14ac:dyDescent="0.2">
      <c r="A88" s="1445"/>
      <c r="BD88" s="1439"/>
    </row>
    <row r="89" spans="1:56" hidden="1" outlineLevel="1" x14ac:dyDescent="0.2">
      <c r="A89" s="1445"/>
      <c r="C89" s="1435" t="s">
        <v>555</v>
      </c>
      <c r="D89" s="1455">
        <f>+D19</f>
        <v>34</v>
      </c>
      <c r="E89" s="1455">
        <f t="shared" ref="E89:P89" si="26">+E19</f>
        <v>25</v>
      </c>
      <c r="F89" s="1455">
        <f t="shared" si="26"/>
        <v>26</v>
      </c>
      <c r="G89" s="1455">
        <f t="shared" si="26"/>
        <v>26</v>
      </c>
      <c r="H89" s="1455">
        <f t="shared" si="26"/>
        <v>28</v>
      </c>
      <c r="I89" s="1455">
        <f t="shared" si="26"/>
        <v>34</v>
      </c>
      <c r="J89" s="1455">
        <f t="shared" si="26"/>
        <v>41</v>
      </c>
      <c r="K89" s="1455">
        <f t="shared" si="26"/>
        <v>34</v>
      </c>
      <c r="L89" s="1455">
        <f t="shared" si="26"/>
        <v>34</v>
      </c>
      <c r="M89" s="1455">
        <f t="shared" si="26"/>
        <v>34</v>
      </c>
      <c r="N89" s="1455">
        <f t="shared" si="26"/>
        <v>34</v>
      </c>
      <c r="O89" s="1455">
        <f t="shared" si="26"/>
        <v>34</v>
      </c>
      <c r="P89" s="1455">
        <f t="shared" si="26"/>
        <v>34</v>
      </c>
      <c r="BD89" s="1439"/>
    </row>
    <row r="90" spans="1:56" hidden="1" outlineLevel="1" x14ac:dyDescent="0.2">
      <c r="A90" s="1445"/>
      <c r="C90" s="1435" t="s">
        <v>268</v>
      </c>
      <c r="D90" s="1455"/>
      <c r="E90" s="1455">
        <f>+D44*D8</f>
        <v>18.030999999999999</v>
      </c>
      <c r="F90" s="1455">
        <f t="shared" ref="F90:P90" si="27">+E44*E8</f>
        <v>21.0625</v>
      </c>
      <c r="G90" s="1455">
        <f t="shared" si="27"/>
        <v>9.0090000000000003</v>
      </c>
      <c r="H90" s="1455">
        <f t="shared" si="27"/>
        <v>2.9924999999999997</v>
      </c>
      <c r="I90" s="1455">
        <f t="shared" si="27"/>
        <v>16.064999999999998</v>
      </c>
      <c r="J90" s="1455">
        <f t="shared" si="27"/>
        <v>18.030999999999999</v>
      </c>
      <c r="K90" s="1455">
        <f t="shared" si="27"/>
        <v>-1.1040000000000001</v>
      </c>
      <c r="L90" s="1455">
        <f t="shared" si="27"/>
        <v>12.052</v>
      </c>
      <c r="M90" s="1455">
        <f t="shared" si="27"/>
        <v>10.53199899999999</v>
      </c>
      <c r="N90" s="1455">
        <f t="shared" si="27"/>
        <v>8.6419105314999829</v>
      </c>
      <c r="O90" s="1455">
        <f t="shared" si="27"/>
        <v>6.3399467585927276</v>
      </c>
      <c r="P90" s="1455">
        <f t="shared" si="27"/>
        <v>3.5803545903998537</v>
      </c>
      <c r="BD90" s="1439"/>
    </row>
    <row r="91" spans="1:56" hidden="1" outlineLevel="1" x14ac:dyDescent="0.2">
      <c r="A91" s="1445"/>
      <c r="C91" s="1552" t="s">
        <v>269</v>
      </c>
      <c r="D91" s="1515">
        <f>SUM(D89:D90)</f>
        <v>34</v>
      </c>
      <c r="E91" s="1515">
        <f>SUM(E89:E90)</f>
        <v>43.030999999999999</v>
      </c>
      <c r="F91" s="1515">
        <f>SUM(F89:F90)</f>
        <v>47.0625</v>
      </c>
      <c r="G91" s="1515">
        <f t="shared" ref="G91:P91" si="28">SUM(G89:G90)</f>
        <v>35.009</v>
      </c>
      <c r="H91" s="1515">
        <f t="shared" si="28"/>
        <v>30.9925</v>
      </c>
      <c r="I91" s="1515">
        <f t="shared" si="28"/>
        <v>50.064999999999998</v>
      </c>
      <c r="J91" s="1515">
        <f t="shared" si="28"/>
        <v>59.030999999999999</v>
      </c>
      <c r="K91" s="1515">
        <f t="shared" si="28"/>
        <v>32.896000000000001</v>
      </c>
      <c r="L91" s="1515">
        <f t="shared" si="28"/>
        <v>46.052</v>
      </c>
      <c r="M91" s="1515">
        <f t="shared" si="28"/>
        <v>44.531998999999992</v>
      </c>
      <c r="N91" s="1515">
        <f t="shared" si="28"/>
        <v>42.641910531499981</v>
      </c>
      <c r="O91" s="1515">
        <f t="shared" si="28"/>
        <v>40.339946758592731</v>
      </c>
      <c r="P91" s="1515">
        <f t="shared" si="28"/>
        <v>37.580354590399857</v>
      </c>
      <c r="BD91" s="1439"/>
    </row>
    <row r="92" spans="1:56" hidden="1" outlineLevel="1" x14ac:dyDescent="0.2">
      <c r="A92" s="1445"/>
      <c r="C92" s="1552"/>
      <c r="D92" s="1435"/>
      <c r="E92" s="1435"/>
      <c r="F92" s="1435"/>
      <c r="G92" s="1435"/>
      <c r="BD92" s="1439"/>
    </row>
    <row r="93" spans="1:56" hidden="1" outlineLevel="1" x14ac:dyDescent="0.2">
      <c r="A93" s="1445"/>
      <c r="C93" s="1552" t="str">
        <f>+C25</f>
        <v>GAAP Pension Expense / (Benefit)</v>
      </c>
      <c r="D93" s="1569">
        <f>+D25</f>
        <v>60</v>
      </c>
      <c r="E93" s="1569">
        <f t="shared" ref="E93:P93" si="29">+E25</f>
        <v>-39</v>
      </c>
      <c r="F93" s="1569">
        <f t="shared" si="29"/>
        <v>1</v>
      </c>
      <c r="G93" s="1569">
        <f t="shared" si="29"/>
        <v>31</v>
      </c>
      <c r="H93" s="1569">
        <f t="shared" si="29"/>
        <v>50</v>
      </c>
      <c r="I93" s="1569">
        <f t="shared" si="29"/>
        <v>60</v>
      </c>
      <c r="J93" s="1569">
        <f t="shared" si="29"/>
        <v>69</v>
      </c>
      <c r="K93" s="1569">
        <f t="shared" si="29"/>
        <v>31</v>
      </c>
      <c r="L93" s="1569">
        <f t="shared" si="29"/>
        <v>53.356499999999983</v>
      </c>
      <c r="M93" s="1569">
        <f t="shared" si="29"/>
        <v>45.311120249999988</v>
      </c>
      <c r="N93" s="1569">
        <f t="shared" si="29"/>
        <v>36.357309284624961</v>
      </c>
      <c r="O93" s="1569">
        <f t="shared" si="29"/>
        <v>26.408865908850515</v>
      </c>
      <c r="P93" s="1569">
        <f t="shared" si="29"/>
        <v>15.37195957055394</v>
      </c>
      <c r="BD93" s="1439"/>
    </row>
    <row r="94" spans="1:56" hidden="1" outlineLevel="1" x14ac:dyDescent="0.2">
      <c r="A94" s="1445"/>
      <c r="C94" s="1552"/>
      <c r="D94" s="1435"/>
      <c r="E94" s="1435"/>
      <c r="F94" s="1435"/>
      <c r="G94" s="1435"/>
      <c r="BD94" s="1439"/>
    </row>
    <row r="95" spans="1:56" hidden="1" outlineLevel="1" x14ac:dyDescent="0.2">
      <c r="A95" s="1445"/>
      <c r="C95" s="1552" t="s">
        <v>391</v>
      </c>
      <c r="D95" s="1569">
        <f>+D93-D91</f>
        <v>26</v>
      </c>
      <c r="E95" s="1569">
        <f t="shared" ref="E95:P95" si="30">+E93-E91</f>
        <v>-82.031000000000006</v>
      </c>
      <c r="F95" s="1569">
        <f t="shared" si="30"/>
        <v>-46.0625</v>
      </c>
      <c r="G95" s="1569">
        <f t="shared" si="30"/>
        <v>-4.0090000000000003</v>
      </c>
      <c r="H95" s="1569">
        <f t="shared" si="30"/>
        <v>19.0075</v>
      </c>
      <c r="I95" s="1569">
        <f t="shared" si="30"/>
        <v>9.9350000000000023</v>
      </c>
      <c r="J95" s="1569">
        <f t="shared" si="30"/>
        <v>9.9690000000000012</v>
      </c>
      <c r="K95" s="1569">
        <f t="shared" si="30"/>
        <v>-1.8960000000000008</v>
      </c>
      <c r="L95" s="1569">
        <f t="shared" si="30"/>
        <v>7.3044999999999831</v>
      </c>
      <c r="M95" s="1569">
        <f t="shared" si="30"/>
        <v>0.77912124999999577</v>
      </c>
      <c r="N95" s="1569">
        <f t="shared" si="30"/>
        <v>-6.2846012468750203</v>
      </c>
      <c r="O95" s="1569">
        <f t="shared" si="30"/>
        <v>-13.931080849742216</v>
      </c>
      <c r="P95" s="1569">
        <f t="shared" si="30"/>
        <v>-22.208395019845916</v>
      </c>
      <c r="BD95" s="1439"/>
    </row>
    <row r="96" spans="1:56" hidden="1" outlineLevel="1" x14ac:dyDescent="0.2">
      <c r="A96" s="1445"/>
      <c r="C96" s="1552"/>
      <c r="D96" s="1435"/>
      <c r="E96" s="1435"/>
      <c r="F96" s="1435"/>
      <c r="G96" s="1435"/>
      <c r="BD96" s="1439"/>
    </row>
    <row r="97" spans="1:56" hidden="1" outlineLevel="1" x14ac:dyDescent="0.2">
      <c r="A97" s="1445"/>
      <c r="C97" s="1435" t="s">
        <v>270</v>
      </c>
      <c r="D97" s="1533" t="s">
        <v>804</v>
      </c>
      <c r="E97" s="1570" t="s">
        <v>805</v>
      </c>
      <c r="F97" s="1570" t="s">
        <v>806</v>
      </c>
      <c r="G97" s="1570" t="s">
        <v>807</v>
      </c>
      <c r="H97" s="1570" t="s">
        <v>808</v>
      </c>
      <c r="I97" s="1570" t="s">
        <v>809</v>
      </c>
      <c r="J97" s="1570" t="s">
        <v>810</v>
      </c>
      <c r="K97" s="1570" t="s">
        <v>811</v>
      </c>
      <c r="L97" s="1571" t="s">
        <v>812</v>
      </c>
      <c r="M97" s="1571" t="s">
        <v>813</v>
      </c>
      <c r="N97" s="1571" t="s">
        <v>814</v>
      </c>
      <c r="O97" s="1533" t="s">
        <v>815</v>
      </c>
      <c r="P97" s="1533" t="s">
        <v>816</v>
      </c>
      <c r="Q97" s="1435" t="s">
        <v>817</v>
      </c>
      <c r="R97" s="1435" t="s">
        <v>818</v>
      </c>
      <c r="S97" s="1436" t="s">
        <v>819</v>
      </c>
      <c r="T97" s="1436" t="s">
        <v>820</v>
      </c>
      <c r="BD97" s="1439"/>
    </row>
    <row r="98" spans="1:56" hidden="1" outlineLevel="1" x14ac:dyDescent="0.2">
      <c r="A98" s="1445"/>
      <c r="C98" s="1552"/>
      <c r="D98" s="1435"/>
      <c r="E98" s="1435"/>
      <c r="F98" s="1435"/>
      <c r="G98" s="1435"/>
      <c r="BD98" s="1439"/>
    </row>
    <row r="99" spans="1:56" hidden="1" outlineLevel="1" x14ac:dyDescent="0.2">
      <c r="A99" s="1445"/>
      <c r="C99" s="1552" t="s">
        <v>271</v>
      </c>
      <c r="D99" s="1572" t="str">
        <f>IF(ISERROR(D95/D97),"NA",(D95/D97))</f>
        <v>NA</v>
      </c>
      <c r="E99" s="1572" t="str">
        <f t="shared" ref="E99:P99" si="31">IF(ISERROR(E95/E97),"NA",(E95/E97))</f>
        <v>NA</v>
      </c>
      <c r="F99" s="1572" t="str">
        <f t="shared" si="31"/>
        <v>NA</v>
      </c>
      <c r="G99" s="1572" t="str">
        <f t="shared" si="31"/>
        <v>NA</v>
      </c>
      <c r="H99" s="1572" t="str">
        <f t="shared" si="31"/>
        <v>NA</v>
      </c>
      <c r="I99" s="1572" t="str">
        <f t="shared" si="31"/>
        <v>NA</v>
      </c>
      <c r="J99" s="1572" t="str">
        <f t="shared" si="31"/>
        <v>NA</v>
      </c>
      <c r="K99" s="1572" t="str">
        <f t="shared" si="31"/>
        <v>NA</v>
      </c>
      <c r="L99" s="1572" t="str">
        <f t="shared" si="31"/>
        <v>NA</v>
      </c>
      <c r="M99" s="1572" t="str">
        <f t="shared" si="31"/>
        <v>NA</v>
      </c>
      <c r="N99" s="1572" t="str">
        <f t="shared" si="31"/>
        <v>NA</v>
      </c>
      <c r="O99" s="1572" t="str">
        <f t="shared" si="31"/>
        <v>NA</v>
      </c>
      <c r="P99" s="1572" t="str">
        <f t="shared" si="31"/>
        <v>NA</v>
      </c>
      <c r="BD99" s="1439"/>
    </row>
    <row r="100" spans="1:56" hidden="1" outlineLevel="1" x14ac:dyDescent="0.2">
      <c r="A100" s="1445"/>
      <c r="D100" s="1435"/>
      <c r="E100" s="1435"/>
      <c r="F100" s="1435"/>
      <c r="G100" s="1435"/>
      <c r="BD100" s="1439"/>
    </row>
    <row r="101" spans="1:56" collapsed="1" x14ac:dyDescent="0.2">
      <c r="BD101" s="1439"/>
    </row>
    <row r="102" spans="1:56" x14ac:dyDescent="0.2">
      <c r="BD102" s="1439"/>
    </row>
    <row r="103" spans="1:56" x14ac:dyDescent="0.2">
      <c r="BD103" s="1439"/>
    </row>
    <row r="104" spans="1:56" x14ac:dyDescent="0.2">
      <c r="BD104" s="1439"/>
    </row>
    <row r="105" spans="1:56" x14ac:dyDescent="0.2">
      <c r="BD105" s="1439"/>
    </row>
    <row r="106" spans="1:56" x14ac:dyDescent="0.2">
      <c r="BD106" s="1439"/>
    </row>
    <row r="107" spans="1:56" x14ac:dyDescent="0.2">
      <c r="BD107" s="1439"/>
    </row>
    <row r="108" spans="1:56" x14ac:dyDescent="0.2">
      <c r="BD108" s="1439"/>
    </row>
    <row r="109" spans="1:56" x14ac:dyDescent="0.2">
      <c r="BD109" s="1439"/>
    </row>
    <row r="110" spans="1:56" x14ac:dyDescent="0.2">
      <c r="BD110" s="1439"/>
    </row>
    <row r="111" spans="1:56" x14ac:dyDescent="0.2">
      <c r="BD111" s="1439"/>
    </row>
    <row r="112" spans="1:56" x14ac:dyDescent="0.2">
      <c r="BD112" s="1439"/>
    </row>
    <row r="113" spans="56:56" x14ac:dyDescent="0.2">
      <c r="BD113" s="1439"/>
    </row>
    <row r="114" spans="56:56" x14ac:dyDescent="0.2">
      <c r="BD114" s="1439"/>
    </row>
    <row r="115" spans="56:56" x14ac:dyDescent="0.2">
      <c r="BD115" s="1439"/>
    </row>
    <row r="116" spans="56:56" x14ac:dyDescent="0.2">
      <c r="BD116" s="1439"/>
    </row>
    <row r="117" spans="56:56" x14ac:dyDescent="0.2">
      <c r="BD117" s="1439"/>
    </row>
    <row r="118" spans="56:56" x14ac:dyDescent="0.2">
      <c r="BD118" s="1439"/>
    </row>
    <row r="119" spans="56:56" x14ac:dyDescent="0.2">
      <c r="BD119" s="1439"/>
    </row>
    <row r="120" spans="56:56" x14ac:dyDescent="0.2">
      <c r="BD120" s="1439"/>
    </row>
    <row r="121" spans="56:56" x14ac:dyDescent="0.2">
      <c r="BD121" s="1439"/>
    </row>
    <row r="122" spans="56:56" x14ac:dyDescent="0.2">
      <c r="BD122" s="1439"/>
    </row>
    <row r="123" spans="56:56" x14ac:dyDescent="0.2">
      <c r="BD123" s="1439"/>
    </row>
    <row r="124" spans="56:56" x14ac:dyDescent="0.2">
      <c r="BD124" s="1439"/>
    </row>
    <row r="125" spans="56:56" x14ac:dyDescent="0.2">
      <c r="BD125" s="1439"/>
    </row>
    <row r="126" spans="56:56" x14ac:dyDescent="0.2">
      <c r="BD126" s="1439"/>
    </row>
    <row r="127" spans="56:56" x14ac:dyDescent="0.2">
      <c r="BD127" s="1439"/>
    </row>
    <row r="128" spans="56:56" x14ac:dyDescent="0.2">
      <c r="BD128" s="1439"/>
    </row>
    <row r="129" spans="56:56" x14ac:dyDescent="0.2">
      <c r="BD129" s="1439"/>
    </row>
    <row r="130" spans="56:56" x14ac:dyDescent="0.2">
      <c r="BD130" s="1439"/>
    </row>
    <row r="131" spans="56:56" x14ac:dyDescent="0.2">
      <c r="BD131" s="1439"/>
    </row>
    <row r="132" spans="56:56" x14ac:dyDescent="0.2">
      <c r="BD132" s="1439"/>
    </row>
    <row r="133" spans="56:56" x14ac:dyDescent="0.2">
      <c r="BD133" s="1439"/>
    </row>
    <row r="134" spans="56:56" x14ac:dyDescent="0.2">
      <c r="BD134" s="1439"/>
    </row>
    <row r="135" spans="56:56" x14ac:dyDescent="0.2">
      <c r="BD135" s="1439"/>
    </row>
    <row r="136" spans="56:56" x14ac:dyDescent="0.2">
      <c r="BD136" s="1439"/>
    </row>
    <row r="137" spans="56:56" x14ac:dyDescent="0.2">
      <c r="BD137" s="1439"/>
    </row>
    <row r="138" spans="56:56" x14ac:dyDescent="0.2">
      <c r="BD138" s="1439"/>
    </row>
    <row r="139" spans="56:56" x14ac:dyDescent="0.2">
      <c r="BD139" s="1439"/>
    </row>
    <row r="140" spans="56:56" x14ac:dyDescent="0.2">
      <c r="BD140" s="1439"/>
    </row>
    <row r="141" spans="56:56" x14ac:dyDescent="0.2">
      <c r="BD141" s="1439"/>
    </row>
    <row r="142" spans="56:56" x14ac:dyDescent="0.2">
      <c r="BD142" s="1439"/>
    </row>
    <row r="143" spans="56:56" x14ac:dyDescent="0.2">
      <c r="BD143" s="1439"/>
    </row>
    <row r="144" spans="56:56" x14ac:dyDescent="0.2">
      <c r="BD144" s="1439"/>
    </row>
    <row r="145" spans="56:56" x14ac:dyDescent="0.2">
      <c r="BD145" s="1439"/>
    </row>
    <row r="146" spans="56:56" x14ac:dyDescent="0.2">
      <c r="BD146" s="1439"/>
    </row>
    <row r="147" spans="56:56" x14ac:dyDescent="0.2">
      <c r="BD147" s="1439"/>
    </row>
    <row r="148" spans="56:56" x14ac:dyDescent="0.2">
      <c r="BD148" s="1439"/>
    </row>
    <row r="149" spans="56:56" x14ac:dyDescent="0.2">
      <c r="BD149" s="1439"/>
    </row>
    <row r="150" spans="56:56" x14ac:dyDescent="0.2">
      <c r="BD150" s="1439"/>
    </row>
    <row r="151" spans="56:56" x14ac:dyDescent="0.2">
      <c r="BD151" s="1439"/>
    </row>
    <row r="152" spans="56:56" x14ac:dyDescent="0.2">
      <c r="BD152" s="1439"/>
    </row>
    <row r="153" spans="56:56" x14ac:dyDescent="0.2">
      <c r="BD153" s="1439"/>
    </row>
    <row r="154" spans="56:56" x14ac:dyDescent="0.2">
      <c r="BD154" s="1439"/>
    </row>
    <row r="155" spans="56:56" x14ac:dyDescent="0.2">
      <c r="BD155" s="1439"/>
    </row>
    <row r="156" spans="56:56" x14ac:dyDescent="0.2">
      <c r="BD156" s="1439"/>
    </row>
    <row r="157" spans="56:56" x14ac:dyDescent="0.2">
      <c r="BD157" s="1439"/>
    </row>
    <row r="158" spans="56:56" x14ac:dyDescent="0.2">
      <c r="BD158" s="1439"/>
    </row>
    <row r="159" spans="56:56" x14ac:dyDescent="0.2">
      <c r="BD159" s="1439"/>
    </row>
    <row r="160" spans="56:56" x14ac:dyDescent="0.2">
      <c r="BD160" s="1439"/>
    </row>
    <row r="161" spans="56:56" x14ac:dyDescent="0.2">
      <c r="BD161" s="1439"/>
    </row>
    <row r="162" spans="56:56" x14ac:dyDescent="0.2">
      <c r="BD162" s="1439"/>
    </row>
    <row r="163" spans="56:56" x14ac:dyDescent="0.2">
      <c r="BD163" s="1439"/>
    </row>
    <row r="164" spans="56:56" x14ac:dyDescent="0.2">
      <c r="BD164" s="1439"/>
    </row>
    <row r="165" spans="56:56" x14ac:dyDescent="0.2">
      <c r="BD165" s="1439"/>
    </row>
    <row r="166" spans="56:56" x14ac:dyDescent="0.2">
      <c r="BD166" s="1439"/>
    </row>
    <row r="167" spans="56:56" x14ac:dyDescent="0.2">
      <c r="BD167" s="1439"/>
    </row>
    <row r="168" spans="56:56" x14ac:dyDescent="0.2">
      <c r="BD168" s="1439"/>
    </row>
    <row r="169" spans="56:56" x14ac:dyDescent="0.2">
      <c r="BD169" s="1439"/>
    </row>
    <row r="170" spans="56:56" x14ac:dyDescent="0.2">
      <c r="BD170" s="1439"/>
    </row>
    <row r="171" spans="56:56" x14ac:dyDescent="0.2">
      <c r="BD171" s="1439"/>
    </row>
    <row r="172" spans="56:56" x14ac:dyDescent="0.2">
      <c r="BD172" s="1439"/>
    </row>
    <row r="173" spans="56:56" x14ac:dyDescent="0.2">
      <c r="BD173" s="1439"/>
    </row>
    <row r="174" spans="56:56" x14ac:dyDescent="0.2">
      <c r="BD174" s="1439"/>
    </row>
    <row r="175" spans="56:56" x14ac:dyDescent="0.2">
      <c r="BD175" s="1439"/>
    </row>
    <row r="176" spans="56:56" x14ac:dyDescent="0.2">
      <c r="BD176" s="1439"/>
    </row>
    <row r="177" spans="36:56" x14ac:dyDescent="0.2">
      <c r="BD177" s="1439"/>
    </row>
    <row r="178" spans="36:56" x14ac:dyDescent="0.2">
      <c r="BD178" s="1439"/>
    </row>
    <row r="179" spans="36:56" x14ac:dyDescent="0.2">
      <c r="BD179" s="1439"/>
    </row>
    <row r="180" spans="36:56" x14ac:dyDescent="0.2">
      <c r="BD180" s="1439"/>
    </row>
    <row r="181" spans="36:56" x14ac:dyDescent="0.2">
      <c r="BD181" s="1439"/>
    </row>
    <row r="182" spans="36:56" x14ac:dyDescent="0.2">
      <c r="AM182" s="1574" t="str">
        <f>IF(AND(AM183="GBP",CODE(RIGHT(AM183,1))=112),"BPN",AM183)</f>
        <v>USD</v>
      </c>
      <c r="BD182" s="1439"/>
    </row>
    <row r="183" spans="36:56" x14ac:dyDescent="0.2">
      <c r="AL183" s="1575" t="s">
        <v>327</v>
      </c>
      <c r="AM183" s="1574" t="s">
        <v>594</v>
      </c>
      <c r="BD183" s="1439"/>
    </row>
    <row r="184" spans="36:56" x14ac:dyDescent="0.2">
      <c r="AL184" s="1575" t="s">
        <v>328</v>
      </c>
      <c r="AM184" s="1576" t="s">
        <v>594</v>
      </c>
      <c r="BD184" s="1439"/>
    </row>
    <row r="185" spans="36:56" x14ac:dyDescent="0.2">
      <c r="AM185" s="1577"/>
      <c r="BD185" s="1439"/>
    </row>
    <row r="186" spans="36:56" x14ac:dyDescent="0.2">
      <c r="AM186" s="1576" t="str">
        <f>AM184</f>
        <v>USD</v>
      </c>
      <c r="AN186" s="1436" t="str">
        <f>VLOOKUP(Currency_ISOcode,$AM$190:$AN$246,2,0)</f>
        <v>$</v>
      </c>
      <c r="AO186" s="1436" t="str">
        <f>"OPEB in "&amp;$AN$186&amp;" mn"</f>
        <v>OPEB in $ mn</v>
      </c>
      <c r="BD186" s="1439"/>
    </row>
    <row r="187" spans="36:56" x14ac:dyDescent="0.2">
      <c r="AM187" s="1577"/>
      <c r="BD187" s="1439"/>
    </row>
    <row r="188" spans="36:56" x14ac:dyDescent="0.2">
      <c r="AM188" s="1577"/>
      <c r="BD188" s="1439"/>
    </row>
    <row r="189" spans="36:56" x14ac:dyDescent="0.2">
      <c r="AL189" s="1562">
        <f>IF(ISERROR(MATCH($AM$182,$AM$190:$AM$246,FALSE)),57,MATCH($AM$182,$AM$190:$AM$246,FALSE))</f>
        <v>54</v>
      </c>
      <c r="AM189" s="1576" t="str">
        <f>VLOOKUP($AN$189,$AJ$190:$AM$246,4,FALSE)</f>
        <v>USD</v>
      </c>
      <c r="AN189" s="1436">
        <v>54</v>
      </c>
      <c r="BD189" s="1439"/>
    </row>
    <row r="190" spans="36:56" x14ac:dyDescent="0.2">
      <c r="AJ190" s="1448">
        <v>1</v>
      </c>
      <c r="AK190" s="1578" t="s">
        <v>26</v>
      </c>
      <c r="AL190" s="1578" t="s">
        <v>27</v>
      </c>
      <c r="AM190" s="1578" t="s">
        <v>27</v>
      </c>
      <c r="AN190" s="1436" t="str">
        <f>AL190</f>
        <v>AED</v>
      </c>
      <c r="BD190" s="1448"/>
    </row>
    <row r="191" spans="36:56" x14ac:dyDescent="0.2">
      <c r="AJ191" s="1448">
        <v>2</v>
      </c>
      <c r="AK191" s="1578" t="s">
        <v>28</v>
      </c>
      <c r="AL191" s="1578" t="s">
        <v>29</v>
      </c>
      <c r="AM191" s="1578" t="s">
        <v>30</v>
      </c>
      <c r="AN191" s="1436" t="str">
        <f t="shared" ref="AN191:AN245" si="32">AL191</f>
        <v>Ar$</v>
      </c>
    </row>
    <row r="192" spans="36:56" x14ac:dyDescent="0.2">
      <c r="AJ192" s="1448">
        <v>3</v>
      </c>
      <c r="AK192" s="1578" t="s">
        <v>31</v>
      </c>
      <c r="AL192" s="1578" t="s">
        <v>205</v>
      </c>
      <c r="AM192" s="1578" t="s">
        <v>206</v>
      </c>
      <c r="AN192" s="1436" t="str">
        <f t="shared" si="32"/>
        <v>A$</v>
      </c>
    </row>
    <row r="193" spans="36:40" x14ac:dyDescent="0.2">
      <c r="AJ193" s="1448">
        <v>4</v>
      </c>
      <c r="AK193" s="1578" t="s">
        <v>207</v>
      </c>
      <c r="AL193" s="1578" t="s">
        <v>208</v>
      </c>
      <c r="AM193" s="1578" t="s">
        <v>208</v>
      </c>
      <c r="AN193" s="1436" t="str">
        <f t="shared" si="32"/>
        <v>BGL</v>
      </c>
    </row>
    <row r="194" spans="36:40" x14ac:dyDescent="0.2">
      <c r="AJ194" s="1448">
        <v>5</v>
      </c>
      <c r="AK194" s="1578" t="s">
        <v>209</v>
      </c>
      <c r="AL194" s="1578" t="s">
        <v>210</v>
      </c>
      <c r="AM194" s="1578" t="s">
        <v>210</v>
      </c>
      <c r="AN194" s="1436" t="str">
        <f t="shared" si="32"/>
        <v>BMD</v>
      </c>
    </row>
    <row r="195" spans="36:40" x14ac:dyDescent="0.2">
      <c r="AJ195" s="1448">
        <v>6</v>
      </c>
      <c r="AK195" s="1578" t="s">
        <v>211</v>
      </c>
      <c r="AL195" s="1578" t="s">
        <v>212</v>
      </c>
      <c r="AM195" s="1578" t="s">
        <v>240</v>
      </c>
      <c r="AN195" s="1436" t="str">
        <f t="shared" si="32"/>
        <v>R$</v>
      </c>
    </row>
    <row r="196" spans="36:40" x14ac:dyDescent="0.2">
      <c r="AJ196" s="1448">
        <v>7</v>
      </c>
      <c r="AK196" s="1578" t="s">
        <v>241</v>
      </c>
      <c r="AL196" s="1578" t="s">
        <v>242</v>
      </c>
      <c r="AM196" s="1578" t="s">
        <v>243</v>
      </c>
      <c r="AN196" s="1436" t="str">
        <f t="shared" si="32"/>
        <v>C$</v>
      </c>
    </row>
    <row r="197" spans="36:40" x14ac:dyDescent="0.2">
      <c r="AJ197" s="1448">
        <v>8</v>
      </c>
      <c r="AK197" s="1578" t="s">
        <v>37</v>
      </c>
      <c r="AL197" s="1578" t="s">
        <v>38</v>
      </c>
      <c r="AM197" s="1578" t="s">
        <v>39</v>
      </c>
      <c r="AN197" s="1436" t="str">
        <f t="shared" si="32"/>
        <v>SFr</v>
      </c>
    </row>
    <row r="198" spans="36:40" x14ac:dyDescent="0.2">
      <c r="AJ198" s="1448">
        <v>9</v>
      </c>
      <c r="AK198" s="1578" t="s">
        <v>116</v>
      </c>
      <c r="AL198" s="1578" t="s">
        <v>117</v>
      </c>
      <c r="AM198" s="1578" t="s">
        <v>117</v>
      </c>
      <c r="AN198" s="1436" t="str">
        <f t="shared" si="32"/>
        <v>CLP</v>
      </c>
    </row>
    <row r="199" spans="36:40" x14ac:dyDescent="0.2">
      <c r="AJ199" s="1448">
        <v>10</v>
      </c>
      <c r="AK199" s="1578" t="s">
        <v>220</v>
      </c>
      <c r="AL199" s="1578" t="s">
        <v>330</v>
      </c>
      <c r="AM199" s="1578" t="s">
        <v>331</v>
      </c>
      <c r="AN199" s="1436" t="str">
        <f t="shared" si="32"/>
        <v>Rmb</v>
      </c>
    </row>
    <row r="200" spans="36:40" x14ac:dyDescent="0.2">
      <c r="AJ200" s="1448">
        <v>11</v>
      </c>
      <c r="AK200" s="1578" t="s">
        <v>332</v>
      </c>
      <c r="AL200" s="1578" t="s">
        <v>333</v>
      </c>
      <c r="AM200" s="1578" t="s">
        <v>333</v>
      </c>
      <c r="AN200" s="1436" t="str">
        <f t="shared" si="32"/>
        <v>COP</v>
      </c>
    </row>
    <row r="201" spans="36:40" x14ac:dyDescent="0.2">
      <c r="AJ201" s="1448">
        <v>12</v>
      </c>
      <c r="AK201" s="1578" t="s">
        <v>334</v>
      </c>
      <c r="AL201" s="1578" t="s">
        <v>335</v>
      </c>
      <c r="AM201" s="1578" t="s">
        <v>336</v>
      </c>
      <c r="AN201" s="1436" t="str">
        <f t="shared" si="32"/>
        <v>Kcs</v>
      </c>
    </row>
    <row r="202" spans="36:40" x14ac:dyDescent="0.2">
      <c r="AJ202" s="1448">
        <v>13</v>
      </c>
      <c r="AK202" s="1578" t="s">
        <v>337</v>
      </c>
      <c r="AL202" s="1578" t="s">
        <v>338</v>
      </c>
      <c r="AM202" s="1578" t="s">
        <v>339</v>
      </c>
      <c r="AN202" s="1436" t="str">
        <f t="shared" si="32"/>
        <v>DKr</v>
      </c>
    </row>
    <row r="203" spans="36:40" x14ac:dyDescent="0.2">
      <c r="AJ203" s="1448">
        <v>14</v>
      </c>
      <c r="AK203" s="1578" t="s">
        <v>340</v>
      </c>
      <c r="AL203" s="1578" t="s">
        <v>341</v>
      </c>
      <c r="AM203" s="1578" t="s">
        <v>341</v>
      </c>
      <c r="AN203" s="1436" t="str">
        <f t="shared" si="32"/>
        <v>DZD</v>
      </c>
    </row>
    <row r="204" spans="36:40" x14ac:dyDescent="0.2">
      <c r="AJ204" s="1448">
        <v>15</v>
      </c>
      <c r="AK204" s="1578" t="s">
        <v>342</v>
      </c>
      <c r="AL204" s="1578" t="s">
        <v>343</v>
      </c>
      <c r="AM204" s="1578" t="s">
        <v>343</v>
      </c>
      <c r="AN204" s="1436" t="str">
        <f t="shared" si="32"/>
        <v>EGP</v>
      </c>
    </row>
    <row r="205" spans="36:40" x14ac:dyDescent="0.2">
      <c r="AJ205" s="1448">
        <v>16</v>
      </c>
      <c r="AK205" s="1578" t="s">
        <v>344</v>
      </c>
      <c r="AL205" s="1578" t="s">
        <v>345</v>
      </c>
      <c r="AM205" s="1578" t="s">
        <v>346</v>
      </c>
      <c r="AN205" s="1436" t="str">
        <f t="shared" si="32"/>
        <v>€</v>
      </c>
    </row>
    <row r="206" spans="36:40" x14ac:dyDescent="0.2">
      <c r="AJ206" s="1448">
        <v>17</v>
      </c>
      <c r="AK206" s="1578" t="s">
        <v>347</v>
      </c>
      <c r="AL206" s="1578" t="s">
        <v>348</v>
      </c>
      <c r="AM206" s="1578" t="s">
        <v>401</v>
      </c>
      <c r="AN206" s="1436" t="str">
        <f t="shared" si="32"/>
        <v>p</v>
      </c>
    </row>
    <row r="207" spans="36:40" x14ac:dyDescent="0.2">
      <c r="AJ207" s="1448">
        <v>18</v>
      </c>
      <c r="AK207" s="1578" t="s">
        <v>502</v>
      </c>
      <c r="AL207" s="1578" t="s">
        <v>503</v>
      </c>
      <c r="AM207" s="1578" t="s">
        <v>504</v>
      </c>
      <c r="AN207" s="1436" t="str">
        <f t="shared" si="32"/>
        <v>₤</v>
      </c>
    </row>
    <row r="208" spans="36:40" x14ac:dyDescent="0.2">
      <c r="AJ208" s="1448">
        <v>19</v>
      </c>
      <c r="AK208" s="1578" t="s">
        <v>302</v>
      </c>
      <c r="AL208" s="1578" t="s">
        <v>610</v>
      </c>
      <c r="AM208" s="1578" t="s">
        <v>611</v>
      </c>
      <c r="AN208" s="1436" t="str">
        <f t="shared" si="32"/>
        <v>HK$</v>
      </c>
    </row>
    <row r="209" spans="36:40" x14ac:dyDescent="0.2">
      <c r="AJ209" s="1448">
        <v>20</v>
      </c>
      <c r="AK209" s="1578" t="s">
        <v>612</v>
      </c>
      <c r="AL209" s="1578" t="s">
        <v>613</v>
      </c>
      <c r="AM209" s="1578" t="s">
        <v>614</v>
      </c>
      <c r="AN209" s="1436" t="str">
        <f t="shared" si="32"/>
        <v>Ft</v>
      </c>
    </row>
    <row r="210" spans="36:40" x14ac:dyDescent="0.2">
      <c r="AJ210" s="1448">
        <v>21</v>
      </c>
      <c r="AK210" s="1578" t="s">
        <v>615</v>
      </c>
      <c r="AL210" s="1578" t="s">
        <v>616</v>
      </c>
      <c r="AM210" s="1578" t="s">
        <v>617</v>
      </c>
      <c r="AN210" s="1436" t="str">
        <f t="shared" si="32"/>
        <v>Rp</v>
      </c>
    </row>
    <row r="211" spans="36:40" x14ac:dyDescent="0.2">
      <c r="AJ211" s="1448">
        <v>22</v>
      </c>
      <c r="AK211" s="1578" t="s">
        <v>524</v>
      </c>
      <c r="AL211" s="1578" t="s">
        <v>525</v>
      </c>
      <c r="AM211" s="1578" t="s">
        <v>525</v>
      </c>
      <c r="AN211" s="1436" t="str">
        <f t="shared" si="32"/>
        <v>ILS</v>
      </c>
    </row>
    <row r="212" spans="36:40" x14ac:dyDescent="0.2">
      <c r="AJ212" s="1448">
        <v>23</v>
      </c>
      <c r="AK212" s="1578" t="s">
        <v>526</v>
      </c>
      <c r="AL212" s="1578" t="s">
        <v>527</v>
      </c>
      <c r="AM212" s="1578" t="s">
        <v>528</v>
      </c>
      <c r="AN212" s="1436" t="str">
        <f t="shared" si="32"/>
        <v>Rs.</v>
      </c>
    </row>
    <row r="213" spans="36:40" x14ac:dyDescent="0.2">
      <c r="AJ213" s="1448">
        <v>24</v>
      </c>
      <c r="AK213" s="1578" t="s">
        <v>529</v>
      </c>
      <c r="AL213" s="1578" t="s">
        <v>530</v>
      </c>
      <c r="AM213" s="1578" t="s">
        <v>530</v>
      </c>
      <c r="AN213" s="1436" t="str">
        <f t="shared" si="32"/>
        <v>IQD</v>
      </c>
    </row>
    <row r="214" spans="36:40" x14ac:dyDescent="0.2">
      <c r="AJ214" s="1448">
        <v>25</v>
      </c>
      <c r="AK214" s="1578" t="s">
        <v>296</v>
      </c>
      <c r="AL214" s="1578" t="s">
        <v>297</v>
      </c>
      <c r="AM214" s="1578" t="s">
        <v>297</v>
      </c>
      <c r="AN214" s="1436" t="str">
        <f t="shared" si="32"/>
        <v>IRR</v>
      </c>
    </row>
    <row r="215" spans="36:40" x14ac:dyDescent="0.2">
      <c r="AJ215" s="1448">
        <v>26</v>
      </c>
      <c r="AK215" s="1578" t="s">
        <v>298</v>
      </c>
      <c r="AL215" s="1578" t="s">
        <v>299</v>
      </c>
      <c r="AM215" s="1578" t="s">
        <v>300</v>
      </c>
      <c r="AN215" s="1436" t="str">
        <f t="shared" si="32"/>
        <v>kr</v>
      </c>
    </row>
    <row r="216" spans="36:40" x14ac:dyDescent="0.2">
      <c r="AJ216" s="1448">
        <v>27</v>
      </c>
      <c r="AK216" s="1578" t="s">
        <v>192</v>
      </c>
      <c r="AL216" s="1578" t="s">
        <v>193</v>
      </c>
      <c r="AM216" s="1578" t="s">
        <v>193</v>
      </c>
      <c r="AN216" s="1436" t="str">
        <f t="shared" si="32"/>
        <v>JMD</v>
      </c>
    </row>
    <row r="217" spans="36:40" x14ac:dyDescent="0.2">
      <c r="AJ217" s="1448">
        <v>28</v>
      </c>
      <c r="AK217" s="1578" t="s">
        <v>79</v>
      </c>
      <c r="AL217" s="1578" t="s">
        <v>80</v>
      </c>
      <c r="AM217" s="1578" t="s">
        <v>81</v>
      </c>
      <c r="AN217" s="1436" t="str">
        <f t="shared" si="32"/>
        <v>¥</v>
      </c>
    </row>
    <row r="218" spans="36:40" x14ac:dyDescent="0.2">
      <c r="AJ218" s="1448">
        <v>29</v>
      </c>
      <c r="AK218" s="1578" t="s">
        <v>159</v>
      </c>
      <c r="AL218" s="1578" t="s">
        <v>160</v>
      </c>
      <c r="AM218" s="1578" t="s">
        <v>160</v>
      </c>
      <c r="AN218" s="1436" t="str">
        <f t="shared" si="32"/>
        <v>KES</v>
      </c>
    </row>
    <row r="219" spans="36:40" x14ac:dyDescent="0.2">
      <c r="AJ219" s="1448">
        <v>30</v>
      </c>
      <c r="AK219" s="1578" t="s">
        <v>161</v>
      </c>
      <c r="AL219" s="1578" t="s">
        <v>162</v>
      </c>
      <c r="AM219" s="1578" t="s">
        <v>163</v>
      </c>
      <c r="AN219" s="1436" t="str">
        <f t="shared" si="32"/>
        <v>₩</v>
      </c>
    </row>
    <row r="220" spans="36:40" x14ac:dyDescent="0.2">
      <c r="AJ220" s="1448">
        <v>31</v>
      </c>
      <c r="AK220" s="1578" t="s">
        <v>164</v>
      </c>
      <c r="AL220" s="1578" t="s">
        <v>165</v>
      </c>
      <c r="AM220" s="1578" t="s">
        <v>165</v>
      </c>
      <c r="AN220" s="1436" t="str">
        <f t="shared" si="32"/>
        <v>KWD</v>
      </c>
    </row>
    <row r="221" spans="36:40" x14ac:dyDescent="0.2">
      <c r="AJ221" s="1448">
        <v>32</v>
      </c>
      <c r="AK221" s="1578" t="s">
        <v>166</v>
      </c>
      <c r="AL221" s="1578" t="s">
        <v>167</v>
      </c>
      <c r="AM221" s="1578" t="s">
        <v>167</v>
      </c>
      <c r="AN221" s="1436" t="str">
        <f t="shared" si="32"/>
        <v>KYD</v>
      </c>
    </row>
    <row r="222" spans="36:40" x14ac:dyDescent="0.2">
      <c r="AJ222" s="1448">
        <v>33</v>
      </c>
      <c r="AK222" s="1578" t="s">
        <v>168</v>
      </c>
      <c r="AL222" s="1578" t="s">
        <v>169</v>
      </c>
      <c r="AM222" s="1578" t="s">
        <v>169</v>
      </c>
      <c r="AN222" s="1436" t="str">
        <f t="shared" si="32"/>
        <v>LKR</v>
      </c>
    </row>
    <row r="223" spans="36:40" x14ac:dyDescent="0.2">
      <c r="AJ223" s="1448">
        <v>34</v>
      </c>
      <c r="AK223" s="1578" t="s">
        <v>170</v>
      </c>
      <c r="AL223" s="1578" t="s">
        <v>171</v>
      </c>
      <c r="AM223" s="1578" t="s">
        <v>171</v>
      </c>
      <c r="AN223" s="1436" t="str">
        <f t="shared" si="32"/>
        <v>MAD</v>
      </c>
    </row>
    <row r="224" spans="36:40" x14ac:dyDescent="0.2">
      <c r="AJ224" s="1448">
        <v>35</v>
      </c>
      <c r="AK224" s="1578" t="s">
        <v>175</v>
      </c>
      <c r="AL224" s="1578" t="s">
        <v>560</v>
      </c>
      <c r="AM224" s="1578" t="s">
        <v>561</v>
      </c>
      <c r="AN224" s="1436" t="str">
        <f t="shared" si="32"/>
        <v>M$</v>
      </c>
    </row>
    <row r="225" spans="36:40" x14ac:dyDescent="0.2">
      <c r="AJ225" s="1448">
        <v>36</v>
      </c>
      <c r="AK225" s="1578" t="s">
        <v>542</v>
      </c>
      <c r="AL225" s="1578" t="s">
        <v>543</v>
      </c>
      <c r="AM225" s="1578" t="s">
        <v>544</v>
      </c>
      <c r="AN225" s="1436" t="str">
        <f t="shared" si="32"/>
        <v>RM</v>
      </c>
    </row>
    <row r="226" spans="36:40" x14ac:dyDescent="0.2">
      <c r="AJ226" s="1448">
        <v>37</v>
      </c>
      <c r="AK226" s="1578" t="s">
        <v>586</v>
      </c>
      <c r="AL226" s="1578" t="s">
        <v>608</v>
      </c>
      <c r="AM226" s="1578" t="s">
        <v>609</v>
      </c>
      <c r="AN226" s="1436" t="str">
        <f t="shared" si="32"/>
        <v>NKr</v>
      </c>
    </row>
    <row r="227" spans="36:40" x14ac:dyDescent="0.2">
      <c r="AJ227" s="1448">
        <v>38</v>
      </c>
      <c r="AK227" s="1578" t="s">
        <v>626</v>
      </c>
      <c r="AL227" s="1578" t="s">
        <v>627</v>
      </c>
      <c r="AM227" s="1578" t="s">
        <v>628</v>
      </c>
      <c r="AN227" s="1436" t="str">
        <f t="shared" si="32"/>
        <v>NZ$</v>
      </c>
    </row>
    <row r="228" spans="36:40" x14ac:dyDescent="0.2">
      <c r="AJ228" s="1448">
        <v>39</v>
      </c>
      <c r="AK228" s="1578" t="s">
        <v>629</v>
      </c>
      <c r="AL228" s="1578" t="s">
        <v>630</v>
      </c>
      <c r="AM228" s="1578" t="s">
        <v>630</v>
      </c>
      <c r="AN228" s="1436" t="str">
        <f t="shared" si="32"/>
        <v>OMR</v>
      </c>
    </row>
    <row r="229" spans="36:40" x14ac:dyDescent="0.2">
      <c r="AJ229" s="1448">
        <v>40</v>
      </c>
      <c r="AK229" s="1578" t="s">
        <v>631</v>
      </c>
      <c r="AL229" s="1578" t="s">
        <v>632</v>
      </c>
      <c r="AM229" s="1578" t="s">
        <v>632</v>
      </c>
      <c r="AN229" s="1436" t="str">
        <f t="shared" si="32"/>
        <v>PAB</v>
      </c>
    </row>
    <row r="230" spans="36:40" x14ac:dyDescent="0.2">
      <c r="AJ230" s="1448">
        <v>41</v>
      </c>
      <c r="AK230" s="1578" t="s">
        <v>403</v>
      </c>
      <c r="AL230" s="1578" t="s">
        <v>181</v>
      </c>
      <c r="AM230" s="1578" t="s">
        <v>181</v>
      </c>
      <c r="AN230" s="1436" t="str">
        <f t="shared" si="32"/>
        <v>PEN</v>
      </c>
    </row>
    <row r="231" spans="36:40" x14ac:dyDescent="0.2">
      <c r="AJ231" s="1448">
        <v>42</v>
      </c>
      <c r="AK231" s="1578" t="s">
        <v>182</v>
      </c>
      <c r="AL231" s="1578" t="s">
        <v>183</v>
      </c>
      <c r="AM231" s="1578" t="s">
        <v>184</v>
      </c>
      <c r="AN231" s="1436" t="str">
        <f t="shared" si="32"/>
        <v>PP</v>
      </c>
    </row>
    <row r="232" spans="36:40" x14ac:dyDescent="0.2">
      <c r="AJ232" s="1448">
        <v>43</v>
      </c>
      <c r="AK232" s="1578" t="s">
        <v>185</v>
      </c>
      <c r="AL232" s="1578" t="s">
        <v>527</v>
      </c>
      <c r="AM232" s="1578" t="s">
        <v>186</v>
      </c>
      <c r="AN232" s="1436" t="str">
        <f t="shared" si="32"/>
        <v>Rs.</v>
      </c>
    </row>
    <row r="233" spans="36:40" x14ac:dyDescent="0.2">
      <c r="AJ233" s="1448">
        <v>44</v>
      </c>
      <c r="AK233" s="1578" t="s">
        <v>99</v>
      </c>
      <c r="AL233" s="1578" t="s">
        <v>100</v>
      </c>
      <c r="AM233" s="1578" t="s">
        <v>101</v>
      </c>
      <c r="AN233" s="1436" t="str">
        <f t="shared" si="32"/>
        <v>zł</v>
      </c>
    </row>
    <row r="234" spans="36:40" x14ac:dyDescent="0.2">
      <c r="AJ234" s="1448">
        <v>45</v>
      </c>
      <c r="AK234" s="1578" t="s">
        <v>102</v>
      </c>
      <c r="AL234" s="1578" t="s">
        <v>103</v>
      </c>
      <c r="AM234" s="1578" t="s">
        <v>103</v>
      </c>
      <c r="AN234" s="1436" t="str">
        <f t="shared" si="32"/>
        <v>RUB</v>
      </c>
    </row>
    <row r="235" spans="36:40" x14ac:dyDescent="0.2">
      <c r="AJ235" s="1448">
        <v>46</v>
      </c>
      <c r="AK235" s="1578" t="s">
        <v>104</v>
      </c>
      <c r="AL235" s="1578" t="s">
        <v>105</v>
      </c>
      <c r="AM235" s="1578" t="s">
        <v>105</v>
      </c>
      <c r="AN235" s="1436" t="str">
        <f t="shared" si="32"/>
        <v>SAR</v>
      </c>
    </row>
    <row r="236" spans="36:40" x14ac:dyDescent="0.2">
      <c r="AJ236" s="1448">
        <v>47</v>
      </c>
      <c r="AK236" s="1578" t="s">
        <v>480</v>
      </c>
      <c r="AL236" s="1578" t="s">
        <v>481</v>
      </c>
      <c r="AM236" s="1578" t="s">
        <v>482</v>
      </c>
      <c r="AN236" s="1436" t="str">
        <f t="shared" si="32"/>
        <v>SKr</v>
      </c>
    </row>
    <row r="237" spans="36:40" x14ac:dyDescent="0.2">
      <c r="AJ237" s="1448">
        <v>48</v>
      </c>
      <c r="AK237" s="1578" t="s">
        <v>16</v>
      </c>
      <c r="AL237" s="1578" t="s">
        <v>17</v>
      </c>
      <c r="AM237" s="1578" t="s">
        <v>433</v>
      </c>
      <c r="AN237" s="1436" t="str">
        <f t="shared" si="32"/>
        <v>S$</v>
      </c>
    </row>
    <row r="238" spans="36:40" x14ac:dyDescent="0.2">
      <c r="AJ238" s="1448">
        <v>49</v>
      </c>
      <c r="AK238" s="1578" t="s">
        <v>506</v>
      </c>
      <c r="AL238" s="1578" t="s">
        <v>507</v>
      </c>
      <c r="AM238" s="1578" t="s">
        <v>508</v>
      </c>
      <c r="AN238" s="1436" t="str">
        <f t="shared" si="32"/>
        <v>Bt</v>
      </c>
    </row>
    <row r="239" spans="36:40" x14ac:dyDescent="0.2">
      <c r="AJ239" s="1448">
        <v>50</v>
      </c>
      <c r="AK239" s="1578" t="s">
        <v>509</v>
      </c>
      <c r="AL239" s="1578" t="s">
        <v>510</v>
      </c>
      <c r="AM239" s="1578" t="s">
        <v>510</v>
      </c>
      <c r="AN239" s="1436" t="str">
        <f t="shared" si="32"/>
        <v>TND</v>
      </c>
    </row>
    <row r="240" spans="36:40" x14ac:dyDescent="0.2">
      <c r="AJ240" s="1448">
        <v>51</v>
      </c>
      <c r="AK240" s="1578" t="s">
        <v>511</v>
      </c>
      <c r="AL240" s="1578" t="s">
        <v>512</v>
      </c>
      <c r="AM240" s="1578" t="s">
        <v>247</v>
      </c>
      <c r="AN240" s="1436" t="str">
        <f t="shared" si="32"/>
        <v>YTL</v>
      </c>
    </row>
    <row r="241" spans="36:40" x14ac:dyDescent="0.2">
      <c r="AJ241" s="1448">
        <v>52</v>
      </c>
      <c r="AK241" s="1578" t="s">
        <v>248</v>
      </c>
      <c r="AL241" s="1578" t="s">
        <v>249</v>
      </c>
      <c r="AM241" s="1578" t="s">
        <v>250</v>
      </c>
      <c r="AN241" s="1436" t="str">
        <f t="shared" si="32"/>
        <v>NT$</v>
      </c>
    </row>
    <row r="242" spans="36:40" x14ac:dyDescent="0.2">
      <c r="AJ242" s="1448">
        <v>53</v>
      </c>
      <c r="AK242" s="1578" t="s">
        <v>251</v>
      </c>
      <c r="AL242" s="1578" t="s">
        <v>547</v>
      </c>
      <c r="AM242" s="1578" t="s">
        <v>547</v>
      </c>
      <c r="AN242" s="1436" t="str">
        <f t="shared" si="32"/>
        <v>UAH</v>
      </c>
    </row>
    <row r="243" spans="36:40" x14ac:dyDescent="0.2">
      <c r="AJ243" s="1448">
        <v>54</v>
      </c>
      <c r="AK243" s="1578" t="s">
        <v>660</v>
      </c>
      <c r="AL243" s="1578" t="s">
        <v>661</v>
      </c>
      <c r="AM243" s="1578" t="s">
        <v>594</v>
      </c>
      <c r="AN243" s="1436" t="str">
        <f t="shared" si="32"/>
        <v>$</v>
      </c>
    </row>
    <row r="244" spans="36:40" x14ac:dyDescent="0.2">
      <c r="AJ244" s="1448">
        <v>55</v>
      </c>
      <c r="AK244" s="1578" t="s">
        <v>40</v>
      </c>
      <c r="AL244" s="1578" t="s">
        <v>41</v>
      </c>
      <c r="AM244" s="1578" t="s">
        <v>41</v>
      </c>
      <c r="AN244" s="1436" t="str">
        <f t="shared" si="32"/>
        <v>VEB</v>
      </c>
    </row>
    <row r="245" spans="36:40" x14ac:dyDescent="0.2">
      <c r="AJ245" s="1448">
        <v>56</v>
      </c>
      <c r="AK245" s="1578" t="s">
        <v>42</v>
      </c>
      <c r="AL245" s="1578" t="s">
        <v>43</v>
      </c>
      <c r="AM245" s="1578" t="s">
        <v>43</v>
      </c>
      <c r="AN245" s="1436" t="str">
        <f t="shared" si="32"/>
        <v>ZAR</v>
      </c>
    </row>
    <row r="246" spans="36:40" x14ac:dyDescent="0.2">
      <c r="AJ246" s="1448">
        <v>57</v>
      </c>
      <c r="AK246" s="1578" t="s">
        <v>329</v>
      </c>
      <c r="AL246" s="1561"/>
      <c r="AM246" s="1578" t="s">
        <v>225</v>
      </c>
      <c r="AN246" s="1436" t="s">
        <v>225</v>
      </c>
    </row>
  </sheetData>
  <mergeCells count="3">
    <mergeCell ref="A1:A2"/>
    <mergeCell ref="C55:P55"/>
    <mergeCell ref="Q69:U69"/>
  </mergeCells>
  <phoneticPr fontId="97" type="noConversion"/>
  <pageMargins left="0.75" right="0.75" top="1" bottom="1" header="0.5" footer="0.5"/>
  <pageSetup scale="69" orientation="landscape" r:id="rId1"/>
  <headerFooter alignWithMargins="0"/>
  <rowBreaks count="1" manualBreakCount="1">
    <brk id="53" max="16383" man="1"/>
  </rowBreaks>
  <colBreaks count="1" manualBreakCount="1">
    <brk id="21" max="1048575" man="1"/>
  </colBreaks>
  <drawing r:id="rId2"/>
  <legacyDrawing r:id="rId3"/>
  <controls>
    <mc:AlternateContent xmlns:mc="http://schemas.openxmlformats.org/markup-compatibility/2006">
      <mc:Choice Requires="x14">
        <control shapeId="1383425" r:id="rId4" name="CommandButton1">
          <controlPr defaultSize="0" autoLine="0" r:id="rId5">
            <anchor moveWithCells="1">
              <from>
                <xdr:col>20</xdr:col>
                <xdr:colOff>0</xdr:colOff>
                <xdr:row>0</xdr:row>
                <xdr:rowOff>66675</xdr:rowOff>
              </from>
              <to>
                <xdr:col>21</xdr:col>
                <xdr:colOff>228600</xdr:colOff>
                <xdr:row>1</xdr:row>
                <xdr:rowOff>133350</xdr:rowOff>
              </to>
            </anchor>
          </controlPr>
        </control>
      </mc:Choice>
      <mc:Fallback>
        <control shapeId="1383425" r:id="rId4" name="CommandButton1"/>
      </mc:Fallback>
    </mc:AlternateContent>
    <mc:AlternateContent xmlns:mc="http://schemas.openxmlformats.org/markup-compatibility/2006">
      <mc:Choice Requires="x14">
        <control shapeId="1383426" r:id="rId6" name="CommandButton2">
          <controlPr defaultSize="0" autoLine="0" r:id="rId7">
            <anchor moveWithCells="1">
              <from>
                <xdr:col>20</xdr:col>
                <xdr:colOff>0</xdr:colOff>
                <xdr:row>0</xdr:row>
                <xdr:rowOff>57150</xdr:rowOff>
              </from>
              <to>
                <xdr:col>22</xdr:col>
                <xdr:colOff>609600</xdr:colOff>
                <xdr:row>1</xdr:row>
                <xdr:rowOff>133350</xdr:rowOff>
              </to>
            </anchor>
          </controlPr>
        </control>
      </mc:Choice>
      <mc:Fallback>
        <control shapeId="1383426" r:id="rId6" name="CommandButton2"/>
      </mc:Fallback>
    </mc:AlternateContent>
    <mc:AlternateContent xmlns:mc="http://schemas.openxmlformats.org/markup-compatibility/2006">
      <mc:Choice Requires="x14">
        <control shapeId="1383427" r:id="rId8" name="ComboBox1">
          <controlPr defaultSize="0" autoLine="0" linkedCell="AU20" listFillRange="AU21:AU22" r:id="rId9">
            <anchor moveWithCells="1">
              <from>
                <xdr:col>10</xdr:col>
                <xdr:colOff>476250</xdr:colOff>
                <xdr:row>0</xdr:row>
                <xdr:rowOff>85725</xdr:rowOff>
              </from>
              <to>
                <xdr:col>13</xdr:col>
                <xdr:colOff>657225</xdr:colOff>
                <xdr:row>1</xdr:row>
                <xdr:rowOff>171450</xdr:rowOff>
              </to>
            </anchor>
          </controlPr>
        </control>
      </mc:Choice>
      <mc:Fallback>
        <control shapeId="1383427" r:id="rId8" name="Combo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CI246"/>
  <sheetViews>
    <sheetView showGridLines="0" workbookViewId="0">
      <selection sqref="A1:A2"/>
    </sheetView>
  </sheetViews>
  <sheetFormatPr defaultColWidth="8" defaultRowHeight="12.75" outlineLevelRow="1" outlineLevelCol="1" x14ac:dyDescent="0.2"/>
  <cols>
    <col min="1" max="1" width="1.125" style="1380" customWidth="1"/>
    <col min="2" max="2" width="6.125" style="1402" customWidth="1"/>
    <col min="3" max="3" width="39.75" style="1402" customWidth="1"/>
    <col min="4" max="4" width="9.125" style="1402" hidden="1" customWidth="1" outlineLevel="1"/>
    <col min="5" max="5" width="10.875" style="1402" hidden="1" customWidth="1" outlineLevel="1"/>
    <col min="6" max="6" width="10" style="1402" hidden="1" customWidth="1" outlineLevel="1"/>
    <col min="7" max="7" width="11.75" style="1402" hidden="1" customWidth="1" outlineLevel="1"/>
    <col min="8" max="8" width="8.875" style="1400" customWidth="1" collapsed="1"/>
    <col min="9" max="13" width="8.875" style="1400" customWidth="1"/>
    <col min="14" max="14" width="8.875" style="1401" customWidth="1"/>
    <col min="15" max="15" width="8.875" style="1400" customWidth="1"/>
    <col min="16" max="16" width="8.875" style="1400" customWidth="1" outlineLevel="1"/>
    <col min="17" max="17" width="4" style="1289" customWidth="1"/>
    <col min="18" max="18" width="16.75" style="1290" customWidth="1"/>
    <col min="19" max="23" width="8" style="1290"/>
    <col min="24" max="24" width="36" bestFit="1" customWidth="1"/>
    <col min="25" max="25" width="11" bestFit="1" customWidth="1"/>
    <col min="26" max="27" width="9.875" bestFit="1" customWidth="1"/>
    <col min="28" max="28" width="15.875" bestFit="1" customWidth="1"/>
    <col min="29" max="29" width="9" bestFit="1" customWidth="1"/>
    <col min="30" max="30" width="8.25" style="1290" hidden="1" customWidth="1"/>
    <col min="31" max="35" width="8" style="1290" hidden="1" customWidth="1"/>
    <col min="36" max="36" width="95" style="1293" hidden="1" customWidth="1" outlineLevel="1"/>
    <col min="37" max="37" width="8" style="1290" collapsed="1"/>
    <col min="38" max="38" width="30.125" style="1290" customWidth="1"/>
    <col min="39" max="39" width="8" style="1290"/>
    <col min="40" max="40" width="9.125" style="1290" customWidth="1"/>
    <col min="41" max="43" width="8" style="1290"/>
    <col min="44" max="44" width="21.75" style="1290" customWidth="1"/>
    <col min="45" max="46" width="8" style="1290"/>
    <col min="47" max="47" width="14.75" style="1290" customWidth="1"/>
    <col min="48" max="48" width="7" style="1290" customWidth="1"/>
    <col min="49" max="49" width="6.625" style="1290" bestFit="1" customWidth="1"/>
    <col min="50" max="50" width="7.625" style="1290" customWidth="1"/>
    <col min="51" max="51" width="8" style="1290"/>
    <col min="52" max="52" width="6.625" style="1290" bestFit="1" customWidth="1"/>
    <col min="53" max="54" width="8" style="1290"/>
    <col min="55" max="55" width="8" style="1291"/>
    <col min="56" max="57" width="8" style="1290"/>
    <col min="58" max="58" width="11.625" style="1290" bestFit="1" customWidth="1"/>
    <col min="59" max="76" width="8" style="1290"/>
    <col min="77" max="77" width="11.625" style="1290" bestFit="1" customWidth="1"/>
    <col min="78" max="78" width="9.25" style="1290" bestFit="1" customWidth="1"/>
    <col min="79" max="16384" width="8" style="1290"/>
  </cols>
  <sheetData>
    <row r="1" spans="1:84" ht="12.75" customHeight="1" x14ac:dyDescent="0.15">
      <c r="A1" s="2176"/>
      <c r="B1" s="1286"/>
      <c r="C1" s="1287" t="s">
        <v>513</v>
      </c>
      <c r="D1" s="1287"/>
      <c r="E1" s="1287"/>
      <c r="F1" s="1287"/>
      <c r="G1" s="1287"/>
      <c r="H1" s="1288" t="str">
        <f>[7]Pension!$H$1</f>
        <v>NSC.N</v>
      </c>
      <c r="I1" s="1289"/>
      <c r="J1" s="1289"/>
      <c r="K1" s="1289"/>
      <c r="L1" s="1289"/>
      <c r="M1" s="1289"/>
      <c r="N1" s="1289"/>
      <c r="O1" s="1289"/>
      <c r="P1" s="1289"/>
    </row>
    <row r="2" spans="1:84" ht="15" customHeight="1" x14ac:dyDescent="0.15">
      <c r="A2" s="2176"/>
      <c r="B2" s="1286"/>
      <c r="C2" s="1287" t="s">
        <v>176</v>
      </c>
      <c r="D2" s="1287"/>
      <c r="E2" s="1287"/>
      <c r="F2" s="1287"/>
      <c r="G2" s="1287"/>
      <c r="H2" s="1294" t="str">
        <f>[7]Pension!H2</f>
        <v>Norfolk Southern Corp</v>
      </c>
      <c r="I2" s="1289"/>
      <c r="J2" s="1289"/>
      <c r="K2" s="1295"/>
      <c r="L2" s="1295"/>
      <c r="M2" s="1295"/>
      <c r="N2" s="1295"/>
      <c r="O2" s="1295"/>
      <c r="P2" s="1295"/>
    </row>
    <row r="3" spans="1:84" ht="12.75" hidden="1" customHeight="1" outlineLevel="1" x14ac:dyDescent="0.15">
      <c r="A3" s="1296"/>
      <c r="B3" s="1286"/>
      <c r="C3" s="1287" t="s">
        <v>514</v>
      </c>
      <c r="D3" s="1383"/>
      <c r="E3" s="1383"/>
      <c r="F3" s="1383"/>
      <c r="G3" s="1383"/>
      <c r="H3" s="1384">
        <v>2641894</v>
      </c>
      <c r="I3" s="1289"/>
      <c r="J3" s="1289"/>
      <c r="K3" s="1289"/>
      <c r="L3" s="1289"/>
      <c r="M3" s="1289"/>
      <c r="N3" s="1289"/>
      <c r="O3" s="1289"/>
      <c r="P3" s="1289"/>
      <c r="BZ3" s="1297"/>
      <c r="CA3" s="1297"/>
      <c r="CB3" s="1297"/>
      <c r="CC3" s="1297"/>
      <c r="CD3" s="1297"/>
      <c r="CE3" s="1297"/>
      <c r="CF3" s="1297"/>
    </row>
    <row r="4" spans="1:84" s="1291" customFormat="1" collapsed="1" x14ac:dyDescent="0.2">
      <c r="A4" s="1298"/>
      <c r="B4" s="1299"/>
      <c r="C4" s="1300"/>
      <c r="D4" s="1300"/>
      <c r="E4" s="1300"/>
      <c r="F4" s="1300"/>
      <c r="G4" s="1300"/>
      <c r="H4" s="1295"/>
      <c r="I4" s="1295"/>
      <c r="J4" s="1295"/>
      <c r="K4" s="1295"/>
      <c r="L4" s="1295"/>
      <c r="M4" s="1295"/>
      <c r="N4" s="1295"/>
      <c r="O4" s="1295"/>
      <c r="P4" s="1295"/>
      <c r="Q4" s="1295"/>
      <c r="X4"/>
      <c r="Y4"/>
      <c r="Z4"/>
      <c r="AA4"/>
      <c r="AB4"/>
      <c r="AC4"/>
      <c r="AJ4" s="1301"/>
      <c r="AU4" s="1302"/>
      <c r="AV4" s="1302"/>
      <c r="AW4" s="1302"/>
      <c r="AX4" s="1302"/>
    </row>
    <row r="5" spans="1:84" customFormat="1" ht="12.75" customHeight="1" outlineLevel="1" x14ac:dyDescent="0.15"/>
    <row r="6" spans="1:84" ht="12" x14ac:dyDescent="0.15">
      <c r="A6" s="1298"/>
      <c r="B6" s="1287" t="s">
        <v>515</v>
      </c>
      <c r="C6" s="1287" t="s">
        <v>516</v>
      </c>
      <c r="D6" s="1304">
        <f t="shared" ref="D6:J6" si="0">E6-1</f>
        <v>2008</v>
      </c>
      <c r="E6" s="1304">
        <f t="shared" si="0"/>
        <v>2009</v>
      </c>
      <c r="F6" s="1304">
        <f t="shared" si="0"/>
        <v>2010</v>
      </c>
      <c r="G6" s="1304">
        <f t="shared" si="0"/>
        <v>2011</v>
      </c>
      <c r="H6" s="1304">
        <f t="shared" si="0"/>
        <v>2012</v>
      </c>
      <c r="I6" s="1304">
        <f t="shared" si="0"/>
        <v>2013</v>
      </c>
      <c r="J6" s="1304">
        <f t="shared" si="0"/>
        <v>2014</v>
      </c>
      <c r="K6" s="1303">
        <f>Pension!K6</f>
        <v>2015</v>
      </c>
      <c r="L6" s="1304">
        <f>K6+1</f>
        <v>2016</v>
      </c>
      <c r="M6" s="1304">
        <f>L6+1</f>
        <v>2017</v>
      </c>
      <c r="N6" s="1304">
        <f>M6+1</f>
        <v>2018</v>
      </c>
      <c r="O6" s="1304">
        <f>N6+1</f>
        <v>2019</v>
      </c>
      <c r="P6" s="1304">
        <f>O6+1</f>
        <v>2020</v>
      </c>
      <c r="T6" s="1289"/>
      <c r="U6" s="1289"/>
      <c r="AU6" s="1305"/>
      <c r="AV6" s="1305"/>
      <c r="AW6" s="1305"/>
      <c r="AX6" s="1305"/>
      <c r="BC6" s="1292">
        <f>Pension!BC6</f>
        <v>2014</v>
      </c>
    </row>
    <row r="7" spans="1:84" ht="7.5" customHeight="1" x14ac:dyDescent="0.2">
      <c r="A7" s="1298"/>
      <c r="B7" s="1306"/>
      <c r="C7" s="1307"/>
      <c r="D7" s="1307"/>
      <c r="E7" s="1307"/>
      <c r="F7" s="1307"/>
      <c r="G7" s="1307"/>
      <c r="H7" s="1308"/>
      <c r="I7" s="1308"/>
      <c r="J7" s="1309"/>
      <c r="K7" s="1309"/>
      <c r="L7" s="1309"/>
      <c r="M7" s="1309"/>
      <c r="N7" s="1309"/>
      <c r="O7" s="1309"/>
      <c r="P7" s="1309"/>
      <c r="T7" s="1289"/>
      <c r="U7" s="1289"/>
      <c r="BC7" s="1292" t="str">
        <f>Pension!BC7</f>
        <v>12/2014</v>
      </c>
    </row>
    <row r="8" spans="1:84" x14ac:dyDescent="0.2">
      <c r="A8" s="1298"/>
      <c r="B8" s="1306"/>
      <c r="C8" s="1289" t="s">
        <v>545</v>
      </c>
      <c r="D8" s="1312">
        <v>4.5499999999999999E-2</v>
      </c>
      <c r="E8" s="1264">
        <v>6.25E-2</v>
      </c>
      <c r="F8" s="1264">
        <v>6.25E-2</v>
      </c>
      <c r="G8" s="1264">
        <v>5.8499999999999996E-2</v>
      </c>
      <c r="H8" s="1264">
        <v>5.4000000000000006E-2</v>
      </c>
      <c r="I8" s="1264">
        <v>4.5499999999999999E-2</v>
      </c>
      <c r="J8" s="1264">
        <v>3.7999999999999999E-2</v>
      </c>
      <c r="K8" s="1264">
        <v>0</v>
      </c>
      <c r="L8" s="1310">
        <f t="shared" ref="L8:P9" si="1">+K8</f>
        <v>0</v>
      </c>
      <c r="M8" s="1310">
        <f t="shared" si="1"/>
        <v>0</v>
      </c>
      <c r="N8" s="1310">
        <f t="shared" si="1"/>
        <v>0</v>
      </c>
      <c r="O8" s="1310">
        <f t="shared" si="1"/>
        <v>0</v>
      </c>
      <c r="P8" s="1310">
        <f t="shared" si="1"/>
        <v>0</v>
      </c>
      <c r="Q8" s="1385"/>
      <c r="AJ8" s="1265" t="s">
        <v>272</v>
      </c>
      <c r="AU8" s="1305"/>
      <c r="AV8" s="1311"/>
      <c r="AW8" s="1311"/>
      <c r="AX8" s="1305"/>
      <c r="BC8" s="1266" t="s">
        <v>877</v>
      </c>
      <c r="BD8" s="1312">
        <v>6.25E-2</v>
      </c>
      <c r="BE8" s="1312">
        <v>5.8499999999999996E-2</v>
      </c>
      <c r="BF8" s="1312">
        <v>5.4000000000000006E-2</v>
      </c>
      <c r="BG8" s="1312">
        <v>4.5499999999999999E-2</v>
      </c>
      <c r="BH8" s="1312"/>
      <c r="BI8" s="1312"/>
      <c r="BJ8" s="1312"/>
    </row>
    <row r="9" spans="1:84" ht="12.75" hidden="1" customHeight="1" outlineLevel="1" x14ac:dyDescent="0.2">
      <c r="A9" s="1298"/>
      <c r="B9" s="1306"/>
      <c r="C9" s="1289" t="s">
        <v>518</v>
      </c>
      <c r="D9" s="1313">
        <f>[7]Pension!D9</f>
        <v>0.1</v>
      </c>
      <c r="E9" s="1313">
        <f>[7]Pension!E9</f>
        <v>0.1</v>
      </c>
      <c r="F9" s="1313">
        <f>[7]Pension!F9</f>
        <v>0.1</v>
      </c>
      <c r="G9" s="1313">
        <f>[7]Pension!G9</f>
        <v>0.1</v>
      </c>
      <c r="H9" s="1313">
        <f>[7]Pension!H9</f>
        <v>0.1</v>
      </c>
      <c r="I9" s="1313">
        <f>[7]Pension!I9</f>
        <v>0.1</v>
      </c>
      <c r="J9" s="1313">
        <f>[7]Pension!J9</f>
        <v>0.1</v>
      </c>
      <c r="K9" s="1313">
        <f>[7]Pension!K9</f>
        <v>0.1</v>
      </c>
      <c r="L9" s="1314">
        <f t="shared" si="1"/>
        <v>0.1</v>
      </c>
      <c r="M9" s="1314">
        <f t="shared" si="1"/>
        <v>0.1</v>
      </c>
      <c r="N9" s="1314">
        <f t="shared" si="1"/>
        <v>0.1</v>
      </c>
      <c r="O9" s="1314">
        <f t="shared" si="1"/>
        <v>0.1</v>
      </c>
      <c r="P9" s="1314">
        <f t="shared" si="1"/>
        <v>0.1</v>
      </c>
      <c r="AV9" s="1289"/>
      <c r="AW9" s="1315"/>
      <c r="AX9" s="1315"/>
      <c r="AY9" s="1315"/>
      <c r="AZ9" s="1315"/>
      <c r="BC9" s="1316"/>
    </row>
    <row r="10" spans="1:84" ht="12.75" hidden="1" customHeight="1" outlineLevel="1" x14ac:dyDescent="0.2">
      <c r="A10" s="1298"/>
      <c r="B10" s="1306"/>
      <c r="C10" s="1289" t="s">
        <v>519</v>
      </c>
      <c r="D10" s="1317">
        <f>[7]Pension!D10</f>
        <v>10</v>
      </c>
      <c r="E10" s="1317">
        <f>[7]Pension!E10</f>
        <v>10</v>
      </c>
      <c r="F10" s="1317">
        <f>[7]Pension!F10</f>
        <v>10</v>
      </c>
      <c r="G10" s="1317">
        <f>[7]Pension!G10</f>
        <v>10</v>
      </c>
      <c r="H10" s="1317">
        <f>[7]Pension!H10</f>
        <v>10</v>
      </c>
      <c r="I10" s="1317">
        <f>[7]Pension!I10</f>
        <v>10</v>
      </c>
      <c r="J10" s="1317">
        <f>[7]Pension!J10</f>
        <v>10</v>
      </c>
      <c r="K10" s="1317">
        <f>[7]Pension!K10</f>
        <v>10</v>
      </c>
      <c r="L10" s="1318">
        <v>10</v>
      </c>
      <c r="M10" s="1318">
        <v>10</v>
      </c>
      <c r="N10" s="1318">
        <v>10</v>
      </c>
      <c r="O10" s="1318">
        <v>10</v>
      </c>
      <c r="P10" s="1318">
        <v>10</v>
      </c>
      <c r="AU10" s="1321"/>
      <c r="AV10" s="1386"/>
      <c r="AW10" s="1315"/>
      <c r="AX10" s="1315"/>
      <c r="AY10" s="1315"/>
      <c r="AZ10" s="1315"/>
      <c r="BC10" s="1317">
        <f>[7]Pension!BG10</f>
        <v>0</v>
      </c>
    </row>
    <row r="11" spans="1:84" collapsed="1" x14ac:dyDescent="0.2">
      <c r="A11" s="1298"/>
      <c r="B11" s="1306"/>
      <c r="C11" s="1289" t="s">
        <v>410</v>
      </c>
      <c r="D11" s="1312">
        <v>0</v>
      </c>
      <c r="E11" s="1264">
        <v>0</v>
      </c>
      <c r="F11" s="1264">
        <v>0</v>
      </c>
      <c r="G11" s="1264">
        <v>0</v>
      </c>
      <c r="H11" s="1264">
        <v>0</v>
      </c>
      <c r="I11" s="1264">
        <v>0</v>
      </c>
      <c r="J11" s="1264">
        <v>0.08</v>
      </c>
      <c r="K11" s="1264">
        <v>0.08</v>
      </c>
      <c r="L11" s="1310">
        <f>+K11</f>
        <v>0.08</v>
      </c>
      <c r="M11" s="1310">
        <f>+L11</f>
        <v>0.08</v>
      </c>
      <c r="N11" s="1310">
        <f>+M11</f>
        <v>0.08</v>
      </c>
      <c r="O11" s="1310">
        <f>+N11</f>
        <v>0.08</v>
      </c>
      <c r="P11" s="1310">
        <f>+O11</f>
        <v>0.08</v>
      </c>
      <c r="Q11" s="1385"/>
      <c r="AJ11" s="1265" t="s">
        <v>57</v>
      </c>
      <c r="AU11" s="1315"/>
      <c r="AV11" s="1387"/>
      <c r="AW11" s="1315"/>
      <c r="AX11" s="1315"/>
      <c r="AY11" s="1322"/>
      <c r="AZ11" s="1315"/>
      <c r="BC11" s="1266" t="s">
        <v>877</v>
      </c>
      <c r="BD11" s="1312">
        <v>0</v>
      </c>
      <c r="BE11" s="1312">
        <v>0</v>
      </c>
      <c r="BF11" s="1312">
        <v>0</v>
      </c>
      <c r="BG11" s="1312">
        <v>0</v>
      </c>
      <c r="BH11" s="1312"/>
      <c r="BI11" s="1312"/>
      <c r="BJ11" s="1312"/>
    </row>
    <row r="12" spans="1:84" x14ac:dyDescent="0.2">
      <c r="A12" s="1298"/>
      <c r="B12" s="1306"/>
      <c r="C12" s="1289" t="s">
        <v>408</v>
      </c>
      <c r="D12" s="1264">
        <f t="shared" ref="D12:K12" si="2">IF(ISNUMBER(D38/D37),D38/D37,0)</f>
        <v>0</v>
      </c>
      <c r="E12" s="1264">
        <f t="shared" si="2"/>
        <v>-0.18536585365853658</v>
      </c>
      <c r="F12" s="1264">
        <f t="shared" si="2"/>
        <v>0.16666666666666666</v>
      </c>
      <c r="G12" s="1264">
        <f t="shared" si="2"/>
        <v>0.10559006211180125</v>
      </c>
      <c r="H12" s="1264">
        <f t="shared" si="2"/>
        <v>4.49438202247191E-2</v>
      </c>
      <c r="I12" s="1264">
        <f t="shared" si="2"/>
        <v>0.10215053763440861</v>
      </c>
      <c r="J12" s="1264">
        <f t="shared" si="2"/>
        <v>-0.16585365853658537</v>
      </c>
      <c r="K12" s="1264">
        <f t="shared" si="2"/>
        <v>-0.10878661087866109</v>
      </c>
      <c r="L12" s="1310">
        <f>+L11</f>
        <v>0.08</v>
      </c>
      <c r="M12" s="1310">
        <f>+M11</f>
        <v>0.08</v>
      </c>
      <c r="N12" s="1310">
        <f>+N11</f>
        <v>0.08</v>
      </c>
      <c r="O12" s="1310">
        <f>+O11</f>
        <v>0.08</v>
      </c>
      <c r="P12" s="1310">
        <f>+P11</f>
        <v>0.08</v>
      </c>
      <c r="AJ12" s="1265"/>
      <c r="AU12" s="1315"/>
      <c r="AV12" s="1387"/>
      <c r="AW12" s="1315"/>
      <c r="AX12" s="1323"/>
      <c r="AY12" s="1315"/>
      <c r="AZ12" s="1315"/>
      <c r="BC12" s="1316"/>
    </row>
    <row r="13" spans="1:84" x14ac:dyDescent="0.2">
      <c r="A13" s="1298"/>
      <c r="B13" s="1306"/>
      <c r="C13" s="1289" t="s">
        <v>397</v>
      </c>
      <c r="D13" s="1264">
        <f>[7]Pension!D13</f>
        <v>0.35</v>
      </c>
      <c r="E13" s="1264">
        <f>[7]Pension!E13</f>
        <v>0.36</v>
      </c>
      <c r="F13" s="1264">
        <f>[7]Pension!F13</f>
        <v>0.36</v>
      </c>
      <c r="G13" s="1264">
        <f>[7]Pension!G13</f>
        <v>0.36</v>
      </c>
      <c r="H13" s="1264">
        <f>[7]Pension!H13</f>
        <v>0.36</v>
      </c>
      <c r="I13" s="1264">
        <f>[7]Pension!I13</f>
        <v>0.36</v>
      </c>
      <c r="J13" s="1264">
        <f>[7]Pension!J13</f>
        <v>0.36</v>
      </c>
      <c r="K13" s="1264">
        <f>[7]Pension!K13</f>
        <v>0.36</v>
      </c>
      <c r="L13" s="1267">
        <f>[7]Pension!L13</f>
        <v>0.36</v>
      </c>
      <c r="M13" s="1267">
        <f>[7]Pension!M13</f>
        <v>0.36</v>
      </c>
      <c r="N13" s="1267">
        <f>[7]Pension!N13</f>
        <v>0.36</v>
      </c>
      <c r="O13" s="1267">
        <f>[7]Pension!O13</f>
        <v>0.35</v>
      </c>
      <c r="P13" s="1267">
        <f>[7]Pension!P13</f>
        <v>0.35</v>
      </c>
      <c r="AU13" s="1315"/>
      <c r="AV13" s="1388"/>
      <c r="AW13" s="1315"/>
      <c r="AX13" s="1315"/>
      <c r="AY13" s="1315"/>
      <c r="AZ13" s="1315"/>
      <c r="BC13" s="1266"/>
    </row>
    <row r="14" spans="1:84" ht="7.5" customHeight="1" x14ac:dyDescent="0.2">
      <c r="A14" s="1298"/>
      <c r="B14" s="1306"/>
      <c r="C14" s="1307"/>
      <c r="D14" s="1307"/>
      <c r="E14" s="1307"/>
      <c r="F14" s="1307"/>
      <c r="G14" s="1307"/>
      <c r="H14" s="1308"/>
      <c r="I14" s="1308"/>
      <c r="J14" s="1309"/>
      <c r="K14" s="1309"/>
      <c r="L14" s="1309"/>
      <c r="M14" s="1309"/>
      <c r="N14" s="1309"/>
      <c r="O14" s="1309"/>
      <c r="P14" s="1309"/>
      <c r="AU14" s="1289"/>
      <c r="AV14" s="1289"/>
      <c r="BC14" s="1324"/>
    </row>
    <row r="15" spans="1:84" ht="12" x14ac:dyDescent="0.15">
      <c r="A15" s="1298"/>
      <c r="B15" s="1287" t="s">
        <v>414</v>
      </c>
      <c r="C15" s="1287" t="s">
        <v>415</v>
      </c>
      <c r="D15" s="1304">
        <f t="shared" ref="D15:P15" si="3">+D6</f>
        <v>2008</v>
      </c>
      <c r="E15" s="1304">
        <f t="shared" si="3"/>
        <v>2009</v>
      </c>
      <c r="F15" s="1304">
        <f t="shared" si="3"/>
        <v>2010</v>
      </c>
      <c r="G15" s="1304">
        <f t="shared" si="3"/>
        <v>2011</v>
      </c>
      <c r="H15" s="1304">
        <f t="shared" si="3"/>
        <v>2012</v>
      </c>
      <c r="I15" s="1304">
        <f t="shared" si="3"/>
        <v>2013</v>
      </c>
      <c r="J15" s="1304">
        <f t="shared" si="3"/>
        <v>2014</v>
      </c>
      <c r="K15" s="1304">
        <f t="shared" si="3"/>
        <v>2015</v>
      </c>
      <c r="L15" s="1304">
        <f t="shared" si="3"/>
        <v>2016</v>
      </c>
      <c r="M15" s="1304">
        <f t="shared" si="3"/>
        <v>2017</v>
      </c>
      <c r="N15" s="1304">
        <f t="shared" si="3"/>
        <v>2018</v>
      </c>
      <c r="O15" s="1304">
        <f t="shared" si="3"/>
        <v>2019</v>
      </c>
      <c r="P15" s="1304">
        <f t="shared" si="3"/>
        <v>2020</v>
      </c>
      <c r="AU15" s="1315"/>
      <c r="AV15" s="1388"/>
      <c r="AW15" s="1315"/>
      <c r="AX15" s="1315"/>
      <c r="AY15" s="1315"/>
      <c r="AZ15" s="1315"/>
      <c r="BC15" s="1325"/>
    </row>
    <row r="16" spans="1:84" ht="11.25" customHeight="1" x14ac:dyDescent="0.2">
      <c r="A16" s="1298"/>
      <c r="B16" s="1306"/>
      <c r="C16" s="1307"/>
      <c r="D16" s="1307"/>
      <c r="E16" s="1307"/>
      <c r="F16" s="1307"/>
      <c r="G16" s="1307"/>
      <c r="H16" s="1326"/>
      <c r="I16" s="1326"/>
      <c r="J16" s="1327"/>
      <c r="K16" s="1327"/>
      <c r="L16" s="1327"/>
      <c r="M16" s="1327"/>
      <c r="N16" s="1327"/>
      <c r="O16" s="1327"/>
      <c r="P16" s="1327"/>
      <c r="AU16" s="1315"/>
      <c r="AV16" s="1389"/>
      <c r="AW16" s="1315"/>
      <c r="AX16" s="1315"/>
      <c r="AY16" s="1315"/>
      <c r="AZ16" s="1315"/>
      <c r="BC16" s="1324"/>
    </row>
    <row r="17" spans="1:87" ht="15" customHeight="1" x14ac:dyDescent="0.15">
      <c r="A17" s="1298"/>
      <c r="B17" s="1328" t="s">
        <v>418</v>
      </c>
      <c r="C17" s="1329" t="s">
        <v>20</v>
      </c>
      <c r="D17" s="1330"/>
      <c r="E17" s="1330"/>
      <c r="F17" s="1330"/>
      <c r="G17" s="1330"/>
      <c r="H17" s="1327"/>
      <c r="I17" s="1327"/>
      <c r="J17" s="1327"/>
      <c r="K17" s="1327"/>
      <c r="L17" s="1327"/>
      <c r="M17" s="1327"/>
      <c r="N17" s="1327"/>
      <c r="O17" s="1327"/>
      <c r="P17" s="1327"/>
      <c r="AU17" s="1315"/>
      <c r="AV17" s="1390"/>
      <c r="AW17" s="1315"/>
      <c r="AX17" s="1315"/>
      <c r="AY17" s="1331"/>
      <c r="AZ17" s="1315"/>
      <c r="BC17" s="1332"/>
    </row>
    <row r="18" spans="1:87" ht="7.5" customHeight="1" x14ac:dyDescent="0.2">
      <c r="A18" s="1298"/>
      <c r="B18" s="1306"/>
      <c r="C18" s="1307"/>
      <c r="D18" s="1307"/>
      <c r="E18" s="1307"/>
      <c r="F18" s="1307"/>
      <c r="G18" s="1307"/>
      <c r="H18" s="1308"/>
      <c r="I18" s="1308"/>
      <c r="J18" s="1309"/>
      <c r="K18" s="1309"/>
      <c r="L18" s="1309"/>
      <c r="M18" s="1309"/>
      <c r="N18" s="1309"/>
      <c r="O18" s="1309"/>
      <c r="P18" s="1309"/>
      <c r="AU18" s="1391" t="s">
        <v>44</v>
      </c>
      <c r="AV18" s="1389"/>
      <c r="BC18" s="1324"/>
    </row>
    <row r="19" spans="1:87" outlineLevel="1" x14ac:dyDescent="0.2">
      <c r="A19" s="1298"/>
      <c r="B19" s="1306"/>
      <c r="C19" s="1289" t="s">
        <v>555</v>
      </c>
      <c r="D19" s="1334">
        <v>15</v>
      </c>
      <c r="E19" s="1308">
        <v>16</v>
      </c>
      <c r="F19" s="1308">
        <v>16</v>
      </c>
      <c r="G19" s="1308">
        <v>16</v>
      </c>
      <c r="H19" s="1308">
        <v>14</v>
      </c>
      <c r="I19" s="1308">
        <v>15</v>
      </c>
      <c r="J19" s="1308">
        <v>16</v>
      </c>
      <c r="K19" s="1308">
        <v>7</v>
      </c>
      <c r="L19" s="1309">
        <f>K19+K19*(-(K8-J8))*K9*100</f>
        <v>9.66</v>
      </c>
      <c r="M19" s="1309">
        <f>L19+L19*(-(L8-K8))*L9*100</f>
        <v>9.66</v>
      </c>
      <c r="N19" s="1309">
        <f>M19+M19*(-(M8-L8))*M9*100</f>
        <v>9.66</v>
      </c>
      <c r="O19" s="1309">
        <f>N19+N19*(-(N8-M8))*N9*100</f>
        <v>9.66</v>
      </c>
      <c r="P19" s="1309">
        <f>O19+O19*(-(O8-N8))*O9*100</f>
        <v>9.66</v>
      </c>
      <c r="Q19" s="1354"/>
      <c r="AJ19" s="1268" t="s">
        <v>273</v>
      </c>
      <c r="AU19" s="1392" t="s">
        <v>44</v>
      </c>
      <c r="AV19" s="1389"/>
      <c r="AW19" s="1305"/>
      <c r="AX19" s="1305"/>
      <c r="BC19" s="1333" t="s">
        <v>877</v>
      </c>
      <c r="BD19" s="1334">
        <v>16</v>
      </c>
      <c r="BE19" s="1334">
        <v>16</v>
      </c>
      <c r="BF19" s="1334">
        <v>14</v>
      </c>
      <c r="BG19" s="1334">
        <v>15</v>
      </c>
      <c r="BH19" s="1334"/>
      <c r="BI19" s="1334"/>
      <c r="BJ19" s="1334"/>
    </row>
    <row r="20" spans="1:87" outlineLevel="1" x14ac:dyDescent="0.2">
      <c r="A20" s="1298"/>
      <c r="B20" s="1306"/>
      <c r="C20" s="1289" t="s">
        <v>180</v>
      </c>
      <c r="D20" s="1334">
        <v>0</v>
      </c>
      <c r="E20" s="1308">
        <v>-8</v>
      </c>
      <c r="F20" s="1308">
        <v>-2</v>
      </c>
      <c r="G20" s="1308">
        <v>0</v>
      </c>
      <c r="H20" s="1308">
        <v>0</v>
      </c>
      <c r="I20" s="1308">
        <v>0</v>
      </c>
      <c r="J20" s="1308">
        <v>0</v>
      </c>
      <c r="K20" s="1308">
        <v>-20</v>
      </c>
      <c r="L20" s="1309">
        <f>+K20</f>
        <v>-20</v>
      </c>
      <c r="M20" s="1309">
        <f>+L20</f>
        <v>-20</v>
      </c>
      <c r="N20" s="1309">
        <f>+M20</f>
        <v>-20</v>
      </c>
      <c r="O20" s="1309">
        <f>+N20</f>
        <v>-20</v>
      </c>
      <c r="P20" s="1309">
        <f>+O20</f>
        <v>-20</v>
      </c>
      <c r="Q20" s="1354"/>
      <c r="AJ20" s="1269" t="s">
        <v>274</v>
      </c>
      <c r="AU20" s="1392" t="s">
        <v>426</v>
      </c>
      <c r="BC20" s="1333" t="s">
        <v>877</v>
      </c>
      <c r="BD20" s="1334">
        <v>-2</v>
      </c>
      <c r="BE20" s="1334">
        <v>0</v>
      </c>
      <c r="BF20" s="1334">
        <v>0</v>
      </c>
      <c r="BG20" s="1334">
        <v>0</v>
      </c>
      <c r="BH20" s="1334"/>
      <c r="BI20" s="1334"/>
      <c r="BJ20" s="1334"/>
    </row>
    <row r="21" spans="1:87" outlineLevel="1" x14ac:dyDescent="0.2">
      <c r="A21" s="1298"/>
      <c r="B21" s="1306"/>
      <c r="C21" s="1289" t="s">
        <v>303</v>
      </c>
      <c r="D21" s="1334">
        <v>54</v>
      </c>
      <c r="E21" s="1308">
        <v>51</v>
      </c>
      <c r="F21" s="1308">
        <v>57</v>
      </c>
      <c r="G21" s="1308">
        <v>61</v>
      </c>
      <c r="H21" s="1308">
        <v>58</v>
      </c>
      <c r="I21" s="1308">
        <v>54</v>
      </c>
      <c r="J21" s="1308">
        <v>50</v>
      </c>
      <c r="K21" s="1308">
        <v>24</v>
      </c>
      <c r="L21" s="1309">
        <f>+K35*K8</f>
        <v>0</v>
      </c>
      <c r="M21" s="1309">
        <f>+L35*L8</f>
        <v>0</v>
      </c>
      <c r="N21" s="1309">
        <f>+M35*M8</f>
        <v>0</v>
      </c>
      <c r="O21" s="1309">
        <f>+N35*N8</f>
        <v>0</v>
      </c>
      <c r="P21" s="1309">
        <f>+O35*O8</f>
        <v>0</v>
      </c>
      <c r="Q21" s="1354"/>
      <c r="AJ21" s="1268" t="s">
        <v>275</v>
      </c>
      <c r="AU21" s="1319" t="s">
        <v>276</v>
      </c>
      <c r="AV21" s="1320">
        <f>MATCH($AU$18,AU19:AU20,0)</f>
        <v>1</v>
      </c>
      <c r="AW21" s="1293"/>
      <c r="BC21" s="1333" t="s">
        <v>877</v>
      </c>
      <c r="BD21" s="1334">
        <v>57</v>
      </c>
      <c r="BE21" s="1334">
        <v>61</v>
      </c>
      <c r="BF21" s="1334">
        <v>58</v>
      </c>
      <c r="BG21" s="1334">
        <v>54</v>
      </c>
      <c r="BH21" s="1334"/>
      <c r="BI21" s="1334"/>
      <c r="BJ21" s="1334"/>
    </row>
    <row r="22" spans="1:87" outlineLevel="1" x14ac:dyDescent="0.2">
      <c r="A22" s="1298"/>
      <c r="B22" s="1306"/>
      <c r="C22" s="1289" t="s">
        <v>21</v>
      </c>
      <c r="D22" s="1334">
        <v>-15</v>
      </c>
      <c r="E22" s="1308">
        <v>-15</v>
      </c>
      <c r="F22" s="1308">
        <v>-15</v>
      </c>
      <c r="G22" s="1308">
        <v>-15</v>
      </c>
      <c r="H22" s="1308">
        <v>-15</v>
      </c>
      <c r="I22" s="1308">
        <v>-15</v>
      </c>
      <c r="J22" s="1308">
        <v>-16</v>
      </c>
      <c r="K22" s="1308">
        <v>-18</v>
      </c>
      <c r="L22" s="1309">
        <f>-K42*L11</f>
        <v>-20.96</v>
      </c>
      <c r="M22" s="1309">
        <f>-L42*M11</f>
        <v>-26.796799999999998</v>
      </c>
      <c r="N22" s="1309">
        <f>-M42*N11</f>
        <v>-28.940543999999999</v>
      </c>
      <c r="O22" s="1309">
        <f>-N42*O11</f>
        <v>-31.255787519999998</v>
      </c>
      <c r="P22" s="1309">
        <f>-O42*P11</f>
        <v>-33.756250521600002</v>
      </c>
      <c r="Q22" s="1354"/>
      <c r="AJ22" s="1269" t="s">
        <v>277</v>
      </c>
      <c r="AU22" s="1301"/>
      <c r="AV22" s="1301"/>
      <c r="AW22" s="1301"/>
      <c r="AX22" s="1301"/>
      <c r="BC22" s="1333" t="s">
        <v>877</v>
      </c>
      <c r="BD22" s="1334">
        <v>-15</v>
      </c>
      <c r="BE22" s="1334">
        <v>-15</v>
      </c>
      <c r="BF22" s="1334">
        <v>-15</v>
      </c>
      <c r="BG22" s="1334">
        <v>-15</v>
      </c>
      <c r="BH22" s="1334"/>
      <c r="BI22" s="1334"/>
      <c r="BJ22" s="1334"/>
    </row>
    <row r="23" spans="1:87" s="1291" customFormat="1" ht="12.75" hidden="1" customHeight="1" outlineLevel="1" x14ac:dyDescent="0.2">
      <c r="A23" s="1298"/>
      <c r="B23" s="1299"/>
      <c r="C23" s="1295" t="s">
        <v>427</v>
      </c>
      <c r="D23" s="1326">
        <f t="shared" ref="D23:K23" si="4">IF(ISNUMBER(D26-SUM(D19:D22)),D26-SUM(D19:D22),0)</f>
        <v>53</v>
      </c>
      <c r="E23" s="1326">
        <f t="shared" si="4"/>
        <v>25</v>
      </c>
      <c r="F23" s="1326">
        <f t="shared" si="4"/>
        <v>35</v>
      </c>
      <c r="G23" s="1326">
        <f t="shared" si="4"/>
        <v>52</v>
      </c>
      <c r="H23" s="1335">
        <f t="shared" si="4"/>
        <v>44</v>
      </c>
      <c r="I23" s="1335">
        <f t="shared" si="4"/>
        <v>53</v>
      </c>
      <c r="J23" s="1335">
        <f t="shared" si="4"/>
        <v>58</v>
      </c>
      <c r="K23" s="1335">
        <f t="shared" si="4"/>
        <v>0</v>
      </c>
      <c r="L23" s="1308">
        <f>((L32+(-L22-K42*L12)))</f>
        <v>0</v>
      </c>
      <c r="M23" s="1308">
        <f>((M32+(-M22-L42*M12)))</f>
        <v>0</v>
      </c>
      <c r="N23" s="1308">
        <f>((N32+(-N22-M42*N12)))</f>
        <v>0</v>
      </c>
      <c r="O23" s="1308">
        <f>((O32+(-O22-N42*O12)))</f>
        <v>0</v>
      </c>
      <c r="P23" s="1308">
        <f>((P32+(-P22-O42*P12)))</f>
        <v>0</v>
      </c>
      <c r="Q23" s="1336"/>
      <c r="R23" s="1337"/>
      <c r="X23"/>
      <c r="Y23"/>
      <c r="Z23"/>
      <c r="AA23"/>
      <c r="AB23"/>
      <c r="AC23"/>
      <c r="AD23"/>
      <c r="AE23"/>
      <c r="AF23"/>
      <c r="AJ23" s="1269"/>
      <c r="BC23" s="1333"/>
    </row>
    <row r="24" spans="1:87" s="1291" customFormat="1" ht="12.75" customHeight="1" outlineLevel="1" x14ac:dyDescent="0.2">
      <c r="A24" s="1298"/>
      <c r="B24" s="1299"/>
      <c r="C24" s="1295" t="s">
        <v>350</v>
      </c>
      <c r="D24" s="1308">
        <f t="shared" ref="D24:K24" si="5">IF(ISNUMBER(D26-SUM(D19:D22)),D26-SUM(D19:D22),0)</f>
        <v>53</v>
      </c>
      <c r="E24" s="1308">
        <f t="shared" si="5"/>
        <v>25</v>
      </c>
      <c r="F24" s="1308">
        <f t="shared" si="5"/>
        <v>35</v>
      </c>
      <c r="G24" s="1308">
        <f t="shared" si="5"/>
        <v>52</v>
      </c>
      <c r="H24" s="1308">
        <f t="shared" si="5"/>
        <v>44</v>
      </c>
      <c r="I24" s="1308">
        <f t="shared" si="5"/>
        <v>53</v>
      </c>
      <c r="J24" s="1308">
        <f t="shared" si="5"/>
        <v>58</v>
      </c>
      <c r="K24" s="1308">
        <f t="shared" si="5"/>
        <v>0</v>
      </c>
      <c r="L24" s="1308">
        <f>K24+((K32+(-K22-J42*K12))/K10)</f>
        <v>4.4000000000000004</v>
      </c>
      <c r="M24" s="1308">
        <f>L24+((L32+(-L22-K42*L12))/L10)</f>
        <v>4.4000000000000004</v>
      </c>
      <c r="N24" s="1308">
        <f>M24+((M32+(-M22-L42*M12))/M10)</f>
        <v>4.4000000000000004</v>
      </c>
      <c r="O24" s="1308">
        <f>N24+((N32+(-N22-M42*N12))/N10)</f>
        <v>4.4000000000000004</v>
      </c>
      <c r="P24" s="1308">
        <f>O24+((O32+(-O22-N42*O12))/O10)</f>
        <v>4.4000000000000004</v>
      </c>
      <c r="Q24" s="1289"/>
      <c r="R24" s="1289" t="b">
        <v>0</v>
      </c>
      <c r="X24"/>
      <c r="Y24"/>
      <c r="Z24"/>
      <c r="AA24"/>
      <c r="AB24"/>
      <c r="AC24"/>
      <c r="AD24" s="1589" t="s">
        <v>644</v>
      </c>
      <c r="AE24" s="1289" t="b">
        <v>1</v>
      </c>
      <c r="AF24" s="1289" t="b">
        <v>0</v>
      </c>
      <c r="AJ24" s="1269"/>
      <c r="AR24" s="1338" t="s">
        <v>349</v>
      </c>
      <c r="BC24" s="1333"/>
    </row>
    <row r="25" spans="1:87" x14ac:dyDescent="0.2">
      <c r="A25" s="1298"/>
      <c r="B25" s="1306"/>
      <c r="C25" s="1340" t="s">
        <v>278</v>
      </c>
      <c r="D25" s="1341">
        <f t="shared" ref="D25:P25" si="6">CHOOSE(dropDown2,SUM(D19:D22)+D24,SUM(D19:D23))</f>
        <v>107</v>
      </c>
      <c r="E25" s="1341">
        <f t="shared" si="6"/>
        <v>69</v>
      </c>
      <c r="F25" s="1341">
        <f t="shared" si="6"/>
        <v>91</v>
      </c>
      <c r="G25" s="1341">
        <f t="shared" si="6"/>
        <v>114</v>
      </c>
      <c r="H25" s="1341">
        <f t="shared" si="6"/>
        <v>101</v>
      </c>
      <c r="I25" s="1341">
        <f t="shared" si="6"/>
        <v>107</v>
      </c>
      <c r="J25" s="1341">
        <f t="shared" si="6"/>
        <v>108</v>
      </c>
      <c r="K25" s="1341">
        <f t="shared" si="6"/>
        <v>-7</v>
      </c>
      <c r="L25" s="1342">
        <f t="shared" si="6"/>
        <v>-26.9</v>
      </c>
      <c r="M25" s="1342">
        <f t="shared" si="6"/>
        <v>-32.736799999999995</v>
      </c>
      <c r="N25" s="1342">
        <f t="shared" si="6"/>
        <v>-34.880544</v>
      </c>
      <c r="O25" s="1342">
        <f t="shared" si="6"/>
        <v>-37.195787520000003</v>
      </c>
      <c r="P25" s="1342">
        <f t="shared" si="6"/>
        <v>-39.6962505216</v>
      </c>
      <c r="AJ25" s="1269"/>
      <c r="AR25" s="1339" t="s">
        <v>118</v>
      </c>
      <c r="AS25" s="1327">
        <v>6</v>
      </c>
      <c r="AT25" s="1589" t="s">
        <v>644</v>
      </c>
      <c r="AU25" s="1289" t="b">
        <v>1</v>
      </c>
      <c r="AV25" s="1289" t="b">
        <v>0</v>
      </c>
      <c r="BC25" s="1341"/>
    </row>
    <row r="26" spans="1:87" x14ac:dyDescent="0.2">
      <c r="A26" s="1298"/>
      <c r="B26" s="1306"/>
      <c r="C26" s="1307"/>
      <c r="D26" s="1334">
        <v>107</v>
      </c>
      <c r="E26" s="1345">
        <v>69</v>
      </c>
      <c r="F26" s="1345">
        <v>91</v>
      </c>
      <c r="G26" s="1345">
        <v>114</v>
      </c>
      <c r="H26" s="1346">
        <v>101</v>
      </c>
      <c r="I26" s="1344">
        <v>107</v>
      </c>
      <c r="J26" s="1347">
        <v>108</v>
      </c>
      <c r="K26" s="1347">
        <v>-7</v>
      </c>
      <c r="L26" s="1347"/>
      <c r="M26" s="1347"/>
      <c r="N26" s="1347"/>
      <c r="O26" s="1347"/>
      <c r="P26" s="1347"/>
      <c r="Q26" s="1354"/>
      <c r="AJ26" s="1269" t="s">
        <v>279</v>
      </c>
      <c r="BC26" s="1348" t="s">
        <v>877</v>
      </c>
      <c r="BD26" s="1334">
        <v>91</v>
      </c>
      <c r="BE26" s="1334">
        <v>114</v>
      </c>
      <c r="BF26" s="1334">
        <v>101</v>
      </c>
      <c r="BG26" s="1334">
        <v>107</v>
      </c>
      <c r="BH26" s="1334"/>
      <c r="BI26" s="1334"/>
      <c r="BJ26" s="1334"/>
      <c r="BY26" s="1349"/>
    </row>
    <row r="27" spans="1:87" ht="12" x14ac:dyDescent="0.15">
      <c r="A27" s="1298"/>
      <c r="B27" s="1328" t="s">
        <v>355</v>
      </c>
      <c r="C27" s="1329" t="s">
        <v>196</v>
      </c>
      <c r="D27" s="1330"/>
      <c r="E27" s="1330"/>
      <c r="F27" s="1330"/>
      <c r="G27" s="1330"/>
      <c r="H27" s="1308"/>
      <c r="I27" s="1308"/>
      <c r="J27" s="1309"/>
      <c r="K27" s="1309"/>
      <c r="L27" s="1309"/>
      <c r="M27" s="1309"/>
      <c r="N27" s="1309"/>
      <c r="O27" s="1309"/>
      <c r="P27" s="1309"/>
      <c r="BC27" s="1332"/>
      <c r="BY27" s="1291"/>
      <c r="BZ27" s="1350"/>
      <c r="CA27" s="1353"/>
      <c r="CB27" s="1353"/>
      <c r="CC27" s="1353"/>
      <c r="CD27" s="1353"/>
      <c r="CE27" s="1353"/>
      <c r="CF27" s="1353"/>
      <c r="CI27" s="1270"/>
    </row>
    <row r="28" spans="1:87" ht="7.5" customHeight="1" x14ac:dyDescent="0.2">
      <c r="A28" s="1298"/>
      <c r="B28" s="1306"/>
      <c r="C28" s="1307"/>
      <c r="D28" s="1307"/>
      <c r="E28" s="1307"/>
      <c r="F28" s="1307"/>
      <c r="G28" s="1307"/>
      <c r="H28" s="1308"/>
      <c r="I28" s="1308"/>
      <c r="J28" s="1309"/>
      <c r="K28" s="1309"/>
      <c r="L28" s="1309"/>
      <c r="M28" s="1309"/>
      <c r="N28" s="1309"/>
      <c r="O28" s="1309"/>
      <c r="P28" s="1309"/>
      <c r="BC28" s="1324"/>
      <c r="BY28" s="1291"/>
      <c r="BZ28" s="1350"/>
      <c r="CA28" s="1353"/>
      <c r="CB28" s="1353"/>
      <c r="CC28" s="1353"/>
      <c r="CD28" s="1353"/>
      <c r="CE28" s="1353"/>
      <c r="CF28" s="1353"/>
      <c r="CI28" s="1270"/>
    </row>
    <row r="29" spans="1:87" outlineLevel="1" x14ac:dyDescent="0.2">
      <c r="A29" s="1298"/>
      <c r="B29" s="1306"/>
      <c r="C29" s="1289" t="s">
        <v>356</v>
      </c>
      <c r="D29" s="1290"/>
      <c r="E29" s="1308">
        <f t="shared" ref="E29:K29" si="7">D35</f>
        <v>1311</v>
      </c>
      <c r="F29" s="1308">
        <f t="shared" si="7"/>
        <v>920</v>
      </c>
      <c r="G29" s="1308">
        <f t="shared" si="7"/>
        <v>1044</v>
      </c>
      <c r="H29" s="1308">
        <f t="shared" si="7"/>
        <v>1082</v>
      </c>
      <c r="I29" s="1308">
        <f t="shared" si="7"/>
        <v>1206</v>
      </c>
      <c r="J29" s="1308">
        <f t="shared" si="7"/>
        <v>1311</v>
      </c>
      <c r="K29" s="1308">
        <f t="shared" si="7"/>
        <v>855</v>
      </c>
      <c r="L29" s="1308">
        <f>+K35</f>
        <v>571</v>
      </c>
      <c r="M29" s="1308">
        <f>+L35</f>
        <v>580.66</v>
      </c>
      <c r="N29" s="1308">
        <f>+M35</f>
        <v>590.31999999999994</v>
      </c>
      <c r="O29" s="1308">
        <f>+N35</f>
        <v>599.9799999999999</v>
      </c>
      <c r="P29" s="1308">
        <f>+O35</f>
        <v>609.63999999999987</v>
      </c>
      <c r="AJ29" s="1270" t="s">
        <v>280</v>
      </c>
      <c r="BC29" s="1333" t="s">
        <v>877</v>
      </c>
      <c r="BY29" s="1291"/>
      <c r="BZ29" s="1350"/>
      <c r="CA29" s="1353"/>
      <c r="CB29" s="1353"/>
      <c r="CC29" s="1353"/>
      <c r="CD29" s="1353"/>
      <c r="CE29" s="1353"/>
      <c r="CF29" s="1353"/>
      <c r="CI29" s="1270"/>
    </row>
    <row r="30" spans="1:87" outlineLevel="1" x14ac:dyDescent="0.2">
      <c r="A30" s="1298"/>
      <c r="B30" s="1306"/>
      <c r="C30" s="1289" t="s">
        <v>555</v>
      </c>
      <c r="D30" s="1308">
        <f t="shared" ref="D30:K30" si="8">D19</f>
        <v>15</v>
      </c>
      <c r="E30" s="1308">
        <f t="shared" si="8"/>
        <v>16</v>
      </c>
      <c r="F30" s="1308">
        <f t="shared" si="8"/>
        <v>16</v>
      </c>
      <c r="G30" s="1308">
        <f t="shared" si="8"/>
        <v>16</v>
      </c>
      <c r="H30" s="1308">
        <f t="shared" si="8"/>
        <v>14</v>
      </c>
      <c r="I30" s="1308">
        <f t="shared" si="8"/>
        <v>15</v>
      </c>
      <c r="J30" s="1308">
        <f t="shared" si="8"/>
        <v>16</v>
      </c>
      <c r="K30" s="1308">
        <f t="shared" si="8"/>
        <v>7</v>
      </c>
      <c r="L30" s="1308">
        <f>+L19</f>
        <v>9.66</v>
      </c>
      <c r="M30" s="1308">
        <f>+M19</f>
        <v>9.66</v>
      </c>
      <c r="N30" s="1308">
        <f>+N19</f>
        <v>9.66</v>
      </c>
      <c r="O30" s="1308">
        <f>+O19</f>
        <v>9.66</v>
      </c>
      <c r="P30" s="1308">
        <f>+P19</f>
        <v>9.66</v>
      </c>
      <c r="BC30" s="1333"/>
      <c r="BY30" s="1291"/>
      <c r="BZ30" s="1350"/>
      <c r="CA30" s="1353"/>
      <c r="CB30" s="1353"/>
      <c r="CC30" s="1353"/>
      <c r="CD30" s="1353"/>
      <c r="CE30" s="1353"/>
      <c r="CF30" s="1353"/>
      <c r="CI30" s="1270"/>
    </row>
    <row r="31" spans="1:87" outlineLevel="1" x14ac:dyDescent="0.2">
      <c r="A31" s="1298"/>
      <c r="B31" s="1306"/>
      <c r="C31" s="1289" t="s">
        <v>303</v>
      </c>
      <c r="D31" s="1308">
        <f t="shared" ref="D31:K31" si="9">D21</f>
        <v>54</v>
      </c>
      <c r="E31" s="1308">
        <f t="shared" si="9"/>
        <v>51</v>
      </c>
      <c r="F31" s="1308">
        <f t="shared" si="9"/>
        <v>57</v>
      </c>
      <c r="G31" s="1308">
        <f t="shared" si="9"/>
        <v>61</v>
      </c>
      <c r="H31" s="1308">
        <f t="shared" si="9"/>
        <v>58</v>
      </c>
      <c r="I31" s="1308">
        <f t="shared" si="9"/>
        <v>54</v>
      </c>
      <c r="J31" s="1308">
        <f t="shared" si="9"/>
        <v>50</v>
      </c>
      <c r="K31" s="1308">
        <f t="shared" si="9"/>
        <v>24</v>
      </c>
      <c r="L31" s="1308">
        <f>+L21</f>
        <v>0</v>
      </c>
      <c r="M31" s="1308">
        <f>+M21</f>
        <v>0</v>
      </c>
      <c r="N31" s="1308">
        <f>+N21</f>
        <v>0</v>
      </c>
      <c r="O31" s="1308">
        <f>+O21</f>
        <v>0</v>
      </c>
      <c r="P31" s="1308">
        <f>+P21</f>
        <v>0</v>
      </c>
      <c r="BC31" s="1333"/>
      <c r="BY31" s="1291"/>
      <c r="BZ31" s="1350"/>
      <c r="CA31" s="1353"/>
      <c r="CB31" s="1353"/>
      <c r="CC31" s="1353"/>
      <c r="CD31" s="1353"/>
      <c r="CE31" s="1353"/>
      <c r="CF31" s="1353"/>
      <c r="CI31" s="1270"/>
    </row>
    <row r="32" spans="1:87" outlineLevel="1" x14ac:dyDescent="0.2">
      <c r="A32" s="1298"/>
      <c r="B32" s="1306"/>
      <c r="C32" s="1289" t="s">
        <v>635</v>
      </c>
      <c r="D32" s="1352"/>
      <c r="E32" s="1352"/>
      <c r="F32" s="1352"/>
      <c r="G32" s="1352"/>
      <c r="H32" s="1352"/>
      <c r="I32" s="1352"/>
      <c r="J32" s="1352"/>
      <c r="K32" s="1352"/>
      <c r="L32" s="1308">
        <f>K35*(-(L8-K8))*L9*100</f>
        <v>0</v>
      </c>
      <c r="M32" s="1308">
        <f>L35*(-(M8-L8))*M9*100</f>
        <v>0</v>
      </c>
      <c r="N32" s="1308">
        <f>M35*(-(N8-M8))*N9*100</f>
        <v>0</v>
      </c>
      <c r="O32" s="1308">
        <f>N35*(-(O8-N8))*O9*100</f>
        <v>0</v>
      </c>
      <c r="P32" s="1308">
        <f>O35*(-(P8-O8))*P9*100</f>
        <v>0</v>
      </c>
      <c r="BC32" s="1308"/>
      <c r="BY32" s="1349"/>
      <c r="BZ32" s="1353"/>
      <c r="CA32" s="1353"/>
      <c r="CB32" s="1353"/>
      <c r="CC32" s="1353"/>
      <c r="CD32" s="1353"/>
      <c r="CE32" s="1353"/>
      <c r="CF32" s="1353"/>
    </row>
    <row r="33" spans="1:87" outlineLevel="1" x14ac:dyDescent="0.2">
      <c r="A33" s="1298"/>
      <c r="B33" s="1306"/>
      <c r="C33" s="1289" t="s">
        <v>197</v>
      </c>
      <c r="D33" s="1352"/>
      <c r="E33" s="1352"/>
      <c r="F33" s="1352"/>
      <c r="G33" s="1352"/>
      <c r="H33" s="1352"/>
      <c r="I33" s="1352"/>
      <c r="J33" s="1352"/>
      <c r="K33" s="1352"/>
      <c r="L33" s="1308">
        <f>+K33</f>
        <v>0</v>
      </c>
      <c r="M33" s="1308">
        <f>+L33</f>
        <v>0</v>
      </c>
      <c r="N33" s="1308">
        <f>+M33</f>
        <v>0</v>
      </c>
      <c r="O33" s="1308">
        <f>+N33</f>
        <v>0</v>
      </c>
      <c r="P33" s="1308">
        <f>+O33</f>
        <v>0</v>
      </c>
      <c r="AN33" s="1291"/>
      <c r="BC33" s="1308"/>
    </row>
    <row r="34" spans="1:87" outlineLevel="1" x14ac:dyDescent="0.2">
      <c r="A34" s="1298"/>
      <c r="B34" s="1306"/>
      <c r="C34" s="1289" t="s">
        <v>654</v>
      </c>
      <c r="D34" s="1308">
        <f t="shared" ref="D34:K34" si="10">IF(ISNUMBER(D35-SUM(D29:D31)),D35-SUM(D29:D31),0)</f>
        <v>1242</v>
      </c>
      <c r="E34" s="1308">
        <f t="shared" si="10"/>
        <v>-458</v>
      </c>
      <c r="F34" s="1308">
        <f t="shared" si="10"/>
        <v>51</v>
      </c>
      <c r="G34" s="1308">
        <f t="shared" si="10"/>
        <v>-39</v>
      </c>
      <c r="H34" s="1308">
        <f t="shared" si="10"/>
        <v>52</v>
      </c>
      <c r="I34" s="1308">
        <f t="shared" si="10"/>
        <v>36</v>
      </c>
      <c r="J34" s="1308">
        <f t="shared" si="10"/>
        <v>-522</v>
      </c>
      <c r="K34" s="1308">
        <f t="shared" si="10"/>
        <v>-315</v>
      </c>
      <c r="L34" s="1308">
        <v>0</v>
      </c>
      <c r="M34" s="1308">
        <v>0</v>
      </c>
      <c r="N34" s="1308">
        <v>0</v>
      </c>
      <c r="O34" s="1308">
        <v>0</v>
      </c>
      <c r="P34" s="1308">
        <v>0</v>
      </c>
      <c r="BC34" s="1333"/>
    </row>
    <row r="35" spans="1:87" x14ac:dyDescent="0.2">
      <c r="A35" s="1298"/>
      <c r="B35" s="1306"/>
      <c r="C35" s="1340" t="s">
        <v>636</v>
      </c>
      <c r="D35" s="1334">
        <v>1311</v>
      </c>
      <c r="E35" s="1341">
        <v>920</v>
      </c>
      <c r="F35" s="1341">
        <v>1044</v>
      </c>
      <c r="G35" s="1341">
        <v>1082</v>
      </c>
      <c r="H35" s="1341">
        <v>1206</v>
      </c>
      <c r="I35" s="1341">
        <v>1311</v>
      </c>
      <c r="J35" s="1341">
        <v>855</v>
      </c>
      <c r="K35" s="1341">
        <v>571</v>
      </c>
      <c r="L35" s="1341">
        <f>SUM(L29:L34)</f>
        <v>580.66</v>
      </c>
      <c r="M35" s="1341">
        <f>SUM(M29:M34)</f>
        <v>590.31999999999994</v>
      </c>
      <c r="N35" s="1341">
        <f>SUM(N29:N34)</f>
        <v>599.9799999999999</v>
      </c>
      <c r="O35" s="1341">
        <f>SUM(O29:O34)</f>
        <v>609.63999999999987</v>
      </c>
      <c r="P35" s="1341">
        <f>SUM(P29:P34)</f>
        <v>619.29999999999984</v>
      </c>
      <c r="Q35" s="1354"/>
      <c r="AJ35" s="1270" t="s">
        <v>281</v>
      </c>
      <c r="BC35" s="1343" t="s">
        <v>877</v>
      </c>
      <c r="BD35" s="1334">
        <v>1044</v>
      </c>
      <c r="BE35" s="1334">
        <v>1082</v>
      </c>
      <c r="BF35" s="1334">
        <v>1206</v>
      </c>
      <c r="BG35" s="1334">
        <v>1311</v>
      </c>
      <c r="BH35" s="1334"/>
      <c r="BI35" s="1334"/>
      <c r="BJ35" s="1334"/>
    </row>
    <row r="36" spans="1:87" x14ac:dyDescent="0.2">
      <c r="A36" s="1298"/>
      <c r="B36" s="1306"/>
      <c r="C36" s="1307"/>
      <c r="D36" s="1307"/>
      <c r="E36" s="1307"/>
      <c r="F36" s="1307"/>
      <c r="G36" s="1307"/>
      <c r="H36" s="1308"/>
      <c r="I36" s="1308"/>
      <c r="J36" s="1309"/>
      <c r="K36" s="1309"/>
      <c r="L36" s="1309"/>
      <c r="M36" s="1309"/>
      <c r="N36" s="1309"/>
      <c r="O36" s="1309"/>
      <c r="P36" s="1309"/>
      <c r="BC36" s="1324"/>
    </row>
    <row r="37" spans="1:87" outlineLevel="1" x14ac:dyDescent="0.2">
      <c r="A37" s="1298"/>
      <c r="B37" s="1306"/>
      <c r="C37" s="1289" t="s">
        <v>465</v>
      </c>
      <c r="D37" s="1290"/>
      <c r="E37" s="1308">
        <f t="shared" ref="E37:K37" si="11">D42</f>
        <v>205</v>
      </c>
      <c r="F37" s="1308">
        <f t="shared" si="11"/>
        <v>138</v>
      </c>
      <c r="G37" s="1308">
        <f t="shared" si="11"/>
        <v>161</v>
      </c>
      <c r="H37" s="1308">
        <f t="shared" si="11"/>
        <v>178</v>
      </c>
      <c r="I37" s="1308">
        <f t="shared" si="11"/>
        <v>186</v>
      </c>
      <c r="J37" s="1308">
        <f t="shared" si="11"/>
        <v>205</v>
      </c>
      <c r="K37" s="1308">
        <f t="shared" si="11"/>
        <v>239</v>
      </c>
      <c r="L37" s="1308">
        <f>+K42</f>
        <v>262</v>
      </c>
      <c r="M37" s="1308">
        <f>+L42</f>
        <v>334.96</v>
      </c>
      <c r="N37" s="1308">
        <f>+M42</f>
        <v>361.7568</v>
      </c>
      <c r="O37" s="1308">
        <f>+N42</f>
        <v>390.69734399999999</v>
      </c>
      <c r="P37" s="1308">
        <f>+O42</f>
        <v>421.95313152</v>
      </c>
      <c r="AJ37" s="1270" t="s">
        <v>294</v>
      </c>
      <c r="BC37" s="1333" t="s">
        <v>877</v>
      </c>
    </row>
    <row r="38" spans="1:87" outlineLevel="1" x14ac:dyDescent="0.2">
      <c r="A38" s="1298"/>
      <c r="B38" s="1306"/>
      <c r="C38" s="1289" t="s">
        <v>466</v>
      </c>
      <c r="D38" s="1334">
        <v>19</v>
      </c>
      <c r="E38" s="1355">
        <v>-38</v>
      </c>
      <c r="F38" s="1355">
        <v>23</v>
      </c>
      <c r="G38" s="1355">
        <v>17</v>
      </c>
      <c r="H38" s="1355">
        <v>8</v>
      </c>
      <c r="I38" s="1308">
        <v>19</v>
      </c>
      <c r="J38" s="1309">
        <v>-34</v>
      </c>
      <c r="K38" s="1309">
        <v>-26</v>
      </c>
      <c r="L38" s="1309">
        <f>IF(ISERROR(((K42+0.5*L39)*L12)),"",((K42+0.5*L39)*L12))</f>
        <v>22.96</v>
      </c>
      <c r="M38" s="1309">
        <f>IF(ISERROR(((L42+0.5*M39)*M12)),"",((L42+0.5*M39)*M12))</f>
        <v>26.796799999999998</v>
      </c>
      <c r="N38" s="1309">
        <f>IF(ISERROR(((M42+0.5*N39)*N12)),"",((M42+0.5*N39)*N12))</f>
        <v>28.940543999999999</v>
      </c>
      <c r="O38" s="1309">
        <f>IF(ISERROR(((N42+0.5*O39)*O12)),"",((N42+0.5*O39)*O12))</f>
        <v>31.255787519999998</v>
      </c>
      <c r="P38" s="1309">
        <f>IF(ISERROR(((O42+0.5*P39)*P12)),"",((O42+0.5*P39)*P12))</f>
        <v>33.756250521600002</v>
      </c>
      <c r="Q38" s="1354"/>
      <c r="AJ38" s="1270" t="s">
        <v>487</v>
      </c>
      <c r="AN38" s="1291"/>
      <c r="BC38" s="1333" t="s">
        <v>877</v>
      </c>
      <c r="BD38" s="1334">
        <v>23</v>
      </c>
      <c r="BE38" s="1334">
        <v>17</v>
      </c>
      <c r="BF38" s="1334">
        <v>8</v>
      </c>
      <c r="BG38" s="1334">
        <v>19</v>
      </c>
      <c r="BH38" s="1334"/>
      <c r="BI38" s="1334"/>
      <c r="BJ38" s="1334"/>
      <c r="BY38" s="1291"/>
      <c r="BZ38" s="1393">
        <f t="shared" ref="BZ38:CF38" si="12">H6</f>
        <v>2012</v>
      </c>
      <c r="CA38" s="1393">
        <f t="shared" si="12"/>
        <v>2013</v>
      </c>
      <c r="CB38" s="1393">
        <f t="shared" si="12"/>
        <v>2014</v>
      </c>
      <c r="CC38" s="1393">
        <f t="shared" si="12"/>
        <v>2015</v>
      </c>
      <c r="CD38" s="1393">
        <f t="shared" si="12"/>
        <v>2016</v>
      </c>
      <c r="CE38" s="1393">
        <f t="shared" si="12"/>
        <v>2017</v>
      </c>
      <c r="CF38" s="1393">
        <f t="shared" si="12"/>
        <v>2018</v>
      </c>
      <c r="CG38" s="1394"/>
      <c r="CH38" s="1394"/>
      <c r="CI38" s="1394"/>
    </row>
    <row r="39" spans="1:87" outlineLevel="1" x14ac:dyDescent="0.2">
      <c r="A39" s="1298"/>
      <c r="B39" s="1306"/>
      <c r="C39" s="1289" t="s">
        <v>468</v>
      </c>
      <c r="D39" s="1352"/>
      <c r="E39" s="1352"/>
      <c r="F39" s="1405">
        <v>49</v>
      </c>
      <c r="G39" s="1405">
        <v>49</v>
      </c>
      <c r="H39" s="1405">
        <v>46</v>
      </c>
      <c r="I39" s="1405">
        <v>51</v>
      </c>
      <c r="J39" s="1405"/>
      <c r="K39" s="1405"/>
      <c r="L39" s="1405">
        <v>50</v>
      </c>
      <c r="M39" s="1405"/>
      <c r="N39" s="1405"/>
      <c r="O39" s="1351"/>
      <c r="P39" s="1351"/>
      <c r="BC39" s="1308"/>
      <c r="CA39" s="1356"/>
      <c r="CB39" s="1356"/>
      <c r="CC39" s="1356"/>
      <c r="CD39" s="1356"/>
      <c r="CE39" s="1356"/>
      <c r="CF39" s="1356"/>
    </row>
    <row r="40" spans="1:87" outlineLevel="1" x14ac:dyDescent="0.2">
      <c r="A40" s="1298"/>
      <c r="B40" s="1306"/>
      <c r="C40" s="1289" t="s">
        <v>197</v>
      </c>
      <c r="D40" s="1308">
        <f t="shared" ref="D40:K40" si="13">D33</f>
        <v>0</v>
      </c>
      <c r="E40" s="1308">
        <f t="shared" si="13"/>
        <v>0</v>
      </c>
      <c r="F40" s="1308">
        <f t="shared" si="13"/>
        <v>0</v>
      </c>
      <c r="G40" s="1308">
        <f t="shared" si="13"/>
        <v>0</v>
      </c>
      <c r="H40" s="1308">
        <f t="shared" si="13"/>
        <v>0</v>
      </c>
      <c r="I40" s="1308">
        <f t="shared" si="13"/>
        <v>0</v>
      </c>
      <c r="J40" s="1308">
        <f t="shared" si="13"/>
        <v>0</v>
      </c>
      <c r="K40" s="1308">
        <f t="shared" si="13"/>
        <v>0</v>
      </c>
      <c r="L40" s="1352"/>
      <c r="M40" s="1352"/>
      <c r="N40" s="1352"/>
      <c r="O40" s="1352"/>
      <c r="P40" s="1352"/>
      <c r="AN40" s="1291"/>
      <c r="BC40" s="1333"/>
      <c r="BY40" s="1290" t="str">
        <f>[7]Pension!CC40</f>
        <v>Market cap</v>
      </c>
      <c r="BZ40" s="1357">
        <f>[7]Pension!CD40</f>
        <v>22827.026496396</v>
      </c>
      <c r="CA40" s="1357">
        <f>[7]Pension!CE40</f>
        <v>24488.68428331488</v>
      </c>
      <c r="CB40" s="1357">
        <f>[7]Pension!CF40</f>
        <v>19544.10064547088</v>
      </c>
      <c r="CC40" s="1357">
        <f>[7]Pension!CG40</f>
        <v>28673.177856580798</v>
      </c>
      <c r="CD40" s="1357">
        <f>[7]Pension!CH40</f>
        <v>30021.79932544144</v>
      </c>
      <c r="CE40" s="1357">
        <f>[7]Pension!CI40</f>
        <v>30021.79932544144</v>
      </c>
      <c r="CF40" s="1357">
        <f>[7]Pension!CJ40</f>
        <v>30021.79932544144</v>
      </c>
    </row>
    <row r="41" spans="1:87" outlineLevel="1" x14ac:dyDescent="0.2">
      <c r="A41" s="1298"/>
      <c r="B41" s="1306"/>
      <c r="C41" s="1289" t="s">
        <v>153</v>
      </c>
      <c r="D41" s="1308">
        <f t="shared" ref="D41:K41" si="14">IF(ISNUMBER(D42-SUM(D37:D40)),D42-SUM(D37:D40),0)</f>
        <v>186</v>
      </c>
      <c r="E41" s="1308">
        <f t="shared" si="14"/>
        <v>-29</v>
      </c>
      <c r="F41" s="1308">
        <f t="shared" si="14"/>
        <v>-49</v>
      </c>
      <c r="G41" s="1308">
        <f t="shared" si="14"/>
        <v>-49</v>
      </c>
      <c r="H41" s="1308">
        <f t="shared" si="14"/>
        <v>-46</v>
      </c>
      <c r="I41" s="1308">
        <f t="shared" si="14"/>
        <v>-51</v>
      </c>
      <c r="J41" s="1308">
        <f t="shared" si="14"/>
        <v>68</v>
      </c>
      <c r="K41" s="1308">
        <f t="shared" si="14"/>
        <v>49</v>
      </c>
      <c r="L41" s="1308">
        <v>0</v>
      </c>
      <c r="M41" s="1308">
        <v>0</v>
      </c>
      <c r="N41" s="1308">
        <v>0</v>
      </c>
      <c r="O41" s="1308">
        <v>0</v>
      </c>
      <c r="P41" s="1308">
        <v>0</v>
      </c>
      <c r="BC41" s="1308"/>
      <c r="BY41" s="1290" t="s">
        <v>282</v>
      </c>
      <c r="BZ41" s="1312">
        <f t="shared" ref="BZ41:CF41" si="15">IF(ISERROR(H35/BZ40),NA(),H35/BZ40)</f>
        <v>5.2832111102618075E-2</v>
      </c>
      <c r="CA41" s="1312">
        <f t="shared" si="15"/>
        <v>5.3534930044944744E-2</v>
      </c>
      <c r="CB41" s="1312">
        <f t="shared" si="15"/>
        <v>4.3747216385632788E-2</v>
      </c>
      <c r="CC41" s="1312">
        <f t="shared" si="15"/>
        <v>1.9914081475588846E-2</v>
      </c>
      <c r="CD41" s="1312">
        <f t="shared" si="15"/>
        <v>1.9341279105410912E-2</v>
      </c>
      <c r="CE41" s="1312">
        <f t="shared" si="15"/>
        <v>1.9663045295880841E-2</v>
      </c>
      <c r="CF41" s="1312">
        <f t="shared" si="15"/>
        <v>1.998481148635077E-2</v>
      </c>
    </row>
    <row r="42" spans="1:87" x14ac:dyDescent="0.2">
      <c r="A42" s="1298"/>
      <c r="B42" s="1306"/>
      <c r="C42" s="1340" t="s">
        <v>234</v>
      </c>
      <c r="D42" s="1334">
        <v>205</v>
      </c>
      <c r="E42" s="1341">
        <v>138</v>
      </c>
      <c r="F42" s="1341">
        <v>161</v>
      </c>
      <c r="G42" s="1341">
        <v>178</v>
      </c>
      <c r="H42" s="1341">
        <v>186</v>
      </c>
      <c r="I42" s="1341">
        <v>205</v>
      </c>
      <c r="J42" s="1341">
        <v>239</v>
      </c>
      <c r="K42" s="1341">
        <v>262</v>
      </c>
      <c r="L42" s="1341">
        <f>SUM(L37:L41)</f>
        <v>334.96</v>
      </c>
      <c r="M42" s="1341">
        <f>SUM(M37:M41)</f>
        <v>361.7568</v>
      </c>
      <c r="N42" s="1341">
        <f>SUM(N37:N41)</f>
        <v>390.69734399999999</v>
      </c>
      <c r="O42" s="1341">
        <f>SUM(O37:O41)</f>
        <v>421.95313152</v>
      </c>
      <c r="P42" s="1341">
        <f>SUM(P37:P41)</f>
        <v>455.70938204160001</v>
      </c>
      <c r="Q42" s="1354"/>
      <c r="AJ42" s="1270" t="s">
        <v>459</v>
      </c>
      <c r="BC42" s="1341" t="s">
        <v>877</v>
      </c>
      <c r="BD42" s="1334">
        <v>161</v>
      </c>
      <c r="BE42" s="1334">
        <v>178</v>
      </c>
      <c r="BF42" s="1334">
        <v>186</v>
      </c>
      <c r="BG42" s="1334">
        <v>205</v>
      </c>
      <c r="BH42" s="1334"/>
      <c r="BI42" s="1334"/>
      <c r="BJ42" s="1334"/>
      <c r="BY42" s="1290" t="s">
        <v>283</v>
      </c>
      <c r="BZ42" s="1274">
        <f t="shared" ref="BZ42:CF42" si="16">H35</f>
        <v>1206</v>
      </c>
      <c r="CA42" s="1274">
        <f t="shared" si="16"/>
        <v>1311</v>
      </c>
      <c r="CB42" s="1274">
        <f t="shared" si="16"/>
        <v>855</v>
      </c>
      <c r="CC42" s="1274">
        <f t="shared" si="16"/>
        <v>571</v>
      </c>
      <c r="CD42" s="1274">
        <f t="shared" si="16"/>
        <v>580.66</v>
      </c>
      <c r="CE42" s="1274">
        <f t="shared" si="16"/>
        <v>590.31999999999994</v>
      </c>
      <c r="CF42" s="1274">
        <f t="shared" si="16"/>
        <v>599.9799999999999</v>
      </c>
    </row>
    <row r="43" spans="1:87" x14ac:dyDescent="0.2">
      <c r="A43" s="1298"/>
      <c r="B43" s="1306"/>
      <c r="C43" s="1307"/>
      <c r="D43" s="1307"/>
      <c r="E43" s="1307"/>
      <c r="F43" s="1307"/>
      <c r="G43" s="1307"/>
      <c r="H43" s="1308"/>
      <c r="I43" s="1308"/>
      <c r="J43" s="1309"/>
      <c r="K43" s="1309"/>
      <c r="L43" s="1309"/>
      <c r="M43" s="1309"/>
      <c r="N43" s="1309"/>
      <c r="O43" s="1309"/>
      <c r="P43" s="1309"/>
      <c r="BC43" s="1324"/>
    </row>
    <row r="44" spans="1:87" x14ac:dyDescent="0.2">
      <c r="A44" s="1298"/>
      <c r="B44" s="1306"/>
      <c r="C44" s="1340" t="s">
        <v>233</v>
      </c>
      <c r="D44" s="1341">
        <f t="shared" ref="D44:P44" si="17">IF(ISERROR(D35-D42),0,D35-D42)</f>
        <v>1106</v>
      </c>
      <c r="E44" s="1341">
        <f t="shared" si="17"/>
        <v>782</v>
      </c>
      <c r="F44" s="1341">
        <f t="shared" si="17"/>
        <v>883</v>
      </c>
      <c r="G44" s="1341">
        <f t="shared" si="17"/>
        <v>904</v>
      </c>
      <c r="H44" s="1341">
        <f t="shared" si="17"/>
        <v>1020</v>
      </c>
      <c r="I44" s="1341">
        <f t="shared" si="17"/>
        <v>1106</v>
      </c>
      <c r="J44" s="1341">
        <f t="shared" si="17"/>
        <v>616</v>
      </c>
      <c r="K44" s="1341">
        <f t="shared" si="17"/>
        <v>309</v>
      </c>
      <c r="L44" s="1341">
        <f t="shared" si="17"/>
        <v>245.7</v>
      </c>
      <c r="M44" s="1341">
        <f t="shared" si="17"/>
        <v>228.56319999999994</v>
      </c>
      <c r="N44" s="1341">
        <f t="shared" si="17"/>
        <v>209.28265599999992</v>
      </c>
      <c r="O44" s="1341">
        <f t="shared" si="17"/>
        <v>187.68686847999987</v>
      </c>
      <c r="P44" s="1341">
        <f t="shared" si="17"/>
        <v>163.59061795839983</v>
      </c>
      <c r="BC44" s="1341"/>
    </row>
    <row r="45" spans="1:87" x14ac:dyDescent="0.2">
      <c r="A45" s="1298"/>
      <c r="B45" s="1306"/>
      <c r="C45" s="1340" t="s">
        <v>655</v>
      </c>
      <c r="D45" s="1271">
        <f t="shared" ref="D45:P45" si="18">IF(ISERROR(D42/D35),"NA",D42/D35)</f>
        <v>0.15636918382913806</v>
      </c>
      <c r="E45" s="1271">
        <f t="shared" si="18"/>
        <v>0.15</v>
      </c>
      <c r="F45" s="1271">
        <f t="shared" si="18"/>
        <v>0.15421455938697318</v>
      </c>
      <c r="G45" s="1271">
        <f t="shared" si="18"/>
        <v>0.16451016635859519</v>
      </c>
      <c r="H45" s="1271">
        <f t="shared" si="18"/>
        <v>0.15422885572139303</v>
      </c>
      <c r="I45" s="1271">
        <f t="shared" si="18"/>
        <v>0.15636918382913806</v>
      </c>
      <c r="J45" s="1271">
        <f t="shared" si="18"/>
        <v>0.27953216374269008</v>
      </c>
      <c r="K45" s="1271">
        <f t="shared" si="18"/>
        <v>0.45884413309982486</v>
      </c>
      <c r="L45" s="1271">
        <f t="shared" si="18"/>
        <v>0.57686081355698693</v>
      </c>
      <c r="M45" s="1271">
        <f t="shared" si="18"/>
        <v>0.61281474454533136</v>
      </c>
      <c r="N45" s="1271">
        <f t="shared" si="18"/>
        <v>0.65118394613153785</v>
      </c>
      <c r="O45" s="1271">
        <f t="shared" si="18"/>
        <v>0.69213491818122186</v>
      </c>
      <c r="P45" s="1271">
        <f t="shared" si="18"/>
        <v>0.73584592611270805</v>
      </c>
      <c r="BC45" s="1272"/>
    </row>
    <row r="46" spans="1:87" ht="12.75" customHeight="1" x14ac:dyDescent="0.2">
      <c r="A46" s="1298"/>
      <c r="B46" s="1306"/>
      <c r="C46" s="1307"/>
      <c r="D46" s="1307"/>
      <c r="E46" s="1307"/>
      <c r="F46" s="1307"/>
      <c r="G46" s="1307"/>
      <c r="H46" s="1273"/>
      <c r="I46" s="1273"/>
      <c r="J46" s="1273"/>
      <c r="K46" s="1273"/>
      <c r="L46" s="1273"/>
      <c r="M46" s="1273"/>
      <c r="N46" s="1273"/>
      <c r="O46" s="1273"/>
      <c r="P46" s="1273"/>
      <c r="BC46" s="1324"/>
    </row>
    <row r="47" spans="1:87" x14ac:dyDescent="0.2">
      <c r="A47" s="1298"/>
      <c r="B47" s="1306"/>
      <c r="C47" s="1340" t="s">
        <v>284</v>
      </c>
      <c r="D47" s="1341">
        <f>IF(ISERROR(D44*D13),0,D44*D13)</f>
        <v>387.09999999999997</v>
      </c>
      <c r="E47" s="1341">
        <f t="shared" ref="E47:P47" si="19">+D47+(E44-D44)*E13</f>
        <v>270.45999999999998</v>
      </c>
      <c r="F47" s="1341">
        <f t="shared" si="19"/>
        <v>306.82</v>
      </c>
      <c r="G47" s="1341">
        <f t="shared" si="19"/>
        <v>314.38</v>
      </c>
      <c r="H47" s="1341">
        <f t="shared" si="19"/>
        <v>356.14</v>
      </c>
      <c r="I47" s="1341">
        <f t="shared" si="19"/>
        <v>387.09999999999997</v>
      </c>
      <c r="J47" s="1341">
        <f t="shared" si="19"/>
        <v>210.69999999999996</v>
      </c>
      <c r="K47" s="1341">
        <f t="shared" si="19"/>
        <v>100.17999999999996</v>
      </c>
      <c r="L47" s="1341">
        <f t="shared" si="19"/>
        <v>77.391999999999967</v>
      </c>
      <c r="M47" s="1341">
        <f t="shared" si="19"/>
        <v>71.222751999999943</v>
      </c>
      <c r="N47" s="1341">
        <f t="shared" si="19"/>
        <v>64.281756159999929</v>
      </c>
      <c r="O47" s="1341">
        <f t="shared" si="19"/>
        <v>56.723230527999917</v>
      </c>
      <c r="P47" s="1341">
        <f t="shared" si="19"/>
        <v>48.289542845439904</v>
      </c>
      <c r="BC47" s="1341"/>
    </row>
    <row r="48" spans="1:87" x14ac:dyDescent="0.2">
      <c r="A48" s="1298"/>
      <c r="B48" s="1306"/>
      <c r="C48" s="1307"/>
      <c r="D48" s="1307"/>
      <c r="E48" s="1307"/>
      <c r="F48" s="1307"/>
      <c r="G48" s="1307"/>
      <c r="H48" s="1358"/>
      <c r="I48" s="1358"/>
      <c r="J48" s="1355"/>
      <c r="K48" s="1355"/>
      <c r="L48" s="1355"/>
      <c r="M48" s="1355"/>
      <c r="N48" s="1355"/>
      <c r="O48" s="1355"/>
      <c r="P48" s="1355"/>
      <c r="BC48" s="1324"/>
    </row>
    <row r="49" spans="1:55" ht="12" x14ac:dyDescent="0.15">
      <c r="A49" s="1298"/>
      <c r="B49" s="1328" t="s">
        <v>51</v>
      </c>
      <c r="C49" s="1329" t="s">
        <v>592</v>
      </c>
      <c r="D49" s="1330"/>
      <c r="E49" s="1330"/>
      <c r="F49" s="1330"/>
      <c r="G49" s="1330"/>
      <c r="H49" s="1358"/>
      <c r="I49" s="1358"/>
      <c r="J49" s="1355"/>
      <c r="K49" s="1355"/>
      <c r="L49" s="1355"/>
      <c r="M49" s="1355"/>
      <c r="N49" s="1355"/>
      <c r="O49" s="1355"/>
      <c r="P49" s="1355"/>
      <c r="BC49" s="1332"/>
    </row>
    <row r="50" spans="1:55" ht="7.5" customHeight="1" x14ac:dyDescent="0.2">
      <c r="A50" s="1298"/>
      <c r="B50" s="1306"/>
      <c r="C50" s="1307"/>
      <c r="D50" s="1307"/>
      <c r="E50" s="1307"/>
      <c r="F50" s="1307"/>
      <c r="G50" s="1307"/>
      <c r="H50" s="1358"/>
      <c r="I50" s="1358"/>
      <c r="J50" s="1355"/>
      <c r="K50" s="1355"/>
      <c r="L50" s="1355"/>
      <c r="M50" s="1355"/>
      <c r="N50" s="1355"/>
      <c r="O50" s="1355"/>
      <c r="P50" s="1355"/>
      <c r="BC50" s="1324"/>
    </row>
    <row r="51" spans="1:55" x14ac:dyDescent="0.2">
      <c r="A51" s="1298"/>
      <c r="B51" s="1306"/>
      <c r="C51" s="1340" t="s">
        <v>285</v>
      </c>
      <c r="D51" s="1359">
        <f t="shared" ref="D51:P51" si="20">+D25*(1-D13)</f>
        <v>69.55</v>
      </c>
      <c r="E51" s="1359">
        <f t="shared" si="20"/>
        <v>44.160000000000004</v>
      </c>
      <c r="F51" s="1359">
        <f t="shared" si="20"/>
        <v>58.24</v>
      </c>
      <c r="G51" s="1359">
        <f t="shared" si="20"/>
        <v>72.960000000000008</v>
      </c>
      <c r="H51" s="1359">
        <f t="shared" si="20"/>
        <v>64.64</v>
      </c>
      <c r="I51" s="1359">
        <f t="shared" si="20"/>
        <v>68.48</v>
      </c>
      <c r="J51" s="1359">
        <f t="shared" si="20"/>
        <v>69.12</v>
      </c>
      <c r="K51" s="1359">
        <f t="shared" si="20"/>
        <v>-4.4800000000000004</v>
      </c>
      <c r="L51" s="1359">
        <f t="shared" si="20"/>
        <v>-17.216000000000001</v>
      </c>
      <c r="M51" s="1359">
        <f t="shared" si="20"/>
        <v>-20.951551999999996</v>
      </c>
      <c r="N51" s="1359">
        <f t="shared" si="20"/>
        <v>-22.323548160000001</v>
      </c>
      <c r="O51" s="1359">
        <f t="shared" si="20"/>
        <v>-24.177261888000004</v>
      </c>
      <c r="P51" s="1359">
        <f t="shared" si="20"/>
        <v>-25.80256283904</v>
      </c>
      <c r="BC51" s="1360"/>
    </row>
    <row r="52" spans="1:55" x14ac:dyDescent="0.2">
      <c r="A52" s="1298"/>
      <c r="B52" s="1306"/>
      <c r="C52" s="1340" t="s">
        <v>361</v>
      </c>
      <c r="D52" s="1359">
        <f t="shared" ref="D52:P52" si="21">IF(ISERROR(-D39*(1-D13)),0,(-D39*(1-D13)))</f>
        <v>0</v>
      </c>
      <c r="E52" s="1359">
        <f t="shared" si="21"/>
        <v>0</v>
      </c>
      <c r="F52" s="1359">
        <f t="shared" si="21"/>
        <v>-31.36</v>
      </c>
      <c r="G52" s="1359">
        <f t="shared" si="21"/>
        <v>-31.36</v>
      </c>
      <c r="H52" s="1359">
        <f t="shared" si="21"/>
        <v>-29.44</v>
      </c>
      <c r="I52" s="1359">
        <f t="shared" si="21"/>
        <v>-32.64</v>
      </c>
      <c r="J52" s="1359">
        <f t="shared" si="21"/>
        <v>0</v>
      </c>
      <c r="K52" s="1359">
        <f t="shared" si="21"/>
        <v>0</v>
      </c>
      <c r="L52" s="1359">
        <f t="shared" si="21"/>
        <v>-32</v>
      </c>
      <c r="M52" s="1359">
        <f t="shared" si="21"/>
        <v>0</v>
      </c>
      <c r="N52" s="1359">
        <f t="shared" si="21"/>
        <v>0</v>
      </c>
      <c r="O52" s="1359">
        <f t="shared" si="21"/>
        <v>0</v>
      </c>
      <c r="P52" s="1359">
        <f t="shared" si="21"/>
        <v>0</v>
      </c>
      <c r="BC52" s="1360"/>
    </row>
    <row r="53" spans="1:55" ht="7.5" customHeight="1" x14ac:dyDescent="0.2">
      <c r="A53" s="1298"/>
      <c r="B53" s="1306"/>
      <c r="C53" s="1307"/>
      <c r="D53" s="1307"/>
      <c r="E53" s="1307"/>
      <c r="F53" s="1307"/>
      <c r="G53" s="1307"/>
      <c r="H53" s="1327"/>
      <c r="I53" s="1327"/>
      <c r="J53" s="1327"/>
      <c r="K53" s="1327"/>
      <c r="L53" s="1327"/>
      <c r="M53" s="1327"/>
      <c r="N53" s="1327"/>
      <c r="O53" s="1327"/>
      <c r="P53" s="1327"/>
    </row>
    <row r="54" spans="1:55" ht="12" x14ac:dyDescent="0.15">
      <c r="A54" s="1298"/>
      <c r="B54" s="1287" t="s">
        <v>55</v>
      </c>
      <c r="C54" s="1287" t="s">
        <v>56</v>
      </c>
      <c r="D54" s="1304">
        <f t="shared" ref="D54:P54" si="22">+D15</f>
        <v>2008</v>
      </c>
      <c r="E54" s="1304">
        <f t="shared" si="22"/>
        <v>2009</v>
      </c>
      <c r="F54" s="1304">
        <f t="shared" si="22"/>
        <v>2010</v>
      </c>
      <c r="G54" s="1304">
        <f t="shared" si="22"/>
        <v>2011</v>
      </c>
      <c r="H54" s="1304">
        <f t="shared" si="22"/>
        <v>2012</v>
      </c>
      <c r="I54" s="1304">
        <f t="shared" si="22"/>
        <v>2013</v>
      </c>
      <c r="J54" s="1304">
        <f t="shared" si="22"/>
        <v>2014</v>
      </c>
      <c r="K54" s="1304">
        <f t="shared" si="22"/>
        <v>2015</v>
      </c>
      <c r="L54" s="1304">
        <f t="shared" si="22"/>
        <v>2016</v>
      </c>
      <c r="M54" s="1304">
        <f t="shared" si="22"/>
        <v>2017</v>
      </c>
      <c r="N54" s="1304">
        <f t="shared" si="22"/>
        <v>2018</v>
      </c>
      <c r="O54" s="1304">
        <f t="shared" si="22"/>
        <v>2019</v>
      </c>
      <c r="P54" s="1304">
        <f t="shared" si="22"/>
        <v>2020</v>
      </c>
    </row>
    <row r="55" spans="1:55" s="1362" customFormat="1" ht="27.75" customHeight="1" x14ac:dyDescent="0.2">
      <c r="A55" s="1298"/>
      <c r="B55" s="1361"/>
      <c r="C55" s="2175" t="s">
        <v>645</v>
      </c>
      <c r="D55" s="2175"/>
      <c r="E55" s="2175"/>
      <c r="F55" s="2175"/>
      <c r="G55" s="2175"/>
      <c r="H55" s="2175"/>
      <c r="I55" s="2175"/>
      <c r="J55" s="2175"/>
      <c r="K55" s="2175"/>
      <c r="L55" s="2175"/>
      <c r="M55" s="2175"/>
      <c r="N55" s="2175"/>
      <c r="O55" s="2175"/>
      <c r="P55" s="2175"/>
      <c r="Q55" s="1289"/>
      <c r="R55" s="1290"/>
      <c r="S55" s="1290"/>
      <c r="T55" s="1290"/>
      <c r="X55"/>
      <c r="Y55"/>
      <c r="Z55"/>
      <c r="AA55"/>
      <c r="AB55"/>
      <c r="AC55"/>
      <c r="AJ55" s="1363"/>
      <c r="BC55" s="1364"/>
    </row>
    <row r="56" spans="1:55" s="1362" customFormat="1" x14ac:dyDescent="0.2">
      <c r="A56" s="1298"/>
      <c r="B56" s="1361"/>
      <c r="C56" s="1365"/>
      <c r="D56" s="1365"/>
      <c r="E56" s="1365"/>
      <c r="F56" s="1365"/>
      <c r="G56" s="1365"/>
      <c r="H56" s="1365"/>
      <c r="I56" s="1365"/>
      <c r="J56" s="1365"/>
      <c r="K56" s="1365"/>
      <c r="L56" s="1365"/>
      <c r="M56" s="1365"/>
      <c r="N56" s="1365"/>
      <c r="O56" s="1365"/>
      <c r="P56" s="1365"/>
      <c r="Q56" s="1289"/>
      <c r="R56" s="1290"/>
      <c r="S56" s="1290"/>
      <c r="T56" s="1290"/>
      <c r="X56"/>
      <c r="Y56"/>
      <c r="Z56"/>
      <c r="AA56"/>
      <c r="AB56"/>
      <c r="AC56"/>
      <c r="AJ56" s="1363"/>
      <c r="BC56" s="1364"/>
    </row>
    <row r="57" spans="1:55" s="1362" customFormat="1" x14ac:dyDescent="0.2">
      <c r="A57" s="1298"/>
      <c r="B57" s="1366" t="s">
        <v>418</v>
      </c>
      <c r="C57" s="1367" t="s">
        <v>646</v>
      </c>
      <c r="D57" s="1368"/>
      <c r="E57" s="1368"/>
      <c r="F57" s="1368"/>
      <c r="G57" s="1368"/>
      <c r="H57" s="1369"/>
      <c r="I57" s="1369"/>
      <c r="J57" s="1369"/>
      <c r="K57" s="1369"/>
      <c r="L57" s="1369"/>
      <c r="M57" s="1369"/>
      <c r="N57" s="1369"/>
      <c r="O57" s="1369"/>
      <c r="P57" s="1369"/>
      <c r="Q57" s="1289"/>
      <c r="R57" s="1290"/>
      <c r="S57" s="1290"/>
      <c r="T57" s="1290"/>
      <c r="X57"/>
      <c r="Y57"/>
      <c r="Z57"/>
      <c r="AA57"/>
      <c r="AB57"/>
      <c r="AC57"/>
      <c r="AJ57" s="1363"/>
      <c r="BC57" s="1364"/>
    </row>
    <row r="58" spans="1:55" ht="7.5" customHeight="1" x14ac:dyDescent="0.2">
      <c r="A58" s="1298"/>
      <c r="B58" s="1306"/>
      <c r="C58" s="1307"/>
      <c r="D58" s="1307"/>
      <c r="E58" s="1307"/>
      <c r="F58" s="1307"/>
      <c r="G58" s="1307"/>
      <c r="H58" s="1358"/>
      <c r="I58" s="1358"/>
      <c r="J58" s="1355"/>
      <c r="K58" s="1355"/>
      <c r="L58" s="1355"/>
      <c r="M58" s="1355"/>
      <c r="N58" s="1355"/>
      <c r="O58" s="1355"/>
      <c r="P58" s="1355"/>
    </row>
    <row r="59" spans="1:55" s="1362" customFormat="1" ht="15.75" customHeight="1" x14ac:dyDescent="0.2">
      <c r="A59" s="1298"/>
      <c r="B59" s="1361"/>
      <c r="C59" s="1369" t="s">
        <v>585</v>
      </c>
      <c r="D59" s="1369"/>
      <c r="E59" s="1369"/>
      <c r="F59" s="1369"/>
      <c r="G59" s="1369"/>
      <c r="H59" s="1369"/>
      <c r="I59" s="1369"/>
      <c r="J59" s="1369"/>
      <c r="K59" s="1369"/>
      <c r="L59" s="1308">
        <f>IF(ISERROR((-L39-L40+L33)*(1-L13)),0,((-L39-L40+L33)*(1-L13)))</f>
        <v>-32</v>
      </c>
      <c r="M59" s="1308">
        <f>IF(ISERROR((-M39-M40+M33)*(1-M13)),0,((-M39-M40+M33)*(1-M13)))</f>
        <v>0</v>
      </c>
      <c r="N59" s="1308">
        <f>IF(ISERROR((-N39-N40+N33)*(1-N13)),0,((-N39-N40+N33)*(1-N13)))</f>
        <v>0</v>
      </c>
      <c r="O59" s="1308">
        <f>IF(ISERROR((-O39-O40+O33)*(1-O13)),0,((-O39-O40+O33)*(1-O13)))</f>
        <v>0</v>
      </c>
      <c r="P59" s="1308">
        <f>IF(ISERROR((-P39-P40+P33)*(1-P13)),0,((-P39-P40+P33)*(1-P13)))</f>
        <v>0</v>
      </c>
      <c r="Q59" s="1289"/>
      <c r="R59" s="1290"/>
      <c r="S59" s="1290"/>
      <c r="T59" s="1290"/>
      <c r="X59"/>
      <c r="Y59"/>
      <c r="Z59"/>
      <c r="AA59"/>
      <c r="AB59"/>
      <c r="AC59"/>
      <c r="AJ59" s="1363"/>
      <c r="BC59" s="1364"/>
    </row>
    <row r="60" spans="1:55" s="1362" customFormat="1" ht="15.75" customHeight="1" x14ac:dyDescent="0.2">
      <c r="A60" s="1298"/>
      <c r="B60" s="1361"/>
      <c r="C60" s="1369" t="s">
        <v>582</v>
      </c>
      <c r="D60" s="1369"/>
      <c r="E60" s="1369"/>
      <c r="F60" s="1369"/>
      <c r="G60" s="1369"/>
      <c r="H60" s="1369"/>
      <c r="I60" s="1369"/>
      <c r="J60" s="1369"/>
      <c r="K60" s="1369"/>
      <c r="L60" s="1308">
        <f>L25*(1-L13)</f>
        <v>-17.216000000000001</v>
      </c>
      <c r="M60" s="1308">
        <f>M25*(1-M13)</f>
        <v>-20.951551999999996</v>
      </c>
      <c r="N60" s="1308">
        <f>N25*(1-N13)</f>
        <v>-22.323548160000001</v>
      </c>
      <c r="O60" s="1308">
        <f>O25*(1-O13)</f>
        <v>-24.177261888000004</v>
      </c>
      <c r="P60" s="1308">
        <f>P25*(1-P13)</f>
        <v>-25.80256283904</v>
      </c>
      <c r="Q60" s="1289"/>
      <c r="R60" s="1290"/>
      <c r="S60" s="1290"/>
      <c r="T60" s="1290"/>
      <c r="X60"/>
      <c r="Y60"/>
      <c r="Z60"/>
      <c r="AA60"/>
      <c r="AB60"/>
      <c r="AC60"/>
      <c r="AJ60" s="1363"/>
      <c r="BC60" s="1364"/>
    </row>
    <row r="61" spans="1:55" s="1362" customFormat="1" ht="15.75" customHeight="1" x14ac:dyDescent="0.2">
      <c r="A61" s="1298"/>
      <c r="B61" s="1361"/>
      <c r="C61" s="1369" t="s">
        <v>258</v>
      </c>
      <c r="D61" s="1369"/>
      <c r="E61" s="1369"/>
      <c r="F61" s="1369"/>
      <c r="G61" s="1369"/>
      <c r="H61" s="1369"/>
      <c r="I61" s="1369"/>
      <c r="J61" s="1369"/>
      <c r="K61" s="1369"/>
      <c r="L61" s="1308">
        <f>L47-K47</f>
        <v>-22.787999999999997</v>
      </c>
      <c r="M61" s="1308">
        <f>M47-L47</f>
        <v>-6.1692480000000245</v>
      </c>
      <c r="N61" s="1308">
        <f>N47-M47</f>
        <v>-6.9409958400000136</v>
      </c>
      <c r="O61" s="1308">
        <f>O47-N47</f>
        <v>-7.5585256320000127</v>
      </c>
      <c r="P61" s="1308">
        <f>P47-O47</f>
        <v>-8.4336876825600129</v>
      </c>
      <c r="Q61" s="1289"/>
      <c r="R61" s="1290"/>
      <c r="S61" s="1290"/>
      <c r="T61" s="1290"/>
      <c r="X61"/>
      <c r="Y61"/>
      <c r="Z61"/>
      <c r="AA61"/>
      <c r="AB61"/>
      <c r="AC61"/>
      <c r="AJ61" s="1363"/>
      <c r="BC61" s="1364"/>
    </row>
    <row r="62" spans="1:55" s="1362" customFormat="1" ht="15.75" customHeight="1" x14ac:dyDescent="0.2">
      <c r="A62" s="1298"/>
      <c r="B62" s="1361"/>
      <c r="C62" s="1370" t="s">
        <v>259</v>
      </c>
      <c r="D62" s="1370"/>
      <c r="E62" s="1370"/>
      <c r="F62" s="1370"/>
      <c r="G62" s="1370"/>
      <c r="H62" s="1370"/>
      <c r="I62" s="1370"/>
      <c r="J62" s="1370"/>
      <c r="K62" s="1370"/>
      <c r="L62" s="1341">
        <f>SUM(L59:L61)</f>
        <v>-72.003999999999991</v>
      </c>
      <c r="M62" s="1341">
        <f>SUM(M59:M61)</f>
        <v>-27.12080000000002</v>
      </c>
      <c r="N62" s="1341">
        <f>SUM(N59:N61)</f>
        <v>-29.264544000000015</v>
      </c>
      <c r="O62" s="1341">
        <f>SUM(O59:O61)</f>
        <v>-31.735787520000017</v>
      </c>
      <c r="P62" s="1341">
        <f>SUM(P59:P61)</f>
        <v>-34.236250521600013</v>
      </c>
      <c r="Q62" s="1354"/>
      <c r="R62" s="1290"/>
      <c r="S62" s="1290"/>
      <c r="T62" s="1290"/>
      <c r="X62"/>
      <c r="Y62"/>
      <c r="Z62"/>
      <c r="AA62"/>
      <c r="AB62"/>
      <c r="AC62"/>
      <c r="AJ62" s="1363"/>
      <c r="BC62" s="1364"/>
    </row>
    <row r="63" spans="1:55" x14ac:dyDescent="0.2">
      <c r="A63" s="1298"/>
      <c r="B63" s="1306"/>
      <c r="C63" s="1307"/>
      <c r="D63" s="1307"/>
      <c r="E63" s="1307"/>
      <c r="F63" s="1307"/>
      <c r="G63" s="1307"/>
      <c r="H63" s="1358"/>
      <c r="I63" s="1358"/>
      <c r="J63" s="1355"/>
      <c r="K63" s="1355"/>
      <c r="L63" s="1355"/>
      <c r="M63" s="1355"/>
      <c r="N63" s="1355"/>
      <c r="O63" s="1355"/>
      <c r="P63" s="1355"/>
    </row>
    <row r="64" spans="1:55" s="1362" customFormat="1" x14ac:dyDescent="0.2">
      <c r="A64" s="1298"/>
      <c r="B64" s="1366" t="s">
        <v>355</v>
      </c>
      <c r="C64" s="1367" t="s">
        <v>260</v>
      </c>
      <c r="D64" s="1368"/>
      <c r="E64" s="1368"/>
      <c r="F64" s="1368"/>
      <c r="G64" s="1368"/>
      <c r="H64" s="1369"/>
      <c r="I64" s="1369"/>
      <c r="J64" s="1369"/>
      <c r="K64" s="1369"/>
      <c r="L64" s="1308"/>
      <c r="M64" s="1308"/>
      <c r="N64" s="1308"/>
      <c r="O64" s="1308"/>
      <c r="P64" s="1308"/>
      <c r="Q64" s="1289"/>
      <c r="R64" s="1290"/>
      <c r="S64" s="1290"/>
      <c r="T64" s="1290"/>
      <c r="X64"/>
      <c r="Y64"/>
      <c r="Z64"/>
      <c r="AA64"/>
      <c r="AB64"/>
      <c r="AC64"/>
      <c r="AJ64" s="1363"/>
      <c r="BC64" s="1364"/>
    </row>
    <row r="65" spans="1:55" ht="7.5" customHeight="1" x14ac:dyDescent="0.2">
      <c r="A65" s="1298"/>
      <c r="B65" s="1306"/>
      <c r="C65" s="1307"/>
      <c r="D65" s="1307"/>
      <c r="E65" s="1307"/>
      <c r="F65" s="1307"/>
      <c r="G65" s="1307"/>
      <c r="H65" s="1358"/>
      <c r="I65" s="1358"/>
      <c r="J65" s="1355"/>
      <c r="K65" s="1355"/>
      <c r="L65" s="1355"/>
      <c r="M65" s="1355"/>
      <c r="N65" s="1355"/>
      <c r="O65" s="1355"/>
      <c r="P65" s="1355"/>
    </row>
    <row r="66" spans="1:55" s="1362" customFormat="1" ht="15.75" customHeight="1" x14ac:dyDescent="0.2">
      <c r="A66" s="1298"/>
      <c r="B66" s="1361"/>
      <c r="C66" s="1369" t="s">
        <v>583</v>
      </c>
      <c r="D66" s="1369"/>
      <c r="E66" s="1369"/>
      <c r="F66" s="1369"/>
      <c r="G66" s="1369"/>
      <c r="H66" s="1369"/>
      <c r="I66" s="1369"/>
      <c r="J66" s="1369"/>
      <c r="K66" s="1369"/>
      <c r="L66" s="1308">
        <f>L44-K44</f>
        <v>-63.300000000000011</v>
      </c>
      <c r="M66" s="1308">
        <f>M44-L44</f>
        <v>-17.136800000000051</v>
      </c>
      <c r="N66" s="1308">
        <f>N44-M44</f>
        <v>-19.28054400000002</v>
      </c>
      <c r="O66" s="1308">
        <f>O44-N44</f>
        <v>-21.595787520000044</v>
      </c>
      <c r="P66" s="1308">
        <f>P44-O44</f>
        <v>-24.096250521600041</v>
      </c>
      <c r="Q66" s="1289"/>
      <c r="R66" s="1290"/>
      <c r="S66" s="1290"/>
      <c r="T66" s="1290"/>
      <c r="X66"/>
      <c r="Y66"/>
      <c r="Z66"/>
      <c r="AA66"/>
      <c r="AB66"/>
      <c r="AC66"/>
      <c r="AJ66" s="1363"/>
      <c r="BC66" s="1364"/>
    </row>
    <row r="67" spans="1:55" s="1362" customFormat="1" ht="15.75" customHeight="1" x14ac:dyDescent="0.2">
      <c r="A67" s="1298"/>
      <c r="B67" s="1361"/>
      <c r="C67" s="1369" t="s">
        <v>262</v>
      </c>
      <c r="D67" s="1369"/>
      <c r="E67" s="1369"/>
      <c r="F67" s="1369"/>
      <c r="G67" s="1369"/>
      <c r="H67" s="1369"/>
      <c r="I67" s="1369"/>
      <c r="J67" s="1369"/>
      <c r="K67" s="1369"/>
      <c r="L67" s="1308">
        <f>CHOOSE(dropDown2,IF(ISERROR((L22+L38)*(1-L13)+(-L32*(1-L13))+((L24+L20)*(1-L13))),0,(L22+L38)*(1-L13)+(-L32*(1-L13))+((L24+L20)*(1-L13))),IF(ISERROR((L22+L38)*(1-L13)+(-L32*(1-L13))+((L23+L20)*(1-L13))),0,(L22+L38)*(1-L13)+(-L32*(1-L13))+((L23+L20)*(1-L13))))</f>
        <v>-8.7040000000000006</v>
      </c>
      <c r="M67" s="1308">
        <f>CHOOSE(dropDown2,IF(ISERROR((M22+M38)*(1-M13)+(-M32*(1-M13))+((M24+M20)*(1-M13))),0,(M22+M38)*(1-M13)+(-M32*(1-M13))+((M24+M20)*(1-M13))),IF(ISERROR((M22+M38)*(1-M13)+(-M32*(1-M13))+((M23+M20)*(1-M13))),0,(M22+M38)*(1-M13)+(-M32*(1-M13))+((M23+M20)*(1-M13))))</f>
        <v>-9.984</v>
      </c>
      <c r="N67" s="1308">
        <f>CHOOSE(dropDown2,IF(ISERROR((N22+N38)*(1-N13)+(-N32*(1-N13))+((N24+N20)*(1-N13))),0,(N22+N38)*(1-N13)+(-N32*(1-N13))+((N24+N20)*(1-N13))),IF(ISERROR((N22+N38)*(1-N13)+(-N32*(1-N13))+((N23+N20)*(1-N13))),0,(N22+N38)*(1-N13)+(-N32*(1-N13))+((N23+N20)*(1-N13))))</f>
        <v>-9.984</v>
      </c>
      <c r="O67" s="1308">
        <f>CHOOSE(dropDown2,IF(ISERROR((O22+O38)*(1-O13)+(-O32*(1-O13))+((O24+O20)*(1-O13))),0,(O22+O38)*(1-O13)+(-O32*(1-O13))+((O24+O20)*(1-O13))),IF(ISERROR((O22+O38)*(1-O13)+(-O32*(1-O13))+((O23+O20)*(1-O13))),0,(O22+O38)*(1-O13)+(-O32*(1-O13))+((O23+O20)*(1-O13))))</f>
        <v>-10.14</v>
      </c>
      <c r="P67" s="1308">
        <f>CHOOSE(dropDown2,IF(ISERROR((P22+P38)*(1-P13)+(-P32*(1-P13))+((P24+P20)*(1-P13))),0,(P22+P38)*(1-P13)+(-P32*(1-P13))+((P24+P20)*(1-P13))),IF(ISERROR((P22+P38)*(1-P13)+(-P32*(1-P13))+((P23+P20)*(1-P13))),0,(P22+P38)*(1-P13)+(-P32*(1-P13))+((P23+P20)*(1-P13))))</f>
        <v>-10.14</v>
      </c>
      <c r="Q67" s="1289"/>
      <c r="R67" s="1290"/>
      <c r="S67" s="1290"/>
      <c r="T67" s="1290"/>
      <c r="X67"/>
      <c r="Y67"/>
      <c r="Z67"/>
      <c r="AA67"/>
      <c r="AB67"/>
      <c r="AC67"/>
      <c r="AJ67" s="1363"/>
      <c r="BC67" s="1364"/>
    </row>
    <row r="68" spans="1:55" s="1362" customFormat="1" ht="15.75" customHeight="1" x14ac:dyDescent="0.2">
      <c r="A68" s="1298"/>
      <c r="B68" s="1361"/>
      <c r="C68" s="1370" t="s">
        <v>263</v>
      </c>
      <c r="D68" s="1370"/>
      <c r="E68" s="1370"/>
      <c r="F68" s="1370"/>
      <c r="G68" s="1370"/>
      <c r="H68" s="1370"/>
      <c r="I68" s="1370"/>
      <c r="J68" s="1370"/>
      <c r="K68" s="1370"/>
      <c r="L68" s="1341">
        <f>SUM(L66:L67)</f>
        <v>-72.004000000000019</v>
      </c>
      <c r="M68" s="1341">
        <f>SUM(M66:M67)</f>
        <v>-27.120800000000052</v>
      </c>
      <c r="N68" s="1341">
        <f>SUM(N66:N67)</f>
        <v>-29.264544000000022</v>
      </c>
      <c r="O68" s="1341">
        <f>SUM(O66:O67)</f>
        <v>-31.735787520000045</v>
      </c>
      <c r="P68" s="1341">
        <f>SUM(P66:P67)</f>
        <v>-34.236250521600041</v>
      </c>
      <c r="Q68" s="1354"/>
      <c r="R68" s="1290"/>
      <c r="S68" s="1290"/>
      <c r="T68" s="1290"/>
      <c r="X68"/>
      <c r="Y68"/>
      <c r="Z68"/>
      <c r="AA68"/>
      <c r="AB68"/>
      <c r="AC68"/>
      <c r="AJ68" s="1363"/>
      <c r="BC68" s="1364"/>
    </row>
    <row r="69" spans="1:55" s="1376" customFormat="1" ht="24.75" customHeight="1" x14ac:dyDescent="0.2">
      <c r="A69" s="1298"/>
      <c r="B69" s="1371"/>
      <c r="C69" s="1372" t="s">
        <v>376</v>
      </c>
      <c r="D69" s="1373"/>
      <c r="E69" s="1373"/>
      <c r="F69" s="1373"/>
      <c r="G69" s="1373"/>
      <c r="H69" s="1374"/>
      <c r="I69" s="1374"/>
      <c r="J69" s="1374"/>
      <c r="K69" s="1374"/>
      <c r="L69" s="1375">
        <f>ROUND(L62-L68,0)</f>
        <v>0</v>
      </c>
      <c r="M69" s="1375">
        <f>ROUND(M62-M68,0)</f>
        <v>0</v>
      </c>
      <c r="N69" s="1375">
        <f>ROUND(N62-N68,0)</f>
        <v>0</v>
      </c>
      <c r="O69" s="1375">
        <f>ROUND(O62-O68,0)</f>
        <v>0</v>
      </c>
      <c r="P69" s="1375">
        <f>ROUND(P62-P68,0)</f>
        <v>0</v>
      </c>
      <c r="Q69" s="2174" t="str">
        <f>IF(AND(L69&lt;&gt;0,M69&lt;&gt;0,N69&lt;&gt;0),"Check Failing? : Have you not updated Company Contributions on row 39?","")</f>
        <v/>
      </c>
      <c r="R69" s="2174"/>
      <c r="S69" s="2174"/>
      <c r="T69" s="2174"/>
      <c r="U69" s="2174"/>
      <c r="X69"/>
      <c r="Y69"/>
      <c r="Z69"/>
      <c r="AA69"/>
      <c r="AB69"/>
      <c r="AC69"/>
      <c r="BC69" s="1378"/>
    </row>
    <row r="70" spans="1:55" s="1376" customFormat="1" x14ac:dyDescent="0.2">
      <c r="A70" s="1298"/>
      <c r="B70" s="1395"/>
      <c r="C70" s="1396"/>
      <c r="D70" s="1396"/>
      <c r="E70" s="1396"/>
      <c r="F70" s="1396"/>
      <c r="G70" s="1396"/>
      <c r="H70" s="1397"/>
      <c r="I70" s="1397"/>
      <c r="J70" s="1397"/>
      <c r="K70" s="1397"/>
      <c r="L70" s="1398"/>
      <c r="M70" s="1398"/>
      <c r="N70" s="1399"/>
      <c r="O70" s="1398"/>
      <c r="P70" s="1398"/>
      <c r="Q70" s="1379"/>
      <c r="X70"/>
      <c r="Y70"/>
      <c r="Z70"/>
      <c r="AA70"/>
      <c r="AB70"/>
      <c r="AC70"/>
      <c r="BC70" s="1378"/>
    </row>
    <row r="71" spans="1:55" x14ac:dyDescent="0.2">
      <c r="B71" s="1395"/>
      <c r="C71" s="1396"/>
      <c r="D71" s="1396"/>
      <c r="E71" s="1396"/>
      <c r="F71" s="1396"/>
      <c r="G71" s="1396"/>
    </row>
    <row r="72" spans="1:55" x14ac:dyDescent="0.2">
      <c r="C72" s="1403"/>
      <c r="D72" s="1403"/>
      <c r="E72" s="1403"/>
      <c r="F72" s="1403"/>
      <c r="G72" s="1403"/>
    </row>
    <row r="73" spans="1:55" x14ac:dyDescent="0.2">
      <c r="C73" s="1403"/>
      <c r="D73" s="1403"/>
      <c r="E73" s="1403"/>
      <c r="F73" s="1403"/>
      <c r="G73" s="1403"/>
    </row>
    <row r="174" spans="39:39" x14ac:dyDescent="0.2">
      <c r="AM174" s="1290" t="str">
        <f>[7]Pension!AQ184</f>
        <v>USD</v>
      </c>
    </row>
    <row r="182" spans="36:39" x14ac:dyDescent="0.2">
      <c r="AM182" s="1381"/>
    </row>
    <row r="183" spans="36:39" x14ac:dyDescent="0.2">
      <c r="AL183" s="1382"/>
      <c r="AM183" s="1381"/>
    </row>
    <row r="184" spans="36:39" x14ac:dyDescent="0.2">
      <c r="AL184" s="1382"/>
      <c r="AM184" s="1381"/>
    </row>
    <row r="185" spans="36:39" x14ac:dyDescent="0.2">
      <c r="AM185" s="1404"/>
    </row>
    <row r="186" spans="36:39" x14ac:dyDescent="0.2">
      <c r="AM186" s="1376"/>
    </row>
    <row r="189" spans="36:39" x14ac:dyDescent="0.2">
      <c r="AL189" s="1377"/>
      <c r="AM189" s="1376"/>
    </row>
    <row r="190" spans="36:39" x14ac:dyDescent="0.2">
      <c r="AJ190" s="1301"/>
      <c r="AK190" s="1277"/>
      <c r="AL190" s="1277"/>
      <c r="AM190" s="1277"/>
    </row>
    <row r="191" spans="36:39" x14ac:dyDescent="0.2">
      <c r="AJ191" s="1301"/>
      <c r="AK191" s="1277"/>
      <c r="AL191" s="1277"/>
      <c r="AM191" s="1277"/>
    </row>
    <row r="192" spans="36:39" x14ac:dyDescent="0.2">
      <c r="AJ192" s="1301"/>
      <c r="AK192" s="1277"/>
      <c r="AL192" s="1277"/>
      <c r="AM192" s="1277"/>
    </row>
    <row r="193" spans="36:39" x14ac:dyDescent="0.2">
      <c r="AJ193" s="1301"/>
      <c r="AK193" s="1277"/>
      <c r="AL193" s="1277"/>
      <c r="AM193" s="1277"/>
    </row>
    <row r="194" spans="36:39" x14ac:dyDescent="0.2">
      <c r="AJ194" s="1301"/>
      <c r="AK194" s="1277"/>
      <c r="AL194" s="1277"/>
      <c r="AM194" s="1277"/>
    </row>
    <row r="195" spans="36:39" x14ac:dyDescent="0.2">
      <c r="AJ195" s="1301"/>
      <c r="AK195" s="1277"/>
      <c r="AL195" s="1277"/>
      <c r="AM195" s="1277"/>
    </row>
    <row r="196" spans="36:39" x14ac:dyDescent="0.2">
      <c r="AJ196" s="1301"/>
      <c r="AK196" s="1277"/>
      <c r="AL196" s="1277"/>
      <c r="AM196" s="1277"/>
    </row>
    <row r="197" spans="36:39" x14ac:dyDescent="0.2">
      <c r="AJ197" s="1301"/>
      <c r="AK197" s="1277"/>
      <c r="AL197" s="1277"/>
      <c r="AM197" s="1277"/>
    </row>
    <row r="198" spans="36:39" x14ac:dyDescent="0.2">
      <c r="AJ198" s="1301"/>
      <c r="AK198" s="1277"/>
      <c r="AL198" s="1277"/>
      <c r="AM198" s="1277"/>
    </row>
    <row r="199" spans="36:39" x14ac:dyDescent="0.2">
      <c r="AJ199" s="1301"/>
      <c r="AK199" s="1277"/>
      <c r="AL199" s="1277"/>
      <c r="AM199" s="1277"/>
    </row>
    <row r="200" spans="36:39" x14ac:dyDescent="0.2">
      <c r="AJ200" s="1301"/>
      <c r="AK200" s="1277"/>
      <c r="AL200" s="1277"/>
      <c r="AM200" s="1277"/>
    </row>
    <row r="201" spans="36:39" x14ac:dyDescent="0.2">
      <c r="AJ201" s="1301"/>
      <c r="AK201" s="1277"/>
      <c r="AL201" s="1277"/>
      <c r="AM201" s="1277"/>
    </row>
    <row r="202" spans="36:39" x14ac:dyDescent="0.2">
      <c r="AJ202" s="1301"/>
      <c r="AK202" s="1277"/>
      <c r="AL202" s="1277"/>
      <c r="AM202" s="1277"/>
    </row>
    <row r="203" spans="36:39" x14ac:dyDescent="0.2">
      <c r="AJ203" s="1301"/>
      <c r="AK203" s="1277"/>
      <c r="AL203" s="1277"/>
      <c r="AM203" s="1277"/>
    </row>
    <row r="204" spans="36:39" x14ac:dyDescent="0.2">
      <c r="AJ204" s="1301"/>
      <c r="AK204" s="1277"/>
      <c r="AL204" s="1277"/>
      <c r="AM204" s="1277"/>
    </row>
    <row r="205" spans="36:39" x14ac:dyDescent="0.2">
      <c r="AJ205" s="1301"/>
      <c r="AK205" s="1277"/>
      <c r="AL205" s="1277"/>
      <c r="AM205" s="1277"/>
    </row>
    <row r="206" spans="36:39" x14ac:dyDescent="0.2">
      <c r="AJ206" s="1301"/>
      <c r="AK206" s="1277"/>
      <c r="AL206" s="1277"/>
      <c r="AM206" s="1277"/>
    </row>
    <row r="207" spans="36:39" x14ac:dyDescent="0.2">
      <c r="AJ207" s="1301"/>
      <c r="AK207" s="1277"/>
      <c r="AL207" s="1277"/>
      <c r="AM207" s="1277"/>
    </row>
    <row r="208" spans="36:39" x14ac:dyDescent="0.2">
      <c r="AJ208" s="1301"/>
      <c r="AK208" s="1277"/>
      <c r="AL208" s="1277"/>
      <c r="AM208" s="1277"/>
    </row>
    <row r="209" spans="36:39" x14ac:dyDescent="0.2">
      <c r="AJ209" s="1301"/>
      <c r="AK209" s="1277"/>
      <c r="AL209" s="1277"/>
      <c r="AM209" s="1277"/>
    </row>
    <row r="210" spans="36:39" x14ac:dyDescent="0.2">
      <c r="AJ210" s="1301"/>
      <c r="AK210" s="1277"/>
      <c r="AL210" s="1277"/>
      <c r="AM210" s="1277"/>
    </row>
    <row r="211" spans="36:39" x14ac:dyDescent="0.2">
      <c r="AJ211" s="1301"/>
      <c r="AK211" s="1277"/>
      <c r="AL211" s="1277"/>
      <c r="AM211" s="1277"/>
    </row>
    <row r="212" spans="36:39" x14ac:dyDescent="0.2">
      <c r="AJ212" s="1301"/>
      <c r="AK212" s="1277"/>
      <c r="AL212" s="1277"/>
      <c r="AM212" s="1277"/>
    </row>
    <row r="213" spans="36:39" x14ac:dyDescent="0.2">
      <c r="AJ213" s="1301"/>
      <c r="AK213" s="1277"/>
      <c r="AL213" s="1277"/>
      <c r="AM213" s="1277"/>
    </row>
    <row r="214" spans="36:39" x14ac:dyDescent="0.2">
      <c r="AJ214" s="1301"/>
      <c r="AK214" s="1277"/>
      <c r="AL214" s="1277"/>
      <c r="AM214" s="1277"/>
    </row>
    <row r="215" spans="36:39" x14ac:dyDescent="0.2">
      <c r="AJ215" s="1301"/>
      <c r="AK215" s="1277"/>
      <c r="AL215" s="1277"/>
      <c r="AM215" s="1277"/>
    </row>
    <row r="216" spans="36:39" x14ac:dyDescent="0.2">
      <c r="AJ216" s="1301"/>
      <c r="AK216" s="1277"/>
      <c r="AL216" s="1277"/>
      <c r="AM216" s="1277"/>
    </row>
    <row r="217" spans="36:39" x14ac:dyDescent="0.2">
      <c r="AJ217" s="1301"/>
      <c r="AK217" s="1277"/>
      <c r="AL217" s="1277"/>
      <c r="AM217" s="1277"/>
    </row>
    <row r="218" spans="36:39" x14ac:dyDescent="0.2">
      <c r="AJ218" s="1301"/>
      <c r="AK218" s="1277"/>
      <c r="AL218" s="1277"/>
      <c r="AM218" s="1277"/>
    </row>
    <row r="219" spans="36:39" x14ac:dyDescent="0.2">
      <c r="AJ219" s="1301"/>
      <c r="AK219" s="1277"/>
      <c r="AL219" s="1277"/>
      <c r="AM219" s="1277"/>
    </row>
    <row r="220" spans="36:39" x14ac:dyDescent="0.2">
      <c r="AJ220" s="1301"/>
      <c r="AK220" s="1277"/>
      <c r="AL220" s="1277"/>
      <c r="AM220" s="1277"/>
    </row>
    <row r="221" spans="36:39" x14ac:dyDescent="0.2">
      <c r="AJ221" s="1301"/>
      <c r="AK221" s="1277"/>
      <c r="AL221" s="1277"/>
      <c r="AM221" s="1277"/>
    </row>
    <row r="222" spans="36:39" x14ac:dyDescent="0.2">
      <c r="AJ222" s="1301"/>
      <c r="AK222" s="1277"/>
      <c r="AL222" s="1277"/>
      <c r="AM222" s="1277"/>
    </row>
    <row r="223" spans="36:39" x14ac:dyDescent="0.2">
      <c r="AJ223" s="1301"/>
      <c r="AK223" s="1277"/>
      <c r="AL223" s="1277"/>
      <c r="AM223" s="1277"/>
    </row>
    <row r="224" spans="36:39" x14ac:dyDescent="0.2">
      <c r="AJ224" s="1301"/>
      <c r="AK224" s="1277"/>
      <c r="AL224" s="1277"/>
      <c r="AM224" s="1277"/>
    </row>
    <row r="225" spans="36:39" x14ac:dyDescent="0.2">
      <c r="AJ225" s="1301"/>
      <c r="AK225" s="1277"/>
      <c r="AL225" s="1277"/>
      <c r="AM225" s="1277"/>
    </row>
    <row r="226" spans="36:39" x14ac:dyDescent="0.2">
      <c r="AJ226" s="1301"/>
      <c r="AK226" s="1277"/>
      <c r="AL226" s="1277"/>
      <c r="AM226" s="1277"/>
    </row>
    <row r="227" spans="36:39" x14ac:dyDescent="0.2">
      <c r="AJ227" s="1301"/>
      <c r="AK227" s="1277"/>
      <c r="AL227" s="1277"/>
      <c r="AM227" s="1277"/>
    </row>
    <row r="228" spans="36:39" x14ac:dyDescent="0.2">
      <c r="AJ228" s="1301"/>
      <c r="AK228" s="1277"/>
      <c r="AL228" s="1277"/>
      <c r="AM228" s="1277"/>
    </row>
    <row r="229" spans="36:39" x14ac:dyDescent="0.2">
      <c r="AJ229" s="1301"/>
      <c r="AK229" s="1277"/>
      <c r="AL229" s="1277"/>
      <c r="AM229" s="1277"/>
    </row>
    <row r="230" spans="36:39" x14ac:dyDescent="0.2">
      <c r="AJ230" s="1301"/>
      <c r="AK230" s="1277"/>
      <c r="AL230" s="1277"/>
      <c r="AM230" s="1277"/>
    </row>
    <row r="231" spans="36:39" x14ac:dyDescent="0.2">
      <c r="AJ231" s="1301"/>
      <c r="AK231" s="1277"/>
      <c r="AL231" s="1277"/>
      <c r="AM231" s="1277"/>
    </row>
    <row r="232" spans="36:39" x14ac:dyDescent="0.2">
      <c r="AJ232" s="1301"/>
      <c r="AK232" s="1277"/>
      <c r="AL232" s="1277"/>
      <c r="AM232" s="1277"/>
    </row>
    <row r="233" spans="36:39" x14ac:dyDescent="0.2">
      <c r="AJ233" s="1301"/>
      <c r="AK233" s="1277"/>
      <c r="AL233" s="1277"/>
      <c r="AM233" s="1277"/>
    </row>
    <row r="234" spans="36:39" x14ac:dyDescent="0.2">
      <c r="AJ234" s="1301"/>
      <c r="AK234" s="1277"/>
      <c r="AL234" s="1277"/>
      <c r="AM234" s="1277"/>
    </row>
    <row r="235" spans="36:39" x14ac:dyDescent="0.2">
      <c r="AJ235" s="1301"/>
      <c r="AK235" s="1277"/>
      <c r="AL235" s="1277"/>
      <c r="AM235" s="1277"/>
    </row>
    <row r="236" spans="36:39" x14ac:dyDescent="0.2">
      <c r="AJ236" s="1301"/>
      <c r="AK236" s="1277"/>
      <c r="AL236" s="1277"/>
      <c r="AM236" s="1277"/>
    </row>
    <row r="237" spans="36:39" x14ac:dyDescent="0.2">
      <c r="AJ237" s="1301"/>
      <c r="AK237" s="1277"/>
      <c r="AL237" s="1277"/>
      <c r="AM237" s="1277"/>
    </row>
    <row r="238" spans="36:39" x14ac:dyDescent="0.2">
      <c r="AJ238" s="1301"/>
      <c r="AK238" s="1277"/>
      <c r="AL238" s="1277"/>
      <c r="AM238" s="1277"/>
    </row>
    <row r="239" spans="36:39" x14ac:dyDescent="0.2">
      <c r="AJ239" s="1301"/>
      <c r="AK239" s="1277"/>
      <c r="AL239" s="1277"/>
      <c r="AM239" s="1277"/>
    </row>
    <row r="240" spans="36:39" x14ac:dyDescent="0.2">
      <c r="AJ240" s="1301"/>
      <c r="AK240" s="1277"/>
      <c r="AL240" s="1277"/>
      <c r="AM240" s="1277"/>
    </row>
    <row r="241" spans="36:39" x14ac:dyDescent="0.2">
      <c r="AJ241" s="1301"/>
      <c r="AK241" s="1277"/>
      <c r="AL241" s="1277"/>
      <c r="AM241" s="1277"/>
    </row>
    <row r="242" spans="36:39" x14ac:dyDescent="0.2">
      <c r="AJ242" s="1301"/>
      <c r="AK242" s="1277"/>
      <c r="AL242" s="1277"/>
      <c r="AM242" s="1277"/>
    </row>
    <row r="243" spans="36:39" x14ac:dyDescent="0.2">
      <c r="AJ243" s="1301"/>
      <c r="AK243" s="1277"/>
      <c r="AL243" s="1277"/>
      <c r="AM243" s="1277"/>
    </row>
    <row r="244" spans="36:39" x14ac:dyDescent="0.2">
      <c r="AJ244" s="1301"/>
      <c r="AK244" s="1277"/>
      <c r="AL244" s="1277"/>
      <c r="AM244" s="1277"/>
    </row>
    <row r="245" spans="36:39" x14ac:dyDescent="0.2">
      <c r="AJ245" s="1301"/>
      <c r="AK245" s="1277"/>
      <c r="AL245" s="1277"/>
      <c r="AM245" s="1277"/>
    </row>
    <row r="246" spans="36:39" x14ac:dyDescent="0.2">
      <c r="AJ246" s="1301"/>
      <c r="AK246" s="1277"/>
      <c r="AL246" s="1376"/>
      <c r="AM246" s="1277"/>
    </row>
  </sheetData>
  <mergeCells count="3">
    <mergeCell ref="Q69:U69"/>
    <mergeCell ref="C55:P55"/>
    <mergeCell ref="A1:A2"/>
  </mergeCells>
  <phoneticPr fontId="7"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340994" r:id="rId4" name="ComboBox1">
          <controlPr defaultSize="0" autoLine="0" linkedCell="AU18" listFillRange="AU19:AU20" r:id="rId5">
            <anchor moveWithCells="1">
              <from>
                <xdr:col>10</xdr:col>
                <xdr:colOff>476250</xdr:colOff>
                <xdr:row>0</xdr:row>
                <xdr:rowOff>57150</xdr:rowOff>
              </from>
              <to>
                <xdr:col>14</xdr:col>
                <xdr:colOff>0</xdr:colOff>
                <xdr:row>1</xdr:row>
                <xdr:rowOff>180975</xdr:rowOff>
              </to>
            </anchor>
          </controlPr>
        </control>
      </mc:Choice>
      <mc:Fallback>
        <control shapeId="340994"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3"/>
  <sheetViews>
    <sheetView workbookViewId="0">
      <selection activeCell="B42" sqref="B42"/>
    </sheetView>
  </sheetViews>
  <sheetFormatPr defaultRowHeight="12.75" x14ac:dyDescent="0.2"/>
  <cols>
    <col min="1" max="1" width="25.875" style="1" bestFit="1" customWidth="1"/>
    <col min="2" max="2" width="17.375" style="2155" customWidth="1"/>
    <col min="3" max="3" width="10.5" style="1" bestFit="1" customWidth="1"/>
    <col min="4" max="256" width="9" style="1"/>
    <col min="257" max="257" width="25.875" style="1" bestFit="1" customWidth="1"/>
    <col min="258" max="258" width="17.375" style="1" customWidth="1"/>
    <col min="259" max="259" width="10.5" style="1" bestFit="1" customWidth="1"/>
    <col min="260" max="512" width="9" style="1"/>
    <col min="513" max="513" width="25.875" style="1" bestFit="1" customWidth="1"/>
    <col min="514" max="514" width="17.375" style="1" customWidth="1"/>
    <col min="515" max="515" width="10.5" style="1" bestFit="1" customWidth="1"/>
    <col min="516" max="768" width="9" style="1"/>
    <col min="769" max="769" width="25.875" style="1" bestFit="1" customWidth="1"/>
    <col min="770" max="770" width="17.375" style="1" customWidth="1"/>
    <col min="771" max="771" width="10.5" style="1" bestFit="1" customWidth="1"/>
    <col min="772" max="1024" width="9" style="1"/>
    <col min="1025" max="1025" width="25.875" style="1" bestFit="1" customWidth="1"/>
    <col min="1026" max="1026" width="17.375" style="1" customWidth="1"/>
    <col min="1027" max="1027" width="10.5" style="1" bestFit="1" customWidth="1"/>
    <col min="1028" max="1280" width="9" style="1"/>
    <col min="1281" max="1281" width="25.875" style="1" bestFit="1" customWidth="1"/>
    <col min="1282" max="1282" width="17.375" style="1" customWidth="1"/>
    <col min="1283" max="1283" width="10.5" style="1" bestFit="1" customWidth="1"/>
    <col min="1284" max="1536" width="9" style="1"/>
    <col min="1537" max="1537" width="25.875" style="1" bestFit="1" customWidth="1"/>
    <col min="1538" max="1538" width="17.375" style="1" customWidth="1"/>
    <col min="1539" max="1539" width="10.5" style="1" bestFit="1" customWidth="1"/>
    <col min="1540" max="1792" width="9" style="1"/>
    <col min="1793" max="1793" width="25.875" style="1" bestFit="1" customWidth="1"/>
    <col min="1794" max="1794" width="17.375" style="1" customWidth="1"/>
    <col min="1795" max="1795" width="10.5" style="1" bestFit="1" customWidth="1"/>
    <col min="1796" max="2048" width="9" style="1"/>
    <col min="2049" max="2049" width="25.875" style="1" bestFit="1" customWidth="1"/>
    <col min="2050" max="2050" width="17.375" style="1" customWidth="1"/>
    <col min="2051" max="2051" width="10.5" style="1" bestFit="1" customWidth="1"/>
    <col min="2052" max="2304" width="9" style="1"/>
    <col min="2305" max="2305" width="25.875" style="1" bestFit="1" customWidth="1"/>
    <col min="2306" max="2306" width="17.375" style="1" customWidth="1"/>
    <col min="2307" max="2307" width="10.5" style="1" bestFit="1" customWidth="1"/>
    <col min="2308" max="2560" width="9" style="1"/>
    <col min="2561" max="2561" width="25.875" style="1" bestFit="1" customWidth="1"/>
    <col min="2562" max="2562" width="17.375" style="1" customWidth="1"/>
    <col min="2563" max="2563" width="10.5" style="1" bestFit="1" customWidth="1"/>
    <col min="2564" max="2816" width="9" style="1"/>
    <col min="2817" max="2817" width="25.875" style="1" bestFit="1" customWidth="1"/>
    <col min="2818" max="2818" width="17.375" style="1" customWidth="1"/>
    <col min="2819" max="2819" width="10.5" style="1" bestFit="1" customWidth="1"/>
    <col min="2820" max="3072" width="9" style="1"/>
    <col min="3073" max="3073" width="25.875" style="1" bestFit="1" customWidth="1"/>
    <col min="3074" max="3074" width="17.375" style="1" customWidth="1"/>
    <col min="3075" max="3075" width="10.5" style="1" bestFit="1" customWidth="1"/>
    <col min="3076" max="3328" width="9" style="1"/>
    <col min="3329" max="3329" width="25.875" style="1" bestFit="1" customWidth="1"/>
    <col min="3330" max="3330" width="17.375" style="1" customWidth="1"/>
    <col min="3331" max="3331" width="10.5" style="1" bestFit="1" customWidth="1"/>
    <col min="3332" max="3584" width="9" style="1"/>
    <col min="3585" max="3585" width="25.875" style="1" bestFit="1" customWidth="1"/>
    <col min="3586" max="3586" width="17.375" style="1" customWidth="1"/>
    <col min="3587" max="3587" width="10.5" style="1" bestFit="1" customWidth="1"/>
    <col min="3588" max="3840" width="9" style="1"/>
    <col min="3841" max="3841" width="25.875" style="1" bestFit="1" customWidth="1"/>
    <col min="3842" max="3842" width="17.375" style="1" customWidth="1"/>
    <col min="3843" max="3843" width="10.5" style="1" bestFit="1" customWidth="1"/>
    <col min="3844" max="4096" width="9" style="1"/>
    <col min="4097" max="4097" width="25.875" style="1" bestFit="1" customWidth="1"/>
    <col min="4098" max="4098" width="17.375" style="1" customWidth="1"/>
    <col min="4099" max="4099" width="10.5" style="1" bestFit="1" customWidth="1"/>
    <col min="4100" max="4352" width="9" style="1"/>
    <col min="4353" max="4353" width="25.875" style="1" bestFit="1" customWidth="1"/>
    <col min="4354" max="4354" width="17.375" style="1" customWidth="1"/>
    <col min="4355" max="4355" width="10.5" style="1" bestFit="1" customWidth="1"/>
    <col min="4356" max="4608" width="9" style="1"/>
    <col min="4609" max="4609" width="25.875" style="1" bestFit="1" customWidth="1"/>
    <col min="4610" max="4610" width="17.375" style="1" customWidth="1"/>
    <col min="4611" max="4611" width="10.5" style="1" bestFit="1" customWidth="1"/>
    <col min="4612" max="4864" width="9" style="1"/>
    <col min="4865" max="4865" width="25.875" style="1" bestFit="1" customWidth="1"/>
    <col min="4866" max="4866" width="17.375" style="1" customWidth="1"/>
    <col min="4867" max="4867" width="10.5" style="1" bestFit="1" customWidth="1"/>
    <col min="4868" max="5120" width="9" style="1"/>
    <col min="5121" max="5121" width="25.875" style="1" bestFit="1" customWidth="1"/>
    <col min="5122" max="5122" width="17.375" style="1" customWidth="1"/>
    <col min="5123" max="5123" width="10.5" style="1" bestFit="1" customWidth="1"/>
    <col min="5124" max="5376" width="9" style="1"/>
    <col min="5377" max="5377" width="25.875" style="1" bestFit="1" customWidth="1"/>
    <col min="5378" max="5378" width="17.375" style="1" customWidth="1"/>
    <col min="5379" max="5379" width="10.5" style="1" bestFit="1" customWidth="1"/>
    <col min="5380" max="5632" width="9" style="1"/>
    <col min="5633" max="5633" width="25.875" style="1" bestFit="1" customWidth="1"/>
    <col min="5634" max="5634" width="17.375" style="1" customWidth="1"/>
    <col min="5635" max="5635" width="10.5" style="1" bestFit="1" customWidth="1"/>
    <col min="5636" max="5888" width="9" style="1"/>
    <col min="5889" max="5889" width="25.875" style="1" bestFit="1" customWidth="1"/>
    <col min="5890" max="5890" width="17.375" style="1" customWidth="1"/>
    <col min="5891" max="5891" width="10.5" style="1" bestFit="1" customWidth="1"/>
    <col min="5892" max="6144" width="9" style="1"/>
    <col min="6145" max="6145" width="25.875" style="1" bestFit="1" customWidth="1"/>
    <col min="6146" max="6146" width="17.375" style="1" customWidth="1"/>
    <col min="6147" max="6147" width="10.5" style="1" bestFit="1" customWidth="1"/>
    <col min="6148" max="6400" width="9" style="1"/>
    <col min="6401" max="6401" width="25.875" style="1" bestFit="1" customWidth="1"/>
    <col min="6402" max="6402" width="17.375" style="1" customWidth="1"/>
    <col min="6403" max="6403" width="10.5" style="1" bestFit="1" customWidth="1"/>
    <col min="6404" max="6656" width="9" style="1"/>
    <col min="6657" max="6657" width="25.875" style="1" bestFit="1" customWidth="1"/>
    <col min="6658" max="6658" width="17.375" style="1" customWidth="1"/>
    <col min="6659" max="6659" width="10.5" style="1" bestFit="1" customWidth="1"/>
    <col min="6660" max="6912" width="9" style="1"/>
    <col min="6913" max="6913" width="25.875" style="1" bestFit="1" customWidth="1"/>
    <col min="6914" max="6914" width="17.375" style="1" customWidth="1"/>
    <col min="6915" max="6915" width="10.5" style="1" bestFit="1" customWidth="1"/>
    <col min="6916" max="7168" width="9" style="1"/>
    <col min="7169" max="7169" width="25.875" style="1" bestFit="1" customWidth="1"/>
    <col min="7170" max="7170" width="17.375" style="1" customWidth="1"/>
    <col min="7171" max="7171" width="10.5" style="1" bestFit="1" customWidth="1"/>
    <col min="7172" max="7424" width="9" style="1"/>
    <col min="7425" max="7425" width="25.875" style="1" bestFit="1" customWidth="1"/>
    <col min="7426" max="7426" width="17.375" style="1" customWidth="1"/>
    <col min="7427" max="7427" width="10.5" style="1" bestFit="1" customWidth="1"/>
    <col min="7428" max="7680" width="9" style="1"/>
    <col min="7681" max="7681" width="25.875" style="1" bestFit="1" customWidth="1"/>
    <col min="7682" max="7682" width="17.375" style="1" customWidth="1"/>
    <col min="7683" max="7683" width="10.5" style="1" bestFit="1" customWidth="1"/>
    <col min="7684" max="7936" width="9" style="1"/>
    <col min="7937" max="7937" width="25.875" style="1" bestFit="1" customWidth="1"/>
    <col min="7938" max="7938" width="17.375" style="1" customWidth="1"/>
    <col min="7939" max="7939" width="10.5" style="1" bestFit="1" customWidth="1"/>
    <col min="7940" max="8192" width="9" style="1"/>
    <col min="8193" max="8193" width="25.875" style="1" bestFit="1" customWidth="1"/>
    <col min="8194" max="8194" width="17.375" style="1" customWidth="1"/>
    <col min="8195" max="8195" width="10.5" style="1" bestFit="1" customWidth="1"/>
    <col min="8196" max="8448" width="9" style="1"/>
    <col min="8449" max="8449" width="25.875" style="1" bestFit="1" customWidth="1"/>
    <col min="8450" max="8450" width="17.375" style="1" customWidth="1"/>
    <col min="8451" max="8451" width="10.5" style="1" bestFit="1" customWidth="1"/>
    <col min="8452" max="8704" width="9" style="1"/>
    <col min="8705" max="8705" width="25.875" style="1" bestFit="1" customWidth="1"/>
    <col min="8706" max="8706" width="17.375" style="1" customWidth="1"/>
    <col min="8707" max="8707" width="10.5" style="1" bestFit="1" customWidth="1"/>
    <col min="8708" max="8960" width="9" style="1"/>
    <col min="8961" max="8961" width="25.875" style="1" bestFit="1" customWidth="1"/>
    <col min="8962" max="8962" width="17.375" style="1" customWidth="1"/>
    <col min="8963" max="8963" width="10.5" style="1" bestFit="1" customWidth="1"/>
    <col min="8964" max="9216" width="9" style="1"/>
    <col min="9217" max="9217" width="25.875" style="1" bestFit="1" customWidth="1"/>
    <col min="9218" max="9218" width="17.375" style="1" customWidth="1"/>
    <col min="9219" max="9219" width="10.5" style="1" bestFit="1" customWidth="1"/>
    <col min="9220" max="9472" width="9" style="1"/>
    <col min="9473" max="9473" width="25.875" style="1" bestFit="1" customWidth="1"/>
    <col min="9474" max="9474" width="17.375" style="1" customWidth="1"/>
    <col min="9475" max="9475" width="10.5" style="1" bestFit="1" customWidth="1"/>
    <col min="9476" max="9728" width="9" style="1"/>
    <col min="9729" max="9729" width="25.875" style="1" bestFit="1" customWidth="1"/>
    <col min="9730" max="9730" width="17.375" style="1" customWidth="1"/>
    <col min="9731" max="9731" width="10.5" style="1" bestFit="1" customWidth="1"/>
    <col min="9732" max="9984" width="9" style="1"/>
    <col min="9985" max="9985" width="25.875" style="1" bestFit="1" customWidth="1"/>
    <col min="9986" max="9986" width="17.375" style="1" customWidth="1"/>
    <col min="9987" max="9987" width="10.5" style="1" bestFit="1" customWidth="1"/>
    <col min="9988" max="10240" width="9" style="1"/>
    <col min="10241" max="10241" width="25.875" style="1" bestFit="1" customWidth="1"/>
    <col min="10242" max="10242" width="17.375" style="1" customWidth="1"/>
    <col min="10243" max="10243" width="10.5" style="1" bestFit="1" customWidth="1"/>
    <col min="10244" max="10496" width="9" style="1"/>
    <col min="10497" max="10497" width="25.875" style="1" bestFit="1" customWidth="1"/>
    <col min="10498" max="10498" width="17.375" style="1" customWidth="1"/>
    <col min="10499" max="10499" width="10.5" style="1" bestFit="1" customWidth="1"/>
    <col min="10500" max="10752" width="9" style="1"/>
    <col min="10753" max="10753" width="25.875" style="1" bestFit="1" customWidth="1"/>
    <col min="10754" max="10754" width="17.375" style="1" customWidth="1"/>
    <col min="10755" max="10755" width="10.5" style="1" bestFit="1" customWidth="1"/>
    <col min="10756" max="11008" width="9" style="1"/>
    <col min="11009" max="11009" width="25.875" style="1" bestFit="1" customWidth="1"/>
    <col min="11010" max="11010" width="17.375" style="1" customWidth="1"/>
    <col min="11011" max="11011" width="10.5" style="1" bestFit="1" customWidth="1"/>
    <col min="11012" max="11264" width="9" style="1"/>
    <col min="11265" max="11265" width="25.875" style="1" bestFit="1" customWidth="1"/>
    <col min="11266" max="11266" width="17.375" style="1" customWidth="1"/>
    <col min="11267" max="11267" width="10.5" style="1" bestFit="1" customWidth="1"/>
    <col min="11268" max="11520" width="9" style="1"/>
    <col min="11521" max="11521" width="25.875" style="1" bestFit="1" customWidth="1"/>
    <col min="11522" max="11522" width="17.375" style="1" customWidth="1"/>
    <col min="11523" max="11523" width="10.5" style="1" bestFit="1" customWidth="1"/>
    <col min="11524" max="11776" width="9" style="1"/>
    <col min="11777" max="11777" width="25.875" style="1" bestFit="1" customWidth="1"/>
    <col min="11778" max="11778" width="17.375" style="1" customWidth="1"/>
    <col min="11779" max="11779" width="10.5" style="1" bestFit="1" customWidth="1"/>
    <col min="11780" max="12032" width="9" style="1"/>
    <col min="12033" max="12033" width="25.875" style="1" bestFit="1" customWidth="1"/>
    <col min="12034" max="12034" width="17.375" style="1" customWidth="1"/>
    <col min="12035" max="12035" width="10.5" style="1" bestFit="1" customWidth="1"/>
    <col min="12036" max="12288" width="9" style="1"/>
    <col min="12289" max="12289" width="25.875" style="1" bestFit="1" customWidth="1"/>
    <col min="12290" max="12290" width="17.375" style="1" customWidth="1"/>
    <col min="12291" max="12291" width="10.5" style="1" bestFit="1" customWidth="1"/>
    <col min="12292" max="12544" width="9" style="1"/>
    <col min="12545" max="12545" width="25.875" style="1" bestFit="1" customWidth="1"/>
    <col min="12546" max="12546" width="17.375" style="1" customWidth="1"/>
    <col min="12547" max="12547" width="10.5" style="1" bestFit="1" customWidth="1"/>
    <col min="12548" max="12800" width="9" style="1"/>
    <col min="12801" max="12801" width="25.875" style="1" bestFit="1" customWidth="1"/>
    <col min="12802" max="12802" width="17.375" style="1" customWidth="1"/>
    <col min="12803" max="12803" width="10.5" style="1" bestFit="1" customWidth="1"/>
    <col min="12804" max="13056" width="9" style="1"/>
    <col min="13057" max="13057" width="25.875" style="1" bestFit="1" customWidth="1"/>
    <col min="13058" max="13058" width="17.375" style="1" customWidth="1"/>
    <col min="13059" max="13059" width="10.5" style="1" bestFit="1" customWidth="1"/>
    <col min="13060" max="13312" width="9" style="1"/>
    <col min="13313" max="13313" width="25.875" style="1" bestFit="1" customWidth="1"/>
    <col min="13314" max="13314" width="17.375" style="1" customWidth="1"/>
    <col min="13315" max="13315" width="10.5" style="1" bestFit="1" customWidth="1"/>
    <col min="13316" max="13568" width="9" style="1"/>
    <col min="13569" max="13569" width="25.875" style="1" bestFit="1" customWidth="1"/>
    <col min="13570" max="13570" width="17.375" style="1" customWidth="1"/>
    <col min="13571" max="13571" width="10.5" style="1" bestFit="1" customWidth="1"/>
    <col min="13572" max="13824" width="9" style="1"/>
    <col min="13825" max="13825" width="25.875" style="1" bestFit="1" customWidth="1"/>
    <col min="13826" max="13826" width="17.375" style="1" customWidth="1"/>
    <col min="13827" max="13827" width="10.5" style="1" bestFit="1" customWidth="1"/>
    <col min="13828" max="14080" width="9" style="1"/>
    <col min="14081" max="14081" width="25.875" style="1" bestFit="1" customWidth="1"/>
    <col min="14082" max="14082" width="17.375" style="1" customWidth="1"/>
    <col min="14083" max="14083" width="10.5" style="1" bestFit="1" customWidth="1"/>
    <col min="14084" max="14336" width="9" style="1"/>
    <col min="14337" max="14337" width="25.875" style="1" bestFit="1" customWidth="1"/>
    <col min="14338" max="14338" width="17.375" style="1" customWidth="1"/>
    <col min="14339" max="14339" width="10.5" style="1" bestFit="1" customWidth="1"/>
    <col min="14340" max="14592" width="9" style="1"/>
    <col min="14593" max="14593" width="25.875" style="1" bestFit="1" customWidth="1"/>
    <col min="14594" max="14594" width="17.375" style="1" customWidth="1"/>
    <col min="14595" max="14595" width="10.5" style="1" bestFit="1" customWidth="1"/>
    <col min="14596" max="14848" width="9" style="1"/>
    <col min="14849" max="14849" width="25.875" style="1" bestFit="1" customWidth="1"/>
    <col min="14850" max="14850" width="17.375" style="1" customWidth="1"/>
    <col min="14851" max="14851" width="10.5" style="1" bestFit="1" customWidth="1"/>
    <col min="14852" max="15104" width="9" style="1"/>
    <col min="15105" max="15105" width="25.875" style="1" bestFit="1" customWidth="1"/>
    <col min="15106" max="15106" width="17.375" style="1" customWidth="1"/>
    <col min="15107" max="15107" width="10.5" style="1" bestFit="1" customWidth="1"/>
    <col min="15108" max="15360" width="9" style="1"/>
    <col min="15361" max="15361" width="25.875" style="1" bestFit="1" customWidth="1"/>
    <col min="15362" max="15362" width="17.375" style="1" customWidth="1"/>
    <col min="15363" max="15363" width="10.5" style="1" bestFit="1" customWidth="1"/>
    <col min="15364" max="15616" width="9" style="1"/>
    <col min="15617" max="15617" width="25.875" style="1" bestFit="1" customWidth="1"/>
    <col min="15618" max="15618" width="17.375" style="1" customWidth="1"/>
    <col min="15619" max="15619" width="10.5" style="1" bestFit="1" customWidth="1"/>
    <col min="15620" max="15872" width="9" style="1"/>
    <col min="15873" max="15873" width="25.875" style="1" bestFit="1" customWidth="1"/>
    <col min="15874" max="15874" width="17.375" style="1" customWidth="1"/>
    <col min="15875" max="15875" width="10.5" style="1" bestFit="1" customWidth="1"/>
    <col min="15876" max="16128" width="9" style="1"/>
    <col min="16129" max="16129" width="25.875" style="1" bestFit="1" customWidth="1"/>
    <col min="16130" max="16130" width="17.375" style="1" customWidth="1"/>
    <col min="16131" max="16131" width="10.5" style="1" bestFit="1" customWidth="1"/>
    <col min="16132" max="16384" width="9" style="1"/>
  </cols>
  <sheetData>
    <row r="1" spans="1:2" x14ac:dyDescent="0.2">
      <c r="A1" s="1" t="s">
        <v>1179</v>
      </c>
      <c r="B1" s="2154">
        <v>6.1</v>
      </c>
    </row>
    <row r="2" spans="1:2" x14ac:dyDescent="0.2">
      <c r="A2" s="1" t="s">
        <v>1180</v>
      </c>
      <c r="B2" s="2158">
        <v>43215.866388888891</v>
      </c>
    </row>
    <row r="3" spans="1:2" x14ac:dyDescent="0.2">
      <c r="A3" s="1" t="s">
        <v>1181</v>
      </c>
      <c r="B3" s="2155" t="s">
        <v>875</v>
      </c>
    </row>
    <row r="4" spans="1:2" x14ac:dyDescent="0.2">
      <c r="A4" s="1" t="s">
        <v>1182</v>
      </c>
      <c r="B4" s="2155" t="s">
        <v>1183</v>
      </c>
    </row>
    <row r="5" spans="1:2" x14ac:dyDescent="0.2">
      <c r="A5" s="1" t="s">
        <v>1184</v>
      </c>
      <c r="B5" s="2155" t="s">
        <v>1185</v>
      </c>
    </row>
    <row r="6" spans="1:2" x14ac:dyDescent="0.2">
      <c r="A6" s="1" t="s">
        <v>1186</v>
      </c>
    </row>
    <row r="7" spans="1:2" x14ac:dyDescent="0.2">
      <c r="A7" s="1" t="s">
        <v>490</v>
      </c>
      <c r="B7" s="2155" t="s">
        <v>1230</v>
      </c>
    </row>
    <row r="8" spans="1:2" x14ac:dyDescent="0.2">
      <c r="A8" s="1" t="s">
        <v>1187</v>
      </c>
      <c r="B8" s="2155" t="s">
        <v>1188</v>
      </c>
    </row>
    <row r="9" spans="1:2" x14ac:dyDescent="0.2">
      <c r="A9" s="1" t="s">
        <v>1189</v>
      </c>
      <c r="B9" s="2155" t="s">
        <v>1226</v>
      </c>
    </row>
    <row r="10" spans="1:2" x14ac:dyDescent="0.2">
      <c r="A10" s="1" t="s">
        <v>1190</v>
      </c>
    </row>
    <row r="11" spans="1:2" x14ac:dyDescent="0.2">
      <c r="A11" s="1" t="s">
        <v>1191</v>
      </c>
    </row>
    <row r="12" spans="1:2" x14ac:dyDescent="0.2">
      <c r="A12" s="1" t="s">
        <v>1192</v>
      </c>
    </row>
    <row r="13" spans="1:2" x14ac:dyDescent="0.2">
      <c r="A13" s="1" t="s">
        <v>1193</v>
      </c>
    </row>
    <row r="14" spans="1:2" x14ac:dyDescent="0.2">
      <c r="A14" s="1" t="s">
        <v>1194</v>
      </c>
    </row>
    <row r="15" spans="1:2" x14ac:dyDescent="0.2">
      <c r="A15" s="1" t="s">
        <v>1195</v>
      </c>
    </row>
    <row r="16" spans="1:2" x14ac:dyDescent="0.2">
      <c r="A16" s="1" t="s">
        <v>1196</v>
      </c>
    </row>
    <row r="17" spans="1:4" x14ac:dyDescent="0.2">
      <c r="A17" s="1" t="s">
        <v>1197</v>
      </c>
      <c r="B17" s="2155" t="s">
        <v>1227</v>
      </c>
    </row>
    <row r="18" spans="1:4" x14ac:dyDescent="0.2">
      <c r="A18" s="1" t="s">
        <v>1198</v>
      </c>
      <c r="B18" s="2155" t="s">
        <v>876</v>
      </c>
    </row>
    <row r="19" spans="1:4" x14ac:dyDescent="0.2">
      <c r="A19" s="1" t="s">
        <v>1199</v>
      </c>
      <c r="B19" s="2155" t="s">
        <v>593</v>
      </c>
    </row>
    <row r="20" spans="1:4" x14ac:dyDescent="0.2">
      <c r="A20" s="1" t="s">
        <v>1200</v>
      </c>
      <c r="B20" s="2156">
        <v>655844108</v>
      </c>
    </row>
    <row r="21" spans="1:4" x14ac:dyDescent="0.2">
      <c r="A21" s="1" t="s">
        <v>1201</v>
      </c>
      <c r="B21" s="2155" t="s">
        <v>593</v>
      </c>
    </row>
    <row r="22" spans="1:4" x14ac:dyDescent="0.2">
      <c r="A22" s="1" t="s">
        <v>1202</v>
      </c>
      <c r="B22" s="2156">
        <v>2641894</v>
      </c>
    </row>
    <row r="23" spans="1:4" x14ac:dyDescent="0.2">
      <c r="A23" s="1" t="s">
        <v>289</v>
      </c>
      <c r="B23" s="2154">
        <v>146.04</v>
      </c>
    </row>
    <row r="24" spans="1:4" x14ac:dyDescent="0.2">
      <c r="A24" s="1" t="s">
        <v>505</v>
      </c>
      <c r="B24" s="2155" t="s">
        <v>594</v>
      </c>
      <c r="D24" s="1" t="s">
        <v>619</v>
      </c>
    </row>
    <row r="25" spans="1:4" x14ac:dyDescent="0.2">
      <c r="A25" s="1" t="s">
        <v>1203</v>
      </c>
      <c r="B25" s="2155" t="s">
        <v>1231</v>
      </c>
    </row>
    <row r="26" spans="1:4" x14ac:dyDescent="0.2">
      <c r="A26" s="1" t="s">
        <v>1204</v>
      </c>
      <c r="B26" s="2155">
        <v>0</v>
      </c>
    </row>
    <row r="27" spans="1:4" x14ac:dyDescent="0.2">
      <c r="A27" s="1" t="s">
        <v>1205</v>
      </c>
      <c r="B27" s="2155" t="s">
        <v>1206</v>
      </c>
    </row>
    <row r="28" spans="1:4" x14ac:dyDescent="0.2">
      <c r="A28" s="1" t="s">
        <v>1207</v>
      </c>
      <c r="B28" s="2155" t="s">
        <v>1208</v>
      </c>
    </row>
    <row r="29" spans="1:4" x14ac:dyDescent="0.2">
      <c r="A29" s="1" t="s">
        <v>1209</v>
      </c>
    </row>
    <row r="30" spans="1:4" x14ac:dyDescent="0.2">
      <c r="A30" s="1" t="s">
        <v>1210</v>
      </c>
    </row>
    <row r="31" spans="1:4" x14ac:dyDescent="0.2">
      <c r="A31" s="1" t="s">
        <v>1211</v>
      </c>
    </row>
    <row r="32" spans="1:4" x14ac:dyDescent="0.2">
      <c r="A32" s="1" t="s">
        <v>1212</v>
      </c>
      <c r="B32" s="2154"/>
    </row>
    <row r="33" spans="1:2" x14ac:dyDescent="0.2">
      <c r="A33" s="1" t="s">
        <v>1213</v>
      </c>
      <c r="B33" s="2154"/>
    </row>
    <row r="34" spans="1:2" x14ac:dyDescent="0.2">
      <c r="A34" s="1" t="s">
        <v>1214</v>
      </c>
      <c r="B34" s="2154"/>
    </row>
    <row r="35" spans="1:2" x14ac:dyDescent="0.2">
      <c r="A35" s="1" t="s">
        <v>1215</v>
      </c>
      <c r="B35" s="2155">
        <v>1000000</v>
      </c>
    </row>
    <row r="36" spans="1:2" x14ac:dyDescent="0.2">
      <c r="A36" s="1" t="s">
        <v>1216</v>
      </c>
      <c r="B36" s="2155" t="s">
        <v>1228</v>
      </c>
    </row>
    <row r="37" spans="1:2" x14ac:dyDescent="0.2">
      <c r="A37" s="1" t="s">
        <v>1217</v>
      </c>
      <c r="B37" s="2155" t="s">
        <v>1218</v>
      </c>
    </row>
    <row r="38" spans="1:2" x14ac:dyDescent="0.2">
      <c r="A38" s="1" t="s">
        <v>1219</v>
      </c>
      <c r="B38" s="2155" t="s">
        <v>1220</v>
      </c>
    </row>
    <row r="39" spans="1:2" x14ac:dyDescent="0.2">
      <c r="A39" s="1" t="s">
        <v>1221</v>
      </c>
      <c r="B39" s="2155" t="s">
        <v>1229</v>
      </c>
    </row>
    <row r="40" spans="1:2" x14ac:dyDescent="0.2">
      <c r="A40" s="1" t="s">
        <v>1222</v>
      </c>
      <c r="B40" s="2155">
        <v>1500005431</v>
      </c>
    </row>
    <row r="41" spans="1:2" x14ac:dyDescent="0.2">
      <c r="A41" s="1" t="s">
        <v>1223</v>
      </c>
      <c r="B41" s="2155">
        <v>1</v>
      </c>
    </row>
    <row r="42" spans="1:2" x14ac:dyDescent="0.2">
      <c r="A42" s="2157" t="s">
        <v>1224</v>
      </c>
      <c r="B42" s="2155" t="s">
        <v>1232</v>
      </c>
    </row>
    <row r="43" spans="1:2" x14ac:dyDescent="0.2">
      <c r="A43" s="1" t="s">
        <v>1225</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13"/>
  <sheetViews>
    <sheetView workbookViewId="0">
      <selection activeCell="E11" sqref="E11"/>
    </sheetView>
  </sheetViews>
  <sheetFormatPr defaultRowHeight="12.75" x14ac:dyDescent="0.2"/>
  <cols>
    <col min="1" max="1" width="25" style="1" bestFit="1" customWidth="1"/>
    <col min="2" max="256" width="9" style="1"/>
    <col min="257" max="257" width="25" style="1" bestFit="1" customWidth="1"/>
    <col min="258" max="512" width="9" style="1"/>
    <col min="513" max="513" width="25" style="1" bestFit="1" customWidth="1"/>
    <col min="514" max="768" width="9" style="1"/>
    <col min="769" max="769" width="25" style="1" bestFit="1" customWidth="1"/>
    <col min="770" max="1024" width="9" style="1"/>
    <col min="1025" max="1025" width="25" style="1" bestFit="1" customWidth="1"/>
    <col min="1026" max="1280" width="9" style="1"/>
    <col min="1281" max="1281" width="25" style="1" bestFit="1" customWidth="1"/>
    <col min="1282" max="1536" width="9" style="1"/>
    <col min="1537" max="1537" width="25" style="1" bestFit="1" customWidth="1"/>
    <col min="1538" max="1792" width="9" style="1"/>
    <col min="1793" max="1793" width="25" style="1" bestFit="1" customWidth="1"/>
    <col min="1794" max="2048" width="9" style="1"/>
    <col min="2049" max="2049" width="25" style="1" bestFit="1" customWidth="1"/>
    <col min="2050" max="2304" width="9" style="1"/>
    <col min="2305" max="2305" width="25" style="1" bestFit="1" customWidth="1"/>
    <col min="2306" max="2560" width="9" style="1"/>
    <col min="2561" max="2561" width="25" style="1" bestFit="1" customWidth="1"/>
    <col min="2562" max="2816" width="9" style="1"/>
    <col min="2817" max="2817" width="25" style="1" bestFit="1" customWidth="1"/>
    <col min="2818" max="3072" width="9" style="1"/>
    <col min="3073" max="3073" width="25" style="1" bestFit="1" customWidth="1"/>
    <col min="3074" max="3328" width="9" style="1"/>
    <col min="3329" max="3329" width="25" style="1" bestFit="1" customWidth="1"/>
    <col min="3330" max="3584" width="9" style="1"/>
    <col min="3585" max="3585" width="25" style="1" bestFit="1" customWidth="1"/>
    <col min="3586" max="3840" width="9" style="1"/>
    <col min="3841" max="3841" width="25" style="1" bestFit="1" customWidth="1"/>
    <col min="3842" max="4096" width="9" style="1"/>
    <col min="4097" max="4097" width="25" style="1" bestFit="1" customWidth="1"/>
    <col min="4098" max="4352" width="9" style="1"/>
    <col min="4353" max="4353" width="25" style="1" bestFit="1" customWidth="1"/>
    <col min="4354" max="4608" width="9" style="1"/>
    <col min="4609" max="4609" width="25" style="1" bestFit="1" customWidth="1"/>
    <col min="4610" max="4864" width="9" style="1"/>
    <col min="4865" max="4865" width="25" style="1" bestFit="1" customWidth="1"/>
    <col min="4866" max="5120" width="9" style="1"/>
    <col min="5121" max="5121" width="25" style="1" bestFit="1" customWidth="1"/>
    <col min="5122" max="5376" width="9" style="1"/>
    <col min="5377" max="5377" width="25" style="1" bestFit="1" customWidth="1"/>
    <col min="5378" max="5632" width="9" style="1"/>
    <col min="5633" max="5633" width="25" style="1" bestFit="1" customWidth="1"/>
    <col min="5634" max="5888" width="9" style="1"/>
    <col min="5889" max="5889" width="25" style="1" bestFit="1" customWidth="1"/>
    <col min="5890" max="6144" width="9" style="1"/>
    <col min="6145" max="6145" width="25" style="1" bestFit="1" customWidth="1"/>
    <col min="6146" max="6400" width="9" style="1"/>
    <col min="6401" max="6401" width="25" style="1" bestFit="1" customWidth="1"/>
    <col min="6402" max="6656" width="9" style="1"/>
    <col min="6657" max="6657" width="25" style="1" bestFit="1" customWidth="1"/>
    <col min="6658" max="6912" width="9" style="1"/>
    <col min="6913" max="6913" width="25" style="1" bestFit="1" customWidth="1"/>
    <col min="6914" max="7168" width="9" style="1"/>
    <col min="7169" max="7169" width="25" style="1" bestFit="1" customWidth="1"/>
    <col min="7170" max="7424" width="9" style="1"/>
    <col min="7425" max="7425" width="25" style="1" bestFit="1" customWidth="1"/>
    <col min="7426" max="7680" width="9" style="1"/>
    <col min="7681" max="7681" width="25" style="1" bestFit="1" customWidth="1"/>
    <col min="7682" max="7936" width="9" style="1"/>
    <col min="7937" max="7937" width="25" style="1" bestFit="1" customWidth="1"/>
    <col min="7938" max="8192" width="9" style="1"/>
    <col min="8193" max="8193" width="25" style="1" bestFit="1" customWidth="1"/>
    <col min="8194" max="8448" width="9" style="1"/>
    <col min="8449" max="8449" width="25" style="1" bestFit="1" customWidth="1"/>
    <col min="8450" max="8704" width="9" style="1"/>
    <col min="8705" max="8705" width="25" style="1" bestFit="1" customWidth="1"/>
    <col min="8706" max="8960" width="9" style="1"/>
    <col min="8961" max="8961" width="25" style="1" bestFit="1" customWidth="1"/>
    <col min="8962" max="9216" width="9" style="1"/>
    <col min="9217" max="9217" width="25" style="1" bestFit="1" customWidth="1"/>
    <col min="9218" max="9472" width="9" style="1"/>
    <col min="9473" max="9473" width="25" style="1" bestFit="1" customWidth="1"/>
    <col min="9474" max="9728" width="9" style="1"/>
    <col min="9729" max="9729" width="25" style="1" bestFit="1" customWidth="1"/>
    <col min="9730" max="9984" width="9" style="1"/>
    <col min="9985" max="9985" width="25" style="1" bestFit="1" customWidth="1"/>
    <col min="9986" max="10240" width="9" style="1"/>
    <col min="10241" max="10241" width="25" style="1" bestFit="1" customWidth="1"/>
    <col min="10242" max="10496" width="9" style="1"/>
    <col min="10497" max="10497" width="25" style="1" bestFit="1" customWidth="1"/>
    <col min="10498" max="10752" width="9" style="1"/>
    <col min="10753" max="10753" width="25" style="1" bestFit="1" customWidth="1"/>
    <col min="10754" max="11008" width="9" style="1"/>
    <col min="11009" max="11009" width="25" style="1" bestFit="1" customWidth="1"/>
    <col min="11010" max="11264" width="9" style="1"/>
    <col min="11265" max="11265" width="25" style="1" bestFit="1" customWidth="1"/>
    <col min="11266" max="11520" width="9" style="1"/>
    <col min="11521" max="11521" width="25" style="1" bestFit="1" customWidth="1"/>
    <col min="11522" max="11776" width="9" style="1"/>
    <col min="11777" max="11777" width="25" style="1" bestFit="1" customWidth="1"/>
    <col min="11778" max="12032" width="9" style="1"/>
    <col min="12033" max="12033" width="25" style="1" bestFit="1" customWidth="1"/>
    <col min="12034" max="12288" width="9" style="1"/>
    <col min="12289" max="12289" width="25" style="1" bestFit="1" customWidth="1"/>
    <col min="12290" max="12544" width="9" style="1"/>
    <col min="12545" max="12545" width="25" style="1" bestFit="1" customWidth="1"/>
    <col min="12546" max="12800" width="9" style="1"/>
    <col min="12801" max="12801" width="25" style="1" bestFit="1" customWidth="1"/>
    <col min="12802" max="13056" width="9" style="1"/>
    <col min="13057" max="13057" width="25" style="1" bestFit="1" customWidth="1"/>
    <col min="13058" max="13312" width="9" style="1"/>
    <col min="13313" max="13313" width="25" style="1" bestFit="1" customWidth="1"/>
    <col min="13314" max="13568" width="9" style="1"/>
    <col min="13569" max="13569" width="25" style="1" bestFit="1" customWidth="1"/>
    <col min="13570" max="13824" width="9" style="1"/>
    <col min="13825" max="13825" width="25" style="1" bestFit="1" customWidth="1"/>
    <col min="13826" max="14080" width="9" style="1"/>
    <col min="14081" max="14081" width="25" style="1" bestFit="1" customWidth="1"/>
    <col min="14082" max="14336" width="9" style="1"/>
    <col min="14337" max="14337" width="25" style="1" bestFit="1" customWidth="1"/>
    <col min="14338" max="14592" width="9" style="1"/>
    <col min="14593" max="14593" width="25" style="1" bestFit="1" customWidth="1"/>
    <col min="14594" max="14848" width="9" style="1"/>
    <col min="14849" max="14849" width="25" style="1" bestFit="1" customWidth="1"/>
    <col min="14850" max="15104" width="9" style="1"/>
    <col min="15105" max="15105" width="25" style="1" bestFit="1" customWidth="1"/>
    <col min="15106" max="15360" width="9" style="1"/>
    <col min="15361" max="15361" width="25" style="1" bestFit="1" customWidth="1"/>
    <col min="15362" max="15616" width="9" style="1"/>
    <col min="15617" max="15617" width="25" style="1" bestFit="1" customWidth="1"/>
    <col min="15618" max="15872" width="9" style="1"/>
    <col min="15873" max="15873" width="25" style="1" bestFit="1" customWidth="1"/>
    <col min="15874" max="16128" width="9" style="1"/>
    <col min="16129" max="16129" width="25" style="1" bestFit="1" customWidth="1"/>
    <col min="16130" max="16384" width="9" style="1"/>
  </cols>
  <sheetData>
    <row r="1" spans="1:1" x14ac:dyDescent="0.2">
      <c r="A1" s="2159" t="s">
        <v>1233</v>
      </c>
    </row>
    <row r="2" spans="1:1" x14ac:dyDescent="0.2">
      <c r="A2" s="2159" t="s">
        <v>1238</v>
      </c>
    </row>
    <row r="3" spans="1:1" x14ac:dyDescent="0.2">
      <c r="A3" s="2159" t="s">
        <v>1239</v>
      </c>
    </row>
    <row r="4" spans="1:1" x14ac:dyDescent="0.2">
      <c r="A4" s="2159" t="s">
        <v>1240</v>
      </c>
    </row>
    <row r="5" spans="1:1" x14ac:dyDescent="0.2">
      <c r="A5" s="2159" t="s">
        <v>1241</v>
      </c>
    </row>
    <row r="6" spans="1:1" x14ac:dyDescent="0.2">
      <c r="A6" s="2159" t="s">
        <v>1234</v>
      </c>
    </row>
    <row r="7" spans="1:1" x14ac:dyDescent="0.2">
      <c r="A7" s="2159" t="s">
        <v>1242</v>
      </c>
    </row>
    <row r="8" spans="1:1" x14ac:dyDescent="0.2">
      <c r="A8" s="2159" t="s">
        <v>1243</v>
      </c>
    </row>
    <row r="9" spans="1:1" x14ac:dyDescent="0.2">
      <c r="A9" s="2159" t="s">
        <v>1244</v>
      </c>
    </row>
    <row r="10" spans="1:1" x14ac:dyDescent="0.2">
      <c r="A10" s="2159" t="s">
        <v>1235</v>
      </c>
    </row>
    <row r="11" spans="1:1" x14ac:dyDescent="0.2">
      <c r="A11" s="2159" t="s">
        <v>1245</v>
      </c>
    </row>
    <row r="12" spans="1:1" x14ac:dyDescent="0.2">
      <c r="A12" s="2159" t="s">
        <v>1236</v>
      </c>
    </row>
    <row r="13" spans="1:1" x14ac:dyDescent="0.2">
      <c r="A13" s="2159" t="s">
        <v>1237</v>
      </c>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B4"/>
  <sheetViews>
    <sheetView workbookViewId="0"/>
  </sheetViews>
  <sheetFormatPr defaultRowHeight="12" x14ac:dyDescent="0.15"/>
  <sheetData>
    <row r="1" spans="1:2" x14ac:dyDescent="0.15">
      <c r="B1" t="s">
        <v>650</v>
      </c>
    </row>
    <row r="2" spans="1:2" x14ac:dyDescent="0.15"/>
    <row r="3" spans="1:2" x14ac:dyDescent="0.15"/>
    <row r="4" spans="1:2" x14ac:dyDescent="0.15"/>
  </sheetData>
  <phoneticPr fontId="18"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75BD8A99-3CD1-4516-888B-DB96BCEC4955}">
  <ds:schemaRefs>
    <ds:schemaRef ds:uri="thomsonreuters.linking.metadatachange"/>
  </ds:schemaRefs>
</ds:datastoreItem>
</file>

<file path=customXml/itemProps2.xml><?xml version="1.0" encoding="utf-8"?>
<ds:datastoreItem xmlns:ds="http://schemas.openxmlformats.org/officeDocument/2006/customXml" ds:itemID="{051D631F-D063-407D-8785-E0C08B4A0508}">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89</vt:i4>
      </vt:variant>
    </vt:vector>
  </HeadingPairs>
  <TitlesOfParts>
    <vt:vector size="99" baseType="lpstr">
      <vt:lpstr>ImportantDisclosures</vt:lpstr>
      <vt:lpstr>Model</vt:lpstr>
      <vt:lpstr>DCF</vt:lpstr>
      <vt:lpstr>Fuel On-highway</vt:lpstr>
      <vt:lpstr>Fuel WTI</vt:lpstr>
      <vt:lpstr>MarketData</vt:lpstr>
      <vt:lpstr>Pension</vt:lpstr>
      <vt:lpstr>OPEB</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OPEB!Currency_ISOcode</vt:lpstr>
      <vt:lpstr>Pension!Currency_ISOcode</vt:lpstr>
      <vt:lpstr>Pension!currentFY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Pension!dropDown</vt:lpstr>
      <vt:lpstr>OPEB!dropDown2</vt:lpstr>
      <vt:lpstr>ModPubIndex!EMAIL_ALERT</vt:lpstr>
      <vt:lpstr>IndexInformation!EmailAlert</vt:lpstr>
      <vt:lpstr>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IndexInformation!MacroVersion</vt:lpstr>
      <vt:lpstr>ImportantDisclosures!ModelPrice</vt:lpstr>
      <vt:lpstr>OPEB!mstagrange</vt:lpstr>
      <vt:lpstr>Pension!mstagrange1</vt:lpstr>
      <vt:lpstr>IndexInformation!Multiplier</vt:lpstr>
      <vt:lpstr>IndexInformation!NextYearEPS</vt:lpstr>
      <vt:lpstr>IndexInformation!NextYearTotalRevenue</vt:lpstr>
      <vt:lpstr>IndexInformation!NextYearTotalRevenueActual</vt:lpstr>
      <vt:lpstr>ObjectType</vt:lpstr>
      <vt:lpstr>OPEB!OPEB_Guide</vt:lpstr>
      <vt:lpstr>ModPubIndex!PANA</vt:lpstr>
      <vt:lpstr>IndexInformation!PathName</vt:lpstr>
      <vt:lpstr>Pension!Pension_Guide</vt:lpstr>
      <vt:lpstr>Model!Print_Area</vt:lpstr>
      <vt:lpstr>Pension!Print_Area</vt:lpstr>
      <vt:lpstr>Model!Print_Titles</vt:lpstr>
      <vt:lpstr>ModPubIndex!PRODUCT</vt:lpstr>
      <vt:lpstr>Model!Provision_For_Taxes</vt:lpstr>
      <vt:lpstr>ModPubIndex!PSYM</vt:lpstr>
      <vt:lpstr>IndexInformation!PublishDate</vt:lpstr>
      <vt:lpstr>IndexInformation!Rating</vt:lpstr>
      <vt:lpstr>ImportantDisclosures!RatingsDefined</vt:lpstr>
      <vt:lpstr>IndexInformation!ResearchTopic</vt:lpstr>
      <vt:lpstr>IndexInformation!RIC</vt:lpstr>
      <vt:lpstr>Pension!rngStartYear</vt:lpstr>
      <vt:lpstr>Pension!rngTicker</vt:lpstr>
      <vt:lpstr>IndexInformation!SEDOL</vt:lpstr>
      <vt:lpstr>Pension!Sedol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Pension!trEdate</vt:lpstr>
      <vt:lpstr>Pension!trSdate</vt:lpstr>
      <vt:lpstr>IndexInformation!UpdateReason</vt:lpstr>
      <vt:lpstr>Pension!YearRow</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1998-02-26T02:06:21Z</dcterms:created>
  <dc:creator>Greene, William (Research)</dc:creator>
  <cp:lastModifiedBy>Capitena, Cindy (Research)</cp:lastModifiedBy>
  <cp:lastPrinted>2018-04-25T22:47:03Z</cp:lastPrinted>
  <dcterms:modified xsi:type="dcterms:W3CDTF">2018-04-26T00:49:22Z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ERModPubTicket" pid="2">
    <vt:lpwstr>NA</vt:lpwstr>
  </property>
  <property fmtid="{D5CDD505-2E9C-101B-9397-08002B2CF9AE}" name="ERCompanyUploadState" pid="3">
    <vt:lpwstr>P</vt:lpwstr>
  </property>
  <property fmtid="{D5CDD505-2E9C-101B-9397-08002B2CF9AE}" name="ModelId" pid="4">
    <vt:lpwstr>764146</vt:lpwstr>
  </property>
  <property fmtid="{D5CDD505-2E9C-101B-9397-08002B2CF9AE}" name="ERModPubCompanyName" pid="5">
    <vt:lpwstr>Norfolk Southern Corp.</vt:lpwstr>
  </property>
  <property fmtid="{D5CDD505-2E9C-101B-9397-08002B2CF9AE}" name="MSDH34TAG" pid="6">
    <vt:lpwstr>.TEZUF76X5TAHATHESADREYAK-00-INB160+*94600-06=6e6d1ba4/-48eb/-11e8/-adef/-6a0a1ce82510,MD=20180425205029/-0400,ZZ=000Z-dce7.</vt:lpwstr>
  </property>
</Properties>
</file>